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pivotCache/pivotCacheDefinition18.xml" ContentType="application/vnd.openxmlformats-officedocument.spreadsheetml.pivotCacheDefinition+xml"/>
  <Override PartName="/xl/pivotCache/pivotCacheDefinition19.xml" ContentType="application/vnd.openxmlformats-officedocument.spreadsheetml.pivotCacheDefinition+xml"/>
  <Override PartName="/xl/pivotCache/pivotCacheDefinition20.xml" ContentType="application/vnd.openxmlformats-officedocument.spreadsheetml.pivotCacheDefinition+xml"/>
  <Override PartName="/xl/pivotCache/pivotCacheDefinition21.xml" ContentType="application/vnd.openxmlformats-officedocument.spreadsheetml.pivotCacheDefinition+xml"/>
  <Override PartName="/xl/pivotCache/pivotCacheDefinition22.xml" ContentType="application/vnd.openxmlformats-officedocument.spreadsheetml.pivotCacheDefinition+xml"/>
  <Override PartName="/xl/pivotCache/pivotCacheDefinition23.xml" ContentType="application/vnd.openxmlformats-officedocument.spreadsheetml.pivotCacheDefinition+xml"/>
  <Override PartName="/xl/pivotCache/pivotCacheDefinition24.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pivotCache/pivotCacheDefinition25.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2.xml" ContentType="application/vnd.openxmlformats-officedocument.spreadsheetml.pivotTable+xml"/>
  <Override PartName="/xl/drawings/drawing4.xml" ContentType="application/vnd.openxmlformats-officedocument.drawing+xml"/>
  <Override PartName="/xl/slicers/slicer2.xml" ContentType="application/vnd.ms-excel.slicer+xml"/>
  <Override PartName="/xl/drawings/drawing5.xml" ContentType="application/vnd.openxmlformats-officedocument.drawing+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10.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drawings/drawing11.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drawings/drawing12.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13.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drawings/drawing14.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drawings/drawing15.xml" ContentType="application/vnd.openxmlformats-officedocument.drawing+xml"/>
  <Override PartName="/xl/drawings/drawing16.xml" ContentType="application/vnd.openxmlformats-officedocument.drawing+xml"/>
  <Override PartName="/xl/charts/chart39.xml" ContentType="application/vnd.openxmlformats-officedocument.drawingml.chart+xml"/>
  <Override PartName="/xl/drawings/drawing17.xml" ContentType="application/vnd.openxmlformats-officedocument.drawing+xml"/>
  <Override PartName="/xl/charts/chart40.xml" ContentType="application/vnd.openxmlformats-officedocument.drawingml.chart+xml"/>
  <Override PartName="/xl/drawings/drawing18.xml" ContentType="application/vnd.openxmlformats-officedocument.drawing+xml"/>
  <Override PartName="/xl/charts/chart41.xml" ContentType="application/vnd.openxmlformats-officedocument.drawingml.chart+xml"/>
  <Override PartName="/xl/drawings/drawing19.xml" ContentType="application/vnd.openxmlformats-officedocument.drawing+xml"/>
  <Override PartName="/xl/tables/table3.xml" ContentType="application/vnd.openxmlformats-officedocument.spreadsheetml.table+xml"/>
  <Override PartName="/xl/queryTables/queryTable1.xml" ContentType="application/vnd.openxmlformats-officedocument.spreadsheetml.queryTable+xml"/>
  <Override PartName="/xl/drawings/drawing20.xml" ContentType="application/vnd.openxmlformats-officedocument.drawing+xml"/>
  <Override PartName="/xl/tables/table4.xml" ContentType="application/vnd.openxmlformats-officedocument.spreadsheetml.table+xml"/>
  <Override PartName="/xl/queryTables/queryTable2.xml" ContentType="application/vnd.openxmlformats-officedocument.spreadsheetml.queryTable+xml"/>
  <Override PartName="/xl/tables/table5.xml" ContentType="application/vnd.openxmlformats-officedocument.spreadsheetml.table+xml"/>
  <Override PartName="/xl/drawings/drawing21.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2.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queryTables/queryTable3.xml" ContentType="application/vnd.openxmlformats-officedocument.spreadsheetml.queryTable+xml"/>
  <Override PartName="/xl/tables/table42.xml" ContentType="application/vnd.openxmlformats-officedocument.spreadsheetml.table+xml"/>
  <Override PartName="/xl/queryTables/queryTable4.xml" ContentType="application/vnd.openxmlformats-officedocument.spreadsheetml.queryTable+xml"/>
  <Override PartName="/xl/tables/table43.xml" ContentType="application/vnd.openxmlformats-officedocument.spreadsheetml.table+xml"/>
  <Override PartName="/xl/queryTables/queryTable5.xml" ContentType="application/vnd.openxmlformats-officedocument.spreadsheetml.queryTable+xml"/>
  <Override PartName="/xl/tables/table44.xml" ContentType="application/vnd.openxmlformats-officedocument.spreadsheetml.table+xml"/>
  <Override PartName="/xl/queryTables/queryTable6.xml" ContentType="application/vnd.openxmlformats-officedocument.spreadsheetml.queryTable+xml"/>
  <Override PartName="/xl/tables/table45.xml" ContentType="application/vnd.openxmlformats-officedocument.spreadsheetml.table+xml"/>
  <Override PartName="/xl/queryTables/queryTable7.xml" ContentType="application/vnd.openxmlformats-officedocument.spreadsheetml.queryTable+xml"/>
  <Override PartName="/xl/pivotTables/pivotTable3.xml" ContentType="application/vnd.openxmlformats-officedocument.spreadsheetml.pivotTable+xml"/>
  <Override PartName="/xl/tables/table46.xml" ContentType="application/vnd.openxmlformats-officedocument.spreadsheetml.table+xml"/>
  <Override PartName="/xl/queryTables/queryTable8.xml" ContentType="application/vnd.openxmlformats-officedocument.spreadsheetml.queryTable+xml"/>
  <Override PartName="/xl/tables/table47.xml" ContentType="application/vnd.openxmlformats-officedocument.spreadsheetml.table+xml"/>
  <Override PartName="/xl/queryTables/queryTable9.xml" ContentType="application/vnd.openxmlformats-officedocument.spreadsheetml.queryTable+xml"/>
  <Override PartName="/xl/tables/table48.xml" ContentType="application/vnd.openxmlformats-officedocument.spreadsheetml.table+xml"/>
  <Override PartName="/xl/queryTables/queryTable10.xml" ContentType="application/vnd.openxmlformats-officedocument.spreadsheetml.queryTable+xml"/>
  <Override PartName="/xl/tables/table49.xml" ContentType="application/vnd.openxmlformats-officedocument.spreadsheetml.table+xml"/>
  <Override PartName="/xl/queryTables/queryTable11.xml" ContentType="application/vnd.openxmlformats-officedocument.spreadsheetml.queryTable+xml"/>
  <Override PartName="/xl/tables/table50.xml" ContentType="application/vnd.openxmlformats-officedocument.spreadsheetml.table+xml"/>
  <Override PartName="/xl/queryTables/queryTable12.xml" ContentType="application/vnd.openxmlformats-officedocument.spreadsheetml.queryTable+xml"/>
  <Override PartName="/xl/tables/table51.xml" ContentType="application/vnd.openxmlformats-officedocument.spreadsheetml.table+xml"/>
  <Override PartName="/xl/queryTables/queryTable13.xml" ContentType="application/vnd.openxmlformats-officedocument.spreadsheetml.queryTable+xml"/>
  <Override PartName="/xl/tables/table52.xml" ContentType="application/vnd.openxmlformats-officedocument.spreadsheetml.table+xml"/>
  <Override PartName="/xl/tables/table53.xml" ContentType="application/vnd.openxmlformats-officedocument.spreadsheetml.table+xml"/>
  <Override PartName="/xl/queryTables/queryTable14.xml" ContentType="application/vnd.openxmlformats-officedocument.spreadsheetml.queryTable+xml"/>
  <Override PartName="/xl/tables/table54.xml" ContentType="application/vnd.openxmlformats-officedocument.spreadsheetml.table+xml"/>
  <Override PartName="/xl/queryTables/queryTable15.xml" ContentType="application/vnd.openxmlformats-officedocument.spreadsheetml.queryTable+xml"/>
  <Override PartName="/xl/tables/table55.xml" ContentType="application/vnd.openxmlformats-officedocument.spreadsheetml.table+xml"/>
  <Override PartName="/xl/queryTables/queryTable16.xml" ContentType="application/vnd.openxmlformats-officedocument.spreadsheetml.queryTable+xml"/>
  <Override PartName="/xl/tables/table56.xml" ContentType="application/vnd.openxmlformats-officedocument.spreadsheetml.table+xml"/>
  <Override PartName="/xl/queryTables/queryTable17.xml" ContentType="application/vnd.openxmlformats-officedocument.spreadsheetml.query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tables/table6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xl/volatileDependencies.xml" ContentType="application/vnd.openxmlformats-officedocument.spreadsheetml.volatileDependenc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ThisWorkbook"/>
  <mc:AlternateContent xmlns:mc="http://schemas.openxmlformats.org/markup-compatibility/2006">
    <mc:Choice Requires="x15">
      <x15ac:absPath xmlns:x15ac="http://schemas.microsoft.com/office/spreadsheetml/2010/11/ac" url="C:\Dev\ActuarialClosingPlatform\lab\ACP_HardenTest\template\"/>
    </mc:Choice>
  </mc:AlternateContent>
  <xr:revisionPtr revIDLastSave="0" documentId="13_ncr:1_{62D3194F-CACF-4B32-8C33-488ADEB8E418}" xr6:coauthVersionLast="47" xr6:coauthVersionMax="47" xr10:uidLastSave="{00000000-0000-0000-0000-000000000000}"/>
  <bookViews>
    <workbookView xWindow="-120" yWindow="-120" windowWidth="29040" windowHeight="15720" xr2:uid="{00000000-000D-0000-FFFF-FFFF00000000}"/>
  </bookViews>
  <sheets>
    <sheet name="Start" sheetId="54" r:id="rId1"/>
    <sheet name="Home" sheetId="22" state="veryHidden" r:id="rId2"/>
    <sheet name="Closing_Manual" sheetId="23" state="veryHidden" r:id="rId3"/>
    <sheet name="ControlPanel" sheetId="4" state="veryHidden" r:id="rId4"/>
    <sheet name="Dashboard" sheetId="6" state="veryHidden" r:id="rId5"/>
    <sheet name="Matrix" sheetId="24" state="veryHidden" r:id="rId6"/>
    <sheet name="AN_Index" sheetId="77" state="veryHidden" r:id="rId7"/>
    <sheet name="AN_Exec_Life" sheetId="78" state="veryHidden" r:id="rId8"/>
    <sheet name="AN_Exec_Pension" sheetId="79" state="veryHidden" r:id="rId9"/>
    <sheet name="AN_Exec_NonLife" sheetId="80" state="veryHidden" r:id="rId10"/>
    <sheet name="AN_Trend" sheetId="81" state="veryHidden" r:id="rId11"/>
    <sheet name="AN_Triangle" sheetId="82" state="veryHidden" r:id="rId12"/>
    <sheet name="AN_Lags" sheetId="83" state="veryHidden" r:id="rId13"/>
    <sheet name="AN_Severity" sheetId="84" state="veryHidden" r:id="rId14"/>
    <sheet name="AN_Limits" sheetId="85" state="veryHidden" r:id="rId15"/>
    <sheet name="AN_Anomaly" sheetId="88" state="veryHidden" r:id="rId16"/>
    <sheet name="AN_Watchlist" sheetId="89" state="veryHidden" r:id="rId17"/>
    <sheet name="AN_Backtest" sheetId="94" state="veryHidden" r:id="rId18"/>
    <sheet name="AN_Dispersion" sheetId="95" state="veryHidden" r:id="rId19"/>
    <sheet name="AN_TailFit" sheetId="96" state="veryHidden" r:id="rId20"/>
    <sheet name="AN_RawView" sheetId="90" state="veryHidden" r:id="rId21"/>
    <sheet name="DataView" sheetId="25" state="veryHidden" r:id="rId22"/>
    <sheet name="KPI_Check" sheetId="5" state="veryHidden" r:id="rId23"/>
    <sheet name="Parameters" sheetId="7" state="veryHidden" r:id="rId24"/>
    <sheet name="ColumnMap" sheetId="8" state="veryHidden" r:id="rId25"/>
    <sheet name="DimCompany" sheetId="9" state="veryHidden" r:id="rId26"/>
    <sheet name="RefData" sheetId="57" state="veryHidden" r:id="rId27"/>
    <sheet name="Threshold_Register" sheetId="58" state="veryHidden" r:id="rId28"/>
    <sheet name="KPI_Catalog" sheetId="59" state="veryHidden" r:id="rId29"/>
    <sheet name="Method_Index" sheetId="91" state="veryHidden" r:id="rId30"/>
    <sheet name="Method_Cards" sheetId="92" state="veryHidden" r:id="rId31"/>
    <sheet name="Sheet_Map" sheetId="93" state="veryHidden" r:id="rId32"/>
    <sheet name="FX" sheetId="10" state="veryHidden" r:id="rId33"/>
    <sheet name="Recon" sheetId="11" state="veryHidden" r:id="rId34"/>
    <sheet name="ArchiveLog" sheetId="12" state="veryHidden" r:id="rId35"/>
    <sheet name="SignOff" sheetId="26" state="veryHidden" r:id="rId36"/>
    <sheet name="DecisionRegister" sheetId="27" state="veryHidden" r:id="rId37"/>
    <sheet name="Interface_Contract" sheetId="28" state="veryHidden" r:id="rId38"/>
    <sheet name="Technical_Guide" sheetId="29" state="veryHidden" r:id="rId39"/>
    <sheet name="Admin_Guide" sheetId="55" state="veryHidden" r:id="rId40"/>
    <sheet name="Legend" sheetId="2" state="veryHidden" r:id="rId41"/>
    <sheet name="Changelog" sheetId="3" state="veryHidden" r:id="rId42"/>
    <sheet name="DataModel" sheetId="18" state="veryHidden" r:id="rId43"/>
    <sheet name="DAX_Measures" sheetId="19" state="veryHidden" r:id="rId44"/>
    <sheet name="PivotGuide" sheetId="20" state="veryHidden" r:id="rId45"/>
    <sheet name="AdminConfig" sheetId="30" state="veryHidden" r:id="rId46"/>
    <sheet name="RefreshLog" sheetId="31" state="veryHidden" r:id="rId47"/>
    <sheet name="STG_Refresh" sheetId="13" state="veryHidden" r:id="rId48"/>
    <sheet name="STG_Files" sheetId="14" state="veryHidden" r:id="rId49"/>
    <sheet name="STG_ActiveFact" sheetId="15" state="veryHidden" r:id="rId50"/>
    <sheet name="STG_Summary" sheetId="16" state="veryHidden" r:id="rId51"/>
    <sheet name="STG_Store" sheetId="86" state="veryHidden" r:id="rId52"/>
    <sheet name="STG_DQ" sheetId="17" state="veryHidden" r:id="rId53"/>
    <sheet name="STG_FXFetch" sheetId="32" state="veryHidden" r:id="rId54"/>
    <sheet name="STG_LogExternal" sheetId="33" state="veryHidden" r:id="rId55"/>
    <sheet name="STG_Discovery" sheetId="52" state="veryHidden" r:id="rId56"/>
    <sheet name="Dash_Pivots" sheetId="34" state="veryHidden" r:id="rId57"/>
    <sheet name="ActivityLog" sheetId="35" state="veryHidden" r:id="rId58"/>
    <sheet name="_sh_tblParameters" sheetId="36" state="veryHidden" r:id="rId59"/>
    <sheet name="_sh_tblColumnMap" sheetId="37" state="veryHidden" r:id="rId60"/>
    <sheet name="_sh_tblDimCompany" sheetId="38" state="veryHidden" r:id="rId61"/>
    <sheet name="_sh_tblNilReturn" sheetId="39" state="veryHidden" r:id="rId62"/>
    <sheet name="_sh_tblCurrencyAlias" sheetId="40" state="veryHidden" r:id="rId63"/>
    <sheet name="_sh_tblFXRate" sheetId="41" state="veryHidden" r:id="rId64"/>
    <sheet name="_sh_tblRecon" sheetId="42" state="veryHidden" r:id="rId65"/>
    <sheet name="_sh_tblDecision" sheetId="43" state="veryHidden" r:id="rId66"/>
    <sheet name="_sh_tblControl" sheetId="44" state="veryHidden" r:id="rId67"/>
    <sheet name="_sh_tblArchiveLog" sheetId="45" state="veryHidden" r:id="rId68"/>
    <sheet name="_sh_tblSignOff" sheetId="46" state="veryHidden" r:id="rId69"/>
    <sheet name="_sh_tblSheetPolicy" sheetId="47" state="veryHidden" r:id="rId70"/>
    <sheet name="_sh_tblAuditScope" sheetId="48" state="veryHidden" r:id="rId71"/>
    <sheet name="_sh_tblKPICaveat" sheetId="49" state="veryHidden" r:id="rId72"/>
    <sheet name="_sh_tblRefreshPlan" sheetId="50" state="veryHidden" r:id="rId73"/>
    <sheet name="_sh_tblChangelog" sheetId="51" state="veryHidden" r:id="rId74"/>
    <sheet name="Security" sheetId="53" state="veryHidden" r:id="rId75"/>
    <sheet name="_sh_tblUIText" sheetId="56" state="veryHidden" r:id="rId76"/>
    <sheet name="_sh_DimSegment" sheetId="60" state="veryHidden" r:id="rId77"/>
    <sheet name="_sh_DimPaymentNature" sheetId="61" state="veryHidden" r:id="rId78"/>
    <sheet name="_sh_DimBranch" sheetId="62" state="veryHidden" r:id="rId79"/>
    <sheet name="_sh_DimProduct" sheetId="63" state="veryHidden" r:id="rId80"/>
    <sheet name="_sh_DimChannel" sheetId="64" state="veryHidden" r:id="rId81"/>
    <sheet name="_sh_DimPartner" sheetId="65" state="veryHidden" r:id="rId82"/>
    <sheet name="_sh_DimGeography" sheetId="66" state="veryHidden" r:id="rId83"/>
    <sheet name="_sh_DimCurrency" sheetId="67" state="veryHidden" r:id="rId84"/>
    <sheet name="_sh_DimAgeBand" sheetId="68" state="veryHidden" r:id="rId85"/>
    <sheet name="_sh_BandLag" sheetId="69" state="veryHidden" r:id="rId86"/>
    <sheet name="_sh_BandAmount" sheetId="70" state="veryHidden" r:id="rId87"/>
    <sheet name="_sh_DevMonth" sheetId="71" state="veryHidden" r:id="rId88"/>
    <sheet name="_sh_BandPolicyAge" sheetId="72" state="veryHidden" r:id="rId89"/>
    <sheet name="_sh_AnParam" sheetId="73" state="veryHidden" r:id="rId90"/>
    <sheet name="_sh_tblThreshold" sheetId="74" state="veryHidden" r:id="rId91"/>
    <sheet name="_sh_tblKPI" sheetId="75" state="veryHidden" r:id="rId92"/>
    <sheet name="AN_Calc" sheetId="76" state="veryHidden" r:id="rId93"/>
    <sheet name="_sh_tblStoreSummary" sheetId="87" state="veryHidden" r:id="rId94"/>
  </sheets>
  <functionGroups builtInGroupCount="19"/>
  <definedNames>
    <definedName name="_xlcn.WorksheetConnection_AdminConfigtblUIText1" hidden="1">tblUIText[]</definedName>
    <definedName name="_xlcn.WorksheetConnection_AN_CalctblObsFlag1" hidden="1">tblObsFlag[]</definedName>
    <definedName name="_xlcn.WorksheetConnection_RefDataAnParam1" hidden="1">AnParam[]</definedName>
    <definedName name="_xlcn.WorksheetConnection_RefDataBandAmount1" hidden="1">BandAmount[]</definedName>
    <definedName name="_xlcn.WorksheetConnection_RefDataBandLag1" hidden="1">BandLag[]</definedName>
    <definedName name="_xlcn.WorksheetConnection_RefDataBandPolicyAge1" hidden="1">BandPolicyAge[]</definedName>
    <definedName name="_xlcn.WorksheetConnection_RefDataDevMonth1" hidden="1">DevMonth[]</definedName>
    <definedName name="_xlcn.WorksheetConnection_RefDataDimAgeBand1" hidden="1">DimAgeBand[]</definedName>
    <definedName name="_xlcn.WorksheetConnection_RefDataDimBranch1" hidden="1">DimBranch[]</definedName>
    <definedName name="_xlcn.WorksheetConnection_RefDataDimChannel1" hidden="1">DimChannel[]</definedName>
    <definedName name="_xlcn.WorksheetConnection_RefDataDimCurrency1" hidden="1">DimCurrency[]</definedName>
    <definedName name="_xlcn.WorksheetConnection_RefDataDimGeography1" hidden="1">DimGeography[]</definedName>
    <definedName name="_xlcn.WorksheetConnection_RefDataDimPartner1" hidden="1">DimPartner[]</definedName>
    <definedName name="_xlcn.WorksheetConnection_RefDataDimPaymentNature1" hidden="1">DimPaymentNature[]</definedName>
    <definedName name="_xlcn.WorksheetConnection_RefDataDimProduct1" hidden="1">DimProduct[]</definedName>
    <definedName name="_xlcn.WorksheetConnection_RefDataDimSegment1" hidden="1">DimSegment[]</definedName>
    <definedName name="_xlcn.WorksheetConnection_Threshold_RegistertblThreshold1" hidden="1">tblThreshold[]</definedName>
    <definedName name="anACC_Cases">AN_Calc!$KG$6:$KG$3005</definedName>
    <definedName name="anACC_Loss">AN_Calc!$KF$6:$KF$3005</definedName>
    <definedName name="anACC_Mean">AN_Calc!$KH$6:$KH$3005</definedName>
    <definedName name="anACC_Med">AN_Calc!$KI$6:$KI$3005</definedName>
    <definedName name="anACC_P90">AN_Calc!$KJ$6:$KJ$3005</definedName>
    <definedName name="anACC_Seg">AN_Calc!$KE$6:$KE$3005</definedName>
    <definedName name="anAnom">_xlfn.LAMBDA(_xlpm.co,_xlpm.M,_xlfn.LET(_xlpm.sel,anCM_Comp=_xlpm.co,_xlpm.mk,anCM_MK,_xlpm.seg,_xlfn.XLOOKUP(_xlpm.co,anCM_Comp,anCM_Seg,""),_xlpm.H,anPar("AnomalyHistoryMonths"),_xlpm.vat,_xlfn.LAMBDA(_xlpm.col,_xlpm.mm,IFERROR(INDEX(_xlfn._xlws.FILTER(_xlpm.col,_xlpm.sel*(_xlpm.mk=_xlpm.mm)),1),NA())),_xlpm.hs,_xlfn.LAMBDA(_xlpm.col,_xlpm.a,_xlpm.b,_xlfn._xlws.FILTER(_xlpm.col,_xlpm.sel*(_xlpm.mk&gt;=_xlpm.a)*(_xlpm.mk&lt;=_xlpm.b),"")),_xlpm.nl,IFERROR(_xlpm.vat(anCM_Lines,_xlpm.M),0),_xlpm.nc,IFERROR(_xlpm.vat(anCM_Cases,_xlpm.M),0),_xlpm.pd,_xlpm.vat(anCM_Paid,_xlpm.M),_xlpm.mn,_xlpm.vat(anCM_Mean,_xlpm.M),_xlpm.nh,SUM(_xlpm.sel*(_xlpm.mk&gt;=_xlpm.M-_xlpm.H)*(_xlpm.mk&lt;=_xlpm.M-1)),_xlpm.zP,anZlog(_xlpm.pd,_xlpm.hs(anCM_Paid,_xlpm.M-_xlpm.H,_xlpm.M-1)),_xlpm.zPp,anZlog(_xlpm.vat(anCM_Paid,_xlpm.M-1),_xlpm.hs(anCM_Paid,_xlpm.M-_xlpm.H-1,_xlpm.M-2)),_xlpm.zL,anZlog(_xlpm.nl,_xlpm.hs(anCM_Lines,_xlpm.M-_xlpm.H,_xlpm.M-1)),_xlpm.zLp,anZlog(_xlpm.vat(anCM_Lines,_xlpm.M-1),_xlpm.hs(anCM_Lines,_xlpm.M-_xlpm.H-1,_xlpm.M-2)),_xlpm.zM,anZlog(_xlpm.mn,_xlpm.hs(anCM_Mean,_xlpm.M-_xlpm.H,_xlpm.M-1)),_xlpm.zMp,anZlog(_xlpm.vat(anCM_Mean,_xlpm.M-1),_xlpm.hs(anCM_Mean,_xlpm.M-_xlpm.H-1,_xlpm.M-2)),_xlpm.xr,IFERROR(_xlfn.LET(_xlpm.hz,_xlpm.hs(anCM_Paid,_xlpm.M-_xlpm.H,_xlpm.M-1),_xlpm.l,LN(_xlfn._xlws.FILTER(_xlpm.hz,ISNUMBER(_xlpm.hz)*(_xlpm.hz&gt;0))),_xlpm.cl,AVERAGE(_xlpm.l),_xlpm.sg,AVERAGE(ABS(_xlfn.DROP(_xlpm.l,1)-_xlfn.DROP(_xlpm.l,-1)))/1.128,_xlpm.rr,_xlfn.VSTACK(_xlfn.TAKE(_xlpm.l,-7),LN(_xlpm.pd)),CHOOSE(_xlfn.SEQUENCE(1,4),(LN(_xlpm.pd)-_xlpm.cl)/_xlpm.sg,IF(ROWS(_xlpm.rr)&lt;8,FALSE,OR(AND(_xlpm.rr&gt;_xlpm.cl),AND(_xlpm.rr&lt;_xlpm.cl))),_xlpm.cl,_xlpm.sg)),CHOOSE(_xlfn.SEQUENCE(1,4),NA(),FALSE,NA(),NA())),_xlpm.dv,INDEX(_xlpm.xr,1,1),_xlpm.cu,IF(IFERROR(_xlpm.pd,0)&gt;0,IFERROR(_xlfn.LET(_xlpm.bz,_xlpm.hs(anCM_Paid,_xlpm.M-23,_xlpm.M-12),_xlpm.b,LN(_xlfn._xlws.FILTER(_xlpm.bz,ISNUMBER(_xlpm.bz)*(_xlpm.bz&gt;0))),_xlpm.mz,_xlpm.hs(anCM_Paid,_xlpm.M-11,_xlpm.M),_xlpm.mo,LN(_xlfn._xlws.FILTER(_xlpm.mz,ISNUMBER(_xlpm.mz)*(_xlpm.mz&gt;0))),_xlpm.mu,AVERAGE(_xlpm.b),_xlpm.sg,AVERAGE(ABS(_xlfn.DROP(_xlpm.b,1)-_xlfn.DROP(_xlpm.b,-1)))/1.128,_xlpm.k,anPar("CusumK"),_xlpm.z,(_xlpm.mo-_xlpm.mu)/_xlpm.sg,MAX(_xlfn.TAKE(_xlfn.SCAN(0,_xlpm.z,_xlfn.LAMBDA(_xlpm.a,_xlpm.v,MAX(0,_xlpm.a+_xlpm.v-_xlpm.k))),-1),_xlfn.TAKE(_xlfn.SCAN(0,_xlpm.z,_xlfn.LAMBDA(_xlpm.a,_xlpm.v,MAX(0,_xlpm.a-_xlpm.v-_xlpm.k))),-1))),NA()),NA()),_xlpm.shz,_xlfn.LAMBDA(_xlpm.num,_xlpm.mm,_xlfn.LET(_xlpm.nn,IFERROR(_xlpm.vat(anCM_Lines,_xlpm.mm),0),_xlpm.x,IFERROR(_xlpm.vat(_xlpm.num,_xlpm.mm)/_xlpm.nn,NA()),_xlpm.rz,_xlpm.hs(_xlpm.num,_xlpm.mm-_xlpm.H,_xlpm.mm-1),_xlpm.lz,_xlpm.hs(anCM_Lines,_xlpm.mm-_xlpm.H,_xlpm.mm-1),_xlpm.hq,IFERROR(_xlfn._xlws.FILTER(_xlpm.rz/_xlpm.lz,ISNUMBER(_xlpm.lz)*(_xlpm.lz&gt;0)),""),CHOOSE(_xlfn.SEQUENCE(1,2),_xlpm.x,anZsh(_xlpm.x,_xlpm.hq,_xlpm.nn)))),_xlpm.rnd,_xlpm.shz(anCM_Round,_xlpm.M),_xlpm.rndp,_xlpm.shz(anCM_Round,_xlpm.M-1),_xlpm.dys,_xlpm.shz(anCM_Wkd+anCM_Mend,_xlpm.M),_xlpm.dysp,_xlpm.shz(anCM_Wkd+anCM_Mend,_xlpm.M-1),_xlpm.dsel,(anDIG_Comp=_xlpm.co)*(anDIG_MK=_xlpm.M),_xlpm.bf,IFERROR(_xlfn.LET(_xlpm.dg,_xlfn._xlws.FILTER(anDIG_Digit,_xlpm.dsel),_xlpm.dl,_xlfn._xlws.FILTER(anDIG_Lines,_xlpm.dsel),_xlpm.cnt,_xlfn.MAP(_xlfn.SEQUENCE(9),_xlfn.LAMBDA(_xlpm.d,SUM(_xlfn._xlws.FILTER(_xlpm.dl,_xlpm.dg=_xlpm.d,0)))),_xlpm.n,SUM(_xlpm.cnt),_xlpm.e,LOG10(1+1/_xlfn.SEQUENCE(9)),_xlpm.p,_xlpm.cnt/_xlpm.n,CHOOSE(_xlfn.SEQUENCE(1,3),AVERAGE(ABS(_xlpm.p-_xlpm.e)),_xlpm.n*SUM((_xlpm.p-_xlpm.e)^2/_xlpm.e),_xlpm.n)),CHOOSE(_xlfn.SEQUENCE(1,3),NA(),NA(),0)),_xlpm.ps,IFERROR(_xlfn.LET(_xlpm.ns,anCMN_Comp=_xlpm.co,_xlpm.nm,anCMN_MK,_xlpm.cur,_xlfn._xlws.FILTER(_xlfn.HSTACK(anCMN_Nature,anCMN_Lines),_xlpm.ns*(_xlpm.nm=_xlpm.M)),_xlpm.bas,_xlfn._xlws.FILTER(_xlfn.HSTACK(anCMN_Nature,anCMN_Lines),_xlpm.ns*(_xlpm.nm&gt;=_xlpm.M-12)*(_xlpm.nm&lt;=_xlpm.M-1)),_xlpm.nats,_xlfn.UNIQUE(_xlfn.VSTACK(INDEX(_xlpm.cur,,1),INDEX(_xlpm.bas,,1))),_xlpm.ca,_xlfn.MAP(_xlpm.nats,_xlfn.LAMBDA(_xlpm.x,SUM(_xlfn._xlws.FILTER(INDEX(_xlpm.cur,,2),INDEX(_xlpm.cur,,1)=_xlpm.x,0)))),_xlpm.cb,_xlfn.MAP(_xlpm.nats,_xlfn.LAMBDA(_xlpm.x,SUM(_xlfn._xlws.FILTER(INDEX(_xlpm.bas,,2),INDEX(_xlpm.bas,,1)=_xlpm.x,0)))),_xlpm.a,IF(_xlpm.ca/SUM(_xlpm.ca)&lt;0.0001,0.0001,_xlpm.ca/SUM(_xlpm.ca)),_xlpm.e,IF(_xlpm.cb/SUM(_xlpm.cb)&lt;0.0001,0.0001,_xlpm.cb/SUM(_xlpm.cb)),CHOOSE(_xlfn.SEQUENCE(1,2),SUM((_xlpm.a-_xlpm.e)*LN(_xlpm.a/_xlpm.e)),ROWS(_xlfn.UNIQUE(_xlfn._xlws.FILTER(_xlpm.nm,_xlpm.ns*(_xlpm.nm&gt;=_xlpm.M-12)*(_xlpm.nm&lt;=_xlpm.M-1)))))),CHOOSE(_xlfn.SEQUENCE(1,2),NA(),0)),CHOOSE(_xlfn.SEQUENCE(1,30),_xlpm.co,_xlpm.seg,_xlpm.nl,_xlpm.nc,IFERROR(_xlpm.pd,NA()),_xlpm.zP,anSt("TH13",_xlpm.zP,_xlpm.zPp,2,anOk("TH13",_xlpm.nl,_xlpm.nh)),_xlpm.zL,anSt("TH14",_xlpm.zL,_xlpm.zLp,2,anOk("TH14",_xlpm.nl,_xlpm.nh)),_xlpm.zM,anSt("TH15",_xlpm.zM,_xlpm.zMp,2,anOk("TH15",_xlpm.nc,_xlpm.nh)),_xlpm.dv,_xlfn.LET(_xlpm.sx,anSfx("TH08"),IF(NOT(AND(ISNUMBER(_xlpm.dv),anOk("TH08",_xlpm.nl,_xlpm.nh))),"INSUFFICIENT DATA",IF(ABS(_xlpm.dv)&gt;=anThr("TH08",tblThreshold[AlertLevel]),"ALERT"&amp;_xlpm.sx,IF(INDEX(_xlpm.xr,1,2),"WATCH"&amp;_xlpm.sx,"OK"&amp;IF(_xlpm.sx="*","*",""))))),_xlpm.cu,anSt("TH09",_xlpm.cu,NA(),1,anOk("TH09",_xlpm.nl,_xlpm.nh)),INDEX(_xlpm.rnd,1,1),INDEX(_xlpm.rnd,1,2),anSt("TH16",INDEX(_xlpm.rnd,1,2),INDEX(_xlpm.rndp,1,2),1,anOk("TH16",_xlpm.nl,_xlpm.nh)),INDEX(_xlpm.dys,1,1),INDEX(_xlpm.dys,1,2),anSt("TH17",INDEX(_xlpm.dys,1,2),INDEX(_xlpm.dysp,1,2),1,anOk("TH17",_xlpm.nl,_xlpm.nh)),INDEX(_xlpm.bf,1,1),INDEX(_xlpm.bf,1,2),anSt("TH10",INDEX(_xlpm.bf,1,1),NA(),1,anOk("TH10",INDEX(_xlpm.bf,1,3),99)),INDEX(_xlpm.ps,1,1),anSt("TH11",INDEX(_xlpm.ps,1,1),NA(),1,anOk("TH11",_xlpm.nl,INDEX(_xlpm.ps,1,2))),_xlpm.nh,INDEX(_xlpm.bf,1,3),INDEX(_xlpm.xr,1,3),INDEX(_xlpm.xr,1,4))))</definedName>
    <definedName name="anBAND_Band">AN_Calc!$DJ$6:$DJ$105</definedName>
    <definedName name="anBAND_C2P">AN_Calc!$DN$6:$DN$105</definedName>
    <definedName name="anBAND_D2C">AN_Calc!$DM$6:$DM$105</definedName>
    <definedName name="anBAND_L2N">AN_Calc!$DK$6:$DK$105</definedName>
    <definedName name="anBAND_L2P">AN_Calc!$DP$6:$DP$105</definedName>
    <definedName name="anBAND_N2D">AN_Calc!$DL$6:$DL$105</definedName>
    <definedName name="anBAND_N2P">AN_Calc!$DO$6:$DO$105</definedName>
    <definedName name="anBAND_Seg">AN_Calc!$DI$6:$DI$105</definedName>
    <definedName name="anBANDC_Band">AN_Calc!$JI$6:$JI$105</definedName>
    <definedName name="anBANDC_C2P">AN_Calc!$JM$6:$JM$105</definedName>
    <definedName name="anBANDC_D2C">AN_Calc!$JL$6:$JL$105</definedName>
    <definedName name="anBANDC_L2N">AN_Calc!$JJ$6:$JJ$105</definedName>
    <definedName name="anBANDC_L2P">AN_Calc!$JO$6:$JO$105</definedName>
    <definedName name="anBANDC_N2D">AN_Calc!$JK$6:$JK$105</definedName>
    <definedName name="anBANDC_N2P">AN_Calc!$JN$6:$JN$105</definedName>
    <definedName name="anBANDC_Seg">AN_Calc!$JH$6:$JH$105</definedName>
    <definedName name="anCASE_Case">AN_Calc!$JT$6:$JT$80005</definedName>
    <definedName name="anCASE_Cover">AN_Calc!$JW$6:$JW$80005</definedName>
    <definedName name="anCASE_Ded">AN_Calc!$KA$6:$KA$80005</definedName>
    <definedName name="anCASE_IR">AN_Calc!$JY$6:$JY$80005</definedName>
    <definedName name="anCASE_Net">AN_Calc!$JZ$6:$JZ$80005</definedName>
    <definedName name="anCASE_Paid">AN_Calc!$JU$6:$JU$80005</definedName>
    <definedName name="anCASE_PaidO">AN_Calc!$JV$6:$JV$80005</definedName>
    <definedName name="anCASE_Seg">AN_Calc!$JS$6:$JS$80005</definedName>
    <definedName name="anCASE_SI">AN_Calc!$JX$6:$JX$80005</definedName>
    <definedName name="anCM_Cases">AN_Calc!$NF$6:$NF$3005</definedName>
    <definedName name="anCM_Comp">AN_Calc!$NB$6:$NB$3005</definedName>
    <definedName name="anCM_Lines">AN_Calc!$NE$6:$NE$3005</definedName>
    <definedName name="anCM_Mean">AN_Calc!$NG$6:$NG$3005</definedName>
    <definedName name="anCM_Mend">AN_Calc!$NJ$6:$NJ$3005</definedName>
    <definedName name="anCM_MK">_xlfn.ANCHORARRAY(AN_Calc!$LM$6)</definedName>
    <definedName name="anCM_Paid">AN_Calc!$ND$6:$ND$3005</definedName>
    <definedName name="anCM_Round">AN_Calc!$NH$6:$NH$3005</definedName>
    <definedName name="anCM_Seg">AN_Calc!$NA$6:$NA$3005</definedName>
    <definedName name="anCM_Wkd">AN_Calc!$NI$6:$NI$3005</definedName>
    <definedName name="anCM_YM">AN_Calc!$NC$6:$NC$3005</definedName>
    <definedName name="anCMN_Comp">AN_Calc!$LG$6:$LG$15005</definedName>
    <definedName name="anCMN_Lines">AN_Calc!$LJ$6:$LJ$15005</definedName>
    <definedName name="anCMN_MK">_xlfn.ANCHORARRAY(AN_Calc!$LO$6)</definedName>
    <definedName name="anCMN_Nature">AN_Calc!$LI$6:$LI$15005</definedName>
    <definedName name="anCMN_Seg">AN_Calc!$LF$6:$LF$15005</definedName>
    <definedName name="anCMN_YM">AN_Calc!$LH$6:$LH$15005</definedName>
    <definedName name="anDIG_Comp">AN_Calc!$KZ$6:$KZ$20005</definedName>
    <definedName name="anDIG_Digit">AN_Calc!$LB$6:$LB$20005</definedName>
    <definedName name="anDIG_Lines">AN_Calc!$LC$6:$LC$20005</definedName>
    <definedName name="anDIG_MK">_xlfn.ANCHORARRAY(AN_Calc!$LN$6)</definedName>
    <definedName name="anDIG_Seg">AN_Calc!$KY$6:$KY$20005</definedName>
    <definedName name="anDIG_YM">AN_Calc!$LA$6:$LA$20005</definedName>
    <definedName name="anLAG_C2P_Mean">AN_Calc!$AY$6:$AY$605</definedName>
    <definedName name="anLAG_C2P_N">AN_Calc!$AX$6:$AX$605</definedName>
    <definedName name="anLAG_C2P_P50">AN_Calc!$AZ$6:$AZ$605</definedName>
    <definedName name="anLAG_C2P_P75">AN_Calc!$BA$6:$BA$605</definedName>
    <definedName name="anLAG_C2P_P90">AN_Calc!$BB$6:$BB$605</definedName>
    <definedName name="anLAG_C2P_P95">AN_Calc!$BC$6:$BC$605</definedName>
    <definedName name="anLAG_D2C_Mean">AN_Calc!$AS$6:$AS$605</definedName>
    <definedName name="anLAG_D2C_N">AN_Calc!$AR$6:$AR$605</definedName>
    <definedName name="anLAG_D2C_P50">AN_Calc!$AT$6:$AT$605</definedName>
    <definedName name="anLAG_D2C_P75">AN_Calc!$AU$6:$AU$605</definedName>
    <definedName name="anLAG_D2C_P90">AN_Calc!$AV$6:$AV$605</definedName>
    <definedName name="anLAG_D2C_P95">AN_Calc!$AW$6:$AW$605</definedName>
    <definedName name="anLAG_L2N_Mean">AN_Calc!$AG$6:$AG$605</definedName>
    <definedName name="anLAG_L2N_N">AN_Calc!$AF$6:$AF$605</definedName>
    <definedName name="anLAG_L2N_P50">AN_Calc!$AH$6:$AH$605</definedName>
    <definedName name="anLAG_L2N_P75">AN_Calc!$AI$6:$AI$605</definedName>
    <definedName name="anLAG_L2N_P90">AN_Calc!$AJ$6:$AJ$605</definedName>
    <definedName name="anLAG_L2N_P95">AN_Calc!$AK$6:$AK$605</definedName>
    <definedName name="anLAG_L2P_Mean">AN_Calc!$BK$6:$BK$605</definedName>
    <definedName name="anLAG_L2P_N">AN_Calc!$BJ$6:$BJ$605</definedName>
    <definedName name="anLAG_L2P_P50">AN_Calc!$BL$6:$BL$605</definedName>
    <definedName name="anLAG_L2P_P75">AN_Calc!$BM$6:$BM$605</definedName>
    <definedName name="anLAG_L2P_P90">AN_Calc!$BN$6:$BN$605</definedName>
    <definedName name="anLAG_L2P_P95">AN_Calc!$BO$6:$BO$605</definedName>
    <definedName name="anLAG_N2D_Mean">AN_Calc!$AM$6:$AM$605</definedName>
    <definedName name="anLAG_N2D_N">AN_Calc!$AL$6:$AL$605</definedName>
    <definedName name="anLAG_N2D_P50">AN_Calc!$AN$6:$AN$605</definedName>
    <definedName name="anLAG_N2D_P75">AN_Calc!$AO$6:$AO$605</definedName>
    <definedName name="anLAG_N2D_P90">AN_Calc!$AP$6:$AP$605</definedName>
    <definedName name="anLAG_N2D_P95">AN_Calc!$AQ$6:$AQ$605</definedName>
    <definedName name="anLAG_N2P_Mean">AN_Calc!$BE$6:$BE$605</definedName>
    <definedName name="anLAG_N2P_N">AN_Calc!$BD$6:$BD$605</definedName>
    <definedName name="anLAG_N2P_P50">AN_Calc!$BF$6:$BF$605</definedName>
    <definedName name="anLAG_N2P_P75">AN_Calc!$BG$6:$BG$605</definedName>
    <definedName name="anLAG_N2P_P90">AN_Calc!$BH$6:$BH$605</definedName>
    <definedName name="anLAG_N2P_P95">AN_Calc!$BI$6:$BI$605</definedName>
    <definedName name="anLAG_Seg">AN_Calc!$AD$6:$AD$605</definedName>
    <definedName name="anLAG_SLA_C2P">AN_Calc!$BP$6:$BP$605</definedName>
    <definedName name="anLAG_SLA_L2P">AN_Calc!$BQ$6:$BQ$605</definedName>
    <definedName name="anLAG_YM">AN_Calc!$AE$6:$AE$605</definedName>
    <definedName name="anLAGALL_C2P_Mean">AN_Calc!$CN$6:$CN$25</definedName>
    <definedName name="anLAGALL_C2P_N">AN_Calc!$CM$6:$CM$25</definedName>
    <definedName name="anLAGALL_C2P_P50">AN_Calc!$CO$6:$CO$25</definedName>
    <definedName name="anLAGALL_C2P_P75">AN_Calc!$CP$6:$CP$25</definedName>
    <definedName name="anLAGALL_C2P_P90">AN_Calc!$CQ$6:$CQ$25</definedName>
    <definedName name="anLAGALL_C2P_P95">AN_Calc!$CR$6:$CR$25</definedName>
    <definedName name="anLAGALL_D2C_Mean">AN_Calc!$CH$6:$CH$25</definedName>
    <definedName name="anLAGALL_D2C_N">AN_Calc!$CG$6:$CG$25</definedName>
    <definedName name="anLAGALL_D2C_P50">AN_Calc!$CI$6:$CI$25</definedName>
    <definedName name="anLAGALL_D2C_P75">AN_Calc!$CJ$6:$CJ$25</definedName>
    <definedName name="anLAGALL_D2C_P90">AN_Calc!$CK$6:$CK$25</definedName>
    <definedName name="anLAGALL_D2C_P95">AN_Calc!$CL$6:$CL$25</definedName>
    <definedName name="anLAGALL_L2N_Mean">AN_Calc!$BV$6:$BV$25</definedName>
    <definedName name="anLAGALL_L2N_N">AN_Calc!$BU$6:$BU$25</definedName>
    <definedName name="anLAGALL_L2N_P50">AN_Calc!$BW$6:$BW$25</definedName>
    <definedName name="anLAGALL_L2N_P75">AN_Calc!$BX$6:$BX$25</definedName>
    <definedName name="anLAGALL_L2N_P90">AN_Calc!$BY$6:$BY$25</definedName>
    <definedName name="anLAGALL_L2N_P95">AN_Calc!$BZ$6:$BZ$25</definedName>
    <definedName name="anLAGALL_L2P_Mean">AN_Calc!$CZ$6:$CZ$25</definedName>
    <definedName name="anLAGALL_L2P_N">AN_Calc!$CY$6:$CY$25</definedName>
    <definedName name="anLAGALL_L2P_P50">AN_Calc!$DA$6:$DA$25</definedName>
    <definedName name="anLAGALL_L2P_P75">AN_Calc!$DB$6:$DB$25</definedName>
    <definedName name="anLAGALL_L2P_P90">AN_Calc!$DC$6:$DC$25</definedName>
    <definedName name="anLAGALL_L2P_P95">AN_Calc!$DD$6:$DD$25</definedName>
    <definedName name="anLAGALL_N2D_Mean">AN_Calc!$CB$6:$CB$25</definedName>
    <definedName name="anLAGALL_N2D_N">AN_Calc!$CA$6:$CA$25</definedName>
    <definedName name="anLAGALL_N2D_P50">AN_Calc!$CC$6:$CC$25</definedName>
    <definedName name="anLAGALL_N2D_P75">AN_Calc!$CD$6:$CD$25</definedName>
    <definedName name="anLAGALL_N2D_P90">AN_Calc!$CE$6:$CE$25</definedName>
    <definedName name="anLAGALL_N2D_P95">AN_Calc!$CF$6:$CF$25</definedName>
    <definedName name="anLAGALL_N2P_Mean">AN_Calc!$CT$6:$CT$25</definedName>
    <definedName name="anLAGALL_N2P_N">AN_Calc!$CS$6:$CS$25</definedName>
    <definedName name="anLAGALL_N2P_P50">AN_Calc!$CU$6:$CU$25</definedName>
    <definedName name="anLAGALL_N2P_P75">AN_Calc!$CV$6:$CV$25</definedName>
    <definedName name="anLAGALL_N2P_P90">AN_Calc!$CW$6:$CW$25</definedName>
    <definedName name="anLAGALL_N2P_P95">AN_Calc!$CX$6:$CX$25</definedName>
    <definedName name="anLAGALL_Seg">AN_Calc!$BT$6:$BT$25</definedName>
    <definedName name="anLAGALL_SLA_C2P">AN_Calc!$DE$6:$DE$25</definedName>
    <definedName name="anLAGALL_SLA_L2P">AN_Calc!$DF$6:$DF$25</definedName>
    <definedName name="anLAGALLC_C2P_Mean">AN_Calc!$IL$6:$IL$25</definedName>
    <definedName name="anLAGALLC_C2P_N">AN_Calc!$IK$6:$IK$25</definedName>
    <definedName name="anLAGALLC_C2P_P50">AN_Calc!$IM$6:$IM$25</definedName>
    <definedName name="anLAGALLC_C2P_P75">AN_Calc!$IN$6:$IN$25</definedName>
    <definedName name="anLAGALLC_C2P_P90">AN_Calc!$IO$6:$IO$25</definedName>
    <definedName name="anLAGALLC_C2P_P95">AN_Calc!$IP$6:$IP$25</definedName>
    <definedName name="anLAGALLC_D2C_Mean">AN_Calc!$IF$6:$IF$25</definedName>
    <definedName name="anLAGALLC_D2C_N">AN_Calc!$IE$6:$IE$25</definedName>
    <definedName name="anLAGALLC_D2C_P50">AN_Calc!$IG$6:$IG$25</definedName>
    <definedName name="anLAGALLC_D2C_P75">AN_Calc!$IH$6:$IH$25</definedName>
    <definedName name="anLAGALLC_D2C_P90">AN_Calc!$II$6:$II$25</definedName>
    <definedName name="anLAGALLC_D2C_P95">AN_Calc!$IJ$6:$IJ$25</definedName>
    <definedName name="anLAGALLC_L2N_Mean">AN_Calc!$HT$6:$HT$25</definedName>
    <definedName name="anLAGALLC_L2N_N">AN_Calc!$HS$6:$HS$25</definedName>
    <definedName name="anLAGALLC_L2N_P50">AN_Calc!$HU$6:$HU$25</definedName>
    <definedName name="anLAGALLC_L2N_P75">AN_Calc!$HV$6:$HV$25</definedName>
    <definedName name="anLAGALLC_L2N_P90">AN_Calc!$HW$6:$HW$25</definedName>
    <definedName name="anLAGALLC_L2N_P95">AN_Calc!$HX$6:$HX$25</definedName>
    <definedName name="anLAGALLC_L2P_Mean">AN_Calc!$IX$6:$IX$25</definedName>
    <definedName name="anLAGALLC_L2P_N">AN_Calc!$IW$6:$IW$25</definedName>
    <definedName name="anLAGALLC_L2P_P50">AN_Calc!$IY$6:$IY$25</definedName>
    <definedName name="anLAGALLC_L2P_P75">AN_Calc!$IZ$6:$IZ$25</definedName>
    <definedName name="anLAGALLC_L2P_P90">AN_Calc!$JA$6:$JA$25</definedName>
    <definedName name="anLAGALLC_L2P_P95">AN_Calc!$JB$6:$JB$25</definedName>
    <definedName name="anLAGALLC_N2D_Mean">AN_Calc!$HZ$6:$HZ$25</definedName>
    <definedName name="anLAGALLC_N2D_N">AN_Calc!$HY$6:$HY$25</definedName>
    <definedName name="anLAGALLC_N2D_P50">AN_Calc!$IA$6:$IA$25</definedName>
    <definedName name="anLAGALLC_N2D_P75">AN_Calc!$IB$6:$IB$25</definedName>
    <definedName name="anLAGALLC_N2D_P90">AN_Calc!$IC$6:$IC$25</definedName>
    <definedName name="anLAGALLC_N2D_P95">AN_Calc!$ID$6:$ID$25</definedName>
    <definedName name="anLAGALLC_N2P_Mean">AN_Calc!$IR$6:$IR$25</definedName>
    <definedName name="anLAGALLC_N2P_N">AN_Calc!$IQ$6:$IQ$25</definedName>
    <definedName name="anLAGALLC_N2P_P50">AN_Calc!$IS$6:$IS$25</definedName>
    <definedName name="anLAGALLC_N2P_P75">AN_Calc!$IT$6:$IT$25</definedName>
    <definedName name="anLAGALLC_N2P_P90">AN_Calc!$IU$6:$IU$25</definedName>
    <definedName name="anLAGALLC_N2P_P95">AN_Calc!$IV$6:$IV$25</definedName>
    <definedName name="anLAGALLC_Seg">AN_Calc!$HR$6:$HR$25</definedName>
    <definedName name="anLAGALLC_SLA_C2P">AN_Calc!$JC$6:$JC$25</definedName>
    <definedName name="anLAGALLC_SLA_L2P">AN_Calc!$JD$6:$JD$25</definedName>
    <definedName name="anLAGC_C2P_Mean">AN_Calc!$GV$6:$GV$605</definedName>
    <definedName name="anLAGC_C2P_N">AN_Calc!$GU$6:$GU$605</definedName>
    <definedName name="anLAGC_C2P_P50">AN_Calc!$GW$6:$GW$605</definedName>
    <definedName name="anLAGC_C2P_P75">AN_Calc!$GX$6:$GX$605</definedName>
    <definedName name="anLAGC_C2P_P90">AN_Calc!$GY$6:$GY$605</definedName>
    <definedName name="anLAGC_C2P_P95">AN_Calc!$GZ$6:$GZ$605</definedName>
    <definedName name="anLAGC_D2C_Mean">AN_Calc!$GP$6:$GP$605</definedName>
    <definedName name="anLAGC_D2C_N">AN_Calc!$GO$6:$GO$605</definedName>
    <definedName name="anLAGC_D2C_P50">AN_Calc!$GQ$6:$GQ$605</definedName>
    <definedName name="anLAGC_D2C_P75">AN_Calc!$GR$6:$GR$605</definedName>
    <definedName name="anLAGC_D2C_P90">AN_Calc!$GS$6:$GS$605</definedName>
    <definedName name="anLAGC_D2C_P95">AN_Calc!$GT$6:$GT$605</definedName>
    <definedName name="anLAGC_L2N_Mean">AN_Calc!$GD$6:$GD$605</definedName>
    <definedName name="anLAGC_L2N_N">AN_Calc!$GC$6:$GC$605</definedName>
    <definedName name="anLAGC_L2N_P50">AN_Calc!$GE$6:$GE$605</definedName>
    <definedName name="anLAGC_L2N_P75">AN_Calc!$GF$6:$GF$605</definedName>
    <definedName name="anLAGC_L2N_P90">AN_Calc!$GG$6:$GG$605</definedName>
    <definedName name="anLAGC_L2N_P95">AN_Calc!$GH$6:$GH$605</definedName>
    <definedName name="anLAGC_L2P_Mean">AN_Calc!$HH$6:$HH$605</definedName>
    <definedName name="anLAGC_L2P_N">AN_Calc!$HG$6:$HG$605</definedName>
    <definedName name="anLAGC_L2P_P50">AN_Calc!$HI$6:$HI$605</definedName>
    <definedName name="anLAGC_L2P_P75">AN_Calc!$HJ$6:$HJ$605</definedName>
    <definedName name="anLAGC_L2P_P90">AN_Calc!$HK$6:$HK$605</definedName>
    <definedName name="anLAGC_L2P_P95">AN_Calc!$HL$6:$HL$605</definedName>
    <definedName name="anLAGC_N2D_Mean">AN_Calc!$GJ$6:$GJ$605</definedName>
    <definedName name="anLAGC_N2D_N">AN_Calc!$GI$6:$GI$605</definedName>
    <definedName name="anLAGC_N2D_P50">AN_Calc!$GK$6:$GK$605</definedName>
    <definedName name="anLAGC_N2D_P75">AN_Calc!$GL$6:$GL$605</definedName>
    <definedName name="anLAGC_N2D_P90">AN_Calc!$GM$6:$GM$605</definedName>
    <definedName name="anLAGC_N2D_P95">AN_Calc!$GN$6:$GN$605</definedName>
    <definedName name="anLAGC_N2P_Mean">AN_Calc!$HB$6:$HB$605</definedName>
    <definedName name="anLAGC_N2P_N">AN_Calc!$HA$6:$HA$605</definedName>
    <definedName name="anLAGC_N2P_P50">AN_Calc!$HC$6:$HC$605</definedName>
    <definedName name="anLAGC_N2P_P75">AN_Calc!$HD$6:$HD$605</definedName>
    <definedName name="anLAGC_N2P_P90">AN_Calc!$HE$6:$HE$605</definedName>
    <definedName name="anLAGC_N2P_P95">AN_Calc!$HF$6:$HF$605</definedName>
    <definedName name="anLAGC_Seg">AN_Calc!$GA$6:$GA$605</definedName>
    <definedName name="anLAGC_SLA_C2P">AN_Calc!$HM$6:$HM$605</definedName>
    <definedName name="anLAGC_SLA_L2P">AN_Calc!$HN$6:$HN$605</definedName>
    <definedName name="anLAGC_YM">AN_Calc!$GB$6:$GB$605</definedName>
    <definedName name="anMK">_xlfn.LAMBDA(_xlpm.ym,IFERROR(--LEFT(_xlpm.ym,4)*12+--RIGHT(_xlpm.ym,2),""))</definedName>
    <definedName name="anMonthList">_xlfn.ANCHORARRAY(AN_Calc!$EB$6)</definedName>
    <definedName name="anMonthsAsc">_xlfn.ANCHORARRAY(AN_Calc!$EC$6)</definedName>
    <definedName name="anNAT_Cases">AN_Calc!$AA$6:$AA$4005</definedName>
    <definedName name="anNAT_Nature">AN_Calc!$X$6:$X$4005</definedName>
    <definedName name="anNAT_Paid">AN_Calc!$Z$6:$Z$4005</definedName>
    <definedName name="anNAT_Reason">AN_Calc!$Y$6:$Y$4005</definedName>
    <definedName name="anNAT_Seg">AN_Calc!$V$6:$V$4005</definedName>
    <definedName name="anNAT_YM">AN_Calc!$W$6:$W$4005</definedName>
    <definedName name="anNum">_xlfn.LAMBDA(_xlpm.x,_xlpm.d,IF(NOT(ISNUMBER(_xlpm.x)),"",_xlfn.LET(_xlpm.rr,ROUND(ABS(_xlpm.x),_xlpm.d),_xlpm.ip,INT(_xlpm.rr),_xlpm.fp,ROUND((_xlpm.rr-_xlpm.ip)*10^_xlpm.d,0),_xlpm.s,_xlpm.ip&amp;"",_xlpm.n,LEN(_xlpm.s),_xlpm.g,MOD(_xlpm.n-1,3)+1,_xlpm.k,QUOTIENT(_xlpm.n-1,3)+1,_xlpm.q,_xlfn.SEQUENCE(_xlpm.k),_xlpm.pt,MID(_xlpm.s,IF(_xlpm.q=1,1,_xlpm.g+1+(_xlpm.q-2)*3),IF(_xlpm.q=1,_xlpm.g,3)),IF(AND(_xlpm.x&lt;0,_xlpm.rr&gt;0),"-","")&amp;_xlfn.TEXTJOIN(".",TRUE,_xlpm.pt)&amp;IF(_xlpm.d&gt;0,","&amp;RIGHT(REPT("0",_xlpm.d)&amp;_xlpm.fp,_xlpm.d),""))))</definedName>
    <definedName name="anoB_D">AN_Anomaly!$CO$8:$CO$16</definedName>
    <definedName name="anoB_E">AN_Anomaly!$CQ$8:$CQ$16</definedName>
    <definedName name="anoB_O">AN_Anomaly!$CP$8:$CP$16</definedName>
    <definedName name="anoC_H">INDEX(_xlfn.ANCHORARRAY(AN_Anomaly!$CM$8),0,1)</definedName>
    <definedName name="anoC_M">INDEX(_xlfn.ANCHORARRAY(AN_Anomaly!$CJ$8),0,1)</definedName>
    <definedName name="anoC_N">INDEX(_xlfn.ANCHORARRAY(AN_Anomaly!$CL$8),0,1)</definedName>
    <definedName name="anoC_P">INDEX(_xlfn.ANCHORARRAY(AN_Anomaly!$CK$8),0,1)</definedName>
    <definedName name="anOk">_xlfn.LAMBDA(_xlpm.id,_xlpm.n,_xlpm.h,AND(IFERROR(N(_xlpm.n),0)&gt;=anThr(_xlpm.id,tblThreshold[MinN]),IFERROR(N(_xlpm.h),0)&gt;=anThr(_xlpm.id,tblThreshold[MinMonths])))</definedName>
    <definedName name="anoX_C">INDEX(_xlfn.ANCHORARRAY(AN_Anomaly!$CE$8),0,1)</definedName>
    <definedName name="anoX_L">INDEX(_xlfn.ANCHORARRAY(AN_Anomaly!$CG$8),0,1)</definedName>
    <definedName name="anoX_M">INDEX(_xlfn.ANCHORARRAY(AN_Anomaly!$CC$8),0,1)</definedName>
    <definedName name="anoX_P">INDEX(_xlfn.ANCHORARRAY(AN_Anomaly!$CD$8),0,1)</definedName>
    <definedName name="anoX_U">INDEX(_xlfn.ANCHORARRAY(AN_Anomaly!$CF$8),0,1)</definedName>
    <definedName name="anPar">_xlfn.LAMBDA(_xlpm.n,_xlfn.XLOOKUP(_xlpm.n,AnParam[Param],AnParam[Value]))</definedName>
    <definedName name="anPct">_xlfn.LAMBDA(_xlpm.x,_xlpm.d,IF(NOT(ISNUMBER(_xlpm.x)),"",IF(ROUND(_xlpm.x*100,_xlpm.d)&lt;0,"-","")&amp;"%"&amp;anNum(ABS(_xlpm.x)*100,_xlpm.d)))</definedName>
    <definedName name="anPctS">_xlfn.LAMBDA(_xlpm.x,_xlpm.d,IF(NOT(ISNUMBER(_xlpm.x)),"",IF(ROUND(_xlpm.x*100,_xlpm.d)&gt;0,"+",IF(ROUND(_xlpm.x*100,_xlpm.d)&lt;0,"-",""))&amp;"%"&amp;anNum(ABS(_xlpm.x)*100,_xlpm.d)))</definedName>
    <definedName name="anRank">_xlfn.LAMBDA(_xlpm.s,IF(RIGHT(_xlpm.s,1)="*",1.5,IF(LEFT(_xlpm.s,5)="ALERT",4,IF(LEFT(_xlpm.s,5)="WATCH",3,IF(LEFT(_xlpm.s,2)="OK",2,IF(LEFT(_xlpm.s,5)="INSUF",1,0))))))</definedName>
    <definedName name="anSfx">_xlfn.LAMBDA(_xlpm.id,_xlfn.LET(_xlpm.m,anThr(_xlpm.id,tblThreshold[Method]),_xlpm.rs,anThr(_xlpm.id,tblThreshold[Status]),IF(AND(_xlpm.m="FIXED",_xlpm.rs&lt;&gt;"APPROVED"),"*",IF(_xlpm.rs&lt;&gt;"APPROVED"," (draft)",""))))</definedName>
    <definedName name="anSgn">_xlfn.LAMBDA(_xlpm.x,_xlpm.d,IF(NOT(ISNUMBER(_xlpm.x)),"",IF(ROUND(_xlpm.x,_xlpm.d)&gt;0,"+","")&amp;anNum(_xlpm.x,_xlpm.d)))</definedName>
    <definedName name="anSM_Cases">AN_Calc!$L$6:$L$605</definedName>
    <definedName name="anSM_LagP50">AN_Calc!$P$6:$P$605</definedName>
    <definedName name="anSM_Lines">AN_Calc!$M$6:$M$605</definedName>
    <definedName name="anSM_Mean">AN_Calc!$N$6:$N$605</definedName>
    <definedName name="anSM_MoM">AN_Calc!$E$6:$E$605</definedName>
    <definedName name="anSM_Net">AN_Calc!$S$6:$S$605</definedName>
    <definedName name="anSM_P90">AN_Calc!$O$6:$O$605</definedName>
    <definedName name="anSM_Paid">AN_Calc!$C$6:$C$605</definedName>
    <definedName name="anSM_PartShare">AN_Calc!$R$6:$R$605</definedName>
    <definedName name="anSM_PM">AN_Calc!$D$6:$D$605</definedName>
    <definedName name="anSM_PY">AN_Calc!$F$6:$F$605</definedName>
    <definedName name="anSM_R12">AN_Calc!$K$6:$K$605</definedName>
    <definedName name="anSM_R3">AN_Calc!$I$6:$I$605</definedName>
    <definedName name="anSM_R6">AN_Calc!$J$6:$J$605</definedName>
    <definedName name="anSM_Seg">AN_Calc!$A$6:$A$605</definedName>
    <definedName name="anSM_SLA">AN_Calc!$Q$6:$Q$605</definedName>
    <definedName name="anSM_YM">AN_Calc!$B$6:$B$605</definedName>
    <definedName name="anSM_YoY">AN_Calc!$G$6:$G$605</definedName>
    <definedName name="anSM_YTD">AN_Calc!$H$6:$H$605</definedName>
    <definedName name="anSt">_xlfn.LAMBDA(_xlpm.id,_xlpm.v,_xlpm.vp,_xlpm.side,_xlpm.ok,_xlfn.LET(_xlpm.wl,anThr(_xlpm.id,tblThreshold[WatchLevel]),_xlpm.al,anThr(_xlpm.id,tblThreshold[AlertLevel]),_xlpm.per,IF(ISNUMBER(SEARCH("WATCH: 2",anThr(_xlpm.id,tblThreshold[Persistence]))),2,1),_xlpm.sx,anSfx(_xlpm.id),IF(OR(NOT(_xlpm.ok),NOT(ISNUMBER(_xlpm.v))),"INSUFFICIENT DATA",_xlfn.LET(_xlpm.a,IF(_xlpm.side=1,_xlpm.v,ABS(_xlpm.v)),_xlpm.ap,IF(ISNUMBER(_xlpm.vp),IF(_xlpm.side=1,_xlpm.vp,ABS(_xlpm.vp)),-1E+99),IF(_xlpm.a&gt;=_xlpm.al,"ALERT"&amp;_xlpm.sx,IF(AND(_xlpm.a&gt;=_xlpm.wl,OR(_xlpm.per=1,_xlpm.ap&gt;=_xlpm.wl)),"WATCH"&amp;_xlpm.sx,"OK"&amp;IF(_xlpm.sx="*","*","")))))))</definedName>
    <definedName name="anThr">_xlfn.LAMBDA(_xlpm.id,_xlpm.col,_xlfn.XLOOKUP(_xlpm.id,tblThreshold[ThresholdID],_xlpm.col,""))</definedName>
    <definedName name="anTRI_Comp">AN_Calc!$DU$6:$DU$6005</definedName>
    <definedName name="anTRI_Dev">AN_Calc!$DW$6:$DW$6005</definedName>
    <definedName name="anTRI_Lines">AN_Calc!$DY$6:$DY$6005</definedName>
    <definedName name="anTRI_Loss">AN_Calc!$DV$6:$DV$6005</definedName>
    <definedName name="anTRI_Paid">AN_Calc!$DX$6:$DX$6005</definedName>
    <definedName name="anTRI_Seg">AN_Calc!$DT$6:$DT$6005</definedName>
    <definedName name="anYMk">_xlfn.LAMBDA(_xlpm.k,INT((_xlpm.k-1)/12)&amp;"-"&amp;RIGHT("0"&amp;(MOD(_xlpm.k-1,12)+1),2))</definedName>
    <definedName name="anZlog">_xlfn.LAMBDA(_xlpm.x,_xlpm.h,IFERROR(_xlfn.LET(_xlpm.hh,_xlfn._xlws.FILTER(_xlpm.h,ISNUMBER(_xlpm.h)*(_xlpm.h&gt;0)),_xlpm.lh,LN(_xlpm.hh),_xlpm.md,MEDIAN(_xlpm.lh),_xlpm.sg,1.4826*MEDIAN(ABS(_xlpm.lh-_xlpm.md)),IF(OR(_xlpm.x&lt;=0,_xlpm.sg=0),NA(),(LN(_xlpm.x)-_xlpm.md)/_xlpm.sg)),NA()))</definedName>
    <definedName name="anZsh">_xlfn.LAMBDA(_xlpm.x,_xlpm.h,_xlpm.n,IFERROR(_xlfn.LET(_xlpm.hh,_xlfn._xlws.FILTER(_xlpm.h,ISNUMBER(_xlpm.h)),_xlpm.md,MEDIAN(_xlpm.hh),_xlpm.p,MAX(_xlpm.md,0.5/_xlpm.n),_xlpm.se,SQRT(_xlpm.p*(1-_xlpm.p)/_xlpm.n),_xlpm.sg,MAX(1.4826*MEDIAN(ABS(_xlpm.hh-_xlpm.md)),_xlpm.se),(_xlpm.x-_xlpm.md)/_xlpm.sg),NA()))</definedName>
    <definedName name="archChainCheckedAt">ArchiveLog!$X$4</definedName>
    <definedName name="archChainStatus">ArchiveLog!$X$3</definedName>
    <definedName name="archStoreStatus">ArchiveLog!$AD$3</definedName>
    <definedName name="btA">INDEX(_xlfn.ANCHORARRAY(AN_Backtest!$DA$12),0,2)</definedName>
    <definedName name="btF">INDEX(_xlfn.ANCHORARRAY(AN_Backtest!$DA$12),0,3)</definedName>
    <definedName name="btL">INDEX(_xlfn.ANCHORARRAY(AN_Backtest!$DA$12),0,4)</definedName>
    <definedName name="btU">INDEX(_xlfn.ANCHORARRAY(AN_Backtest!$DA$12),0,5)</definedName>
    <definedName name="btX">INDEX(_xlfn.ANCHORARRAY(AN_Backtest!$DA$12),0,1)</definedName>
    <definedName name="cmChrono">_xlfn.ANCHORARRAY(ControlPanel!$L$56)</definedName>
    <definedName name="cmCompany">_xlfn.ANCHORARRAY(ControlPanel!$B$56)</definedName>
    <definedName name="cmCompleteness">_xlfn.ANCHORARRAY(ControlPanel!$T$54)</definedName>
    <definedName name="cmDictHealth">ColumnMap!$P$16</definedName>
    <definedName name="cmDQ">_xlfn.ANCHORARRAY(ControlPanel!$P$54)</definedName>
    <definedName name="cmDup">_xlfn.ANCHORARRAY(ControlPanel!$M$56)</definedName>
    <definedName name="cmExpected">_xlfn.ANCHORARRAY(ControlPanel!$D$56)</definedName>
    <definedName name="cmFiles">_xlfn.ANCHORARRAY(ControlPanel!$E$56)</definedName>
    <definedName name="cmFindings">_xlfn.ANCHORARRAY(ControlPanel!$J$56)</definedName>
    <definedName name="cmGrossTRY">_xlfn.ANCHORARRAY(ControlPanel!$H$56)</definedName>
    <definedName name="cmLines">_xlfn.ANCHORARRAY(ControlPanel!$G$56)</definedName>
    <definedName name="cmMissFX">_xlfn.ANCHORARRAY(ControlPanel!$N$56)</definedName>
    <definedName name="cmMonths">_xlfn.ANCHORARRAY(ControlPanel!$T$53)</definedName>
    <definedName name="cmName">_xlfn.ANCHORARRAY(ControlPanel!$C$56)</definedName>
    <definedName name="cmNil">_xlfn.ANCHORARRAY(ControlPanel!$F$56)</definedName>
    <definedName name="cmOOP">_xlfn.ANCHORARRAY(ControlPanel!$O$56)</definedName>
    <definedName name="cmOutliers">_xlfn.ANCHORARRAY(ControlPanel!$Q$54)</definedName>
    <definedName name="cmRecon">_xlfn.ANCHORARRAY(ControlPanel!$K$56)</definedName>
    <definedName name="cmStatus">_xlfn.ANCHORARRAY(ControlPanel!$I$56)</definedName>
    <definedName name="cpAbsTol">ControlPanel!$D$11</definedName>
    <definedName name="cpActivePeriod">ControlPanel!$D$5</definedName>
    <definedName name="cpAdvisoryCount">ControlPanel!$I$13</definedName>
    <definedName name="cpArchiveStart">ControlPanel!$D$7</definedName>
    <definedName name="cpCloseGate">ControlPanel!$I$8</definedName>
    <definedName name="cpDimEndYear">ControlPanel!$D$14</definedName>
    <definedName name="cpDimStartYear">ControlPanel!$D$13</definedName>
    <definedName name="cpFXCoveredTo">ControlPanel!$D$17</definedName>
    <definedName name="cpLastLoggedRefresh">ControlPanel!$D$16</definedName>
    <definedName name="cpOverallStatus">ControlPanel!$I$5</definedName>
    <definedName name="cpPlatformHome">ControlPanel!$D$8</definedName>
    <definedName name="cpPrevPeriod">ControlPanel!$D$6</definedName>
    <definedName name="cpReconBasis">ControlPanel!$D$10</definedName>
    <definedName name="cpRelTol">ControlPanel!$D$12</definedName>
    <definedName name="cpReviewCount">ControlPanel!$I$6</definedName>
    <definedName name="cpSourceLocation">ControlPanel!$D$9</definedName>
    <definedName name="cpStagingAt">ControlPanel!$D$15</definedName>
    <definedName name="cpSubmission">ControlPanel!$I$9</definedName>
    <definedName name="cpUnexplained">ControlPanel!$I$7</definedName>
    <definedName name="dashModelCheck">Dashboard!$D$16</definedName>
    <definedName name="DışVeri_1" localSheetId="49" hidden="1">STG_ActiveFact!$A$4:$CE$5</definedName>
    <definedName name="DışVeri_1" localSheetId="52" hidden="1">STG_DQ!$A$4:$I$5</definedName>
    <definedName name="DışVeri_1" localSheetId="48" hidden="1">STG_Files!$A$4:$K$5</definedName>
    <definedName name="DışVeri_1" localSheetId="47" hidden="1">STG_Refresh!$A$4:$F$5</definedName>
    <definedName name="DışVeri_1" localSheetId="50" hidden="1">STG_Summary!$A$4:$P$5</definedName>
    <definedName name="dsF">INDEX(_xlfn.ANCHORARRAY(AN_Dispersion!$DA$12),0,2)</definedName>
    <definedName name="dsS">INDEX(_xlfn.ANCHORARRAY(AN_Dispersion!$DA$12),0,3)</definedName>
    <definedName name="dsX">INDEX(_xlfn.ANCHORARRAY(AN_Dispersion!$DA$12),0,1)</definedName>
    <definedName name="dvCompany">DataView!$B$4</definedName>
    <definedName name="dvCompanyList">_xlfn.ANCHORARRAY(AdminConfig!$Z$5)</definedName>
    <definedName name="dvPeriod">DataView!$B$5</definedName>
    <definedName name="dvPeriodList">_xlfn.ANCHORARRAY(AdminConfig!$AA$5)</definedName>
    <definedName name="exLife_Hi">OFFSET(AN_Exec_Life!$AN$31,1-MAX(1,AN_Exec_Life!$AB$4),0,MAX(1,AN_Exec_Life!$AB$4),1)</definedName>
    <definedName name="exLife_Lo">OFFSET(AN_Exec_Life!$AM$31,1-MAX(1,AN_Exec_Life!$AB$4),0,MAX(1,AN_Exec_Life!$AB$4),1)</definedName>
    <definedName name="exLife_Med">OFFSET(AN_Exec_Life!$AL$31,1-MAX(1,AN_Exec_Life!$AB$4),0,MAX(1,AN_Exec_Life!$AB$4),1)</definedName>
    <definedName name="exLife_Paid">OFFSET(AN_Exec_Life!$AC$31,1-MAX(1,AN_Exec_Life!$AB$4),0,MAX(1,AN_Exec_Life!$AB$4),1)</definedName>
    <definedName name="exLife_X">OFFSET(AN_Exec_Life!$AB$31,1-MAX(1,AN_Exec_Life!$AB$4),0,MAX(1,AN_Exec_Life!$AB$4),1)</definedName>
    <definedName name="exNonlife_Hi">OFFSET(AN_Exec_NonLife!$AN$31,1-MAX(1,AN_Exec_NonLife!$AB$4),0,MAX(1,AN_Exec_NonLife!$AB$4),1)</definedName>
    <definedName name="exNonlife_Lo">OFFSET(AN_Exec_NonLife!$AM$31,1-MAX(1,AN_Exec_NonLife!$AB$4),0,MAX(1,AN_Exec_NonLife!$AB$4),1)</definedName>
    <definedName name="exNonlife_Med">OFFSET(AN_Exec_NonLife!$AL$31,1-MAX(1,AN_Exec_NonLife!$AB$4),0,MAX(1,AN_Exec_NonLife!$AB$4),1)</definedName>
    <definedName name="exNonlife_Paid">OFFSET(AN_Exec_NonLife!$AC$31,1-MAX(1,AN_Exec_NonLife!$AB$4),0,MAX(1,AN_Exec_NonLife!$AB$4),1)</definedName>
    <definedName name="exNonlife_X">OFFSET(AN_Exec_NonLife!$AB$31,1-MAX(1,AN_Exec_NonLife!$AB$4),0,MAX(1,AN_Exec_NonLife!$AB$4),1)</definedName>
    <definedName name="exPension_Hi">OFFSET(AN_Exec_Pension!$AN$31,1-MAX(1,AN_Exec_Pension!$AB$4),0,MAX(1,AN_Exec_Pension!$AB$4),1)</definedName>
    <definedName name="exPension_Lo">OFFSET(AN_Exec_Pension!$AM$31,1-MAX(1,AN_Exec_Pension!$AB$4),0,MAX(1,AN_Exec_Pension!$AB$4),1)</definedName>
    <definedName name="exPension_Med">OFFSET(AN_Exec_Pension!$AL$31,1-MAX(1,AN_Exec_Pension!$AB$4),0,MAX(1,AN_Exec_Pension!$AB$4),1)</definedName>
    <definedName name="exPension_Paid">OFFSET(AN_Exec_Pension!$AC$31,1-MAX(1,AN_Exec_Pension!$AB$4),0,MAX(1,AN_Exec_Pension!$AB$4),1)</definedName>
    <definedName name="exPension_X">OFFSET(AN_Exec_Pension!$AB$31,1-MAX(1,AN_Exec_Pension!$AB$4),0,MAX(1,AN_Exec_Pension!$AB$4),1)</definedName>
    <definedName name="ExternalData_1" localSheetId="20" hidden="1">AN_RawView!$B$24:$BL$25</definedName>
    <definedName name="ExternalData_1" localSheetId="21" hidden="1">DataView!$A$12:$W$13</definedName>
    <definedName name="ExternalData_1" localSheetId="55" hidden="1">STG_Discovery!$A$4:$G$200</definedName>
    <definedName name="ExternalData_1" localSheetId="48" hidden="1">STG_Files!$M$4:$S$5</definedName>
    <definedName name="ExternalData_1" localSheetId="53" hidden="1">STG_FXFetch!$A$4:$G$5</definedName>
    <definedName name="ExternalData_1" localSheetId="54" hidden="1">STG_LogExternal!$A$4:$I$5</definedName>
    <definedName name="ExternalData_1" localSheetId="51" hidden="1">STG_Store!$A$5:$B$6</definedName>
    <definedName name="ExternalData_2" localSheetId="51" hidden="1">STG_Store!$D$5:$I$6</definedName>
    <definedName name="ExternalData_3" localSheetId="51" hidden="1">STG_Store!$K$5:$S$6</definedName>
    <definedName name="ExternalData_4" localSheetId="51" hidden="1">STG_Store!$U$5:$AL$6</definedName>
    <definedName name="ExternalData_5" localSheetId="51" hidden="1">STG_Store!$AN$5:$AT$6</definedName>
    <definedName name="ExternalData_6" localSheetId="51" hidden="1">STG_Store!$AV$5:$BM$6</definedName>
    <definedName name="homeBanner">Home!$B$4</definedName>
    <definedName name="homeNext">Home!$K$23</definedName>
    <definedName name="homeNextSeverity">Home!$L$23</definedName>
    <definedName name="homeSeverity">Home!$L$4</definedName>
    <definedName name="kpiCases">KPI_Check!$D$10</definedName>
    <definedName name="kpiLines">KPI_Check!$D$9</definedName>
    <definedName name="kpiNetTRY">KPI_Check!$D$7</definedName>
    <definedName name="kpiTotalTRY">KPI_Check!$D$6</definedName>
    <definedName name="lagEcdf_C2P">_xlfn.ANCHORARRAY(AN_Lags!$AJ$11)</definedName>
    <definedName name="lagEcdf_D2C">_xlfn.ANCHORARRAY(AN_Lags!$AI$11)</definedName>
    <definedName name="lagEcdf_L2N">_xlfn.ANCHORARRAY(AN_Lags!$AG$11)</definedName>
    <definedName name="lagEcdf_L2P">_xlfn.ANCHORARRAY(AN_Lags!$AL$11)</definedName>
    <definedName name="lagEcdf_N2D">_xlfn.ANCHORARRAY(AN_Lags!$AH$11)</definedName>
    <definedName name="lagEcdf_N2P">_xlfn.ANCHORARRAY(AN_Lags!$AK$11)</definedName>
    <definedName name="lagEcdf_X">_xlfn.ANCHORARRAY(AN_Lags!$AE$11)</definedName>
    <definedName name="lagHist_X">_xlfn.ANCHORARRAY(AN_Lags!$AY$11)</definedName>
    <definedName name="lagHist_Y">_xlfn.ANCHORARRAY(AN_Lags!$AC$11)</definedName>
    <definedName name="lagTr_P50">INDEX(_xlfn.ANCHORARRAY(AN_Lags!$AN$11),,2)</definedName>
    <definedName name="lagTr_P90">INDEX(_xlfn.ANCHORARRAY(AN_Lags!$AN$11),,3)</definedName>
    <definedName name="lagTr_X">INDEX(_xlfn.ANCHORARRAY(AN_Lags!$AN$11),,1)</definedName>
    <definedName name="limCov_X">AN_Limits!$AM$8:$AM$15</definedName>
    <definedName name="limCov_Y">AN_Limits!$AN$8:$AN$15</definedName>
    <definedName name="limIr_X">AN_Limits!$AP$8:$AP$13</definedName>
    <definedName name="limIr_Y">AN_Limits!$AQ$8:$AQ$13</definedName>
    <definedName name="logChainCheckedAt">ActivityLog!$D$3</definedName>
    <definedName name="logChainStatus">ActivityLog!$B$3</definedName>
    <definedName name="lstCompanyType">Legend!$C$76:$C$78</definedName>
    <definedName name="lstCoreContract">Legend!$C$85:$C$93</definedName>
    <definedName name="lstDataType">Legend!$C$62:$C$67</definedName>
    <definedName name="lstDecisionCategory">Legend!$C$106:$C$109</definedName>
    <definedName name="lstDecisionStatus">Legend!$C$112:$C$116</definedName>
    <definedName name="lstFXRateType">Legend!$C$100:$C$103</definedName>
    <definedName name="lstFXSource">Legend!$C$96:$C$97</definedName>
    <definedName name="lstGroup">Legend!$C$69:$C$74</definedName>
    <definedName name="lstReconBasis">Legend!$C$81:$C$82</definedName>
    <definedName name="lstRefreshRole">Legend!$C$124:$C$129</definedName>
    <definedName name="lstRole">Legend!$B$20:$B$23</definedName>
    <definedName name="lstSeverity">Legend!$B$26:$B$27</definedName>
    <definedName name="lstVisibility">Legend!$C$119:$C$121</definedName>
    <definedName name="lstYN">Legend!$C$58:$C$59</definedName>
    <definedName name="navHome">Home!$A$1</definedName>
    <definedName name="navStart">Start!$A$1</definedName>
    <definedName name="_xlnm.Print_Area" localSheetId="15">AN_Anomaly!$A$1:$T$53</definedName>
    <definedName name="_xlnm.Print_Area" localSheetId="17">AN_Backtest!$A$1:$S$44</definedName>
    <definedName name="_xlnm.Print_Area" localSheetId="18">AN_Dispersion!$A$1:$S$52</definedName>
    <definedName name="_xlnm.Print_Area" localSheetId="7">AN_Exec_Life!$A$1:$S$37</definedName>
    <definedName name="_xlnm.Print_Area" localSheetId="9">AN_Exec_NonLife!$A$1:$S$37</definedName>
    <definedName name="_xlnm.Print_Area" localSheetId="8">AN_Exec_Pension!$A$1:$S$37</definedName>
    <definedName name="_xlnm.Print_Area" localSheetId="6">AN_Index!$A$1:$S$34</definedName>
    <definedName name="_xlnm.Print_Area" localSheetId="12">AN_Lags!$A$1:$S$48</definedName>
    <definedName name="_xlnm.Print_Area" localSheetId="14">AN_Limits!$A$1:$S$44</definedName>
    <definedName name="_xlnm.Print_Area" localSheetId="13">AN_Severity!$A$1:$S$48</definedName>
    <definedName name="_xlnm.Print_Area" localSheetId="19">AN_TailFit!$A$1:$S$37</definedName>
    <definedName name="_xlnm.Print_Area" localSheetId="10">AN_Trend!$A$1:$S$53</definedName>
    <definedName name="_xlnm.Print_Area" localSheetId="11">AN_Triangle!$A$1:$AF$58</definedName>
    <definedName name="_xlnm.Print_Area" localSheetId="16">AN_Watchlist!$A$1:$S$55</definedName>
    <definedName name="_xlnm.Print_Area" localSheetId="3">ControlPanel!$A$1:$O$52</definedName>
    <definedName name="_xlnm.Print_Area" localSheetId="4">Dashboard!$A$1:$N$80</definedName>
    <definedName name="_xlnm.Print_Area" localSheetId="30">Method_Cards!$A$1:$K$161</definedName>
    <definedName name="_xlnm.Print_Area" localSheetId="31">Sheet_Map!$A$4:$H$65</definedName>
    <definedName name="_xlnm.Print_Titles" localSheetId="31">Sheet_Map!$4:$4</definedName>
    <definedName name="prmArchiveFilePrefix">INDEX(tblParameters[Value],MATCH("ArchiveFilePrefix",tblParameters[Parameter],0))</definedName>
    <definedName name="prmControlsFilePrefix">INDEX(tblParameters[Value],MATCH("ControlsFilePrefix",tblParameters[Parameter],0))</definedName>
    <definedName name="prmFileExtension">INDEX(tblParameters[Value],MATCH("FileExtension",tblParameters[Parameter],0))</definedName>
    <definedName name="prmFourEyesRequired">INDEX(tblParameters[Value],MATCH("FourEyesRequired",tblParameters[Parameter],0))</definedName>
    <definedName name="prmFXAutoFetch">INDEX(tblParameters[Value],MATCH("FXAutoFetch",tblParameters[Parameter],0))</definedName>
    <definedName name="prmFXMaxCarryForwardDays">INDEX(tblParameters[Value],MATCH("FXMaxCarryForwardDays",tblParameters[Parameter],0))</definedName>
    <definedName name="prmFXSource">INDEX(tblParameters[Value],MATCH("FXSource",tblParameters[Parameter],0))</definedName>
    <definedName name="prmOutlierThresholdTRY">INDEX(tblParameters[Value],MATCH("OutlierThresholdTRY",tblParameters[Parameter],0))</definedName>
    <definedName name="prmPlatformHomePath">INDEX(tblParameters[Value],MATCH("PlatformHomePath",tblParameters[Parameter],0))</definedName>
    <definedName name="prmPlatformVersion">INDEX(tblParameters[Value],MATCH("PlatformVersion",tblParameters[Parameter],0))</definedName>
    <definedName name="prmSetupCompletedBy">INDEX(tblParameters[Value],MATCH("SetupCompletedBy",tblParameters[Parameter],0))</definedName>
    <definedName name="prmSetupCompletedOn">INDEX(tblParameters[Value],MATCH("SetupCompletedOn",tblParameters[Parameter],0))</definedName>
    <definedName name="prmSourceFolder">INDEX(tblParameters[Value],MATCH("SourceFolder",tblParameters[Parameter],0))</definedName>
    <definedName name="rdChecksum">RefData!$K$1</definedName>
    <definedName name="rdChecksumAtRefresh">RefData!$K$2</definedName>
    <definedName name="rdRefreshedBy">RefData!$L$2</definedName>
    <definedName name="rdRefreshedOn">RefData!$L$1</definedName>
    <definedName name="rfSig_DimCompany" hidden="1">"d43dd76e4b9494afe0e81c70459a573aa4804f748f2dd05ce1257aef176c9528"</definedName>
    <definedName name="rfSig_DimDate" hidden="1">"92fdc71de860e4d3e6e29863850b546b9a13f2abac08fc6d1861c6e1892f606d"</definedName>
    <definedName name="rfSig_DimFXRate" hidden="1">"52c22c86c1bc52c475a3b46ce47b85ecfadb7b1ab959cd3b49a9a7ea3f036651"</definedName>
    <definedName name="rvCase">AN_RawView!$N$5</definedName>
    <definedName name="rvCompanies">AN_RawView!$C$5</definedName>
    <definedName name="rvFrom">AN_RawView!$G$5</definedName>
    <definedName name="rvNature">AN_RawView!$K$5</definedName>
    <definedName name="rvTo">AN_RawView!$I$5</definedName>
    <definedName name="secIntegrity">Security!$AM$18</definedName>
    <definedName name="secSheetKey">Security!$AM$19</definedName>
    <definedName name="sesCanDo">Security!$AM$14</definedName>
    <definedName name="sesCanSetup">Security!$AM$10</definedName>
    <definedName name="sesCode">Security!$AM$11</definedName>
    <definedName name="sesIsAdmin">Security!$AM$8</definedName>
    <definedName name="sesIsViewer">Security!$AM$9</definedName>
    <definedName name="sesLogon">Security!$AM$5</definedName>
    <definedName name="sesMessage">Security!$AM$13</definedName>
    <definedName name="sesMode">Security!$AM$15</definedName>
    <definedName name="sesOpenedAt">Security!$AM$17</definedName>
    <definedName name="sesRoles">Security!$AM$6</definedName>
    <definedName name="sesRolesLabel">Security!$AM$7</definedName>
    <definedName name="sesSeverity">Security!$AM$12</definedName>
    <definedName name="sesSignedIn">Security!$AM$16</definedName>
    <definedName name="sesUser">Security!$AM$4</definedName>
    <definedName name="sevAcc_Mean">INDEX(_xlfn.ANCHORARRAY(AN_Severity!$AO$8),0,3)</definedName>
    <definedName name="sevAcc_Med">INDEX(_xlfn.ANCHORARRAY(AN_Severity!$AO$8),0,2)</definedName>
    <definedName name="sevAcc_P90">INDEX(_xlfn.ANCHORARRAY(AN_Severity!$AO$8),0,4)</definedName>
    <definedName name="sevAcc_X">INDEX(_xlfn.ANCHORARRAY(AN_Severity!$AO$8),0,1)</definedName>
    <definedName name="sevLor_E">INDEX(_xlfn.ANCHORARRAY(AN_Severity!$AI$8),0,1)</definedName>
    <definedName name="sevLor_X">INDEX(_xlfn.ANCHORARRAY(AN_Severity!$AG$8),0,1)</definedName>
    <definedName name="sevLor_Y">INDEX(_xlfn.ANCHORARRAY(AN_Severity!$AH$8),0,1)</definedName>
    <definedName name="sevMex_X">INDEX(_xlfn.ANCHORARRAY(AN_Severity!$AL$8),0,1)</definedName>
    <definedName name="sevMex_Y">INDEX(_xlfn.ANCHORARRAY(AN_Severity!$AM$8),0,1)</definedName>
    <definedName name="Slicer_CompanyType">#N/A</definedName>
    <definedName name="Slicer_CurrencyCode">#N/A</definedName>
    <definedName name="Slicer_MxCompanyType">#N/A</definedName>
    <definedName name="Slicer_MxCurrencyCode">#N/A</definedName>
    <definedName name="Slicer_MxPeriodStatus">#N/A</definedName>
    <definedName name="Slicer_YearMonth">#N/A</definedName>
    <definedName name="tfH">_xlfn.ANCHORARRAY(AN_TailFit!$AH$12)</definedName>
    <definedName name="tfL">_xlfn.ANCHORARRAY(AN_TailFit!$AL$12)</definedName>
    <definedName name="tfM">_xlfn.ANCHORARRAY(AN_TailFit!$AI$12)</definedName>
    <definedName name="tfP">_xlfn.ANCHORARRAY(AN_TailFit!$AJ$12)</definedName>
    <definedName name="tfU">_xlfn.ANCHORARRAY(AN_TailFit!$AM$12)</definedName>
    <definedName name="tfW">_xlfn.ANCHORARRAY(AN_TailFit!$AK$12)</definedName>
    <definedName name="tfX">_xlfn.ANCHORARRAY(AN_TailFit!$AE$12)</definedName>
    <definedName name="Timeline_Date">#N/A</definedName>
    <definedName name="tr_C_Avg">OFFSET(AN_Trend!$CJ$8,0,0,MAX(1,AN_Trend!$AB$4+IF(AN_Trend!$BL$3,AN_Trend!$BL$4,0)),1)</definedName>
    <definedName name="tr_C_FC">OFFSET(AN_Trend!$CK$8,0,0,MAX(1,AN_Trend!$AB$4+IF(AN_Trend!$BL$3,AN_Trend!$BL$4,0)),1)</definedName>
    <definedName name="tr_C_HI">OFFSET(AN_Trend!$CM$8,0,0,MAX(1,AN_Trend!$AB$4+IF(AN_Trend!$BL$3,AN_Trend!$BL$4,0)),1)</definedName>
    <definedName name="tr_C_LO">OFFSET(AN_Trend!$CL$8,0,0,MAX(1,AN_Trend!$AB$4+IF(AN_Trend!$BL$3,AN_Trend!$BL$4,0)),1)</definedName>
    <definedName name="tr_C_Paid">OFFSET(AN_Trend!$CH$8,0,0,MAX(1,AN_Trend!$AB$4+IF(AN_Trend!$BL$3,AN_Trend!$BL$4,0)),1)</definedName>
    <definedName name="tr_C_PY">OFFSET(AN_Trend!$CI$8,0,0,MAX(1,AN_Trend!$AB$4+IF(AN_Trend!$BL$3,AN_Trend!$BL$4,0)),1)</definedName>
    <definedName name="tr_C_X">OFFSET(AN_Trend!$CG$8,0,0,MAX(1,AN_Trend!$AB$4+IF(AN_Trend!$BL$3,AN_Trend!$BL$4,0)),1)</definedName>
    <definedName name="tr_H_R12">OFFSET(AN_Trend!$CN$8,(IFERROR(MATCH(TRUE,ISNUMBER(AN_Trend!$CN$8:$CN$49),0),1)-1),0,MAX(1,AN_Trend!$AB$4-(IFERROR(MATCH(TRUE,ISNUMBER(AN_Trend!$CN$8:$CN$49),0),1)-1)),1)</definedName>
    <definedName name="tr_H_X">OFFSET(AN_Trend!$CG$8,(IFERROR(MATCH(TRUE,ISNUMBER(AN_Trend!$CN$8:$CN$49),0),1)-1),0,MAX(1,AN_Trend!$AB$4-(IFERROR(MATCH(TRUE,ISNUMBER(AN_Trend!$CN$8:$CN$49),0),1)-1)),1)</definedName>
    <definedName name="tr_H_YoY">OFFSET(AN_Trend!$CO$8,0,0,MAX(1,AN_Trend!$AB$4),1)</definedName>
    <definedName name="triAE_X">INDEX(_xlfn.ANCHORARRAY(AN_Triangle!$ER$15),,1)</definedName>
    <definedName name="triAE_Y">INDEX(_xlfn.ANCHORARRAY(AN_Triangle!$ER$15),,2)</definedName>
    <definedName name="triD">IFERROR(--anTRI_Dev,-1)</definedName>
    <definedName name="triL">IFERROR(--anTRI_Loss,0)</definedName>
    <definedName name="triLR1_X">INDEX(_xlfn.ANCHORARRAY(AN_Triangle!$ET$15),,1)</definedName>
    <definedName name="triLR1_Y">INDEX(_xlfn.ANCHORARRAY(AN_Triangle!$ET$15),,2)</definedName>
    <definedName name="triLR2_X">INDEX(_xlfn.ANCHORARRAY(AN_Triangle!$EV$15),,1)</definedName>
    <definedName name="triLR2_Y">INDEX(_xlfn.ANCHORARRAY(AN_Triangle!$EV$15),,2)</definedName>
    <definedName name="triLR3_X">INDEX(_xlfn.ANCHORARRAY(AN_Triangle!$EX$15),,1)</definedName>
    <definedName name="triLR3_Y">INDEX(_xlfn.ANCHORARRAY(AN_Triangle!$EX$15),,2)</definedName>
    <definedName name="triMask">(anTRI_Seg=AN_Triangle!$AH$2)*IF(AN_Triangle!$AH$3=AN_Triangle!$AH$6,1,(anTRI_Comp=AN_Triangle!$AH$3))</definedName>
    <definedName name="triMx">AN_Triangle!$AH$4</definedName>
    <definedName name="triNone">IFERROR(INDEX(_xlfn.ANCHORARRAY(AN_Triangle!$AJ$15),1)=0,TRUE)</definedName>
    <definedName name="triP">IFERROR(--anTRI_Paid,0)</definedName>
    <definedName name="triRows">_xlfn.ANCHORARRAY(AN_Triangle!$AJ$15)</definedName>
  </definedNames>
  <calcPr calcId="191029"/>
  <pivotCaches>
    <pivotCache cacheId="230" r:id="rId95"/>
    <pivotCache cacheId="233" r:id="rId96"/>
    <pivotCache cacheId="236" r:id="rId97"/>
    <pivotCache cacheId="239" r:id="rId98"/>
    <pivotCache cacheId="242" r:id="rId99"/>
    <pivotCache cacheId="245" r:id="rId100"/>
    <pivotCache cacheId="248" r:id="rId101"/>
    <pivotCache cacheId="251" r:id="rId102"/>
    <pivotCache cacheId="254" r:id="rId103"/>
    <pivotCache cacheId="257" r:id="rId104"/>
    <pivotCache cacheId="260" r:id="rId105"/>
    <pivotCache cacheId="263" r:id="rId106"/>
    <pivotCache cacheId="266" r:id="rId107"/>
    <pivotCache cacheId="269" r:id="rId108"/>
    <pivotCache cacheId="272" r:id="rId109"/>
    <pivotCache cacheId="275" r:id="rId110"/>
    <pivotCache cacheId="279" r:id="rId111"/>
    <pivotCache cacheId="283" r:id="rId112"/>
    <pivotCache cacheId="286" r:id="rId113"/>
    <pivotCache cacheId="289" r:id="rId114"/>
    <pivotCache cacheId="293" r:id="rId115"/>
    <pivotCache cacheId="296" r:id="rId116"/>
  </pivotCaches>
  <extLst>
    <ext xmlns:x14="http://schemas.microsoft.com/office/spreadsheetml/2009/9/main" uri="{876F7934-8845-4945-9796-88D515C7AA90}">
      <x14:pivotCaches>
        <pivotCache cacheId="278" r:id="rId117"/>
        <pivotCache cacheId="282" r:id="rId118"/>
      </x14:pivotCaches>
    </ext>
    <ext xmlns:x14="http://schemas.microsoft.com/office/spreadsheetml/2009/9/main" uri="{BBE1A952-AA13-448e-AADC-164F8A28A991}">
      <x14:slicerCaches>
        <x14:slicerCache r:id="rId119"/>
        <x14:slicerCache r:id="rId120"/>
        <x14:slicerCache r:id="rId121"/>
        <x14:slicerCache r:id="rId122"/>
        <x14:slicerCache r:id="rId123"/>
        <x14:slicerCache r:id="rId124"/>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292" r:id="rId125"/>
      </x15:timelineCachePivotCaches>
    </ext>
    <ext xmlns:x15="http://schemas.microsoft.com/office/spreadsheetml/2010/11/main" uri="{D0CA8CA8-9F24-4464-BF8E-62219DCF47F9}">
      <x15:timelineCacheRefs>
        <x15:timelineCacheRef r:id="rId126"/>
      </x15:timelineCacheRefs>
    </ext>
    <ext xmlns:x15="http://schemas.microsoft.com/office/spreadsheetml/2010/11/main" uri="{FCE2AD5D-F65C-4FA6-A056-5C36A1767C68}">
      <x15:dataModel>
        <x15:modelTables>
          <x15:modelTable id="DimFXRate_6ab03080-c4b1-48a8-875c-04ec580a78be" name="DimFXRate" connection="Query - DimFXRate"/>
          <x15:modelTable id="DimDate_edf5748e-313b-41db-8582-ec9f349e87db" name="DimDate" connection="Query - DimDate"/>
          <x15:modelTable id="DimCompany_f341d2f3-faea-4463-86db-451dd88fb494" name="DimCompany" connection="Query - DimCompany"/>
          <x15:modelTable id="FactPayment_70434d5c-f65e-4efa-a904-9593e4e2004c" name="FactPayment" connection="Query - FactPayment"/>
          <x15:modelTable id="tblThreshold" name="tblThreshold" connection="WorksheetConnection_Threshold_Register!tblThreshold"/>
          <x15:modelTable id="DimSegment" name="DimSegment" connection="WorksheetConnection_RefData!DimSegment"/>
          <x15:modelTable id="DimProduct" name="DimProduct" connection="WorksheetConnection_RefData!DimProduct"/>
          <x15:modelTable id="DimPaymentNature" name="DimPaymentNature" connection="WorksheetConnection_RefData!DimPaymentNature"/>
          <x15:modelTable id="DimPartner" name="DimPartner" connection="WorksheetConnection_RefData!DimPartner"/>
          <x15:modelTable id="DimGeography" name="DimGeography" connection="WorksheetConnection_RefData!DimGeography"/>
          <x15:modelTable id="DimCurrency" name="DimCurrency" connection="WorksheetConnection_RefData!DimCurrency"/>
          <x15:modelTable id="DimChannel" name="DimChannel" connection="WorksheetConnection_RefData!DimChannel"/>
          <x15:modelTable id="DimBranch" name="DimBranch" connection="WorksheetConnection_RefData!DimBranch"/>
          <x15:modelTable id="DimAgeBand" name="DimAgeBand" connection="WorksheetConnection_RefData!DimAgeBand"/>
          <x15:modelTable id="DevMonth" name="DevMonth" connection="WorksheetConnection_RefData!DevMonth"/>
          <x15:modelTable id="BandPolicyAge" name="BandPolicyAge" connection="WorksheetConnection_RefData!BandPolicyAge"/>
          <x15:modelTable id="BandLag" name="BandLag" connection="WorksheetConnection_RefData!BandLag"/>
          <x15:modelTable id="BandAmount" name="BandAmount" connection="WorksheetConnection_RefData!BandAmount"/>
          <x15:modelTable id="AnParam" name="AnParam" connection="WorksheetConnection_RefData!AnParam"/>
          <x15:modelTable id="tblObsFlag" name="tblObsFlag" connection="WorksheetConnection_AN_Calc!tblObsFlag"/>
          <x15:modelTable id="tblUIText" name="tblUIText" connection="WorksheetConnection_AdminConfig!tblUIText"/>
        </x15:modelTables>
        <x15:modelRelationships>
          <x15:modelRelationship fromTable="FactPayment" fromColumn="CompanyID" toTable="DimCompany" toColumn="CompanyID"/>
          <x15:modelRelationship fromTable="FactPayment" fromColumn="FXKey" toTable="DimFXRate" toColumn="FXKey"/>
          <x15:modelRelationship fromTable="FactPayment" fromColumn="LossCause" toTable="DimPaymentNature" toColumn="ReasonCode"/>
          <x15:modelRelationship fromTable="FactPayment" fromColumn="BranchKey" toTable="DimBranch" toColumn="BranchKey"/>
          <x15:modelRelationship fromTable="FactPayment" fromColumn="ProductCode" toTable="DimProduct" toColumn="ProductCode"/>
          <x15:modelRelationship fromTable="FactPayment" fromColumn="SalesChannelCode" toTable="DimChannel" toColumn="SalesChannelCode"/>
          <x15:modelRelationship fromTable="FactPayment" fromColumn="PartnerCode" toTable="DimPartner" toColumn="PartnerCode"/>
          <x15:modelRelationship fromTable="FactPayment" fromColumn="LossProvince" toTable="DimGeography" toColumn="Province"/>
          <x15:modelRelationship fromTable="FactPayment" fromColumn="CurrencyCode" toTable="DimCurrency" toColumn="CurrencyCode"/>
          <x15:modelRelationship fromTable="FactPayment" fromColumn="InsuredAgeBand" toTable="DimAgeBand" toColumn="AgeBand"/>
          <x15:modelRelationship fromTable="FactPayment" fromColumn="SegmentKey" toTable="DimSegment" toColumn="Segment"/>
          <x15:modelRelationship fromTable="FactPayment" fromColumn="PeriodDate" toTable="DimDate" toColumn="Date"/>
          <x15:modelRelationship fromTable="FactPayment" fromColumn="IsFirstPaymentObs" toTable="tblObsFlag" toColumn="Flag"/>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503" i="30" l="1"/>
  <c r="EC6" i="76" a="1"/>
  <c r="EB6" i="76" a="1"/>
  <c r="AV8" i="80" a="1"/>
  <c r="AV8" i="79" a="1"/>
  <c r="AV8" i="78" a="1"/>
  <c r="B33" i="77"/>
  <c r="R31" i="77"/>
  <c r="K31" i="77"/>
  <c r="H31" i="77"/>
  <c r="C31" i="77"/>
  <c r="B31" i="77"/>
  <c r="R30" i="77"/>
  <c r="K30" i="77"/>
  <c r="H30" i="77"/>
  <c r="C30" i="77"/>
  <c r="B30" i="77"/>
  <c r="R29" i="77"/>
  <c r="K29" i="77"/>
  <c r="H29" i="77"/>
  <c r="C29" i="77"/>
  <c r="B29" i="77"/>
  <c r="R28" i="77"/>
  <c r="K28" i="77"/>
  <c r="H28" i="77"/>
  <c r="C28" i="77"/>
  <c r="B28" i="77"/>
  <c r="R27" i="77"/>
  <c r="H27" i="77"/>
  <c r="C27" i="77"/>
  <c r="B27" i="77"/>
  <c r="R26" i="77"/>
  <c r="H26" i="77"/>
  <c r="C26" i="77"/>
  <c r="B26" i="77"/>
  <c r="R25" i="77"/>
  <c r="H25" i="77"/>
  <c r="C25" i="77"/>
  <c r="B25" i="77"/>
  <c r="R24" i="77"/>
  <c r="K24" i="77"/>
  <c r="H24" i="77"/>
  <c r="C24" i="77"/>
  <c r="B24" i="77"/>
  <c r="R23" i="77"/>
  <c r="H23" i="77"/>
  <c r="C23" i="77"/>
  <c r="B23" i="77"/>
  <c r="R22" i="77"/>
  <c r="K22" i="77" a="1"/>
  <c r="H22" i="77"/>
  <c r="C22" i="77"/>
  <c r="B22" i="77"/>
  <c r="R21" i="77"/>
  <c r="K21" i="77" a="1"/>
  <c r="H21" i="77"/>
  <c r="C21" i="77"/>
  <c r="B21" i="77"/>
  <c r="R20" i="77"/>
  <c r="K20" i="77" a="1"/>
  <c r="H20" i="77"/>
  <c r="C20" i="77"/>
  <c r="B20" i="77"/>
  <c r="R19" i="77"/>
  <c r="K19" i="77" a="1"/>
  <c r="H19" i="77"/>
  <c r="C19" i="77"/>
  <c r="B19" i="77"/>
  <c r="R18" i="77"/>
  <c r="H18" i="77"/>
  <c r="C18" i="77"/>
  <c r="B18" i="77"/>
  <c r="R17" i="77"/>
  <c r="H17" i="77"/>
  <c r="C17" i="77"/>
  <c r="B17" i="77"/>
  <c r="R16" i="77"/>
  <c r="K16" i="77" a="1"/>
  <c r="H16" i="77"/>
  <c r="C16" i="77"/>
  <c r="B16" i="77"/>
  <c r="R15" i="77"/>
  <c r="K15" i="77" a="1"/>
  <c r="H15" i="77"/>
  <c r="C15" i="77"/>
  <c r="B15" i="77"/>
  <c r="R14" i="77"/>
  <c r="K14" i="77" a="1"/>
  <c r="H14" i="77"/>
  <c r="C14" i="77"/>
  <c r="B14" i="77"/>
  <c r="R13" i="77"/>
  <c r="K13" i="77"/>
  <c r="J13" i="77"/>
  <c r="H13" i="77"/>
  <c r="C13" i="77"/>
  <c r="B13" i="77"/>
  <c r="B11" i="77" a="1"/>
  <c r="B10" i="77"/>
  <c r="B9" i="77"/>
  <c r="B8" i="77"/>
  <c r="B7" i="77"/>
  <c r="B6" i="77"/>
  <c r="B5" i="77"/>
  <c r="Z3" i="77"/>
  <c r="X3" i="77"/>
  <c r="V3" i="77"/>
  <c r="T3" i="77"/>
  <c r="R3" i="77"/>
  <c r="P3" i="77"/>
  <c r="N3" i="77"/>
  <c r="L3" i="77"/>
  <c r="J3" i="77"/>
  <c r="H3" i="77"/>
  <c r="F3" i="77"/>
  <c r="D3" i="77"/>
  <c r="B3" i="77"/>
  <c r="B2" i="77"/>
  <c r="B1" i="77"/>
  <c r="H5" i="93"/>
  <c r="H6" i="93"/>
  <c r="H7" i="93"/>
  <c r="H8" i="93"/>
  <c r="H9" i="93"/>
  <c r="H10" i="93"/>
  <c r="H11" i="93"/>
  <c r="H12" i="93"/>
  <c r="H13" i="93"/>
  <c r="H14" i="93"/>
  <c r="H15" i="93"/>
  <c r="H16" i="93"/>
  <c r="H17" i="93"/>
  <c r="H18" i="93"/>
  <c r="H19" i="93"/>
  <c r="H20" i="93"/>
  <c r="H21" i="93"/>
  <c r="H22" i="93"/>
  <c r="H23" i="93"/>
  <c r="H24" i="93"/>
  <c r="H25" i="93"/>
  <c r="H26" i="93"/>
  <c r="H27" i="93"/>
  <c r="H28" i="93"/>
  <c r="H29" i="93"/>
  <c r="H30" i="93"/>
  <c r="H31" i="93"/>
  <c r="H32" i="93"/>
  <c r="H33" i="93"/>
  <c r="H34" i="93"/>
  <c r="H35" i="93"/>
  <c r="H36" i="93"/>
  <c r="H37" i="93"/>
  <c r="H38" i="93"/>
  <c r="H39" i="93"/>
  <c r="H40" i="93"/>
  <c r="H41" i="93"/>
  <c r="H42" i="93"/>
  <c r="H43" i="93"/>
  <c r="H44" i="93"/>
  <c r="H45" i="93"/>
  <c r="H46" i="93"/>
  <c r="H47" i="93"/>
  <c r="H48" i="93"/>
  <c r="H49" i="93"/>
  <c r="H50" i="93"/>
  <c r="H51" i="93"/>
  <c r="H52" i="93"/>
  <c r="H53" i="93"/>
  <c r="H54" i="93"/>
  <c r="H55" i="93"/>
  <c r="H56" i="93"/>
  <c r="H57" i="93"/>
  <c r="H58" i="93"/>
  <c r="H59" i="93"/>
  <c r="H60" i="93"/>
  <c r="H61" i="93"/>
  <c r="H62" i="93"/>
  <c r="H63" i="93"/>
  <c r="H64" i="93"/>
  <c r="H65" i="93"/>
  <c r="E5" i="93" a="1"/>
  <c r="E6" i="93" a="1"/>
  <c r="E7" i="93" a="1"/>
  <c r="E8" i="93" a="1"/>
  <c r="E9" i="93" a="1"/>
  <c r="E10" i="93" a="1"/>
  <c r="E11" i="93" a="1"/>
  <c r="E12" i="93" a="1"/>
  <c r="E13" i="93" a="1"/>
  <c r="E14" i="93" a="1"/>
  <c r="E15" i="93" a="1"/>
  <c r="E16" i="93" a="1"/>
  <c r="E17" i="93" a="1"/>
  <c r="E18" i="93" a="1"/>
  <c r="E19" i="93" a="1"/>
  <c r="E20" i="93" a="1"/>
  <c r="E21" i="93" a="1"/>
  <c r="E22" i="93" a="1"/>
  <c r="E23" i="93" a="1"/>
  <c r="E24" i="93" a="1"/>
  <c r="E25" i="93" a="1"/>
  <c r="E26" i="93" a="1"/>
  <c r="E27" i="93" a="1"/>
  <c r="E28" i="93" a="1"/>
  <c r="E29" i="93" a="1"/>
  <c r="E30" i="93" a="1"/>
  <c r="E31" i="93" a="1"/>
  <c r="E32" i="93" a="1"/>
  <c r="E33" i="93" a="1"/>
  <c r="E34" i="93" a="1"/>
  <c r="E35" i="93" a="1"/>
  <c r="E36" i="93" a="1"/>
  <c r="E37" i="93" a="1"/>
  <c r="E38" i="93" a="1"/>
  <c r="E39" i="93" a="1"/>
  <c r="E40" i="93" a="1"/>
  <c r="E41" i="93" a="1"/>
  <c r="E42" i="93" a="1"/>
  <c r="E43" i="93" a="1"/>
  <c r="E44" i="93" a="1"/>
  <c r="E45" i="93" a="1"/>
  <c r="E46" i="93" a="1"/>
  <c r="E47" i="93" a="1"/>
  <c r="E48" i="93" a="1"/>
  <c r="E49" i="93" a="1"/>
  <c r="E50" i="93" a="1"/>
  <c r="E51" i="93" a="1"/>
  <c r="E52" i="93" a="1"/>
  <c r="E53" i="93" a="1"/>
  <c r="E54" i="93" a="1"/>
  <c r="E55" i="93" a="1"/>
  <c r="E56" i="93" a="1"/>
  <c r="E57" i="93" a="1"/>
  <c r="E58" i="93" a="1"/>
  <c r="E59" i="93" a="1"/>
  <c r="E60" i="93" a="1"/>
  <c r="E61" i="93" a="1"/>
  <c r="E62" i="93" a="1"/>
  <c r="E63" i="93" a="1"/>
  <c r="E64" i="93" a="1"/>
  <c r="E65" i="93" a="1"/>
  <c r="D5" i="93" a="1"/>
  <c r="D6" i="93" a="1"/>
  <c r="D7" i="93" a="1"/>
  <c r="D8" i="93" a="1"/>
  <c r="D9" i="93" a="1"/>
  <c r="D10" i="93" a="1"/>
  <c r="D11" i="93" a="1"/>
  <c r="D12" i="93" a="1"/>
  <c r="D13" i="93" a="1"/>
  <c r="D14" i="93" a="1"/>
  <c r="D15" i="93" a="1"/>
  <c r="D16" i="93" a="1"/>
  <c r="D17" i="93" a="1"/>
  <c r="D18" i="93" a="1"/>
  <c r="D19" i="93" a="1"/>
  <c r="D20" i="93" a="1"/>
  <c r="D21" i="93" a="1"/>
  <c r="D22" i="93" a="1"/>
  <c r="D23" i="93" a="1"/>
  <c r="D24" i="93" a="1"/>
  <c r="D25" i="93" a="1"/>
  <c r="D26" i="93" a="1"/>
  <c r="D27" i="93" a="1"/>
  <c r="D28" i="93" a="1"/>
  <c r="D29" i="93" a="1"/>
  <c r="D30" i="93" a="1"/>
  <c r="D31" i="93" a="1"/>
  <c r="D32" i="93" a="1"/>
  <c r="D33" i="93" a="1"/>
  <c r="D34" i="93" a="1"/>
  <c r="D35" i="93" a="1"/>
  <c r="D36" i="93" a="1"/>
  <c r="D37" i="93" a="1"/>
  <c r="D38" i="93" a="1"/>
  <c r="D39" i="93" a="1"/>
  <c r="D40" i="93" a="1"/>
  <c r="D41" i="93" a="1"/>
  <c r="D42" i="93" a="1"/>
  <c r="D43" i="93" a="1"/>
  <c r="D44" i="93" a="1"/>
  <c r="D45" i="93" a="1"/>
  <c r="D46" i="93" a="1"/>
  <c r="D47" i="93" a="1"/>
  <c r="D48" i="93" a="1"/>
  <c r="D49" i="93" a="1"/>
  <c r="D50" i="93" a="1"/>
  <c r="D51" i="93" a="1"/>
  <c r="D52" i="93" a="1"/>
  <c r="D53" i="93" a="1"/>
  <c r="D54" i="93" a="1"/>
  <c r="D55" i="93" a="1"/>
  <c r="D56" i="93" a="1"/>
  <c r="D57" i="93" a="1"/>
  <c r="D58" i="93" a="1"/>
  <c r="D59" i="93" a="1"/>
  <c r="D60" i="93" a="1"/>
  <c r="D61" i="93" a="1"/>
  <c r="D62" i="93" a="1"/>
  <c r="D63" i="93" a="1"/>
  <c r="D64" i="93" a="1"/>
  <c r="D65" i="93" a="1"/>
  <c r="G5" i="91"/>
  <c r="G6" i="91"/>
  <c r="G7" i="91"/>
  <c r="G8" i="91"/>
  <c r="G9" i="91"/>
  <c r="G10" i="91"/>
  <c r="G11" i="91"/>
  <c r="G12" i="91"/>
  <c r="G13" i="91"/>
  <c r="F5" i="91"/>
  <c r="F6" i="91"/>
  <c r="F7" i="91"/>
  <c r="F8" i="91"/>
  <c r="F9" i="91"/>
  <c r="F10" i="91"/>
  <c r="F11" i="91"/>
  <c r="F12" i="91"/>
  <c r="F13" i="91"/>
  <c r="E5" i="91"/>
  <c r="E6" i="91"/>
  <c r="E7" i="91"/>
  <c r="E8" i="91"/>
  <c r="E9" i="91"/>
  <c r="E10" i="91"/>
  <c r="E11" i="91"/>
  <c r="E12" i="91"/>
  <c r="E13" i="91"/>
  <c r="J155" i="92"/>
  <c r="H155" i="92"/>
  <c r="J154" i="92"/>
  <c r="H154" i="92"/>
  <c r="J153" i="92"/>
  <c r="H153" i="92"/>
  <c r="J152" i="92"/>
  <c r="H152" i="92"/>
  <c r="J151" i="92"/>
  <c r="H151" i="92"/>
  <c r="J136" i="92"/>
  <c r="H136" i="92"/>
  <c r="J135" i="92"/>
  <c r="H135" i="92"/>
  <c r="J134" i="92"/>
  <c r="H134" i="92"/>
  <c r="J133" i="92"/>
  <c r="H133" i="92"/>
  <c r="J120" i="92"/>
  <c r="H120" i="92"/>
  <c r="J119" i="92"/>
  <c r="H119" i="92"/>
  <c r="J106" i="92"/>
  <c r="H106" i="92"/>
  <c r="J105" i="92"/>
  <c r="H105" i="92"/>
  <c r="J104" i="92"/>
  <c r="H104" i="92"/>
  <c r="J103" i="92"/>
  <c r="H103" i="92"/>
  <c r="J90" i="92"/>
  <c r="H90" i="92"/>
  <c r="J89" i="92"/>
  <c r="H89" i="92"/>
  <c r="J88" i="92"/>
  <c r="H88" i="92"/>
  <c r="J87" i="92"/>
  <c r="H87" i="92"/>
  <c r="J74" i="92"/>
  <c r="H74" i="92"/>
  <c r="J73" i="92"/>
  <c r="H73" i="92"/>
  <c r="J72" i="92"/>
  <c r="H72" i="92"/>
  <c r="J71" i="92"/>
  <c r="H71" i="92"/>
  <c r="J70" i="92"/>
  <c r="H70" i="92"/>
  <c r="J57" i="92"/>
  <c r="H57" i="92"/>
  <c r="J56" i="92"/>
  <c r="H56" i="92"/>
  <c r="J55" i="92"/>
  <c r="H55" i="92"/>
  <c r="J54" i="92"/>
  <c r="H54" i="92"/>
  <c r="J53" i="92"/>
  <c r="H53" i="92"/>
  <c r="J52" i="92"/>
  <c r="H52" i="92"/>
  <c r="J37" i="92"/>
  <c r="H37" i="92"/>
  <c r="J36" i="92"/>
  <c r="H36" i="92"/>
  <c r="J35" i="92"/>
  <c r="H35" i="92"/>
  <c r="J34" i="92"/>
  <c r="H34" i="92"/>
  <c r="J33" i="92"/>
  <c r="H33" i="92"/>
  <c r="J18" i="92"/>
  <c r="H18" i="92"/>
  <c r="J17" i="92"/>
  <c r="H17" i="92"/>
  <c r="J16" i="92"/>
  <c r="H16" i="92"/>
  <c r="J15" i="92"/>
  <c r="H15" i="92"/>
  <c r="J14" i="92"/>
  <c r="H14" i="92"/>
  <c r="J13" i="92"/>
  <c r="H13" i="92"/>
  <c r="J12" i="92"/>
  <c r="H12" i="92"/>
  <c r="B3" i="92"/>
  <c r="B36" i="96"/>
  <c r="H20" i="96"/>
  <c r="F20" i="96"/>
  <c r="D20" i="96"/>
  <c r="B19" i="96"/>
  <c r="J15" i="96"/>
  <c r="B15" i="96"/>
  <c r="J14" i="96"/>
  <c r="B14" i="96"/>
  <c r="J13" i="96"/>
  <c r="B13" i="96"/>
  <c r="B12" i="96"/>
  <c r="J11" i="96"/>
  <c r="H11" i="96"/>
  <c r="F11" i="96"/>
  <c r="B11" i="96"/>
  <c r="B10" i="96"/>
  <c r="B9" i="96"/>
  <c r="B8" i="96"/>
  <c r="E5" i="96"/>
  <c r="B7" i="96" a="1"/>
  <c r="I5" i="96"/>
  <c r="B4" i="96"/>
  <c r="Z3" i="96"/>
  <c r="X3" i="96"/>
  <c r="V3" i="96"/>
  <c r="T3" i="96"/>
  <c r="R3" i="96"/>
  <c r="P3" i="96"/>
  <c r="N3" i="96"/>
  <c r="L3" i="96"/>
  <c r="J3" i="96"/>
  <c r="H3" i="96"/>
  <c r="F3" i="96"/>
  <c r="D3" i="96"/>
  <c r="B3" i="96"/>
  <c r="BC6" i="96"/>
  <c r="B23" i="96" s="1" a="1"/>
  <c r="BC5" i="96"/>
  <c r="B22" i="96" s="1" a="1"/>
  <c r="BC4" i="96"/>
  <c r="B21" i="96" s="1" a="1"/>
  <c r="AE12" i="96" a="1"/>
  <c r="AB8" i="96"/>
  <c r="AB7" i="96"/>
  <c r="AB6" i="96"/>
  <c r="AB3" i="96"/>
  <c r="AC12" i="96" s="1" a="1"/>
  <c r="B51" i="95"/>
  <c r="S32" i="95"/>
  <c r="Q32" i="95"/>
  <c r="O32" i="95"/>
  <c r="N32" i="95"/>
  <c r="N31" i="95"/>
  <c r="B49" i="95"/>
  <c r="B48" i="95"/>
  <c r="B47" i="95"/>
  <c r="M11" i="95"/>
  <c r="K11" i="95"/>
  <c r="I11" i="95"/>
  <c r="G11" i="95"/>
  <c r="E11" i="95"/>
  <c r="D11" i="95"/>
  <c r="B11" i="95"/>
  <c r="B10" i="95"/>
  <c r="K8" i="95"/>
  <c r="B8" i="95"/>
  <c r="B7" i="95" a="1"/>
  <c r="B4" i="95"/>
  <c r="Z3" i="95"/>
  <c r="X3" i="95"/>
  <c r="V3" i="95"/>
  <c r="T3" i="95"/>
  <c r="R3" i="95"/>
  <c r="P3" i="95"/>
  <c r="N3" i="95"/>
  <c r="L3" i="95"/>
  <c r="J3" i="95"/>
  <c r="H3" i="95"/>
  <c r="F3" i="95"/>
  <c r="D3" i="95"/>
  <c r="B3" i="95"/>
  <c r="AB6" i="95"/>
  <c r="B43" i="94"/>
  <c r="B41" i="94"/>
  <c r="B21" i="94"/>
  <c r="B20" i="94"/>
  <c r="B18" i="94"/>
  <c r="B17" i="94"/>
  <c r="B16" i="94"/>
  <c r="B15" i="94"/>
  <c r="B14" i="94"/>
  <c r="B13" i="94"/>
  <c r="B12" i="94"/>
  <c r="B11" i="94"/>
  <c r="B10" i="94"/>
  <c r="B9" i="94"/>
  <c r="B8" i="94"/>
  <c r="E5" i="94"/>
  <c r="B7" i="94" a="1"/>
  <c r="B4" i="94"/>
  <c r="Z3" i="94"/>
  <c r="X3" i="94"/>
  <c r="V3" i="94"/>
  <c r="T3" i="94"/>
  <c r="R3" i="94"/>
  <c r="P3" i="94"/>
  <c r="N3" i="94"/>
  <c r="L3" i="94"/>
  <c r="J3" i="94"/>
  <c r="H3" i="94"/>
  <c r="F3" i="94"/>
  <c r="D3" i="94"/>
  <c r="B3" i="94"/>
  <c r="AB8" i="94"/>
  <c r="AB7" i="94"/>
  <c r="AB6" i="94"/>
  <c r="AB5" i="94"/>
  <c r="AB3" i="94"/>
  <c r="AC12" i="94" s="1" a="1"/>
  <c r="AF502" i="30"/>
  <c r="AF501" i="30"/>
  <c r="AF500" i="30"/>
  <c r="AF499" i="30"/>
  <c r="AF498" i="30"/>
  <c r="AF497" i="30"/>
  <c r="AF496" i="30"/>
  <c r="AF495" i="30"/>
  <c r="AF494" i="30"/>
  <c r="AF493" i="30"/>
  <c r="AF492" i="30"/>
  <c r="AF491" i="30"/>
  <c r="AF490" i="30"/>
  <c r="AF489" i="30"/>
  <c r="AF488" i="30"/>
  <c r="AF487" i="30"/>
  <c r="AF486" i="30"/>
  <c r="AF485" i="30"/>
  <c r="AF484" i="30"/>
  <c r="AF483" i="30"/>
  <c r="AF482" i="30"/>
  <c r="AF481" i="30"/>
  <c r="AF480" i="30"/>
  <c r="AF479" i="30"/>
  <c r="AF478" i="30"/>
  <c r="AF477" i="30"/>
  <c r="AF476" i="30"/>
  <c r="AF475" i="30"/>
  <c r="AF474" i="30"/>
  <c r="AF473" i="30"/>
  <c r="AF472" i="30"/>
  <c r="AF471" i="30"/>
  <c r="AF470" i="30"/>
  <c r="AF469" i="30"/>
  <c r="AF468" i="30"/>
  <c r="AF467" i="30"/>
  <c r="AF466" i="30"/>
  <c r="AF465" i="30"/>
  <c r="AF464" i="30"/>
  <c r="AF463" i="30"/>
  <c r="AF462" i="30"/>
  <c r="AF461" i="30"/>
  <c r="AF460" i="30"/>
  <c r="AF459" i="30"/>
  <c r="AF458" i="30"/>
  <c r="AF457" i="30"/>
  <c r="AF456" i="30"/>
  <c r="AF455" i="30"/>
  <c r="AF454" i="30"/>
  <c r="AF453" i="30"/>
  <c r="AF452" i="30"/>
  <c r="AF451" i="30"/>
  <c r="AF450" i="30"/>
  <c r="AF449" i="30"/>
  <c r="AF448" i="30"/>
  <c r="AF447" i="30"/>
  <c r="AF446" i="30"/>
  <c r="AF445" i="30"/>
  <c r="AF444" i="30"/>
  <c r="AF443" i="30"/>
  <c r="AF442" i="30"/>
  <c r="AF441" i="30"/>
  <c r="AF440" i="30"/>
  <c r="AF439" i="30"/>
  <c r="AF438" i="30"/>
  <c r="AF437" i="30"/>
  <c r="AF436" i="30"/>
  <c r="AF435" i="30"/>
  <c r="AF434" i="30"/>
  <c r="AF433" i="30"/>
  <c r="AF432" i="30"/>
  <c r="AF431" i="30"/>
  <c r="AF430" i="30"/>
  <c r="AF429" i="30"/>
  <c r="AF428" i="30"/>
  <c r="AF427" i="30"/>
  <c r="AF426" i="30"/>
  <c r="AF425" i="30"/>
  <c r="AF424" i="30"/>
  <c r="AF423" i="30"/>
  <c r="AF422" i="30"/>
  <c r="AF421" i="30"/>
  <c r="AF420" i="30"/>
  <c r="AF419" i="30"/>
  <c r="AF418" i="30"/>
  <c r="AF417" i="30"/>
  <c r="AF416" i="30"/>
  <c r="AB3" i="83"/>
  <c r="B7" i="89" a="1"/>
  <c r="B7" i="88" a="1"/>
  <c r="B7" i="85" a="1"/>
  <c r="B7" i="84" a="1"/>
  <c r="B7" i="83" a="1"/>
  <c r="B7" i="82" a="1"/>
  <c r="B7" i="81" a="1"/>
  <c r="B7" i="80" a="1"/>
  <c r="B7" i="79" a="1"/>
  <c r="B7" i="78" a="1"/>
  <c r="B23" i="90"/>
  <c r="H8" i="90" a="1"/>
  <c r="AD10" i="90" a="1"/>
  <c r="F9" i="90"/>
  <c r="E9" i="90"/>
  <c r="D9" i="90"/>
  <c r="C9" i="90"/>
  <c r="B9" i="90"/>
  <c r="B8" i="90"/>
  <c r="K6" i="90"/>
  <c r="AB4" i="90" a="1"/>
  <c r="M5" i="90"/>
  <c r="J5" i="90"/>
  <c r="H5" i="90"/>
  <c r="F5" i="90"/>
  <c r="B5" i="90"/>
  <c r="B4" i="90"/>
  <c r="B3" i="90"/>
  <c r="B2" i="90"/>
  <c r="B1" i="90"/>
  <c r="F47" i="4" a="1"/>
  <c r="AE3" i="82"/>
  <c r="AC3" i="82"/>
  <c r="AA3" i="82"/>
  <c r="X3" i="82"/>
  <c r="V3" i="82"/>
  <c r="S3" i="82"/>
  <c r="Q3" i="82"/>
  <c r="N3" i="82"/>
  <c r="L3" i="82"/>
  <c r="I3" i="82"/>
  <c r="G3" i="82"/>
  <c r="D3" i="82"/>
  <c r="B3" i="82"/>
  <c r="Z3" i="89"/>
  <c r="X3" i="89"/>
  <c r="V3" i="89"/>
  <c r="T3" i="89"/>
  <c r="R3" i="89"/>
  <c r="P3" i="89"/>
  <c r="N3" i="89"/>
  <c r="L3" i="89"/>
  <c r="J3" i="89"/>
  <c r="H3" i="89"/>
  <c r="F3" i="89"/>
  <c r="D3" i="89"/>
  <c r="B3" i="89"/>
  <c r="Z3" i="88"/>
  <c r="X3" i="88"/>
  <c r="V3" i="88"/>
  <c r="T3" i="88"/>
  <c r="R3" i="88"/>
  <c r="P3" i="88"/>
  <c r="N3" i="88"/>
  <c r="L3" i="88"/>
  <c r="J3" i="88"/>
  <c r="H3" i="88"/>
  <c r="F3" i="88"/>
  <c r="D3" i="88"/>
  <c r="B3" i="88"/>
  <c r="Z3" i="85"/>
  <c r="X3" i="85"/>
  <c r="V3" i="85"/>
  <c r="T3" i="85"/>
  <c r="R3" i="85"/>
  <c r="P3" i="85"/>
  <c r="N3" i="85"/>
  <c r="L3" i="85"/>
  <c r="J3" i="85"/>
  <c r="H3" i="85"/>
  <c r="F3" i="85"/>
  <c r="D3" i="85"/>
  <c r="B3" i="85"/>
  <c r="Z3" i="84"/>
  <c r="X3" i="84"/>
  <c r="V3" i="84"/>
  <c r="T3" i="84"/>
  <c r="R3" i="84"/>
  <c r="P3" i="84"/>
  <c r="N3" i="84"/>
  <c r="L3" i="84"/>
  <c r="J3" i="84"/>
  <c r="H3" i="84"/>
  <c r="F3" i="84"/>
  <c r="D3" i="84"/>
  <c r="B3" i="84"/>
  <c r="Z3" i="83"/>
  <c r="X3" i="83"/>
  <c r="V3" i="83"/>
  <c r="T3" i="83"/>
  <c r="R3" i="83"/>
  <c r="P3" i="83"/>
  <c r="N3" i="83"/>
  <c r="L3" i="83"/>
  <c r="J3" i="83"/>
  <c r="H3" i="83"/>
  <c r="F3" i="83"/>
  <c r="D3" i="83"/>
  <c r="B3" i="83"/>
  <c r="Z3" i="81"/>
  <c r="X3" i="81"/>
  <c r="V3" i="81"/>
  <c r="T3" i="81"/>
  <c r="R3" i="81"/>
  <c r="P3" i="81"/>
  <c r="N3" i="81"/>
  <c r="L3" i="81"/>
  <c r="J3" i="81"/>
  <c r="H3" i="81"/>
  <c r="F3" i="81"/>
  <c r="D3" i="81"/>
  <c r="B3" i="81"/>
  <c r="Z3" i="80"/>
  <c r="X3" i="80"/>
  <c r="V3" i="80"/>
  <c r="T3" i="80"/>
  <c r="R3" i="80"/>
  <c r="P3" i="80"/>
  <c r="N3" i="80"/>
  <c r="L3" i="80"/>
  <c r="J3" i="80"/>
  <c r="H3" i="80"/>
  <c r="F3" i="80"/>
  <c r="D3" i="80"/>
  <c r="B3" i="80"/>
  <c r="Z3" i="79"/>
  <c r="X3" i="79"/>
  <c r="V3" i="79"/>
  <c r="T3" i="79"/>
  <c r="R3" i="79"/>
  <c r="P3" i="79"/>
  <c r="N3" i="79"/>
  <c r="L3" i="79"/>
  <c r="J3" i="79"/>
  <c r="H3" i="79"/>
  <c r="F3" i="79"/>
  <c r="D3" i="79"/>
  <c r="B3" i="79"/>
  <c r="Z3" i="78"/>
  <c r="X3" i="78"/>
  <c r="V3" i="78"/>
  <c r="T3" i="78"/>
  <c r="R3" i="78"/>
  <c r="P3" i="78"/>
  <c r="N3" i="78"/>
  <c r="L3" i="78"/>
  <c r="J3" i="78"/>
  <c r="H3" i="78"/>
  <c r="F3" i="78"/>
  <c r="D3" i="78"/>
  <c r="B3" i="78"/>
  <c r="B54" i="89"/>
  <c r="P12" i="89"/>
  <c r="O12" i="89"/>
  <c r="L12" i="89"/>
  <c r="I12" i="89"/>
  <c r="E12" i="89"/>
  <c r="D12" i="89"/>
  <c r="B12" i="89"/>
  <c r="B9" i="89"/>
  <c r="I5" i="89"/>
  <c r="B4" i="89"/>
  <c r="AB8" i="89" a="1"/>
  <c r="AB5" i="89" a="1"/>
  <c r="B52" i="88"/>
  <c r="FD200" i="76"/>
  <c r="CO8" i="88" a="1"/>
  <c r="CQ8" i="88" s="1" a="1"/>
  <c r="CA6" i="88" a="1"/>
  <c r="CA5" i="88" a="1"/>
  <c r="H32" i="88"/>
  <c r="B33" i="88"/>
  <c r="B32" i="88"/>
  <c r="S10" i="88"/>
  <c r="Q10" i="88"/>
  <c r="O10" i="88"/>
  <c r="M10" i="88"/>
  <c r="K10" i="88"/>
  <c r="I10" i="88"/>
  <c r="G10" i="88"/>
  <c r="E10" i="88"/>
  <c r="C10" i="88"/>
  <c r="B10" i="88"/>
  <c r="B9" i="88"/>
  <c r="I5" i="88"/>
  <c r="B4" i="88"/>
  <c r="AB3" i="88"/>
  <c r="LO6" i="76" a="1"/>
  <c r="LN6" i="76" a="1"/>
  <c r="LM6" i="76" a="1"/>
  <c r="AF415" i="30"/>
  <c r="AH3" i="82"/>
  <c r="AB4" i="95" s="1"/>
  <c r="AB3" i="81"/>
  <c r="AB3" i="85"/>
  <c r="AB3" i="84"/>
  <c r="AT8" i="84" s="1" a="1"/>
  <c r="AL3" i="82"/>
  <c r="AI3" i="82"/>
  <c r="AF414" i="30"/>
  <c r="AF413" i="30"/>
  <c r="AF412" i="30"/>
  <c r="AF411" i="30"/>
  <c r="AF410" i="30"/>
  <c r="AF409" i="30"/>
  <c r="AF408" i="30"/>
  <c r="AF407" i="30"/>
  <c r="AF406" i="30"/>
  <c r="AF405" i="30"/>
  <c r="AF404" i="30"/>
  <c r="AF403" i="30"/>
  <c r="AF402" i="30"/>
  <c r="AF401" i="30"/>
  <c r="AF400" i="30"/>
  <c r="AF399" i="30"/>
  <c r="AF398" i="30"/>
  <c r="AF397" i="30"/>
  <c r="AF396" i="30"/>
  <c r="AF395" i="30"/>
  <c r="AF394" i="30"/>
  <c r="AF393" i="30"/>
  <c r="AF392" i="30"/>
  <c r="AF391" i="30"/>
  <c r="AF390" i="30"/>
  <c r="AF389" i="30"/>
  <c r="AF388" i="30"/>
  <c r="AF387" i="30"/>
  <c r="AF386" i="30"/>
  <c r="AF385" i="30"/>
  <c r="AF384" i="30"/>
  <c r="AF383" i="30"/>
  <c r="AF382" i="30"/>
  <c r="AF381" i="30"/>
  <c r="AF380" i="30"/>
  <c r="AF379" i="30"/>
  <c r="AF378" i="30"/>
  <c r="AF377" i="30"/>
  <c r="AF376" i="30"/>
  <c r="AF375" i="30"/>
  <c r="AF374" i="30"/>
  <c r="AF373" i="30"/>
  <c r="AF372" i="30"/>
  <c r="AF371" i="30"/>
  <c r="AF370" i="30"/>
  <c r="AF369" i="30"/>
  <c r="AF368" i="30"/>
  <c r="AF367" i="30"/>
  <c r="AF366" i="30"/>
  <c r="AF365" i="30"/>
  <c r="AF364" i="30"/>
  <c r="AF363" i="30"/>
  <c r="AF362" i="30"/>
  <c r="AF361" i="30"/>
  <c r="AF360" i="30"/>
  <c r="AF359" i="30"/>
  <c r="AF358" i="30"/>
  <c r="AF357" i="30"/>
  <c r="AF356" i="30"/>
  <c r="AF355" i="30"/>
  <c r="AF354" i="30"/>
  <c r="AF353" i="30"/>
  <c r="AF352" i="30"/>
  <c r="AF351" i="30"/>
  <c r="AF350" i="30"/>
  <c r="AF349" i="30"/>
  <c r="AF348" i="30"/>
  <c r="AF347" i="30"/>
  <c r="AF346" i="30"/>
  <c r="AF345" i="30"/>
  <c r="AF344" i="30"/>
  <c r="B43" i="85"/>
  <c r="FD160" i="76"/>
  <c r="AB21" i="85"/>
  <c r="AB20" i="85"/>
  <c r="B20" i="85"/>
  <c r="B18" i="85"/>
  <c r="B17" i="85"/>
  <c r="H15" i="85" a="1"/>
  <c r="F15" i="85" a="1"/>
  <c r="B15" i="85"/>
  <c r="H14" i="85" a="1"/>
  <c r="F14" i="85" a="1"/>
  <c r="B14" i="85"/>
  <c r="J13" i="85" a="1"/>
  <c r="B13" i="85"/>
  <c r="J12" i="85" a="1"/>
  <c r="B11" i="85"/>
  <c r="B10" i="85"/>
  <c r="J9" i="85"/>
  <c r="H9" i="85"/>
  <c r="F9" i="85"/>
  <c r="E5" i="85"/>
  <c r="B4" i="85"/>
  <c r="AB6" i="85"/>
  <c r="B12" i="85" s="1" a="1"/>
  <c r="AB5" i="85"/>
  <c r="B47" i="84"/>
  <c r="FD120" i="76"/>
  <c r="AB22" i="84"/>
  <c r="AB21" i="84"/>
  <c r="AB20" i="84"/>
  <c r="F30" i="84"/>
  <c r="E30" i="84"/>
  <c r="D30" i="84"/>
  <c r="B30" i="84"/>
  <c r="B29" i="84"/>
  <c r="B26" i="84"/>
  <c r="B24" i="84"/>
  <c r="B22" i="84"/>
  <c r="B21" i="84"/>
  <c r="B20" i="84"/>
  <c r="B19" i="84"/>
  <c r="B17" i="84"/>
  <c r="B16" i="84"/>
  <c r="B10" i="84"/>
  <c r="B9" i="84"/>
  <c r="E5" i="84"/>
  <c r="B4" i="84"/>
  <c r="AK8" i="84" a="1"/>
  <c r="AG8" i="84" a="1"/>
  <c r="AI8" i="84" s="1" a="1"/>
  <c r="AB8" i="84"/>
  <c r="AB7" i="84"/>
  <c r="AF343" i="30"/>
  <c r="F46" i="4"/>
  <c r="F45" i="4"/>
  <c r="AD6" i="12"/>
  <c r="AC6" i="12"/>
  <c r="AB6" i="12"/>
  <c r="AA6" i="12"/>
  <c r="Z6" i="12"/>
  <c r="B47" i="83"/>
  <c r="FD80" i="76"/>
  <c r="AE11" i="83" a="1"/>
  <c r="B28" i="83"/>
  <c r="B27" i="83"/>
  <c r="B26" i="83"/>
  <c r="B25" i="83"/>
  <c r="B24" i="83"/>
  <c r="B23" i="83"/>
  <c r="AB11" i="83" a="1"/>
  <c r="B21" i="83"/>
  <c r="B18" i="83"/>
  <c r="J11" i="83"/>
  <c r="B17" i="83"/>
  <c r="B16" i="83"/>
  <c r="B15" i="83"/>
  <c r="B14" i="83"/>
  <c r="B13" i="83"/>
  <c r="B12" i="83"/>
  <c r="I11" i="83"/>
  <c r="D11" i="83"/>
  <c r="C11" i="83"/>
  <c r="B11" i="83"/>
  <c r="B9" i="83"/>
  <c r="B8" i="83"/>
  <c r="E5" i="83"/>
  <c r="I5" i="83"/>
  <c r="B4" i="83"/>
  <c r="AF12" i="83"/>
  <c r="AF11" i="83"/>
  <c r="AF10" i="83"/>
  <c r="AB6" i="83" s="1"/>
  <c r="AF7" i="83"/>
  <c r="AF6" i="83"/>
  <c r="AF5" i="83"/>
  <c r="AF4" i="83"/>
  <c r="AF3" i="83"/>
  <c r="AF2" i="83"/>
  <c r="AB2" i="83"/>
  <c r="FD40" i="76"/>
  <c r="B58" i="82"/>
  <c r="Z48" i="82"/>
  <c r="EZ2" i="82"/>
  <c r="EZ1" i="82"/>
  <c r="W49" i="82"/>
  <c r="B55" i="82" a="1"/>
  <c r="B54" i="82"/>
  <c r="B53" i="82"/>
  <c r="B52" i="82"/>
  <c r="B51" i="82"/>
  <c r="B50" i="82"/>
  <c r="B49" i="82"/>
  <c r="B48" i="82"/>
  <c r="B47" i="82"/>
  <c r="B46" i="82"/>
  <c r="X11" i="82"/>
  <c r="W11" i="82"/>
  <c r="C11" i="82"/>
  <c r="B11" i="82"/>
  <c r="B10" i="82"/>
  <c r="B9" i="82"/>
  <c r="AH9" i="82"/>
  <c r="U8" i="82"/>
  <c r="AH8" i="82"/>
  <c r="P8" i="82"/>
  <c r="AH7" i="82"/>
  <c r="AH5" i="82"/>
  <c r="H8" i="82"/>
  <c r="B8" i="82"/>
  <c r="E5" i="82"/>
  <c r="I5" i="82"/>
  <c r="B4" i="82"/>
  <c r="AH12" i="82"/>
  <c r="AH6" i="82"/>
  <c r="AH4" i="82"/>
  <c r="AH2" i="82"/>
  <c r="AB3" i="95" s="1"/>
  <c r="AF342" i="30"/>
  <c r="AF341" i="30"/>
  <c r="AF340" i="30"/>
  <c r="AF339" i="30"/>
  <c r="AF338" i="30"/>
  <c r="AF337" i="30"/>
  <c r="AF336" i="30"/>
  <c r="AF335" i="30"/>
  <c r="AF334" i="30"/>
  <c r="AF333" i="30"/>
  <c r="AF332" i="30"/>
  <c r="AF331" i="30"/>
  <c r="AF330" i="30"/>
  <c r="AF329" i="30"/>
  <c r="AF328" i="30"/>
  <c r="AF327" i="30"/>
  <c r="AF326" i="30"/>
  <c r="AF325" i="30"/>
  <c r="AF324" i="30"/>
  <c r="AF323" i="30"/>
  <c r="AF322" i="30"/>
  <c r="AF321" i="30"/>
  <c r="AF320" i="30"/>
  <c r="AF319" i="30"/>
  <c r="AF318" i="30"/>
  <c r="AF317" i="30"/>
  <c r="AF316" i="30"/>
  <c r="AF315" i="30"/>
  <c r="AF314" i="30"/>
  <c r="AF313" i="30"/>
  <c r="AF312" i="30"/>
  <c r="AF311" i="30"/>
  <c r="AF310" i="30"/>
  <c r="AF309" i="30"/>
  <c r="AF308" i="30"/>
  <c r="AF307" i="30"/>
  <c r="AF306" i="30"/>
  <c r="AF305" i="30"/>
  <c r="AF304" i="30"/>
  <c r="AF303" i="30"/>
  <c r="AF302" i="30"/>
  <c r="AF301" i="30"/>
  <c r="AF300" i="30"/>
  <c r="B53" i="81"/>
  <c r="L49" i="81"/>
  <c r="R45" i="81"/>
  <c r="P45" i="81"/>
  <c r="N45" i="81"/>
  <c r="L45" i="81"/>
  <c r="L39" i="81"/>
  <c r="J40" i="81"/>
  <c r="I40" i="81"/>
  <c r="H40" i="81"/>
  <c r="G40" i="81"/>
  <c r="F40" i="81"/>
  <c r="E40" i="81"/>
  <c r="D40" i="81"/>
  <c r="C40" i="81"/>
  <c r="B40" i="81"/>
  <c r="B39" i="81"/>
  <c r="FD1" i="76"/>
  <c r="BR9" i="81"/>
  <c r="I5" i="81"/>
  <c r="B4" i="81"/>
  <c r="BL5" i="81"/>
  <c r="BL4" i="81"/>
  <c r="BH8" i="81"/>
  <c r="BH9" i="81"/>
  <c r="BH10" i="81"/>
  <c r="BH11" i="81"/>
  <c r="BH12" i="81"/>
  <c r="BH13" i="81"/>
  <c r="BH14" i="81"/>
  <c r="BH15" i="81"/>
  <c r="BH16" i="81"/>
  <c r="BH17" i="81"/>
  <c r="BH18" i="81"/>
  <c r="BH19" i="81"/>
  <c r="B37" i="80"/>
  <c r="B36" i="80"/>
  <c r="B35" i="80"/>
  <c r="M26" i="80"/>
  <c r="P17" i="80"/>
  <c r="O17" i="80"/>
  <c r="N17" i="80"/>
  <c r="M17" i="80"/>
  <c r="M16" i="80"/>
  <c r="AQ14" i="80"/>
  <c r="AS13" i="80"/>
  <c r="Q14" i="80" a="1"/>
  <c r="Q9" i="80"/>
  <c r="AS12" i="80"/>
  <c r="N14" i="80" a="1"/>
  <c r="N9" i="80"/>
  <c r="AS11" i="80"/>
  <c r="K14" i="80" a="1"/>
  <c r="K9" i="80"/>
  <c r="AS10" i="80"/>
  <c r="H14" i="80" a="1"/>
  <c r="H9" i="80"/>
  <c r="AS9" i="80"/>
  <c r="E14" i="80" a="1"/>
  <c r="E9" i="80"/>
  <c r="AS8" i="80"/>
  <c r="B14" i="80"/>
  <c r="B9" i="80"/>
  <c r="I5" i="80"/>
  <c r="C5" i="80"/>
  <c r="B4" i="80"/>
  <c r="AQ10" i="80"/>
  <c r="B37" i="79"/>
  <c r="B36" i="79"/>
  <c r="B35" i="79"/>
  <c r="M26" i="79"/>
  <c r="P17" i="79"/>
  <c r="O17" i="79"/>
  <c r="N17" i="79"/>
  <c r="M17" i="79"/>
  <c r="M16" i="79"/>
  <c r="AQ14" i="79"/>
  <c r="AS13" i="79"/>
  <c r="Q14" i="79" a="1"/>
  <c r="Q9" i="79"/>
  <c r="AS12" i="79"/>
  <c r="N14" i="79" a="1"/>
  <c r="N9" i="79"/>
  <c r="AS11" i="79"/>
  <c r="K14" i="79" a="1"/>
  <c r="K9" i="79"/>
  <c r="AS10" i="79"/>
  <c r="H14" i="79" a="1"/>
  <c r="H9" i="79"/>
  <c r="AS9" i="79"/>
  <c r="E14" i="79" a="1"/>
  <c r="E9" i="79"/>
  <c r="AS8" i="79"/>
  <c r="B14" i="79"/>
  <c r="B9" i="79"/>
  <c r="I5" i="79"/>
  <c r="C5" i="79"/>
  <c r="B4" i="79"/>
  <c r="AQ10" i="79"/>
  <c r="B37" i="78"/>
  <c r="B36" i="78"/>
  <c r="B35" i="78"/>
  <c r="M26" i="78"/>
  <c r="P17" i="78"/>
  <c r="O17" i="78"/>
  <c r="N17" i="78"/>
  <c r="M17" i="78"/>
  <c r="M16" i="78"/>
  <c r="AQ14" i="78"/>
  <c r="AS13" i="78"/>
  <c r="Q14" i="78" a="1"/>
  <c r="Q9" i="78"/>
  <c r="AS12" i="78"/>
  <c r="N14" i="78" a="1"/>
  <c r="N9" i="78"/>
  <c r="AS11" i="78"/>
  <c r="K14" i="78" a="1"/>
  <c r="K9" i="78"/>
  <c r="AS10" i="78"/>
  <c r="H14" i="78" a="1"/>
  <c r="H9" i="78"/>
  <c r="AS9" i="78"/>
  <c r="E14" i="78" a="1"/>
  <c r="E9" i="78"/>
  <c r="AS8" i="78"/>
  <c r="B14" i="78"/>
  <c r="B9" i="78"/>
  <c r="I5" i="78"/>
  <c r="C5" i="78"/>
  <c r="B4" i="78"/>
  <c r="AQ10" i="78"/>
  <c r="AF299" i="30"/>
  <c r="AF298" i="30"/>
  <c r="AF297" i="30"/>
  <c r="AF296" i="30"/>
  <c r="AF295" i="30"/>
  <c r="AF294" i="30"/>
  <c r="AF293" i="30"/>
  <c r="AF292" i="30"/>
  <c r="AF291" i="30"/>
  <c r="AF290" i="30"/>
  <c r="AF289" i="30"/>
  <c r="AF288" i="30"/>
  <c r="AF287" i="30"/>
  <c r="AF286" i="30"/>
  <c r="AF285" i="30"/>
  <c r="AF284" i="30"/>
  <c r="AF283" i="30"/>
  <c r="AF282" i="30"/>
  <c r="AF281" i="30"/>
  <c r="AF280" i="30"/>
  <c r="AF279" i="30"/>
  <c r="AF278" i="30"/>
  <c r="AF277" i="30"/>
  <c r="AF276" i="30"/>
  <c r="AF275" i="30"/>
  <c r="AF274" i="30"/>
  <c r="AF273" i="30"/>
  <c r="AF272" i="30"/>
  <c r="AF271" i="30"/>
  <c r="AF270" i="30"/>
  <c r="AF269" i="30"/>
  <c r="AF268" i="30"/>
  <c r="AF267" i="30"/>
  <c r="AF266" i="30"/>
  <c r="AF265" i="30"/>
  <c r="AF264" i="30"/>
  <c r="AF263" i="30"/>
  <c r="AF262" i="30"/>
  <c r="AF261" i="30"/>
  <c r="AF260" i="30"/>
  <c r="AF259" i="30"/>
  <c r="AF258" i="30"/>
  <c r="AF257" i="30"/>
  <c r="AF256" i="30"/>
  <c r="AF255" i="30"/>
  <c r="AF254" i="30"/>
  <c r="AF253" i="30"/>
  <c r="AF252" i="30"/>
  <c r="AF251" i="30"/>
  <c r="AF250" i="30"/>
  <c r="AF249" i="30"/>
  <c r="AF248" i="30"/>
  <c r="AF247" i="30"/>
  <c r="AF246" i="30"/>
  <c r="AF245" i="30"/>
  <c r="AF244" i="30"/>
  <c r="AF243" i="30"/>
  <c r="AF242" i="30"/>
  <c r="AF241" i="30"/>
  <c r="AF240" i="30"/>
  <c r="AF239" i="30"/>
  <c r="AF238" i="30"/>
  <c r="AF237" i="30"/>
  <c r="AF236" i="30"/>
  <c r="AF235" i="30"/>
  <c r="AF234" i="30"/>
  <c r="AF233" i="30"/>
  <c r="AF232" i="30"/>
  <c r="AF231" i="30"/>
  <c r="AF230" i="30"/>
  <c r="AF229" i="30"/>
  <c r="AF228" i="30"/>
  <c r="AF227" i="30"/>
  <c r="AF226" i="30"/>
  <c r="AF225" i="30"/>
  <c r="AF224" i="30"/>
  <c r="AF223" i="30"/>
  <c r="AF222" i="30"/>
  <c r="AF221" i="30"/>
  <c r="AF220" i="30"/>
  <c r="AF219" i="30"/>
  <c r="AF218" i="30"/>
  <c r="AF217" i="30"/>
  <c r="AF216" i="30"/>
  <c r="AF215" i="30"/>
  <c r="AF214" i="30"/>
  <c r="AF213" i="30"/>
  <c r="AF212" i="30"/>
  <c r="AF211" i="30"/>
  <c r="AF210" i="30"/>
  <c r="AF209" i="30"/>
  <c r="AF208" i="30"/>
  <c r="AF207" i="30"/>
  <c r="AF206" i="30"/>
  <c r="AF205" i="30"/>
  <c r="AF204" i="30"/>
  <c r="AF203" i="30"/>
  <c r="AF202" i="30"/>
  <c r="AF201" i="30"/>
  <c r="AF200" i="30"/>
  <c r="AF199" i="30"/>
  <c r="AF198" i="30"/>
  <c r="AF197" i="30"/>
  <c r="AF196" i="30"/>
  <c r="AF195" i="30"/>
  <c r="AF194" i="30"/>
  <c r="AF193" i="30"/>
  <c r="AF192" i="30"/>
  <c r="AF191" i="30"/>
  <c r="AF190" i="30"/>
  <c r="AF189" i="30"/>
  <c r="AF188" i="30"/>
  <c r="AF187" i="30"/>
  <c r="AF186" i="30"/>
  <c r="AF185" i="30"/>
  <c r="AF184" i="30"/>
  <c r="AF183" i="30"/>
  <c r="AF182" i="30"/>
  <c r="AF181" i="30"/>
  <c r="AF180" i="30"/>
  <c r="AF179" i="30"/>
  <c r="AF178" i="30"/>
  <c r="AF177" i="30"/>
  <c r="AF176" i="30"/>
  <c r="AF175" i="30"/>
  <c r="AF174" i="30"/>
  <c r="AF173" i="30"/>
  <c r="AF172" i="30"/>
  <c r="AF171" i="30"/>
  <c r="AF170" i="30"/>
  <c r="AF169" i="30"/>
  <c r="AF168" i="30"/>
  <c r="AF167" i="30"/>
  <c r="AF166" i="30"/>
  <c r="AF165" i="30"/>
  <c r="AF164" i="30"/>
  <c r="AF163" i="30"/>
  <c r="AF162" i="30"/>
  <c r="AF161" i="30"/>
  <c r="AF160" i="30"/>
  <c r="AF159" i="30"/>
  <c r="AF158" i="30"/>
  <c r="AF157" i="30"/>
  <c r="AF156" i="30"/>
  <c r="AF155" i="30"/>
  <c r="AF154" i="30"/>
  <c r="AF153" i="30"/>
  <c r="AF152" i="30"/>
  <c r="AF151" i="30"/>
  <c r="AF150" i="30"/>
  <c r="AF149" i="30"/>
  <c r="AF148" i="30"/>
  <c r="AF147" i="30"/>
  <c r="AF146" i="30"/>
  <c r="AF145" i="30"/>
  <c r="AF144" i="30"/>
  <c r="AF143" i="30"/>
  <c r="AF142" i="30"/>
  <c r="AF141" i="30"/>
  <c r="AF140" i="30"/>
  <c r="AF139" i="30"/>
  <c r="AF138" i="30"/>
  <c r="AF137" i="30"/>
  <c r="AF136" i="30"/>
  <c r="AF135" i="30"/>
  <c r="AF134" i="30"/>
  <c r="AF133" i="30"/>
  <c r="AF132" i="30"/>
  <c r="AF131" i="30"/>
  <c r="AF130" i="30"/>
  <c r="AF129" i="30"/>
  <c r="AF128" i="30"/>
  <c r="AF127" i="30"/>
  <c r="AF126" i="30"/>
  <c r="I61" i="57"/>
  <c r="I62" i="57"/>
  <c r="I63" i="57"/>
  <c r="I64" i="57"/>
  <c r="I65" i="57"/>
  <c r="I66" i="57"/>
  <c r="I67" i="57"/>
  <c r="I68" i="57"/>
  <c r="I69" i="57"/>
  <c r="I70" i="57"/>
  <c r="I71" i="57"/>
  <c r="I72" i="57"/>
  <c r="I73" i="57"/>
  <c r="I74" i="57"/>
  <c r="I75" i="57"/>
  <c r="I76" i="57"/>
  <c r="I77" i="57"/>
  <c r="I78" i="57"/>
  <c r="I79" i="57"/>
  <c r="I80" i="57"/>
  <c r="I81" i="57"/>
  <c r="I82" i="57"/>
  <c r="I83" i="57"/>
  <c r="I84" i="57"/>
  <c r="I85" i="57"/>
  <c r="I86" i="57"/>
  <c r="I87" i="57"/>
  <c r="I88" i="57"/>
  <c r="AF125" i="30"/>
  <c r="A2" i="58" s="1"/>
  <c r="AF124" i="30"/>
  <c r="A1" i="58" s="1"/>
  <c r="AF123" i="30"/>
  <c r="A2" i="59" s="1"/>
  <c r="AF122" i="30"/>
  <c r="A1" i="59" s="1"/>
  <c r="AF121" i="30"/>
  <c r="A15" i="57" s="1"/>
  <c r="AF120" i="30"/>
  <c r="A4" i="57" s="1"/>
  <c r="AF119" i="30"/>
  <c r="A2" i="57" s="1"/>
  <c r="AF118" i="30"/>
  <c r="A1" i="57" s="1"/>
  <c r="AF117" i="30"/>
  <c r="AF116" i="30"/>
  <c r="K13" i="27" a="1"/>
  <c r="B8" i="22"/>
  <c r="L21" i="22"/>
  <c r="L20" i="22"/>
  <c r="H20" i="22" a="1"/>
  <c r="L19" i="22"/>
  <c r="L18" i="22"/>
  <c r="L17" i="22"/>
  <c r="L16" i="22"/>
  <c r="L15" i="22"/>
  <c r="L14" i="22"/>
  <c r="L13" i="22"/>
  <c r="H13" i="22" a="1"/>
  <c r="L12" i="22"/>
  <c r="H12" i="22" a="1"/>
  <c r="B2" i="22"/>
  <c r="B2" i="54"/>
  <c r="I12" i="4" a="1"/>
  <c r="D9" i="4"/>
  <c r="D8" i="4"/>
  <c r="F42" i="4"/>
  <c r="I7" i="7"/>
  <c r="I5" i="7"/>
  <c r="I6" i="7" s="1"/>
  <c r="AF5" i="30"/>
  <c r="AF6" i="30"/>
  <c r="AF7" i="30"/>
  <c r="AF8" i="30"/>
  <c r="AF9" i="30"/>
  <c r="AF10" i="30"/>
  <c r="AF11" i="30"/>
  <c r="AF12" i="30"/>
  <c r="AF13" i="30"/>
  <c r="AF14" i="30"/>
  <c r="AF15" i="30"/>
  <c r="AF16" i="30"/>
  <c r="A3" i="52" s="1" a="1"/>
  <c r="AF17" i="30"/>
  <c r="AF18" i="30"/>
  <c r="AF19" i="30"/>
  <c r="AF20" i="30"/>
  <c r="AF21" i="30"/>
  <c r="AF22" i="30"/>
  <c r="AF23" i="30"/>
  <c r="AF24" i="30"/>
  <c r="AF25" i="30"/>
  <c r="AF26" i="30"/>
  <c r="AF27" i="30"/>
  <c r="AF28" i="30"/>
  <c r="AF29" i="30"/>
  <c r="AF30" i="30"/>
  <c r="AF31" i="30"/>
  <c r="AF32" i="30"/>
  <c r="AF33" i="30"/>
  <c r="AF34" i="30"/>
  <c r="AF35" i="30"/>
  <c r="AF36" i="30"/>
  <c r="AF37" i="30"/>
  <c r="AF38" i="30"/>
  <c r="AF39" i="30"/>
  <c r="AF40" i="30"/>
  <c r="AF41" i="30"/>
  <c r="AF42" i="30"/>
  <c r="AF43" i="30"/>
  <c r="AF44" i="30"/>
  <c r="AF45" i="30"/>
  <c r="AF46" i="30"/>
  <c r="AF47" i="30"/>
  <c r="AF48" i="30"/>
  <c r="AF49" i="30"/>
  <c r="AF50" i="30"/>
  <c r="AF51" i="30"/>
  <c r="AF52" i="30"/>
  <c r="AF53" i="30"/>
  <c r="AF54" i="30"/>
  <c r="AF55" i="30"/>
  <c r="AF56" i="30"/>
  <c r="AF57" i="30"/>
  <c r="AF58" i="30"/>
  <c r="AF59" i="30"/>
  <c r="AF60" i="30"/>
  <c r="AF61" i="30"/>
  <c r="AF62" i="30"/>
  <c r="AF63" i="30"/>
  <c r="AF64" i="30"/>
  <c r="AF65" i="30"/>
  <c r="AF66" i="30"/>
  <c r="AF67" i="30"/>
  <c r="AF68" i="30"/>
  <c r="AF69" i="30"/>
  <c r="AF70" i="30"/>
  <c r="AF71" i="30"/>
  <c r="AF72" i="30"/>
  <c r="AF73" i="30"/>
  <c r="AF74" i="30"/>
  <c r="AF75" i="30"/>
  <c r="AF76" i="30"/>
  <c r="AF77" i="30"/>
  <c r="AF78" i="30"/>
  <c r="AF79" i="30"/>
  <c r="AF80" i="30"/>
  <c r="AF81" i="30"/>
  <c r="AF82" i="30"/>
  <c r="AF83" i="30"/>
  <c r="AF84" i="30"/>
  <c r="AF85" i="30"/>
  <c r="AF86" i="30"/>
  <c r="AF87" i="30"/>
  <c r="AF88" i="30"/>
  <c r="AF89" i="30"/>
  <c r="AF90" i="30"/>
  <c r="AF91" i="30"/>
  <c r="AF92" i="30"/>
  <c r="B12" i="22" s="1"/>
  <c r="AF93" i="30"/>
  <c r="B13" i="22" s="1"/>
  <c r="AF94" i="30"/>
  <c r="B14" i="22" s="1"/>
  <c r="AF95" i="30"/>
  <c r="B15" i="22" s="1"/>
  <c r="AF96" i="30"/>
  <c r="B16" i="22" s="1"/>
  <c r="AF97" i="30"/>
  <c r="B17" i="22" s="1"/>
  <c r="AF98" i="30"/>
  <c r="B18" i="22" s="1"/>
  <c r="AF99" i="30"/>
  <c r="B19" i="22" s="1"/>
  <c r="AF100" i="30"/>
  <c r="B20" i="22" s="1"/>
  <c r="AF101" i="30"/>
  <c r="B21" i="22" s="1"/>
  <c r="AF102" i="30"/>
  <c r="K12" i="22" s="1"/>
  <c r="AF103" i="30"/>
  <c r="AF104" i="30"/>
  <c r="AF105" i="30"/>
  <c r="AF106" i="30"/>
  <c r="K14" i="22" s="1"/>
  <c r="AF107" i="30"/>
  <c r="AF108" i="30"/>
  <c r="AF109" i="30"/>
  <c r="AF110" i="30"/>
  <c r="AF111" i="30"/>
  <c r="AF112" i="30"/>
  <c r="AF113" i="30"/>
  <c r="K20" i="22" s="1"/>
  <c r="AF114" i="30"/>
  <c r="AF115" i="30"/>
  <c r="H51" i="6" a="1"/>
  <c r="K14" i="6" a="1"/>
  <c r="K13" i="6" a="1"/>
  <c r="I13" i="6"/>
  <c r="G13" i="6"/>
  <c r="E13" i="6"/>
  <c r="C13" i="6"/>
  <c r="A13" i="6"/>
  <c r="Z5" i="30" a="1"/>
  <c r="F51" i="4"/>
  <c r="D51" i="4"/>
  <c r="E51" i="4"/>
  <c r="F44" i="4"/>
  <c r="I44" i="4" s="1"/>
  <c r="F43" i="4" a="1"/>
  <c r="I43" i="4" s="1"/>
  <c r="F41" i="4" a="1"/>
  <c r="I41" i="4" s="1"/>
  <c r="F40" i="4" a="1"/>
  <c r="F34" i="4" a="1"/>
  <c r="I34" i="4" s="1"/>
  <c r="F33" i="4"/>
  <c r="I33" i="4" s="1"/>
  <c r="F32" i="4"/>
  <c r="I32" i="4" s="1"/>
  <c r="F29" i="4"/>
  <c r="I29" i="4" s="1"/>
  <c r="F28" i="4"/>
  <c r="I28" i="4" s="1"/>
  <c r="F27" i="4"/>
  <c r="I27" i="4" s="1"/>
  <c r="I11" i="4"/>
  <c r="I10" i="4"/>
  <c r="D17" i="4"/>
  <c r="F30" i="4" s="1" a="1"/>
  <c r="I30" i="4" s="1"/>
  <c r="D16" i="4" a="1"/>
  <c r="D15" i="4"/>
  <c r="D14" i="4"/>
  <c r="D13" i="4"/>
  <c r="D12" i="4"/>
  <c r="D11" i="4"/>
  <c r="D10" i="4"/>
  <c r="D7" i="4"/>
  <c r="D5" i="4"/>
  <c r="F24" i="4" s="1"/>
  <c r="B56" i="4" a="1"/>
  <c r="K5" i="27" a="1"/>
  <c r="D15" i="5"/>
  <c r="D14" i="5"/>
  <c r="D10" i="5"/>
  <c r="D9" i="5"/>
  <c r="D7" i="5"/>
  <c r="D6" i="5"/>
  <c r="T6" i="12"/>
  <c r="S6" i="12"/>
  <c r="R6" i="12"/>
  <c r="Q6" i="12"/>
  <c r="J6" i="11"/>
  <c r="P15" i="8"/>
  <c r="P14" i="8"/>
  <c r="P13" i="8"/>
  <c r="P12" i="8"/>
  <c r="P11" i="8"/>
  <c r="P10" i="8"/>
  <c r="P9" i="8"/>
  <c r="P8" i="8"/>
  <c r="P7" i="8"/>
  <c r="P6" i="8"/>
  <c r="I9" i="7"/>
  <c r="I8" i="7"/>
  <c r="B59" i="5"/>
  <c r="B58" i="5"/>
  <c r="G58" i="5" s="1"/>
  <c r="I58" i="5" s="1"/>
  <c r="B57" i="5"/>
  <c r="J57" i="5" s="1"/>
  <c r="B56" i="5"/>
  <c r="B55" i="5"/>
  <c r="G55" i="5" s="1"/>
  <c r="B54" i="5"/>
  <c r="B53" i="5"/>
  <c r="D53" i="5" s="1"/>
  <c r="B52" i="5"/>
  <c r="J52" i="5" s="1"/>
  <c r="B51" i="5"/>
  <c r="C51" i="5" s="1"/>
  <c r="B50" i="5"/>
  <c r="D50" i="5" s="1"/>
  <c r="B49" i="5"/>
  <c r="G49" i="5" s="1"/>
  <c r="B48" i="5"/>
  <c r="D48" i="5" s="1"/>
  <c r="B47" i="5"/>
  <c r="B46" i="5"/>
  <c r="B45" i="5"/>
  <c r="D45" i="5" s="1"/>
  <c r="B44" i="5"/>
  <c r="B43" i="5"/>
  <c r="C43" i="5" s="1"/>
  <c r="B42" i="5"/>
  <c r="D42" i="5" s="1"/>
  <c r="B41" i="5"/>
  <c r="J41" i="5" s="1"/>
  <c r="B40" i="5"/>
  <c r="D40" i="5" s="1"/>
  <c r="B39" i="5"/>
  <c r="J39" i="5" s="1"/>
  <c r="K39" i="5" s="1"/>
  <c r="B38" i="5"/>
  <c r="B37" i="5"/>
  <c r="G37" i="5" s="1"/>
  <c r="B36" i="5"/>
  <c r="J36" i="5" s="1"/>
  <c r="B35" i="5"/>
  <c r="C35" i="5" s="1"/>
  <c r="B34" i="5"/>
  <c r="G34" i="5" s="1"/>
  <c r="B33" i="5"/>
  <c r="B32" i="5"/>
  <c r="B31" i="5"/>
  <c r="B30" i="5"/>
  <c r="B29" i="5"/>
  <c r="G29" i="5" s="1"/>
  <c r="B28" i="5"/>
  <c r="J28" i="5" s="1"/>
  <c r="B27" i="5"/>
  <c r="B26" i="5"/>
  <c r="E26" i="5" s="1"/>
  <c r="B25" i="5"/>
  <c r="B24" i="5"/>
  <c r="D24" i="5" s="1"/>
  <c r="B23" i="5"/>
  <c r="B22" i="5"/>
  <c r="B21" i="5"/>
  <c r="G21" i="5" s="1"/>
  <c r="B20" i="5"/>
  <c r="AB5" i="96" l="1"/>
  <c r="AD12" i="94" a="1"/>
  <c r="M5" i="96"/>
  <c r="E9" i="77"/>
  <c r="M5" i="95"/>
  <c r="M5" i="94"/>
  <c r="C5" i="95"/>
  <c r="K18" i="77" a="1"/>
  <c r="E8" i="77"/>
  <c r="E6" i="77" a="1"/>
  <c r="K17" i="77"/>
  <c r="E7" i="77" a="1"/>
  <c r="N33" i="95" a="1"/>
  <c r="B9" i="95"/>
  <c r="AB7" i="95"/>
  <c r="AB9" i="96"/>
  <c r="AB10" i="96"/>
  <c r="BA10" i="96" s="1" a="1"/>
  <c r="AB11" i="96"/>
  <c r="AF12" i="96" a="1"/>
  <c r="BD5" i="96"/>
  <c r="D22" i="96" s="1" a="1"/>
  <c r="BD4" i="96"/>
  <c r="D21" i="96" s="1" a="1"/>
  <c r="BD6" i="96"/>
  <c r="D23" i="96" s="1" a="1"/>
  <c r="AB4" i="96" a="1"/>
  <c r="D21" i="94" a="1"/>
  <c r="F11" i="94" a="1"/>
  <c r="AJ2" i="82" a="1"/>
  <c r="M5" i="89"/>
  <c r="B22" i="90"/>
  <c r="F21" i="90"/>
  <c r="E21" i="90"/>
  <c r="D21" i="90"/>
  <c r="C21" i="90"/>
  <c r="B21" i="90"/>
  <c r="F20" i="90"/>
  <c r="E20" i="90"/>
  <c r="D20" i="90"/>
  <c r="C20" i="90"/>
  <c r="B20" i="90"/>
  <c r="F19" i="90"/>
  <c r="E19" i="90"/>
  <c r="D19" i="90"/>
  <c r="C19" i="90"/>
  <c r="B19" i="90"/>
  <c r="F18" i="90"/>
  <c r="E18" i="90"/>
  <c r="D18" i="90"/>
  <c r="C18" i="90"/>
  <c r="B18" i="90"/>
  <c r="F17" i="90"/>
  <c r="E17" i="90"/>
  <c r="D17" i="90"/>
  <c r="C17" i="90"/>
  <c r="B17" i="90"/>
  <c r="F16" i="90"/>
  <c r="E16" i="90"/>
  <c r="D16" i="90"/>
  <c r="C16" i="90"/>
  <c r="B16" i="90"/>
  <c r="F15" i="90"/>
  <c r="E15" i="90"/>
  <c r="D15" i="90"/>
  <c r="C15" i="90"/>
  <c r="B15" i="90"/>
  <c r="F14" i="90"/>
  <c r="E14" i="90"/>
  <c r="D14" i="90"/>
  <c r="C14" i="90"/>
  <c r="B14" i="90"/>
  <c r="F13" i="90"/>
  <c r="E13" i="90"/>
  <c r="D13" i="90"/>
  <c r="C13" i="90"/>
  <c r="B13" i="90"/>
  <c r="F12" i="90"/>
  <c r="E12" i="90"/>
  <c r="D12" i="90"/>
  <c r="C12" i="90"/>
  <c r="B12" i="90"/>
  <c r="F11" i="90"/>
  <c r="E11" i="90"/>
  <c r="D11" i="90"/>
  <c r="C11" i="90"/>
  <c r="B11" i="90"/>
  <c r="F10" i="90"/>
  <c r="E10" i="90"/>
  <c r="D10" i="90"/>
  <c r="C10" i="90"/>
  <c r="B10" i="90"/>
  <c r="I47" i="4"/>
  <c r="J47" i="4"/>
  <c r="AB8" i="88" a="1"/>
  <c r="AB5" i="88" a="1"/>
  <c r="AB6" i="88" s="1" a="1"/>
  <c r="AB4" i="88" a="1"/>
  <c r="M5" i="88"/>
  <c r="AB6" i="89" a="1"/>
  <c r="E5" i="88"/>
  <c r="I24" i="4"/>
  <c r="M5" i="84"/>
  <c r="M5" i="85"/>
  <c r="AD8" i="85" a="1"/>
  <c r="AC8" i="85" a="1"/>
  <c r="AB4" i="85" a="1"/>
  <c r="FA160" i="76" s="1"/>
  <c r="AK4" i="85"/>
  <c r="F18" i="85" s="1" a="1"/>
  <c r="AK3" i="85"/>
  <c r="F17" i="85" s="1" a="1"/>
  <c r="AE8" i="85" a="1"/>
  <c r="AC8" i="84" a="1"/>
  <c r="AB4" i="84" a="1"/>
  <c r="FA120" i="76" s="1"/>
  <c r="AO8" i="84" a="1"/>
  <c r="AJ15" i="82" a="1"/>
  <c r="U6" i="12" a="1"/>
  <c r="AB5" i="80" a="1"/>
  <c r="AB6" i="80" s="1"/>
  <c r="AB5" i="79" a="1"/>
  <c r="AB6" i="79" s="1"/>
  <c r="AB5" i="78" a="1"/>
  <c r="AB6" i="78" s="1"/>
  <c r="I46" i="4"/>
  <c r="J46" i="4" a="1"/>
  <c r="I45" i="4"/>
  <c r="J45" i="4" a="1"/>
  <c r="AB4" i="83"/>
  <c r="B10" i="83" s="1"/>
  <c r="AX2" i="83" a="1"/>
  <c r="AY11" i="83" a="1"/>
  <c r="C22" i="83" a="1"/>
  <c r="AB21" i="83"/>
  <c r="D11" i="82" a="1"/>
  <c r="AW2" i="83" a="1"/>
  <c r="B20" i="83" s="1"/>
  <c r="AH13" i="82" a="1"/>
  <c r="AH11" i="82" a="1"/>
  <c r="AH10" i="82" a="1"/>
  <c r="M5" i="82"/>
  <c r="M5" i="83"/>
  <c r="AZ17" i="83"/>
  <c r="AZ16" i="83"/>
  <c r="AZ15" i="83"/>
  <c r="AZ14" i="83"/>
  <c r="AZ13" i="83"/>
  <c r="AZ12" i="83"/>
  <c r="AB5" i="83"/>
  <c r="E5" i="81"/>
  <c r="AZ8" i="81" a="1"/>
  <c r="K1" i="57" a="1"/>
  <c r="A3" i="57" s="1"/>
  <c r="E10" i="77" s="1"/>
  <c r="F31" i="4"/>
  <c r="M5" i="81"/>
  <c r="M5" i="80"/>
  <c r="M5" i="79"/>
  <c r="M5" i="78"/>
  <c r="K13" i="22" a="1"/>
  <c r="K18" i="22"/>
  <c r="D56" i="4" a="1"/>
  <c r="AA5" i="30" a="1"/>
  <c r="K19" i="22"/>
  <c r="T53" i="4" a="1"/>
  <c r="A3" i="4" a="1"/>
  <c r="A3" i="33" a="1"/>
  <c r="A3" i="32" a="1"/>
  <c r="A3" i="17" a="1"/>
  <c r="A3" i="16" a="1"/>
  <c r="A3" i="15" a="1"/>
  <c r="A3" i="14" a="1"/>
  <c r="A3" i="13" a="1"/>
  <c r="A3" i="25" a="1"/>
  <c r="A3" i="24" a="1"/>
  <c r="A2" i="6" a="1"/>
  <c r="J42" i="4" a="1"/>
  <c r="I42" i="4"/>
  <c r="I40" i="4"/>
  <c r="H21" i="22" s="1" a="1"/>
  <c r="K21" i="22"/>
  <c r="F21" i="4"/>
  <c r="J44" i="4"/>
  <c r="J43" i="4"/>
  <c r="J41" i="4"/>
  <c r="J40" i="4" a="1"/>
  <c r="J34" i="4"/>
  <c r="J33" i="4" a="1"/>
  <c r="J32" i="4"/>
  <c r="J29" i="4" a="1"/>
  <c r="J28" i="4"/>
  <c r="J27" i="4"/>
  <c r="J24" i="4"/>
  <c r="J30" i="4" a="1"/>
  <c r="B6" i="25"/>
  <c r="I51" i="4" a="1"/>
  <c r="B51" i="4"/>
  <c r="C51" i="4" a="1"/>
  <c r="F37" i="4"/>
  <c r="I37" i="4" s="1"/>
  <c r="D6" i="4"/>
  <c r="J25" i="5" s="1"/>
  <c r="K25" i="5" s="1"/>
  <c r="I9" i="4" a="1"/>
  <c r="D16" i="6"/>
  <c r="B3" i="6"/>
  <c r="F23" i="4"/>
  <c r="I23" i="4" s="1"/>
  <c r="P54" i="4" a="1"/>
  <c r="N56" i="4" a="1"/>
  <c r="L56" i="4" a="1"/>
  <c r="H56" i="4" a="1"/>
  <c r="S54" i="4" a="1"/>
  <c r="Q54" i="4" a="1"/>
  <c r="F56" i="4" a="1"/>
  <c r="M56" i="4" a="1"/>
  <c r="G56" i="4" a="1"/>
  <c r="E56" i="4" a="1"/>
  <c r="C56" i="4" a="1"/>
  <c r="O56" i="4" a="1"/>
  <c r="H36" i="5"/>
  <c r="D37" i="5"/>
  <c r="E39" i="5"/>
  <c r="G39" i="5"/>
  <c r="I39" i="5" s="1"/>
  <c r="H39" i="5"/>
  <c r="E42" i="5"/>
  <c r="J49" i="5"/>
  <c r="K49" i="5" s="1"/>
  <c r="H28" i="5"/>
  <c r="C39" i="5"/>
  <c r="D58" i="5"/>
  <c r="E31" i="5"/>
  <c r="E58" i="5"/>
  <c r="G31" i="5"/>
  <c r="I31" i="5" s="1"/>
  <c r="I34" i="5"/>
  <c r="D3" i="5"/>
  <c r="H6" i="11"/>
  <c r="I6" i="11" s="1"/>
  <c r="K6" i="11" s="1"/>
  <c r="G26" i="5"/>
  <c r="I26" i="5" s="1"/>
  <c r="H44" i="5"/>
  <c r="H52" i="5"/>
  <c r="J56" i="5"/>
  <c r="K56" i="5" s="1"/>
  <c r="H56" i="5"/>
  <c r="G56" i="5"/>
  <c r="I56" i="5" s="1"/>
  <c r="E56" i="5"/>
  <c r="D29" i="5"/>
  <c r="E47" i="5"/>
  <c r="E55" i="5"/>
  <c r="H24" i="5"/>
  <c r="G24" i="5"/>
  <c r="I24" i="5" s="1"/>
  <c r="E24" i="5"/>
  <c r="K36" i="5"/>
  <c r="G36" i="5"/>
  <c r="I36" i="5" s="1"/>
  <c r="E36" i="5"/>
  <c r="D36" i="5"/>
  <c r="C47" i="5"/>
  <c r="J58" i="5"/>
  <c r="K58" i="5" s="1"/>
  <c r="H58" i="5"/>
  <c r="D21" i="5"/>
  <c r="F21" i="5" s="1"/>
  <c r="G47" i="5"/>
  <c r="I47" i="5" s="1"/>
  <c r="G20" i="5"/>
  <c r="I20" i="5" s="1"/>
  <c r="E20" i="5"/>
  <c r="D20" i="5"/>
  <c r="F20" i="5" s="1"/>
  <c r="J32" i="5"/>
  <c r="K32" i="5" s="1"/>
  <c r="H32" i="5"/>
  <c r="G32" i="5"/>
  <c r="I32" i="5" s="1"/>
  <c r="E32" i="5"/>
  <c r="H54" i="5"/>
  <c r="G54" i="5"/>
  <c r="I54" i="5" s="1"/>
  <c r="E54" i="5"/>
  <c r="D54" i="5"/>
  <c r="J54" i="5"/>
  <c r="K54" i="5" s="1"/>
  <c r="E33" i="5"/>
  <c r="D33" i="5"/>
  <c r="H33" i="5"/>
  <c r="G33" i="5"/>
  <c r="I33" i="5" s="1"/>
  <c r="J55" i="5"/>
  <c r="K55" i="5" s="1"/>
  <c r="D55" i="5"/>
  <c r="H22" i="5"/>
  <c r="G22" i="5"/>
  <c r="I22" i="5" s="1"/>
  <c r="E22" i="5"/>
  <c r="D22" i="5"/>
  <c r="F22" i="5" s="1"/>
  <c r="J34" i="5"/>
  <c r="K34" i="5" s="1"/>
  <c r="H34" i="5"/>
  <c r="G44" i="5"/>
  <c r="I44" i="5" s="1"/>
  <c r="E44" i="5"/>
  <c r="D44" i="5"/>
  <c r="C55" i="5"/>
  <c r="E23" i="5"/>
  <c r="I55" i="5"/>
  <c r="J27" i="5"/>
  <c r="K27" i="5" s="1"/>
  <c r="H27" i="5"/>
  <c r="G27" i="5"/>
  <c r="I27" i="5" s="1"/>
  <c r="E27" i="5"/>
  <c r="D27" i="5"/>
  <c r="C27" i="5"/>
  <c r="G23" i="5"/>
  <c r="I23" i="5" s="1"/>
  <c r="H31" i="5"/>
  <c r="D56" i="5"/>
  <c r="H47" i="5"/>
  <c r="H55" i="5"/>
  <c r="J26" i="5"/>
  <c r="K26" i="5" s="1"/>
  <c r="H26" i="5"/>
  <c r="H23" i="5"/>
  <c r="H20" i="5"/>
  <c r="C23" i="5"/>
  <c r="H46" i="5"/>
  <c r="G46" i="5"/>
  <c r="I46" i="5" s="1"/>
  <c r="E46" i="5"/>
  <c r="D46" i="5"/>
  <c r="J46" i="5"/>
  <c r="K46" i="5" s="1"/>
  <c r="J29" i="5"/>
  <c r="K29" i="5" s="1"/>
  <c r="I29" i="5"/>
  <c r="H29" i="5"/>
  <c r="E29" i="5"/>
  <c r="J51" i="5"/>
  <c r="K51" i="5" s="1"/>
  <c r="H51" i="5"/>
  <c r="G51" i="5"/>
  <c r="I51" i="5" s="1"/>
  <c r="E51" i="5"/>
  <c r="D51" i="5"/>
  <c r="D32" i="5"/>
  <c r="J44" i="5"/>
  <c r="K44" i="5" s="1"/>
  <c r="D23" i="5"/>
  <c r="F23" i="5" s="1"/>
  <c r="J35" i="5"/>
  <c r="K35" i="5" s="1"/>
  <c r="H35" i="5"/>
  <c r="G35" i="5"/>
  <c r="I35" i="5" s="1"/>
  <c r="E35" i="5"/>
  <c r="D35" i="5"/>
  <c r="J45" i="5"/>
  <c r="K45" i="5" s="1"/>
  <c r="H45" i="5"/>
  <c r="E45" i="5"/>
  <c r="E25" i="5"/>
  <c r="D25" i="5"/>
  <c r="F25" i="5" s="1"/>
  <c r="H25" i="5"/>
  <c r="G25" i="5"/>
  <c r="I25" i="5" s="1"/>
  <c r="J37" i="5"/>
  <c r="K37" i="5" s="1"/>
  <c r="I37" i="5"/>
  <c r="H37" i="5"/>
  <c r="E37" i="5"/>
  <c r="J59" i="5"/>
  <c r="K59" i="5" s="1"/>
  <c r="H59" i="5"/>
  <c r="G59" i="5"/>
  <c r="I59" i="5" s="1"/>
  <c r="E59" i="5"/>
  <c r="D59" i="5"/>
  <c r="C59" i="5"/>
  <c r="J33" i="5"/>
  <c r="K33" i="5" s="1"/>
  <c r="J43" i="5"/>
  <c r="K43" i="5" s="1"/>
  <c r="H43" i="5"/>
  <c r="G43" i="5"/>
  <c r="I43" i="5" s="1"/>
  <c r="E43" i="5"/>
  <c r="D43" i="5"/>
  <c r="J53" i="5"/>
  <c r="K53" i="5" s="1"/>
  <c r="H53" i="5"/>
  <c r="E53" i="5"/>
  <c r="I21" i="5"/>
  <c r="H21" i="5"/>
  <c r="E21" i="5"/>
  <c r="G45" i="5"/>
  <c r="I45" i="5" s="1"/>
  <c r="G53" i="5"/>
  <c r="I53" i="5" s="1"/>
  <c r="J47" i="5"/>
  <c r="K47" i="5" s="1"/>
  <c r="D47" i="5"/>
  <c r="K57" i="5"/>
  <c r="E57" i="5"/>
  <c r="D57" i="5"/>
  <c r="H57" i="5"/>
  <c r="G57" i="5"/>
  <c r="I57" i="5" s="1"/>
  <c r="P16" i="8"/>
  <c r="F39" i="4" s="1"/>
  <c r="D3" i="11"/>
  <c r="K28" i="5"/>
  <c r="G28" i="5"/>
  <c r="I28" i="5" s="1"/>
  <c r="E28" i="5"/>
  <c r="D28" i="5"/>
  <c r="J50" i="5"/>
  <c r="K50" i="5" s="1"/>
  <c r="H50" i="5"/>
  <c r="H30" i="5"/>
  <c r="G30" i="5"/>
  <c r="I30" i="5" s="1"/>
  <c r="E30" i="5"/>
  <c r="D30" i="5"/>
  <c r="J30" i="5"/>
  <c r="K30" i="5" s="1"/>
  <c r="J40" i="5"/>
  <c r="K40" i="5" s="1"/>
  <c r="H40" i="5"/>
  <c r="G40" i="5"/>
  <c r="I40" i="5" s="1"/>
  <c r="E40" i="5"/>
  <c r="J31" i="5"/>
  <c r="K31" i="5" s="1"/>
  <c r="D31" i="5"/>
  <c r="K41" i="5"/>
  <c r="E41" i="5"/>
  <c r="D41" i="5"/>
  <c r="H41" i="5"/>
  <c r="G41" i="5"/>
  <c r="I41" i="5" s="1"/>
  <c r="F47" i="5"/>
  <c r="D34" i="5"/>
  <c r="E50" i="5"/>
  <c r="E3" i="11"/>
  <c r="C31" i="5"/>
  <c r="J42" i="5"/>
  <c r="K42" i="5" s="1"/>
  <c r="H42" i="5"/>
  <c r="K52" i="5"/>
  <c r="G52" i="5"/>
  <c r="I52" i="5" s="1"/>
  <c r="E52" i="5"/>
  <c r="D52" i="5"/>
  <c r="D26" i="5"/>
  <c r="E34" i="5"/>
  <c r="G42" i="5"/>
  <c r="I42" i="5" s="1"/>
  <c r="G50" i="5"/>
  <c r="I50" i="5" s="1"/>
  <c r="J38" i="5"/>
  <c r="K38" i="5" s="1"/>
  <c r="H49" i="5"/>
  <c r="D39" i="5"/>
  <c r="I49" i="5"/>
  <c r="E48" i="5"/>
  <c r="G48" i="5"/>
  <c r="I48" i="5" s="1"/>
  <c r="H48" i="5"/>
  <c r="D38" i="5"/>
  <c r="E38" i="5"/>
  <c r="J48" i="5"/>
  <c r="K48" i="5" s="1"/>
  <c r="G38" i="5"/>
  <c r="I38" i="5" s="1"/>
  <c r="D49" i="5"/>
  <c r="H38" i="5"/>
  <c r="E49" i="5"/>
  <c r="D16" i="5"/>
  <c r="F27" i="5"/>
  <c r="F55" i="5"/>
  <c r="F39" i="5"/>
  <c r="F51" i="5"/>
  <c r="F31" i="5"/>
  <c r="F59" i="5"/>
  <c r="F43" i="5"/>
  <c r="F35" i="5"/>
  <c r="D8" i="5"/>
  <c r="C22" i="5"/>
  <c r="C26" i="5"/>
  <c r="C30" i="5"/>
  <c r="C34" i="5"/>
  <c r="C38" i="5"/>
  <c r="C42" i="5"/>
  <c r="C46" i="5"/>
  <c r="C50" i="5"/>
  <c r="C54" i="5"/>
  <c r="C58" i="5"/>
  <c r="F26" i="5"/>
  <c r="F30" i="5"/>
  <c r="F34" i="5"/>
  <c r="F38" i="5"/>
  <c r="F42" i="5"/>
  <c r="F46" i="5"/>
  <c r="F50" i="5"/>
  <c r="F54" i="5"/>
  <c r="F58" i="5"/>
  <c r="C24" i="5"/>
  <c r="C32" i="5"/>
  <c r="C40" i="5"/>
  <c r="C44" i="5"/>
  <c r="C48" i="5"/>
  <c r="C56" i="5"/>
  <c r="F28" i="5"/>
  <c r="F32" i="5"/>
  <c r="F36" i="5"/>
  <c r="F40" i="5"/>
  <c r="F44" i="5"/>
  <c r="F48" i="5"/>
  <c r="F52" i="5"/>
  <c r="C21" i="5"/>
  <c r="C25" i="5"/>
  <c r="C29" i="5"/>
  <c r="C33" i="5"/>
  <c r="C37" i="5"/>
  <c r="C41" i="5"/>
  <c r="C45" i="5"/>
  <c r="C49" i="5"/>
  <c r="C53" i="5"/>
  <c r="C57" i="5"/>
  <c r="F29" i="5"/>
  <c r="F33" i="5"/>
  <c r="F37" i="5"/>
  <c r="F41" i="5"/>
  <c r="F45" i="5"/>
  <c r="F49" i="5"/>
  <c r="F53" i="5"/>
  <c r="F57" i="5"/>
  <c r="C20" i="5"/>
  <c r="C28" i="5"/>
  <c r="C36" i="5"/>
  <c r="C52" i="5"/>
  <c r="F24" i="5"/>
  <c r="F56" i="5"/>
  <c r="AB4" i="94" l="1"/>
  <c r="C12" i="82" a="1"/>
  <c r="B12" i="95" a="1"/>
  <c r="BR12" i="95" a="1"/>
  <c r="AB5" i="95" a="1"/>
  <c r="AB20" i="96"/>
  <c r="BA3" i="96" a="1"/>
  <c r="BA5" i="96" a="1"/>
  <c r="BA7" i="96" a="1"/>
  <c r="AB2" i="96" a="1"/>
  <c r="K27" i="77" s="1"/>
  <c r="B6" i="96" a="1"/>
  <c r="AI12" i="96" a="1"/>
  <c r="AK12" i="96" a="1"/>
  <c r="AG12" i="96" a="1"/>
  <c r="AH12" i="96" a="1"/>
  <c r="AJ12" i="96" a="1"/>
  <c r="BA6" i="96" a="1"/>
  <c r="CA3" i="88"/>
  <c r="AC8" i="88" a="1"/>
  <c r="AC8" i="89" a="1"/>
  <c r="AI3" i="85"/>
  <c r="AH3" i="85"/>
  <c r="H10" i="85" s="1" a="1"/>
  <c r="AG3" i="85"/>
  <c r="FC160" i="76"/>
  <c r="FB160" i="76"/>
  <c r="AB6" i="84"/>
  <c r="AB5" i="84"/>
  <c r="AE3" i="84" s="1"/>
  <c r="FC120" i="76"/>
  <c r="FB120" i="76"/>
  <c r="B12" i="82" a="1"/>
  <c r="AL15" i="82" a="1"/>
  <c r="BZ15" i="82" a="1"/>
  <c r="EH15" i="82" a="1"/>
  <c r="AH14" i="82" a="1"/>
  <c r="FA40" i="76" s="1"/>
  <c r="F36" i="4" a="1"/>
  <c r="AB7" i="83" a="1"/>
  <c r="EL15" i="82" a="1"/>
  <c r="F17" i="83" a="1"/>
  <c r="C28" i="83" a="1"/>
  <c r="E17" i="83" a="1"/>
  <c r="D17" i="83" a="1"/>
  <c r="C17" i="83" a="1"/>
  <c r="I17" i="83" a="1"/>
  <c r="H17" i="83" a="1"/>
  <c r="J17" i="83"/>
  <c r="G17" i="83" a="1"/>
  <c r="C27" i="83" a="1"/>
  <c r="AK11" i="83" s="1" a="1"/>
  <c r="J16" i="83"/>
  <c r="C16" i="83" a="1"/>
  <c r="H16" i="83" a="1"/>
  <c r="G16" i="83" a="1"/>
  <c r="F16" i="83" a="1"/>
  <c r="E16" i="83" a="1"/>
  <c r="D16" i="83" a="1"/>
  <c r="F15" i="83" a="1"/>
  <c r="C26" i="83" a="1"/>
  <c r="AJ11" i="83" s="1" a="1"/>
  <c r="I15" i="83" a="1"/>
  <c r="G15" i="83" a="1"/>
  <c r="J15" i="83"/>
  <c r="H15" i="83" a="1"/>
  <c r="E15" i="83" a="1"/>
  <c r="D15" i="83" a="1"/>
  <c r="C15" i="83" a="1"/>
  <c r="C25" i="83" a="1"/>
  <c r="AI11" i="83" s="1" a="1"/>
  <c r="J14" i="83"/>
  <c r="H14" i="83" a="1"/>
  <c r="G14" i="83" a="1"/>
  <c r="F14" i="83" a="1"/>
  <c r="E14" i="83" a="1"/>
  <c r="D14" i="83" a="1"/>
  <c r="C14" i="83" a="1"/>
  <c r="C24" i="83" a="1"/>
  <c r="AH11" i="83" s="1" a="1"/>
  <c r="J13" i="83"/>
  <c r="H13" i="83" a="1"/>
  <c r="G13" i="83" a="1"/>
  <c r="F13" i="83" a="1"/>
  <c r="E13" i="83" a="1"/>
  <c r="D13" i="83" a="1"/>
  <c r="C13" i="83" a="1"/>
  <c r="J12" i="83"/>
  <c r="C23" i="83" a="1"/>
  <c r="AG11" i="83" s="1" a="1"/>
  <c r="H12" i="83" a="1"/>
  <c r="G12" i="83" a="1"/>
  <c r="F12" i="83" a="1"/>
  <c r="E12" i="83" a="1"/>
  <c r="D12" i="83" a="1"/>
  <c r="C12" i="83" a="1"/>
  <c r="AB9" i="81" a="1"/>
  <c r="AB22" i="81" a="1"/>
  <c r="AB30" i="81" a="1"/>
  <c r="AB37" i="81" a="1"/>
  <c r="AB8" i="81" a="1"/>
  <c r="AB16" i="81" a="1"/>
  <c r="AB23" i="81" a="1"/>
  <c r="AB27" i="81" a="1"/>
  <c r="AB33" i="81" a="1"/>
  <c r="AB38" i="81" a="1"/>
  <c r="AB42" i="81" a="1"/>
  <c r="AB12" i="81" a="1"/>
  <c r="AB13" i="81" a="1"/>
  <c r="AB17" i="81" a="1"/>
  <c r="AB20" i="81" a="1"/>
  <c r="AB24" i="81" a="1"/>
  <c r="AB28" i="81" a="1"/>
  <c r="AB32" i="81" a="1"/>
  <c r="AB36" i="81" a="1"/>
  <c r="AB40" i="81" a="1"/>
  <c r="AB43" i="81" a="1"/>
  <c r="AB14" i="81" a="1"/>
  <c r="AB19" i="81" a="1"/>
  <c r="AB25" i="81" a="1"/>
  <c r="AB5" i="81" a="1"/>
  <c r="AB29" i="81" a="1"/>
  <c r="AB34" i="81" a="1"/>
  <c r="AB39" i="81" a="1"/>
  <c r="AB10" i="81" a="1"/>
  <c r="AB15" i="81" a="1"/>
  <c r="AB18" i="81" a="1"/>
  <c r="AB21" i="81" a="1"/>
  <c r="AB26" i="81" a="1"/>
  <c r="AB31" i="81" a="1"/>
  <c r="AB35" i="81" a="1"/>
  <c r="AB41" i="81" a="1"/>
  <c r="AB11" i="81" a="1"/>
  <c r="I31" i="4"/>
  <c r="J31" i="4"/>
  <c r="AB17" i="80" a="1"/>
  <c r="AB30" i="80" a="1"/>
  <c r="AB28" i="80" a="1"/>
  <c r="AB26" i="80" a="1"/>
  <c r="AB24" i="80" a="1"/>
  <c r="AB22" i="80" a="1"/>
  <c r="AB20" i="80" a="1"/>
  <c r="AB18" i="80" a="1"/>
  <c r="AB16" i="80" a="1"/>
  <c r="AB14" i="80" a="1"/>
  <c r="AB11" i="80" a="1"/>
  <c r="AB9" i="80" a="1"/>
  <c r="AB31" i="80" a="1"/>
  <c r="AB29" i="80" a="1"/>
  <c r="AC29" i="80" s="1" a="1"/>
  <c r="AB27" i="80" a="1"/>
  <c r="AB25" i="80" a="1"/>
  <c r="AB23" i="80" a="1"/>
  <c r="AB21" i="80" a="1"/>
  <c r="AB19" i="80" a="1"/>
  <c r="AB15" i="80" a="1"/>
  <c r="AB13" i="80" a="1"/>
  <c r="AB12" i="80" a="1"/>
  <c r="AB10" i="80" a="1"/>
  <c r="AB8" i="80" a="1"/>
  <c r="AB30" i="79" a="1"/>
  <c r="AB28" i="79" a="1"/>
  <c r="AB26" i="79" a="1"/>
  <c r="AC26" i="79" s="1" a="1"/>
  <c r="AB25" i="79" a="1"/>
  <c r="AB23" i="79" a="1"/>
  <c r="AB22" i="79" a="1"/>
  <c r="AB21" i="79" a="1"/>
  <c r="AB20" i="79" a="1"/>
  <c r="AB19" i="79" a="1"/>
  <c r="AB18" i="79" a="1"/>
  <c r="AB17" i="79" a="1"/>
  <c r="AB16" i="79" a="1"/>
  <c r="AB15" i="79" a="1"/>
  <c r="AB14" i="79" a="1"/>
  <c r="AB13" i="79" a="1"/>
  <c r="AB11" i="79" a="1"/>
  <c r="AB10" i="79" a="1"/>
  <c r="AB9" i="79" a="1"/>
  <c r="AB8" i="79" a="1"/>
  <c r="AB31" i="79" a="1"/>
  <c r="AB29" i="79" a="1"/>
  <c r="AB27" i="79" a="1"/>
  <c r="AB24" i="79" a="1"/>
  <c r="AB12" i="79" a="1"/>
  <c r="AB31" i="78" a="1"/>
  <c r="AB30" i="78" a="1"/>
  <c r="AB28" i="78" a="1"/>
  <c r="AB24" i="78" a="1"/>
  <c r="AB10" i="78" a="1"/>
  <c r="AB26" i="78" a="1"/>
  <c r="AB23" i="78" a="1"/>
  <c r="AB22" i="78" a="1"/>
  <c r="AB20" i="78" a="1"/>
  <c r="AB18" i="78" a="1"/>
  <c r="AB16" i="78" a="1"/>
  <c r="AB14" i="78" a="1"/>
  <c r="AB12" i="78" a="1"/>
  <c r="AB8" i="78" a="1"/>
  <c r="AB29" i="78" a="1"/>
  <c r="AB27" i="78" a="1"/>
  <c r="AB25" i="78" a="1"/>
  <c r="AB21" i="78" a="1"/>
  <c r="AB19" i="78" a="1"/>
  <c r="AB17" i="78" a="1"/>
  <c r="AB15" i="78" a="1"/>
  <c r="AB13" i="78" a="1"/>
  <c r="AB11" i="78" a="1"/>
  <c r="AB9" i="78" a="1"/>
  <c r="T54" i="4" a="1"/>
  <c r="H19" i="22"/>
  <c r="F25" i="4" a="1"/>
  <c r="J21" i="4" a="1"/>
  <c r="I21" i="4"/>
  <c r="J39" i="4"/>
  <c r="I39" i="4"/>
  <c r="F35" i="4"/>
  <c r="I35" i="4" s="1"/>
  <c r="J20" i="5"/>
  <c r="K20" i="5" s="1"/>
  <c r="H3" i="6"/>
  <c r="K56" i="4" a="1"/>
  <c r="F26" i="4" a="1"/>
  <c r="J37" i="4"/>
  <c r="J23" i="4"/>
  <c r="F22" i="4" a="1"/>
  <c r="J23" i="5"/>
  <c r="K23" i="5" s="1"/>
  <c r="J21" i="5"/>
  <c r="K21" i="5" s="1"/>
  <c r="J22" i="5"/>
  <c r="K22" i="5" s="1"/>
  <c r="D11" i="5"/>
  <c r="D12" i="5" s="1"/>
  <c r="D4" i="5"/>
  <c r="J24" i="5"/>
  <c r="K24" i="5" s="1"/>
  <c r="E60" i="5"/>
  <c r="G60" i="5"/>
  <c r="D60" i="5"/>
  <c r="F60" i="5"/>
  <c r="AB10" i="94" l="1"/>
  <c r="AB9" i="94"/>
  <c r="D12" i="95" a="1"/>
  <c r="BP12" i="95" a="1"/>
  <c r="H14" i="22" a="1"/>
  <c r="B16" i="96" a="1"/>
  <c r="F13" i="96" a="1"/>
  <c r="H13" i="96" a="1"/>
  <c r="F15" i="96" a="1"/>
  <c r="H15" i="96" a="1"/>
  <c r="AL12" i="96" a="1"/>
  <c r="AM12" i="96" a="1"/>
  <c r="H14" i="96" a="1"/>
  <c r="F14" i="96" a="1"/>
  <c r="BA4" i="96" a="1"/>
  <c r="H140" i="92" s="1" a="1"/>
  <c r="BA8" i="96" a="1"/>
  <c r="CA4" i="88"/>
  <c r="CB8" i="88" a="1"/>
  <c r="CI8" i="88" a="1"/>
  <c r="BG20" i="88"/>
  <c r="BG21" i="88"/>
  <c r="BG22" i="88"/>
  <c r="CP8" i="88" a="1"/>
  <c r="BG3" i="88" a="1"/>
  <c r="BG2" i="88" a="1"/>
  <c r="AB2" i="88"/>
  <c r="BH8" i="88" a="1"/>
  <c r="BH8" i="89" a="1"/>
  <c r="B6" i="89"/>
  <c r="B6" i="88"/>
  <c r="B31" i="88"/>
  <c r="BF15" i="82" a="1"/>
  <c r="AQ8" i="85"/>
  <c r="AI5" i="85" a="1"/>
  <c r="J14" i="85" s="1" a="1"/>
  <c r="AN8" i="85"/>
  <c r="AN9" i="85"/>
  <c r="AN10" i="85"/>
  <c r="AN11" i="85"/>
  <c r="AG6" i="85"/>
  <c r="F13" i="85" s="1" a="1"/>
  <c r="AQ9" i="85"/>
  <c r="AQ10" i="85"/>
  <c r="AQ11" i="85"/>
  <c r="AQ12" i="85"/>
  <c r="AQ13" i="85"/>
  <c r="J10" i="85" a="1"/>
  <c r="AI4" i="85"/>
  <c r="J11" i="85" s="1" a="1"/>
  <c r="AI6" i="85"/>
  <c r="J15" i="85" s="1" a="1"/>
  <c r="AH4" i="85"/>
  <c r="H11" i="85" s="1" a="1"/>
  <c r="AH5" i="85"/>
  <c r="H12" i="85" s="1" a="1"/>
  <c r="AH6" i="85"/>
  <c r="H13" i="85" s="1" a="1"/>
  <c r="AN12" i="85"/>
  <c r="AN13" i="85"/>
  <c r="AN14" i="85"/>
  <c r="AN15" i="85"/>
  <c r="F10" i="85" a="1"/>
  <c r="AG5" i="85"/>
  <c r="F12" i="85" s="1" a="1"/>
  <c r="AG4" i="85"/>
  <c r="B6" i="85" a="1"/>
  <c r="AB9" i="84"/>
  <c r="F11" i="84" a="1"/>
  <c r="AE4" i="84"/>
  <c r="F12" i="84" s="1" a="1"/>
  <c r="AE5" i="84"/>
  <c r="F13" i="84" s="1" a="1"/>
  <c r="AE6" i="84"/>
  <c r="F14" i="84" s="1" a="1"/>
  <c r="AE7" i="84"/>
  <c r="F15" i="84" s="1" a="1"/>
  <c r="AE8" i="84"/>
  <c r="F17" i="84" s="1" a="1"/>
  <c r="AE9" i="84"/>
  <c r="F16" i="84" s="1" a="1"/>
  <c r="AE10" i="84" a="1"/>
  <c r="AE11" i="84"/>
  <c r="F21" i="84" s="1" a="1"/>
  <c r="AE12" i="84"/>
  <c r="F22" i="84" s="1" a="1"/>
  <c r="B6" i="84" a="1"/>
  <c r="F10" i="84" a="1"/>
  <c r="B31" i="84" a="1"/>
  <c r="D31" i="84" a="1"/>
  <c r="E31" i="84" a="1"/>
  <c r="F31" i="84" a="1"/>
  <c r="AH8" i="84" a="1"/>
  <c r="AL8" i="84" a="1"/>
  <c r="AM8" i="84" s="1" a="1"/>
  <c r="FB40" i="76"/>
  <c r="FC40" i="76"/>
  <c r="J36" i="4"/>
  <c r="I36" i="4"/>
  <c r="AJ16" i="81" a="1"/>
  <c r="AD16" i="81" a="1"/>
  <c r="AE16" i="81" a="1"/>
  <c r="AG16" i="81" a="1"/>
  <c r="AQ16" i="81"/>
  <c r="AC16" i="81" a="1"/>
  <c r="AF16" i="81" a="1"/>
  <c r="AK16" i="81" a="1"/>
  <c r="AF23" i="81" a="1"/>
  <c r="AH23" i="81" a="1"/>
  <c r="AJ23" i="81" a="1"/>
  <c r="AC23" i="81" a="1"/>
  <c r="AD23" i="81" a="1"/>
  <c r="AI23" i="81" a="1"/>
  <c r="AL23" i="81" s="1"/>
  <c r="EP15" i="82" a="1"/>
  <c r="EM15" i="82" a="1"/>
  <c r="AN11" i="83" a="1"/>
  <c r="AB8" i="83"/>
  <c r="AD11" i="83" a="1"/>
  <c r="AC11" i="83" s="1" a="1"/>
  <c r="AL11" i="83" a="1"/>
  <c r="B1" i="83" a="1"/>
  <c r="B2" i="83" a="1"/>
  <c r="B6" i="83" a="1"/>
  <c r="AQ23" i="81"/>
  <c r="AG23" i="81" a="1"/>
  <c r="AE23" i="81" a="1"/>
  <c r="AK23" i="81" a="1"/>
  <c r="AC27" i="81" a="1"/>
  <c r="AD27" i="81" a="1"/>
  <c r="AE27" i="81" a="1"/>
  <c r="AF27" i="81" a="1"/>
  <c r="AG27" i="81" a="1"/>
  <c r="AH27" i="81" a="1"/>
  <c r="AI27" i="81" a="1"/>
  <c r="AL27" i="81" s="1"/>
  <c r="AJ27" i="81" a="1"/>
  <c r="AQ27" i="81"/>
  <c r="AK27" i="81" a="1"/>
  <c r="AD33" i="81" a="1"/>
  <c r="AG33" i="81" a="1"/>
  <c r="AI33" i="81" a="1"/>
  <c r="AL33" i="81" s="1"/>
  <c r="AJ33" i="81" a="1"/>
  <c r="AC33" i="81" a="1"/>
  <c r="AE33" i="81" a="1"/>
  <c r="AQ33" i="81"/>
  <c r="AF33" i="81" a="1"/>
  <c r="AK33" i="81" a="1"/>
  <c r="AH33" i="81" a="1"/>
  <c r="AF38" i="81" a="1"/>
  <c r="AE38" i="81" a="1"/>
  <c r="AG38" i="81" a="1"/>
  <c r="AH38" i="81" a="1"/>
  <c r="AJ38" i="81" a="1"/>
  <c r="AD38" i="81" a="1"/>
  <c r="AI38" i="81" a="1"/>
  <c r="AL38" i="81" s="1"/>
  <c r="AQ38" i="81"/>
  <c r="AC38" i="81" a="1"/>
  <c r="AK38" i="81" a="1"/>
  <c r="AE42" i="81" a="1"/>
  <c r="AJ42" i="81" a="1"/>
  <c r="AF42" i="81" a="1"/>
  <c r="AG42" i="81" a="1"/>
  <c r="AI42" i="81" a="1"/>
  <c r="AL42" i="81" s="1"/>
  <c r="AK42" i="81" a="1"/>
  <c r="AQ42" i="81"/>
  <c r="AD42" i="81" a="1"/>
  <c r="AH42" i="81" a="1"/>
  <c r="AC42" i="81" a="1"/>
  <c r="AD12" i="81" a="1"/>
  <c r="AE12" i="81" a="1"/>
  <c r="AG12" i="81" a="1"/>
  <c r="AC12" i="81" a="1"/>
  <c r="AF12" i="81" a="1"/>
  <c r="AK13" i="81" a="1"/>
  <c r="AD13" i="81" a="1"/>
  <c r="AE13" i="81" a="1"/>
  <c r="AH13" i="81" a="1"/>
  <c r="AI13" i="81" a="1"/>
  <c r="AL13" i="81" s="1"/>
  <c r="AC13" i="81" a="1"/>
  <c r="AF13" i="81" a="1"/>
  <c r="AJ13" i="81" a="1"/>
  <c r="AQ13" i="81"/>
  <c r="AG13" i="81" a="1"/>
  <c r="AD17" i="81" a="1"/>
  <c r="AE17" i="81" a="1"/>
  <c r="AC17" i="81" a="1"/>
  <c r="AH17" i="81" a="1"/>
  <c r="AJ17" i="81" a="1"/>
  <c r="AF17" i="81" a="1"/>
  <c r="AQ17" i="81"/>
  <c r="AG17" i="81" a="1"/>
  <c r="AI17" i="81" a="1"/>
  <c r="AL17" i="81" s="1"/>
  <c r="AK17" i="81" a="1"/>
  <c r="AH20" i="81" a="1"/>
  <c r="AD20" i="81" a="1"/>
  <c r="AE20" i="81" a="1"/>
  <c r="AK20" i="81" a="1"/>
  <c r="AF20" i="81" a="1"/>
  <c r="AG20" i="81" a="1"/>
  <c r="AI20" i="81" a="1"/>
  <c r="AL20" i="81" s="1"/>
  <c r="AJ20" i="81" a="1"/>
  <c r="AC20" i="81" a="1"/>
  <c r="AQ20" i="81"/>
  <c r="AG24" i="81" a="1"/>
  <c r="AK24" i="81" a="1"/>
  <c r="AF24" i="81" a="1"/>
  <c r="AI24" i="81" a="1"/>
  <c r="AL24" i="81" s="1"/>
  <c r="AJ24" i="81" a="1"/>
  <c r="AE24" i="81" a="1"/>
  <c r="AQ24" i="81"/>
  <c r="AC24" i="81" a="1"/>
  <c r="AD24" i="81" a="1"/>
  <c r="AH24" i="81" a="1"/>
  <c r="AG28" i="81" a="1"/>
  <c r="AI28" i="81" a="1"/>
  <c r="AL28" i="81" s="1"/>
  <c r="AF28" i="81" a="1"/>
  <c r="AJ28" i="81" a="1"/>
  <c r="AD28" i="81" a="1"/>
  <c r="AE28" i="81" a="1"/>
  <c r="AQ28" i="81"/>
  <c r="AC28" i="81" a="1"/>
  <c r="AH28" i="81" a="1"/>
  <c r="AK28" i="81" a="1"/>
  <c r="AC32" i="81" a="1"/>
  <c r="AE32" i="81" a="1"/>
  <c r="AK32" i="81" a="1"/>
  <c r="AJ32" i="81" a="1"/>
  <c r="AD32" i="81" a="1"/>
  <c r="AF32" i="81" a="1"/>
  <c r="AG32" i="81" a="1"/>
  <c r="AH32" i="81" a="1"/>
  <c r="AI32" i="81" a="1"/>
  <c r="AL32" i="81" s="1"/>
  <c r="AQ32" i="81"/>
  <c r="AJ36" i="81" a="1"/>
  <c r="AI36" i="81" a="1"/>
  <c r="AL36" i="81" s="1"/>
  <c r="AK36" i="81" a="1"/>
  <c r="AQ36" i="81"/>
  <c r="AH36" i="81" a="1"/>
  <c r="AC36" i="81" a="1"/>
  <c r="AF36" i="81" a="1"/>
  <c r="AE36" i="81" a="1"/>
  <c r="AD36" i="81" a="1"/>
  <c r="AG36" i="81" a="1"/>
  <c r="AC40" i="81" a="1"/>
  <c r="AQ40" i="81"/>
  <c r="AK40" i="81" a="1"/>
  <c r="AE40" i="81" a="1"/>
  <c r="AJ40" i="81" a="1"/>
  <c r="AF40" i="81" a="1"/>
  <c r="AH40" i="81" a="1"/>
  <c r="AI40" i="81" a="1"/>
  <c r="AL40" i="81" s="1"/>
  <c r="AD40" i="81" a="1"/>
  <c r="AG40" i="81" a="1"/>
  <c r="AE43" i="81" a="1"/>
  <c r="AI43" i="81" a="1"/>
  <c r="AL43" i="81" s="1"/>
  <c r="AK43" i="81" a="1"/>
  <c r="AF43" i="81" a="1"/>
  <c r="AC43" i="81" a="1"/>
  <c r="AJ43" i="81" a="1"/>
  <c r="AD43" i="81" a="1"/>
  <c r="AH43" i="81" a="1"/>
  <c r="AQ43" i="81"/>
  <c r="AG43" i="81" a="1"/>
  <c r="AH14" i="81" a="1"/>
  <c r="AJ14" i="81" a="1"/>
  <c r="AC14" i="81" a="1"/>
  <c r="AF14" i="81" a="1"/>
  <c r="AG14" i="81" a="1"/>
  <c r="AE14" i="81" a="1"/>
  <c r="AQ14" i="81"/>
  <c r="AI14" i="81" a="1"/>
  <c r="AL14" i="81" s="1"/>
  <c r="AK14" i="81" a="1"/>
  <c r="AD14" i="81" a="1"/>
  <c r="AQ19" i="81"/>
  <c r="AF19" i="81" a="1"/>
  <c r="AJ19" i="81" a="1"/>
  <c r="AH19" i="81" a="1"/>
  <c r="AG19" i="81" a="1"/>
  <c r="AE19" i="81" a="1"/>
  <c r="AC19" i="81" a="1"/>
  <c r="AI19" i="81" a="1"/>
  <c r="AL19" i="81" s="1"/>
  <c r="AK19" i="81" a="1"/>
  <c r="AD19" i="81" a="1"/>
  <c r="AF25" i="81" a="1"/>
  <c r="AD25" i="81" a="1"/>
  <c r="AE25" i="81" a="1"/>
  <c r="AQ25" i="81"/>
  <c r="AG25" i="81" a="1"/>
  <c r="AJ25" i="81" a="1"/>
  <c r="AI25" i="81" a="1"/>
  <c r="AL25" i="81" s="1"/>
  <c r="AC25" i="81" a="1"/>
  <c r="AH25" i="81" a="1"/>
  <c r="AK25" i="81" a="1"/>
  <c r="AI29" i="81" a="1"/>
  <c r="AL29" i="81" s="1"/>
  <c r="AJ29" i="81" a="1"/>
  <c r="AH29" i="81" a="1"/>
  <c r="AG29" i="81" a="1"/>
  <c r="AE29" i="81" a="1"/>
  <c r="AF29" i="81" a="1"/>
  <c r="AQ29" i="81"/>
  <c r="AC29" i="81" a="1"/>
  <c r="AD29" i="81" a="1"/>
  <c r="AK29" i="81" a="1"/>
  <c r="AF34" i="81" a="1"/>
  <c r="AE34" i="81" a="1"/>
  <c r="AI34" i="81" a="1"/>
  <c r="AL34" i="81" s="1"/>
  <c r="AC34" i="81" a="1"/>
  <c r="AD34" i="81" a="1"/>
  <c r="AH34" i="81" a="1"/>
  <c r="AJ34" i="81" a="1"/>
  <c r="AG34" i="81" a="1"/>
  <c r="AK34" i="81" a="1"/>
  <c r="AQ34" i="81"/>
  <c r="AI39" i="81" a="1"/>
  <c r="AL39" i="81" s="1"/>
  <c r="AH39" i="81" a="1"/>
  <c r="AE39" i="81" a="1"/>
  <c r="AK39" i="81" a="1"/>
  <c r="AD39" i="81" a="1"/>
  <c r="AJ39" i="81" a="1"/>
  <c r="AC39" i="81" a="1"/>
  <c r="AF39" i="81" a="1"/>
  <c r="AG39" i="81" a="1"/>
  <c r="AQ39" i="81"/>
  <c r="AK10" i="81" a="1"/>
  <c r="AQ10" i="81"/>
  <c r="AH10" i="81" a="1"/>
  <c r="AI10" i="81" a="1"/>
  <c r="AL10" i="81" s="1"/>
  <c r="AC10" i="81" a="1"/>
  <c r="AD10" i="81" a="1"/>
  <c r="AG10" i="81" a="1"/>
  <c r="AE10" i="81" a="1"/>
  <c r="AF10" i="81" a="1"/>
  <c r="AJ10" i="81" a="1"/>
  <c r="AD15" i="81" a="1"/>
  <c r="AE15" i="81" a="1"/>
  <c r="AC15" i="81" a="1"/>
  <c r="AI15" i="81" a="1"/>
  <c r="AL15" i="81" s="1"/>
  <c r="AK15" i="81" a="1"/>
  <c r="AQ15" i="81"/>
  <c r="AH15" i="81" a="1"/>
  <c r="AJ15" i="81" a="1"/>
  <c r="AG15" i="81" a="1"/>
  <c r="AF15" i="81" a="1"/>
  <c r="AG18" i="81" a="1"/>
  <c r="AH18" i="81" a="1"/>
  <c r="AI18" i="81" a="1"/>
  <c r="AL18" i="81" s="1"/>
  <c r="AC18" i="81" a="1"/>
  <c r="AE18" i="81" a="1"/>
  <c r="AJ18" i="81" a="1"/>
  <c r="AD18" i="81" a="1"/>
  <c r="AK18" i="81" a="1"/>
  <c r="AF18" i="81" a="1"/>
  <c r="AQ18" i="81"/>
  <c r="AK21" i="81" a="1"/>
  <c r="AG21" i="81" a="1"/>
  <c r="AJ21" i="81" a="1"/>
  <c r="AQ21" i="81"/>
  <c r="AI21" i="81" a="1"/>
  <c r="AL21" i="81" s="1"/>
  <c r="AE21" i="81" a="1"/>
  <c r="AF21" i="81" a="1"/>
  <c r="AC21" i="81" a="1"/>
  <c r="AD21" i="81" a="1"/>
  <c r="AH21" i="81" a="1"/>
  <c r="AJ26" i="81" a="1"/>
  <c r="AF26" i="81" a="1"/>
  <c r="AG26" i="81" a="1"/>
  <c r="AC26" i="81" a="1"/>
  <c r="AI26" i="81" a="1"/>
  <c r="AL26" i="81" s="1"/>
  <c r="AK26" i="81" a="1"/>
  <c r="AD26" i="81" a="1"/>
  <c r="AE26" i="81" a="1"/>
  <c r="AQ26" i="81"/>
  <c r="AH26" i="81" a="1"/>
  <c r="AD31" i="81" a="1"/>
  <c r="AH31" i="81" a="1"/>
  <c r="AJ31" i="81" a="1"/>
  <c r="AE31" i="81" a="1"/>
  <c r="AK31" i="81" a="1"/>
  <c r="AQ31" i="81"/>
  <c r="AC31" i="81" a="1"/>
  <c r="AI31" i="81" a="1"/>
  <c r="AL31" i="81" s="1"/>
  <c r="AG31" i="81" a="1"/>
  <c r="AF31" i="81" a="1"/>
  <c r="AG35" i="81" a="1"/>
  <c r="AK35" i="81" a="1"/>
  <c r="AD35" i="81" a="1"/>
  <c r="AJ35" i="81" a="1"/>
  <c r="AQ35" i="81"/>
  <c r="AH35" i="81" a="1"/>
  <c r="AF35" i="81" a="1"/>
  <c r="AC35" i="81" a="1"/>
  <c r="AI35" i="81" a="1"/>
  <c r="AL35" i="81" s="1"/>
  <c r="AE35" i="81" a="1"/>
  <c r="AC41" i="81" a="1"/>
  <c r="AH41" i="81" a="1"/>
  <c r="AK41" i="81" a="1"/>
  <c r="AD41" i="81" a="1"/>
  <c r="AJ41" i="81" a="1"/>
  <c r="AF41" i="81" a="1"/>
  <c r="AE41" i="81" a="1"/>
  <c r="AQ41" i="81"/>
  <c r="AG41" i="81" a="1"/>
  <c r="AI41" i="81" a="1"/>
  <c r="AL41" i="81" s="1"/>
  <c r="AH11" i="81" a="1"/>
  <c r="AI11" i="81" a="1"/>
  <c r="AL11" i="81" s="1"/>
  <c r="AD11" i="81" a="1"/>
  <c r="AC11" i="81" a="1"/>
  <c r="AQ11" i="81"/>
  <c r="AG11" i="81" a="1"/>
  <c r="AF11" i="81" a="1"/>
  <c r="AI9" i="81" a="1"/>
  <c r="AL9" i="81" s="1"/>
  <c r="AK9" i="81" a="1"/>
  <c r="AJ9" i="81" a="1"/>
  <c r="AE9" i="81" a="1"/>
  <c r="AF9" i="81" a="1"/>
  <c r="AC9" i="81" a="1"/>
  <c r="AD9" i="81" a="1"/>
  <c r="AH9" i="81" a="1"/>
  <c r="AQ9" i="81"/>
  <c r="AG9" i="81" a="1"/>
  <c r="AG22" i="81" a="1"/>
  <c r="AE22" i="81" a="1"/>
  <c r="AQ22" i="81"/>
  <c r="AK22" i="81" a="1"/>
  <c r="AJ22" i="81" a="1"/>
  <c r="AF22" i="81" a="1"/>
  <c r="AH22" i="81" a="1"/>
  <c r="AC22" i="81" a="1"/>
  <c r="AI22" i="81" a="1"/>
  <c r="AL22" i="81" s="1"/>
  <c r="AD22" i="81" a="1"/>
  <c r="AE30" i="81" a="1"/>
  <c r="AD30" i="81" a="1"/>
  <c r="AI30" i="81" a="1"/>
  <c r="AL30" i="81" s="1"/>
  <c r="AK30" i="81" a="1"/>
  <c r="AH30" i="81" a="1"/>
  <c r="AQ30" i="81"/>
  <c r="AG30" i="81" a="1"/>
  <c r="AC30" i="81" a="1"/>
  <c r="AJ30" i="81" a="1"/>
  <c r="AF30" i="81" a="1"/>
  <c r="AF37" i="81" a="1"/>
  <c r="AQ37" i="81"/>
  <c r="AH37" i="81" a="1"/>
  <c r="AE37" i="81" a="1"/>
  <c r="AK37" i="81" a="1"/>
  <c r="AC37" i="81" a="1"/>
  <c r="AD37" i="81" a="1"/>
  <c r="AG37" i="81" a="1"/>
  <c r="AI37" i="81" a="1"/>
  <c r="AL37" i="81" s="1"/>
  <c r="AJ37" i="81" a="1"/>
  <c r="AD8" i="81" a="1"/>
  <c r="AJ8" i="81" a="1"/>
  <c r="AF8" i="81" a="1"/>
  <c r="AK8" i="81" a="1"/>
  <c r="AC8" i="81" a="1"/>
  <c r="AH8" i="81" a="1"/>
  <c r="AI8" i="81" a="1"/>
  <c r="AL8" i="81" s="1"/>
  <c r="AE8" i="81" a="1"/>
  <c r="AQ8" i="81"/>
  <c r="AG8" i="81" a="1"/>
  <c r="AH16" i="81" a="1"/>
  <c r="AI16" i="81" a="1"/>
  <c r="AL16" i="81" s="1"/>
  <c r="AH12" i="81" a="1"/>
  <c r="AI12" i="81" a="1"/>
  <c r="AL12" i="81" s="1"/>
  <c r="AQ12" i="81"/>
  <c r="AJ12" i="81" a="1"/>
  <c r="AK12" i="81" a="1"/>
  <c r="BE6" i="81"/>
  <c r="AB6" i="81"/>
  <c r="AB4" i="81"/>
  <c r="CN44" i="81" s="1" a="1"/>
  <c r="AJ11" i="81" a="1"/>
  <c r="AK11" i="81" a="1"/>
  <c r="AE11" i="81" a="1"/>
  <c r="AC28" i="80" a="1"/>
  <c r="AF28" i="80" a="1"/>
  <c r="M18" i="80" a="1"/>
  <c r="AC30" i="80" a="1"/>
  <c r="AF30" i="80" a="1"/>
  <c r="AG30" i="80" a="1"/>
  <c r="AH30" i="80" a="1"/>
  <c r="AD30" i="80" a="1"/>
  <c r="AE30" i="80" a="1"/>
  <c r="AI30" i="80" a="1"/>
  <c r="AJ30" i="80" a="1"/>
  <c r="AK30" i="80" a="1"/>
  <c r="AG28" i="80" a="1"/>
  <c r="AH28" i="80" a="1"/>
  <c r="AD28" i="80" a="1"/>
  <c r="AE28" i="80" a="1"/>
  <c r="AI28" i="80" a="1"/>
  <c r="AJ28" i="80" a="1"/>
  <c r="AK28" i="80" a="1"/>
  <c r="AC26" i="80" a="1"/>
  <c r="AD26" i="80" a="1"/>
  <c r="AF26" i="80" a="1"/>
  <c r="AG26" i="80" a="1"/>
  <c r="AH26" i="80" a="1"/>
  <c r="AE26" i="80" a="1"/>
  <c r="AI26" i="80" a="1"/>
  <c r="AJ26" i="80" a="1"/>
  <c r="AK26" i="80" a="1"/>
  <c r="AC24" i="80" a="1"/>
  <c r="AD24" i="80" a="1"/>
  <c r="AF24" i="80" a="1"/>
  <c r="AG24" i="80" a="1"/>
  <c r="AH24" i="80" a="1"/>
  <c r="AE24" i="80" a="1"/>
  <c r="AI24" i="80" a="1"/>
  <c r="AJ24" i="80" a="1"/>
  <c r="AK24" i="80" a="1"/>
  <c r="AC22" i="80" a="1"/>
  <c r="AD22" i="80" a="1"/>
  <c r="AF22" i="80" a="1"/>
  <c r="AG22" i="80" a="1"/>
  <c r="AH22" i="80" a="1"/>
  <c r="AE22" i="80" a="1"/>
  <c r="AI22" i="80" a="1"/>
  <c r="AJ22" i="80" a="1"/>
  <c r="AK22" i="80" a="1"/>
  <c r="AC20" i="80" a="1"/>
  <c r="AF20" i="80" a="1"/>
  <c r="AG20" i="80" a="1"/>
  <c r="AH20" i="80" a="1"/>
  <c r="AD20" i="80" a="1"/>
  <c r="AE20" i="80" a="1"/>
  <c r="AI20" i="80" a="1"/>
  <c r="AJ20" i="80" a="1"/>
  <c r="AK20" i="80" a="1"/>
  <c r="AC18" i="80" a="1"/>
  <c r="AE18" i="80" a="1"/>
  <c r="AF18" i="80" a="1"/>
  <c r="AG18" i="80" a="1"/>
  <c r="AH18" i="80" a="1"/>
  <c r="AD18" i="80" a="1"/>
  <c r="AI18" i="80" a="1"/>
  <c r="AJ18" i="80" a="1"/>
  <c r="AK18" i="80" a="1"/>
  <c r="AC16" i="80" a="1"/>
  <c r="AE16" i="80" a="1"/>
  <c r="AF16" i="80" a="1"/>
  <c r="AG16" i="80" a="1"/>
  <c r="AH16" i="80" a="1"/>
  <c r="AD16" i="80" a="1"/>
  <c r="AI16" i="80" a="1"/>
  <c r="AJ16" i="80" a="1"/>
  <c r="AK16" i="80" a="1"/>
  <c r="AC14" i="80" a="1"/>
  <c r="AD14" i="80" a="1"/>
  <c r="AE14" i="80" a="1"/>
  <c r="AF14" i="80" a="1"/>
  <c r="AG14" i="80" a="1"/>
  <c r="AH14" i="80" a="1"/>
  <c r="AI14" i="80" a="1"/>
  <c r="AJ14" i="80" a="1"/>
  <c r="AK14" i="80" a="1"/>
  <c r="AE11" i="80" a="1"/>
  <c r="AF11" i="80" a="1"/>
  <c r="AG11" i="80" a="1"/>
  <c r="AH11" i="80" a="1"/>
  <c r="AC11" i="80" a="1"/>
  <c r="AD11" i="80" a="1"/>
  <c r="AI11" i="80" a="1"/>
  <c r="AJ11" i="80" a="1"/>
  <c r="AK11" i="80" a="1"/>
  <c r="AC9" i="80" a="1"/>
  <c r="AE9" i="80" a="1"/>
  <c r="AF9" i="80" a="1"/>
  <c r="AG9" i="80" a="1"/>
  <c r="AH9" i="80" a="1"/>
  <c r="AD9" i="80" a="1"/>
  <c r="AI9" i="80" a="1"/>
  <c r="AJ9" i="80" a="1"/>
  <c r="AK9" i="80" a="1"/>
  <c r="AC31" i="80" a="1"/>
  <c r="B10" i="80" s="1" a="1"/>
  <c r="AE31" i="80" a="1"/>
  <c r="AI31" i="80" a="1"/>
  <c r="AJ31" i="80" a="1"/>
  <c r="AK31" i="80" a="1"/>
  <c r="AD31" i="80" a="1"/>
  <c r="B11" i="80" s="1" a="1"/>
  <c r="AF31" i="80" a="1"/>
  <c r="AG31" i="80" a="1"/>
  <c r="AH31" i="80" a="1"/>
  <c r="AD29" i="80" a="1"/>
  <c r="AE29" i="80" a="1"/>
  <c r="AI29" i="80" a="1"/>
  <c r="AJ29" i="80" a="1"/>
  <c r="AK29" i="80" a="1"/>
  <c r="AF29" i="80" a="1"/>
  <c r="AG29" i="80" a="1"/>
  <c r="AH29" i="80" a="1"/>
  <c r="AC27" i="80" a="1"/>
  <c r="AD27" i="80" a="1"/>
  <c r="AE27" i="80" a="1"/>
  <c r="AI27" i="80" a="1"/>
  <c r="AJ27" i="80" a="1"/>
  <c r="AK27" i="80" a="1"/>
  <c r="AF27" i="80" a="1"/>
  <c r="AG27" i="80" a="1"/>
  <c r="AH27" i="80" a="1"/>
  <c r="AC25" i="80" a="1"/>
  <c r="AD25" i="80" a="1"/>
  <c r="AE25" i="80" a="1"/>
  <c r="AI25" i="80" a="1"/>
  <c r="AJ25" i="80" a="1"/>
  <c r="AK25" i="80" a="1"/>
  <c r="AF25" i="80" a="1"/>
  <c r="AG25" i="80" a="1"/>
  <c r="AH25" i="80" a="1"/>
  <c r="AC23" i="80" a="1"/>
  <c r="AD23" i="80" a="1"/>
  <c r="AI23" i="80" a="1"/>
  <c r="AJ23" i="80" a="1"/>
  <c r="AK23" i="80" a="1"/>
  <c r="AE23" i="80" a="1"/>
  <c r="AF23" i="80" a="1"/>
  <c r="AG23" i="80" a="1"/>
  <c r="AH23" i="80" a="1"/>
  <c r="AC21" i="80" a="1"/>
  <c r="AD21" i="80" a="1"/>
  <c r="AI21" i="80" a="1"/>
  <c r="AJ21" i="80" a="1"/>
  <c r="AK21" i="80" a="1"/>
  <c r="AE21" i="80" a="1"/>
  <c r="AF21" i="80" a="1"/>
  <c r="AG21" i="80" a="1"/>
  <c r="AH21" i="80" a="1"/>
  <c r="AC19" i="80" a="1"/>
  <c r="AI19" i="80" a="1"/>
  <c r="AJ19" i="80" a="1"/>
  <c r="AK19" i="80" a="1"/>
  <c r="AD19" i="80" a="1"/>
  <c r="AE19" i="80" a="1"/>
  <c r="AF19" i="80" a="1"/>
  <c r="AC17" i="80" a="1"/>
  <c r="AI17" i="80" a="1"/>
  <c r="AJ17" i="80" a="1"/>
  <c r="AK17" i="80" a="1"/>
  <c r="AD17" i="80" a="1"/>
  <c r="AE17" i="80" a="1"/>
  <c r="AF17" i="80" a="1"/>
  <c r="AG17" i="80" a="1"/>
  <c r="AH17" i="80" a="1"/>
  <c r="AG19" i="80" a="1"/>
  <c r="AH19" i="80" a="1"/>
  <c r="AC15" i="80" a="1"/>
  <c r="AD15" i="80" a="1"/>
  <c r="AI15" i="80" a="1"/>
  <c r="AJ15" i="80" a="1"/>
  <c r="AK15" i="80" a="1"/>
  <c r="AE15" i="80" a="1"/>
  <c r="AF15" i="80" a="1"/>
  <c r="AG15" i="80" a="1"/>
  <c r="AH15" i="80" a="1"/>
  <c r="AC13" i="80" a="1"/>
  <c r="AD13" i="80" a="1"/>
  <c r="AI13" i="80" a="1"/>
  <c r="AJ13" i="80" a="1"/>
  <c r="AK13" i="80" a="1"/>
  <c r="AE13" i="80" a="1"/>
  <c r="AF13" i="80" a="1"/>
  <c r="AG13" i="80" a="1"/>
  <c r="AH13" i="80" a="1"/>
  <c r="AI12" i="80" a="1"/>
  <c r="AJ12" i="80" a="1"/>
  <c r="AK12" i="80" a="1"/>
  <c r="AC12" i="80" a="1"/>
  <c r="AD12" i="80" a="1"/>
  <c r="AE12" i="80" a="1"/>
  <c r="AF12" i="80" a="1"/>
  <c r="AG12" i="80" a="1"/>
  <c r="AH12" i="80" a="1"/>
  <c r="AC10" i="80" a="1"/>
  <c r="AI10" i="80" a="1"/>
  <c r="AJ10" i="80" a="1"/>
  <c r="AK10" i="80" a="1"/>
  <c r="AD10" i="80" a="1"/>
  <c r="AE10" i="80" a="1"/>
  <c r="AF10" i="80" a="1"/>
  <c r="AG10" i="80" a="1"/>
  <c r="AH10" i="80" a="1"/>
  <c r="AC8" i="80" a="1"/>
  <c r="AD8" i="80" a="1"/>
  <c r="AI8" i="80" a="1"/>
  <c r="AJ8" i="80" a="1"/>
  <c r="AK8" i="80" a="1"/>
  <c r="AB4" i="80"/>
  <c r="AE8" i="80" a="1"/>
  <c r="AF8" i="80" a="1"/>
  <c r="AG8" i="80" a="1"/>
  <c r="AH8" i="80" a="1"/>
  <c r="M18" i="79" a="1"/>
  <c r="AC30" i="79" a="1"/>
  <c r="AE30" i="79" a="1"/>
  <c r="AF30" i="79" a="1"/>
  <c r="AH30" i="79" a="1"/>
  <c r="AJ30" i="79" a="1"/>
  <c r="AK30" i="79" a="1"/>
  <c r="AD30" i="79" a="1"/>
  <c r="AG30" i="79" a="1"/>
  <c r="AI30" i="79" a="1"/>
  <c r="AC28" i="79" a="1"/>
  <c r="AE28" i="79" a="1"/>
  <c r="AF28" i="79" a="1"/>
  <c r="AH28" i="79" a="1"/>
  <c r="AJ28" i="79" a="1"/>
  <c r="AK28" i="79" a="1"/>
  <c r="AD28" i="79" a="1"/>
  <c r="AG28" i="79" a="1"/>
  <c r="AI28" i="79" a="1"/>
  <c r="AE26" i="79" a="1"/>
  <c r="AF26" i="79" a="1"/>
  <c r="AH26" i="79" a="1"/>
  <c r="AK26" i="79" a="1"/>
  <c r="AD26" i="79" a="1"/>
  <c r="AG26" i="79" a="1"/>
  <c r="AI26" i="79" a="1"/>
  <c r="AJ26" i="79" a="1"/>
  <c r="AC25" i="79" a="1"/>
  <c r="AD25" i="79" a="1"/>
  <c r="AG25" i="79" a="1"/>
  <c r="AI25" i="79" a="1"/>
  <c r="AJ25" i="79" a="1"/>
  <c r="AK25" i="79" a="1"/>
  <c r="AE25" i="79" a="1"/>
  <c r="AF25" i="79" a="1"/>
  <c r="AH25" i="79" a="1"/>
  <c r="AC23" i="79" a="1"/>
  <c r="AI23" i="79" a="1"/>
  <c r="AK23" i="79" a="1"/>
  <c r="AD23" i="79" a="1"/>
  <c r="AE23" i="79" a="1"/>
  <c r="AF23" i="79" a="1"/>
  <c r="AG23" i="79" a="1"/>
  <c r="AH23" i="79" a="1"/>
  <c r="AJ23" i="79" a="1"/>
  <c r="AC22" i="79" a="1"/>
  <c r="AD22" i="79" a="1"/>
  <c r="AF22" i="79" a="1"/>
  <c r="AG22" i="79" a="1"/>
  <c r="AH22" i="79" a="1"/>
  <c r="AJ22" i="79" a="1"/>
  <c r="AK22" i="79" a="1"/>
  <c r="AE22" i="79" a="1"/>
  <c r="AI22" i="79" a="1"/>
  <c r="AC21" i="79" a="1"/>
  <c r="AI21" i="79" a="1"/>
  <c r="AJ21" i="79" a="1"/>
  <c r="AK21" i="79" a="1"/>
  <c r="AD21" i="79" a="1"/>
  <c r="AE21" i="79" a="1"/>
  <c r="AF21" i="79" a="1"/>
  <c r="AG21" i="79" a="1"/>
  <c r="AH21" i="79" a="1"/>
  <c r="AC20" i="79" a="1"/>
  <c r="AD20" i="79" a="1"/>
  <c r="AF20" i="79" a="1"/>
  <c r="AG20" i="79" a="1"/>
  <c r="AH20" i="79" a="1"/>
  <c r="AK20" i="79" a="1"/>
  <c r="AE20" i="79" a="1"/>
  <c r="AI20" i="79" a="1"/>
  <c r="AJ20" i="79" a="1"/>
  <c r="AC19" i="79" a="1"/>
  <c r="AI19" i="79" a="1"/>
  <c r="AJ19" i="79" a="1"/>
  <c r="AD19" i="79" a="1"/>
  <c r="AE19" i="79" a="1"/>
  <c r="AF19" i="79" a="1"/>
  <c r="AG19" i="79" a="1"/>
  <c r="AH19" i="79" a="1"/>
  <c r="AK19" i="79" a="1"/>
  <c r="AC18" i="79" a="1"/>
  <c r="AD18" i="79" a="1"/>
  <c r="AF18" i="79" a="1"/>
  <c r="AG18" i="79" a="1"/>
  <c r="AH18" i="79" a="1"/>
  <c r="AI18" i="79" a="1"/>
  <c r="AJ18" i="79" a="1"/>
  <c r="AK18" i="79" a="1"/>
  <c r="AE18" i="79" a="1"/>
  <c r="AJ17" i="79" a="1"/>
  <c r="AK17" i="79" a="1"/>
  <c r="AC17" i="79" a="1"/>
  <c r="AD17" i="79" a="1"/>
  <c r="AE17" i="79" a="1"/>
  <c r="AF17" i="79" a="1"/>
  <c r="AG17" i="79" a="1"/>
  <c r="AH17" i="79" a="1"/>
  <c r="AI17" i="79" a="1"/>
  <c r="AC16" i="79" a="1"/>
  <c r="AD16" i="79" a="1"/>
  <c r="AF16" i="79" a="1"/>
  <c r="AG16" i="79" a="1"/>
  <c r="AH16" i="79" a="1"/>
  <c r="AI16" i="79" a="1"/>
  <c r="AJ16" i="79" a="1"/>
  <c r="AK16" i="79" a="1"/>
  <c r="AE16" i="79" a="1"/>
  <c r="AF15" i="79" a="1"/>
  <c r="AJ15" i="79" a="1"/>
  <c r="AK15" i="79" a="1"/>
  <c r="AC15" i="79" a="1"/>
  <c r="AD15" i="79" a="1"/>
  <c r="AE15" i="79" a="1"/>
  <c r="AG15" i="79" a="1"/>
  <c r="AH15" i="79" a="1"/>
  <c r="AI15" i="79" a="1"/>
  <c r="AC14" i="79" a="1"/>
  <c r="AD14" i="79" a="1"/>
  <c r="AE14" i="79" a="1"/>
  <c r="AG14" i="79" a="1"/>
  <c r="AH14" i="79" a="1"/>
  <c r="AI14" i="79" a="1"/>
  <c r="AJ14" i="79" a="1"/>
  <c r="AK14" i="79" a="1"/>
  <c r="AF14" i="79" a="1"/>
  <c r="AC13" i="79" a="1"/>
  <c r="AF13" i="79" a="1"/>
  <c r="AI13" i="79" a="1"/>
  <c r="AJ13" i="79" a="1"/>
  <c r="AK13" i="79" a="1"/>
  <c r="AD13" i="79" a="1"/>
  <c r="AE13" i="79" a="1"/>
  <c r="AG13" i="79" a="1"/>
  <c r="AH13" i="79" a="1"/>
  <c r="AC11" i="79" a="1"/>
  <c r="AF11" i="79" a="1"/>
  <c r="AI11" i="79" a="1"/>
  <c r="AJ11" i="79" a="1"/>
  <c r="AK11" i="79" a="1"/>
  <c r="AD11" i="79" a="1"/>
  <c r="AE11" i="79" a="1"/>
  <c r="AG11" i="79" a="1"/>
  <c r="AH11" i="79" a="1"/>
  <c r="AD10" i="79" a="1"/>
  <c r="AE10" i="79" a="1"/>
  <c r="AG10" i="79" a="1"/>
  <c r="AH10" i="79" a="1"/>
  <c r="AI10" i="79" a="1"/>
  <c r="AJ10" i="79" a="1"/>
  <c r="AK10" i="79" a="1"/>
  <c r="AC10" i="79" a="1"/>
  <c r="AF10" i="79" a="1"/>
  <c r="AC9" i="79" a="1"/>
  <c r="AF9" i="79" a="1"/>
  <c r="AH9" i="79" a="1"/>
  <c r="AJ9" i="79" a="1"/>
  <c r="AK9" i="79" a="1"/>
  <c r="AD9" i="79" a="1"/>
  <c r="AE9" i="79" a="1"/>
  <c r="AG9" i="79" a="1"/>
  <c r="AI9" i="79" a="1"/>
  <c r="AD8" i="79" a="1"/>
  <c r="AE8" i="79" a="1"/>
  <c r="AG8" i="79" a="1"/>
  <c r="AI8" i="79" a="1"/>
  <c r="AJ8" i="79" a="1"/>
  <c r="AK8" i="79" a="1"/>
  <c r="AC8" i="79" a="1"/>
  <c r="AF8" i="79" a="1"/>
  <c r="AH8" i="79" a="1"/>
  <c r="AB4" i="79"/>
  <c r="AE31" i="79" a="1"/>
  <c r="AF31" i="79" a="1"/>
  <c r="AH31" i="79" a="1"/>
  <c r="AJ31" i="79" a="1"/>
  <c r="AC31" i="79" a="1"/>
  <c r="AD31" i="79" a="1"/>
  <c r="B11" i="79" s="1" a="1"/>
  <c r="AG31" i="79" a="1"/>
  <c r="AI31" i="79" a="1"/>
  <c r="AK31" i="79" a="1"/>
  <c r="AE29" i="79" a="1"/>
  <c r="AF29" i="79" a="1"/>
  <c r="AH29" i="79" a="1"/>
  <c r="AJ29" i="79" a="1"/>
  <c r="AC29" i="79" a="1"/>
  <c r="AD29" i="79" a="1"/>
  <c r="AG29" i="79" a="1"/>
  <c r="AI29" i="79" a="1"/>
  <c r="AK29" i="79" a="1"/>
  <c r="AE27" i="79" a="1"/>
  <c r="AF27" i="79" a="1"/>
  <c r="AH27" i="79" a="1"/>
  <c r="AC27" i="79" a="1"/>
  <c r="AD27" i="79" a="1"/>
  <c r="AG27" i="79" a="1"/>
  <c r="AI27" i="79" a="1"/>
  <c r="AJ27" i="79" a="1"/>
  <c r="AK27" i="79" a="1"/>
  <c r="AD24" i="79" a="1"/>
  <c r="AE24" i="79" a="1"/>
  <c r="AG24" i="79" a="1"/>
  <c r="AI24" i="79" a="1"/>
  <c r="AC24" i="79" a="1"/>
  <c r="AF24" i="79" a="1"/>
  <c r="AH24" i="79" a="1"/>
  <c r="AJ24" i="79" a="1"/>
  <c r="AK24" i="79" a="1"/>
  <c r="AC12" i="79" a="1"/>
  <c r="AF12" i="79" a="1"/>
  <c r="AI12" i="79" a="1"/>
  <c r="AD12" i="79" a="1"/>
  <c r="AE12" i="79" a="1"/>
  <c r="AG12" i="79" a="1"/>
  <c r="AH12" i="79" a="1"/>
  <c r="AJ12" i="79" a="1"/>
  <c r="AK12" i="79" a="1"/>
  <c r="AJ31" i="78" a="1"/>
  <c r="AK31" i="78" a="1"/>
  <c r="AC31" i="78" a="1"/>
  <c r="B10" i="78" s="1" a="1"/>
  <c r="AD31" i="78" a="1"/>
  <c r="B11" i="78" s="1" a="1"/>
  <c r="AE31" i="78" a="1"/>
  <c r="E10" i="78" s="1" a="1"/>
  <c r="AF31" i="78" a="1"/>
  <c r="H10" i="78" s="1" a="1"/>
  <c r="AG31" i="78" a="1"/>
  <c r="K10" i="78" s="1" a="1"/>
  <c r="AH31" i="78" a="1"/>
  <c r="N10" i="78" s="1" a="1"/>
  <c r="AI31" i="78" a="1"/>
  <c r="Q10" i="78" s="1" a="1"/>
  <c r="M18" i="78" a="1"/>
  <c r="AJ30" i="78" a="1"/>
  <c r="AK30" i="78" a="1"/>
  <c r="AC30" i="78" a="1"/>
  <c r="AD30" i="78" a="1"/>
  <c r="AE30" i="78" a="1"/>
  <c r="AF30" i="78" a="1"/>
  <c r="AG30" i="78" a="1"/>
  <c r="AH30" i="78" a="1"/>
  <c r="AI30" i="78" a="1"/>
  <c r="AJ28" i="78" a="1"/>
  <c r="AK28" i="78" a="1"/>
  <c r="AC28" i="78" a="1"/>
  <c r="AD28" i="78" a="1"/>
  <c r="AE28" i="78" a="1"/>
  <c r="AF28" i="78" a="1"/>
  <c r="AG28" i="78" a="1"/>
  <c r="AH28" i="78" a="1"/>
  <c r="AI28" i="78" a="1"/>
  <c r="AJ24" i="78" a="1"/>
  <c r="AK24" i="78" a="1"/>
  <c r="AC24" i="78" a="1"/>
  <c r="AD24" i="78" a="1"/>
  <c r="AE24" i="78" a="1"/>
  <c r="AF24" i="78" a="1"/>
  <c r="AG24" i="78" a="1"/>
  <c r="AH24" i="78" a="1"/>
  <c r="AI24" i="78" a="1"/>
  <c r="AI10" i="78" a="1"/>
  <c r="AJ10" i="78" a="1"/>
  <c r="AK10" i="78" a="1"/>
  <c r="AC10" i="78" a="1"/>
  <c r="AD10" i="78" a="1"/>
  <c r="AE10" i="78" a="1"/>
  <c r="AF10" i="78" a="1"/>
  <c r="AG10" i="78" a="1"/>
  <c r="AH10" i="78" a="1"/>
  <c r="AC26" i="78" a="1"/>
  <c r="AD26" i="78" a="1"/>
  <c r="AE26" i="78" a="1"/>
  <c r="AF26" i="78" a="1"/>
  <c r="AG26" i="78" a="1"/>
  <c r="AH26" i="78" a="1"/>
  <c r="AI26" i="78" a="1"/>
  <c r="AJ26" i="78" a="1"/>
  <c r="AK26" i="78" a="1"/>
  <c r="AC23" i="78" a="1"/>
  <c r="AD23" i="78" a="1"/>
  <c r="AE23" i="78" a="1"/>
  <c r="AF23" i="78" a="1"/>
  <c r="AG23" i="78" a="1"/>
  <c r="AH23" i="78" a="1"/>
  <c r="AI23" i="78" a="1"/>
  <c r="AJ23" i="78" a="1"/>
  <c r="AK23" i="78" a="1"/>
  <c r="AC22" i="78" a="1"/>
  <c r="AD22" i="78" a="1"/>
  <c r="AE22" i="78" a="1"/>
  <c r="AF22" i="78" a="1"/>
  <c r="AG22" i="78" a="1"/>
  <c r="AH22" i="78" a="1"/>
  <c r="AI22" i="78" a="1"/>
  <c r="AJ22" i="78" a="1"/>
  <c r="AK22" i="78" a="1"/>
  <c r="AC20" i="78" a="1"/>
  <c r="AD20" i="78" a="1"/>
  <c r="AE20" i="78" a="1"/>
  <c r="AF20" i="78" a="1"/>
  <c r="AG20" i="78" a="1"/>
  <c r="AH20" i="78" a="1"/>
  <c r="AI20" i="78" a="1"/>
  <c r="AJ20" i="78" a="1"/>
  <c r="AK20" i="78" a="1"/>
  <c r="AC18" i="78" a="1"/>
  <c r="AD18" i="78" a="1"/>
  <c r="AE18" i="78" a="1"/>
  <c r="AF18" i="78" a="1"/>
  <c r="AG18" i="78" a="1"/>
  <c r="AH18" i="78" a="1"/>
  <c r="AI18" i="78" a="1"/>
  <c r="AJ18" i="78" a="1"/>
  <c r="AK18" i="78" a="1"/>
  <c r="AC16" i="78" a="1"/>
  <c r="AD16" i="78" a="1"/>
  <c r="AE16" i="78" a="1"/>
  <c r="AF16" i="78" a="1"/>
  <c r="AG16" i="78" a="1"/>
  <c r="AH16" i="78" a="1"/>
  <c r="AI16" i="78" a="1"/>
  <c r="AJ16" i="78" a="1"/>
  <c r="AK16" i="78" a="1"/>
  <c r="AC14" i="78" a="1"/>
  <c r="AD14" i="78" a="1"/>
  <c r="AE14" i="78" a="1"/>
  <c r="AF14" i="78" a="1"/>
  <c r="AG14" i="78" a="1"/>
  <c r="AH14" i="78" a="1"/>
  <c r="AI14" i="78" a="1"/>
  <c r="AJ14" i="78" a="1"/>
  <c r="AK14" i="78" a="1"/>
  <c r="AC12" i="78" a="1"/>
  <c r="AD12" i="78" a="1"/>
  <c r="AE12" i="78" a="1"/>
  <c r="AF12" i="78" a="1"/>
  <c r="AG12" i="78" a="1"/>
  <c r="AH12" i="78" a="1"/>
  <c r="AI12" i="78" a="1"/>
  <c r="AJ12" i="78" a="1"/>
  <c r="AK12" i="78" a="1"/>
  <c r="AC8" i="78" a="1"/>
  <c r="AD8" i="78" a="1"/>
  <c r="AE8" i="78" a="1"/>
  <c r="AF8" i="78" a="1"/>
  <c r="AG8" i="78" a="1"/>
  <c r="AH8" i="78" a="1"/>
  <c r="AI8" i="78" a="1"/>
  <c r="AJ8" i="78" a="1"/>
  <c r="AK8" i="78" a="1"/>
  <c r="AB4" i="78"/>
  <c r="AG29" i="78" a="1"/>
  <c r="AH29" i="78" a="1"/>
  <c r="AI29" i="78" a="1"/>
  <c r="AJ29" i="78" a="1"/>
  <c r="AK29" i="78" a="1"/>
  <c r="AC29" i="78" a="1"/>
  <c r="AD29" i="78" a="1"/>
  <c r="AE29" i="78" a="1"/>
  <c r="AF29" i="78" a="1"/>
  <c r="AG27" i="78" a="1"/>
  <c r="AH27" i="78" a="1"/>
  <c r="AI27" i="78" a="1"/>
  <c r="AJ27" i="78" a="1"/>
  <c r="AK27" i="78" a="1"/>
  <c r="AC27" i="78" a="1"/>
  <c r="AD27" i="78" a="1"/>
  <c r="AE27" i="78" a="1"/>
  <c r="AF27" i="78" a="1"/>
  <c r="AF25" i="78" a="1"/>
  <c r="AG25" i="78" a="1"/>
  <c r="AH25" i="78" a="1"/>
  <c r="AI25" i="78" a="1"/>
  <c r="AJ25" i="78" a="1"/>
  <c r="AK25" i="78" a="1"/>
  <c r="AC25" i="78" a="1"/>
  <c r="AD25" i="78" a="1"/>
  <c r="AE25" i="78" a="1"/>
  <c r="AF21" i="78" a="1"/>
  <c r="AG21" i="78" a="1"/>
  <c r="AH21" i="78" a="1"/>
  <c r="AI21" i="78" a="1"/>
  <c r="AJ21" i="78" a="1"/>
  <c r="AK21" i="78" a="1"/>
  <c r="AC21" i="78" a="1"/>
  <c r="AD21" i="78" a="1"/>
  <c r="AE21" i="78" a="1"/>
  <c r="AF19" i="78" a="1"/>
  <c r="AG19" i="78" a="1"/>
  <c r="AH19" i="78" a="1"/>
  <c r="AI19" i="78" a="1"/>
  <c r="AJ19" i="78" a="1"/>
  <c r="AK19" i="78" a="1"/>
  <c r="AC19" i="78" a="1"/>
  <c r="AD19" i="78" a="1"/>
  <c r="AE19" i="78" a="1"/>
  <c r="AF17" i="78" a="1"/>
  <c r="AG17" i="78" a="1"/>
  <c r="AH17" i="78" a="1"/>
  <c r="AI17" i="78" a="1"/>
  <c r="AJ17" i="78" a="1"/>
  <c r="AK17" i="78" a="1"/>
  <c r="AC17" i="78" a="1"/>
  <c r="AD17" i="78" a="1"/>
  <c r="AE17" i="78" a="1"/>
  <c r="AF15" i="78" a="1"/>
  <c r="AG15" i="78" a="1"/>
  <c r="AH15" i="78" a="1"/>
  <c r="AI15" i="78" a="1"/>
  <c r="AJ15" i="78" a="1"/>
  <c r="AK15" i="78" a="1"/>
  <c r="AC15" i="78" a="1"/>
  <c r="AD15" i="78" a="1"/>
  <c r="AE15" i="78" a="1"/>
  <c r="AF13" i="78" a="1"/>
  <c r="AG13" i="78" a="1"/>
  <c r="AH13" i="78" a="1"/>
  <c r="AI13" i="78" a="1"/>
  <c r="AJ13" i="78" a="1"/>
  <c r="AK13" i="78" a="1"/>
  <c r="AC13" i="78" a="1"/>
  <c r="AD13" i="78" a="1"/>
  <c r="AE13" i="78" a="1"/>
  <c r="AF11" i="78" a="1"/>
  <c r="AG11" i="78" a="1"/>
  <c r="AH11" i="78" a="1"/>
  <c r="AI11" i="78" a="1"/>
  <c r="AJ11" i="78" a="1"/>
  <c r="AK11" i="78" a="1"/>
  <c r="AC11" i="78" a="1"/>
  <c r="AD11" i="78" a="1"/>
  <c r="AE11" i="78" a="1"/>
  <c r="AF9" i="78" a="1"/>
  <c r="AG9" i="78" a="1"/>
  <c r="AH9" i="78" a="1"/>
  <c r="AI9" i="78" a="1"/>
  <c r="AJ9" i="78" a="1"/>
  <c r="AK9" i="78" a="1"/>
  <c r="AC9" i="78" a="1"/>
  <c r="AD9" i="78" a="1"/>
  <c r="AE9" i="78" a="1"/>
  <c r="F38" i="4" a="1"/>
  <c r="I25" i="4"/>
  <c r="J25" i="4"/>
  <c r="I56" i="4" a="1"/>
  <c r="K16" i="22"/>
  <c r="I26" i="4"/>
  <c r="H16" i="22" s="1" a="1"/>
  <c r="I22" i="4"/>
  <c r="K15" i="22"/>
  <c r="J35" i="4"/>
  <c r="J26" i="4"/>
  <c r="J22" i="4" a="1"/>
  <c r="J60" i="5"/>
  <c r="B62" i="5" s="1"/>
  <c r="D13" i="5"/>
  <c r="AB11" i="94" l="1"/>
  <c r="AC12" i="95" a="1"/>
  <c r="H15" i="22" a="1"/>
  <c r="S11" i="88" a="1"/>
  <c r="Q11" i="88" a="1"/>
  <c r="O11" i="88" a="1"/>
  <c r="M11" i="88" a="1"/>
  <c r="K11" i="88" a="1"/>
  <c r="I11" i="88" a="1"/>
  <c r="G11" i="88" a="1"/>
  <c r="E11" i="88" a="1"/>
  <c r="C11" i="88" a="1"/>
  <c r="B11" i="88" a="1"/>
  <c r="H12" i="96" a="1"/>
  <c r="F12" i="96" a="1"/>
  <c r="BA9" i="96"/>
  <c r="J12" i="96" s="1" a="1"/>
  <c r="B2" i="96" a="1"/>
  <c r="B1" i="96" a="1"/>
  <c r="BE6" i="96"/>
  <c r="F23" i="96" s="1" a="1"/>
  <c r="BE5" i="96"/>
  <c r="F22" i="96" s="1" a="1"/>
  <c r="BE4" i="96"/>
  <c r="F21" i="96" s="1" a="1"/>
  <c r="BF6" i="96"/>
  <c r="H23" i="96" s="1" a="1"/>
  <c r="BF5" i="96"/>
  <c r="H22" i="96" s="1" a="1"/>
  <c r="BF4" i="96"/>
  <c r="H21" i="96" s="1" a="1"/>
  <c r="B1" i="88"/>
  <c r="B2" i="88"/>
  <c r="C12" i="88" a="1"/>
  <c r="E12" i="88" a="1"/>
  <c r="G12" i="88" a="1"/>
  <c r="I12" i="88" a="1"/>
  <c r="K12" i="88" a="1"/>
  <c r="M12" i="88" a="1"/>
  <c r="O12" i="88" a="1"/>
  <c r="Q12" i="88" a="1"/>
  <c r="S12" i="88" a="1"/>
  <c r="B13" i="88" a="1"/>
  <c r="C13" i="88" a="1"/>
  <c r="C14" i="88" a="1"/>
  <c r="E13" i="88" a="1"/>
  <c r="E14" i="88" a="1"/>
  <c r="G13" i="88" a="1"/>
  <c r="G14" i="88" a="1"/>
  <c r="I13" i="88" a="1"/>
  <c r="I14" i="88" a="1"/>
  <c r="K13" i="88" a="1"/>
  <c r="K14" i="88" a="1"/>
  <c r="M13" i="88" a="1"/>
  <c r="M14" i="88" a="1"/>
  <c r="O13" i="88" a="1"/>
  <c r="O14" i="88" a="1"/>
  <c r="Q13" i="88" a="1"/>
  <c r="Q14" i="88" a="1"/>
  <c r="S13" i="88" a="1"/>
  <c r="S14" i="88" a="1"/>
  <c r="B15" i="88" a="1"/>
  <c r="C15" i="88" a="1"/>
  <c r="C16" i="88" a="1"/>
  <c r="E15" i="88" a="1"/>
  <c r="E16" i="88" a="1"/>
  <c r="G15" i="88" a="1"/>
  <c r="G16" i="88" a="1"/>
  <c r="I15" i="88" a="1"/>
  <c r="I16" i="88" a="1"/>
  <c r="K15" i="88" a="1"/>
  <c r="K16" i="88" a="1"/>
  <c r="M15" i="88" a="1"/>
  <c r="M16" i="88" a="1"/>
  <c r="O15" i="88" a="1"/>
  <c r="O16" i="88" a="1"/>
  <c r="Q15" i="88" a="1"/>
  <c r="Q16" i="88" a="1"/>
  <c r="S15" i="88" a="1"/>
  <c r="S16" i="88" a="1"/>
  <c r="B17" i="88" a="1"/>
  <c r="C17" i="88" a="1"/>
  <c r="C18" i="88" a="1"/>
  <c r="E17" i="88" a="1"/>
  <c r="E18" i="88" a="1"/>
  <c r="G17" i="88" a="1"/>
  <c r="G18" i="88" a="1"/>
  <c r="I17" i="88" a="1"/>
  <c r="I18" i="88" a="1"/>
  <c r="CG8" i="88" a="1"/>
  <c r="CF8" i="88" a="1"/>
  <c r="CE8" i="88" a="1"/>
  <c r="CD8" i="88" a="1"/>
  <c r="CA7" i="88" s="1"/>
  <c r="FA200" i="76" s="1"/>
  <c r="CC8" i="88" a="1"/>
  <c r="CM8" i="88" a="1"/>
  <c r="CL8" i="88" a="1"/>
  <c r="CK8" i="88" a="1"/>
  <c r="CJ8" i="88" a="1"/>
  <c r="K17" i="88" a="1"/>
  <c r="K18" i="88" a="1"/>
  <c r="M17" i="88" a="1"/>
  <c r="M18" i="88" a="1"/>
  <c r="O17" i="88" a="1"/>
  <c r="O18" i="88" a="1"/>
  <c r="Q17" i="88" a="1"/>
  <c r="Q18" i="88" a="1"/>
  <c r="S17" i="88" a="1"/>
  <c r="S18" i="88" a="1"/>
  <c r="B19" i="88" a="1"/>
  <c r="C19" i="88" a="1"/>
  <c r="C20" i="88" a="1"/>
  <c r="E19" i="88" a="1"/>
  <c r="E20" i="88" a="1"/>
  <c r="G19" i="88" a="1"/>
  <c r="G20" i="88" a="1"/>
  <c r="I19" i="88" a="1"/>
  <c r="I20" i="88" a="1"/>
  <c r="K19" i="88" a="1"/>
  <c r="K20" i="88" a="1"/>
  <c r="M19" i="88" a="1"/>
  <c r="M20" i="88" a="1"/>
  <c r="O19" i="88" a="1"/>
  <c r="O20" i="88" a="1"/>
  <c r="Q19" i="88" a="1"/>
  <c r="Q20" i="88" a="1"/>
  <c r="S19" i="88" a="1"/>
  <c r="S20" i="88" a="1"/>
  <c r="B21" i="88" a="1"/>
  <c r="C21" i="88" a="1"/>
  <c r="C22" i="88" a="1"/>
  <c r="E21" i="88" a="1"/>
  <c r="E22" i="88" a="1"/>
  <c r="G21" i="88" a="1"/>
  <c r="G22" i="88" a="1"/>
  <c r="I21" i="88" a="1"/>
  <c r="I22" i="88" a="1"/>
  <c r="K21" i="88" a="1"/>
  <c r="K22" i="88" a="1"/>
  <c r="M21" i="88" a="1"/>
  <c r="M22" i="88" a="1"/>
  <c r="O21" i="88" a="1"/>
  <c r="O22" i="88" a="1"/>
  <c r="Q21" i="88" a="1"/>
  <c r="Q22" i="88" a="1"/>
  <c r="S21" i="88" a="1"/>
  <c r="S22" i="88" a="1"/>
  <c r="B23" i="88" a="1"/>
  <c r="C23" i="88" a="1"/>
  <c r="C24" i="88" a="1"/>
  <c r="E23" i="88" a="1"/>
  <c r="E24" i="88" a="1"/>
  <c r="G23" i="88" a="1"/>
  <c r="G24" i="88" a="1"/>
  <c r="I23" i="88" a="1"/>
  <c r="I24" i="88" a="1"/>
  <c r="K23" i="88" a="1"/>
  <c r="K24" i="88" a="1"/>
  <c r="M23" i="88" a="1"/>
  <c r="M24" i="88" a="1"/>
  <c r="O23" i="88" a="1"/>
  <c r="O24" i="88" a="1"/>
  <c r="Q23" i="88" a="1"/>
  <c r="Q24" i="88" a="1"/>
  <c r="S23" i="88" a="1"/>
  <c r="S24" i="88" a="1"/>
  <c r="B25" i="88" a="1"/>
  <c r="C25" i="88" a="1"/>
  <c r="C26" i="88" a="1"/>
  <c r="E25" i="88" a="1"/>
  <c r="E26" i="88" a="1"/>
  <c r="G25" i="88" a="1"/>
  <c r="G26" i="88" a="1"/>
  <c r="I25" i="88" a="1"/>
  <c r="I26" i="88" a="1"/>
  <c r="K25" i="88" a="1"/>
  <c r="K26" i="88" a="1"/>
  <c r="M25" i="88" a="1"/>
  <c r="M26" i="88" a="1"/>
  <c r="O25" i="88" a="1"/>
  <c r="O26" i="88" a="1"/>
  <c r="Q25" i="88" a="1"/>
  <c r="Q26" i="88" a="1"/>
  <c r="S25" i="88" a="1"/>
  <c r="S26" i="88" a="1"/>
  <c r="B27" i="88" a="1"/>
  <c r="C27" i="88" a="1"/>
  <c r="C28" i="88" a="1"/>
  <c r="E27" i="88" a="1"/>
  <c r="E28" i="88" a="1"/>
  <c r="G27" i="88" a="1"/>
  <c r="G28" i="88" a="1"/>
  <c r="I27" i="88" a="1"/>
  <c r="I28" i="88" a="1"/>
  <c r="K27" i="88" a="1"/>
  <c r="K28" i="88" a="1"/>
  <c r="M27" i="88" a="1"/>
  <c r="M28" i="88" a="1"/>
  <c r="O27" i="88" a="1"/>
  <c r="O28" i="88" a="1"/>
  <c r="Q27" i="88" a="1"/>
  <c r="Q28" i="88" a="1"/>
  <c r="S27" i="88" a="1"/>
  <c r="S28" i="88" a="1"/>
  <c r="B29" i="88" a="1"/>
  <c r="C29" i="88" a="1"/>
  <c r="C30" i="88" a="1"/>
  <c r="E29" i="88" a="1"/>
  <c r="E30" i="88" a="1"/>
  <c r="G29" i="88" a="1"/>
  <c r="G30" i="88" a="1"/>
  <c r="I29" i="88" a="1"/>
  <c r="I30" i="88" a="1"/>
  <c r="K29" i="88" a="1"/>
  <c r="K30" i="88" a="1"/>
  <c r="M29" i="88" a="1"/>
  <c r="M30" i="88" a="1"/>
  <c r="O29" i="88" a="1"/>
  <c r="O30" i="88" a="1"/>
  <c r="Q29" i="88" a="1"/>
  <c r="Q30" i="88" a="1"/>
  <c r="S29" i="88" a="1"/>
  <c r="S30" i="88" a="1"/>
  <c r="BO8" i="89" a="1"/>
  <c r="BG2" i="89" a="1"/>
  <c r="BG3" i="89" a="1"/>
  <c r="BG4" i="89" a="1"/>
  <c r="BG5" i="89" a="1"/>
  <c r="EI15" i="82" a="1"/>
  <c r="CT15" i="82" a="1"/>
  <c r="D12" i="82" s="1" a="1"/>
  <c r="DN15" i="82" a="1"/>
  <c r="B25" i="84"/>
  <c r="AE13" i="84" a="1"/>
  <c r="BA11" i="96" s="1"/>
  <c r="F11" i="85" a="1"/>
  <c r="B2" i="85" a="1"/>
  <c r="B1" i="85" a="1"/>
  <c r="F20" i="84" a="1"/>
  <c r="B2" i="84" a="1"/>
  <c r="B1" i="84" a="1"/>
  <c r="AB9" i="83" a="1"/>
  <c r="FA80" i="76" s="1"/>
  <c r="AB22" i="83"/>
  <c r="AB20" i="83"/>
  <c r="BE8" i="81"/>
  <c r="BZ8" i="81" s="1"/>
  <c r="BF15" i="81"/>
  <c r="CD15" i="81" s="1"/>
  <c r="BE15" i="81"/>
  <c r="BZ15" i="81" s="1"/>
  <c r="BE14" i="81"/>
  <c r="BZ14" i="81" s="1"/>
  <c r="BF13" i="81" a="1"/>
  <c r="BE13" i="81" a="1"/>
  <c r="BZ13" i="81" s="1"/>
  <c r="BF12" i="81" a="1"/>
  <c r="BE12" i="81" a="1"/>
  <c r="BZ12" i="81" s="1"/>
  <c r="BF11" i="81" a="1"/>
  <c r="BE11" i="81" a="1"/>
  <c r="BZ11" i="81" s="1"/>
  <c r="BF10" i="81" a="1"/>
  <c r="BE10" i="81" a="1"/>
  <c r="BZ10" i="81" s="1"/>
  <c r="BF9" i="81" a="1"/>
  <c r="BE9" i="81" a="1"/>
  <c r="BZ9" i="81" s="1"/>
  <c r="BF8" i="81"/>
  <c r="BR11" i="81"/>
  <c r="F42" i="81" a="1"/>
  <c r="B1" i="81" a="1"/>
  <c r="B2" i="81" a="1"/>
  <c r="B52" i="81" a="1"/>
  <c r="B51" i="81" a="1"/>
  <c r="B50" i="81" a="1"/>
  <c r="B49" i="81" a="1"/>
  <c r="B48" i="81" a="1"/>
  <c r="B47" i="81" a="1"/>
  <c r="B46" i="81" a="1"/>
  <c r="B45" i="81" a="1"/>
  <c r="B44" i="81" a="1"/>
  <c r="B43" i="81" a="1"/>
  <c r="B42" i="81" a="1"/>
  <c r="B41" i="81" a="1"/>
  <c r="C52" i="81" a="1"/>
  <c r="C51" i="81" a="1"/>
  <c r="C50" i="81" a="1"/>
  <c r="C49" i="81" a="1"/>
  <c r="C48" i="81" a="1"/>
  <c r="C47" i="81" a="1"/>
  <c r="C46" i="81" a="1"/>
  <c r="C45" i="81" a="1"/>
  <c r="C44" i="81" a="1"/>
  <c r="C43" i="81" a="1"/>
  <c r="C42" i="81" a="1"/>
  <c r="C41" i="81" a="1"/>
  <c r="D52" i="81" a="1"/>
  <c r="D51" i="81" a="1"/>
  <c r="D50" i="81" a="1"/>
  <c r="D49" i="81" a="1"/>
  <c r="D48" i="81" a="1"/>
  <c r="D47" i="81" a="1"/>
  <c r="D46" i="81" a="1"/>
  <c r="D45" i="81" a="1"/>
  <c r="D44" i="81" a="1"/>
  <c r="D43" i="81" a="1"/>
  <c r="D42" i="81" a="1"/>
  <c r="D41" i="81" a="1"/>
  <c r="E52" i="81" a="1"/>
  <c r="E51" i="81" a="1"/>
  <c r="E50" i="81" a="1"/>
  <c r="E49" i="81" a="1"/>
  <c r="E48" i="81" a="1"/>
  <c r="E47" i="81" a="1"/>
  <c r="E46" i="81" a="1"/>
  <c r="E45" i="81" a="1"/>
  <c r="E44" i="81" a="1"/>
  <c r="E43" i="81" a="1"/>
  <c r="E42" i="81" a="1"/>
  <c r="E41" i="81" a="1"/>
  <c r="F52" i="81" a="1"/>
  <c r="F51" i="81" a="1"/>
  <c r="F50" i="81" a="1"/>
  <c r="F49" i="81" a="1"/>
  <c r="F48" i="81" a="1"/>
  <c r="F47" i="81" a="1"/>
  <c r="F46" i="81" a="1"/>
  <c r="F45" i="81" a="1"/>
  <c r="F44" i="81" a="1"/>
  <c r="F43" i="81" a="1"/>
  <c r="F41" i="81" a="1"/>
  <c r="G52" i="81" a="1"/>
  <c r="G51" i="81" a="1"/>
  <c r="G50" i="81" a="1"/>
  <c r="G49" i="81" a="1"/>
  <c r="G48" i="81" a="1"/>
  <c r="G47" i="81" a="1"/>
  <c r="G46" i="81" a="1"/>
  <c r="G45" i="81" a="1"/>
  <c r="G44" i="81" a="1"/>
  <c r="G43" i="81" a="1"/>
  <c r="G42" i="81" a="1"/>
  <c r="G41" i="81" a="1"/>
  <c r="H52" i="81" a="1"/>
  <c r="H51" i="81" a="1"/>
  <c r="H50" i="81" a="1"/>
  <c r="H49" i="81" a="1"/>
  <c r="H48" i="81" a="1"/>
  <c r="H47" i="81" a="1"/>
  <c r="H46" i="81" a="1"/>
  <c r="H45" i="81" a="1"/>
  <c r="H44" i="81" a="1"/>
  <c r="H43" i="81" a="1"/>
  <c r="H42" i="81" a="1"/>
  <c r="H41" i="81" a="1"/>
  <c r="I52" i="81" a="1"/>
  <c r="I51" i="81" a="1"/>
  <c r="I50" i="81" a="1"/>
  <c r="I49" i="81" a="1"/>
  <c r="I48" i="81" a="1"/>
  <c r="I47" i="81" a="1"/>
  <c r="I46" i="81" a="1"/>
  <c r="I45" i="81" a="1"/>
  <c r="I44" i="81" a="1"/>
  <c r="I43" i="81" a="1"/>
  <c r="I42" i="81" a="1"/>
  <c r="I41" i="81" a="1"/>
  <c r="J52" i="81" a="1"/>
  <c r="J51" i="81" a="1"/>
  <c r="J50" i="81" a="1"/>
  <c r="J49" i="81" a="1"/>
  <c r="J48" i="81" a="1"/>
  <c r="J47" i="81" a="1"/>
  <c r="J46" i="81" a="1"/>
  <c r="J45" i="81" a="1"/>
  <c r="J44" i="81" a="1"/>
  <c r="J43" i="81" a="1"/>
  <c r="J42" i="81" a="1"/>
  <c r="J41" i="81" a="1"/>
  <c r="BB6" i="81" a="1"/>
  <c r="CI27" i="81" a="1"/>
  <c r="CI26" i="81" a="1"/>
  <c r="CI25" i="81" a="1"/>
  <c r="CI24" i="81" a="1"/>
  <c r="CI23" i="81" a="1"/>
  <c r="CI22" i="81" a="1"/>
  <c r="CI21" i="81" a="1"/>
  <c r="CI20" i="81" a="1"/>
  <c r="CI19" i="81" a="1"/>
  <c r="CI18" i="81" a="1"/>
  <c r="CI17" i="81" a="1"/>
  <c r="CI15" i="81" a="1"/>
  <c r="CI12" i="81" a="1"/>
  <c r="CI10" i="81" a="1"/>
  <c r="CI9" i="81" a="1"/>
  <c r="CI8" i="81" a="1"/>
  <c r="CJ48" i="81" a="1"/>
  <c r="CJ47" i="81" a="1"/>
  <c r="CJ45" i="81" a="1"/>
  <c r="CJ43" i="81" a="1"/>
  <c r="CJ42" i="81" a="1"/>
  <c r="CJ41" i="81" a="1"/>
  <c r="CJ39" i="81" a="1"/>
  <c r="CJ37" i="81" a="1"/>
  <c r="CJ35" i="81" a="1"/>
  <c r="CJ33" i="81" a="1"/>
  <c r="CJ30" i="81" a="1"/>
  <c r="CJ28" i="81" a="1"/>
  <c r="CJ27" i="81" a="1"/>
  <c r="CJ25" i="81" a="1"/>
  <c r="CJ23" i="81" a="1"/>
  <c r="CJ22" i="81" a="1"/>
  <c r="CJ20" i="81" a="1"/>
  <c r="CJ18" i="81" a="1"/>
  <c r="CJ16" i="81" a="1"/>
  <c r="CJ15" i="81" a="1"/>
  <c r="CJ14" i="81" a="1"/>
  <c r="CJ12" i="81" a="1"/>
  <c r="CJ11" i="81" a="1"/>
  <c r="CJ8" i="81" a="1"/>
  <c r="CN48" i="81" a="1"/>
  <c r="CN45" i="81" a="1"/>
  <c r="CN43" i="81" a="1"/>
  <c r="CN42" i="81" a="1"/>
  <c r="CN41" i="81" a="1"/>
  <c r="CN40" i="81" a="1"/>
  <c r="CN39" i="81" a="1"/>
  <c r="CN38" i="81" a="1"/>
  <c r="CN37" i="81" a="1"/>
  <c r="CN36" i="81" a="1"/>
  <c r="CN35" i="81" a="1"/>
  <c r="CN34" i="81" a="1"/>
  <c r="CN33" i="81" a="1"/>
  <c r="CN32" i="81" a="1"/>
  <c r="CN31" i="81" a="1"/>
  <c r="CN30" i="81" a="1"/>
  <c r="CN29" i="81" a="1"/>
  <c r="CN28" i="81" a="1"/>
  <c r="CN27" i="81" a="1"/>
  <c r="CN26" i="81" a="1"/>
  <c r="CN25" i="81" a="1"/>
  <c r="CN24" i="81" a="1"/>
  <c r="CN23" i="81" a="1"/>
  <c r="CN22" i="81" a="1"/>
  <c r="CN21" i="81" a="1"/>
  <c r="CN20" i="81" a="1"/>
  <c r="CN19" i="81" a="1"/>
  <c r="CN18" i="81" a="1"/>
  <c r="CN17" i="81" a="1"/>
  <c r="CN16" i="81" a="1"/>
  <c r="CN15" i="81" a="1"/>
  <c r="CN14" i="81" a="1"/>
  <c r="CN13" i="81" a="1"/>
  <c r="CN12" i="81" a="1"/>
  <c r="CN11" i="81" a="1"/>
  <c r="CH37" i="81" a="1"/>
  <c r="CN9" i="81" a="1"/>
  <c r="CN8" i="81" a="1"/>
  <c r="CO48" i="81" a="1"/>
  <c r="CO46" i="81" a="1"/>
  <c r="CO43" i="81" a="1"/>
  <c r="CO41" i="81" a="1"/>
  <c r="CO39" i="81" a="1"/>
  <c r="CO37" i="81" a="1"/>
  <c r="CO35" i="81" a="1"/>
  <c r="CO33" i="81" a="1"/>
  <c r="CO32" i="81" a="1"/>
  <c r="CO30" i="81" a="1"/>
  <c r="CO28" i="81" a="1"/>
  <c r="CO27" i="81" a="1"/>
  <c r="CO25" i="81" a="1"/>
  <c r="CO24" i="81" a="1"/>
  <c r="CO23" i="81" a="1"/>
  <c r="CO22" i="81" a="1"/>
  <c r="CO21" i="81" a="1"/>
  <c r="CO20" i="81" a="1"/>
  <c r="CO18" i="81" a="1"/>
  <c r="CO17" i="81" a="1"/>
  <c r="CO16" i="81" a="1"/>
  <c r="CO15" i="81" a="1"/>
  <c r="CO14" i="81" a="1"/>
  <c r="CO13" i="81" a="1"/>
  <c r="CO12" i="81" a="1"/>
  <c r="CO11" i="81" a="1"/>
  <c r="CO10" i="81" a="1"/>
  <c r="CO9" i="81" a="1"/>
  <c r="CO8" i="81" a="1"/>
  <c r="CO49" i="81" a="1"/>
  <c r="CO47" i="81" a="1"/>
  <c r="CO45" i="81" a="1"/>
  <c r="CO44" i="81" a="1"/>
  <c r="CO42" i="81" a="1"/>
  <c r="CO40" i="81" a="1"/>
  <c r="CO38" i="81" a="1"/>
  <c r="CO36" i="81" a="1"/>
  <c r="CO34" i="81" a="1"/>
  <c r="CO31" i="81" a="1"/>
  <c r="CO29" i="81" a="1"/>
  <c r="CO26" i="81" a="1"/>
  <c r="CO19" i="81" a="1"/>
  <c r="FA1" i="76"/>
  <c r="AM43" i="81"/>
  <c r="AN43" i="81" s="1"/>
  <c r="AM42" i="81"/>
  <c r="AN42" i="81" s="1"/>
  <c r="AM41" i="81"/>
  <c r="AN41" i="81" s="1"/>
  <c r="AM40" i="81"/>
  <c r="AN40" i="81" s="1"/>
  <c r="AM39" i="81"/>
  <c r="AN39" i="81" s="1"/>
  <c r="AM37" i="81"/>
  <c r="AN37" i="81" s="1"/>
  <c r="AM35" i="81"/>
  <c r="AN35" i="81" s="1"/>
  <c r="AM33" i="81"/>
  <c r="AN33" i="81" s="1"/>
  <c r="AM31" i="81"/>
  <c r="AN31" i="81" s="1"/>
  <c r="AM29" i="81"/>
  <c r="AN29" i="81" s="1"/>
  <c r="AM27" i="81"/>
  <c r="AN27" i="81" s="1"/>
  <c r="AM25" i="81"/>
  <c r="AN25" i="81" s="1"/>
  <c r="AM23" i="81"/>
  <c r="AN23" i="81" s="1"/>
  <c r="AM21" i="81"/>
  <c r="AN21" i="81" s="1"/>
  <c r="AM20" i="81"/>
  <c r="AN20" i="81" s="1"/>
  <c r="AM18" i="81"/>
  <c r="AN18" i="81" s="1"/>
  <c r="AM17" i="81"/>
  <c r="AN17" i="81" s="1"/>
  <c r="AM16" i="81"/>
  <c r="AN16" i="81" s="1"/>
  <c r="AM14" i="81"/>
  <c r="AN14" i="81" s="1"/>
  <c r="AM13" i="81"/>
  <c r="AN13" i="81" s="1"/>
  <c r="AM12" i="81"/>
  <c r="AN12" i="81" s="1"/>
  <c r="AM11" i="81"/>
  <c r="AN11" i="81" s="1"/>
  <c r="AM10" i="81"/>
  <c r="AN10" i="81" s="1"/>
  <c r="AM9" i="81"/>
  <c r="AN9" i="81" s="1"/>
  <c r="AM8" i="81"/>
  <c r="AN8" i="81" s="1"/>
  <c r="BL8" i="81" a="1"/>
  <c r="BM8" i="81" a="1"/>
  <c r="BN8" i="81" a="1"/>
  <c r="BO8" i="81" a="1"/>
  <c r="BL3" i="81"/>
  <c r="AM38" i="81"/>
  <c r="AN38" i="81" s="1"/>
  <c r="AM36" i="81"/>
  <c r="AN36" i="81" s="1"/>
  <c r="AM34" i="81"/>
  <c r="AN34" i="81" s="1"/>
  <c r="AM32" i="81"/>
  <c r="AN32" i="81" s="1"/>
  <c r="AM30" i="81"/>
  <c r="AN30" i="81" s="1"/>
  <c r="AM28" i="81"/>
  <c r="AN28" i="81" s="1"/>
  <c r="AM26" i="81"/>
  <c r="AN26" i="81" s="1"/>
  <c r="AM24" i="81"/>
  <c r="AN24" i="81" s="1"/>
  <c r="AM22" i="81"/>
  <c r="AN22" i="81" s="1"/>
  <c r="AM19" i="81"/>
  <c r="AN19" i="81" s="1"/>
  <c r="AM15" i="81"/>
  <c r="AN15" i="81" s="1"/>
  <c r="CH49" i="81" a="1"/>
  <c r="CH48" i="81" a="1"/>
  <c r="CH47" i="81" a="1"/>
  <c r="CH46" i="81" a="1"/>
  <c r="CH45" i="81" a="1"/>
  <c r="CH44" i="81" a="1"/>
  <c r="CH43" i="81" a="1"/>
  <c r="CH42" i="81" a="1"/>
  <c r="CH41" i="81" a="1"/>
  <c r="CH40" i="81" a="1"/>
  <c r="CH39" i="81" a="1"/>
  <c r="CH38" i="81" a="1"/>
  <c r="CH36" i="81" a="1"/>
  <c r="CH35" i="81" a="1"/>
  <c r="CH34" i="81" a="1"/>
  <c r="CH33" i="81" a="1"/>
  <c r="CH32" i="81" a="1"/>
  <c r="CH31" i="81" a="1"/>
  <c r="CH30" i="81" a="1"/>
  <c r="CH29" i="81" a="1"/>
  <c r="CH28" i="81" a="1"/>
  <c r="CI16" i="81" a="1"/>
  <c r="CI14" i="81" a="1"/>
  <c r="CI13" i="81" a="1"/>
  <c r="CI11" i="81" a="1"/>
  <c r="CJ49" i="81" a="1"/>
  <c r="CJ46" i="81" a="1"/>
  <c r="CJ44" i="81" a="1"/>
  <c r="CJ40" i="81" a="1"/>
  <c r="CJ38" i="81" a="1"/>
  <c r="CJ36" i="81" a="1"/>
  <c r="CJ34" i="81" a="1"/>
  <c r="CJ32" i="81" a="1"/>
  <c r="CJ31" i="81" a="1"/>
  <c r="CJ29" i="81" a="1"/>
  <c r="CJ26" i="81" a="1"/>
  <c r="CJ24" i="81" a="1"/>
  <c r="CJ21" i="81" a="1"/>
  <c r="CN10" i="81" a="1"/>
  <c r="CJ19" i="81" a="1"/>
  <c r="CJ17" i="81" a="1"/>
  <c r="CJ13" i="81" a="1"/>
  <c r="CJ10" i="81" a="1"/>
  <c r="CJ9" i="81" a="1"/>
  <c r="CN49" i="81" a="1"/>
  <c r="CN47" i="81" a="1"/>
  <c r="CN46" i="81" a="1"/>
  <c r="CH27" i="81" a="1"/>
  <c r="CH26" i="81" a="1"/>
  <c r="CH25" i="81" a="1"/>
  <c r="CH24" i="81" a="1"/>
  <c r="CH23" i="81" a="1"/>
  <c r="CH22" i="81" a="1"/>
  <c r="CH21" i="81" a="1"/>
  <c r="CH20" i="81" a="1"/>
  <c r="CH19" i="81" a="1"/>
  <c r="CH18" i="81" a="1"/>
  <c r="CH17" i="81" a="1"/>
  <c r="CH16" i="81" a="1"/>
  <c r="CH15" i="81" a="1"/>
  <c r="CH14" i="81" a="1"/>
  <c r="CH13" i="81" a="1"/>
  <c r="CH12" i="81" a="1"/>
  <c r="CH11" i="81" a="1"/>
  <c r="CH10" i="81" a="1"/>
  <c r="CH9" i="81" a="1"/>
  <c r="CH8" i="81" a="1"/>
  <c r="CI49" i="81" a="1"/>
  <c r="CI48" i="81" a="1"/>
  <c r="CI47" i="81" a="1"/>
  <c r="CI46" i="81" a="1"/>
  <c r="CI45" i="81" a="1"/>
  <c r="CI44" i="81" a="1"/>
  <c r="CI43" i="81" a="1"/>
  <c r="CI42" i="81" a="1"/>
  <c r="CI41" i="81" a="1"/>
  <c r="CI40" i="81" a="1"/>
  <c r="CI39" i="81" a="1"/>
  <c r="CI38" i="81" a="1"/>
  <c r="CI37" i="81" a="1"/>
  <c r="CI36" i="81" a="1"/>
  <c r="CI35" i="81" a="1"/>
  <c r="CI34" i="81" a="1"/>
  <c r="CI33" i="81" a="1"/>
  <c r="CI32" i="81" a="1"/>
  <c r="CI31" i="81" a="1"/>
  <c r="CI30" i="81" a="1"/>
  <c r="CI29" i="81" a="1"/>
  <c r="CI28" i="81" a="1"/>
  <c r="B6" i="79" a="1"/>
  <c r="N11" i="80" a="1"/>
  <c r="N10" i="80" a="1"/>
  <c r="AU9" i="80" a="1"/>
  <c r="B6" i="80" a="1"/>
  <c r="E10" i="80" a="1"/>
  <c r="E11" i="80" a="1"/>
  <c r="Q11" i="80" a="1"/>
  <c r="Q10" i="80" a="1"/>
  <c r="H11" i="80" a="1"/>
  <c r="H10" i="80" a="1"/>
  <c r="K11" i="80" a="1"/>
  <c r="K10" i="80" a="1"/>
  <c r="AQ8" i="80" a="1"/>
  <c r="AQ9" i="80" a="1"/>
  <c r="AU8" i="80" a="1"/>
  <c r="Q13" i="80" a="1"/>
  <c r="AT13" i="80" s="1"/>
  <c r="H13" i="80" a="1"/>
  <c r="AT10" i="80" s="1"/>
  <c r="K13" i="80" a="1"/>
  <c r="AT11" i="80" s="1"/>
  <c r="E13" i="80" a="1"/>
  <c r="AT9" i="80" s="1"/>
  <c r="N13" i="80" a="1"/>
  <c r="AT12" i="80" s="1"/>
  <c r="E11" i="78" a="1"/>
  <c r="H11" i="78" a="1"/>
  <c r="K11" i="78" a="1"/>
  <c r="N11" i="78" a="1"/>
  <c r="Q11" i="78" a="1"/>
  <c r="B6" i="78" a="1"/>
  <c r="E13" i="79" a="1"/>
  <c r="AT9" i="79" s="1"/>
  <c r="K13" i="79" a="1"/>
  <c r="AT11" i="79" s="1"/>
  <c r="Q13" i="79" a="1"/>
  <c r="AT13" i="79" s="1"/>
  <c r="AU8" i="79" a="1"/>
  <c r="H13" i="79" a="1"/>
  <c r="AT10" i="79" s="1"/>
  <c r="N13" i="79" a="1"/>
  <c r="AT12" i="79" s="1"/>
  <c r="AU9" i="78" a="1"/>
  <c r="H13" i="78" a="1"/>
  <c r="AT10" i="78" s="1"/>
  <c r="K13" i="78" a="1"/>
  <c r="AT11" i="78" s="1"/>
  <c r="N13" i="78" a="1"/>
  <c r="AT12" i="78" s="1"/>
  <c r="Q13" i="78" a="1"/>
  <c r="AT13" i="78" s="1"/>
  <c r="E13" i="78" a="1"/>
  <c r="AT9" i="78" s="1"/>
  <c r="AU9" i="79" a="1"/>
  <c r="AQ8" i="79" a="1"/>
  <c r="AQ9" i="79" a="1"/>
  <c r="E11" i="79" a="1"/>
  <c r="E10" i="79" a="1"/>
  <c r="H11" i="79" a="1"/>
  <c r="H10" i="79" a="1"/>
  <c r="N11" i="79" a="1"/>
  <c r="N10" i="79" a="1"/>
  <c r="B10" i="79" a="1"/>
  <c r="K11" i="79" a="1"/>
  <c r="K10" i="79" a="1"/>
  <c r="Q11" i="79" a="1"/>
  <c r="Q10" i="79" a="1"/>
  <c r="AU8" i="78" a="1"/>
  <c r="AQ8" i="78" a="1"/>
  <c r="AQ9" i="78" a="1"/>
  <c r="I38" i="4"/>
  <c r="J38" i="4"/>
  <c r="J56" i="4" a="1"/>
  <c r="G14" i="6" a="1"/>
  <c r="E14" i="6" a="1"/>
  <c r="A14" i="6" a="1"/>
  <c r="I14" i="6" a="1"/>
  <c r="C14" i="6" a="1"/>
  <c r="H42" i="92" l="1" a="1"/>
  <c r="AM12" i="94" a="1"/>
  <c r="BA12" i="94" a="1"/>
  <c r="BO12" i="94" a="1"/>
  <c r="CC12" i="94" a="1"/>
  <c r="CQ12" i="94" a="1"/>
  <c r="CY8" i="94" a="1"/>
  <c r="CY7" i="94" a="1"/>
  <c r="CY5" i="94" a="1"/>
  <c r="CY4" i="94" a="1"/>
  <c r="CJ12" i="94" a="1"/>
  <c r="BV12" i="94" a="1"/>
  <c r="AT12" i="94" a="1"/>
  <c r="AF12" i="94" a="1"/>
  <c r="AB20" i="94"/>
  <c r="D22" i="94" a="1"/>
  <c r="B22" i="94" a="1"/>
  <c r="F17" i="94" a="1"/>
  <c r="F14" i="94" a="1"/>
  <c r="B2" i="94" a="1"/>
  <c r="B1" i="94" a="1"/>
  <c r="F12" i="94" a="1"/>
  <c r="CY9" i="94" a="1"/>
  <c r="F16" i="94" a="1"/>
  <c r="F15" i="94" a="1"/>
  <c r="F18" i="94" a="1"/>
  <c r="F13" i="94" a="1"/>
  <c r="BH12" i="94" a="1"/>
  <c r="AE12" i="94" a="1"/>
  <c r="B6" i="94"/>
  <c r="AB2" i="94"/>
  <c r="DA12" i="94" a="1"/>
  <c r="CY6" i="94" a="1"/>
  <c r="AV6" i="95" a="1"/>
  <c r="AV5" i="95" a="1"/>
  <c r="L23" i="22" a="1"/>
  <c r="L4" i="22" s="1" a="1"/>
  <c r="K23" i="22" a="1"/>
  <c r="B4" i="22" s="1" a="1"/>
  <c r="I13" i="4"/>
  <c r="BQ12" i="95" a="1"/>
  <c r="W48" i="82" a="1"/>
  <c r="W12" i="82" a="1"/>
  <c r="B17" i="96" a="1"/>
  <c r="H141" i="92" a="1"/>
  <c r="F25" i="84" a="1"/>
  <c r="FC200" i="76"/>
  <c r="FB200" i="76"/>
  <c r="B13" i="89"/>
  <c r="D13" i="89"/>
  <c r="P13" i="89" s="1"/>
  <c r="E13" i="89"/>
  <c r="I13" i="89"/>
  <c r="L13" i="89"/>
  <c r="O13" i="89" a="1"/>
  <c r="B14" i="89"/>
  <c r="D14" i="89"/>
  <c r="P14" i="89" s="1"/>
  <c r="E14" i="89"/>
  <c r="I14" i="89"/>
  <c r="L14" i="89"/>
  <c r="O14" i="89" a="1"/>
  <c r="B15" i="89"/>
  <c r="D15" i="89"/>
  <c r="P15" i="89" s="1"/>
  <c r="E15" i="89"/>
  <c r="I15" i="89"/>
  <c r="L15" i="89"/>
  <c r="O15" i="89" a="1"/>
  <c r="B16" i="89"/>
  <c r="D16" i="89"/>
  <c r="P16" i="89" s="1"/>
  <c r="E16" i="89"/>
  <c r="I16" i="89"/>
  <c r="L16" i="89"/>
  <c r="O16" i="89" a="1"/>
  <c r="B17" i="89"/>
  <c r="D17" i="89"/>
  <c r="P17" i="89" s="1"/>
  <c r="E17" i="89"/>
  <c r="I17" i="89"/>
  <c r="L17" i="89"/>
  <c r="O17" i="89" a="1"/>
  <c r="B18" i="89"/>
  <c r="D18" i="89"/>
  <c r="P18" i="89" s="1"/>
  <c r="E18" i="89"/>
  <c r="I18" i="89"/>
  <c r="L18" i="89"/>
  <c r="O18" i="89" a="1"/>
  <c r="B19" i="89"/>
  <c r="D19" i="89"/>
  <c r="P19" i="89" s="1"/>
  <c r="E19" i="89"/>
  <c r="I19" i="89"/>
  <c r="L19" i="89"/>
  <c r="O19" i="89" a="1"/>
  <c r="B20" i="89"/>
  <c r="D20" i="89"/>
  <c r="P20" i="89" s="1"/>
  <c r="E20" i="89"/>
  <c r="I20" i="89"/>
  <c r="L20" i="89"/>
  <c r="O20" i="89" a="1"/>
  <c r="B21" i="89"/>
  <c r="D21" i="89"/>
  <c r="P21" i="89" s="1"/>
  <c r="E21" i="89"/>
  <c r="I21" i="89"/>
  <c r="L21" i="89"/>
  <c r="O21" i="89" a="1"/>
  <c r="B22" i="89"/>
  <c r="D22" i="89"/>
  <c r="P22" i="89" s="1"/>
  <c r="E22" i="89"/>
  <c r="I22" i="89"/>
  <c r="L22" i="89"/>
  <c r="O22" i="89" a="1"/>
  <c r="B23" i="89"/>
  <c r="D23" i="89"/>
  <c r="P23" i="89" s="1"/>
  <c r="E23" i="89"/>
  <c r="I23" i="89"/>
  <c r="L23" i="89"/>
  <c r="O23" i="89" a="1"/>
  <c r="B24" i="89"/>
  <c r="D24" i="89"/>
  <c r="P24" i="89" s="1"/>
  <c r="E24" i="89"/>
  <c r="I24" i="89"/>
  <c r="L24" i="89"/>
  <c r="O24" i="89" a="1"/>
  <c r="B25" i="89"/>
  <c r="D25" i="89"/>
  <c r="P25" i="89" s="1"/>
  <c r="E25" i="89"/>
  <c r="I25" i="89"/>
  <c r="L25" i="89"/>
  <c r="O25" i="89" a="1"/>
  <c r="B26" i="89"/>
  <c r="D26" i="89"/>
  <c r="P26" i="89" s="1"/>
  <c r="E26" i="89"/>
  <c r="I26" i="89"/>
  <c r="L26" i="89"/>
  <c r="O26" i="89" a="1"/>
  <c r="B27" i="89"/>
  <c r="D27" i="89"/>
  <c r="P27" i="89" s="1"/>
  <c r="E27" i="89"/>
  <c r="I27" i="89"/>
  <c r="L27" i="89"/>
  <c r="O27" i="89" a="1"/>
  <c r="B28" i="89"/>
  <c r="D28" i="89"/>
  <c r="P28" i="89" s="1"/>
  <c r="E28" i="89"/>
  <c r="I28" i="89"/>
  <c r="L28" i="89"/>
  <c r="O28" i="89" a="1"/>
  <c r="B29" i="89"/>
  <c r="D29" i="89"/>
  <c r="P29" i="89" s="1"/>
  <c r="E29" i="89"/>
  <c r="I29" i="89"/>
  <c r="L29" i="89"/>
  <c r="O29" i="89" a="1"/>
  <c r="B30" i="89"/>
  <c r="D30" i="89"/>
  <c r="P30" i="89" s="1"/>
  <c r="E30" i="89"/>
  <c r="I30" i="89"/>
  <c r="L30" i="89"/>
  <c r="O30" i="89" a="1"/>
  <c r="B31" i="89"/>
  <c r="D31" i="89"/>
  <c r="P31" i="89" s="1"/>
  <c r="E31" i="89"/>
  <c r="I31" i="89"/>
  <c r="L31" i="89"/>
  <c r="O31" i="89" a="1"/>
  <c r="B32" i="89"/>
  <c r="D32" i="89"/>
  <c r="P32" i="89" s="1"/>
  <c r="E32" i="89"/>
  <c r="I32" i="89"/>
  <c r="L32" i="89"/>
  <c r="O32" i="89" a="1"/>
  <c r="B33" i="89"/>
  <c r="D33" i="89"/>
  <c r="P33" i="89" s="1"/>
  <c r="E33" i="89"/>
  <c r="I33" i="89"/>
  <c r="L33" i="89"/>
  <c r="O33" i="89" a="1"/>
  <c r="B34" i="89"/>
  <c r="D34" i="89"/>
  <c r="P34" i="89" s="1"/>
  <c r="E34" i="89"/>
  <c r="I34" i="89"/>
  <c r="L34" i="89"/>
  <c r="O34" i="89" a="1"/>
  <c r="B35" i="89"/>
  <c r="D35" i="89"/>
  <c r="P35" i="89" s="1"/>
  <c r="E35" i="89"/>
  <c r="I35" i="89"/>
  <c r="L35" i="89"/>
  <c r="O35" i="89" a="1"/>
  <c r="B36" i="89"/>
  <c r="D36" i="89"/>
  <c r="P36" i="89" s="1"/>
  <c r="E36" i="89"/>
  <c r="I36" i="89"/>
  <c r="L36" i="89"/>
  <c r="O36" i="89" a="1"/>
  <c r="B37" i="89"/>
  <c r="D37" i="89"/>
  <c r="P37" i="89" s="1"/>
  <c r="E37" i="89"/>
  <c r="I37" i="89"/>
  <c r="L37" i="89"/>
  <c r="O37" i="89" a="1"/>
  <c r="B38" i="89"/>
  <c r="D38" i="89"/>
  <c r="P38" i="89" s="1"/>
  <c r="E38" i="89"/>
  <c r="I38" i="89"/>
  <c r="L38" i="89"/>
  <c r="O38" i="89" a="1"/>
  <c r="B39" i="89"/>
  <c r="D39" i="89"/>
  <c r="P39" i="89" s="1"/>
  <c r="E39" i="89"/>
  <c r="I39" i="89"/>
  <c r="L39" i="89"/>
  <c r="O39" i="89" a="1"/>
  <c r="B40" i="89"/>
  <c r="D40" i="89"/>
  <c r="P40" i="89" s="1"/>
  <c r="E40" i="89"/>
  <c r="I40" i="89"/>
  <c r="L40" i="89"/>
  <c r="O40" i="89" a="1"/>
  <c r="B41" i="89"/>
  <c r="D41" i="89"/>
  <c r="P41" i="89" s="1"/>
  <c r="E41" i="89"/>
  <c r="I41" i="89"/>
  <c r="L41" i="89"/>
  <c r="O41" i="89" a="1"/>
  <c r="B42" i="89"/>
  <c r="D42" i="89"/>
  <c r="P42" i="89" s="1"/>
  <c r="E42" i="89"/>
  <c r="I42" i="89"/>
  <c r="L42" i="89"/>
  <c r="O42" i="89" a="1"/>
  <c r="B43" i="89"/>
  <c r="D43" i="89"/>
  <c r="P43" i="89" s="1"/>
  <c r="E43" i="89"/>
  <c r="I43" i="89"/>
  <c r="L43" i="89"/>
  <c r="O43" i="89" a="1"/>
  <c r="B44" i="89"/>
  <c r="D44" i="89"/>
  <c r="P44" i="89" s="1"/>
  <c r="E44" i="89"/>
  <c r="I44" i="89"/>
  <c r="L44" i="89"/>
  <c r="O44" i="89" a="1"/>
  <c r="B45" i="89"/>
  <c r="D45" i="89"/>
  <c r="P45" i="89" s="1"/>
  <c r="E45" i="89"/>
  <c r="I45" i="89"/>
  <c r="L45" i="89"/>
  <c r="O45" i="89" a="1"/>
  <c r="B46" i="89"/>
  <c r="D46" i="89"/>
  <c r="P46" i="89" s="1"/>
  <c r="E46" i="89"/>
  <c r="I46" i="89"/>
  <c r="L46" i="89"/>
  <c r="O46" i="89" a="1"/>
  <c r="B47" i="89"/>
  <c r="D47" i="89"/>
  <c r="P47" i="89" s="1"/>
  <c r="E47" i="89"/>
  <c r="I47" i="89"/>
  <c r="L47" i="89"/>
  <c r="O47" i="89" a="1"/>
  <c r="B48" i="89"/>
  <c r="D48" i="89"/>
  <c r="P48" i="89" s="1"/>
  <c r="E48" i="89"/>
  <c r="I48" i="89"/>
  <c r="L48" i="89"/>
  <c r="O48" i="89" a="1"/>
  <c r="B49" i="89"/>
  <c r="D49" i="89"/>
  <c r="P49" i="89" s="1"/>
  <c r="E49" i="89"/>
  <c r="I49" i="89"/>
  <c r="L49" i="89"/>
  <c r="O49" i="89" a="1"/>
  <c r="B50" i="89"/>
  <c r="D50" i="89"/>
  <c r="P50" i="89" s="1"/>
  <c r="E50" i="89"/>
  <c r="I50" i="89"/>
  <c r="L50" i="89"/>
  <c r="O50" i="89" a="1"/>
  <c r="B51" i="89"/>
  <c r="D51" i="89"/>
  <c r="P51" i="89" s="1"/>
  <c r="E51" i="89"/>
  <c r="I51" i="89"/>
  <c r="L51" i="89"/>
  <c r="O51" i="89" a="1"/>
  <c r="B52" i="89"/>
  <c r="D52" i="89"/>
  <c r="P52" i="89" s="1"/>
  <c r="E52" i="89"/>
  <c r="I52" i="89"/>
  <c r="L52" i="89"/>
  <c r="O52" i="89" a="1"/>
  <c r="S13" i="89"/>
  <c r="AB2" i="89"/>
  <c r="K23" i="77" s="1"/>
  <c r="B1" i="89"/>
  <c r="B2" i="89"/>
  <c r="B10" i="89" a="1"/>
  <c r="EX15" i="82" a="1"/>
  <c r="FD8" i="82" a="1"/>
  <c r="EV15" i="82" a="1"/>
  <c r="ET15" i="82" a="1"/>
  <c r="FD7" i="82" a="1"/>
  <c r="FD6" i="82" a="1"/>
  <c r="AL10" i="82" a="1"/>
  <c r="D52" i="82" s="1" a="1"/>
  <c r="AL6" i="82" a="1"/>
  <c r="D48" i="82" s="1" a="1"/>
  <c r="AL7" i="82" a="1"/>
  <c r="D49" i="82" s="1" a="1"/>
  <c r="AL5" i="82" a="1"/>
  <c r="CG30" i="81" a="1"/>
  <c r="CG29" i="81" a="1"/>
  <c r="CG28" i="81" a="1"/>
  <c r="CG27" i="81" a="1"/>
  <c r="CG26" i="81" a="1"/>
  <c r="CG25" i="81" a="1"/>
  <c r="CG24" i="81" a="1"/>
  <c r="CG23" i="81" a="1"/>
  <c r="CG22" i="81" a="1"/>
  <c r="CG21" i="81" a="1"/>
  <c r="CG20" i="81" a="1"/>
  <c r="CG19" i="81" a="1"/>
  <c r="CG18" i="81" a="1"/>
  <c r="CG17" i="81" a="1"/>
  <c r="CG16" i="81" a="1"/>
  <c r="CG15" i="81" a="1"/>
  <c r="CG14" i="81" a="1"/>
  <c r="CG13" i="81" a="1"/>
  <c r="CG12" i="81" a="1"/>
  <c r="CG31" i="81" a="1"/>
  <c r="CG11" i="81" a="1"/>
  <c r="CG8" i="81" a="1"/>
  <c r="FB80" i="76"/>
  <c r="FC80" i="76"/>
  <c r="CG10" i="81" a="1"/>
  <c r="CG9" i="81" a="1"/>
  <c r="BC15" i="81"/>
  <c r="BW15" i="81" s="1"/>
  <c r="BB15" i="81"/>
  <c r="BS15" i="81" s="1"/>
  <c r="BB14" i="81"/>
  <c r="BS14" i="81" s="1"/>
  <c r="BC13" i="81" a="1"/>
  <c r="BB13" i="81" a="1"/>
  <c r="BS13" i="81" s="1"/>
  <c r="BC12" i="81" a="1"/>
  <c r="BB12" i="81" a="1"/>
  <c r="BS12" i="81" s="1"/>
  <c r="BC11" i="81" a="1"/>
  <c r="BB11" i="81" a="1"/>
  <c r="BS11" i="81" s="1"/>
  <c r="BC10" i="81" a="1"/>
  <c r="BB10" i="81" a="1"/>
  <c r="BS10" i="81" s="1"/>
  <c r="BC9" i="81" a="1"/>
  <c r="BB9" i="81" a="1"/>
  <c r="BS9" i="81" s="1"/>
  <c r="BC8" i="81"/>
  <c r="BB8" i="81"/>
  <c r="BS8" i="81" s="1"/>
  <c r="BR10" i="81"/>
  <c r="CG36" i="81" a="1"/>
  <c r="CG35" i="81" a="1"/>
  <c r="CA13" i="81"/>
  <c r="CC13" i="81"/>
  <c r="CB13" i="81"/>
  <c r="CC12" i="81"/>
  <c r="CB12" i="81"/>
  <c r="CA12" i="81"/>
  <c r="CC11" i="81"/>
  <c r="CB11" i="81"/>
  <c r="CA11" i="81"/>
  <c r="CB10" i="81"/>
  <c r="CA10" i="81"/>
  <c r="CC10" i="81"/>
  <c r="CB9" i="81"/>
  <c r="CA9" i="81"/>
  <c r="CC9" i="81"/>
  <c r="BF14" i="81"/>
  <c r="CD8" i="81"/>
  <c r="FB1" i="76"/>
  <c r="FC1" i="76"/>
  <c r="BI17" i="81" a="1"/>
  <c r="BJ17" i="81" s="1"/>
  <c r="BI19" i="81" a="1"/>
  <c r="BJ19" i="81" s="1"/>
  <c r="BI10" i="81" a="1"/>
  <c r="BJ10" i="81" s="1"/>
  <c r="BI15" i="81" a="1"/>
  <c r="BJ15" i="81" s="1"/>
  <c r="BI13" i="81" a="1"/>
  <c r="BJ13" i="81" s="1"/>
  <c r="BI12" i="81" a="1"/>
  <c r="BJ12" i="81" s="1"/>
  <c r="BI8" i="81" a="1"/>
  <c r="BJ8" i="81" s="1"/>
  <c r="BI11" i="81" a="1"/>
  <c r="BJ11" i="81" s="1"/>
  <c r="BI16" i="81" a="1"/>
  <c r="BJ16" i="81" s="1"/>
  <c r="BI18" i="81" a="1"/>
  <c r="BJ18" i="81" s="1"/>
  <c r="BI14" i="81" a="1"/>
  <c r="BJ14" i="81" s="1"/>
  <c r="BI9" i="81" a="1"/>
  <c r="BJ9" i="81" s="1"/>
  <c r="CK38" i="81" a="1"/>
  <c r="CK37" i="81" a="1"/>
  <c r="CK36" i="81" a="1"/>
  <c r="CK35" i="81" a="1"/>
  <c r="CK31" i="81" a="1"/>
  <c r="CK30" i="81" a="1"/>
  <c r="CK29" i="81" a="1"/>
  <c r="CK28" i="81" a="1"/>
  <c r="CK27" i="81" a="1"/>
  <c r="CK26" i="81" a="1"/>
  <c r="CK25" i="81" a="1"/>
  <c r="CK24" i="81" a="1"/>
  <c r="CK23" i="81" a="1"/>
  <c r="CK22" i="81" a="1"/>
  <c r="CK21" i="81" a="1"/>
  <c r="CK20" i="81" a="1"/>
  <c r="CK19" i="81" a="1"/>
  <c r="CK18" i="81" a="1"/>
  <c r="CK17" i="81" a="1"/>
  <c r="CK16" i="81" a="1"/>
  <c r="CK15" i="81" a="1"/>
  <c r="CK14" i="81" a="1"/>
  <c r="CK13" i="81" a="1"/>
  <c r="CK12" i="81" a="1"/>
  <c r="CK11" i="81" a="1"/>
  <c r="CK10" i="81" a="1"/>
  <c r="CK9" i="81" a="1"/>
  <c r="CK8" i="81" a="1"/>
  <c r="CL49" i="81" a="1"/>
  <c r="CL48" i="81" a="1"/>
  <c r="CL47" i="81" a="1"/>
  <c r="CL46" i="81" a="1"/>
  <c r="CL45" i="81" a="1"/>
  <c r="CL44" i="81" a="1"/>
  <c r="CL43" i="81" a="1"/>
  <c r="CL42" i="81" a="1"/>
  <c r="CL41" i="81" a="1"/>
  <c r="CL40" i="81" a="1"/>
  <c r="CL39" i="81" a="1"/>
  <c r="CL38" i="81" a="1"/>
  <c r="CL36" i="81" a="1"/>
  <c r="CL30" i="81" a="1"/>
  <c r="CL28" i="81" a="1"/>
  <c r="CL26" i="81" a="1"/>
  <c r="CL24" i="81" a="1"/>
  <c r="CL22" i="81" a="1"/>
  <c r="CL21" i="81" a="1"/>
  <c r="CL19" i="81" a="1"/>
  <c r="CL17" i="81" a="1"/>
  <c r="CL15" i="81" a="1"/>
  <c r="CL13" i="81" a="1"/>
  <c r="CL11" i="81" a="1"/>
  <c r="CL9" i="81" a="1"/>
  <c r="CK48" i="81" a="1"/>
  <c r="CM47" i="81" a="1"/>
  <c r="CM45" i="81" a="1"/>
  <c r="CM43" i="81" a="1"/>
  <c r="CM41" i="81" a="1"/>
  <c r="CM39" i="81" a="1"/>
  <c r="CM38" i="81" a="1"/>
  <c r="CM36" i="81" a="1"/>
  <c r="CM30" i="81" a="1"/>
  <c r="CM28" i="81" a="1"/>
  <c r="CM26" i="81" a="1"/>
  <c r="CM24" i="81" a="1"/>
  <c r="CM22" i="81" a="1"/>
  <c r="CM20" i="81" a="1"/>
  <c r="CL31" i="81" a="1"/>
  <c r="CL29" i="81" a="1"/>
  <c r="CM42" i="81" a="1"/>
  <c r="CM40" i="81" a="1"/>
  <c r="CM37" i="81" a="1"/>
  <c r="CM35" i="81" a="1"/>
  <c r="CM29" i="81" a="1"/>
  <c r="CM27" i="81" a="1"/>
  <c r="CM23" i="81" a="1"/>
  <c r="CM19" i="81" a="1"/>
  <c r="CM17" i="81" a="1"/>
  <c r="CM13" i="81" a="1"/>
  <c r="CM11" i="81" a="1"/>
  <c r="CM9" i="81" a="1"/>
  <c r="BR6" i="81"/>
  <c r="CG49" i="81" a="1"/>
  <c r="CG48" i="81" a="1"/>
  <c r="CG47" i="81" a="1"/>
  <c r="CG46" i="81" a="1"/>
  <c r="CG45" i="81" a="1"/>
  <c r="CG44" i="81" a="1"/>
  <c r="CG43" i="81" a="1"/>
  <c r="CG42" i="81" a="1"/>
  <c r="CG41" i="81" a="1"/>
  <c r="CG40" i="81" a="1"/>
  <c r="CG39" i="81" a="1"/>
  <c r="CG38" i="81" a="1"/>
  <c r="CG37" i="81" a="1"/>
  <c r="BL14" i="81"/>
  <c r="BL13" i="81"/>
  <c r="BL12" i="81"/>
  <c r="BL11" i="81"/>
  <c r="BL10" i="81"/>
  <c r="BL9" i="81"/>
  <c r="CM18" i="81" a="1"/>
  <c r="CM16" i="81" a="1"/>
  <c r="CM14" i="81" a="1"/>
  <c r="CM12" i="81" a="1"/>
  <c r="CM10" i="81" a="1"/>
  <c r="CM8" i="81" a="1"/>
  <c r="CL37" i="81" a="1"/>
  <c r="CL35" i="81" a="1"/>
  <c r="CL27" i="81" a="1"/>
  <c r="CL25" i="81" a="1"/>
  <c r="CL23" i="81" a="1"/>
  <c r="CL20" i="81" a="1"/>
  <c r="CL18" i="81" a="1"/>
  <c r="CL16" i="81" a="1"/>
  <c r="CM49" i="81" a="1"/>
  <c r="CL12" i="81" a="1"/>
  <c r="CL10" i="81" a="1"/>
  <c r="CL8" i="81" a="1"/>
  <c r="CM48" i="81" a="1"/>
  <c r="CM46" i="81" a="1"/>
  <c r="CM44" i="81" a="1"/>
  <c r="CM31" i="81" a="1"/>
  <c r="CM25" i="81" a="1"/>
  <c r="CM21" i="81" a="1"/>
  <c r="CM15" i="81" a="1"/>
  <c r="CK49" i="81" a="1"/>
  <c r="CK47" i="81" a="1"/>
  <c r="CK46" i="81" a="1"/>
  <c r="CK45" i="81" a="1"/>
  <c r="CK44" i="81" a="1"/>
  <c r="CK43" i="81" a="1"/>
  <c r="CK42" i="81" a="1"/>
  <c r="CK41" i="81" a="1"/>
  <c r="CK40" i="81" a="1"/>
  <c r="CK39" i="81" a="1"/>
  <c r="CL14" i="81" a="1"/>
  <c r="AU10" i="80" a="1"/>
  <c r="B13" i="80" s="1"/>
  <c r="AT8" i="80" s="1"/>
  <c r="AL26" i="80"/>
  <c r="AL8" i="80"/>
  <c r="AL10" i="80"/>
  <c r="AL24" i="80"/>
  <c r="AL20" i="80"/>
  <c r="AL22" i="80"/>
  <c r="AL9" i="80"/>
  <c r="AL11" i="80"/>
  <c r="AL14" i="80"/>
  <c r="AL12" i="80"/>
  <c r="AL21" i="80"/>
  <c r="AL28" i="80"/>
  <c r="AL29" i="80"/>
  <c r="AL27" i="80"/>
  <c r="AL17" i="80"/>
  <c r="AL19" i="80"/>
  <c r="AL23" i="80"/>
  <c r="AL30" i="80"/>
  <c r="AL25" i="80"/>
  <c r="AL15" i="80"/>
  <c r="AL13" i="80"/>
  <c r="AL16" i="80"/>
  <c r="AL18" i="80"/>
  <c r="AL31" i="80"/>
  <c r="AN26" i="80"/>
  <c r="AM26" i="80"/>
  <c r="AN8" i="80"/>
  <c r="AM8" i="80"/>
  <c r="AN10" i="80"/>
  <c r="AN13" i="80"/>
  <c r="AN24" i="80"/>
  <c r="AM24" i="80"/>
  <c r="AN20" i="80"/>
  <c r="AM20" i="80"/>
  <c r="AN17" i="80"/>
  <c r="AN22" i="80"/>
  <c r="AM22" i="80"/>
  <c r="AN9" i="80"/>
  <c r="AM9" i="80"/>
  <c r="AN11" i="80"/>
  <c r="AM11" i="80"/>
  <c r="AM10" i="80"/>
  <c r="AN14" i="80"/>
  <c r="AM14" i="80"/>
  <c r="AN12" i="80"/>
  <c r="AM12" i="80"/>
  <c r="AN21" i="80"/>
  <c r="AM21" i="80"/>
  <c r="AN28" i="80"/>
  <c r="AM28" i="80"/>
  <c r="AM29" i="80"/>
  <c r="AN27" i="80"/>
  <c r="AM27" i="80"/>
  <c r="AN31" i="80"/>
  <c r="AM17" i="80"/>
  <c r="AN29" i="80"/>
  <c r="AN16" i="80"/>
  <c r="AM16" i="80"/>
  <c r="AM18" i="80"/>
  <c r="AM31" i="80"/>
  <c r="AN19" i="80"/>
  <c r="AM19" i="80"/>
  <c r="AN23" i="80"/>
  <c r="AM23" i="80"/>
  <c r="AN30" i="80"/>
  <c r="AM30" i="80"/>
  <c r="AN25" i="80"/>
  <c r="AM25" i="80"/>
  <c r="AN15" i="80"/>
  <c r="AM15" i="80"/>
  <c r="AM13" i="80"/>
  <c r="AN18" i="80"/>
  <c r="AU10" i="78" a="1"/>
  <c r="B13" i="78" s="1"/>
  <c r="AT8" i="78" s="1"/>
  <c r="AU10" i="79" a="1"/>
  <c r="B13" i="79" s="1"/>
  <c r="AT8" i="79" s="1"/>
  <c r="AL23" i="79"/>
  <c r="AL26" i="79"/>
  <c r="AL28" i="79"/>
  <c r="AL25" i="79"/>
  <c r="AL11" i="79"/>
  <c r="AL30" i="79"/>
  <c r="AL29" i="79"/>
  <c r="AL14" i="79"/>
  <c r="AL15" i="79"/>
  <c r="AL12" i="79"/>
  <c r="AL31" i="79"/>
  <c r="AL13" i="79"/>
  <c r="AL9" i="79"/>
  <c r="AL16" i="79"/>
  <c r="AL17" i="79"/>
  <c r="AL18" i="79"/>
  <c r="AL19" i="79"/>
  <c r="AL20" i="79"/>
  <c r="AL24" i="79"/>
  <c r="AL27" i="79"/>
  <c r="AL10" i="79"/>
  <c r="AL8" i="79"/>
  <c r="AL21" i="79"/>
  <c r="AL22" i="79"/>
  <c r="AN23" i="79"/>
  <c r="AM23" i="79"/>
  <c r="AN26" i="79"/>
  <c r="AM26" i="79"/>
  <c r="AN28" i="79"/>
  <c r="AM28" i="79"/>
  <c r="AN25" i="79"/>
  <c r="AM25" i="79"/>
  <c r="AN11" i="79"/>
  <c r="AM11" i="79"/>
  <c r="AN30" i="79"/>
  <c r="AM30" i="79"/>
  <c r="AN29" i="79"/>
  <c r="AM29" i="79"/>
  <c r="AN14" i="79"/>
  <c r="AM14" i="79"/>
  <c r="AN15" i="79"/>
  <c r="AM15" i="79"/>
  <c r="AN12" i="79"/>
  <c r="AM12" i="79"/>
  <c r="AN31" i="79"/>
  <c r="AM31" i="79"/>
  <c r="AN13" i="79"/>
  <c r="AM13" i="79"/>
  <c r="AN9" i="79"/>
  <c r="AM9" i="79"/>
  <c r="AN16" i="79"/>
  <c r="AM16" i="79"/>
  <c r="AN17" i="79"/>
  <c r="AM17" i="79"/>
  <c r="AN18" i="79"/>
  <c r="AM18" i="79"/>
  <c r="AN19" i="79"/>
  <c r="AM19" i="79"/>
  <c r="AN20" i="79"/>
  <c r="AM20" i="79"/>
  <c r="AN24" i="79"/>
  <c r="AM24" i="79"/>
  <c r="AN27" i="79"/>
  <c r="AM27" i="79"/>
  <c r="AN10" i="79"/>
  <c r="AM10" i="79"/>
  <c r="AN8" i="79"/>
  <c r="AM8" i="79"/>
  <c r="AN21" i="79"/>
  <c r="AM21" i="79"/>
  <c r="AN22" i="79"/>
  <c r="AM22" i="79"/>
  <c r="AL24" i="78"/>
  <c r="AL28" i="78"/>
  <c r="AL30" i="78"/>
  <c r="AL31" i="78"/>
  <c r="AL27" i="78"/>
  <c r="AL17" i="78"/>
  <c r="AL23" i="78"/>
  <c r="AL16" i="78"/>
  <c r="AL26" i="78"/>
  <c r="AL29" i="78"/>
  <c r="AL12" i="78"/>
  <c r="AL14" i="78"/>
  <c r="AL18" i="78"/>
  <c r="AL9" i="78"/>
  <c r="AL22" i="78"/>
  <c r="AL13" i="78"/>
  <c r="AL11" i="78"/>
  <c r="AL19" i="78"/>
  <c r="AL21" i="78"/>
  <c r="AL25" i="78"/>
  <c r="AL8" i="78"/>
  <c r="AL20" i="78"/>
  <c r="AL15" i="78"/>
  <c r="AL10" i="78"/>
  <c r="AN27" i="78"/>
  <c r="AM27" i="78"/>
  <c r="AN24" i="78"/>
  <c r="AM24" i="78"/>
  <c r="AN31" i="78"/>
  <c r="AM31" i="78"/>
  <c r="AN16" i="78"/>
  <c r="AM16" i="78"/>
  <c r="AN11" i="78"/>
  <c r="AN28" i="78"/>
  <c r="AM28" i="78"/>
  <c r="AN30" i="78"/>
  <c r="AM30" i="78"/>
  <c r="AN12" i="78"/>
  <c r="AM12" i="78"/>
  <c r="AN14" i="78"/>
  <c r="AM14" i="78"/>
  <c r="AN29" i="78"/>
  <c r="AM29" i="78"/>
  <c r="AN18" i="78"/>
  <c r="AM18" i="78"/>
  <c r="AN9" i="78"/>
  <c r="AM9" i="78"/>
  <c r="AN17" i="78"/>
  <c r="AM17" i="78"/>
  <c r="AN20" i="78"/>
  <c r="AM20" i="78"/>
  <c r="AN22" i="78"/>
  <c r="AM22" i="78"/>
  <c r="AN13" i="78"/>
  <c r="AM13" i="78"/>
  <c r="AM11" i="78"/>
  <c r="AN19" i="78"/>
  <c r="AM19" i="78"/>
  <c r="AN21" i="78"/>
  <c r="AM21" i="78"/>
  <c r="AN8" i="78"/>
  <c r="AM8" i="78"/>
  <c r="AN15" i="78"/>
  <c r="AM15" i="78"/>
  <c r="AN25" i="78"/>
  <c r="AM25" i="78"/>
  <c r="AN26" i="78"/>
  <c r="AM26" i="78"/>
  <c r="AN10" i="78"/>
  <c r="AM10" i="78"/>
  <c r="AN23" i="78"/>
  <c r="AM23" i="78"/>
  <c r="A51" i="6" a="1"/>
  <c r="I7" i="4"/>
  <c r="I8" i="4" s="1" a="1"/>
  <c r="H18" i="22" s="1" a="1"/>
  <c r="I5" i="4"/>
  <c r="I6" i="4"/>
  <c r="AV7" i="95" l="1" a="1"/>
  <c r="S33" i="95" a="1"/>
  <c r="E12" i="95" a="1"/>
  <c r="K25" i="77"/>
  <c r="H41" i="92" a="1"/>
  <c r="D47" i="82" a="1"/>
  <c r="FD12" i="82" a="1"/>
  <c r="FD11" i="82" a="1"/>
  <c r="FD10" i="82" a="1"/>
  <c r="AL8" i="82" a="1"/>
  <c r="BM11" i="81" a="1"/>
  <c r="BP11" i="81" a="1"/>
  <c r="BM10" i="81" a="1"/>
  <c r="BP10" i="81" a="1"/>
  <c r="BM9" i="81" a="1"/>
  <c r="BP9" i="81" a="1"/>
  <c r="BV13" i="81"/>
  <c r="BU13" i="81"/>
  <c r="BU12" i="81"/>
  <c r="BV12" i="81"/>
  <c r="BU11" i="81"/>
  <c r="BV11" i="81"/>
  <c r="BU10" i="81"/>
  <c r="BV10" i="81"/>
  <c r="BU9" i="81"/>
  <c r="BV9" i="81"/>
  <c r="BW8" i="81"/>
  <c r="BC14" i="81"/>
  <c r="BT9" i="81"/>
  <c r="BT10" i="81"/>
  <c r="BT11" i="81"/>
  <c r="BT12" i="81"/>
  <c r="BT13" i="81"/>
  <c r="CA14" i="81"/>
  <c r="CB14" i="81"/>
  <c r="CC14" i="81"/>
  <c r="BP14" i="81" a="1"/>
  <c r="BN14" i="81"/>
  <c r="BO14" i="81"/>
  <c r="BM14" i="81" a="1"/>
  <c r="BM13" i="81" a="1"/>
  <c r="BP13" i="81" a="1"/>
  <c r="BN13" i="81"/>
  <c r="BO13" i="81"/>
  <c r="BN12" i="81"/>
  <c r="BP12" i="81" a="1"/>
  <c r="BM12" i="81" a="1"/>
  <c r="BO12" i="81"/>
  <c r="L48" i="81"/>
  <c r="CG34" i="81" a="1"/>
  <c r="L47" i="81"/>
  <c r="CG33" i="81" a="1"/>
  <c r="L46" i="81"/>
  <c r="CG32" i="81" a="1"/>
  <c r="BK3" i="81"/>
  <c r="L44" i="81"/>
  <c r="BR8" i="81"/>
  <c r="AQ12" i="80" a="1"/>
  <c r="M27" i="80" a="1"/>
  <c r="AQ12" i="78" a="1"/>
  <c r="M27" i="78" a="1"/>
  <c r="M27" i="79" a="1"/>
  <c r="AQ12" i="79" a="1"/>
  <c r="H17" i="22" a="1"/>
  <c r="K17" i="22"/>
  <c r="G51" i="4"/>
  <c r="D3" i="6"/>
  <c r="F3" i="6"/>
  <c r="H51" i="4"/>
  <c r="B4" i="6"/>
  <c r="AV8" i="95" l="1" a="1"/>
  <c r="O33" i="95" a="1"/>
  <c r="AV10" i="95" a="1"/>
  <c r="B6" i="82" a="1"/>
  <c r="D50" i="82" a="1"/>
  <c r="G12" i="95" a="1"/>
  <c r="FD16" i="82" a="1"/>
  <c r="FD15" i="82" a="1"/>
  <c r="FD14" i="82" a="1"/>
  <c r="EN15" i="82" a="1"/>
  <c r="AL9" i="82" a="1"/>
  <c r="EJ15" i="82" s="1" a="1"/>
  <c r="X12" i="82" s="1" a="1"/>
  <c r="CK34" i="81" a="1"/>
  <c r="N48" i="81"/>
  <c r="BN11" i="81"/>
  <c r="BO11" i="81"/>
  <c r="N47" i="81"/>
  <c r="CK33" i="81" a="1"/>
  <c r="BN10" i="81"/>
  <c r="BO10" i="81"/>
  <c r="N46" i="81"/>
  <c r="CK32" i="81" a="1"/>
  <c r="BN9" i="81"/>
  <c r="BO9" i="81"/>
  <c r="BT14" i="81"/>
  <c r="BV14" i="81"/>
  <c r="BU14" i="81"/>
  <c r="B6" i="81"/>
  <c r="AO39" i="81" a="1"/>
  <c r="AP39" i="81" s="1"/>
  <c r="AO31" i="81" a="1"/>
  <c r="AP31" i="81" s="1"/>
  <c r="AO40" i="81" a="1"/>
  <c r="AP40" i="81" s="1"/>
  <c r="AO38" i="81" a="1"/>
  <c r="AP38" i="81" s="1"/>
  <c r="AO37" i="81" a="1"/>
  <c r="AP37" i="81" s="1"/>
  <c r="AO36" i="81" a="1"/>
  <c r="AP36" i="81" s="1"/>
  <c r="AO34" i="81" a="1"/>
  <c r="AP34" i="81" s="1"/>
  <c r="AO24" i="81" a="1"/>
  <c r="AP24" i="81" s="1"/>
  <c r="AO22" i="81" a="1"/>
  <c r="AP22" i="81" s="1"/>
  <c r="AO20" i="81" a="1"/>
  <c r="AP20" i="81" s="1"/>
  <c r="AO18" i="81" a="1"/>
  <c r="AP18" i="81" s="1"/>
  <c r="AO15" i="81" a="1"/>
  <c r="AP15" i="81" s="1"/>
  <c r="AO10" i="81" a="1"/>
  <c r="AP10" i="81" s="1"/>
  <c r="L42" i="81" a="1"/>
  <c r="AO33" i="81" a="1"/>
  <c r="AP33" i="81" s="1"/>
  <c r="AO32" i="81" a="1"/>
  <c r="AP32" i="81" s="1"/>
  <c r="AO30" i="81" a="1"/>
  <c r="AP30" i="81" s="1"/>
  <c r="AO29" i="81" a="1"/>
  <c r="AP29" i="81" s="1"/>
  <c r="AO28" i="81" a="1"/>
  <c r="AP28" i="81" s="1"/>
  <c r="AO27" i="81" a="1"/>
  <c r="AP27" i="81" s="1"/>
  <c r="AO26" i="81" a="1"/>
  <c r="AP26" i="81" s="1"/>
  <c r="AO25" i="81" a="1"/>
  <c r="AP25" i="81" s="1"/>
  <c r="AO23" i="81" a="1"/>
  <c r="AP23" i="81" s="1"/>
  <c r="AO19" i="81" a="1"/>
  <c r="AP19" i="81" s="1"/>
  <c r="AO17" i="81" a="1"/>
  <c r="AP17" i="81" s="1"/>
  <c r="AO13" i="81" a="1"/>
  <c r="AP13" i="81" s="1"/>
  <c r="AO11" i="81" a="1"/>
  <c r="AP11" i="81" s="1"/>
  <c r="AO9" i="81" a="1"/>
  <c r="AP9" i="81" s="1"/>
  <c r="AO14" i="81" a="1"/>
  <c r="AP14" i="81" s="1"/>
  <c r="AO35" i="81" a="1"/>
  <c r="AP35" i="81" s="1"/>
  <c r="BK11" i="81"/>
  <c r="AO41" i="81" a="1"/>
  <c r="AP41" i="81" s="1"/>
  <c r="BK12" i="81"/>
  <c r="BK14" i="81"/>
  <c r="BK13" i="81"/>
  <c r="BK19" i="81"/>
  <c r="BK15" i="81"/>
  <c r="BK17" i="81"/>
  <c r="AO42" i="81" a="1"/>
  <c r="AP42" i="81" s="1"/>
  <c r="BK8" i="81"/>
  <c r="BK10" i="81"/>
  <c r="BK16" i="81"/>
  <c r="BK9" i="81"/>
  <c r="BK18" i="81"/>
  <c r="AO21" i="81" a="1"/>
  <c r="AP21" i="81" s="1"/>
  <c r="AO8" i="81" a="1"/>
  <c r="AP8" i="81" s="1"/>
  <c r="AO16" i="81" a="1"/>
  <c r="AP16" i="81" s="1"/>
  <c r="AO12" i="81" a="1"/>
  <c r="AP12" i="81" s="1"/>
  <c r="L40" i="81"/>
  <c r="AO43" i="81" a="1"/>
  <c r="AP43" i="81" s="1"/>
  <c r="B2" i="80" a="1"/>
  <c r="B1" i="80" a="1"/>
  <c r="B1" i="78" a="1"/>
  <c r="B2" i="78" a="1"/>
  <c r="B2" i="79" a="1"/>
  <c r="B1" i="79" a="1"/>
  <c r="AB9" i="95" l="1" a="1"/>
  <c r="AV9" i="95" a="1"/>
  <c r="BU12" i="95" a="1"/>
  <c r="BS12" i="95" a="1"/>
  <c r="I12" i="95" a="1"/>
  <c r="CS10" i="95" a="1"/>
  <c r="CS3" i="95" a="1"/>
  <c r="FD5" i="82" a="1"/>
  <c r="B57" i="82" s="1" a="1"/>
  <c r="EO15" i="82" a="1"/>
  <c r="D53" i="82" a="1"/>
  <c r="D54" i="82" s="1" a="1"/>
  <c r="D51" i="82" a="1"/>
  <c r="R47" i="81"/>
  <c r="CM33" i="81" a="1"/>
  <c r="P46" i="81"/>
  <c r="CL32" i="81" a="1"/>
  <c r="P48" i="81"/>
  <c r="CL34" i="81" a="1"/>
  <c r="R48" i="81"/>
  <c r="CM34" i="81" a="1"/>
  <c r="CL33" i="81" a="1"/>
  <c r="P47" i="81"/>
  <c r="CM32" i="81" a="1"/>
  <c r="R46" i="81"/>
  <c r="EK15" i="82" a="1"/>
  <c r="X48" i="82" a="1"/>
  <c r="AB8" i="95" l="1"/>
  <c r="AB20" i="95" s="1"/>
  <c r="Q33" i="95" a="1"/>
  <c r="AV11" i="95" a="1"/>
  <c r="CP12" i="95" a="1"/>
  <c r="AB2" i="95"/>
  <c r="K26" i="77" s="1"/>
  <c r="B6" i="95"/>
  <c r="I47" i="95" a="1"/>
  <c r="ER15" i="82" a="1"/>
  <c r="AH15" i="82" a="1"/>
  <c r="CS9" i="95" s="1"/>
  <c r="I49" i="95" s="1" a="1"/>
  <c r="CN12" i="95" l="1" a="1"/>
  <c r="CQ12" i="95" a="1"/>
  <c r="M12" i="95" s="1" a="1"/>
  <c r="K12" i="95" a="1"/>
  <c r="K47" i="95" a="1"/>
  <c r="H23" i="92" a="1"/>
  <c r="B1" i="82" a="1"/>
  <c r="B2" i="82" a="1"/>
  <c r="B56" i="82" a="1"/>
  <c r="CS4" i="95" l="1" a="1"/>
  <c r="CS5" i="95" s="1"/>
  <c r="CO12" i="95" a="1"/>
  <c r="B2" i="95" a="1"/>
  <c r="B1" i="95" a="1"/>
  <c r="I48" i="95" a="1"/>
  <c r="H22" i="92" a="1"/>
  <c r="M47" i="95" a="1"/>
  <c r="CS7" i="95" l="1"/>
  <c r="CS8" i="95"/>
  <c r="CS6" i="95"/>
  <c r="DA12" i="95" a="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379C55F-1948-47F3-B67B-2CCE35FDFAD4}" name="Query - DimCompany" description="Power Query 'DimCompany' loaded to the Data Model" type="100" refreshedVersion="8" minRefreshableVersion="5">
    <extLst>
      <ext xmlns:x15="http://schemas.microsoft.com/office/spreadsheetml/2010/11/main" uri="{DE250136-89BD-433C-8126-D09CA5730AF9}">
        <x15:connection id="aba8c5ce-7c08-4c52-a436-ffbdf0944637"/>
      </ext>
    </extLst>
  </connection>
  <connection id="2" xr16:uid="{62F24C54-BDE4-4080-B4D6-3B5AE61A05F7}" name="Query - DimDate" description="Power Query 'DimDate' loaded to the Data Model" type="100" refreshedVersion="8" minRefreshableVersion="5">
    <extLst>
      <ext xmlns:x15="http://schemas.microsoft.com/office/spreadsheetml/2010/11/main" uri="{DE250136-89BD-433C-8126-D09CA5730AF9}">
        <x15:connection id="8f1d72b4-ab3b-4e45-b2de-b59bdcfa7d20"/>
      </ext>
    </extLst>
  </connection>
  <connection id="3" xr16:uid="{ED8C9D80-812A-44E2-BD69-4EE469D4733C}" name="Query - DimFXRate" description="Power Query 'DimFXRate' loaded to the Data Model" type="100" refreshedVersion="8" minRefreshableVersion="5">
    <extLst>
      <ext xmlns:x15="http://schemas.microsoft.com/office/spreadsheetml/2010/11/main" uri="{DE250136-89BD-433C-8126-D09CA5730AF9}">
        <x15:connection id="a6e4e8ca-84a5-4c4e-8fc4-535abc48939d"/>
      </ext>
    </extLst>
  </connection>
  <connection id="4" xr16:uid="{1CAC2C4B-673E-4E02-B917-1C644A04DBF4}" name="Query - FactPayment" description="Power Query 'FactPayment' loaded to the Data Model" type="100" refreshedVersion="8" minRefreshableVersion="5">
    <extLst>
      <ext xmlns:x15="http://schemas.microsoft.com/office/spreadsheetml/2010/11/main" uri="{DE250136-89BD-433C-8126-D09CA5730AF9}">
        <x15:connection id="3ab45395-de78-4fb7-9bb6-7a5d82c1f64a"/>
      </ext>
    </extLst>
  </connection>
  <connection id="5" xr16:uid="{A884A290-4BD5-4B0F-BA45-3D9013ED4530}" keepAlive="1" name="Query - qView_Lines" type="5" refreshedVersion="8" saveData="1">
    <dbPr connection="Provider=Microsoft.Mashup.OleDb.1;Data Source=$Workbook$;Location=qView_Lines;Extended Properties=&quot;&quot;" command="SELECT * FROM [qView_Lines]"/>
    <extLst>
      <ext xmlns:x15="http://schemas.microsoft.com/office/spreadsheetml/2010/11/main" uri="{DE250136-89BD-433C-8126-D09CA5730AF9}">
        <x15:connection id="" excludeFromRefreshAll="1"/>
      </ext>
    </extLst>
  </connection>
  <connection id="6" xr16:uid="{CF9AAEE4-73E3-43AF-B204-99F5692AEE6E}" keepAlive="1" name="Query - qView_Raw" type="5" refreshedVersion="8">
    <dbPr connection="Provider=Microsoft.Mashup.OleDb.1;Data Source=$Workbook$;Location=qView_Raw;Extended Properties=&quot;&quot;" command="SELECT * FROM [qView_Raw]"/>
  </connection>
  <connection id="7" xr16:uid="{D3AFD675-7A3E-4573-B643-24BFE0A4518A}" keepAlive="1" name="Query - STG_ActiveFact" type="5" refreshedVersion="8" saveData="1">
    <dbPr connection="Provider=Microsoft.Mashup.OleDb.1;Data Source=$Workbook$;Location=STG_ActiveFact;Extended Properties=&quot;&quot;" command="SELECT * FROM [STG_ActiveFact]"/>
  </connection>
  <connection id="8" xr16:uid="{5BD64243-CBAA-4401-A439-393E64D94BAD}" keepAlive="1" name="Query - STG_Bulk" type="5" refreshedVersion="8" saveData="1">
    <dbPr connection="Provider=Microsoft.Mashup.OleDb.1;Data Source=$Workbook$;Location=STG_Bulk;Extended Properties=&quot;&quot;" command="SELECT * FROM [STG_Bulk]"/>
  </connection>
  <connection id="9" xr16:uid="{2608AA98-F38D-4B98-862F-62D6D065D6A9}" keepAlive="1" name="Query - STG_BulkFiles" type="5" refreshedVersion="8" saveData="1">
    <dbPr connection="Provider=Microsoft.Mashup.OleDb.1;Data Source=$Workbook$;Location=STG_BulkFiles;Extended Properties=&quot;&quot;" command="SELECT * FROM [STG_BulkFiles]"/>
  </connection>
  <connection id="10" xr16:uid="{CB71EE07-4E9E-4860-8D38-0D9AB554F17D}" keepAlive="1" name="Query - STG_Discovery" type="5" refreshedVersion="8" saveData="1">
    <dbPr connection="Provider=Microsoft.Mashup.OleDb.1;Data Source=$Workbook$;Location=STG_Discovery;Extended Properties=&quot;&quot;" command="SELECT * FROM [STG_Discovery]"/>
    <extLst>
      <ext xmlns:x15="http://schemas.microsoft.com/office/spreadsheetml/2010/11/main" uri="{DE250136-89BD-433C-8126-D09CA5730AF9}">
        <x15:connection id="" excludeFromRefreshAll="1"/>
      </ext>
    </extLst>
  </connection>
  <connection id="11" xr16:uid="{0B99628F-4C02-440B-BA49-851EAACBE2B9}" keepAlive="1" name="Query - STG_DQ" type="5" refreshedVersion="8" saveData="1">
    <dbPr connection="Provider=Microsoft.Mashup.OleDb.1;Data Source=$Workbook$;Location=STG_DQ;Extended Properties=&quot;&quot;" command="SELECT * FROM [STG_DQ]"/>
  </connection>
  <connection id="12" xr16:uid="{350E5B47-1D5A-40C5-8589-3B98EF862329}" keepAlive="1" name="Query - STG_Files" type="5" refreshedVersion="8" saveData="1">
    <dbPr connection="Provider=Microsoft.Mashup.OleDb.1;Data Source=$Workbook$;Location=STG_Files;Extended Properties=&quot;&quot;" command="SELECT * FROM [STG_Files]"/>
  </connection>
  <connection id="13" xr16:uid="{185D2661-A97F-4EAB-A872-F843522B36A8}" keepAlive="1" name="Query - STG_FXFetch" type="5" refreshedVersion="8" saveData="1">
    <dbPr connection="Provider=Microsoft.Mashup.OleDb.1;Data Source=$Workbook$;Location=STG_FXFetch;Extended Properties=&quot;&quot;" command="SELECT * FROM [STG_FXFetch]"/>
    <extLst>
      <ext xmlns:x15="http://schemas.microsoft.com/office/spreadsheetml/2010/11/main" uri="{DE250136-89BD-433C-8126-D09CA5730AF9}">
        <x15:connection id="" excludeFromRefreshAll="1"/>
      </ext>
    </extLst>
  </connection>
  <connection id="14" xr16:uid="{FA8B44E8-8CD2-4C55-95C9-EAD0949594B4}" keepAlive="1" name="Query - STG_LogExternal" type="5" refreshedVersion="8" saveData="1">
    <dbPr connection="Provider=Microsoft.Mashup.OleDb.1;Data Source=$Workbook$;Location=STG_LogExternal;Extended Properties=&quot;&quot;" command="SELECT * FROM [STG_LogExternal]"/>
  </connection>
  <connection id="15" xr16:uid="{30AA9A99-19A2-4627-B6A2-B080A2AD58CE}" keepAlive="1" name="Query - STG_Refresh" type="5" refreshedVersion="8" saveData="1">
    <dbPr connection="Provider=Microsoft.Mashup.OleDb.1;Data Source=$Workbook$;Location=STG_Refresh;Extended Properties=&quot;&quot;" command="SELECT * FROM [STG_Refresh]"/>
  </connection>
  <connection id="16" xr16:uid="{A2BBC3CB-DA30-4179-9251-5D4D404D4900}" keepAlive="1" name="Query - STG_Rejected" type="5" refreshedVersion="8" saveData="1">
    <dbPr connection="Provider=Microsoft.Mashup.OleDb.1;Data Source=$Workbook$;Location=STG_Rejected;Extended Properties=&quot;&quot;" command="SELECT * FROM [STG_Rejected]"/>
  </connection>
  <connection id="17" xr16:uid="{D4B28649-E31D-4083-BA2E-06F5BE8E0019}" keepAlive="1" name="Query - STG_Restatement" type="5" refreshedVersion="8" saveData="1">
    <dbPr connection="Provider=Microsoft.Mashup.OleDb.1;Data Source=$Workbook$;Location=STG_Restatement;Extended Properties=&quot;&quot;" command="SELECT * FROM [STG_Restatement]"/>
  </connection>
  <connection id="18" xr16:uid="{A3D71E5F-0AFE-42AB-8186-90052E8E164F}" keepAlive="1" name="Query - STG_StoreAppend" type="5" refreshedVersion="8" saveData="1">
    <dbPr connection="Provider=Microsoft.Mashup.OleDb.1;Data Source=$Workbook$;Location=STG_StoreAppend;Extended Properties=&quot;&quot;" command="SELECT * FROM [STG_StoreAppend]"/>
  </connection>
  <connection id="19" xr16:uid="{2916B862-4342-4220-BE85-14F09C7B6098}" keepAlive="1" name="Query - STG_StoreCheck" type="5" refreshedVersion="8" saveData="1">
    <dbPr connection="Provider=Microsoft.Mashup.OleDb.1;Data Source=$Workbook$;Location=STG_StoreCheck;Extended Properties=&quot;&quot;" command="SELECT * FROM [STG_StoreCheck]"/>
  </connection>
  <connection id="20" xr16:uid="{B34C90DA-4D57-4D29-B95A-F5A567A808FA}" keepAlive="1" name="Query - STG_StoreHeader" type="5" refreshedVersion="8" saveData="1">
    <dbPr connection="Provider=Microsoft.Mashup.OleDb.1;Data Source=$Workbook$;Location=STG_StoreHeader;Extended Properties=&quot;&quot;" command="SELECT * FROM [STG_StoreHeader]"/>
  </connection>
  <connection id="21" xr16:uid="{B47CDE6D-65B3-486B-8308-693D8CBAADB0}" keepAlive="1" name="Query - STG_Summary" type="5" refreshedVersion="8" saveData="1">
    <dbPr connection="Provider=Microsoft.Mashup.OleDb.1;Data Source=$Workbook$;Location=STG_Summary;Extended Properties=&quot;&quot;" command="SELECT * FROM [STG_Summary]"/>
  </connection>
  <connection id="22" xr16:uid="{B3154492-FDE6-4419-8A1A-EFDEA6AE66E5}" keepAlive="1" name="ThisWorkbookDataModel" description="Veri Modeli"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 id="23" xr16:uid="{C29A67C8-0071-407A-BC28-443882C4F3A2}" name="WorksheetConnection_AdminConfig!tblUIText" type="102" refreshedVersion="8" minRefreshableVersion="5">
    <extLst>
      <ext xmlns:x15="http://schemas.microsoft.com/office/spreadsheetml/2010/11/main" uri="{DE250136-89BD-433C-8126-D09CA5730AF9}">
        <x15:connection id="tblUIText">
          <x15:rangePr sourceName="_xlcn.WorksheetConnection_AdminConfigtblUIText1"/>
        </x15:connection>
      </ext>
    </extLst>
  </connection>
  <connection id="24" xr16:uid="{5BBDCCC9-1CF8-41DF-8492-F8194C5E6267}" name="WorksheetConnection_AN_Calc!tblObsFlag" type="102" refreshedVersion="8" minRefreshableVersion="5">
    <extLst>
      <ext xmlns:x15="http://schemas.microsoft.com/office/spreadsheetml/2010/11/main" uri="{DE250136-89BD-433C-8126-D09CA5730AF9}">
        <x15:connection id="tblObsFlag">
          <x15:rangePr sourceName="_xlcn.WorksheetConnection_AN_CalctblObsFlag1"/>
        </x15:connection>
      </ext>
    </extLst>
  </connection>
  <connection id="25" xr16:uid="{5A2A268F-2968-442C-842B-A340984FC962}" name="WorksheetConnection_RefData!AnParam" type="102" refreshedVersion="8" minRefreshableVersion="5">
    <extLst>
      <ext xmlns:x15="http://schemas.microsoft.com/office/spreadsheetml/2010/11/main" uri="{DE250136-89BD-433C-8126-D09CA5730AF9}">
        <x15:connection id="AnParam">
          <x15:rangePr sourceName="_xlcn.WorksheetConnection_RefDataAnParam1"/>
        </x15:connection>
      </ext>
    </extLst>
  </connection>
  <connection id="26" xr16:uid="{9C7281DA-B185-46AB-91BA-1C61E4D1E836}" name="WorksheetConnection_RefData!BandAmount" type="102" refreshedVersion="8" minRefreshableVersion="5">
    <extLst>
      <ext xmlns:x15="http://schemas.microsoft.com/office/spreadsheetml/2010/11/main" uri="{DE250136-89BD-433C-8126-D09CA5730AF9}">
        <x15:connection id="BandAmount">
          <x15:rangePr sourceName="_xlcn.WorksheetConnection_RefDataBandAmount1"/>
        </x15:connection>
      </ext>
    </extLst>
  </connection>
  <connection id="27" xr16:uid="{86CC784C-90F6-4C0D-AC72-495A27C53B8E}" name="WorksheetConnection_RefData!BandLag" type="102" refreshedVersion="8" minRefreshableVersion="5">
    <extLst>
      <ext xmlns:x15="http://schemas.microsoft.com/office/spreadsheetml/2010/11/main" uri="{DE250136-89BD-433C-8126-D09CA5730AF9}">
        <x15:connection id="BandLag">
          <x15:rangePr sourceName="_xlcn.WorksheetConnection_RefDataBandLag1"/>
        </x15:connection>
      </ext>
    </extLst>
  </connection>
  <connection id="28" xr16:uid="{E3F2E0A8-E0AB-48EC-A592-BDD22B948555}" name="WorksheetConnection_RefData!BandPolicyAge" type="102" refreshedVersion="8" minRefreshableVersion="5">
    <extLst>
      <ext xmlns:x15="http://schemas.microsoft.com/office/spreadsheetml/2010/11/main" uri="{DE250136-89BD-433C-8126-D09CA5730AF9}">
        <x15:connection id="BandPolicyAge">
          <x15:rangePr sourceName="_xlcn.WorksheetConnection_RefDataBandPolicyAge1"/>
        </x15:connection>
      </ext>
    </extLst>
  </connection>
  <connection id="29" xr16:uid="{946A2212-0554-461C-AE69-F323FC99B6B2}" name="WorksheetConnection_RefData!DevMonth" type="102" refreshedVersion="8" minRefreshableVersion="5">
    <extLst>
      <ext xmlns:x15="http://schemas.microsoft.com/office/spreadsheetml/2010/11/main" uri="{DE250136-89BD-433C-8126-D09CA5730AF9}">
        <x15:connection id="DevMonth">
          <x15:rangePr sourceName="_xlcn.WorksheetConnection_RefDataDevMonth1"/>
        </x15:connection>
      </ext>
    </extLst>
  </connection>
  <connection id="30" xr16:uid="{7F10781E-6604-454C-AA20-93BFF1A90D65}" name="WorksheetConnection_RefData!DimAgeBand" type="102" refreshedVersion="8" minRefreshableVersion="5">
    <extLst>
      <ext xmlns:x15="http://schemas.microsoft.com/office/spreadsheetml/2010/11/main" uri="{DE250136-89BD-433C-8126-D09CA5730AF9}">
        <x15:connection id="DimAgeBand">
          <x15:rangePr sourceName="_xlcn.WorksheetConnection_RefDataDimAgeBand1"/>
        </x15:connection>
      </ext>
    </extLst>
  </connection>
  <connection id="31" xr16:uid="{F0E32FEE-BB4D-4F6A-9E83-E4FDBD241A73}" name="WorksheetConnection_RefData!DimBranch" type="102" refreshedVersion="8" minRefreshableVersion="5">
    <extLst>
      <ext xmlns:x15="http://schemas.microsoft.com/office/spreadsheetml/2010/11/main" uri="{DE250136-89BD-433C-8126-D09CA5730AF9}">
        <x15:connection id="DimBranch">
          <x15:rangePr sourceName="_xlcn.WorksheetConnection_RefDataDimBranch1"/>
        </x15:connection>
      </ext>
    </extLst>
  </connection>
  <connection id="32" xr16:uid="{42F73BF5-39C4-4770-B4C3-F6677F4D3363}" name="WorksheetConnection_RefData!DimChannel" type="102" refreshedVersion="8" minRefreshableVersion="5">
    <extLst>
      <ext xmlns:x15="http://schemas.microsoft.com/office/spreadsheetml/2010/11/main" uri="{DE250136-89BD-433C-8126-D09CA5730AF9}">
        <x15:connection id="DimChannel">
          <x15:rangePr sourceName="_xlcn.WorksheetConnection_RefDataDimChannel1"/>
        </x15:connection>
      </ext>
    </extLst>
  </connection>
  <connection id="33" xr16:uid="{6B83D0B3-7A77-4B0D-8DF8-0C1BB653379A}" name="WorksheetConnection_RefData!DimCurrency" type="102" refreshedVersion="8" minRefreshableVersion="5">
    <extLst>
      <ext xmlns:x15="http://schemas.microsoft.com/office/spreadsheetml/2010/11/main" uri="{DE250136-89BD-433C-8126-D09CA5730AF9}">
        <x15:connection id="DimCurrency">
          <x15:rangePr sourceName="_xlcn.WorksheetConnection_RefDataDimCurrency1"/>
        </x15:connection>
      </ext>
    </extLst>
  </connection>
  <connection id="34" xr16:uid="{A50B73A0-BB1C-4EBE-B628-5786F2356A38}" name="WorksheetConnection_RefData!DimGeography" type="102" refreshedVersion="8" minRefreshableVersion="5">
    <extLst>
      <ext xmlns:x15="http://schemas.microsoft.com/office/spreadsheetml/2010/11/main" uri="{DE250136-89BD-433C-8126-D09CA5730AF9}">
        <x15:connection id="DimGeography">
          <x15:rangePr sourceName="_xlcn.WorksheetConnection_RefDataDimGeography1"/>
        </x15:connection>
      </ext>
    </extLst>
  </connection>
  <connection id="35" xr16:uid="{E69909F6-4BF9-4C60-8D68-5C90469772EC}" name="WorksheetConnection_RefData!DimPartner" type="102" refreshedVersion="8" minRefreshableVersion="5">
    <extLst>
      <ext xmlns:x15="http://schemas.microsoft.com/office/spreadsheetml/2010/11/main" uri="{DE250136-89BD-433C-8126-D09CA5730AF9}">
        <x15:connection id="DimPartner">
          <x15:rangePr sourceName="_xlcn.WorksheetConnection_RefDataDimPartner1"/>
        </x15:connection>
      </ext>
    </extLst>
  </connection>
  <connection id="36" xr16:uid="{07DEAE64-A725-4704-9F51-7984E34B00B1}" name="WorksheetConnection_RefData!DimPaymentNature" type="102" refreshedVersion="8" minRefreshableVersion="5">
    <extLst>
      <ext xmlns:x15="http://schemas.microsoft.com/office/spreadsheetml/2010/11/main" uri="{DE250136-89BD-433C-8126-D09CA5730AF9}">
        <x15:connection id="DimPaymentNature">
          <x15:rangePr sourceName="_xlcn.WorksheetConnection_RefDataDimPaymentNature1"/>
        </x15:connection>
      </ext>
    </extLst>
  </connection>
  <connection id="37" xr16:uid="{47A0CA34-1283-4084-BE3B-B8AEC26E12F8}" name="WorksheetConnection_RefData!DimProduct" type="102" refreshedVersion="8" minRefreshableVersion="5">
    <extLst>
      <ext xmlns:x15="http://schemas.microsoft.com/office/spreadsheetml/2010/11/main" uri="{DE250136-89BD-433C-8126-D09CA5730AF9}">
        <x15:connection id="DimProduct">
          <x15:rangePr sourceName="_xlcn.WorksheetConnection_RefDataDimProduct1"/>
        </x15:connection>
      </ext>
    </extLst>
  </connection>
  <connection id="38" xr16:uid="{FD23AD31-2904-425B-A02B-6565FD1EE814}" name="WorksheetConnection_RefData!DimSegment" type="102" refreshedVersion="8" minRefreshableVersion="5">
    <extLst>
      <ext xmlns:x15="http://schemas.microsoft.com/office/spreadsheetml/2010/11/main" uri="{DE250136-89BD-433C-8126-D09CA5730AF9}">
        <x15:connection id="DimSegment">
          <x15:rangePr sourceName="_xlcn.WorksheetConnection_RefDataDimSegment1"/>
        </x15:connection>
      </ext>
    </extLst>
  </connection>
  <connection id="39" xr16:uid="{9D160552-7188-4994-8A7D-F663D505E266}" name="WorksheetConnection_Threshold_Register!tblThreshold" type="102" refreshedVersion="8" minRefreshableVersion="5">
    <extLst>
      <ext xmlns:x15="http://schemas.microsoft.com/office/spreadsheetml/2010/11/main" uri="{DE250136-89BD-433C-8126-D09CA5730AF9}">
        <x15:connection id="tblThreshold">
          <x15:rangePr sourceName="_xlcn.WorksheetConnection_Threshold_RegistertblThreshold1"/>
        </x15:connection>
      </ext>
    </extLst>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MDX"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metadataStrings count="15">
    <s v="ThisWorkbookDataModel"/>
    <s v="{[DimCompany].[CompanyType].[All]}"/>
    <s v="{[FactPayment].[CurrencyCode].[All]}"/>
    <s v="[Measures].[Avg Days Notification to Payment]"/>
    <s v="#,0.0"/>
    <s v="[Measures].[MoM Change %]"/>
    <s v="0.0%;-0.0%;0.0%"/>
    <s v="[Measures].[Distinct Cases]"/>
    <s v="#,0"/>
    <s v="[Measures].[Net Payments TRY]"/>
    <s v="#,0.00"/>
    <s v="[Measures].[Total Payments TRY]"/>
    <s v="{[DimDate].[YearMonth].&amp;[2026-08]}"/>
    <s v="{[tblObsFlag].[Flag].&amp;[1]}"/>
    <s v="{[DimDate].[MonthsFromActive].[All]}"/>
  </metadataStrings>
  <mdxMetadata count="7">
    <mdx n="0" f="v">
      <t c="4" si="8">
        <n x="7"/>
        <n x="12" s="1"/>
        <n x="1" s="1"/>
        <n x="2" s="1"/>
      </t>
    </mdx>
    <mdx n="0" f="v">
      <t c="4" si="10">
        <n x="11"/>
        <n x="12" s="1"/>
        <n x="1" s="1"/>
        <n x="2" s="1"/>
      </t>
    </mdx>
    <mdx n="0" f="v">
      <t c="4" si="4">
        <n x="3"/>
        <n x="12" s="1"/>
        <n x="1" s="1"/>
        <n x="2" s="1"/>
      </t>
    </mdx>
    <mdx n="0" f="v">
      <t c="4" si="6">
        <n x="5"/>
        <n x="12" s="1"/>
        <n x="1" s="1"/>
        <n x="2" s="1"/>
      </t>
    </mdx>
    <mdx n="0" f="v">
      <t c="4" si="10">
        <n x="9"/>
        <n x="12" s="1"/>
        <n x="1" s="1"/>
        <n x="2" s="1"/>
      </t>
    </mdx>
    <mdx n="0" f="s">
      <ms ns="13" c="0"/>
    </mdx>
    <mdx n="0" f="s">
      <ms ns="14" c="0"/>
    </mdx>
  </mdxMetadata>
  <futureMetadata name="XLDAPR" count="1">
    <bk>
      <extLst>
        <ext uri="{bdbb8cdc-fa1e-496e-a857-3c3f30c029c3}">
          <xda:dynamicArrayProperties fDynamic="1" fCollapsed="0"/>
        </ext>
      </extLst>
    </bk>
  </futureMetadata>
  <cellMetadata count="1">
    <bk>
      <rc t="2" v="0"/>
    </bk>
  </cell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<sst xmlns="http://schemas.openxmlformats.org/spreadsheetml/2006/main" count="66322" uniqueCount="23230">
  <si>
    <t>0. At a glance</t>
  </si>
  <si>
    <t>-</t>
  </si>
  <si>
    <t>ActivePeriod</t>
  </si>
  <si>
    <t>ArchiveStartPeriod</t>
  </si>
  <si>
    <t>DimCompany</t>
  </si>
  <si>
    <t>FX</t>
  </si>
  <si>
    <t>ColumnMap</t>
  </si>
  <si>
    <t>Recon</t>
  </si>
  <si>
    <t>FactPayment</t>
  </si>
  <si>
    <t>Purpose</t>
  </si>
  <si>
    <t>Legend</t>
  </si>
  <si>
    <t>Changelog</t>
  </si>
  <si>
    <t>ControlPanel</t>
  </si>
  <si>
    <t>KPI_Check</t>
  </si>
  <si>
    <t>Dashboard</t>
  </si>
  <si>
    <t>Parameters</t>
  </si>
  <si>
    <t>ArchiveLog</t>
  </si>
  <si>
    <t>DataModel</t>
  </si>
  <si>
    <t>DAX_Measures</t>
  </si>
  <si>
    <t>PivotGuide</t>
  </si>
  <si>
    <t>#</t>
  </si>
  <si>
    <t>Reason</t>
  </si>
  <si>
    <t>A1</t>
  </si>
  <si>
    <t>A2</t>
  </si>
  <si>
    <t>A3</t>
  </si>
  <si>
    <t>A4</t>
  </si>
  <si>
    <t>A5</t>
  </si>
  <si>
    <t>A6</t>
  </si>
  <si>
    <t>NetAmount is the source's NETODENEN as delivered; it is not recomputed from gross minus deductions.</t>
  </si>
  <si>
    <t>A7</t>
  </si>
  <si>
    <t>A8</t>
  </si>
  <si>
    <t>A9</t>
  </si>
  <si>
    <t>Reconciliation is done in the ORIGINAL currency per company x currency, not in TRY.</t>
  </si>
  <si>
    <t>A10</t>
  </si>
  <si>
    <t>ReconAbsTolerance = 1.00 (currency unit); ReconRelTolerance = 0 (off).</t>
  </si>
  <si>
    <t>A11</t>
  </si>
  <si>
    <t>A12</t>
  </si>
  <si>
    <t>Chronology compares only the dates present, in chain order; blanks are reported separately (BLANK CORE VALUE).</t>
  </si>
  <si>
    <t>A13</t>
  </si>
  <si>
    <t>A case is 'partially paid' when it has 2 or more payment lines in all periods up to and including the period in context (as-of).</t>
  </si>
  <si>
    <t>A14</t>
  </si>
  <si>
    <t>Average days notification -&gt; payment is per payment line; lines with a negative value (chronology breaks) are excluded.</t>
  </si>
  <si>
    <t>A15</t>
  </si>
  <si>
    <t>Distinct cases are counted on CaseKey = CompanyID|CaseNo.</t>
  </si>
  <si>
    <t>A16</t>
  </si>
  <si>
    <t>Money columns use Currency.Type (fixed decimal, 4 places).</t>
  </si>
  <si>
    <t>A17</t>
  </si>
  <si>
    <t>A18</t>
  </si>
  <si>
    <t>A19</t>
  </si>
  <si>
    <t>The archive export is a deliberate manual values-only copy.</t>
  </si>
  <si>
    <t>A20</t>
  </si>
  <si>
    <t>ActivePeriod is an integer YYYYMM (validated 200001-209912, month 01-12).</t>
  </si>
  <si>
    <t>A21</t>
  </si>
  <si>
    <t>A22</t>
  </si>
  <si>
    <t>A23</t>
  </si>
  <si>
    <t>A24</t>
  </si>
  <si>
    <t>A25</t>
  </si>
  <si>
    <t>Fix</t>
  </si>
  <si>
    <t>Legend and conventions</t>
  </si>
  <si>
    <t>Colour code</t>
  </si>
  <si>
    <t>Sample</t>
  </si>
  <si>
    <t>Style</t>
  </si>
  <si>
    <t>Meaning</t>
  </si>
  <si>
    <t>Yellow fill + blue text</t>
  </si>
  <si>
    <t>Black text, no fill</t>
  </si>
  <si>
    <t>Formula calculated on the same sheet. Do not overwrite.</t>
  </si>
  <si>
    <t>C013</t>
  </si>
  <si>
    <t>Orange fill</t>
  </si>
  <si>
    <t>OK</t>
  </si>
  <si>
    <t>Check / row passes.</t>
  </si>
  <si>
    <t>REVIEW</t>
  </si>
  <si>
    <t>INFO</t>
  </si>
  <si>
    <t>For awareness; does not block the close.</t>
  </si>
  <si>
    <t>STG_* table cell</t>
  </si>
  <si>
    <t>Blue banded table</t>
  </si>
  <si>
    <t>Power Query output (STG_* sheets). Overwritten at every refresh - never type here.</t>
  </si>
  <si>
    <t>Header</t>
  </si>
  <si>
    <t>Navy header row</t>
  </si>
  <si>
    <t>Table header.</t>
  </si>
  <si>
    <t>Naming conventions</t>
  </si>
  <si>
    <t>tbl*</t>
  </si>
  <si>
    <t>STG_*</t>
  </si>
  <si>
    <t>Power Query output loaded to a sheet (staging), e.g. STG_ActiveFact.</t>
  </si>
  <si>
    <t>Fact* / Dim*</t>
  </si>
  <si>
    <t>Data Model tables (star schema).</t>
  </si>
  <si>
    <t>lst*</t>
  </si>
  <si>
    <t>Named range holding a controlled vocabulary (drop-down lists).</t>
  </si>
  <si>
    <t>Formatting standard</t>
  </si>
  <si>
    <t>Font: Arial throughout (10 pt body, 16 pt sheet titles).</t>
  </si>
  <si>
    <t>Amounts: #,##0.00 with negatives in parentheses; zero shown as '-'.</t>
  </si>
  <si>
    <t>Counts: #,##0. Percentages: 0.0% (stored as fractions).</t>
  </si>
  <si>
    <t>Periods: YYYYMM integers without thousands separator (202608). Dates: yyyy-mm-dd.</t>
  </si>
  <si>
    <t>lstYN</t>
  </si>
  <si>
    <t>Value</t>
  </si>
  <si>
    <t>Y</t>
  </si>
  <si>
    <t>N</t>
  </si>
  <si>
    <t>lstDataType</t>
  </si>
  <si>
    <t>tblColumnMap[DataType] - drives the type conversion in Power Query</t>
  </si>
  <si>
    <t>text</t>
  </si>
  <si>
    <t>date</t>
  </si>
  <si>
    <t>amount</t>
  </si>
  <si>
    <t>decimal</t>
  </si>
  <si>
    <t>integer</t>
  </si>
  <si>
    <t>lstGroup</t>
  </si>
  <si>
    <t>tblColumnMap[Group] - '1 Core' is required by the model (missing -&gt; REVIEW)</t>
  </si>
  <si>
    <t>1 Core</t>
  </si>
  <si>
    <t>2 Analytical</t>
  </si>
  <si>
    <t>3 Branch (phase 2)</t>
  </si>
  <si>
    <t>4 Personal data</t>
  </si>
  <si>
    <t>5 Not modelled</t>
  </si>
  <si>
    <t>lstCompanyType</t>
  </si>
  <si>
    <t>tblDimCompany[CompanyType]</t>
  </si>
  <si>
    <t>Non-life</t>
  </si>
  <si>
    <t>Life</t>
  </si>
  <si>
    <t>Pension</t>
  </si>
  <si>
    <t>lstReconBasis</t>
  </si>
  <si>
    <t>Parameters ReconBasis</t>
  </si>
  <si>
    <t>GrossAmount</t>
  </si>
  <si>
    <t>NetAmount</t>
  </si>
  <si>
    <t>lstCoreContract</t>
  </si>
  <si>
    <t>Canonical names referenced by queries and DAX - must stay Core, included and non-personal</t>
  </si>
  <si>
    <t>CaseNo</t>
  </si>
  <si>
    <t>InstallmentSeq</t>
  </si>
  <si>
    <t>PaymentDate</t>
  </si>
  <si>
    <t>DecisionDate</t>
  </si>
  <si>
    <t>NotificationDate</t>
  </si>
  <si>
    <t>LossDate</t>
  </si>
  <si>
    <t>CurrencyCode</t>
  </si>
  <si>
    <t>Version</t>
  </si>
  <si>
    <t>Date</t>
  </si>
  <si>
    <t>Author</t>
  </si>
  <si>
    <t>1.1.0</t>
  </si>
  <si>
    <t>2026-09-26</t>
  </si>
  <si>
    <t>Closing Control Panel</t>
  </si>
  <si>
    <t>Overall status</t>
  </si>
  <si>
    <t>Active period</t>
  </si>
  <si>
    <t>Previous period</t>
  </si>
  <si>
    <t>Archive start period</t>
  </si>
  <si>
    <t>Reconciliation basis</t>
  </si>
  <si>
    <t>Absolute tolerance</t>
  </si>
  <si>
    <t>Relative tolerance</t>
  </si>
  <si>
    <t>Date dimension from year</t>
  </si>
  <si>
    <t>Date dimension to year</t>
  </si>
  <si>
    <t>Staging refreshed at</t>
  </si>
  <si>
    <t>Area</t>
  </si>
  <si>
    <t>Check</t>
  </si>
  <si>
    <t>Result</t>
  </si>
  <si>
    <t>Threshold</t>
  </si>
  <si>
    <t>Status</t>
  </si>
  <si>
    <t>Finding</t>
  </si>
  <si>
    <t>Refresh</t>
  </si>
  <si>
    <t>Files</t>
  </si>
  <si>
    <t>No duplicate copies of a source file</t>
  </si>
  <si>
    <t>No near-miss file names</t>
  </si>
  <si>
    <t>No files from unexpected companies</t>
  </si>
  <si>
    <t>Every MATCHED active-period file belongs to a company expected in that period.</t>
  </si>
  <si>
    <t>STG_Files: MatchStatus = MATCHED and PeriodKey = active period; compare CompanyID with DimCompany. New company: add it to DimCompany (ExpectedFromPeriod) and map its headers in ColumnMap. Typo in the file name: rename the file.</t>
  </si>
  <si>
    <t>Reconciliation</t>
  </si>
  <si>
    <t>Totals reconcile to the independent source</t>
  </si>
  <si>
    <t>Per company x currency: model total (ReconBasis, original currency) = independent total within MAX(abs, rel x |total|); every total in the data has a Recon row.</t>
  </si>
  <si>
    <t>Data quality</t>
  </si>
  <si>
    <t>Chronology: loss &lt;= notification &lt;= decision &lt;= payment</t>
  </si>
  <si>
    <t>For every line the dates of parameter ChronologyChain do not decrease (blank dates skipped).</t>
  </si>
  <si>
    <t>No duplicate payment keys</t>
  </si>
  <si>
    <t>No business key (parameter DuplicateKeyColumns) occurs twice in the history. A repeated CaseNo alone is an installment, not a duplicate.</t>
  </si>
  <si>
    <t>FX rate available for every foreign-currency line</t>
  </si>
  <si>
    <t>Every non-TRY line found a CBRT rate for its payment date (carried forward at most FXMaxCarryForwardDays).</t>
  </si>
  <si>
    <t>Dates plausible</t>
  </si>
  <si>
    <t>PaymentDate lies in the file's period, and every chain date lies inside the date dimension (DimDateStartYear - DimDateEndYear).</t>
  </si>
  <si>
    <t>STG_ActiveFact: filter PaymentOutsidePeriod = 1 - the line belongs to another month (cut-off error or wrong file); ask the company. Dates outside the date dimension are typos (e.g. year 2062) or very old losses: correct at source, or widen DimDateStartYear / DimDateEndYear.</t>
  </si>
  <si>
    <t>Column mapping and conversion issues</t>
  </si>
  <si>
    <t>Privacy</t>
  </si>
  <si>
    <t>No personal data in the staging output</t>
  </si>
  <si>
    <t>Closed months are archived and logged</t>
  </si>
  <si>
    <t>Archive unchanged since close</t>
  </si>
  <si>
    <t>Active period is not an already-closed month</t>
  </si>
  <si>
    <t>Governance</t>
  </si>
  <si>
    <t>Column dictionary is consistent</t>
  </si>
  <si>
    <t>Reference tables clean</t>
  </si>
  <si>
    <t>tblFXRate has no duplicate date + currency and no blank / zero / negative rate; tblDimCompany has no duplicate CompanyID.</t>
  </si>
  <si>
    <t>FX sheet: sort tblFXRate by CurrencyCode and RateDate, remove duplicates and fix rates. DimCompany: remove duplicate CompanyID rows.</t>
  </si>
  <si>
    <t>CompanyID</t>
  </si>
  <si>
    <t>CompanyName</t>
  </si>
  <si>
    <t>Files matched</t>
  </si>
  <si>
    <t>Lines</t>
  </si>
  <si>
    <t>Gross TRY</t>
  </si>
  <si>
    <t>Company status</t>
  </si>
  <si>
    <t>Findings</t>
  </si>
  <si>
    <t>Chrono lines</t>
  </si>
  <si>
    <t>Dup-key lines</t>
  </si>
  <si>
    <t>Missing FX</t>
  </si>
  <si>
    <t>Out of period</t>
  </si>
  <si>
    <t>DQ issues</t>
  </si>
  <si>
    <t>PeriodKey</t>
  </si>
  <si>
    <t>ArchiveFile</t>
  </si>
  <si>
    <t>ArchivedOn</t>
  </si>
  <si>
    <t>ArchivedBy</t>
  </si>
  <si>
    <t>RecordedRows</t>
  </si>
  <si>
    <t>RecordedHashTotal</t>
  </si>
  <si>
    <t>RecordedGrossTRY</t>
  </si>
  <si>
    <t>StatusAtClose</t>
  </si>
  <si>
    <t>KPI cross-check (worksheet formulas)</t>
  </si>
  <si>
    <t>KPI</t>
  </si>
  <si>
    <t>Worksheet definition</t>
  </si>
  <si>
    <t>DAX measure to compare</t>
  </si>
  <si>
    <t>Total Payments TRY</t>
  </si>
  <si>
    <t>SUM of GrossAmountTRY of the active period</t>
  </si>
  <si>
    <t>Net Payments TRY</t>
  </si>
  <si>
    <t>SUM of NetAmountTRY of the active period</t>
  </si>
  <si>
    <t>Gross-to-Net Deductions TRY</t>
  </si>
  <si>
    <t>Total - Net</t>
  </si>
  <si>
    <t>Payment Lines</t>
  </si>
  <si>
    <t>Lines of the active period (installments count separately)</t>
  </si>
  <si>
    <t>Distinct Cases</t>
  </si>
  <si>
    <t>Distinct CompanyID|CaseNo (one flagged first line per case)</t>
  </si>
  <si>
    <t>Total Payments TRY PM</t>
  </si>
  <si>
    <t>Gross TRY of the previous period, from the archive</t>
  </si>
  <si>
    <t>MoM Change TRY</t>
  </si>
  <si>
    <t>Total - previous month ('n/a' without a previous month)</t>
  </si>
  <si>
    <t>MoM Change %</t>
  </si>
  <si>
    <t>(Total - previous) / previous</t>
  </si>
  <si>
    <t>Avg Days Notification to Payment</t>
  </si>
  <si>
    <t>Average of DaysNotificationToPayment &gt;= 0 (per line)</t>
  </si>
  <si>
    <t>Partial Payment Cases</t>
  </si>
  <si>
    <t>Cases with 2+ lines up to and including the active period</t>
  </si>
  <si>
    <t>Partial Payment Ratio %</t>
  </si>
  <si>
    <t>Partial Payment Cases / Distinct Cases</t>
  </si>
  <si>
    <t>Per company - active period (Company Share of Total % = DAX 'Company Share of Total %')</t>
  </si>
  <si>
    <t>Company Share %</t>
  </si>
  <si>
    <t>Avg Days Notif-&gt;Pay</t>
  </si>
  <si>
    <t>Partial Ratio %</t>
  </si>
  <si>
    <t>Prev. month TRY</t>
  </si>
  <si>
    <t>MoM %</t>
  </si>
  <si>
    <t>Total</t>
  </si>
  <si>
    <t>Totals must equal the headline block: D60 = D6, E60 = D7, G60 = D10 (a case belongs to one company), J60 = D11.</t>
  </si>
  <si>
    <t>&lt;- internal consistency of this sheet</t>
  </si>
  <si>
    <t>Section</t>
  </si>
  <si>
    <t>Parameter</t>
  </si>
  <si>
    <t>Type</t>
  </si>
  <si>
    <t>Description</t>
  </si>
  <si>
    <t>Rationale</t>
  </si>
  <si>
    <t>Derived (read-only)</t>
  </si>
  <si>
    <t>ActivePeriodStart</t>
  </si>
  <si>
    <t>ActivePeriodEnd</t>
  </si>
  <si>
    <t>PreviousPeriod</t>
  </si>
  <si>
    <t>Period</t>
  </si>
  <si>
    <t>Integer YYYYMM</t>
  </si>
  <si>
    <t>NextPeriod</t>
  </si>
  <si>
    <t>ArchiveFileForActive</t>
  </si>
  <si>
    <t>File recognition</t>
  </si>
  <si>
    <t>FilePrefix</t>
  </si>
  <si>
    <t>COMP</t>
  </si>
  <si>
    <t>Text</t>
  </si>
  <si>
    <t>Source file names start with this text.</t>
  </si>
  <si>
    <t>FileInfix</t>
  </si>
  <si>
    <t>PAY</t>
  </si>
  <si>
    <t>Separator between the CompanyID digits and MMYYYY.</t>
  </si>
  <si>
    <t>Derived values are formulas for reference; the queries compute their own from ActivePeriod.</t>
  </si>
  <si>
    <t>FileExtension</t>
  </si>
  <si>
    <t>.xlsx</t>
  </si>
  <si>
    <t>ArchiveFilePrefix</t>
  </si>
  <si>
    <t>ARCHIVE_PAY_</t>
  </si>
  <si>
    <t>Standardisation</t>
  </si>
  <si>
    <t>SourceCulture</t>
  </si>
  <si>
    <t>tr-TR</t>
  </si>
  <si>
    <t>Text: culture code</t>
  </si>
  <si>
    <t>Culture used to read numbers and dates that source files hold as TEXT.</t>
  </si>
  <si>
    <t>Turkish files write 1.234,56 and dd.mm.yyyy; typed Excel cells are culture-independent anyway.</t>
  </si>
  <si>
    <t>ReportingCurrency</t>
  </si>
  <si>
    <t>TRY</t>
  </si>
  <si>
    <t>Text: ISO code</t>
  </si>
  <si>
    <t>Currency of the *TRY amounts (rate = 1).</t>
  </si>
  <si>
    <t>Group reporting currency.</t>
  </si>
  <si>
    <t>DimDateStartYear</t>
  </si>
  <si>
    <t>Integer</t>
  </si>
  <si>
    <t>Covers loss dates of long-tail claims; older dates are flagged, not dropped.</t>
  </si>
  <si>
    <t>DimDateEndYear</t>
  </si>
  <si>
    <t>Catches typos such as year 2062.</t>
  </si>
  <si>
    <t>DuplicateKeyColumns</t>
  </si>
  <si>
    <t>CompanyID,CaseNo,CoverCode,InstallmentSeq,PaymentVoucherNo</t>
  </si>
  <si>
    <t>Text: comma list</t>
  </si>
  <si>
    <t>ChronologyChain</t>
  </si>
  <si>
    <t>LossDate,NotificationDate,DecisionDate,PaymentDate</t>
  </si>
  <si>
    <t>FXMaxCarryForwardDays</t>
  </si>
  <si>
    <t>Maximum days a published FX rate is carried over weekends / holidays.</t>
  </si>
  <si>
    <t>ReconBasis</t>
  </si>
  <si>
    <t>Text: GrossAmount / NetAmount</t>
  </si>
  <si>
    <t>Model amount compared with the independent total.</t>
  </si>
  <si>
    <t>Ledgers normally book the gross payment; switch to NetAmount if yours books net.</t>
  </si>
  <si>
    <t>ReconAbsTolerance</t>
  </si>
  <si>
    <t>Number (currency units)</t>
  </si>
  <si>
    <t>Absolute tolerance per company x currency.</t>
  </si>
  <si>
    <t>ReconRelTolerance</t>
  </si>
  <si>
    <t>Fraction (0 = off)</t>
  </si>
  <si>
    <t>Relative tolerance as a fraction of |independent total|; applied as MAX(abs, rel x total).</t>
  </si>
  <si>
    <t>Column mapping dictionary (tblColumnMap)</t>
  </si>
  <si>
    <t>SourceHeader</t>
  </si>
  <si>
    <t>CanonicalName</t>
  </si>
  <si>
    <t>ColumnID</t>
  </si>
  <si>
    <t>DataType</t>
  </si>
  <si>
    <t>IncludeInModel</t>
  </si>
  <si>
    <t>PersonalData</t>
  </si>
  <si>
    <t>Group</t>
  </si>
  <si>
    <t>Notes</t>
  </si>
  <si>
    <t>Dictionary health (each count must be 0)</t>
  </si>
  <si>
    <t>DOSYANO</t>
  </si>
  <si>
    <t>C001</t>
  </si>
  <si>
    <t>Rule</t>
  </si>
  <si>
    <t>Rows</t>
  </si>
  <si>
    <t>ODEMETARIHI</t>
  </si>
  <si>
    <t>C002</t>
  </si>
  <si>
    <t>IncludeInModel is not Y or N</t>
  </si>
  <si>
    <t>Use the drop-down: Y or N.</t>
  </si>
  <si>
    <t>ODEMEKARARTARIHI</t>
  </si>
  <si>
    <t>C003</t>
  </si>
  <si>
    <t>PersonalData is not Y or N</t>
  </si>
  <si>
    <t>Use the drop-down. Blank is treated as personal (field blocked).</t>
  </si>
  <si>
    <t>HASARTARIHI</t>
  </si>
  <si>
    <t>C004</t>
  </si>
  <si>
    <t>IncludeInModel = Y together with PersonalData not N</t>
  </si>
  <si>
    <t>Personal data may never be included; the queries block it anyway - fix the row (red).</t>
  </si>
  <si>
    <t>IHBARTARIHI</t>
  </si>
  <si>
    <t>C005</t>
  </si>
  <si>
    <t>DataType not in lstDataType</t>
  </si>
  <si>
    <t>text, date, amount, decimal or integer.</t>
  </si>
  <si>
    <t>URUNKOD</t>
  </si>
  <si>
    <t>ProductCode</t>
  </si>
  <si>
    <t>C006</t>
  </si>
  <si>
    <t>Group not in lstGroup</t>
  </si>
  <si>
    <t>Choose one of the five groups (Legend).</t>
  </si>
  <si>
    <t>ALTBRANSADI</t>
  </si>
  <si>
    <t>SubBranchName</t>
  </si>
  <si>
    <t>C007</t>
  </si>
  <si>
    <t>SourceHeader without CanonicalName</t>
  </si>
  <si>
    <t>Unclassified header: give it a CanonicalName (or delete the row).</t>
  </si>
  <si>
    <t>ALTBRANSKODU</t>
  </si>
  <si>
    <t>SubBranchCode</t>
  </si>
  <si>
    <t>C008</t>
  </si>
  <si>
    <t>SourceHeader listed twice</t>
  </si>
  <si>
    <t>Keep one row per spelling.</t>
  </si>
  <si>
    <t>ILKPOLICENO</t>
  </si>
  <si>
    <t>OriginalPolicyNo</t>
  </si>
  <si>
    <t>C009</t>
  </si>
  <si>
    <t>Rows of one CanonicalName disagree (DataType / IncludeInModel / PersonalData / Group)</t>
  </si>
  <si>
    <t>All rows of a field must carry identical attributes; otherwise the field is treated conservatively (excluded).</t>
  </si>
  <si>
    <t>HASARNEDENI</t>
  </si>
  <si>
    <t>LossCause</t>
  </si>
  <si>
    <t>C010</t>
  </si>
  <si>
    <t>Core contract field missing or not loadable (lstCoreContract)</t>
  </si>
  <si>
    <t>Each contract field needs a row with IncludeInModel = Y, PersonalData = N, Group = 1 Core. The refresh stops otherwise.</t>
  </si>
  <si>
    <t>SIGORTALI</t>
  </si>
  <si>
    <t>InsuredName</t>
  </si>
  <si>
    <t>C011</t>
  </si>
  <si>
    <t>Group '1 Core' row not included in the model</t>
  </si>
  <si>
    <t>Core fields are required; include them or change the group.</t>
  </si>
  <si>
    <t>ODEMEKIME</t>
  </si>
  <si>
    <t>PayeeName</t>
  </si>
  <si>
    <t>C012</t>
  </si>
  <si>
    <t>ODEMEMIKTARI</t>
  </si>
  <si>
    <t>DOVIZCINSI</t>
  </si>
  <si>
    <t>C014</t>
  </si>
  <si>
    <t>Group meanings: 1 Core = required (missing -&gt; REVIEW) | 2 Analytical = optional (missing -&gt; INFO) | 3 Branch (phase 2) = out of scope, traceable | 4 Personal data = blocked | 5 Not modelled = available, not needed (data minimisation).</t>
  </si>
  <si>
    <t>HESAPADI</t>
  </si>
  <si>
    <t>AccountHolderName</t>
  </si>
  <si>
    <t>C015</t>
  </si>
  <si>
    <t>EVRAKTAMAMLANMATARIHI</t>
  </si>
  <si>
    <t>DocsCompleteDate</t>
  </si>
  <si>
    <t>C016</t>
  </si>
  <si>
    <t>ILKMUALLAK</t>
  </si>
  <si>
    <t>InitialReserve</t>
  </si>
  <si>
    <t>C017</t>
  </si>
  <si>
    <t>TEMINATTUTARI</t>
  </si>
  <si>
    <t>CoverAmount</t>
  </si>
  <si>
    <t>C018</t>
  </si>
  <si>
    <t>PARTNER</t>
  </si>
  <si>
    <t>PartnerName</t>
  </si>
  <si>
    <t>C019</t>
  </si>
  <si>
    <t>MUSTERINO</t>
  </si>
  <si>
    <t>CustomerNo</t>
  </si>
  <si>
    <t>C020</t>
  </si>
  <si>
    <t>ODENEBILIRMAXTAZSAYISI</t>
  </si>
  <si>
    <t>MaxPayableCount</t>
  </si>
  <si>
    <t>C021</t>
  </si>
  <si>
    <t>ODENENTAZMINATSAYISI</t>
  </si>
  <si>
    <t>PaidCount</t>
  </si>
  <si>
    <t>C022</t>
  </si>
  <si>
    <t>ONAYTARIHI</t>
  </si>
  <si>
    <t>ApprovalDate</t>
  </si>
  <si>
    <t>C023</t>
  </si>
  <si>
    <t>YENILEMENO</t>
  </si>
  <si>
    <t>RenewalNo</t>
  </si>
  <si>
    <t>C024</t>
  </si>
  <si>
    <t>SIGORTALITCKNO</t>
  </si>
  <si>
    <t>InsuredNationalID</t>
  </si>
  <si>
    <t>C025</t>
  </si>
  <si>
    <t>KAYNAKADI</t>
  </si>
  <si>
    <t>SourceName</t>
  </si>
  <si>
    <t>C026</t>
  </si>
  <si>
    <t>NETODENEN</t>
  </si>
  <si>
    <t>C027</t>
  </si>
  <si>
    <t>URUNAD</t>
  </si>
  <si>
    <t>ProductName</t>
  </si>
  <si>
    <t>C028</t>
  </si>
  <si>
    <t>DOSYADURUMU</t>
  </si>
  <si>
    <t>CaseStatus</t>
  </si>
  <si>
    <t>C029</t>
  </si>
  <si>
    <t>STATUDETAY</t>
  </si>
  <si>
    <t>StatusDetail</t>
  </si>
  <si>
    <t>C030</t>
  </si>
  <si>
    <t>TEMINATKODU</t>
  </si>
  <si>
    <t>CoverCode</t>
  </si>
  <si>
    <t>C031</t>
  </si>
  <si>
    <t>TAKSIT_SEQ</t>
  </si>
  <si>
    <t>C032</t>
  </si>
  <si>
    <t>PARTNERPOLICENO</t>
  </si>
  <si>
    <t>PartnerPolicyNo</t>
  </si>
  <si>
    <t>C033</t>
  </si>
  <si>
    <t>BRANSKOD</t>
  </si>
  <si>
    <t>BranchCode</t>
  </si>
  <si>
    <t>C034</t>
  </si>
  <si>
    <t>IHBARKANAL</t>
  </si>
  <si>
    <t>NotificationChannel</t>
  </si>
  <si>
    <t>C035</t>
  </si>
  <si>
    <t>HASARILCE</t>
  </si>
  <si>
    <t>LossDistrict</t>
  </si>
  <si>
    <t>C036</t>
  </si>
  <si>
    <t>PARTNERKODU</t>
  </si>
  <si>
    <t>PartnerCode</t>
  </si>
  <si>
    <t>C037</t>
  </si>
  <si>
    <t>ODEMEMIKTARI_REPAY</t>
  </si>
  <si>
    <t>RepaymentAmount</t>
  </si>
  <si>
    <t>C038</t>
  </si>
  <si>
    <t>ISKOLUKODU</t>
  </si>
  <si>
    <t>LineOfBusinessCode</t>
  </si>
  <si>
    <t>C039</t>
  </si>
  <si>
    <t>POLICEVADESI</t>
  </si>
  <si>
    <t>PolicyTerm</t>
  </si>
  <si>
    <t>C040</t>
  </si>
  <si>
    <t>PLANLANANODEMETARIHI</t>
  </si>
  <si>
    <t>PlannedPaymentDate</t>
  </si>
  <si>
    <t>C041</t>
  </si>
  <si>
    <t>TOPLAMTEMINAT</t>
  </si>
  <si>
    <t>TotalSumInsured</t>
  </si>
  <si>
    <t>C042</t>
  </si>
  <si>
    <t>USTBRANSADI</t>
  </si>
  <si>
    <t>ParentBranchName</t>
  </si>
  <si>
    <t>C043</t>
  </si>
  <si>
    <t>SATISKANALIKODU</t>
  </si>
  <si>
    <t>SalesChannelCode</t>
  </si>
  <si>
    <t>C044</t>
  </si>
  <si>
    <t>VEFAT_KOD</t>
  </si>
  <si>
    <t>DeathCauseCode</t>
  </si>
  <si>
    <t>C045</t>
  </si>
  <si>
    <t>UW_KONUMU</t>
  </si>
  <si>
    <t>UnderwritingStatus</t>
  </si>
  <si>
    <t>C046</t>
  </si>
  <si>
    <t>COINSURANCEADI</t>
  </si>
  <si>
    <t>CoinsurerName</t>
  </si>
  <si>
    <t>C047</t>
  </si>
  <si>
    <t>MUACCELIYETTAR</t>
  </si>
  <si>
    <t>DueDate</t>
  </si>
  <si>
    <t>C048</t>
  </si>
  <si>
    <t>MENFAATTARTIP</t>
  </si>
  <si>
    <t>BeneficiaryType</t>
  </si>
  <si>
    <t>C049</t>
  </si>
  <si>
    <t>VEFAT_ACIKLAMA</t>
  </si>
  <si>
    <t>DeathCauseDescription</t>
  </si>
  <si>
    <t>C050</t>
  </si>
  <si>
    <t>BANKANO</t>
  </si>
  <si>
    <t>BankNo</t>
  </si>
  <si>
    <t>C051</t>
  </si>
  <si>
    <t>POLICENO</t>
  </si>
  <si>
    <t>PolicyNo</t>
  </si>
  <si>
    <t>C052</t>
  </si>
  <si>
    <t>ORAN</t>
  </si>
  <si>
    <t>Rate</t>
  </si>
  <si>
    <t>C053</t>
  </si>
  <si>
    <t>PARTNERURTKOD</t>
  </si>
  <si>
    <t>PartnerProductCode</t>
  </si>
  <si>
    <t>C054</t>
  </si>
  <si>
    <t>SIGORTALIDOGUMTARIHI</t>
  </si>
  <si>
    <t>InsuredBirthDate</t>
  </si>
  <si>
    <t>C055</t>
  </si>
  <si>
    <t>HASARIL</t>
  </si>
  <si>
    <t>LossProvince</t>
  </si>
  <si>
    <t>C056</t>
  </si>
  <si>
    <t>POLICEBITTAR</t>
  </si>
  <si>
    <t>PolicyEndDate</t>
  </si>
  <si>
    <t>C057</t>
  </si>
  <si>
    <t>HESAPNO</t>
  </si>
  <si>
    <t>AccountNo</t>
  </si>
  <si>
    <t>C058</t>
  </si>
  <si>
    <t>BANKAADI</t>
  </si>
  <si>
    <t>BankName</t>
  </si>
  <si>
    <t>C059</t>
  </si>
  <si>
    <t>SAGLIKBEYANFORMU</t>
  </si>
  <si>
    <t>HealthDeclaration</t>
  </si>
  <si>
    <t>C060</t>
  </si>
  <si>
    <t>URUNTIP</t>
  </si>
  <si>
    <t>ProductType</t>
  </si>
  <si>
    <t>C061</t>
  </si>
  <si>
    <t>PROMT</t>
  </si>
  <si>
    <t>Promt</t>
  </si>
  <si>
    <t>C062</t>
  </si>
  <si>
    <t>VERGINUMARASI</t>
  </si>
  <si>
    <t>TaxNo</t>
  </si>
  <si>
    <t>C063</t>
  </si>
  <si>
    <t>SIGORTALIYAS</t>
  </si>
  <si>
    <t>C064</t>
  </si>
  <si>
    <t>TAZMINATTURNEDEN</t>
  </si>
  <si>
    <t>ClaimType</t>
  </si>
  <si>
    <t>C065</t>
  </si>
  <si>
    <t>CINSIYET</t>
  </si>
  <si>
    <t>Gender</t>
  </si>
  <si>
    <t>C066</t>
  </si>
  <si>
    <t>IHBSTATUS</t>
  </si>
  <si>
    <t>NotificationStatus</t>
  </si>
  <si>
    <t>C067</t>
  </si>
  <si>
    <t>ODEMESEKLI</t>
  </si>
  <si>
    <t>PaymentMethod</t>
  </si>
  <si>
    <t>C068</t>
  </si>
  <si>
    <t>POLICEBASTAR</t>
  </si>
  <si>
    <t>PolicyStartDate</t>
  </si>
  <si>
    <t>C069</t>
  </si>
  <si>
    <t>SATISKANALIACIKLAMASI</t>
  </si>
  <si>
    <t>SalesChannelName</t>
  </si>
  <si>
    <t>C070</t>
  </si>
  <si>
    <t>ISKOLUACIKLAMASI</t>
  </si>
  <si>
    <t>LineOfBusinessName</t>
  </si>
  <si>
    <t>C071</t>
  </si>
  <si>
    <t>MUAFIYETTUTAR</t>
  </si>
  <si>
    <t>DeductibleAmount</t>
  </si>
  <si>
    <t>C072</t>
  </si>
  <si>
    <t>RISKBASTAR</t>
  </si>
  <si>
    <t>RiskStartDate</t>
  </si>
  <si>
    <t>C073</t>
  </si>
  <si>
    <t>RISKBITTAR</t>
  </si>
  <si>
    <t>RiskEndDate</t>
  </si>
  <si>
    <t>C074</t>
  </si>
  <si>
    <t>IHBARTARIHIYILAY</t>
  </si>
  <si>
    <t>NotificationYearMonth</t>
  </si>
  <si>
    <t>C075</t>
  </si>
  <si>
    <t>SIGORTALIMESLEK</t>
  </si>
  <si>
    <t>InsuredOccupation</t>
  </si>
  <si>
    <t>C076</t>
  </si>
  <si>
    <t>TEDIYENO</t>
  </si>
  <si>
    <t>PaymentVoucherNo</t>
  </si>
  <si>
    <t>C077</t>
  </si>
  <si>
    <t>ILKEVRAKGELISTAR</t>
  </si>
  <si>
    <t>FirstDocumentDate</t>
  </si>
  <si>
    <t>C078</t>
  </si>
  <si>
    <t>ODENEBILIRE_GEC_TAR</t>
  </si>
  <si>
    <t>PayableStatusDate</t>
  </si>
  <si>
    <t>C079</t>
  </si>
  <si>
    <t>IHBAROLUSTURMATARIHI</t>
  </si>
  <si>
    <t>NotificationCreatedDate</t>
  </si>
  <si>
    <t>C080</t>
  </si>
  <si>
    <t>IBANNUMARASI</t>
  </si>
  <si>
    <t>IBAN</t>
  </si>
  <si>
    <t>C081</t>
  </si>
  <si>
    <t>COINSURANCEKOD</t>
  </si>
  <si>
    <t>CoinsurerCode</t>
  </si>
  <si>
    <t>C082</t>
  </si>
  <si>
    <t>TARIFEKOD</t>
  </si>
  <si>
    <t>TariffCode</t>
  </si>
  <si>
    <t>C083</t>
  </si>
  <si>
    <t>SIGORTALINO</t>
  </si>
  <si>
    <t>InsuredNo</t>
  </si>
  <si>
    <t>C084</t>
  </si>
  <si>
    <t>USTBRANSKODU</t>
  </si>
  <si>
    <t>ParentBranchCode</t>
  </si>
  <si>
    <t>C085</t>
  </si>
  <si>
    <t>POLICEZEYLNO</t>
  </si>
  <si>
    <t>EndorsementNo</t>
  </si>
  <si>
    <t>C086</t>
  </si>
  <si>
    <t>MENFAATTAR_KONTROL</t>
  </si>
  <si>
    <t>BeneficiaryCheck</t>
  </si>
  <si>
    <t>C087</t>
  </si>
  <si>
    <t>EXGRATIANEDENI</t>
  </si>
  <si>
    <t>ExGratiaReason</t>
  </si>
  <si>
    <t>C088</t>
  </si>
  <si>
    <t>Poliçe No / Sözleşme No</t>
  </si>
  <si>
    <t>C089</t>
  </si>
  <si>
    <t>Sigortalı Ad Soyad</t>
  </si>
  <si>
    <t>C090</t>
  </si>
  <si>
    <t>Sigortalı_TCKN</t>
  </si>
  <si>
    <t>C091</t>
  </si>
  <si>
    <t>Hasar Tarih</t>
  </si>
  <si>
    <t>C092</t>
  </si>
  <si>
    <t>Ödeme Sıra</t>
  </si>
  <si>
    <t>C093</t>
  </si>
  <si>
    <t>İhbar Tarih</t>
  </si>
  <si>
    <t>C094</t>
  </si>
  <si>
    <t>Dosya No</t>
  </si>
  <si>
    <t>C095</t>
  </si>
  <si>
    <t>Tarife / Plan Kod</t>
  </si>
  <si>
    <t>C096</t>
  </si>
  <si>
    <t>Teminat Kod</t>
  </si>
  <si>
    <t>C097</t>
  </si>
  <si>
    <t>Toplam Ödenen</t>
  </si>
  <si>
    <t>C098</t>
  </si>
  <si>
    <t>Ödeme Tarih</t>
  </si>
  <si>
    <t>C099</t>
  </si>
  <si>
    <t>Product Sub Category</t>
  </si>
  <si>
    <t>ProductSubCategory</t>
  </si>
  <si>
    <t>C100</t>
  </si>
  <si>
    <t>Poliçe Başlama Tarih (YG)</t>
  </si>
  <si>
    <t>C101</t>
  </si>
  <si>
    <t>Poliçe Bitiş Tarih (YG)</t>
  </si>
  <si>
    <t>C102</t>
  </si>
  <si>
    <t>aa</t>
  </si>
  <si>
    <t>Companies (tblDimCompany)</t>
  </si>
  <si>
    <t>CompanyType</t>
  </si>
  <si>
    <t>ExpectedFromPeriod</t>
  </si>
  <si>
    <t>ExpectedToPeriod</t>
  </si>
  <si>
    <t>FX rates and currency aliases</t>
  </si>
  <si>
    <t>SourceValue</t>
  </si>
  <si>
    <t>RateDate</t>
  </si>
  <si>
    <t>RateToTRY</t>
  </si>
  <si>
    <t>Source</t>
  </si>
  <si>
    <t>ISO code</t>
  </si>
  <si>
    <t>CHF</t>
  </si>
  <si>
    <t>CBRT ForexBuying, bulletin 2019/226</t>
  </si>
  <si>
    <t>TL</t>
  </si>
  <si>
    <t>Common in Turkish files</t>
  </si>
  <si>
    <t>EUR</t>
  </si>
  <si>
    <t>YTL</t>
  </si>
  <si>
    <t>Legacy (2005-2008)</t>
  </si>
  <si>
    <t>GBP</t>
  </si>
  <si>
    <t>TRL</t>
  </si>
  <si>
    <t>Legacy ISO code</t>
  </si>
  <si>
    <t>USD</t>
  </si>
  <si>
    <t>Türk Lirası</t>
  </si>
  <si>
    <t>CBRT ForexBuying, bulletin 2019/227</t>
  </si>
  <si>
    <t>ABD Doları</t>
  </si>
  <si>
    <t>Avro</t>
  </si>
  <si>
    <t>CBRT ForexBuying, bulletin 2019/228</t>
  </si>
  <si>
    <t>Euro</t>
  </si>
  <si>
    <t>İngiliz Sterlini</t>
  </si>
  <si>
    <t>CBRT ForexBuying, bulletin 2019/229</t>
  </si>
  <si>
    <t>CBRT ForexBuying, bulletin 2019/230</t>
  </si>
  <si>
    <t>CBRT ForexBuying, bulletin 2019/231</t>
  </si>
  <si>
    <t>CBRT ForexBuying, bulletin 2019/232</t>
  </si>
  <si>
    <t>CBRT ForexBuying, bulletin 2019/233</t>
  </si>
  <si>
    <t>CBRT ForexBuying, bulletin 2019/234</t>
  </si>
  <si>
    <t>CBRT ForexBuying, bulletin 2019/235</t>
  </si>
  <si>
    <t>CBRT ForexBuying, bulletin 2019/236</t>
  </si>
  <si>
    <t>CBRT ForexBuying, bulletin 2019/237</t>
  </si>
  <si>
    <t>CBRT ForexBuying, bulletin 2019/238</t>
  </si>
  <si>
    <t>CBRT ForexBuying, bulletin 2019/239</t>
  </si>
  <si>
    <t>CBRT ForexBuying, bulletin 2019/240</t>
  </si>
  <si>
    <t>CBRT ForexBuying, bulletin 2019/241</t>
  </si>
  <si>
    <t>CBRT ForexBuying, bulletin 2019/242</t>
  </si>
  <si>
    <t>CBRT ForexBuying, bulletin 2019/243</t>
  </si>
  <si>
    <t>CBRT ForexBuying, bulletin 2019/244</t>
  </si>
  <si>
    <t>CBRT ForexBuying, bulletin 2019/245</t>
  </si>
  <si>
    <t>CBRT ForexBuying, bulletin 2019/246</t>
  </si>
  <si>
    <t>CBRT ForexBuying, bulletin 2019/247</t>
  </si>
  <si>
    <t>CBRT ForexBuying, bulletin 2020/1</t>
  </si>
  <si>
    <t>CBRT ForexBuying, bulletin 2020/2</t>
  </si>
  <si>
    <t>CBRT ForexBuying, bulletin 2020/3</t>
  </si>
  <si>
    <t>CBRT ForexBuying, bulletin 2020/4</t>
  </si>
  <si>
    <t>CBRT ForexBuying, bulletin 2020/5</t>
  </si>
  <si>
    <t>CBRT ForexBuying, bulletin 2020/6</t>
  </si>
  <si>
    <t>CBRT ForexBuying, bulletin 2020/7</t>
  </si>
  <si>
    <t>CBRT ForexBuying, bulletin 2020/8</t>
  </si>
  <si>
    <t>CBRT ForexBuying, bulletin 2020/9</t>
  </si>
  <si>
    <t>CBRT ForexBuying, bulletin 2020/10</t>
  </si>
  <si>
    <t>CBRT ForexBuying, bulletin 2020/11</t>
  </si>
  <si>
    <t>CBRT ForexBuying, bulletin 2020/12</t>
  </si>
  <si>
    <t>CBRT ForexBuying, bulletin 2020/13</t>
  </si>
  <si>
    <t>CBRT ForexBuying, bulletin 2020/14</t>
  </si>
  <si>
    <t>CBRT ForexBuying, bulletin 2020/15</t>
  </si>
  <si>
    <t>CBRT ForexBuying, bulletin 2020/16</t>
  </si>
  <si>
    <t>CBRT ForexBuying, bulletin 2020/17</t>
  </si>
  <si>
    <t>CBRT ForexBuying, bulletin 2020/18</t>
  </si>
  <si>
    <t>CBRT ForexBuying, bulletin 2020/19</t>
  </si>
  <si>
    <t>CBRT ForexBuying, bulletin 2020/20</t>
  </si>
  <si>
    <t>CBRT ForexBuying, bulletin 2020/21</t>
  </si>
  <si>
    <t>CBRT ForexBuying, bulletin 2020/22</t>
  </si>
  <si>
    <t>CBRT ForexBuying, bulletin 2020/23</t>
  </si>
  <si>
    <t>CBRT ForexBuying, bulletin 2020/24</t>
  </si>
  <si>
    <t>CBRT ForexBuying, bulletin 2020/25</t>
  </si>
  <si>
    <t>CBRT ForexBuying, bulletin 2020/26</t>
  </si>
  <si>
    <t>CBRT ForexBuying, bulletin 2020/27</t>
  </si>
  <si>
    <t>CBRT ForexBuying, bulletin 2020/28</t>
  </si>
  <si>
    <t>CBRT ForexBuying, bulletin 2020/29</t>
  </si>
  <si>
    <t>CBRT ForexBuying, bulletin 2020/30</t>
  </si>
  <si>
    <t>CBRT ForexBuying, bulletin 2020/31</t>
  </si>
  <si>
    <t>CBRT ForexBuying, bulletin 2020/32</t>
  </si>
  <si>
    <t>CBRT ForexBuying, bulletin 2020/33</t>
  </si>
  <si>
    <t>CBRT ForexBuying, bulletin 2020/34</t>
  </si>
  <si>
    <t>CBRT ForexBuying, bulletin 2020/35</t>
  </si>
  <si>
    <t>CBRT ForexBuying, bulletin 2020/36</t>
  </si>
  <si>
    <t>CBRT ForexBuying, bulletin 2020/37</t>
  </si>
  <si>
    <t>CBRT ForexBuying, bulletin 2020/38</t>
  </si>
  <si>
    <t>CBRT ForexBuying, bulletin 2020/39</t>
  </si>
  <si>
    <t>CBRT ForexBuying, bulletin 2020/40</t>
  </si>
  <si>
    <t>CBRT ForexBuying, bulletin 2020/41</t>
  </si>
  <si>
    <t>CBRT ForexBuying, bulletin 2020/42</t>
  </si>
  <si>
    <t>CBRT ForexBuying, bulletin 2020/43</t>
  </si>
  <si>
    <t>CBRT ForexBuying, bulletin 2020/44</t>
  </si>
  <si>
    <t>CBRT ForexBuying, bulletin 2020/45</t>
  </si>
  <si>
    <t>CBRT ForexBuying, bulletin 2020/46</t>
  </si>
  <si>
    <t>CBRT ForexBuying, bulletin 2020/47</t>
  </si>
  <si>
    <t>CBRT ForexBuying, bulletin 2020/48</t>
  </si>
  <si>
    <t>CBRT ForexBuying, bulletin 2020/49</t>
  </si>
  <si>
    <t>CBRT ForexBuying, bulletin 2020/50</t>
  </si>
  <si>
    <t>CBRT ForexBuying, bulletin 2020/51</t>
  </si>
  <si>
    <t>CBRT ForexBuying, bulletin 2020/52</t>
  </si>
  <si>
    <t>CBRT ForexBuying, bulletin 2020/53</t>
  </si>
  <si>
    <t>CBRT ForexBuying, bulletin 2020/54</t>
  </si>
  <si>
    <t>CBRT ForexBuying, bulletin 2020/55</t>
  </si>
  <si>
    <t>CBRT ForexBuying, bulletin 2020/56</t>
  </si>
  <si>
    <t>CBRT ForexBuying, bulletin 2020/57</t>
  </si>
  <si>
    <t>CBRT ForexBuying, bulletin 2020/58</t>
  </si>
  <si>
    <t>CBRT ForexBuying, bulletin 2020/59</t>
  </si>
  <si>
    <t>CBRT ForexBuying, bulletin 2020/60</t>
  </si>
  <si>
    <t>CBRT ForexBuying, bulletin 2020/61</t>
  </si>
  <si>
    <t>CBRT ForexBuying, bulletin 2020/62</t>
  </si>
  <si>
    <t>CBRT ForexBuying, bulletin 2020/63</t>
  </si>
  <si>
    <t>CBRT ForexBuying, bulletin 2020/64</t>
  </si>
  <si>
    <t>CBRT ForexBuying, bulletin 2020/65</t>
  </si>
  <si>
    <t>CBRT ForexBuying, bulletin 2020/66</t>
  </si>
  <si>
    <t>CBRT ForexBuying, bulletin 2020/67</t>
  </si>
  <si>
    <t>CBRT ForexBuying, bulletin 2020/68</t>
  </si>
  <si>
    <t>CBRT ForexBuying, bulletin 2020/69</t>
  </si>
  <si>
    <t>CBRT ForexBuying, bulletin 2020/70</t>
  </si>
  <si>
    <t>CBRT ForexBuying, bulletin 2020/71</t>
  </si>
  <si>
    <t>CBRT ForexBuying, bulletin 2020/72</t>
  </si>
  <si>
    <t>CBRT ForexBuying, bulletin 2020/73</t>
  </si>
  <si>
    <t>CBRT ForexBuying, bulletin 2020/74</t>
  </si>
  <si>
    <t>CBRT ForexBuying, bulletin 2020/75</t>
  </si>
  <si>
    <t>CBRT ForexBuying, bulletin 2020/76</t>
  </si>
  <si>
    <t>CBRT ForexBuying, bulletin 2020/77</t>
  </si>
  <si>
    <t>CBRT ForexBuying, bulletin 2020/78</t>
  </si>
  <si>
    <t>CBRT ForexBuying, bulletin 2020/79</t>
  </si>
  <si>
    <t>CBRT ForexBuying, bulletin 2020/80</t>
  </si>
  <si>
    <t>CBRT ForexBuying, bulletin 2020/81</t>
  </si>
  <si>
    <t>CBRT ForexBuying, bulletin 2020/82</t>
  </si>
  <si>
    <t>CBRT ForexBuying, bulletin 2020/83</t>
  </si>
  <si>
    <t>CBRT ForexBuying, bulletin 2020/84</t>
  </si>
  <si>
    <t>CBRT ForexBuying, bulletin 2020/85</t>
  </si>
  <si>
    <t>CBRT ForexBuying, bulletin 2020/86</t>
  </si>
  <si>
    <t>CBRT ForexBuying, bulletin 2020/87</t>
  </si>
  <si>
    <t>CBRT ForexBuying, bulletin 2020/88</t>
  </si>
  <si>
    <t>CBRT ForexBuying, bulletin 2020/89</t>
  </si>
  <si>
    <t>CBRT ForexBuying, bulletin 2020/90</t>
  </si>
  <si>
    <t>CBRT ForexBuying, bulletin 2020/91</t>
  </si>
  <si>
    <t>CBRT ForexBuying, bulletin 2020/92</t>
  </si>
  <si>
    <t>CBRT ForexBuying, bulletin 2020/93</t>
  </si>
  <si>
    <t>CBRT ForexBuying, bulletin 2020/94</t>
  </si>
  <si>
    <t>CBRT ForexBuying, bulletin 2020/95</t>
  </si>
  <si>
    <t>CBRT ForexBuying, bulletin 2020/96</t>
  </si>
  <si>
    <t>CBRT ForexBuying, bulletin 2020/97</t>
  </si>
  <si>
    <t>CBRT ForexBuying, bulletin 2020/98</t>
  </si>
  <si>
    <t>CBRT ForexBuying, bulletin 2020/99</t>
  </si>
  <si>
    <t>CBRT ForexBuying, bulletin 2020/100</t>
  </si>
  <si>
    <t>CBRT ForexBuying, bulletin 2020/101</t>
  </si>
  <si>
    <t>CBRT ForexBuying, bulletin 2020/102</t>
  </si>
  <si>
    <t>CBRT ForexBuying, bulletin 2020/103</t>
  </si>
  <si>
    <t>CBRT ForexBuying, bulletin 2020/104</t>
  </si>
  <si>
    <t>CBRT ForexBuying, bulletin 2020/105</t>
  </si>
  <si>
    <t>CBRT ForexBuying, bulletin 2020/106</t>
  </si>
  <si>
    <t>CBRT ForexBuying, bulletin 2020/107</t>
  </si>
  <si>
    <t>CBRT ForexBuying, bulletin 2020/108</t>
  </si>
  <si>
    <t>CBRT ForexBuying, bulletin 2020/109</t>
  </si>
  <si>
    <t>CBRT ForexBuying, bulletin 2020/110</t>
  </si>
  <si>
    <t>CBRT ForexBuying, bulletin 2020/111</t>
  </si>
  <si>
    <t>CBRT ForexBuying, bulletin 2020/112</t>
  </si>
  <si>
    <t>CBRT ForexBuying, bulletin 2020/113</t>
  </si>
  <si>
    <t>CBRT ForexBuying, bulletin 2020/114</t>
  </si>
  <si>
    <t>CBRT ForexBuying, bulletin 2020/115</t>
  </si>
  <si>
    <t>CBRT ForexBuying, bulletin 2020/116</t>
  </si>
  <si>
    <t>CBRT ForexBuying, bulletin 2020/117</t>
  </si>
  <si>
    <t>CBRT ForexBuying, bulletin 2020/118</t>
  </si>
  <si>
    <t>CBRT ForexBuying, bulletin 2020/119</t>
  </si>
  <si>
    <t>CBRT ForexBuying, bulletin 2020/120</t>
  </si>
  <si>
    <t>CBRT ForexBuying, bulletin 2020/121</t>
  </si>
  <si>
    <t>CBRT ForexBuying, bulletin 2020/122</t>
  </si>
  <si>
    <t>CBRT ForexBuying, bulletin 2020/123</t>
  </si>
  <si>
    <t>CBRT ForexBuying, bulletin 2020/124</t>
  </si>
  <si>
    <t>CBRT ForexBuying, bulletin 2020/125</t>
  </si>
  <si>
    <t>CBRT ForexBuying, bulletin 2020/126</t>
  </si>
  <si>
    <t>CBRT ForexBuying, bulletin 2020/127</t>
  </si>
  <si>
    <t>CBRT ForexBuying, bulletin 2020/128</t>
  </si>
  <si>
    <t>CBRT ForexBuying, bulletin 2020/129</t>
  </si>
  <si>
    <t>CBRT ForexBuying, bulletin 2020/130</t>
  </si>
  <si>
    <t>CBRT ForexBuying, bulletin 2020/131</t>
  </si>
  <si>
    <t>CBRT ForexBuying, bulletin 2020/132</t>
  </si>
  <si>
    <t>CBRT ForexBuying, bulletin 2020/133</t>
  </si>
  <si>
    <t>CBRT ForexBuying, bulletin 2020/134</t>
  </si>
  <si>
    <t>CBRT ForexBuying, bulletin 2020/135</t>
  </si>
  <si>
    <t>CBRT ForexBuying, bulletin 2020/136</t>
  </si>
  <si>
    <t>CBRT ForexBuying, bulletin 2020/137</t>
  </si>
  <si>
    <t>CBRT ForexBuying, bulletin 2020/138</t>
  </si>
  <si>
    <t>CBRT ForexBuying, bulletin 2020/139</t>
  </si>
  <si>
    <t>CBRT ForexBuying, bulletin 2020/140</t>
  </si>
  <si>
    <t>CBRT ForexBuying, bulletin 2020/141</t>
  </si>
  <si>
    <t>CBRT ForexBuying, bulletin 2020/142</t>
  </si>
  <si>
    <t>CBRT ForexBuying, bulletin 2020/143</t>
  </si>
  <si>
    <t>CBRT ForexBuying, bulletin 2020/144</t>
  </si>
  <si>
    <t>CBRT ForexBuying, bulletin 2020/145</t>
  </si>
  <si>
    <t>CBRT ForexBuying, bulletin 2020/146</t>
  </si>
  <si>
    <t>CBRT ForexBuying, bulletin 2020/147</t>
  </si>
  <si>
    <t>CBRT ForexBuying, bulletin 2020/148</t>
  </si>
  <si>
    <t>CBRT ForexBuying, bulletin 2020/149</t>
  </si>
  <si>
    <t>CBRT ForexBuying, bulletin 2020/150</t>
  </si>
  <si>
    <t>CBRT ForexBuying, bulletin 2020/151</t>
  </si>
  <si>
    <t>CBRT ForexBuying, bulletin 2020/152</t>
  </si>
  <si>
    <t>CBRT ForexBuying, bulletin 2020/153</t>
  </si>
  <si>
    <t>CBRT ForexBuying, bulletin 2020/154</t>
  </si>
  <si>
    <t>CBRT ForexBuying, bulletin 2020/155</t>
  </si>
  <si>
    <t>CBRT ForexBuying, bulletin 2020/156</t>
  </si>
  <si>
    <t>CBRT ForexBuying, bulletin 2020/157</t>
  </si>
  <si>
    <t>CBRT ForexBuying, bulletin 2020/158</t>
  </si>
  <si>
    <t>CBRT ForexBuying, bulletin 2020/159</t>
  </si>
  <si>
    <t>CBRT ForexBuying, bulletin 2020/160</t>
  </si>
  <si>
    <t>CBRT ForexBuying, bulletin 2020/161</t>
  </si>
  <si>
    <t>CBRT ForexBuying, bulletin 2020/162</t>
  </si>
  <si>
    <t>CBRT ForexBuying, bulletin 2020/163</t>
  </si>
  <si>
    <t>CBRT ForexBuying, bulletin 2020/164</t>
  </si>
  <si>
    <t>CBRT ForexBuying, bulletin 2020/165</t>
  </si>
  <si>
    <t>CBRT ForexBuying, bulletin 2020/166</t>
  </si>
  <si>
    <t>CBRT ForexBuying, bulletin 2020/167</t>
  </si>
  <si>
    <t>CBRT ForexBuying, bulletin 2020/168</t>
  </si>
  <si>
    <t>CBRT ForexBuying, bulletin 2020/169</t>
  </si>
  <si>
    <t>CBRT ForexBuying, bulletin 2020/170</t>
  </si>
  <si>
    <t>CBRT ForexBuying, bulletin 2020/171</t>
  </si>
  <si>
    <t>CBRT ForexBuying, bulletin 2020/172</t>
  </si>
  <si>
    <t>CBRT ForexBuying, bulletin 2020/173</t>
  </si>
  <si>
    <t>CBRT ForexBuying, bulletin 2020/174</t>
  </si>
  <si>
    <t>CBRT ForexBuying, bulletin 2020/175</t>
  </si>
  <si>
    <t>CBRT ForexBuying, bulletin 2020/176</t>
  </si>
  <si>
    <t>CBRT ForexBuying, bulletin 2020/177</t>
  </si>
  <si>
    <t>CBRT ForexBuying, bulletin 2020/178</t>
  </si>
  <si>
    <t>CBRT ForexBuying, bulletin 2020/179</t>
  </si>
  <si>
    <t>CBRT ForexBuying, bulletin 2020/180</t>
  </si>
  <si>
    <t>CBRT ForexBuying, bulletin 2020/181</t>
  </si>
  <si>
    <t>CBRT ForexBuying, bulletin 2020/182</t>
  </si>
  <si>
    <t>CBRT ForexBuying, bulletin 2020/183</t>
  </si>
  <si>
    <t>CBRT ForexBuying, bulletin 2020/184</t>
  </si>
  <si>
    <t>CBRT ForexBuying, bulletin 2020/185</t>
  </si>
  <si>
    <t>CBRT ForexBuying, bulletin 2020/186</t>
  </si>
  <si>
    <t>CBRT ForexBuying, bulletin 2020/187</t>
  </si>
  <si>
    <t>CBRT ForexBuying, bulletin 2020/188</t>
  </si>
  <si>
    <t>CBRT ForexBuying, bulletin 2020/189</t>
  </si>
  <si>
    <t>CBRT ForexBuying, bulletin 2020/190</t>
  </si>
  <si>
    <t>CBRT ForexBuying, bulletin 2020/191</t>
  </si>
  <si>
    <t>CBRT ForexBuying, bulletin 2020/192</t>
  </si>
  <si>
    <t>CBRT ForexBuying, bulletin 2020/193</t>
  </si>
  <si>
    <t>CBRT ForexBuying, bulletin 2020/194</t>
  </si>
  <si>
    <t>CBRT ForexBuying, bulletin 2020/195</t>
  </si>
  <si>
    <t>CBRT ForexBuying, bulletin 2020/196</t>
  </si>
  <si>
    <t>CBRT ForexBuying, bulletin 2020/197</t>
  </si>
  <si>
    <t>CBRT ForexBuying, bulletin 2020/198</t>
  </si>
  <si>
    <t>CBRT ForexBuying, bulletin 2020/199</t>
  </si>
  <si>
    <t>CBRT ForexBuying, bulletin 2020/200</t>
  </si>
  <si>
    <t>CBRT ForexBuying, bulletin 2020/201</t>
  </si>
  <si>
    <t>CBRT ForexBuying, bulletin 2020/202</t>
  </si>
  <si>
    <t>CBRT ForexBuying, bulletin 2020/203</t>
  </si>
  <si>
    <t>CBRT ForexBuying, bulletin 2020/204</t>
  </si>
  <si>
    <t>CBRT ForexBuying, bulletin 2020/205</t>
  </si>
  <si>
    <t>CBRT ForexBuying, bulletin 2020/206</t>
  </si>
  <si>
    <t>CBRT ForexBuying, bulletin 2020/207</t>
  </si>
  <si>
    <t>CBRT ForexBuying, bulletin 2020/208</t>
  </si>
  <si>
    <t>CBRT ForexBuying, bulletin 2020/209</t>
  </si>
  <si>
    <t>CBRT ForexBuying, bulletin 2020/210</t>
  </si>
  <si>
    <t>CBRT ForexBuying, bulletin 2020/211</t>
  </si>
  <si>
    <t>CBRT ForexBuying, bulletin 2020/212</t>
  </si>
  <si>
    <t>CBRT ForexBuying, bulletin 2020/213</t>
  </si>
  <si>
    <t>CBRT ForexBuying, bulletin 2020/214</t>
  </si>
  <si>
    <t>CBRT ForexBuying, bulletin 2020/215</t>
  </si>
  <si>
    <t>CBRT ForexBuying, bulletin 2020/216</t>
  </si>
  <si>
    <t>CBRT ForexBuying, bulletin 2020/217</t>
  </si>
  <si>
    <t>CBRT ForexBuying, bulletin 2020/218</t>
  </si>
  <si>
    <t>CBRT ForexBuying, bulletin 2020/219</t>
  </si>
  <si>
    <t>CBRT ForexBuying, bulletin 2020/220</t>
  </si>
  <si>
    <t>CBRT ForexBuying, bulletin 2020/221</t>
  </si>
  <si>
    <t>CBRT ForexBuying, bulletin 2020/222</t>
  </si>
  <si>
    <t>CBRT ForexBuying, bulletin 2020/223</t>
  </si>
  <si>
    <t>CBRT ForexBuying, bulletin 2020/224</t>
  </si>
  <si>
    <t>CBRT ForexBuying, bulletin 2020/225</t>
  </si>
  <si>
    <t>CBRT ForexBuying, bulletin 2020/226</t>
  </si>
  <si>
    <t>CBRT ForexBuying, bulletin 2020/227</t>
  </si>
  <si>
    <t>CBRT ForexBuying, bulletin 2020/228</t>
  </si>
  <si>
    <t>CBRT ForexBuying, bulletin 2020/229</t>
  </si>
  <si>
    <t>CBRT ForexBuying, bulletin 2020/230</t>
  </si>
  <si>
    <t>CBRT ForexBuying, bulletin 2020/231</t>
  </si>
  <si>
    <t>CBRT ForexBuying, bulletin 2020/232</t>
  </si>
  <si>
    <t>CBRT ForexBuying, bulletin 2020/233</t>
  </si>
  <si>
    <t>CBRT ForexBuying, bulletin 2020/234</t>
  </si>
  <si>
    <t>CBRT ForexBuying, bulletin 2020/235</t>
  </si>
  <si>
    <t>CBRT ForexBuying, bulletin 2020/236</t>
  </si>
  <si>
    <t>CBRT ForexBuying, bulletin 2020/237</t>
  </si>
  <si>
    <t>CBRT ForexBuying, bulletin 2020/238</t>
  </si>
  <si>
    <t>CBRT ForexBuying, bulletin 2020/239</t>
  </si>
  <si>
    <t>CBRT ForexBuying, bulletin 2020/240</t>
  </si>
  <si>
    <t>CBRT ForexBuying, bulletin 2020/241</t>
  </si>
  <si>
    <t>CBRT ForexBuying, bulletin 2020/242</t>
  </si>
  <si>
    <t>CBRT ForexBuying, bulletin 2020/243</t>
  </si>
  <si>
    <t>CBRT ForexBuying, bulletin 2020/244</t>
  </si>
  <si>
    <t>CBRT ForexBuying, bulletin 2020/245</t>
  </si>
  <si>
    <t>CBRT ForexBuying, bulletin 2020/246</t>
  </si>
  <si>
    <t>CBRT ForexBuying, bulletin 2020/247</t>
  </si>
  <si>
    <t>CBRT ForexBuying, bulletin 2020/248</t>
  </si>
  <si>
    <t>CBRT ForexBuying, bulletin 2020/249</t>
  </si>
  <si>
    <t>CBRT ForexBuying, bulletin 2020/250</t>
  </si>
  <si>
    <t>CBRT ForexBuying, bulletin 2021/1</t>
  </si>
  <si>
    <t>CBRT ForexBuying, bulletin 2021/2</t>
  </si>
  <si>
    <t>CBRT ForexBuying, bulletin 2021/3</t>
  </si>
  <si>
    <t>CBRT ForexBuying, bulletin 2021/4</t>
  </si>
  <si>
    <t>CBRT ForexBuying, bulletin 2021/5</t>
  </si>
  <si>
    <t>CBRT ForexBuying, bulletin 2021/6</t>
  </si>
  <si>
    <t>CBRT ForexBuying, bulletin 2021/7</t>
  </si>
  <si>
    <t>CBRT ForexBuying, bulletin 2021/8</t>
  </si>
  <si>
    <t>CBRT ForexBuying, bulletin 2021/9</t>
  </si>
  <si>
    <t>CBRT ForexBuying, bulletin 2021/10</t>
  </si>
  <si>
    <t>CBRT ForexBuying, bulletin 2021/11</t>
  </si>
  <si>
    <t>CBRT ForexBuying, bulletin 2021/12</t>
  </si>
  <si>
    <t>CBRT ForexBuying, bulletin 2021/13</t>
  </si>
  <si>
    <t>CBRT ForexBuying, bulletin 2021/14</t>
  </si>
  <si>
    <t>CBRT ForexBuying, bulletin 2021/15</t>
  </si>
  <si>
    <t>CBRT ForexBuying, bulletin 2021/16</t>
  </si>
  <si>
    <t>CBRT ForexBuying, bulletin 2021/17</t>
  </si>
  <si>
    <t>CBRT ForexBuying, bulletin 2021/18</t>
  </si>
  <si>
    <t>CBRT ForexBuying, bulletin 2021/19</t>
  </si>
  <si>
    <t>CBRT ForexBuying, bulletin 2021/20</t>
  </si>
  <si>
    <t>CBRT ForexBuying, bulletin 2021/21</t>
  </si>
  <si>
    <t>CBRT ForexBuying, bulletin 2021/22</t>
  </si>
  <si>
    <t>CBRT ForexBuying, bulletin 2021/23</t>
  </si>
  <si>
    <t>CBRT ForexBuying, bulletin 2021/24</t>
  </si>
  <si>
    <t>CBRT ForexBuying, bulletin 2021/25</t>
  </si>
  <si>
    <t>CBRT ForexBuying, bulletin 2021/26</t>
  </si>
  <si>
    <t>CBRT ForexBuying, bulletin 2021/27</t>
  </si>
  <si>
    <t>CBRT ForexBuying, bulletin 2021/28</t>
  </si>
  <si>
    <t>CBRT ForexBuying, bulletin 2021/29</t>
  </si>
  <si>
    <t>CBRT ForexBuying, bulletin 2021/30</t>
  </si>
  <si>
    <t>CBRT ForexBuying, bulletin 2021/31</t>
  </si>
  <si>
    <t>CBRT ForexBuying, bulletin 2021/32</t>
  </si>
  <si>
    <t>CBRT ForexBuying, bulletin 2021/33</t>
  </si>
  <si>
    <t>CBRT ForexBuying, bulletin 2021/34</t>
  </si>
  <si>
    <t>CBRT ForexBuying, bulletin 2021/35</t>
  </si>
  <si>
    <t>CBRT ForexBuying, bulletin 2021/36</t>
  </si>
  <si>
    <t>CBRT ForexBuying, bulletin 2021/37</t>
  </si>
  <si>
    <t>CBRT ForexBuying, bulletin 2021/38</t>
  </si>
  <si>
    <t>CBRT ForexBuying, bulletin 2021/39</t>
  </si>
  <si>
    <t>CBRT ForexBuying, bulletin 2021/40</t>
  </si>
  <si>
    <t>CBRT ForexBuying, bulletin 2021/41</t>
  </si>
  <si>
    <t>CBRT ForexBuying, bulletin 2021/42</t>
  </si>
  <si>
    <t>CBRT ForexBuying, bulletin 2021/43</t>
  </si>
  <si>
    <t>CBRT ForexBuying, bulletin 2021/44</t>
  </si>
  <si>
    <t>CBRT ForexBuying, bulletin 2021/45</t>
  </si>
  <si>
    <t>CBRT ForexBuying, bulletin 2021/46</t>
  </si>
  <si>
    <t>CBRT ForexBuying, bulletin 2021/47</t>
  </si>
  <si>
    <t>CBRT ForexBuying, bulletin 2021/48</t>
  </si>
  <si>
    <t>CBRT ForexBuying, bulletin 2021/49</t>
  </si>
  <si>
    <t>CBRT ForexBuying, bulletin 2021/50</t>
  </si>
  <si>
    <t>CBRT ForexBuying, bulletin 2021/51</t>
  </si>
  <si>
    <t>CBRT ForexBuying, bulletin 2021/52</t>
  </si>
  <si>
    <t>CBRT ForexBuying, bulletin 2021/53</t>
  </si>
  <si>
    <t>CBRT ForexBuying, bulletin 2021/54</t>
  </si>
  <si>
    <t>CBRT ForexBuying, bulletin 2021/55</t>
  </si>
  <si>
    <t>CBRT ForexBuying, bulletin 2021/56</t>
  </si>
  <si>
    <t>CBRT ForexBuying, bulletin 2021/57</t>
  </si>
  <si>
    <t>CBRT ForexBuying, bulletin 2021/58</t>
  </si>
  <si>
    <t>CBRT ForexBuying, bulletin 2021/59</t>
  </si>
  <si>
    <t>CBRT ForexBuying, bulletin 2021/60</t>
  </si>
  <si>
    <t>CBRT ForexBuying, bulletin 2021/61</t>
  </si>
  <si>
    <t>CBRT ForexBuying, bulletin 2021/62</t>
  </si>
  <si>
    <t>CBRT ForexBuying, bulletin 2021/63</t>
  </si>
  <si>
    <t>CBRT ForexBuying, bulletin 2021/64</t>
  </si>
  <si>
    <t>CBRT ForexBuying, bulletin 2021/65</t>
  </si>
  <si>
    <t>CBRT ForexBuying, bulletin 2021/66</t>
  </si>
  <si>
    <t>CBRT ForexBuying, bulletin 2021/67</t>
  </si>
  <si>
    <t>CBRT ForexBuying, bulletin 2021/68</t>
  </si>
  <si>
    <t>CBRT ForexBuying, bulletin 2021/69</t>
  </si>
  <si>
    <t>CBRT ForexBuying, bulletin 2021/70</t>
  </si>
  <si>
    <t>CBRT ForexBuying, bulletin 2021/71</t>
  </si>
  <si>
    <t>CBRT ForexBuying, bulletin 2021/72</t>
  </si>
  <si>
    <t>CBRT ForexBuying, bulletin 2021/73</t>
  </si>
  <si>
    <t>CBRT ForexBuying, bulletin 2021/74</t>
  </si>
  <si>
    <t>CBRT ForexBuying, bulletin 2021/75</t>
  </si>
  <si>
    <t>CBRT ForexBuying, bulletin 2021/76</t>
  </si>
  <si>
    <t>CBRT ForexBuying, bulletin 2021/77</t>
  </si>
  <si>
    <t>CBRT ForexBuying, bulletin 2021/78</t>
  </si>
  <si>
    <t>CBRT ForexBuying, bulletin 2021/79</t>
  </si>
  <si>
    <t>CBRT ForexBuying, bulletin 2021/80</t>
  </si>
  <si>
    <t>CBRT ForexBuying, bulletin 2021/81</t>
  </si>
  <si>
    <t>CBRT ForexBuying, bulletin 2021/82</t>
  </si>
  <si>
    <t>CBRT ForexBuying, bulletin 2021/83</t>
  </si>
  <si>
    <t>CBRT ForexBuying, bulletin 2021/84</t>
  </si>
  <si>
    <t>CBRT ForexBuying, bulletin 2021/85</t>
  </si>
  <si>
    <t>CBRT ForexBuying, bulletin 2021/86</t>
  </si>
  <si>
    <t>CBRT ForexBuying, bulletin 2021/87</t>
  </si>
  <si>
    <t>CBRT ForexBuying, bulletin 2021/88</t>
  </si>
  <si>
    <t>CBRT ForexBuying, bulletin 2021/89</t>
  </si>
  <si>
    <t>CBRT ForexBuying, bulletin 2021/90</t>
  </si>
  <si>
    <t>CBRT ForexBuying, bulletin 2021/91</t>
  </si>
  <si>
    <t>CBRT ForexBuying, bulletin 2021/92</t>
  </si>
  <si>
    <t>CBRT ForexBuying, bulletin 2021/93</t>
  </si>
  <si>
    <t>CBRT ForexBuying, bulletin 2021/94</t>
  </si>
  <si>
    <t>CBRT ForexBuying, bulletin 2021/95</t>
  </si>
  <si>
    <t>CBRT ForexBuying, bulletin 2021/96</t>
  </si>
  <si>
    <t>CBRT ForexBuying, bulletin 2021/97</t>
  </si>
  <si>
    <t>CBRT ForexBuying, bulletin 2021/98</t>
  </si>
  <si>
    <t>CBRT ForexBuying, bulletin 2021/99</t>
  </si>
  <si>
    <t>CBRT ForexBuying, bulletin 2021/100</t>
  </si>
  <si>
    <t>CBRT ForexBuying, bulletin 2021/101</t>
  </si>
  <si>
    <t>CBRT ForexBuying, bulletin 2021/102</t>
  </si>
  <si>
    <t>CBRT ForexBuying, bulletin 2021/103</t>
  </si>
  <si>
    <t>CBRT ForexBuying, bulletin 2021/104</t>
  </si>
  <si>
    <t>CBRT ForexBuying, bulletin 2021/105</t>
  </si>
  <si>
    <t>CBRT ForexBuying, bulletin 2021/106</t>
  </si>
  <si>
    <t>CBRT ForexBuying, bulletin 2021/107</t>
  </si>
  <si>
    <t>CBRT ForexBuying, bulletin 2021/108</t>
  </si>
  <si>
    <t>CBRT ForexBuying, bulletin 2021/109</t>
  </si>
  <si>
    <t>CBRT ForexBuying, bulletin 2021/110</t>
  </si>
  <si>
    <t>CBRT ForexBuying, bulletin 2021/111</t>
  </si>
  <si>
    <t>CBRT ForexBuying, bulletin 2021/112</t>
  </si>
  <si>
    <t>CBRT ForexBuying, bulletin 2021/113</t>
  </si>
  <si>
    <t>CBRT ForexBuying, bulletin 2021/114</t>
  </si>
  <si>
    <t>CBRT ForexBuying, bulletin 2021/115</t>
  </si>
  <si>
    <t>CBRT ForexBuying, bulletin 2021/116</t>
  </si>
  <si>
    <t>CBRT ForexBuying, bulletin 2021/117</t>
  </si>
  <si>
    <t>CBRT ForexBuying, bulletin 2021/118</t>
  </si>
  <si>
    <t>CBRT ForexBuying, bulletin 2021/119</t>
  </si>
  <si>
    <t>CBRT ForexBuying, bulletin 2021/120</t>
  </si>
  <si>
    <t>CBRT ForexBuying, bulletin 2021/121</t>
  </si>
  <si>
    <t>CBRT ForexBuying, bulletin 2021/122</t>
  </si>
  <si>
    <t>CBRT ForexBuying, bulletin 2021/123</t>
  </si>
  <si>
    <t>CBRT ForexBuying, bulletin 2021/124</t>
  </si>
  <si>
    <t>CBRT ForexBuying, bulletin 2021/125</t>
  </si>
  <si>
    <t>CBRT ForexBuying, bulletin 2021/126</t>
  </si>
  <si>
    <t>CBRT ForexBuying, bulletin 2021/127</t>
  </si>
  <si>
    <t>CBRT ForexBuying, bulletin 2021/128</t>
  </si>
  <si>
    <t>CBRT ForexBuying, bulletin 2021/129</t>
  </si>
  <si>
    <t>CBRT ForexBuying, bulletin 2021/130</t>
  </si>
  <si>
    <t>CBRT ForexBuying, bulletin 2021/131</t>
  </si>
  <si>
    <t>CBRT ForexBuying, bulletin 2021/132</t>
  </si>
  <si>
    <t>CBRT ForexBuying, bulletin 2021/133</t>
  </si>
  <si>
    <t>CBRT ForexBuying, bulletin 2021/134</t>
  </si>
  <si>
    <t>CBRT ForexBuying, bulletin 2021/135</t>
  </si>
  <si>
    <t>CBRT ForexBuying, bulletin 2021/136</t>
  </si>
  <si>
    <t>CBRT ForexBuying, bulletin 2021/137</t>
  </si>
  <si>
    <t>CBRT ForexBuying, bulletin 2021/138</t>
  </si>
  <si>
    <t>CBRT ForexBuying, bulletin 2021/139</t>
  </si>
  <si>
    <t>CBRT ForexBuying, bulletin 2021/140</t>
  </si>
  <si>
    <t>CBRT ForexBuying, bulletin 2021/141</t>
  </si>
  <si>
    <t>CBRT ForexBuying, bulletin 2021/142</t>
  </si>
  <si>
    <t>CBRT ForexBuying, bulletin 2021/143</t>
  </si>
  <si>
    <t>CBRT ForexBuying, bulletin 2021/144</t>
  </si>
  <si>
    <t>CBRT ForexBuying, bulletin 2021/145</t>
  </si>
  <si>
    <t>CBRT ForexBuying, bulletin 2021/146</t>
  </si>
  <si>
    <t>CBRT ForexBuying, bulletin 2021/147</t>
  </si>
  <si>
    <t>CBRT ForexBuying, bulletin 2021/148</t>
  </si>
  <si>
    <t>CBRT ForexBuying, bulletin 2021/149</t>
  </si>
  <si>
    <t>CBRT ForexBuying, bulletin 2021/150</t>
  </si>
  <si>
    <t>CBRT ForexBuying, bulletin 2021/151</t>
  </si>
  <si>
    <t>CBRT ForexBuying, bulletin 2021/152</t>
  </si>
  <si>
    <t>CBRT ForexBuying, bulletin 2021/153</t>
  </si>
  <si>
    <t>CBRT ForexBuying, bulletin 2021/154</t>
  </si>
  <si>
    <t>CBRT ForexBuying, bulletin 2021/155</t>
  </si>
  <si>
    <t>CBRT ForexBuying, bulletin 2021/156</t>
  </si>
  <si>
    <t>CBRT ForexBuying, bulletin 2021/157</t>
  </si>
  <si>
    <t>CBRT ForexBuying, bulletin 2021/158</t>
  </si>
  <si>
    <t>CBRT ForexBuying, bulletin 2021/159</t>
  </si>
  <si>
    <t>CBRT ForexBuying, bulletin 2021/160</t>
  </si>
  <si>
    <t>CBRT ForexBuying, bulletin 2021/161</t>
  </si>
  <si>
    <t>CBRT ForexBuying, bulletin 2021/162</t>
  </si>
  <si>
    <t>CBRT ForexBuying, bulletin 2021/163</t>
  </si>
  <si>
    <t>CBRT ForexBuying, bulletin 2021/164</t>
  </si>
  <si>
    <t>CBRT ForexBuying, bulletin 2021/165</t>
  </si>
  <si>
    <t>CBRT ForexBuying, bulletin 2021/166</t>
  </si>
  <si>
    <t>CBRT ForexBuying, bulletin 2021/167</t>
  </si>
  <si>
    <t>CBRT ForexBuying, bulletin 2021/168</t>
  </si>
  <si>
    <t>CBRT ForexBuying, bulletin 2021/169</t>
  </si>
  <si>
    <t>CBRT ForexBuying, bulletin 2021/170</t>
  </si>
  <si>
    <t>CBRT ForexBuying, bulletin 2021/171</t>
  </si>
  <si>
    <t>CBRT ForexBuying, bulletin 2021/172</t>
  </si>
  <si>
    <t>CBRT ForexBuying, bulletin 2021/173</t>
  </si>
  <si>
    <t>CBRT ForexBuying, bulletin 2021/174</t>
  </si>
  <si>
    <t>CBRT ForexBuying, bulletin 2021/175</t>
  </si>
  <si>
    <t>CBRT ForexBuying, bulletin 2021/176</t>
  </si>
  <si>
    <t>CBRT ForexBuying, bulletin 2021/177</t>
  </si>
  <si>
    <t>CBRT ForexBuying, bulletin 2021/178</t>
  </si>
  <si>
    <t>CBRT ForexBuying, bulletin 2021/179</t>
  </si>
  <si>
    <t>CBRT ForexBuying, bulletin 2021/180</t>
  </si>
  <si>
    <t>CBRT ForexBuying, bulletin 2021/181</t>
  </si>
  <si>
    <t>CBRT ForexBuying, bulletin 2021/182</t>
  </si>
  <si>
    <t>CBRT ForexBuying, bulletin 2021/183</t>
  </si>
  <si>
    <t>CBRT ForexBuying, bulletin 2021/184</t>
  </si>
  <si>
    <t>CBRT ForexBuying, bulletin 2021/185</t>
  </si>
  <si>
    <t>CBRT ForexBuying, bulletin 2021/186</t>
  </si>
  <si>
    <t>CBRT ForexBuying, bulletin 2021/187</t>
  </si>
  <si>
    <t>CBRT ForexBuying, bulletin 2021/188</t>
  </si>
  <si>
    <t>CBRT ForexBuying, bulletin 2021/189</t>
  </si>
  <si>
    <t>CBRT ForexBuying, bulletin 2021/190</t>
  </si>
  <si>
    <t>CBRT ForexBuying, bulletin 2021/191</t>
  </si>
  <si>
    <t>CBRT ForexBuying, bulletin 2021/192</t>
  </si>
  <si>
    <t>CBRT ForexBuying, bulletin 2021/193</t>
  </si>
  <si>
    <t>CBRT ForexBuying, bulletin 2021/194</t>
  </si>
  <si>
    <t>CBRT ForexBuying, bulletin 2021/195</t>
  </si>
  <si>
    <t>CBRT ForexBuying, bulletin 2021/196</t>
  </si>
  <si>
    <t>CBRT ForexBuying, bulletin 2021/197</t>
  </si>
  <si>
    <t>CBRT ForexBuying, bulletin 2021/198</t>
  </si>
  <si>
    <t>CBRT ForexBuying, bulletin 2021/199</t>
  </si>
  <si>
    <t>CBRT ForexBuying, bulletin 2021/200</t>
  </si>
  <si>
    <t>CBRT ForexBuying, bulletin 2021/201</t>
  </si>
  <si>
    <t>CBRT ForexBuying, bulletin 2021/202</t>
  </si>
  <si>
    <t>CBRT ForexBuying, bulletin 2021/203</t>
  </si>
  <si>
    <t>CBRT ForexBuying, bulletin 2021/204</t>
  </si>
  <si>
    <t>CBRT ForexBuying, bulletin 2021/205</t>
  </si>
  <si>
    <t>CBRT ForexBuying, bulletin 2021/206</t>
  </si>
  <si>
    <t>CBRT ForexBuying, bulletin 2021/207</t>
  </si>
  <si>
    <t>CBRT ForexBuying, bulletin 2021/208</t>
  </si>
  <si>
    <t>CBRT ForexBuying, bulletin 2021/209</t>
  </si>
  <si>
    <t>CBRT ForexBuying, bulletin 2021/210</t>
  </si>
  <si>
    <t>CBRT ForexBuying, bulletin 2021/211</t>
  </si>
  <si>
    <t>CBRT ForexBuying, bulletin 2021/212</t>
  </si>
  <si>
    <t>CBRT ForexBuying, bulletin 2021/213</t>
  </si>
  <si>
    <t>CBRT ForexBuying, bulletin 2021/214</t>
  </si>
  <si>
    <t>CBRT ForexBuying, bulletin 2021/215</t>
  </si>
  <si>
    <t>CBRT ForexBuying, bulletin 2021/216</t>
  </si>
  <si>
    <t>CBRT ForexBuying, bulletin 2021/217</t>
  </si>
  <si>
    <t>CBRT ForexBuying, bulletin 2021/218</t>
  </si>
  <si>
    <t>CBRT ForexBuying, bulletin 2021/219</t>
  </si>
  <si>
    <t>CBRT ForexBuying, bulletin 2021/220</t>
  </si>
  <si>
    <t>CBRT ForexBuying, bulletin 2021/221</t>
  </si>
  <si>
    <t>CBRT ForexBuying, bulletin 2021/222</t>
  </si>
  <si>
    <t>CBRT ForexBuying, bulletin 2021/223</t>
  </si>
  <si>
    <t>CBRT ForexBuying, bulletin 2021/224</t>
  </si>
  <si>
    <t>CBRT ForexBuying, bulletin 2021/225</t>
  </si>
  <si>
    <t>CBRT ForexBuying, bulletin 2021/226</t>
  </si>
  <si>
    <t>CBRT ForexBuying, bulletin 2021/227</t>
  </si>
  <si>
    <t>CBRT ForexBuying, bulletin 2021/228</t>
  </si>
  <si>
    <t>CBRT ForexBuying, bulletin 2021/229</t>
  </si>
  <si>
    <t>CBRT ForexBuying, bulletin 2021/230</t>
  </si>
  <si>
    <t>CBRT ForexBuying, bulletin 2021/231</t>
  </si>
  <si>
    <t>CBRT ForexBuying, bulletin 2021/232</t>
  </si>
  <si>
    <t>CBRT ForexBuying, bulletin 2021/233</t>
  </si>
  <si>
    <t>CBRT ForexBuying, bulletin 2021/234</t>
  </si>
  <si>
    <t>CBRT ForexBuying, bulletin 2021/235</t>
  </si>
  <si>
    <t>CBRT ForexBuying, bulletin 2021/236</t>
  </si>
  <si>
    <t>CBRT ForexBuying, bulletin 2021/237</t>
  </si>
  <si>
    <t>CBRT ForexBuying, bulletin 2021/238</t>
  </si>
  <si>
    <t>CBRT ForexBuying, bulletin 2021/239</t>
  </si>
  <si>
    <t>CBRT ForexBuying, bulletin 2021/240</t>
  </si>
  <si>
    <t>CBRT ForexBuying, bulletin 2021/241</t>
  </si>
  <si>
    <t>CBRT ForexBuying, bulletin 2021/242</t>
  </si>
  <si>
    <t>CBRT ForexBuying, bulletin 2021/243</t>
  </si>
  <si>
    <t>CBRT ForexBuying, bulletin 2021/244</t>
  </si>
  <si>
    <t>CBRT ForexBuying, bulletin 2021/245</t>
  </si>
  <si>
    <t>CBRT ForexBuying, bulletin 2021/246</t>
  </si>
  <si>
    <t>CBRT ForexBuying, bulletin 2022/1</t>
  </si>
  <si>
    <t>CBRT ForexBuying, bulletin 2022/2</t>
  </si>
  <si>
    <t>CBRT ForexBuying, bulletin 2022/3</t>
  </si>
  <si>
    <t>CBRT ForexBuying, bulletin 2022/4</t>
  </si>
  <si>
    <t>CBRT ForexBuying, bulletin 2022/5</t>
  </si>
  <si>
    <t>CBRT ForexBuying, bulletin 2022/6</t>
  </si>
  <si>
    <t>CBRT ForexBuying, bulletin 2022/7</t>
  </si>
  <si>
    <t>CBRT ForexBuying, bulletin 2022/8</t>
  </si>
  <si>
    <t>CBRT ForexBuying, bulletin 2022/9</t>
  </si>
  <si>
    <t>CBRT ForexBuying, bulletin 2022/10</t>
  </si>
  <si>
    <t>CBRT ForexBuying, bulletin 2022/11</t>
  </si>
  <si>
    <t>CBRT ForexBuying, bulletin 2022/12</t>
  </si>
  <si>
    <t>CBRT ForexBuying, bulletin 2022/13</t>
  </si>
  <si>
    <t>CBRT ForexBuying, bulletin 2022/14</t>
  </si>
  <si>
    <t>CBRT ForexBuying, bulletin 2022/15</t>
  </si>
  <si>
    <t>CBRT ForexBuying, bulletin 2022/16</t>
  </si>
  <si>
    <t>CBRT ForexBuying, bulletin 2022/17</t>
  </si>
  <si>
    <t>CBRT ForexBuying, bulletin 2022/18</t>
  </si>
  <si>
    <t>CBRT ForexBuying, bulletin 2022/19</t>
  </si>
  <si>
    <t>CBRT ForexBuying, bulletin 2022/20</t>
  </si>
  <si>
    <t>CBRT ForexBuying, bulletin 2022/21</t>
  </si>
  <si>
    <t>CBRT ForexBuying, bulletin 2022/22</t>
  </si>
  <si>
    <t>CBRT ForexBuying, bulletin 2022/23</t>
  </si>
  <si>
    <t>CBRT ForexBuying, bulletin 2022/24</t>
  </si>
  <si>
    <t>CBRT ForexBuying, bulletin 2022/25</t>
  </si>
  <si>
    <t>CBRT ForexBuying, bulletin 2022/26</t>
  </si>
  <si>
    <t>CBRT ForexBuying, bulletin 2022/27</t>
  </si>
  <si>
    <t>CBRT ForexBuying, bulletin 2022/28</t>
  </si>
  <si>
    <t>CBRT ForexBuying, bulletin 2022/29</t>
  </si>
  <si>
    <t>CBRT ForexBuying, bulletin 2022/30</t>
  </si>
  <si>
    <t>CBRT ForexBuying, bulletin 2022/31</t>
  </si>
  <si>
    <t>CBRT ForexBuying, bulletin 2022/32</t>
  </si>
  <si>
    <t>CBRT ForexBuying, bulletin 2022/33</t>
  </si>
  <si>
    <t>CBRT ForexBuying, bulletin 2022/34</t>
  </si>
  <si>
    <t>CBRT ForexBuying, bulletin 2022/35</t>
  </si>
  <si>
    <t>CBRT ForexBuying, bulletin 2022/36</t>
  </si>
  <si>
    <t>CBRT ForexBuying, bulletin 2022/37</t>
  </si>
  <si>
    <t>CBRT ForexBuying, bulletin 2022/38</t>
  </si>
  <si>
    <t>CBRT ForexBuying, bulletin 2022/39</t>
  </si>
  <si>
    <t>CBRT ForexBuying, bulletin 2022/40</t>
  </si>
  <si>
    <t>CBRT ForexBuying, bulletin 2022/41</t>
  </si>
  <si>
    <t>CBRT ForexBuying, bulletin 2022/42</t>
  </si>
  <si>
    <t>CBRT ForexBuying, bulletin 2022/43</t>
  </si>
  <si>
    <t>CBRT ForexBuying, bulletin 2022/44</t>
  </si>
  <si>
    <t>CBRT ForexBuying, bulletin 2022/45</t>
  </si>
  <si>
    <t>CBRT ForexBuying, bulletin 2022/46</t>
  </si>
  <si>
    <t>CBRT ForexBuying, bulletin 2022/47</t>
  </si>
  <si>
    <t>CBRT ForexBuying, bulletin 2022/48</t>
  </si>
  <si>
    <t>CBRT ForexBuying, bulletin 2022/49</t>
  </si>
  <si>
    <t>CBRT ForexBuying, bulletin 2022/50</t>
  </si>
  <si>
    <t>CBRT ForexBuying, bulletin 2022/51</t>
  </si>
  <si>
    <t>CBRT ForexBuying, bulletin 2022/52</t>
  </si>
  <si>
    <t>CBRT ForexBuying, bulletin 2022/53</t>
  </si>
  <si>
    <t>CBRT ForexBuying, bulletin 2022/54</t>
  </si>
  <si>
    <t>CBRT ForexBuying, bulletin 2022/55</t>
  </si>
  <si>
    <t>CBRT ForexBuying, bulletin 2022/56</t>
  </si>
  <si>
    <t>CBRT ForexBuying, bulletin 2022/57</t>
  </si>
  <si>
    <t>CBRT ForexBuying, bulletin 2022/58</t>
  </si>
  <si>
    <t>CBRT ForexBuying, bulletin 2022/59</t>
  </si>
  <si>
    <t>CBRT ForexBuying, bulletin 2022/60</t>
  </si>
  <si>
    <t>CBRT ForexBuying, bulletin 2022/61</t>
  </si>
  <si>
    <t>CBRT ForexBuying, bulletin 2022/62</t>
  </si>
  <si>
    <t>CBRT ForexBuying, bulletin 2022/63</t>
  </si>
  <si>
    <t>CBRT ForexBuying, bulletin 2022/64</t>
  </si>
  <si>
    <t>CBRT ForexBuying, bulletin 2022/65</t>
  </si>
  <si>
    <t>CBRT ForexBuying, bulletin 2022/66</t>
  </si>
  <si>
    <t>CBRT ForexBuying, bulletin 2022/67</t>
  </si>
  <si>
    <t>CBRT ForexBuying, bulletin 2022/68</t>
  </si>
  <si>
    <t>CBRT ForexBuying, bulletin 2022/69</t>
  </si>
  <si>
    <t>CBRT ForexBuying, bulletin 2022/70</t>
  </si>
  <si>
    <t>CBRT ForexBuying, bulletin 2022/71</t>
  </si>
  <si>
    <t>CBRT ForexBuying, bulletin 2022/72</t>
  </si>
  <si>
    <t>CBRT ForexBuying, bulletin 2022/73</t>
  </si>
  <si>
    <t>CBRT ForexBuying, bulletin 2022/74</t>
  </si>
  <si>
    <t>CBRT ForexBuying, bulletin 2022/75</t>
  </si>
  <si>
    <t>CBRT ForexBuying, bulletin 2022/76</t>
  </si>
  <si>
    <t>CBRT ForexBuying, bulletin 2022/77</t>
  </si>
  <si>
    <t>CBRT ForexBuying, bulletin 2022/78</t>
  </si>
  <si>
    <t>CBRT ForexBuying, bulletin 2022/79</t>
  </si>
  <si>
    <t>CBRT ForexBuying, bulletin 2022/80</t>
  </si>
  <si>
    <t>CBRT ForexBuying, bulletin 2022/81</t>
  </si>
  <si>
    <t>CBRT ForexBuying, bulletin 2022/82</t>
  </si>
  <si>
    <t>CBRT ForexBuying, bulletin 2022/83</t>
  </si>
  <si>
    <t>CBRT ForexBuying, bulletin 2022/84</t>
  </si>
  <si>
    <t>CBRT ForexBuying, bulletin 2022/85</t>
  </si>
  <si>
    <t>CBRT ForexBuying, bulletin 2022/86</t>
  </si>
  <si>
    <t>CBRT ForexBuying, bulletin 2022/87</t>
  </si>
  <si>
    <t>CBRT ForexBuying, bulletin 2022/88</t>
  </si>
  <si>
    <t>CBRT ForexBuying, bulletin 2022/89</t>
  </si>
  <si>
    <t>CBRT ForexBuying, bulletin 2022/90</t>
  </si>
  <si>
    <t>CBRT ForexBuying, bulletin 2022/91</t>
  </si>
  <si>
    <t>CBRT ForexBuying, bulletin 2022/92</t>
  </si>
  <si>
    <t>CBRT ForexBuying, bulletin 2022/93</t>
  </si>
  <si>
    <t>CBRT ForexBuying, bulletin 2022/94</t>
  </si>
  <si>
    <t>CBRT ForexBuying, bulletin 2022/95</t>
  </si>
  <si>
    <t>CBRT ForexBuying, bulletin 2022/96</t>
  </si>
  <si>
    <t>CBRT ForexBuying, bulletin 2022/97</t>
  </si>
  <si>
    <t>CBRT ForexBuying, bulletin 2022/98</t>
  </si>
  <si>
    <t>CBRT ForexBuying, bulletin 2022/99</t>
  </si>
  <si>
    <t>CBRT ForexBuying, bulletin 2022/100</t>
  </si>
  <si>
    <t>CBRT ForexBuying, bulletin 2022/101</t>
  </si>
  <si>
    <t>CBRT ForexBuying, bulletin 2022/102</t>
  </si>
  <si>
    <t>CBRT ForexBuying, bulletin 2022/103</t>
  </si>
  <si>
    <t>CBRT ForexBuying, bulletin 2022/104</t>
  </si>
  <si>
    <t>CBRT ForexBuying, bulletin 2022/105</t>
  </si>
  <si>
    <t>CBRT ForexBuying, bulletin 2022/106</t>
  </si>
  <si>
    <t>CBRT ForexBuying, bulletin 2022/107</t>
  </si>
  <si>
    <t>CBRT ForexBuying, bulletin 2022/108</t>
  </si>
  <si>
    <t>CBRT ForexBuying, bulletin 2022/109</t>
  </si>
  <si>
    <t>CBRT ForexBuying, bulletin 2022/110</t>
  </si>
  <si>
    <t>CBRT ForexBuying, bulletin 2022/111</t>
  </si>
  <si>
    <t>CBRT ForexBuying, bulletin 2022/112</t>
  </si>
  <si>
    <t>CBRT ForexBuying, bulletin 2022/113</t>
  </si>
  <si>
    <t>CBRT ForexBuying, bulletin 2022/114</t>
  </si>
  <si>
    <t>CBRT ForexBuying, bulletin 2022/115</t>
  </si>
  <si>
    <t>CBRT ForexBuying, bulletin 2022/116</t>
  </si>
  <si>
    <t>CBRT ForexBuying, bulletin 2022/117</t>
  </si>
  <si>
    <t>CBRT ForexBuying, bulletin 2022/118</t>
  </si>
  <si>
    <t>CBRT ForexBuying, bulletin 2022/119</t>
  </si>
  <si>
    <t>CBRT ForexBuying, bulletin 2022/120</t>
  </si>
  <si>
    <t>CBRT ForexBuying, bulletin 2022/121</t>
  </si>
  <si>
    <t>CBRT ForexBuying, bulletin 2022/122</t>
  </si>
  <si>
    <t>CBRT ForexBuying, bulletin 2022/123</t>
  </si>
  <si>
    <t>CBRT ForexBuying, bulletin 2022/124</t>
  </si>
  <si>
    <t>CBRT ForexBuying, bulletin 2022/125</t>
  </si>
  <si>
    <t>CBRT ForexBuying, bulletin 2022/126</t>
  </si>
  <si>
    <t>CBRT ForexBuying, bulletin 2022/127</t>
  </si>
  <si>
    <t>CBRT ForexBuying, bulletin 2022/128</t>
  </si>
  <si>
    <t>CBRT ForexBuying, bulletin 2022/129</t>
  </si>
  <si>
    <t>CBRT ForexBuying, bulletin 2022/130</t>
  </si>
  <si>
    <t>CBRT ForexBuying, bulletin 2022/131</t>
  </si>
  <si>
    <t>CBRT ForexBuying, bulletin 2022/132</t>
  </si>
  <si>
    <t>CBRT ForexBuying, bulletin 2022/133</t>
  </si>
  <si>
    <t>CBRT ForexBuying, bulletin 2022/134</t>
  </si>
  <si>
    <t>CBRT ForexBuying, bulletin 2022/135</t>
  </si>
  <si>
    <t>CBRT ForexBuying, bulletin 2022/136</t>
  </si>
  <si>
    <t>CBRT ForexBuying, bulletin 2022/137</t>
  </si>
  <si>
    <t>CBRT ForexBuying, bulletin 2022/138</t>
  </si>
  <si>
    <t>CBRT ForexBuying, bulletin 2022/139</t>
  </si>
  <si>
    <t>CBRT ForexBuying, bulletin 2022/140</t>
  </si>
  <si>
    <t>CBRT ForexBuying, bulletin 2022/141</t>
  </si>
  <si>
    <t>CBRT ForexBuying, bulletin 2022/142</t>
  </si>
  <si>
    <t>CBRT ForexBuying, bulletin 2022/143</t>
  </si>
  <si>
    <t>CBRT ForexBuying, bulletin 2022/144</t>
  </si>
  <si>
    <t>CBRT ForexBuying, bulletin 2022/145</t>
  </si>
  <si>
    <t>CBRT ForexBuying, bulletin 2022/146</t>
  </si>
  <si>
    <t>CBRT ForexBuying, bulletin 2022/147</t>
  </si>
  <si>
    <t>CBRT ForexBuying, bulletin 2022/148</t>
  </si>
  <si>
    <t>CBRT ForexBuying, bulletin 2022/149</t>
  </si>
  <si>
    <t>CBRT ForexBuying, bulletin 2022/150</t>
  </si>
  <si>
    <t>CBRT ForexBuying, bulletin 2022/151</t>
  </si>
  <si>
    <t>CBRT ForexBuying, bulletin 2022/152</t>
  </si>
  <si>
    <t>CBRT ForexBuying, bulletin 2022/153</t>
  </si>
  <si>
    <t>CBRT ForexBuying, bulletin 2022/154</t>
  </si>
  <si>
    <t>CBRT ForexBuying, bulletin 2022/155</t>
  </si>
  <si>
    <t>CBRT ForexBuying, bulletin 2022/156</t>
  </si>
  <si>
    <t>CBRT ForexBuying, bulletin 2022/157</t>
  </si>
  <si>
    <t>CBRT ForexBuying, bulletin 2022/158</t>
  </si>
  <si>
    <t>CBRT ForexBuying, bulletin 2022/159</t>
  </si>
  <si>
    <t>CBRT ForexBuying, bulletin 2022/160</t>
  </si>
  <si>
    <t>CBRT ForexBuying, bulletin 2022/161</t>
  </si>
  <si>
    <t>CBRT ForexBuying, bulletin 2022/162</t>
  </si>
  <si>
    <t>CBRT ForexBuying, bulletin 2022/163</t>
  </si>
  <si>
    <t>CBRT ForexBuying, bulletin 2022/164</t>
  </si>
  <si>
    <t>CBRT ForexBuying, bulletin 2022/165</t>
  </si>
  <si>
    <t>CBRT ForexBuying, bulletin 2022/166</t>
  </si>
  <si>
    <t>CBRT ForexBuying, bulletin 2022/167</t>
  </si>
  <si>
    <t>CBRT ForexBuying, bulletin 2022/168</t>
  </si>
  <si>
    <t>CBRT ForexBuying, bulletin 2022/169</t>
  </si>
  <si>
    <t>CBRT ForexBuying, bulletin 2022/170</t>
  </si>
  <si>
    <t>CBRT ForexBuying, bulletin 2022/171</t>
  </si>
  <si>
    <t>CBRT ForexBuying, bulletin 2022/172</t>
  </si>
  <si>
    <t>CBRT ForexBuying, bulletin 2022/173</t>
  </si>
  <si>
    <t>CBRT ForexBuying, bulletin 2022/174</t>
  </si>
  <si>
    <t>CBRT ForexBuying, bulletin 2022/175</t>
  </si>
  <si>
    <t>CBRT ForexBuying, bulletin 2022/176</t>
  </si>
  <si>
    <t>CBRT ForexBuying, bulletin 2022/177</t>
  </si>
  <si>
    <t>CBRT ForexBuying, bulletin 2022/178</t>
  </si>
  <si>
    <t>CBRT ForexBuying, bulletin 2022/179</t>
  </si>
  <si>
    <t>CBRT ForexBuying, bulletin 2022/180</t>
  </si>
  <si>
    <t>CBRT ForexBuying, bulletin 2022/181</t>
  </si>
  <si>
    <t>CBRT ForexBuying, bulletin 2022/182</t>
  </si>
  <si>
    <t>CBRT ForexBuying, bulletin 2022/183</t>
  </si>
  <si>
    <t>CBRT ForexBuying, bulletin 2022/184</t>
  </si>
  <si>
    <t>CBRT ForexBuying, bulletin 2022/185</t>
  </si>
  <si>
    <t>CBRT ForexBuying, bulletin 2022/186</t>
  </si>
  <si>
    <t>CBRT ForexBuying, bulletin 2022/187</t>
  </si>
  <si>
    <t>CBRT ForexBuying, bulletin 2022/188</t>
  </si>
  <si>
    <t>CBRT ForexBuying, bulletin 2022/189</t>
  </si>
  <si>
    <t>CBRT ForexBuying, bulletin 2022/190</t>
  </si>
  <si>
    <t>CBRT ForexBuying, bulletin 2022/191</t>
  </si>
  <si>
    <t>CBRT ForexBuying, bulletin 2022/192</t>
  </si>
  <si>
    <t>CBRT ForexBuying, bulletin 2022/193</t>
  </si>
  <si>
    <t>CBRT ForexBuying, bulletin 2022/194</t>
  </si>
  <si>
    <t>CBRT ForexBuying, bulletin 2022/195</t>
  </si>
  <si>
    <t>CBRT ForexBuying, bulletin 2022/196</t>
  </si>
  <si>
    <t>CBRT ForexBuying, bulletin 2022/197</t>
  </si>
  <si>
    <t>CBRT ForexBuying, bulletin 2022/198</t>
  </si>
  <si>
    <t>CBRT ForexBuying, bulletin 2022/199</t>
  </si>
  <si>
    <t>CBRT ForexBuying, bulletin 2022/200</t>
  </si>
  <si>
    <t>CBRT ForexBuying, bulletin 2022/201</t>
  </si>
  <si>
    <t>CBRT ForexBuying, bulletin 2022/202</t>
  </si>
  <si>
    <t>CBRT ForexBuying, bulletin 2022/203</t>
  </si>
  <si>
    <t>CBRT ForexBuying, bulletin 2022/204</t>
  </si>
  <si>
    <t>CBRT ForexBuying, bulletin 2022/205</t>
  </si>
  <si>
    <t>CBRT ForexBuying, bulletin 2022/206</t>
  </si>
  <si>
    <t>CBRT ForexBuying, bulletin 2022/207</t>
  </si>
  <si>
    <t>CBRT ForexBuying, bulletin 2022/208</t>
  </si>
  <si>
    <t>CBRT ForexBuying, bulletin 2022/209</t>
  </si>
  <si>
    <t>CBRT ForexBuying, bulletin 2022/210</t>
  </si>
  <si>
    <t>CBRT ForexBuying, bulletin 2022/211</t>
  </si>
  <si>
    <t>CBRT ForexBuying, bulletin 2022/212</t>
  </si>
  <si>
    <t>CBRT ForexBuying, bulletin 2022/213</t>
  </si>
  <si>
    <t>CBRT ForexBuying, bulletin 2022/214</t>
  </si>
  <si>
    <t>CBRT ForexBuying, bulletin 2022/215</t>
  </si>
  <si>
    <t>CBRT ForexBuying, bulletin 2022/216</t>
  </si>
  <si>
    <t>CBRT ForexBuying, bulletin 2022/217</t>
  </si>
  <si>
    <t>CBRT ForexBuying, bulletin 2022/218</t>
  </si>
  <si>
    <t>CBRT ForexBuying, bulletin 2022/219</t>
  </si>
  <si>
    <t>CBRT ForexBuying, bulletin 2022/220</t>
  </si>
  <si>
    <t>CBRT ForexBuying, bulletin 2022/221</t>
  </si>
  <si>
    <t>CBRT ForexBuying, bulletin 2022/222</t>
  </si>
  <si>
    <t>CBRT ForexBuying, bulletin 2022/223</t>
  </si>
  <si>
    <t>CBRT ForexBuying, bulletin 2022/224</t>
  </si>
  <si>
    <t>CBRT ForexBuying, bulletin 2022/225</t>
  </si>
  <si>
    <t>CBRT ForexBuying, bulletin 2022/226</t>
  </si>
  <si>
    <t>CBRT ForexBuying, bulletin 2022/227</t>
  </si>
  <si>
    <t>CBRT ForexBuying, bulletin 2022/228</t>
  </si>
  <si>
    <t>CBRT ForexBuying, bulletin 2022/229</t>
  </si>
  <si>
    <t>CBRT ForexBuying, bulletin 2022/230</t>
  </si>
  <si>
    <t>CBRT ForexBuying, bulletin 2022/231</t>
  </si>
  <si>
    <t>CBRT ForexBuying, bulletin 2022/232</t>
  </si>
  <si>
    <t>CBRT ForexBuying, bulletin 2022/233</t>
  </si>
  <si>
    <t>CBRT ForexBuying, bulletin 2022/234</t>
  </si>
  <si>
    <t>CBRT ForexBuying, bulletin 2022/235</t>
  </si>
  <si>
    <t>CBRT ForexBuying, bulletin 2022/236</t>
  </si>
  <si>
    <t>CBRT ForexBuying, bulletin 2022/237</t>
  </si>
  <si>
    <t>CBRT ForexBuying, bulletin 2022/238</t>
  </si>
  <si>
    <t>CBRT ForexBuying, bulletin 2022/239</t>
  </si>
  <si>
    <t>CBRT ForexBuying, bulletin 2022/240</t>
  </si>
  <si>
    <t>CBRT ForexBuying, bulletin 2022/241</t>
  </si>
  <si>
    <t>CBRT ForexBuying, bulletin 2022/242</t>
  </si>
  <si>
    <t>CBRT ForexBuying, bulletin 2022/243</t>
  </si>
  <si>
    <t>CBRT ForexBuying, bulletin 2022/244</t>
  </si>
  <si>
    <t>CBRT ForexBuying, bulletin 2022/245</t>
  </si>
  <si>
    <t>CBRT ForexBuying, bulletin 2022/246</t>
  </si>
  <si>
    <t>CBRT ForexBuying, bulletin 2022/247</t>
  </si>
  <si>
    <t>CBRT ForexBuying, bulletin 2022/248</t>
  </si>
  <si>
    <t>CBRT ForexBuying, bulletin 2022/249</t>
  </si>
  <si>
    <t>CBRT ForexBuying, bulletin 2022/250</t>
  </si>
  <si>
    <t>CBRT ForexBuying, bulletin 2023/1</t>
  </si>
  <si>
    <t>CBRT ForexBuying, bulletin 2023/2</t>
  </si>
  <si>
    <t>CBRT ForexBuying, bulletin 2023/3</t>
  </si>
  <si>
    <t>CBRT ForexBuying, bulletin 2023/4</t>
  </si>
  <si>
    <t>CBRT ForexBuying, bulletin 2023/5</t>
  </si>
  <si>
    <t>CBRT ForexBuying, bulletin 2023/6</t>
  </si>
  <si>
    <t>CBRT ForexBuying, bulletin 2023/7</t>
  </si>
  <si>
    <t>CBRT ForexBuying, bulletin 2023/8</t>
  </si>
  <si>
    <t>CBRT ForexBuying, bulletin 2023/9</t>
  </si>
  <si>
    <t>CBRT ForexBuying, bulletin 2023/10</t>
  </si>
  <si>
    <t>CBRT ForexBuying, bulletin 2023/11</t>
  </si>
  <si>
    <t>CBRT ForexBuying, bulletin 2023/12</t>
  </si>
  <si>
    <t>CBRT ForexBuying, bulletin 2023/13</t>
  </si>
  <si>
    <t>CBRT ForexBuying, bulletin 2023/14</t>
  </si>
  <si>
    <t>CBRT ForexBuying, bulletin 2023/15</t>
  </si>
  <si>
    <t>CBRT ForexBuying, bulletin 2023/16</t>
  </si>
  <si>
    <t>CBRT ForexBuying, bulletin 2023/17</t>
  </si>
  <si>
    <t>CBRT ForexBuying, bulletin 2023/18</t>
  </si>
  <si>
    <t>CBRT ForexBuying, bulletin 2023/19</t>
  </si>
  <si>
    <t>CBRT ForexBuying, bulletin 2023/20</t>
  </si>
  <si>
    <t>CBRT ForexBuying, bulletin 2023/21</t>
  </si>
  <si>
    <t>CBRT ForexBuying, bulletin 2023/22</t>
  </si>
  <si>
    <t>CBRT ForexBuying, bulletin 2023/23</t>
  </si>
  <si>
    <t>CBRT ForexBuying, bulletin 2023/24</t>
  </si>
  <si>
    <t>CBRT ForexBuying, bulletin 2023/25</t>
  </si>
  <si>
    <t>CBRT ForexBuying, bulletin 2023/26</t>
  </si>
  <si>
    <t>CBRT ForexBuying, bulletin 2023/27</t>
  </si>
  <si>
    <t>CBRT ForexBuying, bulletin 2023/28</t>
  </si>
  <si>
    <t>CBRT ForexBuying, bulletin 2023/29</t>
  </si>
  <si>
    <t>CBRT ForexBuying, bulletin 2023/30</t>
  </si>
  <si>
    <t>CBRT ForexBuying, bulletin 2023/31</t>
  </si>
  <si>
    <t>CBRT ForexBuying, bulletin 2023/32</t>
  </si>
  <si>
    <t>CBRT ForexBuying, bulletin 2023/33</t>
  </si>
  <si>
    <t>CBRT ForexBuying, bulletin 2023/34</t>
  </si>
  <si>
    <t>CBRT ForexBuying, bulletin 2023/35</t>
  </si>
  <si>
    <t>CBRT ForexBuying, bulletin 2023/36</t>
  </si>
  <si>
    <t>CBRT ForexBuying, bulletin 2023/37</t>
  </si>
  <si>
    <t>CBRT ForexBuying, bulletin 2023/38</t>
  </si>
  <si>
    <t>CBRT ForexBuying, bulletin 2023/39</t>
  </si>
  <si>
    <t>CBRT ForexBuying, bulletin 2023/40</t>
  </si>
  <si>
    <t>CBRT ForexBuying, bulletin 2023/41</t>
  </si>
  <si>
    <t>CBRT ForexBuying, bulletin 2023/42</t>
  </si>
  <si>
    <t>CBRT ForexBuying, bulletin 2023/43</t>
  </si>
  <si>
    <t>CBRT ForexBuying, bulletin 2023/44</t>
  </si>
  <si>
    <t>CBRT ForexBuying, bulletin 2023/45</t>
  </si>
  <si>
    <t>CBRT ForexBuying, bulletin 2023/46</t>
  </si>
  <si>
    <t>CBRT ForexBuying, bulletin 2023/47</t>
  </si>
  <si>
    <t>CBRT ForexBuying, bulletin 2023/48</t>
  </si>
  <si>
    <t>CBRT ForexBuying, bulletin 2023/49</t>
  </si>
  <si>
    <t>CBRT ForexBuying, bulletin 2023/50</t>
  </si>
  <si>
    <t>CBRT ForexBuying, bulletin 2023/51</t>
  </si>
  <si>
    <t>CBRT ForexBuying, bulletin 2023/52</t>
  </si>
  <si>
    <t>CBRT ForexBuying, bulletin 2023/53</t>
  </si>
  <si>
    <t>CBRT ForexBuying, bulletin 2023/54</t>
  </si>
  <si>
    <t>CBRT ForexBuying, bulletin 2023/55</t>
  </si>
  <si>
    <t>CBRT ForexBuying, bulletin 2023/56</t>
  </si>
  <si>
    <t>CBRT ForexBuying, bulletin 2023/57</t>
  </si>
  <si>
    <t>CBRT ForexBuying, bulletin 2023/58</t>
  </si>
  <si>
    <t>CBRT ForexBuying, bulletin 2023/59</t>
  </si>
  <si>
    <t>CBRT ForexBuying, bulletin 2023/60</t>
  </si>
  <si>
    <t>CBRT ForexBuying, bulletin 2023/61</t>
  </si>
  <si>
    <t>CBRT ForexBuying, bulletin 2023/62</t>
  </si>
  <si>
    <t>CBRT ForexBuying, bulletin 2023/63</t>
  </si>
  <si>
    <t>CBRT ForexBuying, bulletin 2023/64</t>
  </si>
  <si>
    <t>CBRT ForexBuying, bulletin 2023/65</t>
  </si>
  <si>
    <t>CBRT ForexBuying, bulletin 2023/66</t>
  </si>
  <si>
    <t>CBRT ForexBuying, bulletin 2023/67</t>
  </si>
  <si>
    <t>CBRT ForexBuying, bulletin 2023/68</t>
  </si>
  <si>
    <t>CBRT ForexBuying, bulletin 2023/69</t>
  </si>
  <si>
    <t>CBRT ForexBuying, bulletin 2023/70</t>
  </si>
  <si>
    <t>CBRT ForexBuying, bulletin 2023/71</t>
  </si>
  <si>
    <t>CBRT ForexBuying, bulletin 2023/72</t>
  </si>
  <si>
    <t>CBRT ForexBuying, bulletin 2023/73</t>
  </si>
  <si>
    <t>CBRT ForexBuying, bulletin 2023/74</t>
  </si>
  <si>
    <t>CBRT ForexBuying, bulletin 2023/75</t>
  </si>
  <si>
    <t>CBRT ForexBuying, bulletin 2023/76</t>
  </si>
  <si>
    <t>CBRT ForexBuying, bulletin 2023/77</t>
  </si>
  <si>
    <t>CBRT ForexBuying, bulletin 2023/78</t>
  </si>
  <si>
    <t>CBRT ForexBuying, bulletin 2023/79</t>
  </si>
  <si>
    <t>CBRT ForexBuying, bulletin 2023/80</t>
  </si>
  <si>
    <t>CBRT ForexBuying, bulletin 2023/81</t>
  </si>
  <si>
    <t>CBRT ForexBuying, bulletin 2023/82</t>
  </si>
  <si>
    <t>CBRT ForexBuying, bulletin 2023/83</t>
  </si>
  <si>
    <t>CBRT ForexBuying, bulletin 2023/84</t>
  </si>
  <si>
    <t>CBRT ForexBuying, bulletin 2023/85</t>
  </si>
  <si>
    <t>CBRT ForexBuying, bulletin 2023/86</t>
  </si>
  <si>
    <t>CBRT ForexBuying, bulletin 2023/87</t>
  </si>
  <si>
    <t>CBRT ForexBuying, bulletin 2023/88</t>
  </si>
  <si>
    <t>CBRT ForexBuying, bulletin 2023/89</t>
  </si>
  <si>
    <t>CBRT ForexBuying, bulletin 2023/90</t>
  </si>
  <si>
    <t>CBRT ForexBuying, bulletin 2023/91</t>
  </si>
  <si>
    <t>CBRT ForexBuying, bulletin 2023/92</t>
  </si>
  <si>
    <t>CBRT ForexBuying, bulletin 2023/93</t>
  </si>
  <si>
    <t>CBRT ForexBuying, bulletin 2023/94</t>
  </si>
  <si>
    <t>CBRT ForexBuying, bulletin 2023/95</t>
  </si>
  <si>
    <t>CBRT ForexBuying, bulletin 2023/96</t>
  </si>
  <si>
    <t>CBRT ForexBuying, bulletin 2023/97</t>
  </si>
  <si>
    <t>CBRT ForexBuying, bulletin 2023/98</t>
  </si>
  <si>
    <t>CBRT ForexBuying, bulletin 2023/99</t>
  </si>
  <si>
    <t>CBRT ForexBuying, bulletin 2023/100</t>
  </si>
  <si>
    <t>CBRT ForexBuying, bulletin 2023/101</t>
  </si>
  <si>
    <t>CBRT ForexBuying, bulletin 2023/102</t>
  </si>
  <si>
    <t>CBRT ForexBuying, bulletin 2023/103</t>
  </si>
  <si>
    <t>CBRT ForexBuying, bulletin 2023/104</t>
  </si>
  <si>
    <t>CBRT ForexBuying, bulletin 2023/105</t>
  </si>
  <si>
    <t>CBRT ForexBuying, bulletin 2023/106</t>
  </si>
  <si>
    <t>CBRT ForexBuying, bulletin 2023/107</t>
  </si>
  <si>
    <t>CBRT ForexBuying, bulletin 2023/108</t>
  </si>
  <si>
    <t>CBRT ForexBuying, bulletin 2023/109</t>
  </si>
  <si>
    <t>CBRT ForexBuying, bulletin 2023/110</t>
  </si>
  <si>
    <t>CBRT ForexBuying, bulletin 2023/111</t>
  </si>
  <si>
    <t>CBRT ForexBuying, bulletin 2023/112</t>
  </si>
  <si>
    <t>CBRT ForexBuying, bulletin 2023/113</t>
  </si>
  <si>
    <t>CBRT ForexBuying, bulletin 2023/114</t>
  </si>
  <si>
    <t>CBRT ForexBuying, bulletin 2023/115</t>
  </si>
  <si>
    <t>CBRT ForexBuying, bulletin 2023/116</t>
  </si>
  <si>
    <t>CBRT ForexBuying, bulletin 2023/117</t>
  </si>
  <si>
    <t>CBRT ForexBuying, bulletin 2023/118</t>
  </si>
  <si>
    <t>CBRT ForexBuying, bulletin 2023/119</t>
  </si>
  <si>
    <t>CBRT ForexBuying, bulletin 2023/120</t>
  </si>
  <si>
    <t>CBRT ForexBuying, bulletin 2023/121</t>
  </si>
  <si>
    <t>CBRT ForexBuying, bulletin 2023/122</t>
  </si>
  <si>
    <t>CBRT ForexBuying, bulletin 2023/123</t>
  </si>
  <si>
    <t>CBRT ForexBuying, bulletin 2023/124</t>
  </si>
  <si>
    <t>CBRT ForexBuying, bulletin 2023/125</t>
  </si>
  <si>
    <t>CBRT ForexBuying, bulletin 2023/126</t>
  </si>
  <si>
    <t>CBRT ForexBuying, bulletin 2023/127</t>
  </si>
  <si>
    <t>CBRT ForexBuying, bulletin 2023/128</t>
  </si>
  <si>
    <t>CBRT ForexBuying, bulletin 2023/129</t>
  </si>
  <si>
    <t>CBRT ForexBuying, bulletin 2023/130</t>
  </si>
  <si>
    <t>CBRT ForexBuying, bulletin 2023/131</t>
  </si>
  <si>
    <t>CBRT ForexBuying, bulletin 2023/132</t>
  </si>
  <si>
    <t>CBRT ForexBuying, bulletin 2023/133</t>
  </si>
  <si>
    <t>CBRT ForexBuying, bulletin 2023/134</t>
  </si>
  <si>
    <t>CBRT ForexBuying, bulletin 2023/135</t>
  </si>
  <si>
    <t>CBRT ForexBuying, bulletin 2023/136</t>
  </si>
  <si>
    <t>CBRT ForexBuying, bulletin 2023/137</t>
  </si>
  <si>
    <t>CBRT ForexBuying, bulletin 2023/138</t>
  </si>
  <si>
    <t>CBRT ForexBuying, bulletin 2023/139</t>
  </si>
  <si>
    <t>CBRT ForexBuying, bulletin 2023/140</t>
  </si>
  <si>
    <t>CBRT ForexBuying, bulletin 2023/141</t>
  </si>
  <si>
    <t>CBRT ForexBuying, bulletin 2023/142</t>
  </si>
  <si>
    <t>CBRT ForexBuying, bulletin 2023/143</t>
  </si>
  <si>
    <t>CBRT ForexBuying, bulletin 2023/144</t>
  </si>
  <si>
    <t>CBRT ForexBuying, bulletin 2023/145</t>
  </si>
  <si>
    <t>CBRT ForexBuying, bulletin 2023/146</t>
  </si>
  <si>
    <t>CBRT ForexBuying, bulletin 2023/147</t>
  </si>
  <si>
    <t>CBRT ForexBuying, bulletin 2023/148</t>
  </si>
  <si>
    <t>CBRT ForexBuying, bulletin 2023/149</t>
  </si>
  <si>
    <t>CBRT ForexBuying, bulletin 2023/150</t>
  </si>
  <si>
    <t>CBRT ForexBuying, bulletin 2023/151</t>
  </si>
  <si>
    <t>CBRT ForexBuying, bulletin 2023/152</t>
  </si>
  <si>
    <t>CBRT ForexBuying, bulletin 2023/153</t>
  </si>
  <si>
    <t>CBRT ForexBuying, bulletin 2023/154</t>
  </si>
  <si>
    <t>CBRT ForexBuying, bulletin 2023/155</t>
  </si>
  <si>
    <t>CBRT ForexBuying, bulletin 2023/156</t>
  </si>
  <si>
    <t>CBRT ForexBuying, bulletin 2023/157</t>
  </si>
  <si>
    <t>CBRT ForexBuying, bulletin 2023/158</t>
  </si>
  <si>
    <t>CBRT ForexBuying, bulletin 2023/159</t>
  </si>
  <si>
    <t>CBRT ForexBuying, bulletin 2023/160</t>
  </si>
  <si>
    <t>CBRT ForexBuying, bulletin 2023/161</t>
  </si>
  <si>
    <t>CBRT ForexBuying, bulletin 2023/162</t>
  </si>
  <si>
    <t>CBRT ForexBuying, bulletin 2023/163</t>
  </si>
  <si>
    <t>CBRT ForexBuying, bulletin 2023/164</t>
  </si>
  <si>
    <t>CBRT ForexBuying, bulletin 2023/165</t>
  </si>
  <si>
    <t>CBRT ForexBuying, bulletin 2023/166</t>
  </si>
  <si>
    <t>CBRT ForexBuying, bulletin 2023/167</t>
  </si>
  <si>
    <t>CBRT ForexBuying, bulletin 2023/168</t>
  </si>
  <si>
    <t>CBRT ForexBuying, bulletin 2023/169</t>
  </si>
  <si>
    <t>CBRT ForexBuying, bulletin 2023/170</t>
  </si>
  <si>
    <t>CBRT ForexBuying, bulletin 2023/171</t>
  </si>
  <si>
    <t>CBRT ForexBuying, bulletin 2023/172</t>
  </si>
  <si>
    <t>CBRT ForexBuying, bulletin 2023/173</t>
  </si>
  <si>
    <t>CBRT ForexBuying, bulletin 2023/174</t>
  </si>
  <si>
    <t>CBRT ForexBuying, bulletin 2023/175</t>
  </si>
  <si>
    <t>CBRT ForexBuying, bulletin 2023/176</t>
  </si>
  <si>
    <t>CBRT ForexBuying, bulletin 2023/177</t>
  </si>
  <si>
    <t>CBRT ForexBuying, bulletin 2023/178</t>
  </si>
  <si>
    <t>CBRT ForexBuying, bulletin 2023/179</t>
  </si>
  <si>
    <t>CBRT ForexBuying, bulletin 2023/180</t>
  </si>
  <si>
    <t>CBRT ForexBuying, bulletin 2023/181</t>
  </si>
  <si>
    <t>CBRT ForexBuying, bulletin 2023/182</t>
  </si>
  <si>
    <t>CBRT ForexBuying, bulletin 2023/183</t>
  </si>
  <si>
    <t>CBRT ForexBuying, bulletin 2023/184</t>
  </si>
  <si>
    <t>CBRT ForexBuying, bulletin 2023/185</t>
  </si>
  <si>
    <t>CBRT ForexBuying, bulletin 2023/186</t>
  </si>
  <si>
    <t>CBRT ForexBuying, bulletin 2023/187</t>
  </si>
  <si>
    <t>CBRT ForexBuying, bulletin 2023/188</t>
  </si>
  <si>
    <t>CBRT ForexBuying, bulletin 2023/189</t>
  </si>
  <si>
    <t>CBRT ForexBuying, bulletin 2023/190</t>
  </si>
  <si>
    <t>CBRT ForexBuying, bulletin 2023/191</t>
  </si>
  <si>
    <t>CBRT ForexBuying, bulletin 2023/192</t>
  </si>
  <si>
    <t>CBRT ForexBuying, bulletin 2023/193</t>
  </si>
  <si>
    <t>CBRT ForexBuying, bulletin 2023/194</t>
  </si>
  <si>
    <t>CBRT ForexBuying, bulletin 2023/195</t>
  </si>
  <si>
    <t>CBRT ForexBuying, bulletin 2023/196</t>
  </si>
  <si>
    <t>CBRT ForexBuying, bulletin 2023/197</t>
  </si>
  <si>
    <t>CBRT ForexBuying, bulletin 2023/198</t>
  </si>
  <si>
    <t>CBRT ForexBuying, bulletin 2023/199</t>
  </si>
  <si>
    <t>CBRT ForexBuying, bulletin 2023/200</t>
  </si>
  <si>
    <t>CBRT ForexBuying, bulletin 2023/201</t>
  </si>
  <si>
    <t>CBRT ForexBuying, bulletin 2023/202</t>
  </si>
  <si>
    <t>CBRT ForexBuying, bulletin 2023/203</t>
  </si>
  <si>
    <t>CBRT ForexBuying, bulletin 2023/204</t>
  </si>
  <si>
    <t>CBRT ForexBuying, bulletin 2023/205</t>
  </si>
  <si>
    <t>CBRT ForexBuying, bulletin 2023/206</t>
  </si>
  <si>
    <t>CBRT ForexBuying, bulletin 2023/207</t>
  </si>
  <si>
    <t>CBRT ForexBuying, bulletin 2023/208</t>
  </si>
  <si>
    <t>CBRT ForexBuying, bulletin 2023/209</t>
  </si>
  <si>
    <t>CBRT ForexBuying, bulletin 2023/210</t>
  </si>
  <si>
    <t>CBRT ForexBuying, bulletin 2023/211</t>
  </si>
  <si>
    <t>CBRT ForexBuying, bulletin 2023/212</t>
  </si>
  <si>
    <t>CBRT ForexBuying, bulletin 2023/213</t>
  </si>
  <si>
    <t>CBRT ForexBuying, bulletin 2023/214</t>
  </si>
  <si>
    <t>CBRT ForexBuying, bulletin 2023/215</t>
  </si>
  <si>
    <t>CBRT ForexBuying, bulletin 2023/216</t>
  </si>
  <si>
    <t>CBRT ForexBuying, bulletin 2023/217</t>
  </si>
  <si>
    <t>CBRT ForexBuying, bulletin 2023/218</t>
  </si>
  <si>
    <t>CBRT ForexBuying, bulletin 2023/219</t>
  </si>
  <si>
    <t>CBRT ForexBuying, bulletin 2023/220</t>
  </si>
  <si>
    <t>CBRT ForexBuying, bulletin 2023/221</t>
  </si>
  <si>
    <t>CBRT ForexBuying, bulletin 2023/222</t>
  </si>
  <si>
    <t>CBRT ForexBuying, bulletin 2023/223</t>
  </si>
  <si>
    <t>CBRT ForexBuying, bulletin 2023/224</t>
  </si>
  <si>
    <t>CBRT ForexBuying, bulletin 2023/225</t>
  </si>
  <si>
    <t>CBRT ForexBuying, bulletin 2023/226</t>
  </si>
  <si>
    <t>CBRT ForexBuying, bulletin 2023/227</t>
  </si>
  <si>
    <t>CBRT ForexBuying, bulletin 2023/228</t>
  </si>
  <si>
    <t>CBRT ForexBuying, bulletin 2023/229</t>
  </si>
  <si>
    <t>CBRT ForexBuying, bulletin 2023/230</t>
  </si>
  <si>
    <t>CBRT ForexBuying, bulletin 2023/231</t>
  </si>
  <si>
    <t>CBRT ForexBuying, bulletin 2023/232</t>
  </si>
  <si>
    <t>CBRT ForexBuying, bulletin 2023/233</t>
  </si>
  <si>
    <t>CBRT ForexBuying, bulletin 2023/234</t>
  </si>
  <si>
    <t>CBRT ForexBuying, bulletin 2023/235</t>
  </si>
  <si>
    <t>CBRT ForexBuying, bulletin 2023/236</t>
  </si>
  <si>
    <t>CBRT ForexBuying, bulletin 2023/237</t>
  </si>
  <si>
    <t>CBRT ForexBuying, bulletin 2023/238</t>
  </si>
  <si>
    <t>CBRT ForexBuying, bulletin 2023/239</t>
  </si>
  <si>
    <t>CBRT ForexBuying, bulletin 2023/240</t>
  </si>
  <si>
    <t>CBRT ForexBuying, bulletin 2023/241</t>
  </si>
  <si>
    <t>CBRT ForexBuying, bulletin 2023/242</t>
  </si>
  <si>
    <t>CBRT ForexBuying, bulletin 2023/243</t>
  </si>
  <si>
    <t>CBRT ForexBuying, bulletin 2023/244</t>
  </si>
  <si>
    <t>CBRT ForexBuying, bulletin 2023/245</t>
  </si>
  <si>
    <t>CBRT ForexBuying, bulletin 2023/246</t>
  </si>
  <si>
    <t>CBRT ForexBuying, bulletin 2023/247</t>
  </si>
  <si>
    <t>CBRT ForexBuying, bulletin 2023/248</t>
  </si>
  <si>
    <t>CBRT ForexBuying, bulletin 2023/249</t>
  </si>
  <si>
    <t>CBRT ForexBuying, bulletin 2023/250</t>
  </si>
  <si>
    <t>CBRT ForexBuying, bulletin 2023/251</t>
  </si>
  <si>
    <t>CBRT ForexBuying, bulletin 2024/1</t>
  </si>
  <si>
    <t>CBRT ForexBuying, bulletin 2024/2</t>
  </si>
  <si>
    <t>CBRT ForexBuying, bulletin 2024/3</t>
  </si>
  <si>
    <t>CBRT ForexBuying, bulletin 2024/4</t>
  </si>
  <si>
    <t>CBRT ForexBuying, bulletin 2024/5</t>
  </si>
  <si>
    <t>CBRT ForexBuying, bulletin 2024/6</t>
  </si>
  <si>
    <t>CBRT ForexBuying, bulletin 2024/7</t>
  </si>
  <si>
    <t>CBRT ForexBuying, bulletin 2024/8</t>
  </si>
  <si>
    <t>CBRT ForexBuying, bulletin 2024/9</t>
  </si>
  <si>
    <t>CBRT ForexBuying, bulletin 2024/10</t>
  </si>
  <si>
    <t>CBRT ForexBuying, bulletin 2024/11</t>
  </si>
  <si>
    <t>CBRT ForexBuying, bulletin 2024/12</t>
  </si>
  <si>
    <t>CBRT ForexBuying, bulletin 2024/13</t>
  </si>
  <si>
    <t>CBRT ForexBuying, bulletin 2024/14</t>
  </si>
  <si>
    <t>CBRT ForexBuying, bulletin 2024/15</t>
  </si>
  <si>
    <t>CBRT ForexBuying, bulletin 2024/16</t>
  </si>
  <si>
    <t>CBRT ForexBuying, bulletin 2024/17</t>
  </si>
  <si>
    <t>CBRT ForexBuying, bulletin 2024/18</t>
  </si>
  <si>
    <t>CBRT ForexBuying, bulletin 2024/19</t>
  </si>
  <si>
    <t>CBRT ForexBuying, bulletin 2024/20</t>
  </si>
  <si>
    <t>CBRT ForexBuying, bulletin 2024/21</t>
  </si>
  <si>
    <t>CBRT ForexBuying, bulletin 2024/22</t>
  </si>
  <si>
    <t>CBRT ForexBuying, bulletin 2024/23</t>
  </si>
  <si>
    <t>CBRT ForexBuying, bulletin 2024/24</t>
  </si>
  <si>
    <t>CBRT ForexBuying, bulletin 2024/25</t>
  </si>
  <si>
    <t>CBRT ForexBuying, bulletin 2024/26</t>
  </si>
  <si>
    <t>CBRT ForexBuying, bulletin 2024/27</t>
  </si>
  <si>
    <t>CBRT ForexBuying, bulletin 2024/28</t>
  </si>
  <si>
    <t>CBRT ForexBuying, bulletin 2024/29</t>
  </si>
  <si>
    <t>CBRT ForexBuying, bulletin 2024/30</t>
  </si>
  <si>
    <t>CBRT ForexBuying, bulletin 2024/31</t>
  </si>
  <si>
    <t>CBRT ForexBuying, bulletin 2024/32</t>
  </si>
  <si>
    <t>CBRT ForexBuying, bulletin 2024/33</t>
  </si>
  <si>
    <t>CBRT ForexBuying, bulletin 2024/34</t>
  </si>
  <si>
    <t>CBRT ForexBuying, bulletin 2024/35</t>
  </si>
  <si>
    <t>CBRT ForexBuying, bulletin 2024/36</t>
  </si>
  <si>
    <t>CBRT ForexBuying, bulletin 2024/37</t>
  </si>
  <si>
    <t>CBRT ForexBuying, bulletin 2024/38</t>
  </si>
  <si>
    <t>CBRT ForexBuying, bulletin 2024/39</t>
  </si>
  <si>
    <t>CBRT ForexBuying, bulletin 2024/40</t>
  </si>
  <si>
    <t>CBRT ForexBuying, bulletin 2024/41</t>
  </si>
  <si>
    <t>CBRT ForexBuying, bulletin 2024/42</t>
  </si>
  <si>
    <t>CBRT ForexBuying, bulletin 2024/43</t>
  </si>
  <si>
    <t>CBRT ForexBuying, bulletin 2024/44</t>
  </si>
  <si>
    <t>CBRT ForexBuying, bulletin 2024/45</t>
  </si>
  <si>
    <t>CBRT ForexBuying, bulletin 2024/46</t>
  </si>
  <si>
    <t>CBRT ForexBuying, bulletin 2024/47</t>
  </si>
  <si>
    <t>CBRT ForexBuying, bulletin 2024/48</t>
  </si>
  <si>
    <t>CBRT ForexBuying, bulletin 2024/49</t>
  </si>
  <si>
    <t>CBRT ForexBuying, bulletin 2024/50</t>
  </si>
  <si>
    <t>CBRT ForexBuying, bulletin 2024/51</t>
  </si>
  <si>
    <t>CBRT ForexBuying, bulletin 2024/52</t>
  </si>
  <si>
    <t>CBRT ForexBuying, bulletin 2024/53</t>
  </si>
  <si>
    <t>CBRT ForexBuying, bulletin 2024/54</t>
  </si>
  <si>
    <t>CBRT ForexBuying, bulletin 2024/55</t>
  </si>
  <si>
    <t>CBRT ForexBuying, bulletin 2024/56</t>
  </si>
  <si>
    <t>CBRT ForexBuying, bulletin 2024/57</t>
  </si>
  <si>
    <t>CBRT ForexBuying, bulletin 2024/58</t>
  </si>
  <si>
    <t>CBRT ForexBuying, bulletin 2024/59</t>
  </si>
  <si>
    <t>CBRT ForexBuying, bulletin 2024/60</t>
  </si>
  <si>
    <t>CBRT ForexBuying, bulletin 2024/61</t>
  </si>
  <si>
    <t>CBRT ForexBuying, bulletin 2024/62</t>
  </si>
  <si>
    <t>CBRT ForexBuying, bulletin 2024/63</t>
  </si>
  <si>
    <t>CBRT ForexBuying, bulletin 2024/64</t>
  </si>
  <si>
    <t>CBRT ForexBuying, bulletin 2024/65</t>
  </si>
  <si>
    <t>CBRT ForexBuying, bulletin 2024/66</t>
  </si>
  <si>
    <t>CBRT ForexBuying, bulletin 2024/67</t>
  </si>
  <si>
    <t>CBRT ForexBuying, bulletin 2024/68</t>
  </si>
  <si>
    <t>CBRT ForexBuying, bulletin 2024/69</t>
  </si>
  <si>
    <t>CBRT ForexBuying, bulletin 2024/70</t>
  </si>
  <si>
    <t>CBRT ForexBuying, bulletin 2024/71</t>
  </si>
  <si>
    <t>CBRT ForexBuying, bulletin 2024/72</t>
  </si>
  <si>
    <t>CBRT ForexBuying, bulletin 2024/73</t>
  </si>
  <si>
    <t>CBRT ForexBuying, bulletin 2024/74</t>
  </si>
  <si>
    <t>CBRT ForexBuying, bulletin 2024/75</t>
  </si>
  <si>
    <t>CBRT ForexBuying, bulletin 2024/76</t>
  </si>
  <si>
    <t>CBRT ForexBuying, bulletin 2024/77</t>
  </si>
  <si>
    <t>CBRT ForexBuying, bulletin 2024/78</t>
  </si>
  <si>
    <t>CBRT ForexBuying, bulletin 2024/79</t>
  </si>
  <si>
    <t>CBRT ForexBuying, bulletin 2024/80</t>
  </si>
  <si>
    <t>CBRT ForexBuying, bulletin 2024/81</t>
  </si>
  <si>
    <t>CBRT ForexBuying, bulletin 2024/82</t>
  </si>
  <si>
    <t>CBRT ForexBuying, bulletin 2024/83</t>
  </si>
  <si>
    <t>CBRT ForexBuying, bulletin 2024/84</t>
  </si>
  <si>
    <t>CBRT ForexBuying, bulletin 2024/85</t>
  </si>
  <si>
    <t>CBRT ForexBuying, bulletin 2024/86</t>
  </si>
  <si>
    <t>CBRT ForexBuying, bulletin 2024/87</t>
  </si>
  <si>
    <t>CBRT ForexBuying, bulletin 2024/88</t>
  </si>
  <si>
    <t>CBRT ForexBuying, bulletin 2024/89</t>
  </si>
  <si>
    <t>CBRT ForexBuying, bulletin 2024/90</t>
  </si>
  <si>
    <t>CBRT ForexBuying, bulletin 2024/91</t>
  </si>
  <si>
    <t>CBRT ForexBuying, bulletin 2024/92</t>
  </si>
  <si>
    <t>CBRT ForexBuying, bulletin 2024/93</t>
  </si>
  <si>
    <t>CBRT ForexBuying, bulletin 2024/94</t>
  </si>
  <si>
    <t>CBRT ForexBuying, bulletin 2024/95</t>
  </si>
  <si>
    <t>CBRT ForexBuying, bulletin 2024/96</t>
  </si>
  <si>
    <t>CBRT ForexBuying, bulletin 2024/97</t>
  </si>
  <si>
    <t>CBRT ForexBuying, bulletin 2024/98</t>
  </si>
  <si>
    <t>CBRT ForexBuying, bulletin 2024/99</t>
  </si>
  <si>
    <t>CBRT ForexBuying, bulletin 2024/100</t>
  </si>
  <si>
    <t>CBRT ForexBuying, bulletin 2024/101</t>
  </si>
  <si>
    <t>CBRT ForexBuying, bulletin 2024/102</t>
  </si>
  <si>
    <t>CBRT ForexBuying, bulletin 2024/103</t>
  </si>
  <si>
    <t>CBRT ForexBuying, bulletin 2024/104</t>
  </si>
  <si>
    <t>CBRT ForexBuying, bulletin 2024/105</t>
  </si>
  <si>
    <t>CBRT ForexBuying, bulletin 2024/106</t>
  </si>
  <si>
    <t>CBRT ForexBuying, bulletin 2024/107</t>
  </si>
  <si>
    <t>CBRT ForexBuying, bulletin 2024/108</t>
  </si>
  <si>
    <t>CBRT ForexBuying, bulletin 2024/109</t>
  </si>
  <si>
    <t>CBRT ForexBuying, bulletin 2024/110</t>
  </si>
  <si>
    <t>CBRT ForexBuying, bulletin 2024/111</t>
  </si>
  <si>
    <t>CBRT ForexBuying, bulletin 2024/112</t>
  </si>
  <si>
    <t>CBRT ForexBuying, bulletin 2024/113</t>
  </si>
  <si>
    <t>CBRT ForexBuying, bulletin 2024/114</t>
  </si>
  <si>
    <t>CBRT ForexBuying, bulletin 2024/115</t>
  </si>
  <si>
    <t>CBRT ForexBuying, bulletin 2024/116</t>
  </si>
  <si>
    <t>CBRT ForexBuying, bulletin 2024/117</t>
  </si>
  <si>
    <t>CBRT ForexBuying, bulletin 2024/118</t>
  </si>
  <si>
    <t>CBRT ForexBuying, bulletin 2024/119</t>
  </si>
  <si>
    <t>CBRT ForexBuying, bulletin 2024/120</t>
  </si>
  <si>
    <t>CBRT ForexBuying, bulletin 2024/121</t>
  </si>
  <si>
    <t>CBRT ForexBuying, bulletin 2024/122</t>
  </si>
  <si>
    <t>CBRT ForexBuying, bulletin 2024/123</t>
  </si>
  <si>
    <t>CBRT ForexBuying, bulletin 2024/124</t>
  </si>
  <si>
    <t>CBRT ForexBuying, bulletin 2024/125</t>
  </si>
  <si>
    <t>CBRT ForexBuying, bulletin 2024/126</t>
  </si>
  <si>
    <t>CBRT ForexBuying, bulletin 2024/127</t>
  </si>
  <si>
    <t>CBRT ForexBuying, bulletin 2024/128</t>
  </si>
  <si>
    <t>CBRT ForexBuying, bulletin 2024/129</t>
  </si>
  <si>
    <t>CBRT ForexBuying, bulletin 2024/130</t>
  </si>
  <si>
    <t>CBRT ForexBuying, bulletin 2024/131</t>
  </si>
  <si>
    <t>CBRT ForexBuying, bulletin 2024/132</t>
  </si>
  <si>
    <t>CBRT ForexBuying, bulletin 2024/133</t>
  </si>
  <si>
    <t>CBRT ForexBuying, bulletin 2024/134</t>
  </si>
  <si>
    <t>CBRT ForexBuying, bulletin 2024/135</t>
  </si>
  <si>
    <t>CBRT ForexBuying, bulletin 2024/136</t>
  </si>
  <si>
    <t>CBRT ForexBuying, bulletin 2024/137</t>
  </si>
  <si>
    <t>CBRT ForexBuying, bulletin 2024/138</t>
  </si>
  <si>
    <t>CBRT ForexBuying, bulletin 2024/139</t>
  </si>
  <si>
    <t>CBRT ForexBuying, bulletin 2024/140</t>
  </si>
  <si>
    <t>CBRT ForexBuying, bulletin 2024/141</t>
  </si>
  <si>
    <t>CBRT ForexBuying, bulletin 2024/142</t>
  </si>
  <si>
    <t>CBRT ForexBuying, bulletin 2024/143</t>
  </si>
  <si>
    <t>CBRT ForexBuying, bulletin 2024/144</t>
  </si>
  <si>
    <t>CBRT ForexBuying, bulletin 2024/145</t>
  </si>
  <si>
    <t>CBRT ForexBuying, bulletin 2024/146</t>
  </si>
  <si>
    <t>CBRT ForexBuying, bulletin 2024/147</t>
  </si>
  <si>
    <t>CBRT ForexBuying, bulletin 2024/148</t>
  </si>
  <si>
    <t>CBRT ForexBuying, bulletin 2024/149</t>
  </si>
  <si>
    <t>CBRT ForexBuying, bulletin 2024/150</t>
  </si>
  <si>
    <t>CBRT ForexBuying, bulletin 2024/151</t>
  </si>
  <si>
    <t>CBRT ForexBuying, bulletin 2024/152</t>
  </si>
  <si>
    <t>CBRT ForexBuying, bulletin 2024/153</t>
  </si>
  <si>
    <t>CBRT ForexBuying, bulletin 2024/154</t>
  </si>
  <si>
    <t>CBRT ForexBuying, bulletin 2024/155</t>
  </si>
  <si>
    <t>CBRT ForexBuying, bulletin 2024/156</t>
  </si>
  <si>
    <t>CBRT ForexBuying, bulletin 2024/157</t>
  </si>
  <si>
    <t>CBRT ForexBuying, bulletin 2024/158</t>
  </si>
  <si>
    <t>CBRT ForexBuying, bulletin 2024/159</t>
  </si>
  <si>
    <t>CBRT ForexBuying, bulletin 2024/160</t>
  </si>
  <si>
    <t>CBRT ForexBuying, bulletin 2024/161</t>
  </si>
  <si>
    <t>CBRT ForexBuying, bulletin 2024/162</t>
  </si>
  <si>
    <t>CBRT ForexBuying, bulletin 2024/163</t>
  </si>
  <si>
    <t>CBRT ForexBuying, bulletin 2024/164</t>
  </si>
  <si>
    <t>CBRT ForexBuying, bulletin 2024/165</t>
  </si>
  <si>
    <t>CBRT ForexBuying, bulletin 2024/166</t>
  </si>
  <si>
    <t>CBRT ForexBuying, bulletin 2024/167</t>
  </si>
  <si>
    <t>CBRT ForexBuying, bulletin 2024/168</t>
  </si>
  <si>
    <t>CBRT ForexBuying, bulletin 2024/169</t>
  </si>
  <si>
    <t>CBRT ForexBuying, bulletin 2024/170</t>
  </si>
  <si>
    <t>CBRT ForexBuying, bulletin 2024/171</t>
  </si>
  <si>
    <t>CBRT ForexBuying, bulletin 2024/172</t>
  </si>
  <si>
    <t>CBRT ForexBuying, bulletin 2024/173</t>
  </si>
  <si>
    <t>CBRT ForexBuying, bulletin 2024/174</t>
  </si>
  <si>
    <t>CBRT ForexBuying, bulletin 2024/175</t>
  </si>
  <si>
    <t>CBRT ForexBuying, bulletin 2024/176</t>
  </si>
  <si>
    <t>CBRT ForexBuying, bulletin 2024/177</t>
  </si>
  <si>
    <t>CBRT ForexBuying, bulletin 2024/178</t>
  </si>
  <si>
    <t>CBRT ForexBuying, bulletin 2024/179</t>
  </si>
  <si>
    <t>CBRT ForexBuying, bulletin 2024/180</t>
  </si>
  <si>
    <t>CBRT ForexBuying, bulletin 2024/181</t>
  </si>
  <si>
    <t>CBRT ForexBuying, bulletin 2024/182</t>
  </si>
  <si>
    <t>CBRT ForexBuying, bulletin 2024/183</t>
  </si>
  <si>
    <t>CBRT ForexBuying, bulletin 2024/184</t>
  </si>
  <si>
    <t>CBRT ForexBuying, bulletin 2024/185</t>
  </si>
  <si>
    <t>CBRT ForexBuying, bulletin 2024/186</t>
  </si>
  <si>
    <t>CBRT ForexBuying, bulletin 2024/187</t>
  </si>
  <si>
    <t>CBRT ForexBuying, bulletin 2024/188</t>
  </si>
  <si>
    <t>CBRT ForexBuying, bulletin 2024/189</t>
  </si>
  <si>
    <t>CBRT ForexBuying, bulletin 2024/190</t>
  </si>
  <si>
    <t>CBRT ForexBuying, bulletin 2024/191</t>
  </si>
  <si>
    <t>CBRT ForexBuying, bulletin 2024/192</t>
  </si>
  <si>
    <t>CBRT ForexBuying, bulletin 2024/193</t>
  </si>
  <si>
    <t>CBRT ForexBuying, bulletin 2024/194</t>
  </si>
  <si>
    <t>CBRT ForexBuying, bulletin 2024/195</t>
  </si>
  <si>
    <t>CBRT ForexBuying, bulletin 2024/196</t>
  </si>
  <si>
    <t>CBRT ForexBuying, bulletin 2024/197</t>
  </si>
  <si>
    <t>CBRT ForexBuying, bulletin 2024/198</t>
  </si>
  <si>
    <t>CBRT ForexBuying, bulletin 2024/199</t>
  </si>
  <si>
    <t>CBRT ForexBuying, bulletin 2024/200</t>
  </si>
  <si>
    <t>CBRT ForexBuying, bulletin 2024/201</t>
  </si>
  <si>
    <t>CBRT ForexBuying, bulletin 2024/202</t>
  </si>
  <si>
    <t>CBRT ForexBuying, bulletin 2024/203</t>
  </si>
  <si>
    <t>CBRT ForexBuying, bulletin 2024/204</t>
  </si>
  <si>
    <t>CBRT ForexBuying, bulletin 2024/205</t>
  </si>
  <si>
    <t>CBRT ForexBuying, bulletin 2024/206</t>
  </si>
  <si>
    <t>CBRT ForexBuying, bulletin 2024/207</t>
  </si>
  <si>
    <t>CBRT ForexBuying, bulletin 2024/208</t>
  </si>
  <si>
    <t>CBRT ForexBuying, bulletin 2024/209</t>
  </si>
  <si>
    <t>CBRT ForexBuying, bulletin 2024/210</t>
  </si>
  <si>
    <t>CBRT ForexBuying, bulletin 2024/211</t>
  </si>
  <si>
    <t>CBRT ForexBuying, bulletin 2024/212</t>
  </si>
  <si>
    <t>CBRT ForexBuying, bulletin 2024/213</t>
  </si>
  <si>
    <t>CBRT ForexBuying, bulletin 2024/214</t>
  </si>
  <si>
    <t>CBRT ForexBuying, bulletin 2024/215</t>
  </si>
  <si>
    <t>CBRT ForexBuying, bulletin 2024/216</t>
  </si>
  <si>
    <t>CBRT ForexBuying, bulletin 2024/217</t>
  </si>
  <si>
    <t>CBRT ForexBuying, bulletin 2024/218</t>
  </si>
  <si>
    <t>CBRT ForexBuying, bulletin 2024/219</t>
  </si>
  <si>
    <t>CBRT ForexBuying, bulletin 2024/220</t>
  </si>
  <si>
    <t>CBRT ForexBuying, bulletin 2024/221</t>
  </si>
  <si>
    <t>CBRT ForexBuying, bulletin 2024/222</t>
  </si>
  <si>
    <t>CBRT ForexBuying, bulletin 2024/223</t>
  </si>
  <si>
    <t>CBRT ForexBuying, bulletin 2024/224</t>
  </si>
  <si>
    <t>CBRT ForexBuying, bulletin 2024/225</t>
  </si>
  <si>
    <t>CBRT ForexBuying, bulletin 2024/226</t>
  </si>
  <si>
    <t>CBRT ForexBuying, bulletin 2024/227</t>
  </si>
  <si>
    <t>CBRT ForexBuying, bulletin 2024/228</t>
  </si>
  <si>
    <t>CBRT ForexBuying, bulletin 2024/229</t>
  </si>
  <si>
    <t>CBRT ForexBuying, bulletin 2024/230</t>
  </si>
  <si>
    <t>CBRT ForexBuying, bulletin 2024/231</t>
  </si>
  <si>
    <t>CBRT ForexBuying, bulletin 2024/232</t>
  </si>
  <si>
    <t>CBRT ForexBuying, bulletin 2024/233</t>
  </si>
  <si>
    <t>CBRT ForexBuying, bulletin 2024/234</t>
  </si>
  <si>
    <t>CBRT ForexBuying, bulletin 2024/235</t>
  </si>
  <si>
    <t>CBRT ForexBuying, bulletin 2024/236</t>
  </si>
  <si>
    <t>CBRT ForexBuying, bulletin 2024/237</t>
  </si>
  <si>
    <t>CBRT ForexBuying, bulletin 2024/238</t>
  </si>
  <si>
    <t>CBRT ForexBuying, bulletin 2024/239</t>
  </si>
  <si>
    <t>CBRT ForexBuying, bulletin 2024/240</t>
  </si>
  <si>
    <t>CBRT ForexBuying, bulletin 2024/241</t>
  </si>
  <si>
    <t>CBRT ForexBuying, bulletin 2024/242</t>
  </si>
  <si>
    <t>CBRT ForexBuying, bulletin 2024/243</t>
  </si>
  <si>
    <t>CBRT ForexBuying, bulletin 2024/244</t>
  </si>
  <si>
    <t>CBRT ForexBuying, bulletin 2024/245</t>
  </si>
  <si>
    <t>CBRT ForexBuying, bulletin 2024/246</t>
  </si>
  <si>
    <t>CBRT ForexBuying, bulletin 2024/247</t>
  </si>
  <si>
    <t>CBRT ForexBuying, bulletin 2024/248</t>
  </si>
  <si>
    <t>CBRT ForexBuying, bulletin 2025/1</t>
  </si>
  <si>
    <t>CBRT ForexBuying, bulletin 2025/2</t>
  </si>
  <si>
    <t>CBRT ForexBuying, bulletin 2025/3</t>
  </si>
  <si>
    <t>CBRT ForexBuying, bulletin 2025/4</t>
  </si>
  <si>
    <t>CBRT ForexBuying, bulletin 2025/5</t>
  </si>
  <si>
    <t>CBRT ForexBuying, bulletin 2025/6</t>
  </si>
  <si>
    <t>CBRT ForexBuying, bulletin 2025/7</t>
  </si>
  <si>
    <t>CBRT ForexBuying, bulletin 2025/8</t>
  </si>
  <si>
    <t>CBRT ForexBuying, bulletin 2025/9</t>
  </si>
  <si>
    <t>CBRT ForexBuying, bulletin 2025/10</t>
  </si>
  <si>
    <t>CBRT ForexBuying, bulletin 2025/11</t>
  </si>
  <si>
    <t>CBRT ForexBuying, bulletin 2025/12</t>
  </si>
  <si>
    <t>CBRT ForexBuying, bulletin 2025/13</t>
  </si>
  <si>
    <t>CBRT ForexBuying, bulletin 2025/14</t>
  </si>
  <si>
    <t>CBRT ForexBuying, bulletin 2025/15</t>
  </si>
  <si>
    <t>CBRT ForexBuying, bulletin 2025/16</t>
  </si>
  <si>
    <t>CBRT ForexBuying, bulletin 2025/17</t>
  </si>
  <si>
    <t>CBRT ForexBuying, bulletin 2025/18</t>
  </si>
  <si>
    <t>CBRT ForexBuying, bulletin 2025/19</t>
  </si>
  <si>
    <t>CBRT ForexBuying, bulletin 2025/20</t>
  </si>
  <si>
    <t>CBRT ForexBuying, bulletin 2025/21</t>
  </si>
  <si>
    <t>CBRT ForexBuying, bulletin 2025/22</t>
  </si>
  <si>
    <t>CBRT ForexBuying, bulletin 2025/23</t>
  </si>
  <si>
    <t>CBRT ForexBuying, bulletin 2025/24</t>
  </si>
  <si>
    <t>CBRT ForexBuying, bulletin 2025/25</t>
  </si>
  <si>
    <t>CBRT ForexBuying, bulletin 2025/26</t>
  </si>
  <si>
    <t>CBRT ForexBuying, bulletin 2025/27</t>
  </si>
  <si>
    <t>CBRT ForexBuying, bulletin 2025/28</t>
  </si>
  <si>
    <t>CBRT ForexBuying, bulletin 2025/29</t>
  </si>
  <si>
    <t>CBRT ForexBuying, bulletin 2025/30</t>
  </si>
  <si>
    <t>CBRT ForexBuying, bulletin 2025/31</t>
  </si>
  <si>
    <t>CBRT ForexBuying, bulletin 2025/32</t>
  </si>
  <si>
    <t>CBRT ForexBuying, bulletin 2025/33</t>
  </si>
  <si>
    <t>CBRT ForexBuying, bulletin 2025/34</t>
  </si>
  <si>
    <t>CBRT ForexBuying, bulletin 2025/35</t>
  </si>
  <si>
    <t>CBRT ForexBuying, bulletin 2025/36</t>
  </si>
  <si>
    <t>CBRT ForexBuying, bulletin 2025/37</t>
  </si>
  <si>
    <t>CBRT ForexBuying, bulletin 2025/38</t>
  </si>
  <si>
    <t>CBRT ForexBuying, bulletin 2025/39</t>
  </si>
  <si>
    <t>CBRT ForexBuying, bulletin 2025/40</t>
  </si>
  <si>
    <t>CBRT ForexBuying, bulletin 2025/41</t>
  </si>
  <si>
    <t>CBRT ForexBuying, bulletin 2025/42</t>
  </si>
  <si>
    <t>CBRT ForexBuying, bulletin 2025/43</t>
  </si>
  <si>
    <t>CBRT ForexBuying, bulletin 2025/44</t>
  </si>
  <si>
    <t>CBRT ForexBuying, bulletin 2025/45</t>
  </si>
  <si>
    <t>CBRT ForexBuying, bulletin 2025/46</t>
  </si>
  <si>
    <t>CBRT ForexBuying, bulletin 2025/47</t>
  </si>
  <si>
    <t>CBRT ForexBuying, bulletin 2025/48</t>
  </si>
  <si>
    <t>CBRT ForexBuying, bulletin 2025/49</t>
  </si>
  <si>
    <t>CBRT ForexBuying, bulletin 2025/50</t>
  </si>
  <si>
    <t>CBRT ForexBuying, bulletin 2025/51</t>
  </si>
  <si>
    <t>CBRT ForexBuying, bulletin 2025/52</t>
  </si>
  <si>
    <t>CBRT ForexBuying, bulletin 2025/53</t>
  </si>
  <si>
    <t>CBRT ForexBuying, bulletin 2025/54</t>
  </si>
  <si>
    <t>CBRT ForexBuying, bulletin 2025/55</t>
  </si>
  <si>
    <t>CBRT ForexBuying, bulletin 2025/56</t>
  </si>
  <si>
    <t>CBRT ForexBuying, bulletin 2025/57</t>
  </si>
  <si>
    <t>CBRT ForexBuying, bulletin 2025/58</t>
  </si>
  <si>
    <t>CBRT ForexBuying, bulletin 2025/59</t>
  </si>
  <si>
    <t>CBRT ForexBuying, bulletin 2025/60</t>
  </si>
  <si>
    <t>CBRT ForexBuying, bulletin 2025/61</t>
  </si>
  <si>
    <t>CBRT ForexBuying, bulletin 2025/62</t>
  </si>
  <si>
    <t>CBRT ForexBuying, bulletin 2025/63</t>
  </si>
  <si>
    <t>CBRT ForexBuying, bulletin 2025/64</t>
  </si>
  <si>
    <t>CBRT ForexBuying, bulletin 2025/65</t>
  </si>
  <si>
    <t>CBRT ForexBuying, bulletin 2025/66</t>
  </si>
  <si>
    <t>CBRT ForexBuying, bulletin 2025/67</t>
  </si>
  <si>
    <t>CBRT ForexBuying, bulletin 2025/68</t>
  </si>
  <si>
    <t>CBRT ForexBuying, bulletin 2025/69</t>
  </si>
  <si>
    <t>CBRT ForexBuying, bulletin 2025/70</t>
  </si>
  <si>
    <t>CBRT ForexBuying, bulletin 2025/71</t>
  </si>
  <si>
    <t>CBRT ForexBuying, bulletin 2025/72</t>
  </si>
  <si>
    <t>CBRT ForexBuying, bulletin 2025/73</t>
  </si>
  <si>
    <t>CBRT ForexBuying, bulletin 2025/74</t>
  </si>
  <si>
    <t>CBRT ForexBuying, bulletin 2025/75</t>
  </si>
  <si>
    <t>CBRT ForexBuying, bulletin 2025/76</t>
  </si>
  <si>
    <t>CBRT ForexBuying, bulletin 2025/77</t>
  </si>
  <si>
    <t>CBRT ForexBuying, bulletin 2025/78</t>
  </si>
  <si>
    <t>CBRT ForexBuying, bulletin 2025/79</t>
  </si>
  <si>
    <t>CBRT ForexBuying, bulletin 2025/80</t>
  </si>
  <si>
    <t>CBRT ForexBuying, bulletin 2025/81</t>
  </si>
  <si>
    <t>CBRT ForexBuying, bulletin 2025/82</t>
  </si>
  <si>
    <t>CBRT ForexBuying, bulletin 2025/83</t>
  </si>
  <si>
    <t>CBRT ForexBuying, bulletin 2025/84</t>
  </si>
  <si>
    <t>CBRT ForexBuying, bulletin 2025/85</t>
  </si>
  <si>
    <t>CBRT ForexBuying, bulletin 2025/86</t>
  </si>
  <si>
    <t>CBRT ForexBuying, bulletin 2025/87</t>
  </si>
  <si>
    <t>CBRT ForexBuying, bulletin 2025/88</t>
  </si>
  <si>
    <t>CBRT ForexBuying, bulletin 2025/89</t>
  </si>
  <si>
    <t>CBRT ForexBuying, bulletin 2025/90</t>
  </si>
  <si>
    <t>CBRT ForexBuying, bulletin 2025/91</t>
  </si>
  <si>
    <t>CBRT ForexBuying, bulletin 2025/92</t>
  </si>
  <si>
    <t>CBRT ForexBuying, bulletin 2025/93</t>
  </si>
  <si>
    <t>CBRT ForexBuying, bulletin 2025/94</t>
  </si>
  <si>
    <t>CBRT ForexBuying, bulletin 2025/95</t>
  </si>
  <si>
    <t>CBRT ForexBuying, bulletin 2025/96</t>
  </si>
  <si>
    <t>CBRT ForexBuying, bulletin 2025/97</t>
  </si>
  <si>
    <t>CBRT ForexBuying, bulletin 2025/98</t>
  </si>
  <si>
    <t>CBRT ForexBuying, bulletin 2025/99</t>
  </si>
  <si>
    <t>CBRT ForexBuying, bulletin 2025/100</t>
  </si>
  <si>
    <t>CBRT ForexBuying, bulletin 2025/101</t>
  </si>
  <si>
    <t>CBRT ForexBuying, bulletin 2025/102</t>
  </si>
  <si>
    <t>CBRT ForexBuying, bulletin 2025/103</t>
  </si>
  <si>
    <t>CBRT ForexBuying, bulletin 2025/104</t>
  </si>
  <si>
    <t>CBRT ForexBuying, bulletin 2025/105</t>
  </si>
  <si>
    <t>CBRT ForexBuying, bulletin 2025/106</t>
  </si>
  <si>
    <t>CBRT ForexBuying, bulletin 2025/107</t>
  </si>
  <si>
    <t>CBRT ForexBuying, bulletin 2025/108</t>
  </si>
  <si>
    <t>CBRT ForexBuying, bulletin 2025/109</t>
  </si>
  <si>
    <t>CBRT ForexBuying, bulletin 2025/110</t>
  </si>
  <si>
    <t>CBRT ForexBuying, bulletin 2025/111</t>
  </si>
  <si>
    <t>CBRT ForexBuying, bulletin 2025/112</t>
  </si>
  <si>
    <t>CBRT ForexBuying, bulletin 2025/113</t>
  </si>
  <si>
    <t>CBRT ForexBuying, bulletin 2025/114</t>
  </si>
  <si>
    <t>CBRT ForexBuying, bulletin 2025/115</t>
  </si>
  <si>
    <t>CBRT ForexBuying, bulletin 2025/116</t>
  </si>
  <si>
    <t>CBRT ForexBuying, bulletin 2025/117</t>
  </si>
  <si>
    <t>CBRT ForexBuying, bulletin 2025/118</t>
  </si>
  <si>
    <t>CBRT ForexBuying, bulletin 2025/119</t>
  </si>
  <si>
    <t>CBRT ForexBuying, bulletin 2025/120</t>
  </si>
  <si>
    <t>CBRT ForexBuying, bulletin 2025/121</t>
  </si>
  <si>
    <t>CBRT ForexBuying, bulletin 2025/122</t>
  </si>
  <si>
    <t>CBRT ForexBuying, bulletin 2025/123</t>
  </si>
  <si>
    <t>CBRT ForexBuying, bulletin 2025/124</t>
  </si>
  <si>
    <t>CBRT ForexBuying, bulletin 2025/125</t>
  </si>
  <si>
    <t>CBRT ForexBuying, bulletin 2025/126</t>
  </si>
  <si>
    <t>CBRT ForexBuying, bulletin 2025/127</t>
  </si>
  <si>
    <t>CBRT ForexBuying, bulletin 2025/128</t>
  </si>
  <si>
    <t>CBRT ForexBuying, bulletin 2025/129</t>
  </si>
  <si>
    <t>CBRT ForexBuying, bulletin 2025/130</t>
  </si>
  <si>
    <t>CBRT ForexBuying, bulletin 2025/131</t>
  </si>
  <si>
    <t>CBRT ForexBuying, bulletin 2025/132</t>
  </si>
  <si>
    <t>CBRT ForexBuying, bulletin 2025/133</t>
  </si>
  <si>
    <t>CBRT ForexBuying, bulletin 2025/134</t>
  </si>
  <si>
    <t>CBRT ForexBuying, bulletin 2025/135</t>
  </si>
  <si>
    <t>CBRT ForexBuying, bulletin 2025/136</t>
  </si>
  <si>
    <t>CBRT ForexBuying, bulletin 2025/137</t>
  </si>
  <si>
    <t>CBRT ForexBuying, bulletin 2025/138</t>
  </si>
  <si>
    <t>CBRT ForexBuying, bulletin 2025/139</t>
  </si>
  <si>
    <t>CBRT ForexBuying, bulletin 2025/140</t>
  </si>
  <si>
    <t>CBRT ForexBuying, bulletin 2025/141</t>
  </si>
  <si>
    <t>CBRT ForexBuying, bulletin 2025/142</t>
  </si>
  <si>
    <t>CBRT ForexBuying, bulletin 2025/143</t>
  </si>
  <si>
    <t>CBRT ForexBuying, bulletin 2025/144</t>
  </si>
  <si>
    <t>CBRT ForexBuying, bulletin 2025/145</t>
  </si>
  <si>
    <t>CBRT ForexBuying, bulletin 2025/146</t>
  </si>
  <si>
    <t>CBRT ForexBuying, bulletin 2025/147</t>
  </si>
  <si>
    <t>CBRT ForexBuying, bulletin 2025/148</t>
  </si>
  <si>
    <t>CBRT ForexBuying, bulletin 2025/149</t>
  </si>
  <si>
    <t>CBRT ForexBuying, bulletin 2025/150</t>
  </si>
  <si>
    <t>CBRT ForexBuying, bulletin 2025/151</t>
  </si>
  <si>
    <t>CBRT ForexBuying, bulletin 2025/152</t>
  </si>
  <si>
    <t>CBRT ForexBuying, bulletin 2025/153</t>
  </si>
  <si>
    <t>CBRT ForexBuying, bulletin 2025/154</t>
  </si>
  <si>
    <t>CBRT ForexBuying, bulletin 2025/155</t>
  </si>
  <si>
    <t>CBRT ForexBuying, bulletin 2025/156</t>
  </si>
  <si>
    <t>CBRT ForexBuying, bulletin 2025/157</t>
  </si>
  <si>
    <t>CBRT ForexBuying, bulletin 2025/158</t>
  </si>
  <si>
    <t>CBRT ForexBuying, bulletin 2025/159</t>
  </si>
  <si>
    <t>CBRT ForexBuying, bulletin 2025/160</t>
  </si>
  <si>
    <t>CBRT ForexBuying, bulletin 2025/161</t>
  </si>
  <si>
    <t>CBRT ForexBuying, bulletin 2025/162</t>
  </si>
  <si>
    <t>CBRT ForexBuying, bulletin 2025/163</t>
  </si>
  <si>
    <t>CBRT ForexBuying, bulletin 2025/164</t>
  </si>
  <si>
    <t>CBRT ForexBuying, bulletin 2025/165</t>
  </si>
  <si>
    <t>CBRT ForexBuying, bulletin 2025/166</t>
  </si>
  <si>
    <t>CBRT ForexBuying, bulletin 2025/167</t>
  </si>
  <si>
    <t>CBRT ForexBuying, bulletin 2025/168</t>
  </si>
  <si>
    <t>CBRT ForexBuying, bulletin 2025/169</t>
  </si>
  <si>
    <t>CBRT ForexBuying, bulletin 2025/170</t>
  </si>
  <si>
    <t>CBRT ForexBuying, bulletin 2025/171</t>
  </si>
  <si>
    <t>CBRT ForexBuying, bulletin 2025/172</t>
  </si>
  <si>
    <t>CBRT ForexBuying, bulletin 2025/173</t>
  </si>
  <si>
    <t>CBRT ForexBuying, bulletin 2025/174</t>
  </si>
  <si>
    <t>CBRT ForexBuying, bulletin 2025/175</t>
  </si>
  <si>
    <t>CBRT ForexBuying, bulletin 2025/176</t>
  </si>
  <si>
    <t>CBRT ForexBuying, bulletin 2025/177</t>
  </si>
  <si>
    <t>CBRT ForexBuying, bulletin 2025/178</t>
  </si>
  <si>
    <t>CBRT ForexBuying, bulletin 2025/179</t>
  </si>
  <si>
    <t>CBRT ForexBuying, bulletin 2025/180</t>
  </si>
  <si>
    <t>CBRT ForexBuying, bulletin 2025/181</t>
  </si>
  <si>
    <t>CBRT ForexBuying, bulletin 2025/182</t>
  </si>
  <si>
    <t>CBRT ForexBuying, bulletin 2025/183</t>
  </si>
  <si>
    <t>CBRT ForexBuying, bulletin 2025/184</t>
  </si>
  <si>
    <t>CBRT ForexBuying, bulletin 2025/185</t>
  </si>
  <si>
    <t>CBRT ForexBuying, bulletin 2025/186</t>
  </si>
  <si>
    <t>CBRT ForexBuying, bulletin 2025/187</t>
  </si>
  <si>
    <t>CBRT ForexBuying, bulletin 2025/188</t>
  </si>
  <si>
    <t>CBRT ForexBuying, bulletin 2025/189</t>
  </si>
  <si>
    <t>CBRT ForexBuying, bulletin 2025/190</t>
  </si>
  <si>
    <t>CBRT ForexBuying, bulletin 2025/191</t>
  </si>
  <si>
    <t>CBRT ForexBuying, bulletin 2025/192</t>
  </si>
  <si>
    <t>CBRT ForexBuying, bulletin 2025/193</t>
  </si>
  <si>
    <t>CBRT ForexBuying, bulletin 2025/194</t>
  </si>
  <si>
    <t>CBRT ForexBuying, bulletin 2025/195</t>
  </si>
  <si>
    <t>CBRT ForexBuying, bulletin 2025/196</t>
  </si>
  <si>
    <t>CBRT ForexBuying, bulletin 2025/197</t>
  </si>
  <si>
    <t>CBRT ForexBuying, bulletin 2025/198</t>
  </si>
  <si>
    <t>CBRT ForexBuying, bulletin 2025/199</t>
  </si>
  <si>
    <t>CBRT ForexBuying, bulletin 2025/200</t>
  </si>
  <si>
    <t>CBRT ForexBuying, bulletin 2025/201</t>
  </si>
  <si>
    <t>CBRT ForexBuying, bulletin 2025/202</t>
  </si>
  <si>
    <t>CBRT ForexBuying, bulletin 2025/203</t>
  </si>
  <si>
    <t>CBRT ForexBuying, bulletin 2025/204</t>
  </si>
  <si>
    <t>CBRT ForexBuying, bulletin 2025/205</t>
  </si>
  <si>
    <t>CBRT ForexBuying, bulletin 2025/206</t>
  </si>
  <si>
    <t>CBRT ForexBuying, bulletin 2025/207</t>
  </si>
  <si>
    <t>CBRT ForexBuying, bulletin 2025/208</t>
  </si>
  <si>
    <t>CBRT ForexBuying, bulletin 2025/209</t>
  </si>
  <si>
    <t>CBRT ForexBuying, bulletin 2025/210</t>
  </si>
  <si>
    <t>CBRT ForexBuying, bulletin 2025/211</t>
  </si>
  <si>
    <t>CBRT ForexBuying, bulletin 2025/212</t>
  </si>
  <si>
    <t>CBRT ForexBuying, bulletin 2025/213</t>
  </si>
  <si>
    <t>CBRT ForexBuying, bulletin 2025/214</t>
  </si>
  <si>
    <t>CBRT ForexBuying, bulletin 2025/215</t>
  </si>
  <si>
    <t>CBRT ForexBuying, bulletin 2025/216</t>
  </si>
  <si>
    <t>CBRT ForexBuying, bulletin 2025/217</t>
  </si>
  <si>
    <t>CBRT ForexBuying, bulletin 2025/218</t>
  </si>
  <si>
    <t>CBRT ForexBuying, bulletin 2025/219</t>
  </si>
  <si>
    <t>CBRT ForexBuying, bulletin 2025/220</t>
  </si>
  <si>
    <t>CBRT ForexBuying, bulletin 2025/221</t>
  </si>
  <si>
    <t>CBRT ForexBuying, bulletin 2025/222</t>
  </si>
  <si>
    <t>CBRT ForexBuying, bulletin 2025/223</t>
  </si>
  <si>
    <t>CBRT ForexBuying, bulletin 2025/224</t>
  </si>
  <si>
    <t>CBRT ForexBuying, bulletin 2025/225</t>
  </si>
  <si>
    <t>CBRT ForexBuying, bulletin 2025/226</t>
  </si>
  <si>
    <t>CBRT ForexBuying, bulletin 2025/227</t>
  </si>
  <si>
    <t>CBRT ForexBuying, bulletin 2025/228</t>
  </si>
  <si>
    <t>CBRT ForexBuying, bulletin 2025/229</t>
  </si>
  <si>
    <t>CBRT ForexBuying, bulletin 2025/230</t>
  </si>
  <si>
    <t>CBRT ForexBuying, bulletin 2025/231</t>
  </si>
  <si>
    <t>CBRT ForexBuying, bulletin 2025/232</t>
  </si>
  <si>
    <t>CBRT ForexBuying, bulletin 2025/233</t>
  </si>
  <si>
    <t>CBRT ForexBuying, bulletin 2025/234</t>
  </si>
  <si>
    <t>CBRT ForexBuying, bulletin 2025/235</t>
  </si>
  <si>
    <t>CBRT ForexBuying, bulletin 2025/236</t>
  </si>
  <si>
    <t>CBRT ForexBuying, bulletin 2025/237</t>
  </si>
  <si>
    <t>CBRT ForexBuying, bulletin 2025/238</t>
  </si>
  <si>
    <t>CBRT ForexBuying, bulletin 2025/239</t>
  </si>
  <si>
    <t>CBRT ForexBuying, bulletin 2025/240</t>
  </si>
  <si>
    <t>CBRT ForexBuying, bulletin 2025/241</t>
  </si>
  <si>
    <t>CBRT ForexBuying, bulletin 2025/242</t>
  </si>
  <si>
    <t>CBRT ForexBuying, bulletin 2025/243</t>
  </si>
  <si>
    <t>CBRT ForexBuying, bulletin 2025/244</t>
  </si>
  <si>
    <t>CBRT ForexBuying, bulletin 2025/245</t>
  </si>
  <si>
    <t>CBRT ForexBuying, bulletin 2025/246</t>
  </si>
  <si>
    <t>CBRT ForexBuying, bulletin 2025/247</t>
  </si>
  <si>
    <t>CBRT ForexBuying, bulletin 2025/248</t>
  </si>
  <si>
    <t>CBRT ForexBuying, bulletin 2025/249</t>
  </si>
  <si>
    <t>CBRT ForexBuying, bulletin 2026/1</t>
  </si>
  <si>
    <t>CBRT ForexBuying, bulletin 2026/2</t>
  </si>
  <si>
    <t>CBRT ForexBuying, bulletin 2026/3</t>
  </si>
  <si>
    <t>CBRT ForexBuying, bulletin 2026/4</t>
  </si>
  <si>
    <t>CBRT ForexBuying, bulletin 2026/5</t>
  </si>
  <si>
    <t>CBRT ForexBuying, bulletin 2026/6</t>
  </si>
  <si>
    <t>CBRT ForexBuying, bulletin 2026/7</t>
  </si>
  <si>
    <t>CBRT ForexBuying, bulletin 2026/8</t>
  </si>
  <si>
    <t>CBRT ForexBuying, bulletin 2026/9</t>
  </si>
  <si>
    <t>CBRT ForexBuying, bulletin 2026/10</t>
  </si>
  <si>
    <t>CBRT ForexBuying, bulletin 2026/11</t>
  </si>
  <si>
    <t>CBRT ForexBuying, bulletin 2026/12</t>
  </si>
  <si>
    <t>CBRT ForexBuying, bulletin 2026/13</t>
  </si>
  <si>
    <t>CBRT ForexBuying, bulletin 2026/14</t>
  </si>
  <si>
    <t>CBRT ForexBuying, bulletin 2026/15</t>
  </si>
  <si>
    <t>CBRT ForexBuying, bulletin 2026/16</t>
  </si>
  <si>
    <t>CBRT ForexBuying, bulletin 2026/17</t>
  </si>
  <si>
    <t>CBRT ForexBuying, bulletin 2026/18</t>
  </si>
  <si>
    <t>CBRT ForexBuying, bulletin 2026/19</t>
  </si>
  <si>
    <t>CBRT ForexBuying, bulletin 2026/20</t>
  </si>
  <si>
    <t>CBRT ForexBuying, bulletin 2026/21</t>
  </si>
  <si>
    <t>CBRT ForexBuying, bulletin 2026/22</t>
  </si>
  <si>
    <t>CBRT ForexBuying, bulletin 2026/23</t>
  </si>
  <si>
    <t>CBRT ForexBuying, bulletin 2026/24</t>
  </si>
  <si>
    <t>CBRT ForexBuying, bulletin 2026/25</t>
  </si>
  <si>
    <t>CBRT ForexBuying, bulletin 2026/26</t>
  </si>
  <si>
    <t>CBRT ForexBuying, bulletin 2026/27</t>
  </si>
  <si>
    <t>CBRT ForexBuying, bulletin 2026/28</t>
  </si>
  <si>
    <t>CBRT ForexBuying, bulletin 2026/29</t>
  </si>
  <si>
    <t>CBRT ForexBuying, bulletin 2026/30</t>
  </si>
  <si>
    <t>CBRT ForexBuying, bulletin 2026/31</t>
  </si>
  <si>
    <t>CBRT ForexBuying, bulletin 2026/32</t>
  </si>
  <si>
    <t>CBRT ForexBuying, bulletin 2026/33</t>
  </si>
  <si>
    <t>CBRT ForexBuying, bulletin 2026/34</t>
  </si>
  <si>
    <t>CBRT ForexBuying, bulletin 2026/35</t>
  </si>
  <si>
    <t>CBRT ForexBuying, bulletin 2026/36</t>
  </si>
  <si>
    <t>CBRT ForexBuying, bulletin 2026/37</t>
  </si>
  <si>
    <t>CBRT ForexBuying, bulletin 2026/38</t>
  </si>
  <si>
    <t>CBRT ForexBuying, bulletin 2026/39</t>
  </si>
  <si>
    <t>CBRT ForexBuying, bulletin 2026/40</t>
  </si>
  <si>
    <t>CBRT ForexBuying, bulletin 2026/41</t>
  </si>
  <si>
    <t>CBRT ForexBuying, bulletin 2026/42</t>
  </si>
  <si>
    <t>CBRT ForexBuying, bulletin 2026/43</t>
  </si>
  <si>
    <t>CBRT ForexBuying, bulletin 2026/44</t>
  </si>
  <si>
    <t>CBRT ForexBuying, bulletin 2026/45</t>
  </si>
  <si>
    <t>CBRT ForexBuying, bulletin 2026/46</t>
  </si>
  <si>
    <t>CBRT ForexBuying, bulletin 2026/47</t>
  </si>
  <si>
    <t>CBRT ForexBuying, bulletin 2026/48</t>
  </si>
  <si>
    <t>CBRT ForexBuying, bulletin 2026/49</t>
  </si>
  <si>
    <t>CBRT ForexBuying, bulletin 2026/50</t>
  </si>
  <si>
    <t>CBRT ForexBuying, bulletin 2026/51</t>
  </si>
  <si>
    <t>CBRT ForexBuying, bulletin 2026/52</t>
  </si>
  <si>
    <t>CBRT ForexBuying, bulletin 2026/53</t>
  </si>
  <si>
    <t>CBRT ForexBuying, bulletin 2026/54</t>
  </si>
  <si>
    <t>CBRT ForexBuying, bulletin 2026/55</t>
  </si>
  <si>
    <t>CBRT ForexBuying, bulletin 2026/56</t>
  </si>
  <si>
    <t>CBRT ForexBuying, bulletin 2026/57</t>
  </si>
  <si>
    <t>CBRT ForexBuying, bulletin 2026/58</t>
  </si>
  <si>
    <t>CBRT ForexBuying, bulletin 2026/59</t>
  </si>
  <si>
    <t>CBRT ForexBuying, bulletin 2026/60</t>
  </si>
  <si>
    <t>CBRT ForexBuying, bulletin 2026/61</t>
  </si>
  <si>
    <t>CBRT ForexBuying, bulletin 2026/62</t>
  </si>
  <si>
    <t>CBRT ForexBuying, bulletin 2026/63</t>
  </si>
  <si>
    <t>CBRT ForexBuying, bulletin 2026/64</t>
  </si>
  <si>
    <t>CBRT ForexBuying, bulletin 2026/65</t>
  </si>
  <si>
    <t>CBRT ForexBuying, bulletin 2026/66</t>
  </si>
  <si>
    <t>CBRT ForexBuying, bulletin 2026/67</t>
  </si>
  <si>
    <t>CBRT ForexBuying, bulletin 2026/68</t>
  </si>
  <si>
    <t>CBRT ForexBuying, bulletin 2026/69</t>
  </si>
  <si>
    <t>CBRT ForexBuying, bulletin 2026/70</t>
  </si>
  <si>
    <t>CBRT ForexBuying, bulletin 2026/71</t>
  </si>
  <si>
    <t>CBRT ForexBuying, bulletin 2026/72</t>
  </si>
  <si>
    <t>CBRT ForexBuying, bulletin 2026/73</t>
  </si>
  <si>
    <t>CBRT ForexBuying, bulletin 2026/74</t>
  </si>
  <si>
    <t>CBRT ForexBuying, bulletin 2026/75</t>
  </si>
  <si>
    <t>CBRT ForexBuying, bulletin 2026/76</t>
  </si>
  <si>
    <t>CBRT ForexBuying, bulletin 2026/77</t>
  </si>
  <si>
    <t>CBRT ForexBuying, bulletin 2026/78</t>
  </si>
  <si>
    <t>CBRT ForexBuying, bulletin 2026/79</t>
  </si>
  <si>
    <t>CBRT ForexBuying, bulletin 2026/80</t>
  </si>
  <si>
    <t>CBRT ForexBuying, bulletin 2026/81</t>
  </si>
  <si>
    <t>CBRT ForexBuying, bulletin 2026/82</t>
  </si>
  <si>
    <t>CBRT ForexBuying, bulletin 2026/83</t>
  </si>
  <si>
    <t>CBRT ForexBuying, bulletin 2026/84</t>
  </si>
  <si>
    <t>CBRT ForexBuying, bulletin 2026/85</t>
  </si>
  <si>
    <t>CBRT ForexBuying, bulletin 2026/86</t>
  </si>
  <si>
    <t>CBRT ForexBuying, bulletin 2026/87</t>
  </si>
  <si>
    <t>CBRT ForexBuying, bulletin 2026/88</t>
  </si>
  <si>
    <t>CBRT ForexBuying, bulletin 2026/89</t>
  </si>
  <si>
    <t>CBRT ForexBuying, bulletin 2026/90</t>
  </si>
  <si>
    <t>CBRT ForexBuying, bulletin 2026/91</t>
  </si>
  <si>
    <t>CBRT ForexBuying, bulletin 2026/92</t>
  </si>
  <si>
    <t>CBRT ForexBuying, bulletin 2026/93</t>
  </si>
  <si>
    <t>CBRT ForexBuying, bulletin 2026/94</t>
  </si>
  <si>
    <t>CBRT ForexBuying, bulletin 2026/95</t>
  </si>
  <si>
    <t>CBRT ForexBuying, bulletin 2026/96</t>
  </si>
  <si>
    <t>CBRT ForexBuying, bulletin 2026/97</t>
  </si>
  <si>
    <t>CBRT ForexBuying, bulletin 2026/98</t>
  </si>
  <si>
    <t>CBRT ForexBuying, bulletin 2026/99</t>
  </si>
  <si>
    <t>CBRT ForexBuying, bulletin 2026/100</t>
  </si>
  <si>
    <t>CBRT ForexBuying, bulletin 2026/101</t>
  </si>
  <si>
    <t>CBRT ForexBuying, bulletin 2026/102</t>
  </si>
  <si>
    <t>CBRT ForexBuying, bulletin 2026/103</t>
  </si>
  <si>
    <t>CBRT ForexBuying, bulletin 2026/104</t>
  </si>
  <si>
    <t>CBRT ForexBuying, bulletin 2026/105</t>
  </si>
  <si>
    <t>CBRT ForexBuying, bulletin 2026/106</t>
  </si>
  <si>
    <t>CBRT ForexBuying, bulletin 2026/107</t>
  </si>
  <si>
    <t>CBRT ForexBuying, bulletin 2026/108</t>
  </si>
  <si>
    <t>CBRT ForexBuying, bulletin 2026/109</t>
  </si>
  <si>
    <t>CBRT ForexBuying, bulletin 2026/110</t>
  </si>
  <si>
    <t>CBRT ForexBuying, bulletin 2026/111</t>
  </si>
  <si>
    <t>CBRT ForexBuying, bulletin 2026/112</t>
  </si>
  <si>
    <t>CBRT ForexBuying, bulletin 2026/113</t>
  </si>
  <si>
    <t>CBRT ForexBuying, bulletin 2026/114</t>
  </si>
  <si>
    <t>CBRT ForexBuying, bulletin 2026/115</t>
  </si>
  <si>
    <t>CBRT ForexBuying, bulletin 2026/116</t>
  </si>
  <si>
    <t>CBRT ForexBuying, bulletin 2026/117</t>
  </si>
  <si>
    <t>CBRT ForexBuying, bulletin 2026/118</t>
  </si>
  <si>
    <t>CBRT ForexBuying, bulletin 2026/119</t>
  </si>
  <si>
    <t>CBRT ForexBuying, bulletin 2026/120</t>
  </si>
  <si>
    <t>CBRT ForexBuying, bulletin 2026/121</t>
  </si>
  <si>
    <t>CBRT ForexBuying, bulletin 2026/122</t>
  </si>
  <si>
    <t>CBRT ForexBuying, bulletin 2026/123</t>
  </si>
  <si>
    <t>CBRT ForexBuying, bulletin 2026/124</t>
  </si>
  <si>
    <t>CBRT ForexBuying, bulletin 2026/125</t>
  </si>
  <si>
    <t>CBRT ForexBuying, bulletin 2026/126</t>
  </si>
  <si>
    <t>CBRT ForexBuying, bulletin 2026/127</t>
  </si>
  <si>
    <t>CBRT ForexBuying, bulletin 2026/128</t>
  </si>
  <si>
    <t>CBRT ForexBuying, bulletin 2026/129</t>
  </si>
  <si>
    <t>CBRT ForexBuying, bulletin 2026/130</t>
  </si>
  <si>
    <t>CBRT ForexBuying, bulletin 2026/131</t>
  </si>
  <si>
    <t>CBRT ForexBuying, bulletin 2026/132</t>
  </si>
  <si>
    <t>CBRT ForexBuying, bulletin 2026/133</t>
  </si>
  <si>
    <t>CBRT ForexBuying, bulletin 2026/134</t>
  </si>
  <si>
    <t>CBRT ForexBuying, bulletin 2026/135</t>
  </si>
  <si>
    <t>CBRT ForexBuying, bulletin 2026/136</t>
  </si>
  <si>
    <t>CBRT ForexBuying, bulletin 2026/137</t>
  </si>
  <si>
    <t>CBRT ForexBuying, bulletin 2026/138</t>
  </si>
  <si>
    <t>CBRT ForexBuying, bulletin 2026/139</t>
  </si>
  <si>
    <t>CBRT ForexBuying, bulletin 2026/140</t>
  </si>
  <si>
    <t>CBRT ForexBuying, bulletin 2026/141</t>
  </si>
  <si>
    <t>CBRT ForexBuying, bulletin 2026/142</t>
  </si>
  <si>
    <t>CBRT ForexBuying, bulletin 2026/143</t>
  </si>
  <si>
    <t>CBRT ForexBuying, bulletin 2026/144</t>
  </si>
  <si>
    <t>CBRT ForexBuying, bulletin 2026/145</t>
  </si>
  <si>
    <t>CBRT ForexBuying, bulletin 2026/146</t>
  </si>
  <si>
    <t>CBRT ForexBuying, bulletin 2026/147</t>
  </si>
  <si>
    <t>CBRT ForexBuying, bulletin 2026/148</t>
  </si>
  <si>
    <t>CBRT ForexBuying, bulletin 2026/149</t>
  </si>
  <si>
    <t>CBRT ForexBuying, bulletin 2026/150</t>
  </si>
  <si>
    <t>CBRT ForexBuying, bulletin 2026/151</t>
  </si>
  <si>
    <t>CBRT ForexBuying, bulletin 2026/152</t>
  </si>
  <si>
    <t>CBRT ForexBuying, bulletin 2026/153</t>
  </si>
  <si>
    <t>CBRT ForexBuying, bulletin 2026/154</t>
  </si>
  <si>
    <t>CBRT ForexBuying, bulletin 2026/155</t>
  </si>
  <si>
    <t>CBRT ForexBuying, bulletin 2026/156</t>
  </si>
  <si>
    <t>CBRT ForexBuying, bulletin 2026/157</t>
  </si>
  <si>
    <t>CBRT ForexBuying, bulletin 2026/158</t>
  </si>
  <si>
    <t>CBRT ForexBuying, bulletin 2026/159</t>
  </si>
  <si>
    <t>CBRT ForexBuying, bulletin 2026/160</t>
  </si>
  <si>
    <t>CBRT ForexBuying, bulletin 2026/161</t>
  </si>
  <si>
    <t>CBRT ForexBuying, bulletin 2026/162</t>
  </si>
  <si>
    <t>CBRT ForexBuying, bulletin 2026/163</t>
  </si>
  <si>
    <t>CBRT ForexBuying, bulletin 2026/164</t>
  </si>
  <si>
    <t>CBRT ForexBuying, bulletin 2026/165</t>
  </si>
  <si>
    <t>CBRT ForexBuying, bulletin 2026/166</t>
  </si>
  <si>
    <t>CBRT ForexBuying, bulletin 2026/167</t>
  </si>
  <si>
    <t>CBRT ForexBuying, bulletin 2026/168</t>
  </si>
  <si>
    <t>CBRT ForexBuying, bulletin 2026/169</t>
  </si>
  <si>
    <t>CBRT ForexBuying, bulletin 2026/170</t>
  </si>
  <si>
    <t>CBRT ForexBuying, bulletin 2026/171</t>
  </si>
  <si>
    <t>CBRT ForexBuying, bulletin 2026/172</t>
  </si>
  <si>
    <t>CBRT ForexBuying, bulletin 2026/173</t>
  </si>
  <si>
    <t>CBRT ForexBuying, bulletin 2026/174</t>
  </si>
  <si>
    <t>CBRT ForexBuying, bulletin 2026/175</t>
  </si>
  <si>
    <t>CBRT ForexBuying, bulletin 2026/176</t>
  </si>
  <si>
    <t>CBRT ForexBuying, bulletin 2026/177</t>
  </si>
  <si>
    <t>CBRT ForexBuying, bulletin 2026/178</t>
  </si>
  <si>
    <t>CBRT ForexBuying, bulletin 2026/179</t>
  </si>
  <si>
    <t>CBRT ForexBuying, bulletin 2026/180</t>
  </si>
  <si>
    <t>CBRT ForexBuying, bulletin 2026/181</t>
  </si>
  <si>
    <t>Reconciliation to an independent source (tblRecon)</t>
  </si>
  <si>
    <t>Basis / tolerance in use:</t>
  </si>
  <si>
    <t>IndependentTotal</t>
  </si>
  <si>
    <t>SourceReference</t>
  </si>
  <si>
    <t>EnteredBy</t>
  </si>
  <si>
    <t>Explanation</t>
  </si>
  <si>
    <t>ModelTotal</t>
  </si>
  <si>
    <t>Variance</t>
  </si>
  <si>
    <t>ToleranceApplied</t>
  </si>
  <si>
    <t>Archive log (tblArchiveLog) - evidence of each closed month</t>
  </si>
  <si>
    <t>CurrentRows</t>
  </si>
  <si>
    <t>CurrentHashTotal</t>
  </si>
  <si>
    <t>CurrentGrossTRY</t>
  </si>
  <si>
    <t>ArchiveFiles</t>
  </si>
  <si>
    <t>IntegrityStatus</t>
  </si>
  <si>
    <t>STG_Refresh - Power Query output</t>
  </si>
  <si>
    <t>One row stamped at every refresh (time, mode, period, folders). Used by ControlPanel check 1.  Overwritten at every refresh - never type here. Query code: M_Code / PowerQuery_M.</t>
  </si>
  <si>
    <t>STG_Files - Power Query output</t>
  </si>
  <si>
    <t>Every candidate file in the source tree with MatchStatus / Reason (metadata only - no file is opened). Used by checks 3-6.  Overwritten at every refresh - never type here. Query code: M_Code / PowerQuery_M.</t>
  </si>
  <si>
    <t>STG_ActiveFact - Power Query output</t>
  </si>
  <si>
    <t>Payment lines of the ACTIVE period exactly as they enter the Data Model (personal data removed) + control flags. Used by checks 1, 8-13 and KPI_Check. At close this table is exported (values only) as the archive file.  Overwritten at every refresh - never type here. Query code: M_Code / PowerQuery_M.</t>
  </si>
  <si>
    <t>STG_Summary - Power Query output</t>
  </si>
  <si>
    <t>Totals per period x company x currency x source (archive / active). Used by Recon, ArchiveLog, KPI_Check (previous month).  Overwritten at every refresh - never type here. Query code: M_Code / PowerQuery_M.</t>
  </si>
  <si>
    <t>STG_DQ - Power Query output</t>
  </si>
  <si>
    <t>Data-quality issues of the active period (per file) and of the dictionary. Used by check 12.  Overwritten at every refresh - never type here. Query code: M_Code / PowerQuery_M.</t>
  </si>
  <si>
    <t>Data Model - star schema</t>
  </si>
  <si>
    <t>Grain of the fact: one payment line (one source row). Built by Power Query, loaded to the Excel Data Model (Power Pivot).</t>
  </si>
  <si>
    <t>DimDate</t>
  </si>
  <si>
    <t>Date  (key)</t>
  </si>
  <si>
    <t>Year, MonthNo, Quarter</t>
  </si>
  <si>
    <t>PeriodKey, YearMonth</t>
  </si>
  <si>
    <t>PeriodStatus, MonthsFromActive</t>
  </si>
  <si>
    <t>^  1 : many</t>
  </si>
  <si>
    <t>PeriodDate  = ACTIVE (default)</t>
  </si>
  <si>
    <t>PaymentDate / LossDate / Notification-</t>
  </si>
  <si>
    <t>Date / DecisionDate  = INACTIVE</t>
  </si>
  <si>
    <t>FactPayment  (payment line)</t>
  </si>
  <si>
    <t>DimFXRate</t>
  </si>
  <si>
    <t>CompanyID  (key)</t>
  </si>
  <si>
    <t>CompanyID, PeriodKey, PeriodDate, SourceFile, SourceRowNo</t>
  </si>
  <si>
    <t>FXKey  (key)</t>
  </si>
  <si>
    <t>&lt;-- CompanyID  1 : many</t>
  </si>
  <si>
    <t>CaseNo, InstallmentSeq, CoverCode ...</t>
  </si>
  <si>
    <t>FXKey  1 : many --&gt;</t>
  </si>
  <si>
    <t>CurrencyCode, RateDate</t>
  </si>
  <si>
    <t>LossDate, NotificationDate, DecisionDate, PaymentDate</t>
  </si>
  <si>
    <t>CompanyLabel</t>
  </si>
  <si>
    <t>GrossAmount, NetAmount, CurrencyCode</t>
  </si>
  <si>
    <t>PublishedRateDate, DaysCarriedForward</t>
  </si>
  <si>
    <t>GrossAmountTRY, NetAmountTRY, RateToTRY</t>
  </si>
  <si>
    <t>CaseKey, LineKey, FXKey + control flags</t>
  </si>
  <si>
    <t>Relationships</t>
  </si>
  <si>
    <t>From (many side)</t>
  </si>
  <si>
    <t>To (one side)</t>
  </si>
  <si>
    <t>Cardinality / filter</t>
  </si>
  <si>
    <t>FactPayment[PeriodDate]</t>
  </si>
  <si>
    <t>Active</t>
  </si>
  <si>
    <t>DimDate[Date]</t>
  </si>
  <si>
    <t>Many-to-one, single direction</t>
  </si>
  <si>
    <t>DEFAULT. Reporting-period view: equals the close, the reconciliation, the archive and month-over-month.</t>
  </si>
  <si>
    <t>FactPayment[PaymentDate]</t>
  </si>
  <si>
    <t>Inactive</t>
  </si>
  <si>
    <t>Cash view - measure 'Total Payments TRY by Payment Date' (USERELATIONSHIP).</t>
  </si>
  <si>
    <t>FactPayment[LossDate]</t>
  </si>
  <si>
    <t>Incurred / accident-period view - measure 'Total Payments TRY by Loss Date' (USERELATIONSHIP).</t>
  </si>
  <si>
    <t>FactPayment[NotificationDate]</t>
  </si>
  <si>
    <t>Reported-period view - 'Total Payments TRY by Notification Date'.</t>
  </si>
  <si>
    <t>FactPayment[DecisionDate]</t>
  </si>
  <si>
    <t>Decision-period view - 'Total Payments TRY by Decision Date'.</t>
  </si>
  <si>
    <t>FactPayment[CompanyID]</t>
  </si>
  <si>
    <t>DimCompany[CompanyID]</t>
  </si>
  <si>
    <t>Company slicing and company share.</t>
  </si>
  <si>
    <t>FactPayment[FXKey]</t>
  </si>
  <si>
    <t>DimFXRate[FXKey]</t>
  </si>
  <si>
    <t>Transparency of the applied rate (publication date, days carried forward).</t>
  </si>
  <si>
    <t>Why PeriodDate (first day of the file period) is the default: the close, the reconciliation, the archive and month-over-month are all by reporting period, so a pivot by month always equals the closing figures. Payment / loss / notification / decision dates remain available as inactive relationships through the '... by Payment Date' style measures (USERELATIONSHIP). v1.0.0 used PaymentDate; changed at go-live (Changelog 1.1.0).</t>
  </si>
  <si>
    <t>Tables and columns</t>
  </si>
  <si>
    <t>Fact - one row per payment line (source row). Archive (closed months) + active period.</t>
  </si>
  <si>
    <t>Column</t>
  </si>
  <si>
    <t>PaymentLineID</t>
  </si>
  <si>
    <t>Whole number</t>
  </si>
  <si>
    <t>Row id within one refresh (not stable across refreshes).</t>
  </si>
  <si>
    <t>From the file name. -&gt; DimCompany[CompanyID].</t>
  </si>
  <si>
    <t>Reporting period YYYYMM from the file name.</t>
  </si>
  <si>
    <t>PeriodDate</t>
  </si>
  <si>
    <t>First day of the reporting period. -&gt; DimDate[Date] (ACTIVE, default relationship).</t>
  </si>
  <si>
    <t>DataSource</t>
  </si>
  <si>
    <t>ACTIVE (re-read this refresh) or ARCHIVE (frozen).</t>
  </si>
  <si>
    <t>SourceFile</t>
  </si>
  <si>
    <t>Original source file name - audit trail.</t>
  </si>
  <si>
    <t>SourceRowNo</t>
  </si>
  <si>
    <t>Row number in the source sheet (header = row 1) - audit trail.</t>
  </si>
  <si>
    <t>Archive file the closed month was read from.</t>
  </si>
  <si>
    <t>[Core] Claim/case file number (dosya no). Business key, always text so leading zeros survive. A repeated CaseNo is an installment or partial payment, never a duplicate by itself.  (from tblColumnMap)</t>
  </si>
  <si>
    <t>[Core] Date the payment was made. Drives the ACTIVE relationship to DimDate, the FX-rate lookup and the 'payment outside file period' check.  (from tblColumnMap)</t>
  </si>
  <si>
    <t>[Core] Payment decision date (odeme karar tarihi). Third link of the chronology chain.  (from tblColumnMap)</t>
  </si>
  <si>
    <t>[Core] Loss / event date (hasar tarihi). Inactive relationship to DimDate for incurred (accident-period) views; first link of the chronology chain.  (from tblColumnMap)</t>
  </si>
  <si>
    <t>[Core] Notification date (ihbar tarihi). Inactive relationship to DimDate; start of 'days from notification to payment'.  (from tblColumnMap)</t>
  </si>
  <si>
    <t>Product code - slicing dimension.  (from tblColumnMap)</t>
  </si>
  <si>
    <t>Cause of loss (hasar nedeni).  (from tblColumnMap)</t>
  </si>
  <si>
    <t>Fixed decimal</t>
  </si>
  <si>
    <t>[Core] Payment amount in CurrencyCode (odeme miktari). Basis of 'total payments' and of the reconciliation (parameter ReconBasis).  (from tblColumnMap)</t>
  </si>
  <si>
    <t>[Core] Payment currency, normalised to an ISO code through tblCurrencyAlias (TL/YTL -&gt; TRY).  (from tblColumnMap)</t>
  </si>
  <si>
    <t>[Core] Net amount paid after deductions (deductible, withholding) as delivered by the source - basis of 'net payments'.  (from tblColumnMap)</t>
  </si>
  <si>
    <t>Product name.  (from tblColumnMap)</t>
  </si>
  <si>
    <t>Case status (dosya durumu).  (from tblColumnMap)</t>
  </si>
  <si>
    <t>Cover (teminat) code. Part of the duplicate-key definition: one installment may pay several covers.  (from tblColumnMap)</t>
  </si>
  <si>
    <t>[Core] Installment / partial-payment sequence (taksit sirasi). Distinguishes legitimate repeated case numbers; part of the duplicate key.  (from tblColumnMap)</t>
  </si>
  <si>
    <t>Policy / contract number. Text - leading zeros kept.  (from tblColumnMap)</t>
  </si>
  <si>
    <t>Product type.  (from tblColumnMap)</t>
  </si>
  <si>
    <t>Indemnity type / reason (tazminat tur/neden), e.g. death, disability, exit.  (from tblColumnMap)</t>
  </si>
  <si>
    <t>Payment voucher (tediye) number. Part of the duplicate key when the company provides it.  (from tblColumnMap)</t>
  </si>
  <si>
    <t>Tariff / plan code.  (from tblColumnMap)</t>
  </si>
  <si>
    <t>CaseKey</t>
  </si>
  <si>
    <t>CompanyID|CaseNo - case numbers are unique only within a company.</t>
  </si>
  <si>
    <t>LineKey</t>
  </si>
  <si>
    <t>Business key built from parameter DuplicateKeyColumns.</t>
  </si>
  <si>
    <t>FXKey</t>
  </si>
  <si>
    <t>CurrencyCode|yyyyMMdd of PaymentDate. -&gt; DimFXRate[FXKey].</t>
  </si>
  <si>
    <t>Decimal</t>
  </si>
  <si>
    <t>Rate applied (1 for TRY); frozen for archived months.</t>
  </si>
  <si>
    <t>GrossAmountTRY</t>
  </si>
  <si>
    <t>GrossAmount x RateToTRY.</t>
  </si>
  <si>
    <t>NetAmountTRY</t>
  </si>
  <si>
    <t>NetAmount x RateToTRY.</t>
  </si>
  <si>
    <t>FXRateMissing</t>
  </si>
  <si>
    <t>1 = foreign-currency line without usable rate.</t>
  </si>
  <si>
    <t>DuplicateKeyCount</t>
  </si>
  <si>
    <t>Lines in the whole history sharing this LineKey.</t>
  </si>
  <si>
    <t>IsDuplicateKey</t>
  </si>
  <si>
    <t>1 when DuplicateKeyCount &gt; 1.</t>
  </si>
  <si>
    <t>DuplicateScope</t>
  </si>
  <si>
    <t>WITHIN PERIOD or ACROSS PERIODS.</t>
  </si>
  <si>
    <t>ChronoViolation</t>
  </si>
  <si>
    <t>1 = dates of ChronologyChain decrease somewhere.</t>
  </si>
  <si>
    <t>ChronoDetail</t>
  </si>
  <si>
    <t>Which pair is inverted, e.g. 'NotificationDate &gt; DecisionDate'.</t>
  </si>
  <si>
    <t>PaymentOutsidePeriod</t>
  </si>
  <si>
    <t>1 = PaymentDate month differs from the file period.</t>
  </si>
  <si>
    <t>DaysNotificationToPayment</t>
  </si>
  <si>
    <t>PaymentDate - NotificationDate in days.</t>
  </si>
  <si>
    <t>Calendar 1 Jan DimDateStartYear - 31 Dec DimDateEndYear, one row per day.</t>
  </si>
  <si>
    <t>Key. Active: FactPayment[PeriodDate]; inactive: PaymentDate, LossDate, NotificationDate, DecisionDate.</t>
  </si>
  <si>
    <t>Year</t>
  </si>
  <si>
    <t>MonthNo</t>
  </si>
  <si>
    <t>YYYYMM - aligns with FactPayment[PeriodKey].</t>
  </si>
  <si>
    <t>YearMonth</t>
  </si>
  <si>
    <t>'2026-08' - sorts correctly as text.</t>
  </si>
  <si>
    <t>Quarter</t>
  </si>
  <si>
    <t>'Q3'</t>
  </si>
  <si>
    <t>YearQuarter</t>
  </si>
  <si>
    <t>'2026-Q3'</t>
  </si>
  <si>
    <t>MonthStart</t>
  </si>
  <si>
    <t>MonthEnd</t>
  </si>
  <si>
    <t>MonthsFromActive</t>
  </si>
  <si>
    <t>0 = active period, -1 = previous month ... (relative filters).</t>
  </si>
  <si>
    <t>PeriodStatus</t>
  </si>
  <si>
    <t>Active / Closed / Future relative to ActivePeriod at refresh.</t>
  </si>
  <si>
    <t>Companies from tblDimCompany.</t>
  </si>
  <si>
    <t>Key (text, as in the file name).</t>
  </si>
  <si>
    <t>Non-life / Life / Pension.</t>
  </si>
  <si>
    <t>'2177 - name' for pivot rows.</t>
  </si>
  <si>
    <t>Key: CurrencyCode|yyyyMMdd.</t>
  </si>
  <si>
    <t>Calendar day.</t>
  </si>
  <si>
    <t>Rate valid on RateDate.</t>
  </si>
  <si>
    <t>PublishedRateDate</t>
  </si>
  <si>
    <t>Business day the rate was published.</t>
  </si>
  <si>
    <t>DaysCarriedForward</t>
  </si>
  <si>
    <t>RateDate - PublishedRateDate (0 on business days).</t>
  </si>
  <si>
    <t>DAX measures (copy-paste ready)</t>
  </si>
  <si>
    <t>All measures live in table FactPayment. Power Pivot &gt; Measures &gt; New Measure: Table = Home table, Measure name = column B, Formula = '=' + expression. Use column E on a Turkish-locale PC (';' separators) and column D elsewhere (DAX Studio, Power BI, English locale). These measures already exist in this workbook's Data Model.</t>
  </si>
  <si>
    <t>Measure</t>
  </si>
  <si>
    <t>Home table</t>
  </si>
  <si>
    <t>DAX expression (en-US: , separators)</t>
  </si>
  <si>
    <t>DAX expression (tr-TR: ; separators)</t>
  </si>
  <si>
    <t>Format</t>
  </si>
  <si>
    <t>Business definition</t>
  </si>
  <si>
    <t>Worksheet cross-check</t>
  </si>
  <si>
    <t>SUM ( FactPayment[GrossAmountTRY] )</t>
  </si>
  <si>
    <t>Decimal, 2 dp, thousands sep.</t>
  </si>
  <si>
    <t>Gross payments converted to TRY at the payment-date CBRT rate (archived months: rate frozen at close), placed on the reporting period (default relationship).</t>
  </si>
  <si>
    <t>KPI_Check!D6</t>
  </si>
  <si>
    <t>SUM ( FactPayment[NetAmountTRY] )</t>
  </si>
  <si>
    <t>Net payments (after source-side deductions) in TRY. Blank where a company does not deliver a net amount (reported as MISSING COLUMN).</t>
  </si>
  <si>
    <t>KPI_Check!D7</t>
  </si>
  <si>
    <t>[Total Payments TRY] - [Net Payments TRY]</t>
  </si>
  <si>
    <t>Deductions (deductible, withholding) implied by the source amounts.</t>
  </si>
  <si>
    <t>KPI_Check!D8</t>
  </si>
  <si>
    <t>COUNTROWS ( FactPayment )</t>
  </si>
  <si>
    <t>Whole number, thousands sep.</t>
  </si>
  <si>
    <t>Number of payment lines (= source rows; installments count separately).</t>
  </si>
  <si>
    <t>KPI_Check!D9</t>
  </si>
  <si>
    <t>DISTINCTCOUNT ( FactPayment[CaseKey] )</t>
  </si>
  <si>
    <t>Distinct claims / cases paid, counted on CompanyID|CaseNo.</t>
  </si>
  <si>
    <t>KPI_Check!D10</t>
  </si>
  <si>
    <t>CALCULATE ( [Total Payments TRY], DATEADD ( DimDate[Date], -1, MONTH ), ALL ( DimDate ) )</t>
  </si>
  <si>
    <t>CALCULATE ( [Total Payments TRY]; DATEADD ( DimDate[Date]; -1; MONTH ); ALL ( DimDate ) )</t>
  </si>
  <si>
    <t>Total Payments TRY of the previous reporting period. ALL(DimDate) makes it independent of 'Mark as Date Table'.</t>
  </si>
  <si>
    <t>KPI_Check!D11</t>
  </si>
  <si>
    <t>VAR Cur = [Total Payments TRY] VAR Prev = [Total Payments TRY PM] RETURN IF ( NOT ISBLANK ( Cur ) &amp;&amp; NOT ISBLANK ( Prev ), Cur - Prev )</t>
  </si>
  <si>
    <t>VAR Cur = [Total Payments TRY] VAR Prev = [Total Payments TRY PM] RETURN IF ( NOT ISBLANK ( Cur ) &amp;&amp; NOT ISBLANK ( Prev ); Cur - Prev )</t>
  </si>
  <si>
    <t>Month-over-month change in TRY; blank when the month or its previous month has no payments.</t>
  </si>
  <si>
    <t>KPI_Check!D12</t>
  </si>
  <si>
    <t>DIVIDE ( [MoM Change TRY], [Total Payments TRY PM] )</t>
  </si>
  <si>
    <t>DIVIDE ( [MoM Change TRY]; [Total Payments TRY PM] )</t>
  </si>
  <si>
    <t>Percentage, 1 dp</t>
  </si>
  <si>
    <t>Month-over-month change as a fraction of the previous month.</t>
  </si>
  <si>
    <t>KPI_Check!D13</t>
  </si>
  <si>
    <t>Company Share of Total %</t>
  </si>
  <si>
    <t>DIVIDE ( [Total Payments TRY], CALCULATE ( [Total Payments TRY], ALL ( DimCompany ) ) )</t>
  </si>
  <si>
    <t>DIVIDE ( [Total Payments TRY]; CALCULATE ( [Total Payments TRY]; ALL ( DimCompany ) ) )</t>
  </si>
  <si>
    <t>Share of each company in the total of the current filter context (other filters kept).</t>
  </si>
  <si>
    <t>KPI_Check!F20:F59</t>
  </si>
  <si>
    <t>AVERAGEX ( FILTER ( FactPayment, NOT ISBLANK ( FactPayment[DaysNotificationToPayment] ) &amp;&amp; FactPayment[DaysNotificationToPayment] &gt;= 0 ), FactPayment[DaysNotificationToPayment] )</t>
  </si>
  <si>
    <t>AVERAGEX ( FILTER ( FactPayment; NOT ISBLANK ( FactPayment[DaysNotificationToPayment] ) &amp;&amp; FactPayment[DaysNotificationToPayment] &gt;= 0 ); FactPayment[DaysNotificationToPayment] )</t>
  </si>
  <si>
    <t>Decimal, 1 dp, thousands sep.</t>
  </si>
  <si>
    <t>Average calendar days from notification to payment per payment line; negative values (chronology breaks) excluded.</t>
  </si>
  <si>
    <t>KPI_Check!D14</t>
  </si>
  <si>
    <t>VAR MaxPeriod = MAX ( DimDate[PeriodKey] ) RETURN COUNTROWS ( FILTER ( VALUES ( FactPayment[CaseKey] ), CALCULATE ( COUNTROWS ( FactPayment ), ALL ( DimDate ), FactPayment[PeriodKey] &lt;= MaxPeriod ) &gt; 1 ) )</t>
  </si>
  <si>
    <t>VAR MaxPeriod = MAX ( DimDate[PeriodKey] ) RETURN COUNTROWS ( FILTER ( VALUES ( FactPayment[CaseKey] ); CALCULATE ( COUNTROWS ( FactPayment ); ALL ( DimDate ); FactPayment[PeriodKey] &lt;= MaxPeriod ) &gt; 1 ) )</t>
  </si>
  <si>
    <t>Cases in context with 2 or more payment lines in all periods up to the last period in context (as-of).</t>
  </si>
  <si>
    <t>KPI_Check!D15</t>
  </si>
  <si>
    <t>DIVIDE ( [Partial Payment Cases], [Distinct Cases] )</t>
  </si>
  <si>
    <t>DIVIDE ( [Partial Payment Cases]; [Distinct Cases] )</t>
  </si>
  <si>
    <t>Share of paid cases that are paid in more than one line (installments / partial payments).</t>
  </si>
  <si>
    <t>KPI_Check!D16</t>
  </si>
  <si>
    <t>Total Payments TRY by Payment Date</t>
  </si>
  <si>
    <t>CALCULATE ( [Total Payments TRY], USERELATIONSHIP ( FactPayment[PaymentDate], DimDate[Date] ) )</t>
  </si>
  <si>
    <t>CALCULATE ( [Total Payments TRY]; USERELATIONSHIP ( FactPayment[PaymentDate]; DimDate[Date] ) )</t>
  </si>
  <si>
    <t>Payments placed on the PAYMENT date (cash view) via the inactive relationship.</t>
  </si>
  <si>
    <t>Total Payments TRY by Loss Date</t>
  </si>
  <si>
    <t>CALCULATE ( [Total Payments TRY], USERELATIONSHIP ( FactPayment[LossDate], DimDate[Date] ) )</t>
  </si>
  <si>
    <t>CALCULATE ( [Total Payments TRY]; USERELATIONSHIP ( FactPayment[LossDate]; DimDate[Date] ) )</t>
  </si>
  <si>
    <t>Payments placed on the LOSS date (incurred / accident-period view) via the inactive relationship.</t>
  </si>
  <si>
    <t>Total Payments TRY by Notification Date</t>
  </si>
  <si>
    <t>CALCULATE ( [Total Payments TRY], USERELATIONSHIP ( FactPayment[NotificationDate], DimDate[Date] ) )</t>
  </si>
  <si>
    <t>CALCULATE ( [Total Payments TRY]; USERELATIONSHIP ( FactPayment[NotificationDate]; DimDate[Date] ) )</t>
  </si>
  <si>
    <t>Payments placed on the notification date (reported-period view).</t>
  </si>
  <si>
    <t>Total Payments TRY by Decision Date</t>
  </si>
  <si>
    <t>CALCULATE ( [Total Payments TRY], USERELATIONSHIP ( FactPayment[DecisionDate], DimDate[Date] ) )</t>
  </si>
  <si>
    <t>CALCULATE ( [Total Payments TRY]; USERELATIONSHIP ( FactPayment[DecisionDate]; DimDate[Date] ) )</t>
  </si>
  <si>
    <t>Payments placed on the decision date.</t>
  </si>
  <si>
    <t>Chronology Violation Lines</t>
  </si>
  <si>
    <t>CALCULATE ( COUNTROWS ( FactPayment ), FactPayment[ChronoViolation] = 1 )</t>
  </si>
  <si>
    <t>CALCULATE ( COUNTROWS ( FactPayment ); FactPayment[ChronoViolation] = 1 )</t>
  </si>
  <si>
    <t>Lines breaking loss &lt;= notification &lt;= decision &lt;= payment.</t>
  </si>
  <si>
    <t>Duplicate Key Lines</t>
  </si>
  <si>
    <t>CALCULATE ( COUNTROWS ( FactPayment ), FactPayment[IsDuplicateKey] = 1 )</t>
  </si>
  <si>
    <t>CALCULATE ( COUNTROWS ( FactPayment ); FactPayment[IsDuplicateKey] = 1 )</t>
  </si>
  <si>
    <t>Lines whose business key occurs more than once in the history.</t>
  </si>
  <si>
    <t>Missing FX Lines</t>
  </si>
  <si>
    <t>CALCULATE ( COUNTROWS ( FactPayment ), FactPayment[FXRateMissing] = 1 )</t>
  </si>
  <si>
    <t>CALCULATE ( COUNTROWS ( FactPayment ); FactPayment[FXRateMissing] = 1 )</t>
  </si>
  <si>
    <t>Foreign-currency lines without a usable rate (excluded from TRY totals).</t>
  </si>
  <si>
    <t>Gross Amount Original Currency</t>
  </si>
  <si>
    <t>IF ( HASONEVALUE ( FactPayment[CurrencyCode] ), SUM ( FactPayment[GrossAmount] ) )</t>
  </si>
  <si>
    <t>IF ( HASONEVALUE ( FactPayment[CurrencyCode] ); SUM ( FactPayment[GrossAmount] ) )</t>
  </si>
  <si>
    <t>Gross amount in the original currency - shown only when exactly one currency is in context (never adds USD to TRY).</t>
  </si>
  <si>
    <t>Recon[ModelTotal]</t>
  </si>
  <si>
    <t>Calculation-area form (Power Pivot grid): type  Measure name := expression , e.g.  Total Payments TRY := SUM ( FactPayment[GrossAmountTRY] )</t>
  </si>
  <si>
    <t>Before you start</t>
  </si>
  <si>
    <t>STG_Refresh</t>
  </si>
  <si>
    <t>STG_Files</t>
  </si>
  <si>
    <t>STG_ActiveFact</t>
  </si>
  <si>
    <t>STG_Summary</t>
  </si>
  <si>
    <t>STG_DQ</t>
  </si>
  <si>
    <t>in</t>
  </si>
  <si>
    <t>RefreshedAt</t>
  </si>
  <si>
    <t>FileName</t>
  </si>
  <si>
    <t>FolderPath</t>
  </si>
  <si>
    <t>DateModified</t>
  </si>
  <si>
    <t>MatchStatus</t>
  </si>
  <si>
    <t>IsActivePeriod</t>
  </si>
  <si>
    <t>FilesForCompanyPeriod</t>
  </si>
  <si>
    <t>IsFirstLineOfCaseInPeriod</t>
  </si>
  <si>
    <t>CaseLinesToDate</t>
  </si>
  <si>
    <t>LineCount</t>
  </si>
  <si>
    <t>DistinctCases</t>
  </si>
  <si>
    <t>SourceFiles</t>
  </si>
  <si>
    <t>FXRateMissingLines</t>
  </si>
  <si>
    <t>ChronoViolationLines</t>
  </si>
  <si>
    <t>DuplicateKeyLines</t>
  </si>
  <si>
    <t>PaymentOutsidePeriodLines</t>
  </si>
  <si>
    <t>ArchiveFilesInPeriod</t>
  </si>
  <si>
    <t>IssueType</t>
  </si>
  <si>
    <t>Severity</t>
  </si>
  <si>
    <t>AffectedCount</t>
  </si>
  <si>
    <t>Detail</t>
  </si>
  <si>
    <t>Cmd_* / Do_* / mod_*</t>
  </si>
  <si>
    <t>prm*</t>
  </si>
  <si>
    <t>_sh_*</t>
  </si>
  <si>
    <t>lstFXSource</t>
  </si>
  <si>
    <t>CBRT_XML</t>
  </si>
  <si>
    <t>Manual</t>
  </si>
  <si>
    <t>lstFXRateType</t>
  </si>
  <si>
    <t>Parameters FXRateType (CBRT bulletin field)</t>
  </si>
  <si>
    <t>ForexBuying</t>
  </si>
  <si>
    <t>ForexSelling</t>
  </si>
  <si>
    <t>BanknoteBuying</t>
  </si>
  <si>
    <t>BanknoteSelling</t>
  </si>
  <si>
    <t>lstDecisionCategory</t>
  </si>
  <si>
    <t>tblDecision[Category]</t>
  </si>
  <si>
    <t>Verification</t>
  </si>
  <si>
    <t>Policy</t>
  </si>
  <si>
    <t>Technical</t>
  </si>
  <si>
    <t>Process</t>
  </si>
  <si>
    <t>lstDecisionStatus</t>
  </si>
  <si>
    <t>tblDecision[Status]</t>
  </si>
  <si>
    <t>Open</t>
  </si>
  <si>
    <t>Confirmed</t>
  </si>
  <si>
    <t>Superseded</t>
  </si>
  <si>
    <t>Removed</t>
  </si>
  <si>
    <t>lstVisibility</t>
  </si>
  <si>
    <t>tblSheetPolicy[Visibility]</t>
  </si>
  <si>
    <t>VISIBLE</t>
  </si>
  <si>
    <t>HIDDEN</t>
  </si>
  <si>
    <t>VERYHIDDEN</t>
  </si>
  <si>
    <t>lstRefreshRole</t>
  </si>
  <si>
    <t>tblRefreshPlan[Role]</t>
  </si>
  <si>
    <t>FXFETCH</t>
  </si>
  <si>
    <t>MODEL</t>
  </si>
  <si>
    <t>STAGING</t>
  </si>
  <si>
    <t>VIEW</t>
  </si>
  <si>
    <t>MANUAL</t>
  </si>
  <si>
    <t>Result and status words</t>
  </si>
  <si>
    <t>Check statuses (ControlPanel, Recon, ArchiveLog, company matrix).</t>
  </si>
  <si>
    <t>OPEN / BLOCKED: reason</t>
  </si>
  <si>
    <t>Close gate (cpCloseGate): OPEN lets Submit for review and Close period run.</t>
  </si>
  <si>
    <t>Stages in tblSignOff (four-eyes trail).</t>
  </si>
  <si>
    <t>CURRENT / SUPERSEDED</t>
  </si>
  <si>
    <t>tblArchiveLog[ArchiveState]: a re-opened month keeps its old row as SUPERSEDED.</t>
  </si>
  <si>
    <t>Integer avoids locale-dependent date entry; validated 200001-209912, month 01-12 (A20).</t>
  </si>
  <si>
    <t>SourceMode</t>
  </si>
  <si>
    <t>SharePointSiteUrl</t>
  </si>
  <si>
    <t>Text: URL</t>
  </si>
  <si>
    <t>SharePointSourcePath</t>
  </si>
  <si>
    <t>SharePointArchivePath</t>
  </si>
  <si>
    <t>SharePointLogPath</t>
  </si>
  <si>
    <t>ExportFolder</t>
  </si>
  <si>
    <t>SourceCodeFolder</t>
  </si>
  <si>
    <t>A .xls / .csv copy shows as NEAR-MISS instead of being read with other parsing rules.</t>
  </si>
  <si>
    <t>ControlsFilePrefix</t>
  </si>
  <si>
    <t>CONTROLS_PAY_</t>
  </si>
  <si>
    <t>First year of DimDate and oldest plausible date (check DATES).</t>
  </si>
  <si>
    <t>Last year of DimDate; later dates are flagged (check DATES).</t>
  </si>
  <si>
    <t>Canonical fields forming the business key of a payment line (check DUP_KEYS).</t>
  </si>
  <si>
    <t>A repeated CaseNo is an installment; the key adds cover, installment and voucher (A11).</t>
  </si>
  <si>
    <t>Dates that must not decrease, in this order (check CHRONOLOGY).</t>
  </si>
  <si>
    <t>Longest Turkish holiday bridge is about 9 days; older rates are treated as missing (A8).</t>
  </si>
  <si>
    <t>FXSource</t>
  </si>
  <si>
    <t>FXRateType</t>
  </si>
  <si>
    <t>Text: CBRT bulletin field</t>
  </si>
  <si>
    <t>Rate taken from each bulletin (divided by its Unit).</t>
  </si>
  <si>
    <t>A8: forex buying rate of the payment date.</t>
  </si>
  <si>
    <t>FXAutoFetch</t>
  </si>
  <si>
    <t>Text: Y / N</t>
  </si>
  <si>
    <t>Each bulletin is downloaded once; only dates leave the workbook (D34).</t>
  </si>
  <si>
    <t>FXFetchFromDate</t>
  </si>
  <si>
    <t>First day to fetch when tblFXRate is empty.</t>
  </si>
  <si>
    <t>Used only when no rate is stored.</t>
  </si>
  <si>
    <t>Rounding noise over 1,000 lines has sd ~0.09, so 1.00 gives no false alarms, yet one missing payment line always breaches it (A10).</t>
  </si>
  <si>
    <t>OutlierThresholdTRY</t>
  </si>
  <si>
    <t>Number (TRY)</t>
  </si>
  <si>
    <t>Payment lines with GrossAmountTRY at or above this amount must be reviewed (check OUTLIERS).</t>
  </si>
  <si>
    <t>FourEyesRequired</t>
  </si>
  <si>
    <t>Detail view</t>
  </si>
  <si>
    <t>ViewCompany</t>
  </si>
  <si>
    <t>Company of the detail view (written by Show lines / Cmd_ViewCompanyMonth).</t>
  </si>
  <si>
    <t>Set through the DataView inputs, not here.</t>
  </si>
  <si>
    <t>ViewPeriod</t>
  </si>
  <si>
    <t>Period of the detail view (written by Show lines / Cmd_ViewCompanyMonth).</t>
  </si>
  <si>
    <t>Active period or a closed month.</t>
  </si>
  <si>
    <t>Platform</t>
  </si>
  <si>
    <t>PlatformVersion</t>
  </si>
  <si>
    <t>2.0.0</t>
  </si>
  <si>
    <t>Semantic versioning (Changelog).</t>
  </si>
  <si>
    <t>InterfaceContractVersion</t>
  </si>
  <si>
    <t>A breaking rename raises the major version.</t>
  </si>
  <si>
    <t>Evidence</t>
  </si>
  <si>
    <t>ConfirmedBy</t>
  </si>
  <si>
    <t>ConfirmedOn</t>
  </si>
  <si>
    <t>VerifiedBy</t>
  </si>
  <si>
    <t>VerifiedOn</t>
  </si>
  <si>
    <t>Claim/case file number (dosya no). Business key, always text so leading zeros survive. A repeated CaseNo is an installment or partial payment, never a duplicate by itself.</t>
  </si>
  <si>
    <t>Date the payment was made. Drives the ACTIVE relationship to DimDate, the FX-rate lookup and the 'payment outside file period' check.</t>
  </si>
  <si>
    <t>Payment decision date (odeme karar tarihi). Third link of the chronology chain.</t>
  </si>
  <si>
    <t>Loss / event date (hasar tarihi). Inactive relationship to DimDate for incurred (accident-period) views; first link of the chronology chain.</t>
  </si>
  <si>
    <t>Notification date (ihbar tarihi). Inactive relationship to DimDate; start of 'days from notification to payment'.</t>
  </si>
  <si>
    <t>Product code - slicing dimension.</t>
  </si>
  <si>
    <t>Branch-type classification: out of scope for phase 1 by decision, kept traceable here. To activate, set IncludeInModel = Y on every row of this field and refresh - no query change.</t>
  </si>
  <si>
    <t>First policy number of a renewal chain - only needed for renewal-chain analysis.</t>
  </si>
  <si>
    <t>Cause of loss (hasar nedeni).</t>
  </si>
  <si>
    <t>Full name of the insured - direct identifier (KVKK Art. 3). Blocked from the model.</t>
  </si>
  <si>
    <t>Name of the payee (odeme kime), usually a person - direct identifier. Blocked.</t>
  </si>
  <si>
    <t>Payment amount in CurrencyCode (odeme miktari). Basis of 'total payments' and of the reconciliation (parameter ReconBasis).</t>
  </si>
  <si>
    <t>Payment currency, normalised to an ISO code through tblCurrencyAlias (TL/YTL -&gt; TRY).</t>
  </si>
  <si>
    <t>Bank account holder name - direct identifier. Blocked.</t>
  </si>
  <si>
    <t>Date the documents were complete (evrak tamamlanma). Natural next candidate for a payment-SLA KPI (phase 2).</t>
  </si>
  <si>
    <t>Initial case reserve (ilk muallak). Useful for reserve-adequacy studies; not needed by the phase-1 KPIs.</t>
  </si>
  <si>
    <t>Cover amount (teminat tutari).</t>
  </si>
  <si>
    <t>Distribution partner (a legal entity, not personal data). Not needed in phase 1.</t>
  </si>
  <si>
    <t>Customer number - indirect identifier that leads straight to a person in the source systems. Blocked.</t>
  </si>
  <si>
    <t>Maximum number of payable indemnities. Could support an alternative partial-payment definition.</t>
  </si>
  <si>
    <t>Number of indemnities already paid.</t>
  </si>
  <si>
    <t>Approval date (onay tarihi). Overlaps DecisionDate - confirm the difference with the source owner before use.</t>
  </si>
  <si>
    <t>Renewal number.</t>
  </si>
  <si>
    <t>T.C. Kimlik No (national ID). DataType text so it could never lose leading zeros, but it is never loaded.</t>
  </si>
  <si>
    <t>Meaning unverified (source system or channel?).</t>
  </si>
  <si>
    <t>Net amount paid after deductions (deductible, withholding) as delivered by the source - basis of 'net payments'.</t>
  </si>
  <si>
    <t>Product name.</t>
  </si>
  <si>
    <t>Case status (dosya durumu).</t>
  </si>
  <si>
    <t>Status detail.</t>
  </si>
  <si>
    <t>Cover (teminat) code. Part of the duplicate-key definition: one installment may pay several covers.</t>
  </si>
  <si>
    <t>Installment / partial-payment sequence (taksit sirasi). Distinguishes legitimate repeated case numbers; part of the duplicate key.</t>
  </si>
  <si>
    <t>Partner's policy number.</t>
  </si>
  <si>
    <t>Notification channel.</t>
  </si>
  <si>
    <t>District of loss. Also a quasi-identifier in combination with dates - keep out unless needed.</t>
  </si>
  <si>
    <t>Partner code.</t>
  </si>
  <si>
    <t>Semantics unverified (refund, recovery or reversal?). Confirm before modelling.</t>
  </si>
  <si>
    <t>Line of business (is kolu) is a branch-type classification: out of scope together with branches. out of scope for phase 1 by decision, kept traceable here. To activate, set IncludeInModel = Y on every row of this field and refresh - no query change.</t>
  </si>
  <si>
    <t>Policy term - unit unknown (years or months), kept as text.</t>
  </si>
  <si>
    <t>Planned payment date.</t>
  </si>
  <si>
    <t>Total sum insured.</t>
  </si>
  <si>
    <t>Sales channel code.</t>
  </si>
  <si>
    <t>Cause of death = health data, a special category of personal data (KVKK Art. 6). Blocked.</t>
  </si>
  <si>
    <t>Underwriting status.</t>
  </si>
  <si>
    <t>Co-insurer name.</t>
  </si>
  <si>
    <t>Date the claim became due (muacceliyet).</t>
  </si>
  <si>
    <t>Beneficiary type.</t>
  </si>
  <si>
    <t>Cause-of-death text = health data (KVKK Art. 6, special category). Blocked.</t>
  </si>
  <si>
    <t>Ambiguous (bank code or account number) - treated as an account identifier (conservative) until confirmed.</t>
  </si>
  <si>
    <t>Policy / contract number. Text - leading zeros kept.</t>
  </si>
  <si>
    <t>Meaning unverified.</t>
  </si>
  <si>
    <t>Partner product code.</t>
  </si>
  <si>
    <t>Date of birth - identifies a person together with other fields. Blocked.</t>
  </si>
  <si>
    <t>Province of loss.</t>
  </si>
  <si>
    <t>Policy end date.</t>
  </si>
  <si>
    <t>Bank account number - financial account identifier. Blocked.</t>
  </si>
  <si>
    <t>Bank name alone is not personal data; not needed.</t>
  </si>
  <si>
    <t>Health declaration = health data (KVKK Art. 6, special category). Blocked.</t>
  </si>
  <si>
    <t>Product type.</t>
  </si>
  <si>
    <t>Meaning unknown - confirm with the source owner.</t>
  </si>
  <si>
    <t>Tax number - identifies individuals (conservative). Blocked.</t>
  </si>
  <si>
    <t>Not an identifier, but not needed by the phase-1 KPIs: excluded by data minimisation (KVKK Art. 4).</t>
  </si>
  <si>
    <t>Indemnity type / reason (tazminat tur/neden), e.g. death, disability, exit.</t>
  </si>
  <si>
    <t>Not needed by the phase-1 KPIs: excluded by data minimisation.</t>
  </si>
  <si>
    <t>Notification status.</t>
  </si>
  <si>
    <t>Payment method.</t>
  </si>
  <si>
    <t>Policy start date.</t>
  </si>
  <si>
    <t>Sales channel description.</t>
  </si>
  <si>
    <t>Deductible (muafiyet) - explains part of Gross vs Net; phase 2.</t>
  </si>
  <si>
    <t>Risk start date.</t>
  </si>
  <si>
    <t>Risk end date.</t>
  </si>
  <si>
    <t>Derivable from NotificationDate.</t>
  </si>
  <si>
    <t>Personal attribute but not an identifier; excluded by data minimisation.</t>
  </si>
  <si>
    <t>Payment voucher (tediye) number. Part of the duplicate key when the company provides it.</t>
  </si>
  <si>
    <t>Date the first document arrived.</t>
  </si>
  <si>
    <t>Date the case moved to 'payable'.</t>
  </si>
  <si>
    <t>Date the notification record was created.</t>
  </si>
  <si>
    <t>IBAN - financial account identifier. Blocked.</t>
  </si>
  <si>
    <t>Co-insurer code.</t>
  </si>
  <si>
    <t>Tariff / plan code.</t>
  </si>
  <si>
    <t>Insured number - identifier. Blocked.</t>
  </si>
  <si>
    <t>Endorsement (zeyl) number.</t>
  </si>
  <si>
    <t>Beneficiary check flag.</t>
  </si>
  <si>
    <t>Ex-gratia reason.</t>
  </si>
  <si>
    <t>Alias: policy or (pension) contract number. Policy / contract number. Text - leading zeros kept.</t>
  </si>
  <si>
    <t>Alias of SIGORTALI. Full name of the insured - direct identifier (KVKK Art. 3). Blocked from the model.</t>
  </si>
  <si>
    <t>Alias of SIGORTALITCKNO. T.C. Kimlik No (national ID). DataType text so it could never lose leading zeros, but it is never loaded.</t>
  </si>
  <si>
    <t>Alias of HASARTARIHI. Loss / event date (hasar tarihi). Inactive relationship to DimDate for incurred (accident-period) views; first link of the chronology chain.</t>
  </si>
  <si>
    <t>Alias of TAKSIT_SEQ. Installment / partial-payment sequence (taksit sirasi). Distinguishes legitimate repeated case numbers; part of the duplicate key.</t>
  </si>
  <si>
    <t>Alias of IHBARTARIHI. Notification date (ihbar tarihi). Inactive relationship to DimDate; start of 'days from notification to payment'.</t>
  </si>
  <si>
    <t>Alias of DOSYANO (also matched automatically: 'Dosya No' and 'DOSYANO' normalise to the same key). Claim/case file number (dosya no). Business key, always text so leading zeros survive. A repeated CaseNo is an installment or partial payment, never a duplicate by itself.</t>
  </si>
  <si>
    <t>Alias of TARIFEKOD. Tariff / plan code.</t>
  </si>
  <si>
    <t>Alias of TEMINATKODU. Cover (teminat) code. Part of the duplicate-key definition: one installment may pay several covers.</t>
  </si>
  <si>
    <t>Alias of ODEMETARIHI. Date the payment was made. Drives the ACTIVE relationship to DimDate, the FX-rate lookup and the 'payment outside file period' check.</t>
  </si>
  <si>
    <t>[Mapping unverified] English label; possibly the sub-branch (ALTBRANSADI). Unverified: may be the English label of ALTBRANSADI (sub-branch). Out of phase 1 either way.</t>
  </si>
  <si>
    <t>[Mapping unverified] meaning of '(YG)' unknown; not modelled, so no numeric impact. Policy start date.</t>
  </si>
  <si>
    <t>[Mapping unverified] meaning of '(YG)' unknown; not modelled, so no numeric impact. Policy end date.</t>
  </si>
  <si>
    <t>Total (ControlPanel check DICTIONARY)</t>
  </si>
  <si>
    <t>ColumnID: 'C' + position of the header in the transcribed schema list (datacreating.py). Orange = not verified yet: check the ID against the official schema reference, select the row(s) and click 'Verify selected ColumnIDs' - Cmd_VerifyColumnIDs stamps VerifiedBy / VerifiedOn with your Windows identity (check COLUMNID_VERIFIED, DecisionRegister A1). Never type the stamps: hand edits are flagged in the ActivityLog.</t>
  </si>
  <si>
    <t>PreparedBy</t>
  </si>
  <si>
    <t>ReviewAtClose</t>
  </si>
  <si>
    <t>ControlsFile</t>
  </si>
  <si>
    <t>ArchiveState</t>
  </si>
  <si>
    <t>SupersededOn</t>
  </si>
  <si>
    <t>SupersededBy</t>
  </si>
  <si>
    <t>SupersedeReason</t>
  </si>
  <si>
    <t>Decision Register (tblDecision)</t>
  </si>
  <si>
    <t>ID</t>
  </si>
  <si>
    <t>Statement</t>
  </si>
  <si>
    <t>Category</t>
  </si>
  <si>
    <t>SignOffDate</t>
  </si>
  <si>
    <t>LinkedParameter</t>
  </si>
  <si>
    <t>LinkedCheck</t>
  </si>
  <si>
    <t>COLUMNID_VERIFIED</t>
  </si>
  <si>
    <t>Platform administrator</t>
  </si>
  <si>
    <t>MAPPING_DQ</t>
  </si>
  <si>
    <t>Head of Actuarial Closing</t>
  </si>
  <si>
    <t>RECON</t>
  </si>
  <si>
    <t/>
  </si>
  <si>
    <t>BANKANO is treated as an account identifier (personal data).</t>
  </si>
  <si>
    <t>PRIVACY</t>
  </si>
  <si>
    <t>The reporting period is the period in the FILE NAME and drives the default date relationship (PeriodDate). Lines whose PaymentDate falls in another month are flagged, never moved.</t>
  </si>
  <si>
    <t>DATES</t>
  </si>
  <si>
    <t>FXRateType, FXMaxCarryForwardDays</t>
  </si>
  <si>
    <t>FX_RATES</t>
  </si>
  <si>
    <t>ReconAbsTolerance, ReconRelTolerance</t>
  </si>
  <si>
    <t>Duplicate key = CompanyID|CaseNo|CoverCode|InstallmentSeq|PaymentVoucherNo. Reversals that share a key are flagged on purpose - a person confirms them.</t>
  </si>
  <si>
    <t>DUP_KEYS</t>
  </si>
  <si>
    <t>CHRONOLOGY</t>
  </si>
  <si>
    <t>IT Security</t>
  </si>
  <si>
    <t>Personal data exists only transiently inside the Power Query engine while a source sheet is read; it is removed in the first transform step and never written to a sheet, the Data Model or the archive.</t>
  </si>
  <si>
    <t>ARCHIVE_INTEGRITY</t>
  </si>
  <si>
    <t>Data validation on tblParameters; VBA IsValidPeriod.</t>
  </si>
  <si>
    <t>Worksheet formulas use only functions that exist in both Excel and LibreOffice; no dynamic-array functions.</t>
  </si>
  <si>
    <t>Superseded by D26 (Excel for Microsoft 365 only).</t>
  </si>
  <si>
    <t>Several headers of one field in one file: the header listed first in ColumnMap wins; the others are INFO (AMBIGUOUS MAPPING).</t>
  </si>
  <si>
    <t>D26</t>
  </si>
  <si>
    <t>Excel for Microsoft 365 (Windows) only: CUBE functions, PivotCharts, timelines, VBA and dynamic-array formulas are used (supersedes A21).</t>
  </si>
  <si>
    <t>D27</t>
  </si>
  <si>
    <t>Division of labour: Power Query owns every transformation, DAX the measures, worksheet formulas the statuses, VBA only orchestrates (it copies, never computes).</t>
  </si>
  <si>
    <t>D28</t>
  </si>
  <si>
    <t>D29</t>
  </si>
  <si>
    <t>RefreshLog is written by VBA after Cmd_RefreshAll (not by a self-referencing query): the overall status exists only after recalculation, and a query table would lose its history.</t>
  </si>
  <si>
    <t>STG_CURRENT</t>
  </si>
  <si>
    <t>D30</t>
  </si>
  <si>
    <t>D31</t>
  </si>
  <si>
    <t>D32</t>
  </si>
  <si>
    <t>D33</t>
  </si>
  <si>
    <t>LOG_INTEGRITY</t>
  </si>
  <si>
    <t>D34</t>
  </si>
  <si>
    <t>Privacy levels are ignored, including the CBRT web access: only dates leave the workbook (revises A17).</t>
  </si>
  <si>
    <t>FXAutoFetch, FXSource</t>
  </si>
  <si>
    <t>FX_FETCH</t>
  </si>
  <si>
    <t>D35</t>
  </si>
  <si>
    <t>D36</t>
  </si>
  <si>
    <t>IT</t>
  </si>
  <si>
    <t>D37</t>
  </si>
  <si>
    <t>D38</t>
  </si>
  <si>
    <t>OUTLIERS</t>
  </si>
  <si>
    <t>D39</t>
  </si>
  <si>
    <t>FOUR_EYES</t>
  </si>
  <si>
    <t>D40</t>
  </si>
  <si>
    <t>D41</t>
  </si>
  <si>
    <t>D42</t>
  </si>
  <si>
    <t>D43</t>
  </si>
  <si>
    <t>External ActivityLog: one immutable CSV per event named ACT_&lt;EventNo&gt;_&lt;UTC&gt;_&lt;user&gt;_&lt;checksum&gt;.csv; qLog_External compares file names with the workbook copy; events of sessions that were not saved stay outside the workbook (INFO).</t>
  </si>
  <si>
    <t>D44</t>
  </si>
  <si>
    <t>D45</t>
  </si>
  <si>
    <t>ACTIVE_OPEN</t>
  </si>
  <si>
    <t>D46</t>
  </si>
  <si>
    <t>A company without payments delivers a written nil return, recorded in tblNilReturn; FILES_EXPECTED and COMPLETENESS accept it.</t>
  </si>
  <si>
    <t>FILES_EXPECTED, COMPLETENESS</t>
  </si>
  <si>
    <t>D47</t>
  </si>
  <si>
    <t>REVIEW explanations count only for the period they were given for; they are cleared at close and kept in CONTROLS_PAY_&lt;period&gt;.xlsx.</t>
  </si>
  <si>
    <t>D48</t>
  </si>
  <si>
    <t>D49</t>
  </si>
  <si>
    <t>Summary</t>
  </si>
  <si>
    <t>Sign-off trail (tblSignOff) - four-eyes</t>
  </si>
  <si>
    <t>SignOffNo</t>
  </si>
  <si>
    <t>Stage</t>
  </si>
  <si>
    <t>LogonUser</t>
  </si>
  <si>
    <t>ExcelUser</t>
  </si>
  <si>
    <t>Machine</t>
  </si>
  <si>
    <t>SignedAt</t>
  </si>
  <si>
    <t>OverallStatus</t>
  </si>
  <si>
    <t>ReviewCount</t>
  </si>
  <si>
    <t>UnexplainedCount</t>
  </si>
  <si>
    <t>ActiveRows</t>
  </si>
  <si>
    <t>HashTotal</t>
  </si>
  <si>
    <t>GrossTRY</t>
  </si>
  <si>
    <t>StagingRefreshedAt</t>
  </si>
  <si>
    <t>FourEyes</t>
  </si>
  <si>
    <t>Comment</t>
  </si>
  <si>
    <t>Refresh log (tblRefreshLog)</t>
  </si>
  <si>
    <t>One row per Refresh (Cmd_RefreshAll), appended by VBA with values copied from STG_Refresh, tblCloseOut and the ControlPanel. A refresh started from the ribbon is not logged and turns STG_CURRENT to REVIEW.</t>
  </si>
  <si>
    <t>RefreshNo</t>
  </si>
  <si>
    <t>LoggedAt</t>
  </si>
  <si>
    <t>SourceLocation</t>
  </si>
  <si>
    <t>FilesRead</t>
  </si>
  <si>
    <t>FileList</t>
  </si>
  <si>
    <t>FXBulletinsStored</t>
  </si>
  <si>
    <t>DurationSec</t>
  </si>
  <si>
    <t>Activity log (tblActivityLog) - workbook copy</t>
  </si>
  <si>
    <t>Written only by mod_Log: one row per command, input edit and system event, chained with SHA-256. The authoritative copy is the external log folder (one read-only CSV per event). Never edit: any change breaks the chain (check LOG_INTEGRITY).</t>
  </si>
  <si>
    <t>Chain status</t>
  </si>
  <si>
    <t>Checked</t>
  </si>
  <si>
    <t>EventNo</t>
  </si>
  <si>
    <t>TimestampUTC</t>
  </si>
  <si>
    <t>TimestampLocal</t>
  </si>
  <si>
    <t>EnvUser</t>
  </si>
  <si>
    <t>EventType</t>
  </si>
  <si>
    <t>Command</t>
  </si>
  <si>
    <t>Algorithm</t>
  </si>
  <si>
    <t>PrevChecksum</t>
  </si>
  <si>
    <t>Checksum</t>
  </si>
  <si>
    <t>ExternalFile</t>
  </si>
  <si>
    <t>ObjectType</t>
  </si>
  <si>
    <t>Name</t>
  </si>
  <si>
    <t>Members</t>
  </si>
  <si>
    <t>Direction</t>
  </si>
  <si>
    <t>Stability</t>
  </si>
  <si>
    <t>Convention</t>
  </si>
  <si>
    <t>Addressing</t>
  </si>
  <si>
    <t>Tables, table columns and named ranges only</t>
  </si>
  <si>
    <t>stable</t>
  </si>
  <si>
    <t>VBA, formulas and external tools address the workbook by table / column / name - never by sheet index or cell address. Renaming a contract object is a breaking change (major version).</t>
  </si>
  <si>
    <t>Periods</t>
  </si>
  <si>
    <t>integer YYYYMM</t>
  </si>
  <si>
    <t>Every period is an integer YYYYMM (e.g. 202609), valid 200001-209912.</t>
  </si>
  <si>
    <t>Command results</t>
  </si>
  <si>
    <t>out</t>
  </si>
  <si>
    <t>text URL</t>
  </si>
  <si>
    <t>Source file names: &lt;FilePrefix&gt;&lt;CompanyID&gt;&lt;FileInfix&gt;&lt;MMYYYY&gt;&lt;FileExtension&gt;.</t>
  </si>
  <si>
    <t>See FilePrefix.</t>
  </si>
  <si>
    <t>Controls evidence files: &lt;ControlsFilePrefix&gt;&lt;YYYYMM&gt;&lt;FileExtension&gt;.</t>
  </si>
  <si>
    <t>text culture</t>
  </si>
  <si>
    <t>Culture for numbers and dates held as text (tr-TR).</t>
  </si>
  <si>
    <t>text ISO</t>
  </si>
  <si>
    <t>Currency of the *TRY amounts.</t>
  </si>
  <si>
    <t>First year of DimDate.</t>
  </si>
  <si>
    <t>Last year of DimDate.</t>
  </si>
  <si>
    <t>text list</t>
  </si>
  <si>
    <t>Business key of a payment line.</t>
  </si>
  <si>
    <t>Dates that must not decrease.</t>
  </si>
  <si>
    <t>Maximum carry-forward of a published rate.</t>
  </si>
  <si>
    <t>CBRT field used: ForexBuying (default), ForexSelling, BanknoteBuying, BanknoteSelling.</t>
  </si>
  <si>
    <t>text Y/N</t>
  </si>
  <si>
    <t>Y = fetch missing CBRT bulletins at every Cmd_RefreshAll.</t>
  </si>
  <si>
    <t>text: GrossAmount | NetAmount</t>
  </si>
  <si>
    <t>Amount reconciled.</t>
  </si>
  <si>
    <t>number</t>
  </si>
  <si>
    <t>Absolute reconciliation tolerance.</t>
  </si>
  <si>
    <t>fraction</t>
  </si>
  <si>
    <t>Relative reconciliation tolerance (0 = off).</t>
  </si>
  <si>
    <t>Large-payment threshold per line (check OUTLIERS).</t>
  </si>
  <si>
    <t>Detail view company (written by Cmd_ViewCompanyMonth).</t>
  </si>
  <si>
    <t>Detail view period (written by Cmd_ViewCompanyMonth).</t>
  </si>
  <si>
    <t>text semver</t>
  </si>
  <si>
    <t>DashboardPeriodSlicer</t>
  </si>
  <si>
    <t>Name of the Dashboard year-month slicer that Refresh sets to the active period.</t>
  </si>
  <si>
    <t>Table</t>
  </si>
  <si>
    <t>tblParameters</t>
  </si>
  <si>
    <t>Section, Parameter, Value, Type, Description, Rationale</t>
  </si>
  <si>
    <t>table</t>
  </si>
  <si>
    <t>tblColumnMap</t>
  </si>
  <si>
    <t>SourceHeader, CanonicalName, ColumnID, DataType, IncludeInModel, PersonalData, Group, Notes, VerifiedBy, VerifiedOn</t>
  </si>
  <si>
    <t>tblDimCompany</t>
  </si>
  <si>
    <t>tblNilReturn</t>
  </si>
  <si>
    <t>PeriodKey, CompanyID, Evidence, ConfirmedBy, ConfirmedOn</t>
  </si>
  <si>
    <t>tblCurrencyAlias</t>
  </si>
  <si>
    <t>SourceValue, CurrencyCode, Notes</t>
  </si>
  <si>
    <t>Currency spellings to ISO codes.</t>
  </si>
  <si>
    <t>tblFXRate</t>
  </si>
  <si>
    <t>RateDate, CurrencyCode, RateToTRY, Source</t>
  </si>
  <si>
    <t>tblRecon</t>
  </si>
  <si>
    <t>PeriodKey, CompanyID, CurrencyCode, IndependentTotal, SourceReference, EnteredBy, Explanation | ModelTotal, Variance, ToleranceApplied, Status</t>
  </si>
  <si>
    <t>in/out</t>
  </si>
  <si>
    <t>Independent totals (inputs) and formula results.</t>
  </si>
  <si>
    <t>tblArchiveLog</t>
  </si>
  <si>
    <t>tblSignOff</t>
  </si>
  <si>
    <t>SignOffNo, PeriodKey, Stage, LogonUser, ExcelUser, Machine, SignedAt, OverallStatus, ReviewCount, UnexplainedCount, ActiveRows, HashTotal, GrossTRY, StagingRefreshedAt, FourEyes, Comment</t>
  </si>
  <si>
    <t>tblDecision</t>
  </si>
  <si>
    <t>tblControl</t>
  </si>
  <si>
    <t>tblCloseOut</t>
  </si>
  <si>
    <t>PeriodKey, ArchiveFile, RecordedRows, RecordedHashTotal, RecordedGrossTRY, StatusAtClose, ReviewAtClose, ControlsFile</t>
  </si>
  <si>
    <t>tblRefreshLog</t>
  </si>
  <si>
    <t>tblActivityLog</t>
  </si>
  <si>
    <t>EventNo, TimestampUTC, TimestampLocal, LogonUser, EnvUser, ExcelUser, Machine, EventType, Command, Parameters, Result, DurationSec, PlatformVersion, Algorithm, PrevChecksum, Checksum, ExternalFile</t>
  </si>
  <si>
    <t>tblSheetPolicy</t>
  </si>
  <si>
    <t>tblAuditScope</t>
  </si>
  <si>
    <t>tblKPICaveat</t>
  </si>
  <si>
    <t>KPI, CheckID, Caveat</t>
  </si>
  <si>
    <t>Dashboard caveat lines shown when the linked check is REVIEW.</t>
  </si>
  <si>
    <t>tblRefreshPlan</t>
  </si>
  <si>
    <t>Order, Connection, Role, Notes</t>
  </si>
  <si>
    <t>tblContract</t>
  </si>
  <si>
    <t>ObjectType, Name, Members, DataType, Direction, Stability, Description</t>
  </si>
  <si>
    <t>This contract; exported to src/contract/interface_contract.csv.</t>
  </si>
  <si>
    <t>tblChangelog</t>
  </si>
  <si>
    <t>Output</t>
  </si>
  <si>
    <t>query table</t>
  </si>
  <si>
    <t>PeriodKey, CompanyID, CurrencyCode, DataSource, LineCount, DistinctCases, SourceFiles, GrossAmount, NetAmount, GrossAmountTRY, NetAmountTRY, FXRateMissingLines, ChronoViolationLines, DuplicateKeyLines, PaymentOutsidePeriodLines, ArchiveFilesInPeriod</t>
  </si>
  <si>
    <t>PeriodKey, CompanyID, SourceFile, IssueType, Severity, CanonicalName, SourceHeader, AffectedCount, Detail</t>
  </si>
  <si>
    <t>STG_FXFetch</t>
  </si>
  <si>
    <t>RateDate, CurrencyCode, RateToTRY, Bulletin, FetchStatus, Detail, DuplicatesStoredRate</t>
  </si>
  <si>
    <t>Automatic CBRT fetch; FetchStatus OK | NO BULLETIN | ERROR | DISABLED.</t>
  </si>
  <si>
    <t>STG_LogExternal</t>
  </si>
  <si>
    <t>ReadAt, ExternalEvents, WorkbookEvents, MissingExternally, MissingEventNos, NotInWorkbook, UnparsedFiles, NewestExternalUtc, ReadStatus</t>
  </si>
  <si>
    <t>Comparison of the workbook ActivityLog with the external copy.</t>
  </si>
  <si>
    <t>qView_Lines</t>
  </si>
  <si>
    <t>CompanyID, PeriodKey, SourceFile, SourceRowNo + model fields under their primary source header</t>
  </si>
  <si>
    <t>evolving</t>
  </si>
  <si>
    <t>Detail view of one company x one month (whitelisted fields only).</t>
  </si>
  <si>
    <t>cpActivePeriod</t>
  </si>
  <si>
    <t>Active period (ControlPanel).</t>
  </si>
  <si>
    <t>cpPrevPeriod</t>
  </si>
  <si>
    <t>Month before the active period.</t>
  </si>
  <si>
    <t>cpArchiveStart</t>
  </si>
  <si>
    <t>ArchiveStartPeriod.</t>
  </si>
  <si>
    <t>cpSourceLocation</t>
  </si>
  <si>
    <t>cpOverallStatus</t>
  </si>
  <si>
    <t>text OK/REVIEW</t>
  </si>
  <si>
    <t>cpReviewCount</t>
  </si>
  <si>
    <t>Checks in REVIEW.</t>
  </si>
  <si>
    <t>cpUnexplained</t>
  </si>
  <si>
    <t>REVIEW checks without an explanation for the active period.</t>
  </si>
  <si>
    <t>cpCloseGate</t>
  </si>
  <si>
    <t>cpSubmission</t>
  </si>
  <si>
    <t>Latest sign-off stage of the active period.</t>
  </si>
  <si>
    <t>logChainStatus</t>
  </si>
  <si>
    <t>OK or BROKEN: reason - written by VBA (Log_VerifyChain).</t>
  </si>
  <si>
    <t>logChainCheckedAt</t>
  </si>
  <si>
    <t>When and by whom the chain was verified.</t>
  </si>
  <si>
    <t>dvCompany</t>
  </si>
  <si>
    <t>DataView input: company.</t>
  </si>
  <si>
    <t>dvPeriod</t>
  </si>
  <si>
    <t>DataView input: period.</t>
  </si>
  <si>
    <t>range</t>
  </si>
  <si>
    <t>cmCompany / cmExpected / cmFiles / cmNil / cmLines / cmStatus / cmFindings ...</t>
  </si>
  <si>
    <t>spill range</t>
  </si>
  <si>
    <t>Company matrix columns (ControlPanel section C), one row per company of tblDimCompany.</t>
  </si>
  <si>
    <t>cmMonths / cmCompleteness</t>
  </si>
  <si>
    <t>Completeness matrix: months since ArchiveStartPeriod x companies; OK / NIL / MISSING / n/a.</t>
  </si>
  <si>
    <t>formula</t>
  </si>
  <si>
    <t>kpiTotalTRY / kpiNetTRY / kpiLines / kpiCases</t>
  </si>
  <si>
    <t>cell</t>
  </si>
  <si>
    <t>KPI_Check values compared with the Data Model (dashModelCheck).</t>
  </si>
  <si>
    <t>dashModelCheck</t>
  </si>
  <si>
    <t>Dashboard: DAX = KPI_Check for the active period (total TRY, lines, distinct cases).</t>
  </si>
  <si>
    <t>Cmd_RefreshAll</t>
  </si>
  <si>
    <t>()</t>
  </si>
  <si>
    <t>Cmd_SubmitForReview</t>
  </si>
  <si>
    <t>(comment)</t>
  </si>
  <si>
    <t>Preparer: requires close gate OPEN; SignOff SUBMITTED with data fingerprint; saves.</t>
  </si>
  <si>
    <t>Cmd_RejectSubmission</t>
  </si>
  <si>
    <t>(reason)</t>
  </si>
  <si>
    <t>Reviewer: SignOff REJECTED; saves.</t>
  </si>
  <si>
    <t>Cmd_ClosePeriod</t>
  </si>
  <si>
    <t>Cmd_ReopenPeriod</t>
  </si>
  <si>
    <t>Cmd_ViewCompanyMonth</t>
  </si>
  <si>
    <t>(company, period)</t>
  </si>
  <si>
    <t>Cmd_ExportCompanyMonth</t>
  </si>
  <si>
    <t>Cmd_ExportDashboardPDF</t>
  </si>
  <si>
    <t>Cmd_ExportClosingPack</t>
  </si>
  <si>
    <t>Cmd_ExportSourceCode</t>
  </si>
  <si>
    <t>Cmd_VerifyColumnIDs</t>
  </si>
  <si>
    <t>(columnIds)</t>
  </si>
  <si>
    <t>Cmd_VerifyLog</t>
  </si>
  <si>
    <t>Cmd_ShowStaging</t>
  </si>
  <si>
    <t>Cmd_HideStaging</t>
  </si>
  <si>
    <t>Cmd_ResetForGoLive</t>
  </si>
  <si>
    <t>Api_SetSilent</t>
  </si>
  <si>
    <t>(silent)</t>
  </si>
  <si>
    <t>Api_LastResult</t>
  </si>
  <si>
    <t>() -&gt; text</t>
  </si>
  <si>
    <t>Result text of the last command.</t>
  </si>
  <si>
    <t>File</t>
  </si>
  <si>
    <t>Source file</t>
  </si>
  <si>
    <t>xlsx</t>
  </si>
  <si>
    <t>Archive file</t>
  </si>
  <si>
    <t>Controls file</t>
  </si>
  <si>
    <t>&lt;ControlsFilePrefix&gt;&lt;YYYYMM&gt;&lt;FileExtension&gt;; sheets CHECKS, CLOSEOUT, SIGNOFF, RECON, FILES, DQ_ISSUES, ABOUT</t>
  </si>
  <si>
    <t>External log event</t>
  </si>
  <si>
    <t>ACT_&lt;EventNo 8 digits&gt;_&lt;UTC yyyymmddThhmmssZ&gt;_&lt;LogonUser&gt;_&lt;Checksum&gt;.csv; header + one row: EventNo|TimestampUTC|LogonUser|EnvUser|ExcelUser|Machine|EventType|Command|Parameters|Result|DurationSec|PlatformVersion|Algorithm|PrevChecksum|Checksum</t>
  </si>
  <si>
    <t>csv UTF-8</t>
  </si>
  <si>
    <t>Checksum = lowercase hex SHA-256 of the UTF-8 text of the first 14 fields joined with '|'; CRC-32 fallback over UTF-16LE (accidental change only).</t>
  </si>
  <si>
    <t>Relationships: PeriodDate -&gt; DimDate[Date] (active); PaymentDate, LossDate, NotificationDate, DecisionDate (inactive); CompanyID -&gt; DimCompany; FXKey -&gt; DimFXRate.</t>
  </si>
  <si>
    <t>Measures</t>
  </si>
  <si>
    <t>Total Payments TRY, Net Payments TRY, Gross-to-Net Deductions TRY, Payment Lines, Distinct Cases, Total Payments TRY PM, MoM Change TRY, MoM Change %, Company Share of Total %, Avg Days Notification to Payment, Partial Payment Cases, Partial Payment Ratio %, Total Payments TRY by Payment/Loss/Notification/Decision Date, Chronology Violation Lines, Duplicate Key Lines, Missing FX Lines, Gross Amount Original Currency, Outlier Lines</t>
  </si>
  <si>
    <t>DAX</t>
  </si>
  <si>
    <t>Definitions on sheet DAX_Measures.</t>
  </si>
  <si>
    <t>Administration (configuration tables)</t>
  </si>
  <si>
    <t>SheetName</t>
  </si>
  <si>
    <t>Visibility</t>
  </si>
  <si>
    <t>Protect</t>
  </si>
  <si>
    <t>AllowPivots</t>
  </si>
  <si>
    <t>ShowWithStaging</t>
  </si>
  <si>
    <t>Home</t>
  </si>
  <si>
    <t>Closing_Manual</t>
  </si>
  <si>
    <t>Slicers, timeline and pivots usable</t>
  </si>
  <si>
    <t>Matrix</t>
  </si>
  <si>
    <t>Pivot and slicers usable</t>
  </si>
  <si>
    <t>DataView</t>
  </si>
  <si>
    <t>Company / period inputs unlocked; Show lines unprotects to refresh</t>
  </si>
  <si>
    <t>SignOff</t>
  </si>
  <si>
    <t>Written by commands only</t>
  </si>
  <si>
    <t>DecisionRegister</t>
  </si>
  <si>
    <t>Interface_Contract</t>
  </si>
  <si>
    <t>Technical_Guide</t>
  </si>
  <si>
    <t>AdminConfig</t>
  </si>
  <si>
    <t>RefreshLog</t>
  </si>
  <si>
    <t>Shown by Show staging</t>
  </si>
  <si>
    <t>Power Query output - shown read-only by Show staging</t>
  </si>
  <si>
    <t>Dash_Pivots</t>
  </si>
  <si>
    <t>Pivots behind the dashboard charts</t>
  </si>
  <si>
    <t>ActivityLog</t>
  </si>
  <si>
    <t>Shown read-only by Show staging</t>
  </si>
  <si>
    <t>Shadow copies of the edit audit</t>
  </si>
  <si>
    <t>TableName</t>
  </si>
  <si>
    <t>KeyColumns</t>
  </si>
  <si>
    <t>VerifiedBy / VerifiedOn hand edits are FLAGGED</t>
  </si>
  <si>
    <t>PeriodKey,CompanyID</t>
  </si>
  <si>
    <t>RateDate,CurrencyCode</t>
  </si>
  <si>
    <t>Rates appended by Refresh are re-baselined, not logged as edits</t>
  </si>
  <si>
    <t>PeriodKey,CompanyID,CurrencyCode</t>
  </si>
  <si>
    <t>CheckID</t>
  </si>
  <si>
    <t>Explanation edits are stamped (ExplainedBy / ExplainedOn / ExplainedPeriod)</t>
  </si>
  <si>
    <t>KPI,CheckID</t>
  </si>
  <si>
    <t>Connection</t>
  </si>
  <si>
    <t>Caveat</t>
  </si>
  <si>
    <t>Lines without an FX rate are excluded from TRY totals.</t>
  </si>
  <si>
    <t>Totals do not reconcile to the independent source yet.</t>
  </si>
  <si>
    <t>FILES_EXPECTED</t>
  </si>
  <si>
    <t>Not every expected company has delivered.</t>
  </si>
  <si>
    <t>Duplicate payment keys may double count.</t>
  </si>
  <si>
    <t>Duplicate keys may inflate the case count.</t>
  </si>
  <si>
    <t>Lines with inverted dates are excluded from the average.</t>
  </si>
  <si>
    <t>Implausible dates affect the average.</t>
  </si>
  <si>
    <t>Order</t>
  </si>
  <si>
    <t>Role</t>
  </si>
  <si>
    <t>Query - STG_FXFetch</t>
  </si>
  <si>
    <t>First: fetched CBRT rates are appended to tblFXRate</t>
  </si>
  <si>
    <t>Query - DimCompany</t>
  </si>
  <si>
    <t>Query - DimDate</t>
  </si>
  <si>
    <t>Query - DimFXRate</t>
  </si>
  <si>
    <t>Query - FactPayment</t>
  </si>
  <si>
    <t>Query - STG_Refresh</t>
  </si>
  <si>
    <t>Query - STG_Files</t>
  </si>
  <si>
    <t>Query - STG_ActiveFact</t>
  </si>
  <si>
    <t>Query - STG_Summary</t>
  </si>
  <si>
    <t>Query - STG_DQ</t>
  </si>
  <si>
    <t>Query - STG_LogExternal</t>
  </si>
  <si>
    <t>Last: compares the ActivityLog with its external copy</t>
  </si>
  <si>
    <t>Query - qView_Lines</t>
  </si>
  <si>
    <t>Only Show lines (Cmd_ViewCompanyMonth)</t>
  </si>
  <si>
    <t>STG_FXFetch - automatic CBRT fetch (Power Query output)</t>
  </si>
  <si>
    <t>One row per currency and bulletin day fetched at the last Refresh (OK), or per day without bulletin (NO BULLETIN, e.g. a holiday) or with an error (ERROR, see Detail). OK rows not yet stored are appended to tblFXRate by Refresh. Never type here.</t>
  </si>
  <si>
    <t>Bulletin</t>
  </si>
  <si>
    <t>FetchStatus</t>
  </si>
  <si>
    <t>DuplicatesStoredRate</t>
  </si>
  <si>
    <t>STG_LogExternal - external ActivityLog comparison (Power Query output)</t>
  </si>
  <si>
    <t>Compares the workbook copy of the ActivityLog with the authoritative external folder, by file name. MissingExternally &gt; 0 = a workbook event has no identical external copy (edited or forged); NotInWorkbook = events of sessions that were not saved (INFO).</t>
  </si>
  <si>
    <t>ReadAt</t>
  </si>
  <si>
    <t>ExternalEvents</t>
  </si>
  <si>
    <t>WorkbookEvents</t>
  </si>
  <si>
    <t>MissingExternally</t>
  </si>
  <si>
    <t>MissingEventNos</t>
  </si>
  <si>
    <t>NotInWorkbook</t>
  </si>
  <si>
    <t>UnparsedFiles</t>
  </si>
  <si>
    <t>NewestExternalUtc</t>
  </si>
  <si>
    <t>ReadStatus</t>
  </si>
  <si>
    <t>NotifToPayBucket</t>
  </si>
  <si>
    <t>NotifToPayBucketOrder</t>
  </si>
  <si>
    <t>IsOutlier</t>
  </si>
  <si>
    <t>Slicer_YearMonth</t>
  </si>
  <si>
    <t>Text: slicer name</t>
  </si>
  <si>
    <t>Year-month slicer of the Dashboard; Refresh selects the active period in it.</t>
  </si>
  <si>
    <t>Keeps the KPI cards on the month being closed.</t>
  </si>
  <si>
    <t>No</t>
  </si>
  <si>
    <t>WhatItVerifies</t>
  </si>
  <si>
    <t>Action</t>
  </si>
  <si>
    <t>ExplainedBy</t>
  </si>
  <si>
    <t>ExplainedOn</t>
  </si>
  <si>
    <t>ExplainedPeriod</t>
  </si>
  <si>
    <t>Staging data is current and the refresh was logged</t>
  </si>
  <si>
    <t>Home &gt; Refresh and wait for the message. Do not use Data &gt; Refresh All: it is not logged and keeps this check in REVIEW. If a query fails, the message names it - fix that error first (Technical_Guide, Troubleshooting).</t>
  </si>
  <si>
    <t>Every expected company delivered a file or a nil return</t>
  </si>
  <si>
    <t>Each company expected in the active period (DimCompany window) has at least one MATCHED file or a written nil return in tblNilReturn.</t>
  </si>
  <si>
    <t>Section C shows the company. Look for the file in the source location (a mis-named copy appears under FILES_NEARMISS), ask the company to deliver it, or record its written nil return in tblNilReturn (sheet DimCompany). A company that stopped reporting gets an ExpectedToPeriod on DimCompany.</t>
  </si>
  <si>
    <t>FILES_DUPLICATE</t>
  </si>
  <si>
    <t>No company/period file exists more than once anywhere in the source location (all copies would be loaded).</t>
  </si>
  <si>
    <t>Show staging &gt; STG_Files: filter FilesForCompanyPeriod &gt; 1 and compare FolderPath / DateModified. Move the stale copy out of the source location, then Refresh.</t>
  </si>
  <si>
    <t>FILES_NEARMISS</t>
  </si>
  <si>
    <t>No file looks like a payment file (prefix, separator, MMYYYY) while breaking the naming pattern.</t>
  </si>
  <si>
    <t>FILES_UNEXPECTED</t>
  </si>
  <si>
    <t>Recon sheet: rows with Status = REVIEW show Variance and ToleranceApplied. A variance equal to one payment line usually means a missing, extra or re-sent line - compare with DUP_KEYS and look at the company in DataView. A total without a Recon row needs its independent figure entered.</t>
  </si>
  <si>
    <t>STG_ActiveFact: filter ChronoViolation = 1; ChronoDetail names the inverted pair and SourceFile + SourceRowNo point to the source line. Typical causes: day and month swapped in a text date, a re-opened claim keeping an old decision date. Ask the company to confirm or correct; explain accepted exceptions here.</t>
  </si>
  <si>
    <t>STG_ActiveFact: filter IsDuplicateKey = 1 and sort by LineKey. WITHIN PERIOD = the line is delivered twice this month; ACROSS PERIODS = the same installment was already reported in a closed month (re-sent line or double payment). Genuine reversals may share a key: explain them here.</t>
  </si>
  <si>
    <t>STG_ActiveFact: filter FXRateMissing = 1; note CurrencyCode and PaymentDate. With FXAutoFetch = Y the next Refresh fetches missing CBRT bulletins (see FX_FETCH); otherwise add the rate to tblFXRate (sheet FX), or map an unknown currency spelling in tblCurrencyAlias, then Refresh.</t>
  </si>
  <si>
    <t>CBRT fetch complete up to the latest payment date</t>
  </si>
  <si>
    <t>With FXAutoFetch = Y: no bulletin day failed (network or format error) and the rates are known (stored, fetched or confirmed without bulletin) up to the latest PaymentDate of the active period.</t>
  </si>
  <si>
    <t>No REVIEW issue in STG_DQ: unmapped header, header row not found, missing core column, type-conversion failure, empty file, blank core value, dictionary conflict.</t>
  </si>
  <si>
    <t>Show staging &gt; STG_DQ lists each issue with its Detail. UNMAPPED HEADER: add a ColumnMap row and classify it. MISSING COLUMN (core): ask the company for the field or map the header it uses. TYPE CONVERSION: check the column's format at source. EMPTY FILE: request the file again. NO MAPPED HEADER: the header must be row 1 of the first sheet (a title row above it hides it) - ask for a corrected file.</t>
  </si>
  <si>
    <t>Large payments reviewed</t>
  </si>
  <si>
    <t>Payment lines with GrossAmountTRY at or above OutlierThresholdTRY are confirmed before the close (explanation).</t>
  </si>
  <si>
    <t>Show staging &gt; STG_ActiveFact: filter IsOutlier = 1 (or DataView for the company). Confirm each large payment with the claims department (decision, approval level) and write who confirmed what in Explanation. The threshold OutlierThresholdTRY is a policy (DecisionRegister D38).</t>
  </si>
  <si>
    <t>No column of STG_ActiveFact (= the Data Model fact and the archive) carries a canonical name or source header classified as personal data.</t>
  </si>
  <si>
    <t>Do not close, archive or distribute. In ColumnMap set PersonalData = Y and IncludeInModel = N on every row of the field named in STG_ActiveFact's header, Refresh, confirm this check is OK, then inform the Data Protection Officer.</t>
  </si>
  <si>
    <t>ARCHIVE_COMPLETE</t>
  </si>
  <si>
    <t>Period management</t>
  </si>
  <si>
    <t>ArchiveLog holds exactly one CURRENT row for every month from ArchiveStartPeriod to the month before ActivePeriod.</t>
  </si>
  <si>
    <t>COMPLETENESS</t>
  </si>
  <si>
    <t>Company x month completeness</t>
  </si>
  <si>
    <t>Every company expected in a closed month since ArchiveStartPeriod has data in that month or a nil return (section D).</t>
  </si>
  <si>
    <t>Section D shows company x month. MISSING in a closed month: the month was closed without that company. Obtain the file or the written nil return; record a nil return in tblNilReturn, or re-open the month if data must be added (Technical_Guide).</t>
  </si>
  <si>
    <t>DICTIONARY</t>
  </si>
  <si>
    <t>ColumnMap passes the ten rules of its Dictionary health block (valid flags and types, no personal data included, core fields loadable, consistent rows).</t>
  </si>
  <si>
    <t>ColumnMap sheet, Dictionary health block: each rule says what is wrong (e.g. IncludeInModel = Y with PersonalData = Y, a Core field switched off, an invalid DataType). Correct the rows and Refresh.</t>
  </si>
  <si>
    <t>ColumnIDs verified (VerifiedBy, VerifiedOn)</t>
  </si>
  <si>
    <t>Every dictionary row has a ColumnID stamped as verified by Cmd_VerifyColumnIDs, and no verification stamp was typed by hand after the last verification.</t>
  </si>
  <si>
    <t>REFDATA</t>
  </si>
  <si>
    <t>POLICY_OPEN</t>
  </si>
  <si>
    <t>Four-eyes control enabled</t>
  </si>
  <si>
    <t>Parameter FourEyesRequired = Y: the period is closed by a different Windows user than the one who submitted it.</t>
  </si>
  <si>
    <t>ActivityLog chain and external copy intact</t>
  </si>
  <si>
    <t>The chained checksums of the workbook ActivityLog verify, and every workbook event has an identical external copy (file name with the same checksum).</t>
  </si>
  <si>
    <t>The external log folder is authoritative. Compare the listed events with their ACT_*.csv files; a mismatch means the workbook log was edited or rebuilt. Inform the platform administrator and IT Security; never repair the log by hand. Verify log (Cmd_VerifyLog) re-checks the chain; the external copy is compared at every Refresh.</t>
  </si>
  <si>
    <t>Threshold = the maximum count accepted for OK (0 everywhere; tolerances are applied inside the metric, e.g. per Recon row). Changing a threshold or a check is a policy change: DecisionRegister and Changelog. An explanation counts only for the period in ExplainedPeriod and is cleared (and archived in the CONTROLS file) at close.</t>
  </si>
  <si>
    <t>B. Close-out values - copied into ArchiveLog by Close period (Cmd_ClosePeriod); never typed</t>
  </si>
  <si>
    <t>RecordedHashTotal = sum of GrossAmount across all currencies: a control total that proves the archive file is unchanged, not a business figure.</t>
  </si>
  <si>
    <t>C. Company matrix - active period</t>
  </si>
  <si>
    <t>D. Completeness - company x month since ArchiveStartPeriod</t>
  </si>
  <si>
    <t>Expected</t>
  </si>
  <si>
    <t>Nil return</t>
  </si>
  <si>
    <t>Outliers</t>
  </si>
  <si>
    <t>CompanyID \ month</t>
  </si>
  <si>
    <t>Run context (from Parameters and staging)</t>
  </si>
  <si>
    <t>Last logged refresh (Cmd_RefreshAll)</t>
  </si>
  <si>
    <t>FX rates known up to</t>
  </si>
  <si>
    <t>Checks in REVIEW</t>
  </si>
  <si>
    <t>REVIEW not explained for this period</t>
  </si>
  <si>
    <t>Close gate</t>
  </si>
  <si>
    <t>Four-eyes sign-off</t>
  </si>
  <si>
    <t>ActivityLog chain</t>
  </si>
  <si>
    <t>External log copy</t>
  </si>
  <si>
    <t>Workflow: Home &gt; Refresh &gt; work the checks (explain accepted REVIEWs in column K) &gt; Submit for review &gt; a second person closes the period (Close period). Buttons on Home; manual on Closing_Manual.</t>
  </si>
  <si>
    <t>Detail view - payment lines of one company and month</t>
  </si>
  <si>
    <t>Choose a company and a month, then click Show lines: only that company's source file (active month) or that month's archive file (closed month) is read - seconds, no full refresh. Only whitelisted, non-personal fields are shown, under the source header names.</t>
  </si>
  <si>
    <t>Company</t>
  </si>
  <si>
    <t>Month (YYYYMM)</t>
  </si>
  <si>
    <t>Now showing</t>
  </si>
  <si>
    <t>Drop-down lists (formulas)</t>
  </si>
  <si>
    <t>dvCompanyList</t>
  </si>
  <si>
    <t>dvPeriodList</t>
  </si>
  <si>
    <t>(company list in column V, period list in column W)</t>
  </si>
  <si>
    <t>Privacy (KVKK, Law No. 6698): personal-data columns stay in the company files by design and are never loaded; this view and its export hold only fields with IncludeInModel = Y and PersonalData = N. Both buttons are logged.</t>
  </si>
  <si>
    <t>Lines (qView_Lines)</t>
  </si>
  <si>
    <t>Dash_Pivots - pivots behind the dashboard charts (hidden)</t>
  </si>
  <si>
    <t>Data Model pivots feeding the PivotCharts on Dashboard; filtered by the Dashboard slicers and timeline. Do not move them.</t>
  </si>
  <si>
    <t>Row Labels</t>
  </si>
  <si>
    <t>Payments dashboard</t>
  </si>
  <si>
    <t>Closing status</t>
  </si>
  <si>
    <t>REVIEW checks</t>
  </si>
  <si>
    <t>Four-eyes</t>
  </si>
  <si>
    <t>Slicers filter the cards, the company, currency and days charts and the company table; the timeline filters the trend chart. Refresh selects the active month in the Year-month slicer.</t>
  </si>
  <si>
    <t>Total payments (TRY)</t>
  </si>
  <si>
    <t>Net payments (TRY)</t>
  </si>
  <si>
    <t>Distinct cases</t>
  </si>
  <si>
    <t>Month-over-month</t>
  </si>
  <si>
    <t>Avg days notification to payment</t>
  </si>
  <si>
    <t>Selection</t>
  </si>
  <si>
    <t>Model check (active period, all companies):</t>
  </si>
  <si>
    <t>Data Model (DAX) = worksheet recomputation on KPI_Check: total TRY, payment lines and distinct cases of the active period.</t>
  </si>
  <si>
    <t>Checks in REVIEW (ControlPanel)</t>
  </si>
  <si>
    <t>Top data-quality issues in REVIEW (STG_DQ)</t>
  </si>
  <si>
    <t>Company overview for the selected month (Data Model pivot)</t>
  </si>
  <si>
    <t>Matrix - company x month (Total Payments TRY, heat map)</t>
  </si>
  <si>
    <t>Data Model pivot over the whole history (archive + active month). Filter with the slicers; double-click a value to list its payment lines (drill-through). Colour scale: low = light, high = dark.</t>
  </si>
  <si>
    <t>Column Labels</t>
  </si>
  <si>
    <t>Analyst</t>
  </si>
  <si>
    <t>Administrator</t>
  </si>
  <si>
    <t>Closing manual - one month on one page</t>
  </si>
  <si>
    <t>• The independent totals (ledger extract or the companies' signed cover letters) are at hand.</t>
  </si>
  <si>
    <t>1. Recon sheet: one row per company x currency - PeriodKey, CompanyID, CurrencyCode, IndependentTotal (original currency), SourceReference, EnteredBy.</t>
  </si>
  <si>
    <t>Exceptions</t>
  </si>
  <si>
    <t>• Where the answers are.</t>
  </si>
  <si>
    <t>1. Architecture and division of labour</t>
  </si>
  <si>
    <t>Layer   |   Owner   |   Where</t>
  </si>
  <si>
    <t>Query chain.</t>
  </si>
  <si>
    <t>Configuration.</t>
  </si>
  <si>
    <t>2. Sheets</t>
  </si>
  <si>
    <t>Reject submission   |   Cmd_RejectSubmission(reason)   |   Reviewer   |   yes   |   SignOff REJECTED</t>
  </si>
  <si>
    <t>Layer   |   Question it answers   |   Where</t>
  </si>
  <si>
    <t>RefreshLog   |   What did staging look like after each logged refresh?   |   RefreshLog sheet</t>
  </si>
  <si>
    <t>Symptom   |   Cause   |   Fix</t>
  </si>
  <si>
    <t>Pivot guide - rebuilding the Data Model reports</t>
  </si>
  <si>
    <t>Rules</t>
  </si>
  <si>
    <t>• Insert every pivot with Insert &gt; PivotTable &gt; From Data Model, so that it uses the workbook's Data Model.</t>
  </si>
  <si>
    <t>• Company names come from DimCompany[CompanyLabel]; months from DimDate[YearMonth] ("2026-09" sorts correctly as text).</t>
  </si>
  <si>
    <t>• Period filters use DimDate. The default relationship is the reporting period (FactPayment[PeriodDate]), so a month in a pivot equals the closing figures.</t>
  </si>
  <si>
    <t>• Sheets are protected with "Use PivotTable &amp; PivotChart" allowed. To add or move a pivot, the administrator unprotects the sheet, and Home &gt; Hide staging re-applies the protection.</t>
  </si>
  <si>
    <t>Slicers - row 5, filter the cards, the company overview and three charts</t>
  </si>
  <si>
    <t>Slicer   |   Field   |   Name used in formulas   |   Connected pivots</t>
  </si>
  <si>
    <t>Year-month   |   DimDate[YearMonth]   |   Slicer_YearMonth   |   pvtCompanyMonth, pvtCompanyShare, pvtCurrencyMix, pvtDaysDistribution</t>
  </si>
  <si>
    <t>Company type   |   DimCompany[CompanyType]   |   Slicer_CompanyType   |   all dashboard pivots incl. pvtTrend</t>
  </si>
  <si>
    <t>Currency   |   FactPayment[CurrencyCode]   |   Slicer_CurrencyCode   |   pvtCompanyMonth, pvtTrend, pvtCompanyShare, pvtDaysDistribution</t>
  </si>
  <si>
    <t>Timeline   |   DimDate[Date]   |   Timeline_Date   |   pvtTrend only</t>
  </si>
  <si>
    <t>• The "Name to use in formulas" is set in Slicer Settings. Refresh selects the active month in the slicer named by the parameter DashboardPeriodSlicer.</t>
  </si>
  <si>
    <t>• Connect a slicer to a pivot with Slicer &gt; Report Connections.</t>
  </si>
  <si>
    <t>KPI cards - rows 12-14</t>
  </si>
  <si>
    <t>• Value: =CUBEVALUE("ThisWorkbookDataModel","[Measures].[&lt;measure&gt;]",Slicer_YearMonth,Slicer_CompanyType,Slicer_CurrencyCode).</t>
  </si>
  <si>
    <t>• Measures: Total Payments TRY, Net Payments TRY, Distinct Cases, MoM Change %, Avg Days Notification to Payment.</t>
  </si>
  <si>
    <t>• Caveat line: a TEXTJOIN over tblKPICaveat (AdminConfig). It shows the caveat of every linked check that is REVIEW. A new card needs rows in tblKPICaveat.</t>
  </si>
  <si>
    <t>• Selection: CUBERANKEDMEMBER over the slicers.</t>
  </si>
  <si>
    <t>• Model check (D16): the Data Model total TRY, lines and distinct cases for the active period, compared with KPI_Check (names kpiTotalTRY, kpiLines, kpiCases). It must show OK.</t>
  </si>
  <si>
    <t>Charts - PivotCharts on the pivots of the hidden sheet Dash_Pivots</t>
  </si>
  <si>
    <t>Chart   |   Pivot   |   Rows   |   Values   |   Type</t>
  </si>
  <si>
    <t>chtTrend   |   pvtTrend   |   DimDate[YearMonth]   |   Total Payments TRY   |   line</t>
  </si>
  <si>
    <t>chtCompanyShare   |   pvtCompanyShare   |   DimCompany[CompanyLabel]   |   Total Payments TRY   |   pie, % labels</t>
  </si>
  <si>
    <t>chtCurrencyMix   |   pvtCurrencyMix   |   FactPayment[CurrencyCode]   |   Total Payments TRY   |   column</t>
  </si>
  <si>
    <t>chtDaysDistribution   |   pvtDaysDistribution   |   FactPayment[NotifToPayBucket]   |   Payment Lines   |   column</t>
  </si>
  <si>
    <t>• The bucket labels carry a number prefix ("1) 0-30 days" ... "9) n/a") so that they sort correctly.</t>
  </si>
  <si>
    <t>• To show a chart's field buttons again: PivotChart Analyze &gt; Field Buttons.</t>
  </si>
  <si>
    <t>Company overview - pvtCompanyMonth, from row 70</t>
  </si>
  <si>
    <t>• Rows: DimCompany[CompanyLabel].</t>
  </si>
  <si>
    <t>• Values: Total Payments TRY, Net Payments TRY, Distinct Cases, Company Share of Total %, MoM Change %, Avg Days Notification to Payment, Partial Payment Ratio %.</t>
  </si>
  <si>
    <t>• Slicers: all three.</t>
  </si>
  <si>
    <t>Status band - row 50</t>
  </si>
  <si>
    <t>• Dynamic-array formulas list the REVIEW checks (tblControl) and the top five REVIEW data-quality issues (STG_DQ).</t>
  </si>
  <si>
    <t>• They are not pivots and need no maintenance.</t>
  </si>
  <si>
    <t>pvtMatrix (Matrix!A12):</t>
  </si>
  <si>
    <t>• Rows: DimCompany[CompanyLabel]. Columns: DimDate[YearMonth]. Values: Total Payments TRY (#,##0).</t>
  </si>
  <si>
    <t>• Conditional formatting: a 3-colour scale applied to all values of the data field, so it follows the pivot when it grows.</t>
  </si>
  <si>
    <t>• Slicers on its own caches: Slicer_MxCompanyType, Slicer_MxCurrencyCode, Slicer_MxPeriodStatus.</t>
  </si>
  <si>
    <t>• Double-clicking a value lists its payment lines (drill-through, at most 1,000 rows - D49). For complete lists, use DataView.</t>
  </si>
  <si>
    <t>Useful extra views (build on demand)</t>
  </si>
  <si>
    <t>Question   |   Rows   |   Columns   |   Values / filter</t>
  </si>
  <si>
    <t>Cash view by payment month   |   DimDate[YearMonth]   |   -   |   Total Payments TRY by Payment Date</t>
  </si>
  <si>
    <t>Incurred (accident-period) view   |   DimDate[Year]   |   -   |   Total Payments TRY by Loss Date</t>
  </si>
  <si>
    <t>Data quality per company   |   DimCompany[CompanyLabel]   |   DimDate[YearMonth]   |   Chronology Violation Lines, Duplicate Key Lines, Missing FX Lines, Outlier Lines</t>
  </si>
  <si>
    <t>Original-currency totals   |   DimCompany[CompanyLabel]   |   FactPayment[CurrencyCode]   |   Gross Amount Original Currency</t>
  </si>
  <si>
    <t>Partial payments   |   DimCompany[CompanyLabel]   |   -   |   Partial Payment Cases, Partial Payment Ratio %</t>
  </si>
  <si>
    <t>Applied FX rates   |   DimFXRate[CurrencyCode]   |   DimFXRate[RateDate]   |   the rate columns, filtered to one month</t>
  </si>
  <si>
    <t>Band of DaysNotificationToPayment: "1) 0-30 days" ... "6) over 365 days", "9) n/a (missing or negative)"; the number prefix sorts the bands (Dashboard chart). v2.0</t>
  </si>
  <si>
    <t>Order of the band (1-6, 99). v2.0</t>
  </si>
  <si>
    <t>1 = GrossAmountTRY &gt;= OutlierThresholdTRY (check OUTLIERS). v2.0</t>
  </si>
  <si>
    <t>Currency x day with the applied rate: CBRT rates stored in tblFXRate plus bulletins fetched automatically (qFX_CBRT, stored wins), carried forward &lt;= FXMaxCarryForwardDays.</t>
  </si>
  <si>
    <t>Outlier Lines</t>
  </si>
  <si>
    <t>CALCULATE ( COUNTROWS ( FactPayment ), FactPayment[IsOutlier] = 1 )</t>
  </si>
  <si>
    <t>CALCULATE ( COUNTROWS ( FactPayment ); FactPayment[IsOutlier] = 1 )</t>
  </si>
  <si>
    <t>Payment lines with GrossAmountTRY at or above OutlierThresholdTRY (v2.0).</t>
  </si>
  <si>
    <t>ControlPanel check OUTLIERS (active period)</t>
  </si>
  <si>
    <t>ControlPanel check CHRONOLOGY</t>
  </si>
  <si>
    <t>ControlPanel check DUP_KEYS</t>
  </si>
  <si>
    <t>ControlPanel check FX_RATES</t>
  </si>
  <si>
    <t>The same KPIs as the DAX measures, recomputed with worksheet formulas for the ACTIVE period from STG_ActiveFact / STG_Summary. A pivot filtered to the active month must show identical values (checks DATES and CHRONOLOGY guarantee the same line population).</t>
  </si>
  <si>
    <t>[Mapping unverified] 'Total paid' is mapped to the gross payment amount. The reconciliation of every company that uses this header is the test of this assumption (DecisionRegister A3). Payment amount in CurrencyCode (odeme miktari). Basis of 'total payments' and of the reconciliation (parameter ReconBasis).</t>
  </si>
  <si>
    <t>shadow copy of tblParameters for the edit audit (mod_Log) - do not edit</t>
  </si>
  <si>
    <t>shadow copy of tblColumnMap for the edit audit (mod_Log) - do not edit</t>
  </si>
  <si>
    <t>shadow copy of tblDimCompany for the edit audit (mod_Log) - do not edit</t>
  </si>
  <si>
    <t>shadow copy of tblNilReturn for the edit audit (mod_Log) - do not edit</t>
  </si>
  <si>
    <t>shadow copy of tblCurrencyAlias for the edit audit (mod_Log) - do not edit</t>
  </si>
  <si>
    <t>shadow copy of tblFXRate for the edit audit (mod_Log) - do not edit</t>
  </si>
  <si>
    <t>shadow copy of tblRecon for the edit audit (mod_Log) - do not edit</t>
  </si>
  <si>
    <t>shadow copy of tblDecision for the edit audit (mod_Log) - do not edit</t>
  </si>
  <si>
    <t>2026-09-28</t>
  </si>
  <si>
    <t>shadow copy of tblControl for the edit audit (mod_Log) - do not edit</t>
  </si>
  <si>
    <t>shadow copy of tblArchiveLog for the edit audit (mod_Log) - do not edit</t>
  </si>
  <si>
    <t>shadow copy of tblSignOff for the edit audit (mod_Log) - do not edit</t>
  </si>
  <si>
    <t>shadow copy of tblSheetPolicy for the edit audit (mod_Log) - do not edit</t>
  </si>
  <si>
    <t>shadow copy of tblAuditScope for the edit audit (mod_Log) - do not edit</t>
  </si>
  <si>
    <t>shadow copy of tblKPICaveat for the edit audit (mod_Log) - do not edit</t>
  </si>
  <si>
    <t>shadow copy of tblRefreshPlan for the edit audit (mod_Log) - do not edit</t>
  </si>
  <si>
    <t>shadow copy of tblChangelog for the edit audit (mod_Log) - do not edit</t>
  </si>
  <si>
    <t>Colour code, roles, check severity, banner colours, naming, formatting standard, the controlled vocabularies of the drop-down lists, and the result words.</t>
  </si>
  <si>
    <t>202609 / typed value</t>
  </si>
  <si>
    <t>User input: the only cells anyone types in, and only with the role that may edit that table (tblAuditScope). Anything else is reverted and logged.</t>
  </si>
  <si>
    <t>=1+1</t>
  </si>
  <si>
    <t>grey italic</t>
  </si>
  <si>
    <t>Grey italic text</t>
  </si>
  <si>
    <t>Written by VBA (e.g. the Location parameters from ACP_Settings.ini). Do not type.</t>
  </si>
  <si>
    <t>ColumnID not verified yet (VerifiedBy / VerifiedOn empty): verify it against the schema reference, then stamp it with Verify selected ColumnIDs.</t>
  </si>
  <si>
    <t>Green</t>
  </si>
  <si>
    <t>Red</t>
  </si>
  <si>
    <t>BLOCKING check failed: fix it, or explain it for the period before the close.</t>
  </si>
  <si>
    <t>ADVISORY</t>
  </si>
  <si>
    <t>Amber</t>
  </si>
  <si>
    <t>ADVISORY check failed: shown and listed in the closing pack; never blocks the close.</t>
  </si>
  <si>
    <t>Blue</t>
  </si>
  <si>
    <t>Roles (a user may hold several; unlisted users are Viewers)</t>
  </si>
  <si>
    <t>Türkçe</t>
  </si>
  <si>
    <t>May do (tblCommandPermission holds the exact list)</t>
  </si>
  <si>
    <t>Viewer</t>
  </si>
  <si>
    <t>Görüntüleyici</t>
  </si>
  <si>
    <t>Read everything that is visible; export the Dashboard PDF. Default for every user who is not listed.</t>
  </si>
  <si>
    <t>Analist</t>
  </si>
  <si>
    <t>Viewer + show and export the lines of a company and month (DataView).</t>
  </si>
  <si>
    <t>Preparer</t>
  </si>
  <si>
    <t>Hazırlayan</t>
  </si>
  <si>
    <t>Analyst + Refresh, reconciliation totals, nil returns, check explanations, Submit for review.</t>
  </si>
  <si>
    <t>Reviewer</t>
  </si>
  <si>
    <t>Kontrol eden</t>
  </si>
  <si>
    <t>Analyst + Refresh, Reject submission, Close period (never a period the same user submitted), closing pack, archive notes.</t>
  </si>
  <si>
    <t>Yönetici</t>
  </si>
  <si>
    <t>Setup, users and roles, re-open, ColumnID verification, source export, log verification, changelog entries, staging sheets, lock clearing, and the administrator tables - after signing in with the own password.</t>
  </si>
  <si>
    <t>Check severity (tblControl[Severity])</t>
  </si>
  <si>
    <t>BLOCKING</t>
  </si>
  <si>
    <t>Gates the close: the check must be OK, or its REVIEW explained for the period.</t>
  </si>
  <si>
    <t>Shown in amber on Home and ControlPanel and listed in the closing pack; never blocks the close.</t>
  </si>
  <si>
    <t>Home banner colours</t>
  </si>
  <si>
    <t>RED</t>
  </si>
  <si>
    <t>Stop: the security tables were changed outside the application, the file is a copy, or the settings / folders are missing. Commands that change data are disabled.</t>
  </si>
  <si>
    <t>AMBER</t>
  </si>
  <si>
    <t>Action needed: Setup, a refresh, missing files, reconciliation, explanations, an advisory item, or the file is open read-only.</t>
  </si>
  <si>
    <t>BLUE</t>
  </si>
  <si>
    <t>Information: waiting for a reviewer, or read-only access for a user without a role.</t>
  </si>
  <si>
    <t>GREEN</t>
  </si>
  <si>
    <t>Ready: the month can be submitted or closed, or nothing is left to do.</t>
  </si>
  <si>
    <t>Human-maintained or command-written Excel table, e.g. tblParameters, tblColumnMap.</t>
  </si>
  <si>
    <t>fn* / cfg* / q*</t>
  </si>
  <si>
    <t>Power Query function / configuration / intermediate queries (connection only).</t>
  </si>
  <si>
    <t>VBA: Cmd_* = public command (buttons, Application.Run; one ActivityLog row each), Do_* = internal step, mod_* = module.</t>
  </si>
  <si>
    <t>Edit_*</t>
  </si>
  <si>
    <t>Permission to type in a table (tblCommandPermission, tblAuditScope).</t>
  </si>
  <si>
    <t>cp* / cm*</t>
  </si>
  <si>
    <t>Named cells and spill ranges on ControlPanel (run context, status, company and completeness matrices).</t>
  </si>
  <si>
    <t>Named formula returning one tblParameters value.</t>
  </si>
  <si>
    <t>ses* / sec* / home*</t>
  </si>
  <si>
    <t>Session cells written at open, security cells (sheet Security), Home banner cells.</t>
  </si>
  <si>
    <t>log* / dv* / nav*</t>
  </si>
  <si>
    <t>ActivityLog chain status, DataView inputs, navigation anchors.</t>
  </si>
  <si>
    <t>Very hidden shadow copies of the audited tables (edit audit) - never edit.</t>
  </si>
  <si>
    <t>Every table has a navy header row; every input cell is yellow with blue text; banners and dialogs are in Turkish first, then English.</t>
  </si>
  <si>
    <t>Controlled vocabularies (named ranges used by drop-downs and checks - change only with a changelog entry)</t>
  </si>
  <si>
    <t>Y/N flags (ColumnMap, Parameters, AdminConfig, tblCommandPermission)</t>
  </si>
  <si>
    <t>Parameters FXSource</t>
  </si>
  <si>
    <t>Deferred</t>
  </si>
  <si>
    <t>SETUP</t>
  </si>
  <si>
    <t>OK / REVIEW / ADVISORY / INFO</t>
  </si>
  <si>
    <t>OK / WARNING / BLOCKED / DENIED / CANCELLED / ERROR</t>
  </si>
  <si>
    <t>Start of every command result (ActivityLog Result, message box, Api_LastResult). DENIED = the role does not allow the command (logged as SECURITY).</t>
  </si>
  <si>
    <t>SUBMITTED / REJECTED / CLOSED / REOPENED</t>
  </si>
  <si>
    <t>DONE / TO DO / WAITING / ADVISORY</t>
  </si>
  <si>
    <t>Home checklist: the first TO DO or WAITING item is the next action shown in the banner.</t>
  </si>
  <si>
    <t>COMMAND / EDIT / SECURITY / SYSTEM</t>
  </si>
  <si>
    <t>ActivityLog event types; high-severity security events carry severity=HIGH in Parameters.</t>
  </si>
  <si>
    <t>VisibleTo</t>
  </si>
  <si>
    <t>EditPermission</t>
  </si>
  <si>
    <t>ColumnPermissions</t>
  </si>
  <si>
    <t>Start</t>
  </si>
  <si>
    <t>*</t>
  </si>
  <si>
    <t>Macro guard: the only visible sheet of the saved file</t>
  </si>
  <si>
    <t>Banner, checklist and the buttons of the user's roles</t>
  </si>
  <si>
    <t>Explanation column open to Edit_Explanation (tblAuditScope)</t>
  </si>
  <si>
    <t>Analyst,Preparer,Reviewer</t>
  </si>
  <si>
    <t>Edit_Parameters</t>
  </si>
  <si>
    <t>Administrator (signed in); edits logged</t>
  </si>
  <si>
    <t>Edit_ColumnMap</t>
  </si>
  <si>
    <t>Administrator (signed in); VerifiedBy / VerifiedOn only by command</t>
  </si>
  <si>
    <t>Edit_DimCompany,Edit_NilReturn</t>
  </si>
  <si>
    <t>Companies: Administrator; nil returns: Preparer</t>
  </si>
  <si>
    <t>Edit_FXRate,Edit_CurrencyAlias</t>
  </si>
  <si>
    <t>Administrator (signed in); Refresh appends CBRT rates</t>
  </si>
  <si>
    <t>Edit_Recon</t>
  </si>
  <si>
    <t>Written by commands; Notes open to Edit_ArchiveLogNotes</t>
  </si>
  <si>
    <t>Edit_Decision</t>
  </si>
  <si>
    <t>Administrator (signed in)</t>
  </si>
  <si>
    <t>Admin_Guide</t>
  </si>
  <si>
    <t>Maintained only by Add changelog entry (Cmd_AddChangelogEntry)</t>
  </si>
  <si>
    <t>Edit_AdminConfig</t>
  </si>
  <si>
    <t>Security</t>
  </si>
  <si>
    <t>Users, roles, permissions, administrator credentials, session cells</t>
  </si>
  <si>
    <t>FourEyesRequired off needs the password again (severity HIGH); location rows are written by VBA from ACP_Settings.ini</t>
  </si>
  <si>
    <t>Edit_DimCompany</t>
  </si>
  <si>
    <t>Edit_NilReturn</t>
  </si>
  <si>
    <t>Edit_CurrencyAlias</t>
  </si>
  <si>
    <t>Edit_FXRate</t>
  </si>
  <si>
    <t>Explanation=Edit_Explanation</t>
  </si>
  <si>
    <t>Notes=Edit_ArchiveLogNotes</t>
  </si>
  <si>
    <t>Command-written; only Notes may be typed</t>
  </si>
  <si>
    <t>Command-written only</t>
  </si>
  <si>
    <t>tblUIText</t>
  </si>
  <si>
    <t>Key</t>
  </si>
  <si>
    <t>Banner and dialog texts (Turkish, English)</t>
  </si>
  <si>
    <t>Only Add changelog entry (Cmd_AddChangelogEntry) writes here</t>
  </si>
  <si>
    <t>Query - STG_Discovery</t>
  </si>
  <si>
    <t>Only Setup (discovery of the source and archive folders)</t>
  </si>
  <si>
    <t>TR</t>
  </si>
  <si>
    <t>EN</t>
  </si>
  <si>
    <t>BTN_OK</t>
  </si>
  <si>
    <t>Tamam</t>
  </si>
  <si>
    <t>BTN_CANCEL</t>
  </si>
  <si>
    <t>İptal</t>
  </si>
  <si>
    <t>Cancel</t>
  </si>
  <si>
    <t>ROLE_Viewer</t>
  </si>
  <si>
    <t>ROLE_Analyst</t>
  </si>
  <si>
    <t>ROLE_Preparer</t>
  </si>
  <si>
    <t>ROLE_Reviewer</t>
  </si>
  <si>
    <t>ROLE_Administrator</t>
  </si>
  <si>
    <t>HOME_ROLE</t>
  </si>
  <si>
    <t>Rol</t>
  </si>
  <si>
    <t>HOME_CANDO</t>
  </si>
  <si>
    <t>Yapabilecekleriniz</t>
  </si>
  <si>
    <t>What you may do</t>
  </si>
  <si>
    <t>HOME_CHECKLIST</t>
  </si>
  <si>
    <t>Kontrol listesi – ilk açık madde sıradaki iştir</t>
  </si>
  <si>
    <t>Checklist – the first open item is the next action</t>
  </si>
  <si>
    <t>HOME_COMMANDS</t>
  </si>
  <si>
    <t>Komutlar – yalnızca rolünüzün izin verdiği düğmeler görünür</t>
  </si>
  <si>
    <t>Commands – only the buttons your role allows are shown</t>
  </si>
  <si>
    <t>NODATA</t>
  </si>
  <si>
    <t>Henüz veri yok – Kurulum'u tamamlayın (Giriş sayfası).</t>
  </si>
  <si>
    <t>No data yet – complete Setup (Home).</t>
  </si>
  <si>
    <t>DENIED_ROLE</t>
  </si>
  <si>
    <t>Bu işlem için yetkiniz yok: {0}. Rolünüz: {1}. Erişim için platform yöneticisine başvurun.</t>
  </si>
  <si>
    <t>You are not allowed to run {0}. Your role: {1}. Ask a platform Administrator for access.</t>
  </si>
  <si>
    <t>DENIED_DEGRADED</t>
  </si>
  <si>
    <t>Güvenlik tabloları uygulama dışında değiştirilmiş; bir Yönetici inceleyene kadar herkes yalnızca görüntüleyebilir ({0} yapılamaz).</t>
  </si>
  <si>
    <t>The security tables were changed outside the application; until an Administrator reviews them everyone can only view ({0} is not available).</t>
  </si>
  <si>
    <t>DENIED_SIGNIN</t>
  </si>
  <si>
    <t>{0} için yönetici girişi (Windows kimliği ve yönetici parolası) gereklidir.</t>
  </si>
  <si>
    <t>{0} needs the administrator sign-in (Windows identity and administrator password).</t>
  </si>
  <si>
    <t>SIGNIN_PROMPT</t>
  </si>
  <si>
    <t>{0} için yönetici parolası:</t>
  </si>
  <si>
    <t>Administrator password for {0}:</t>
  </si>
  <si>
    <t>SIGNIN_WRONG</t>
  </si>
  <si>
    <t>Parola yanlış (deneme {0} / {1}). {1} hatalı denemeden sonra giriş {2} dakika kilitlenir.</t>
  </si>
  <si>
    <t>Wrong password (attempt {0} of {1}). After {1} failed attempts the sign-in is locked for {2} minutes.</t>
  </si>
  <si>
    <t>SIGNIN_NOW_LOCKED</t>
  </si>
  <si>
    <t>Parola {0} kez yanlış girildi: yönetici girişi {2} dakika kilitlendi. Tüm denemeler kayıt altındadır.</t>
  </si>
  <si>
    <t>The password was wrong {0} times: the administrator sign-in is locked for {2} minutes. Every attempt is logged.</t>
  </si>
  <si>
    <t>SIGNIN_LOCKED</t>
  </si>
  <si>
    <t>Yönetici girişi {0} saatine kadar kilitli (çok sayıda hatalı deneme).</t>
  </si>
  <si>
    <t>The administrator sign-in is locked until {0} (too many failed attempts).</t>
  </si>
  <si>
    <t>PWD_NEW</t>
  </si>
  <si>
    <t>{0} için yeni yönetici parolası (en az {1} karakter; oturum adınızı içermemeli). Yalnızca tuzlanmış ve tekrarlı bir özet saklanır; parola unutulursa başka bir Yönetici sıfırlar.</t>
  </si>
  <si>
    <t>New administrator password for {0} (at least {1} characters, not containing your logon name). Only a salted, iterated hash is stored; if the password is lost, another Administrator resets it.</t>
  </si>
  <si>
    <t>PWD_CONFIRM</t>
  </si>
  <si>
    <t>Parolayı tekrar girin:</t>
  </si>
  <si>
    <t>Enter the password again:</t>
  </si>
  <si>
    <t>PWD_REJECTED</t>
  </si>
  <si>
    <t>Parola kabul edilmedi: {0}. En az {1} karakter kullanın.</t>
  </si>
  <si>
    <t>Password not accepted: {0}. Use at least {1} characters.</t>
  </si>
  <si>
    <t>PWD_RECONFIRM</t>
  </si>
  <si>
    <t>Dört göz kontrolünü kapatmak yüksek riskli bir değişikliktir. Onaylamak için yönetici parolanızı tekrar girin:</t>
  </si>
  <si>
    <t>Switching four-eyes off is a high-risk change. Enter your administrator password again to confirm:</t>
  </si>
  <si>
    <t>USERS_MENU</t>
  </si>
  <si>
    <t>Kullanıcılar ve roller (etkin Yönetici: {1})
1 Kullanıcı veya rol ekle
2 Rol kaldır
3 Başka bir yöneticinin parolasını sıfırla
4 Kendi parolanı değiştir
5 Komut yetkisini değiştir
6 Güvenlik tablolarını onayla (inceleme)
Seçiminiz (1-6):</t>
  </si>
  <si>
    <t>Users and roles (active Administrators: {1}): 1 add a user or role, 2 remove a role, 3 reset another administrator's password, 4 change your own password, 5 change a command permission, 6 accept the security tables after a review. Your choice (1-6).
{0}</t>
  </si>
  <si>
    <t>USERS_ASK_KEY</t>
  </si>
  <si>
    <t>Kullanıcı (ALAN\oturum_adı; alan yazılmazsa {0} kullanılır):</t>
  </si>
  <si>
    <t>User (DOMAIN\logon; without a domain {0} is used):</t>
  </si>
  <si>
    <t>USERS_ASK_NAME</t>
  </si>
  <si>
    <t>{0} için görünen ad:</t>
  </si>
  <si>
    <t>Display name of {0}:</t>
  </si>
  <si>
    <t>USERS_ASK_ROLES</t>
  </si>
  <si>
    <t>Roller (virgülle ayırın): Analyst, Preparer, Reviewer, Administrator. Rolü olmayan herkes Viewer'dır.</t>
  </si>
  <si>
    <t>Roles (comma separated): Analyst, Preparer, Reviewer, Administrator. Everyone without a role is a Viewer.</t>
  </si>
  <si>
    <t>USERS_ASK_REMOVE</t>
  </si>
  <si>
    <t>Kaldırılacak roller (şu an: {0}):</t>
  </si>
  <si>
    <t>Roles to remove (now: {0}):</t>
  </si>
  <si>
    <t>USERS_CONFIRM_REMOVE</t>
  </si>
  <si>
    <t>{1} kullanıcısından {0} rolü kaldırılsın mı? Satırlar geçmiş olarak saklanır.</t>
  </si>
  <si>
    <t>Remove the role(s) {0} from {1}? The rows are kept as history.</t>
  </si>
  <si>
    <t>USERS_ASK_RESET</t>
  </si>
  <si>
    <t>Parolası sıfırlanacak Yönetici (ALAN\oturum_adı):</t>
  </si>
  <si>
    <t>Administrator whose password is reset (DOMAIN\logon):</t>
  </si>
  <si>
    <t>USERS_CONFIRM_RESET</t>
  </si>
  <si>
    <t>{0} kullanıcısının yönetici parolası sıfırlansın mı? Bir sonraki girişte yeni parola belirler. İşlem yüksek önem düzeyiyle kaydedilir.</t>
  </si>
  <si>
    <t>Reset the administrator password of {0}? The user sets a new one at the next sign-in. This is logged with severity HIGH.</t>
  </si>
  <si>
    <t>USERS_ASK_PERM</t>
  </si>
  <si>
    <t>Komut veya yetki (ör. Cmd_RefreshAll, Edit_Recon):</t>
  </si>
  <si>
    <t>Command or permission (e.g. Cmd_RefreshAll, Edit_Recon):</t>
  </si>
  <si>
    <t>USERS_ASK_PERMVALUE</t>
  </si>
  <si>
    <t>{0} için rol ve değer (ör. Reviewer=Y veya Analyst=N):</t>
  </si>
  <si>
    <t>Role and value for {0} (e.g. Reviewer=Y or Analyst=N):</t>
  </si>
  <si>
    <t>USERS_CONFIRM_ACCEPT</t>
  </si>
  <si>
    <t>Güvenlik tabloları uygulama dışında değişmiş: {0}
İnceledikten sonra mevcut tabloları kabul ediyor musunuz? (Hayır: BT çalışma kitabını yedekten geri yükler.)</t>
  </si>
  <si>
    <t>The security tables changed outside the application: {0}. After your review, do you accept the current tables? (No: IT restores the workbook from backup.)
{1}</t>
  </si>
  <si>
    <t>BLOCKED_LOCK</t>
  </si>
  <si>
    <t>Uzun süren bir işlem çalışıyor: {0}. Bitmesini bekleyin. {1} saatten eski bir kilidi bir Yönetici kaldırabilir.</t>
  </si>
  <si>
    <t>A long command is running: {0}. Wait until it finishes. An Administrator can clear a lock older than {1} hours.</t>
  </si>
  <si>
    <t>BLOCKED_LOCKFILE</t>
  </si>
  <si>
    <t>Kilit dosyası yazılamadı ({0}). Platform klasörüne yazma izniniz olmalı (BT).</t>
  </si>
  <si>
    <t>The lock file cannot be written ({0}). You need write access to the platform folder (IT).</t>
  </si>
  <si>
    <t>LOCK_CONFIRM_CLEAR</t>
  </si>
  <si>
    <t>Kilit dosyası: {0}
Kaldırılsın mı? İşlem yüksek önem düzeyiyle kaydedilir.</t>
  </si>
  <si>
    <t>Lock file: {0}. Clear it? This is logged with severity HIGH.</t>
  </si>
  <si>
    <t>BANNER_INTEGRITY</t>
  </si>
  <si>
    <t>Rol tablosu uygulama dışında değiştirilmiş – bir Yönetici incelemeli. O zamana kadar herkes Görüntüleyici. ({0})</t>
  </si>
  <si>
    <t>Role table modified outside the application – Administrator must review. Everyone is a Viewer until then. ({0})</t>
  </si>
  <si>
    <t>BANNER_COPY</t>
  </si>
  <si>
    <t>Bir KOPYA üzerinde çalışıyorsunuz: {0}. Platformun yeri: {1}. Veri değiştiren komutlar kapalı.</t>
  </si>
  <si>
    <t>You are working on a COPY: {0}. The platform lives at {1}. Commands that change data are disabled.</t>
  </si>
  <si>
    <t>BANNER_SETTINGS</t>
  </si>
  <si>
    <t>Ayar dosyası bulunamadı veya klasöre ulaşılamıyor: {0}. Bir Yönetici Kurulum'u çalıştırmalı.</t>
  </si>
  <si>
    <t>Settings file not found or folder unreachable: {0}. An Administrator must run Setup.</t>
  </si>
  <si>
    <t>BANNER_READONLY</t>
  </si>
  <si>
    <t>Dosya salt okunur açık (başka bir kullanıcı açmış: {0}). Görüntüleyebilirsiniz; değişiklik yapamazsınız.</t>
  </si>
  <si>
    <t>The file is open read-only (another user has it open: {0}). You can look, but not change anything.</t>
  </si>
  <si>
    <t>BANNER_READONLY_ACCESS</t>
  </si>
  <si>
    <t>Dosya salt okunur açık (yalnızca okuma izniniz var). Görüntüleyebilirsiniz; değişiklik yapamazsınız.</t>
  </si>
  <si>
    <t>The file is open read-only (you have read access only). You can look, but not change anything.</t>
  </si>
  <si>
    <t>BANNER_LOCK</t>
  </si>
  <si>
    <t>Uzun süren bir işlem çalışıyor: {0}. Bittiğinde dosyayı yeniden açın.</t>
  </si>
  <si>
    <t>A long command is running: {0}. Re-open the file when it has finished.</t>
  </si>
  <si>
    <t>BANNER_NOROLE</t>
  </si>
  <si>
    <t>Rolünüz yok – salt okunur erişim. Pano ve raporları görebilir, Pano PDF'i alabilirsiniz. Rol için platform yöneticisine başvurun.</t>
  </si>
  <si>
    <t>You have no role – read-only access. You can view the dashboard and reports and export the Dashboard PDF. Ask a platform Administrator for a role.</t>
  </si>
  <si>
    <t>SETUP_AUTOLAUNCH</t>
  </si>
  <si>
    <t>Kurulum henüz tamamlanmadı. Şimdi başlatılsın mı? (Hayır: daha sonra Giriş sayfasındaki Kurulum düğmesiyle başlatabilirsiniz.)</t>
  </si>
  <si>
    <t>Setup is not completed yet. Start it now? (No: start it later with the Setup button on Home.)</t>
  </si>
  <si>
    <t>SETUP_CLAIM</t>
  </si>
  <si>
    <t>Bu platformda henüz Yönetici yok. İlk Yönetici siz ({0}) olmak ister misiniz? Bu yalnızca bir kez yapılabilir; şimdi yönetici parolanızı belirlersiniz ve işlem kaydedilir.</t>
  </si>
  <si>
    <t>This platform has no Administrator yet. Do you want to become the first Administrator ({0})? This can be done only once; you set your administrator password now, and the claim is logged.</t>
  </si>
  <si>
    <t>SETUP_ASK_NAME</t>
  </si>
  <si>
    <t>Görünen adınız (değişiklik kaydında ve onaylarda görünür):</t>
  </si>
  <si>
    <t>Your display name (shown in the changelog and sign-offs):</t>
  </si>
  <si>
    <t>SETUP_WELCOME</t>
  </si>
  <si>
    <t>Kurulum ({0}): 1 Kaynak klasör, 2 Platform klasörleri, 3 Doğrulama, 4 Keşif, 5 Kullanıcılar, 6 Döviz kontrolü, 7 Bitiş. Her adım ne bulduğunu gösterir; İptal ile istediğiniz an çıkabilirsiniz. Başlansın mı?</t>
  </si>
  <si>
    <t>Setup ({0}): 1 source folder, 2 platform folders, 3 validation, 4 discovery, 5 users, 6 FX check, 7 finish. Each step shows what it found; Cancel stops at any time. Start?</t>
  </si>
  <si>
    <t>SETUP_RERUN</t>
  </si>
  <si>
    <t>Kurulum yeniden çalıştırılıyor ({0}). Mevcut değerler öneri olarak gösterilir; her değişiklik eski ve yeni değeriyle kaydedilir. Devam edilsin mi?</t>
  </si>
  <si>
    <t>Setup runs again ({0}). The current values are proposed; every change is logged with its old and new value. Continue?</t>
  </si>
  <si>
    <t>SETUP_MOVE</t>
  </si>
  <si>
    <t>Bu dosya kayıtlı platform konumunda değil.
Bu dosya: {0}
Kayıtlı konum: {1}
Platform buraya TAŞINDI mı? (Evet: bu konum yeni platform yeri olarak kaydedilir.)</t>
  </si>
  <si>
    <t>This file is not at the registered platform location. Has the platform been MOVED here? (Yes: this location becomes the platform home.)</t>
  </si>
  <si>
    <t>PICK_SOURCE</t>
  </si>
  <si>
    <t>Kaynak klasör (şirket ödeme dosyaları)</t>
  </si>
  <si>
    <t>Source folder (company payment files)</t>
  </si>
  <si>
    <t>PICK_PLATFORM</t>
  </si>
  <si>
    <t>Platform klasörü</t>
  </si>
  <si>
    <t>Platform folder</t>
  </si>
  <si>
    <t>PICK_ARCHIVE</t>
  </si>
  <si>
    <t>Arşiv klasörü</t>
  </si>
  <si>
    <t>Archive folder</t>
  </si>
  <si>
    <t>PICK_LOG</t>
  </si>
  <si>
    <t>Günlük (log) klasörü</t>
  </si>
  <si>
    <t>Log folder</t>
  </si>
  <si>
    <t>PICK_EXPORT</t>
  </si>
  <si>
    <t>Dışa aktarım klasörü</t>
  </si>
  <si>
    <t>Export folder</t>
  </si>
  <si>
    <t>PICK_SOURCECODE</t>
  </si>
  <si>
    <t>Kaynak kod klasörü (src)</t>
  </si>
  <si>
    <t>Source code folder (src)</t>
  </si>
  <si>
    <t>SETUP_PLATFORM</t>
  </si>
  <si>
    <t>Platform klasörleri
Evet: Archive, Log, Export ve src klasörleri çalışma kitabının klasöründe oluşturulur:
{0}
Hayır: her klasörü ayrı seçersiniz.</t>
  </si>
  <si>
    <t>Platform folders. Yes: Archive, Log, Export and src are created in the workbook folder shown above. No: you pick each folder.</t>
  </si>
  <si>
    <t>SETUP_INVALID</t>
  </si>
  <si>
    <t>Klasör doğrulaması başarısız (ayrıntılar aşağıda). Klasörleri yeniden seçmek ister misiniz?</t>
  </si>
  <si>
    <t>Folder validation failed. Pick the folders again?
{0}</t>
  </si>
  <si>
    <t>SETUP_VALID</t>
  </si>
  <si>
    <t>Klasörler doğrulandı (ayrıntılar aşağıda).</t>
  </si>
  <si>
    <t>Folders validated:
{0}</t>
  </si>
  <si>
    <t>SETUP_DISCOVERY</t>
  </si>
  <si>
    <t>Keşif sonucu (ayrıntılar aşağıda).</t>
  </si>
  <si>
    <t>Discovery:
{0}</t>
  </si>
  <si>
    <t>SETUP_ADD_COMPANIES</t>
  </si>
  <si>
    <t>Bulunan yeni şirketler DimCompany tablosuna eklensin mi? Ad ve tür boş kalır; sonra DimCompany sayfasında tamamlanır.</t>
  </si>
  <si>
    <t>Add the new companies found to DimCompany? Name and type stay empty; complete them on sheet DimCompany afterwards.
{0}</t>
  </si>
  <si>
    <t>SETUP_ASK_ARCHIVESTART</t>
  </si>
  <si>
    <t>Arşiv başlangıç dönemi (YYYYMM). Bulunan en eski dönem: {0}.</t>
  </si>
  <si>
    <t>Archive start period (YYYYMM). Earliest period found: {0}.</t>
  </si>
  <si>
    <t>SETUP_ASK_ACTIVE</t>
  </si>
  <si>
    <t>Aktif dönem (YYYYMM): kapatılacak ilk ay. Öneri (kapanmamış en eski dönem): {0}.</t>
  </si>
  <si>
    <t>Active period (YYYYMM): the first month to close. Proposal (earliest period not closed): {0}.</t>
  </si>
  <si>
    <t>SETUP_USERS</t>
  </si>
  <si>
    <t>Kullanıcılar ve roller (etkin Yönetici: {1}). Eklenecek kullanıcıyı ALAN\oturum_adı olarak yazın; boş bırakıp Tamam ile devam edin.</t>
  </si>
  <si>
    <t>Users and roles (active Administrators: {1}). Type a user to add as DOMAIN\logon; leave it empty and press OK to continue.
{0}</t>
  </si>
  <si>
    <t>SETUP_ONE_ADMIN</t>
  </si>
  <si>
    <t>Yalnızca {0} etkin Yönetici var. Unutulan bir parolayı yalnızca başka bir Yönetici sıfırlayabilir: ikinci bir Yönetici ekleyin.</t>
  </si>
  <si>
    <t>Only {0} active Administrator. A lost password can only be reset by another Administrator: add a second Administrator.</t>
  </si>
  <si>
    <t>SETUP_FX_FAIL</t>
  </si>
  <si>
    <t>TCMB kur bültenine ulaşılamadı. FXAutoFetch = N yapıldı: kurlar FX sayfasına elle girilir (kaynak: www.tcmb.gov.tr/kurlar). Bağlantı düzelince bir Yönetici FXAutoFetch = Y yapar.</t>
  </si>
  <si>
    <t>The CBRT bulletin could not be reached ({0}). FXAutoFetch is set to N: rates are entered by hand on sheet FX (source www.tcmb.gov.tr/kurlar). When the connection works again, an Administrator sets FXAutoFetch = Y.</t>
  </si>
  <si>
    <t>BLOCKED_SETUP</t>
  </si>
  <si>
    <t>{0} için önce Kurulum tamamlanmalı (bir Yönetici çalıştırır).</t>
  </si>
  <si>
    <t>{0} needs Setup to be completed first (an Administrator runs it).</t>
  </si>
  <si>
    <t>BLOCKED_READONLY</t>
  </si>
  <si>
    <t>{0} yapılamaz: dosya salt okunur açık (açan: {1}). Dosyayı kapatıp daha sonra yeniden deneyin.</t>
  </si>
  <si>
    <t>{0} cannot run: the file is open read-only (open by: {1}). Close it and try again later.</t>
  </si>
  <si>
    <t>BLOCKED_COPY</t>
  </si>
  <si>
    <t>{0} yapılamaz: bu dosya bir kopya. Platform: {1}</t>
  </si>
  <si>
    <t>{0} cannot run: this file is a copy. The platform: {1}</t>
  </si>
  <si>
    <t>BLOCKED_SETTINGS</t>
  </si>
  <si>
    <t>{0} yapılamaz: ayar dosyası yok veya bir klasöre ulaşılamıyor. Bir Yönetici Kurulum'u çalıştırmalı.</t>
  </si>
  <si>
    <t>{0} cannot run: the settings file is missing or a folder is unreachable. An Administrator must run Setup.</t>
  </si>
  <si>
    <t>ASK_NOTE_REVIEWER</t>
  </si>
  <si>
    <t>Kontrol eden için not (isteğe bağlı)</t>
  </si>
  <si>
    <t>Note for the reviewer (optional)</t>
  </si>
  <si>
    <t>CONFIRM_SUBMIT</t>
  </si>
  <si>
    <t>{0} dönemi incelemeye gönderilsin mi? Genel durum: {1} ({2} açıklanmış REVIEW kontrolü).
{3}</t>
  </si>
  <si>
    <t>Submit {0} for review? Overall status: {1} ({2} explained REVIEW check(s)).</t>
  </si>
  <si>
    <t>FOUR_EYES_ON</t>
  </si>
  <si>
    <t>Dönemi başka bir Windows kullanıcısı kapatmalı</t>
  </si>
  <si>
    <t>The period must then be closed by a different Windows user</t>
  </si>
  <si>
    <t>FOUR_EYES_OFF</t>
  </si>
  <si>
    <t>Dört göz kontrolü kapalı (FourEyesRequired = N)</t>
  </si>
  <si>
    <t>Four-eyes is waived (FourEyesRequired = N)</t>
  </si>
  <si>
    <t>ASK_REJECT_REASON</t>
  </si>
  <si>
    <t>{0} gönderimini reddetme nedeni (zorunlu):</t>
  </si>
  <si>
    <t>Reason for rejecting the submission of {0} (required):</t>
  </si>
  <si>
    <t>CONFIRM_CLOSE</t>
  </si>
  <si>
    <t>CHANGELOG_ASK_VERSION</t>
  </si>
  <si>
    <t>Sürüm (ör. 3.0.1):</t>
  </si>
  <si>
    <t>Version (e.g. 3.0.1):</t>
  </si>
  <si>
    <t>CHANGELOG_ASK_WHAT</t>
  </si>
  <si>
    <t>Ne değişti?</t>
  </si>
  <si>
    <t>What changed?</t>
  </si>
  <si>
    <t>CHANGELOG_ASK_WHY</t>
  </si>
  <si>
    <t>Neden?</t>
  </si>
  <si>
    <t>Why?</t>
  </si>
  <si>
    <t>CHANGELOG_ASK_COMPONENTS</t>
  </si>
  <si>
    <t>Etkilenen bileşenler (sayfa, sorgu, modül):</t>
  </si>
  <si>
    <t>Components affected (sheet, query, module):</t>
  </si>
  <si>
    <t>CHANGELOG_ASK_BREAKING</t>
  </si>
  <si>
    <t>Geriye dönük uyumsuz değişiklikler (yoksa none):</t>
  </si>
  <si>
    <t>Breaking changes (none if there are none):</t>
  </si>
  <si>
    <t>CONFIRM_VERIFY_IDS</t>
  </si>
  <si>
    <t>Seçili {0} satır {1} tarafından bugün DOĞRULANDI olarak işaretlensin mi? Yalnızca her ColumnID resmi şema referansıyla karşılaştırıldıysa onaylayın.</t>
  </si>
  <si>
    <t>Stamp {0} row(s) as VERIFIED by {1} today? Confirm only if each ColumnID was checked against the official schema reference.</t>
  </si>
  <si>
    <t>ASK_REOPEN_PERIOD</t>
  </si>
  <si>
    <t>ASK_REOPEN_REASON</t>
  </si>
  <si>
    <t>{0} dönemini yeniden açma nedeni (zorunlu; ArchiveLog ve SignOff'a yazılır):</t>
  </si>
  <si>
    <t>Reason for re-opening {0} (required; stored in ArchiveLog and SignOff):</t>
  </si>
  <si>
    <t>CONFIRM_REOPEN</t>
  </si>
  <si>
    <t>CONFIRM_BACKFILL</t>
  </si>
  <si>
    <t>EDIT_REVERTED</t>
  </si>
  <si>
    <t>Bu değişiklik geri alındı: {0} tablosunu düzenleme yetkiniz yok (rolünüz: {1}). Deneme kayda geçti.</t>
  </si>
  <si>
    <t>This change was reverted: you may not edit {0} (your role: {1}). The attempt was logged.</t>
  </si>
  <si>
    <t>CHK_SETUP</t>
  </si>
  <si>
    <t>Kurulum tamamlandı</t>
  </si>
  <si>
    <t>Setup completed</t>
  </si>
  <si>
    <t>CHK_COMPANIES</t>
  </si>
  <si>
    <t>Şirket bilgileri eksiksiz (ad, tür)</t>
  </si>
  <si>
    <t>Company master data complete (name, type)</t>
  </si>
  <si>
    <t>CHK_REFRESH</t>
  </si>
  <si>
    <t>Veriler güncel (Yenile)</t>
  </si>
  <si>
    <t>Data refreshed (Refresh)</t>
  </si>
  <si>
    <t>CHK_FILES</t>
  </si>
  <si>
    <t>Beklenen dosyalar teslim edildi</t>
  </si>
  <si>
    <t>Expected files delivered</t>
  </si>
  <si>
    <t>CHK_RECON</t>
  </si>
  <si>
    <t>Mutabakat tutarları girildi ve tutuyor</t>
  </si>
  <si>
    <t>Reconciliation totals entered and agreeing</t>
  </si>
  <si>
    <t>CHK_EXPLAIN</t>
  </si>
  <si>
    <t>REVIEW kontrolleri açıklandı</t>
  </si>
  <si>
    <t>REVIEW checks explained</t>
  </si>
  <si>
    <t>CHK_SUBMIT</t>
  </si>
  <si>
    <t>Ay incelemeye gönderildi</t>
  </si>
  <si>
    <t>Month submitted for review</t>
  </si>
  <si>
    <t>CHK_CLOSE</t>
  </si>
  <si>
    <t>Ay kapatıldı (başka bir kullanıcı)</t>
  </si>
  <si>
    <t>Month closed (by a different user)</t>
  </si>
  <si>
    <t>CHK_ADMINS</t>
  </si>
  <si>
    <t>En az iki Yönetici</t>
  </si>
  <si>
    <t>At least two Administrators</t>
  </si>
  <si>
    <t>CHK_COLUMNIDS</t>
  </si>
  <si>
    <t>ColumnID'ler doğrulandı</t>
  </si>
  <si>
    <t>ColumnIDs verified</t>
  </si>
  <si>
    <t>NEXT_SETUP_ADMIN</t>
  </si>
  <si>
    <t>Kurulum tamamlanmadı – Kurulum düğmesine tıklayın.</t>
  </si>
  <si>
    <t>Setup not completed – click Setup.</t>
  </si>
  <si>
    <t>NEXT_SETUP_USER</t>
  </si>
  <si>
    <t>Kurulum tamamlanmadı – bir Yönetici Kurulum'u çalıştırmalı. O zamana kadar salt okunur erişiminiz var.</t>
  </si>
  <si>
    <t>Setup not completed – an Administrator must run Setup. You have read-only access until then.</t>
  </si>
  <si>
    <t>NEXT_COMPANIES</t>
  </si>
  <si>
    <t>{0} şirketin adı veya türü eksik – DimCompany sayfasında tamamlanmalı (Yönetici).</t>
  </si>
  <si>
    <t>{0} company row(s) without a name or type – complete them on sheet DimCompany (Administrator).</t>
  </si>
  <si>
    <t>NEXT_NOCOMPANY</t>
  </si>
  <si>
    <t>Henüz şirket yok – Kurulum'u yeniden çalıştırın ya da şirketleri DimCompany sayfasına ekleyin (Yönetici).</t>
  </si>
  <si>
    <t>No company yet – run Setup again or add the companies on sheet DimCompany (Administrator).</t>
  </si>
  <si>
    <t>NEXT_REFRESH</t>
  </si>
  <si>
    <t>Yenileme gerekli – Yenile düğmesine tıklayın.</t>
  </si>
  <si>
    <t>Refresh needed – click Refresh.</t>
  </si>
  <si>
    <t>NEXT_FILES</t>
  </si>
  <si>
    <t>Dönem {0}: {1} şirket için dosya eksik.</t>
  </si>
  <si>
    <t>Period {0}: files missing for {1} companies.</t>
  </si>
  <si>
    <t>NEXT_RECON</t>
  </si>
  <si>
    <t>Mutabakat: {0} şirket/para birimi toplamı eksik veya tolerans dışında – Recon sayfası.</t>
  </si>
  <si>
    <t>Reconciliation: {0} company/currency total(s) missing or outside tolerance – sheet Recon.</t>
  </si>
  <si>
    <t>NEXT_EXPLAIN</t>
  </si>
  <si>
    <t>{0} REVIEW kontrolü açıklama bekliyor – Kontrol paneli, Explanation sütunu.</t>
  </si>
  <si>
    <t>{0} REVIEW check(s) need an explanation – Control panel, column Explanation.</t>
  </si>
  <si>
    <t>NEXT_SUBMIT</t>
  </si>
  <si>
    <t>Dönem {0} incelemeye gönderilebilir – İncelemeye gönder.</t>
  </si>
  <si>
    <t>Period {0} can be submitted – Submit for review.</t>
  </si>
  <si>
    <t>NEXT_AWAIT_REVIEW</t>
  </si>
  <si>
    <t>Dönem {0}: bir Kontrol edenin incelemesi bekleniyor.</t>
  </si>
  <si>
    <t>Period {0}: awaiting review by a Reviewer.</t>
  </si>
  <si>
    <t>NEXT_CLOSE</t>
  </si>
  <si>
    <t>Dönem {0} kapatılabilir – Dönemi kapat (hazırlayandan farklı bir kullanıcı).</t>
  </si>
  <si>
    <t>Month {0} can be closed – Close period (a user other than the preparer).</t>
  </si>
  <si>
    <t>NEXT_ADMINS</t>
  </si>
  <si>
    <t>Yalnızca {0} Yönetici var – ikinci bir Yönetici ekleyin (Kullanıcılar ve roller).</t>
  </si>
  <si>
    <t>Only {0} Administrator(s) – add a second one (Users and roles).</t>
  </si>
  <si>
    <t>NEXT_COLUMNIDS</t>
  </si>
  <si>
    <t>{0} ColumnID doğrulanmadı (danışma niteliğinde; kapanışı engellemez).</t>
  </si>
  <si>
    <t>{0} ColumnID(s) not verified (advisory; does not block the close).</t>
  </si>
  <si>
    <t>NEXT_ALLDONE</t>
  </si>
  <si>
    <t>Her şey tamam – yapılacak işlem yok.</t>
  </si>
  <si>
    <t>All done – nothing to do.</t>
  </si>
  <si>
    <t>Bilingual texts of banners and dialogs (tblUIText): Turkish first, then English. {0}, {1} are placeholders.</t>
  </si>
  <si>
    <t>For the platform administrator (signed in). Sheet visibility and protection per role, audit scope and edit rights, dashboard caveats, refresh order and the bilingual texts live in these tables, not in code. The sheet-protection key is created at random for each installation and kept on the very hidden Security sheet (a deterrent; the edit audit is the control). Every edit is logged.</t>
  </si>
  <si>
    <t>The month being closed. Only its files are opened from the source folder. Set by Setup; advanced by Close period (Cmd_ClosePeriod) - never changed by hand except for a documented re-open.</t>
  </si>
  <si>
    <t>Location</t>
  </si>
  <si>
    <t>SourceFolder</t>
  </si>
  <si>
    <t>Folder (UNC) - written by VBA</t>
  </si>
  <si>
    <t>Root of the company payment files; every sub-folder is read. Comes from ACP_Settings.ini (Setup): do not type here.</t>
  </si>
  <si>
    <t>Read access for every platform user; the companies deliver their files there.</t>
  </si>
  <si>
    <t>PlatformFolder</t>
  </si>
  <si>
    <t>Folder that holds the platform folders (Archive, Log, Export, src). Comes from ACP_Settings.ini.</t>
  </si>
  <si>
    <t>Default: the workbook folder.</t>
  </si>
  <si>
    <t>ArchiveFolder</t>
  </si>
  <si>
    <t>LogFolder</t>
  </si>
  <si>
    <t>External ActivityLog: the authoritative copy, one read-only CSV per event. Comes from ACP_Settings.ini.</t>
  </si>
  <si>
    <t>Outside the source folder; files are added, never changed or deleted.</t>
  </si>
  <si>
    <t>PDFs, closing packs and company-month extracts (VBA only). Comes from ACP_Settings.ini.</t>
  </si>
  <si>
    <t>Shared with the team.</t>
  </si>
  <si>
    <t>Target of Export source code (Cmd_ExportSourceCode): pq, vba and contract sub-folders. Comes from ACP_Settings.ini.</t>
  </si>
  <si>
    <t>Version control of the queries and the code.</t>
  </si>
  <si>
    <t>PlatformHomePath</t>
  </si>
  <si>
    <t>Full path (UNC) - written by VBA</t>
  </si>
  <si>
    <t>Registered location of this workbook. A file opened anywhere else is a COPY: commands that change data are disabled. Comes from ACP_Settings.ini.</t>
  </si>
  <si>
    <t>Location watchdog (D53).</t>
  </si>
  <si>
    <t>SetupCompletedOn</t>
  </si>
  <si>
    <t>Timestamp - written by VBA</t>
  </si>
  <si>
    <t>When Setup last completed (ACP_Settings.ini). Empty = Setup not completed.</t>
  </si>
  <si>
    <t>Drives the Home banner and checklist.</t>
  </si>
  <si>
    <t>SetupCompletedBy</t>
  </si>
  <si>
    <t>DOMAIN\logon - written by VBA</t>
  </si>
  <si>
    <t>Administrator who last completed Setup.</t>
  </si>
  <si>
    <t>Evidence of who configured the installation.</t>
  </si>
  <si>
    <t>Naming agreed with the companies: COMP&lt;CompanyID&gt;PAY&lt;MMYYYY&gt;.xlsx.</t>
  </si>
  <si>
    <t>Same naming convention.</t>
  </si>
  <si>
    <t>Business rule of the department; configurable without editing a query.</t>
  </si>
  <si>
    <t>Text: CBRT_XML / Manual</t>
  </si>
  <si>
    <t>Automatic FX source. CBRT_XML = the daily bulletin files of the Central Bank of the Republic of Turkey; Manual = no fetch, rates are typed on sheet FX.</t>
  </si>
  <si>
    <t>No API key needed; the only automatic source (D35).</t>
  </si>
  <si>
    <t>FXSourceUrl</t>
  </si>
  <si>
    <t>Address of the CBRT daily bulletins (folder with yyyyMM/ddMMyyyy.xml files).</t>
  </si>
  <si>
    <t>A changed address needs no query change.</t>
  </si>
  <si>
    <t>Y = Refresh fetches every missing weekday bulletin up to today and appends it to tblFXRate. Setup sets N when the CBRT cannot be reached.</t>
  </si>
  <si>
    <t>Off: a percentage of a large company's total can exceed a whole claim (A10).</t>
  </si>
  <si>
    <t>Set by the Head of Actuarial Closing (D38).</t>
  </si>
  <si>
    <t>Text: Y / N (Administrator only)</t>
  </si>
  <si>
    <t>Y = the period must be closed by a different Windows user than the one who submitted it. N = waiver: needs the administrator password again and is logged with severity HIGH; check FOUR_EYES stays REVIEW.</t>
  </si>
  <si>
    <t>Segregation of duties (D39, D60).</t>
  </si>
  <si>
    <t>https://www.tcmb.gov.tr/kurlar/</t>
  </si>
  <si>
    <t>3.0.0</t>
  </si>
  <si>
    <t>tblParameters is the only configuration of periods, file-name tokens, culture, FX, tolerances and policy. The Location rows (grey) are written by VBA from ACP_Settings.ini (Setup) before every refresh - do not type them. Power Query reads this table through cfgParameters / fnParam, VBA through Param. Editing needs the Administrator sign-in; every edit is logged with old and new value.</t>
  </si>
  <si>
    <t>The STG_* tables were refreshed for the ActivePeriod and the source folder now in Parameters, hold only active-period lines, and the refresh ran through Refresh (Cmd_RefreshAll): it is the last RefreshLog entry.</t>
  </si>
  <si>
    <t>No decision is Open</t>
  </si>
  <si>
    <t>Every DecisionRegister item is Confirmed, Removed, Superseded or Deferred; Deferred items are tracked in the Backlog with an owner.</t>
  </si>
  <si>
    <t>DecisionRegister (Administrator): the owner decides and signs off (Status = Confirmed with Evidence and SignOffDate), or the item is Deferred with an owner and appears in the Backlog.</t>
  </si>
  <si>
    <t>ADVISORY: shown in amber and listed in the closing pack; it never blocks the close. ColumnMap: check each orange ColumnID against the official schema reference (DecisionRegister A1, Backlog), select the verified rows and click Verify selected ColumnIDs (Administrator); your Windows identity and the date are stamped and logged.</t>
  </si>
  <si>
    <t>Show staging &gt; STG_FXFetch lists every fetched day: OK, NO BULLETIN (weekend or holiday) or ERROR with the reason. ERROR: check the network or proxy and Refresh again; if the CBRT stays unreachable, an Administrator sets FXAutoFetch = N and enters the rates by hand on sheet FX (source www.tcmb.gov.tr/kurlar), and you explain it here.</t>
  </si>
  <si>
    <t>Parameters: FourEyesRequired = Y. Only an Administrator can switch it off, with the password once more; the waiver is logged with severity HIGH (DecisionRegister D39, D60). Explain here who approved it and why.</t>
  </si>
  <si>
    <t>Platform (registered home)</t>
  </si>
  <si>
    <t>Source folder (Setup)</t>
  </si>
  <si>
    <t>Advisory items (never block)</t>
  </si>
  <si>
    <t>A. Checks - work top-down; explain an accepted REVIEW in column Explanation (stamped with your Windows user, the time and the period). Severity BLOCKING gates the close; ADVISORY does not.</t>
  </si>
  <si>
    <t>Setup discovery (STG_Discovery)</t>
  </si>
  <si>
    <t>Files Setup found in the source and archive folders, recognised by the same file-name parser as the monthly refresh. Refreshed only by Setup.</t>
  </si>
  <si>
    <t>Security (very hidden)</t>
  </si>
  <si>
    <t>Users and roles, command permissions, administrator credentials (salted hashes only) and the session cells. Changed only by Setup and Users and roles (Cmd_ManageUsers): any other change degrades every user to Viewer at the next open.</t>
  </si>
  <si>
    <t>Domain</t>
  </si>
  <si>
    <t>DisplayName</t>
  </si>
  <si>
    <t>ValidFrom</t>
  </si>
  <si>
    <t>ValidTo</t>
  </si>
  <si>
    <t>AddedBy</t>
  </si>
  <si>
    <t>AddedOn</t>
  </si>
  <si>
    <t>RowChecksum</t>
  </si>
  <si>
    <t>Label</t>
  </si>
  <si>
    <t>Elevation</t>
  </si>
  <si>
    <t>StateChanging</t>
  </si>
  <si>
    <t>NeedsSetup</t>
  </si>
  <si>
    <t>UsesLock</t>
  </si>
  <si>
    <t>Pano PDF / Dashboard PDF</t>
  </si>
  <si>
    <t>Every user may export the dashboard</t>
  </si>
  <si>
    <t>Satırları göster / Show lines</t>
  </si>
  <si>
    <t>Detail view of one company and month</t>
  </si>
  <si>
    <t>Satırları dışa aktar / Export lines</t>
  </si>
  <si>
    <t>Company-month extract (whitelisted fields only)</t>
  </si>
  <si>
    <t>Yenile / Refresh</t>
  </si>
  <si>
    <t>Writes RefreshLog and persists CBRT rates</t>
  </si>
  <si>
    <t>Mutabakat girişi / Enter reconciliation</t>
  </si>
  <si>
    <t>tblRecon (independent totals)</t>
  </si>
  <si>
    <t>Sıfır beyan / Nil returns</t>
  </si>
  <si>
    <t>Edit_Explanation</t>
  </si>
  <si>
    <t>Kontrol açıklaması / Check explanations</t>
  </si>
  <si>
    <t>tblControl[Explanation]</t>
  </si>
  <si>
    <t>İncelemeye gönder / Submit for review</t>
  </si>
  <si>
    <t>Preparer; saves the workbook</t>
  </si>
  <si>
    <t>Gönderimi reddet / Reject submission</t>
  </si>
  <si>
    <t>Reviewer; saves the workbook</t>
  </si>
  <si>
    <t>Dönemi kapat / Close period</t>
  </si>
  <si>
    <t>Reviewer, never the submitting user</t>
  </si>
  <si>
    <t>Kapanış paketi / Closing pack</t>
  </si>
  <si>
    <t>Evidence for the reviewer and auditors</t>
  </si>
  <si>
    <t>Edit_ArchiveLogNotes</t>
  </si>
  <si>
    <t>Arşiv notu / Archive notes</t>
  </si>
  <si>
    <t>tblArchiveLog[Notes]</t>
  </si>
  <si>
    <t>Cmd_Setup</t>
  </si>
  <si>
    <t>Kurulum / Setup</t>
  </si>
  <si>
    <t>Also the first user of a platform without users (bootstrap)</t>
  </si>
  <si>
    <t>Cmd_ManageUsers</t>
  </si>
  <si>
    <t>Kullanıcılar ve roller / Users and roles</t>
  </si>
  <si>
    <t>The only way to change the security tables</t>
  </si>
  <si>
    <t>Cmd_AdminLogin</t>
  </si>
  <si>
    <t>Yönetici girişi / Administrator sign-in</t>
  </si>
  <si>
    <t>Windows identity and the administrator's own password</t>
  </si>
  <si>
    <t>Cmd_AdminLogout</t>
  </si>
  <si>
    <t>Yönetici çıkışı / Administrator sign-out</t>
  </si>
  <si>
    <t>Dönemi yeniden aç / Re-open period</t>
  </si>
  <si>
    <t>Exceptional; files are moved to Superseded</t>
  </si>
  <si>
    <t>Cmd_Backfill</t>
  </si>
  <si>
    <t>Geçmiş ayları dondur / Backfill history</t>
  </si>
  <si>
    <t>ColumnID doğrula / Verify ColumnIDs</t>
  </si>
  <si>
    <t>Stamps VerifiedBy / VerifiedOn</t>
  </si>
  <si>
    <t>Kaynak kodu dışa aktar / Export source code</t>
  </si>
  <si>
    <t>src/pq, src/vba, src/contract</t>
  </si>
  <si>
    <t>Günlüğü doğrula / Verify log</t>
  </si>
  <si>
    <t>Re-checks the ActivityLog chain</t>
  </si>
  <si>
    <t>Cmd_AddChangelogEntry</t>
  </si>
  <si>
    <t>Değişiklik kaydı ekle / Add changelog entry</t>
  </si>
  <si>
    <t>The only way to add to tblChangelog</t>
  </si>
  <si>
    <t>Ara tabloları göster / Show staging</t>
  </si>
  <si>
    <t>Read-only staging and log sheets</t>
  </si>
  <si>
    <t>Ara tabloları gizle / Hide staging</t>
  </si>
  <si>
    <t>Cmd_ClearLock</t>
  </si>
  <si>
    <t>Kilidi kaldır / Clear lock</t>
  </si>
  <si>
    <t>Only a lock older than 2 hours</t>
  </si>
  <si>
    <t>Parametreler / Parameters</t>
  </si>
  <si>
    <t>Sütun sözlüğü / Column dictionary</t>
  </si>
  <si>
    <t>Şirketler / Companies</t>
  </si>
  <si>
    <t>Döviz kurları / FX rates</t>
  </si>
  <si>
    <t>Para birimi eşleşmeleri / Currency aliases</t>
  </si>
  <si>
    <t>Karar kaydı / Decision register</t>
  </si>
  <si>
    <t>Yönetim tabloları / Administration tables</t>
  </si>
  <si>
    <t>AdminConfig tables, tblControl configuration columns</t>
  </si>
  <si>
    <t>Iterations</t>
  </si>
  <si>
    <t>Salt</t>
  </si>
  <si>
    <t>Hash</t>
  </si>
  <si>
    <t>SetOn</t>
  </si>
  <si>
    <t>SetBy</t>
  </si>
  <si>
    <t>FailedAttempts</t>
  </si>
  <si>
    <t>LockedUntilUtc</t>
  </si>
  <si>
    <t>LastLoginUtc</t>
  </si>
  <si>
    <t>Session cells (written by VBA at every open; the Home banner reads them)</t>
  </si>
  <si>
    <t>sesUser</t>
  </si>
  <si>
    <t>sesLogon</t>
  </si>
  <si>
    <t>sesRoles</t>
  </si>
  <si>
    <t>sesRolesLabel</t>
  </si>
  <si>
    <t>sesIsAdmin</t>
  </si>
  <si>
    <t>sesIsViewer</t>
  </si>
  <si>
    <t>sesCanSetup</t>
  </si>
  <si>
    <t>sesCode</t>
  </si>
  <si>
    <t>sesSeverity</t>
  </si>
  <si>
    <t>sesMessage</t>
  </si>
  <si>
    <t>sesCanDo</t>
  </si>
  <si>
    <t>sesMode</t>
  </si>
  <si>
    <t>sesSignedIn</t>
  </si>
  <si>
    <t>sesOpenedAt</t>
  </si>
  <si>
    <t>secIntegrity</t>
  </si>
  <si>
    <t>secSheetKey</t>
  </si>
  <si>
    <t>Aktüerya Kapanış Platformu / Actuarial Closing Platform</t>
  </si>
  <si>
    <t>MAKROLAR KAPALI – bu sayfa yalnızca makrolar kapalıyken görünür.</t>
  </si>
  <si>
    <t>Aktüerya Kapanış Platformu makrolar olmadan çalışmaz: kullanıcı tanıma, yetkiler, denetim izi ve tüm komutlar VBA ile çalışır.</t>
  </si>
  <si>
    <t>Makroları etkinleştirmenin iki güvenli yolu vardır; hangisinin kullanılacağına BT karar verir:</t>
  </si>
  <si>
    <t>1.  Güvenilir Konum: BT, platform klasörünü (bu dosyanın bulunduğu ağ klasörü) Excel &gt; Dosya &gt; Seçenekler &gt; Güven Merkezi &gt; Güven Merkezi Ayarları &gt; Güvenilir Konumlar altına ekler ve "Ağımdaki güvenilir konumlara izin ver" seçeneğini açar. Bu klasördeki dosya makrolarıyla açılır.</t>
  </si>
  <si>
    <t>2.  İmzalı yayımcı: BT, VBA projesini kurumun sertifikasıyla imzalar. Dosyayı açtığınızda güvenlik çubuğunda "Bu yayımcıdan gelen tüm belgelere güven" seçeneğini seçin.</t>
  </si>
  <si>
    <t>E-postayla gelen veya internetten indirilen bir dosyada makrolar engellenir: platformu yalnızca platform klasöründen açın (kopyalar komut çalıştıramaz).</t>
  </si>
  <si>
    <t>Sonra dosyayı kapatıp yeniden açın: Giriş (Home) sayfası adınızı, rolünüzü ve sıradaki işi gösterir. Destek: platform yöneticisi.</t>
  </si>
  <si>
    <t>MACROS ARE OFF – this sheet is visible only while macros are disabled.</t>
  </si>
  <si>
    <t>The Actuarial Closing Platform does not work without macros: user identification, permissions, the audit trail and every command run in VBA.</t>
  </si>
  <si>
    <t>There are two safe ways to enable them; IT decides which one applies:</t>
  </si>
  <si>
    <t>1.  Trusted Location: IT adds the platform folder (the network folder that holds this file) under Excel &gt; File &gt; Options &gt; Trust Center &gt; Trust Center Settings &gt; Trusted Locations and ticks "Allow Trusted Locations on my network". A file in that folder opens with its macros.</t>
  </si>
  <si>
    <t>2.  Signed publisher: IT signs the VBA project with the organisation's certificate. When you open the file, choose "Trust all documents from this publisher" in the security bar.</t>
  </si>
  <si>
    <t>A file received by e-mail or downloaded from the internet has its macros blocked: open the platform only from the platform folder (copies cannot run commands).</t>
  </si>
  <si>
    <t>Then close and re-open the file: the Home sheet shows your name, your role and the next action. Support: the platform administrator.</t>
  </si>
  <si>
    <t>Kontrol listesi / Checklist  –  ilk açık madde sıradaki iştir / the first open item is the next action</t>
  </si>
  <si>
    <t>Komutlar / Commands  –  yalnızca rolünüzün izin verdiği düğmeler görünür / only the buttons your role allows are shown</t>
  </si>
  <si>
    <t>Hazırlayan / Preparer</t>
  </si>
  <si>
    <t>Kontrol eden / Reviewer</t>
  </si>
  <si>
    <t>Analiz / Analysis</t>
  </si>
  <si>
    <t>Yönetici / Administrator</t>
  </si>
  <si>
    <t>Koyu düğmeler bir komut çalıştırır; her komut ActivityLog'a bir satır yazar (kim, ne, sonuç). Açık renkli düğmeler yalnızca bir sayfa açar. Yalnızca sarı hücrelere, rolünüzün izin verdiği tablolara yazın. Veri &gt; Tümünü Yenile kullanmayın (kayda geçmez).</t>
  </si>
  <si>
    <t>Dark buttons run a command; each writes one ActivityLog row (who, what, result). Light buttons only open a sheet. Type only in yellow cells of tables your role may edit. Never use Data &gt; Refresh All (not logged).</t>
  </si>
  <si>
    <t>Owner</t>
  </si>
  <si>
    <t>ColumnIDs are provisional: ColumnID = 'C' + position of the header in the transcribed schema list (102 headers); the official schema reference is held by the data owners. A row counts as verified only when Cmd_VerifyColumnIDs has stamped VerifiedBy and VerifiedOn with the Windows identity.</t>
  </si>
  <si>
    <t>Data owners</t>
  </si>
  <si>
    <t>Backlog: waits for the official schema reference. Check COLUMNID_VERIFIED is ADVISORY (amber, listed in the closing pack) and does not block the close.</t>
  </si>
  <si>
    <t>The header is row 1 of the FIRST sheet (tab order, even if hidden). A file with title rows above the header shows as NO MAPPED HEADER / MISSING COLUMN (REVIEW) instead of loading wrongly.</t>
  </si>
  <si>
    <t>fozel</t>
  </si>
  <si>
    <t>fnReadFirstSheet, fnStandardizeFile (NO MAPPED HEADER); check MAPPING_DQ.</t>
  </si>
  <si>
    <t>Toplam Ödenen' (total paid) is mapped to GrossAmount. The reconciliation of every company using that header is the test.</t>
  </si>
  <si>
    <t>Backlog: confirmed by the companies' ledgers through the monthly reconciliation (check RECON).</t>
  </si>
  <si>
    <t>Poliçe Başlama / Bitiş Tarih (YG)' is mapped to PolicyStart / PolicyEndDate; the meaning of '(YG)' is to be confirmed by the data owners. Not modelled - no numeric impact.</t>
  </si>
  <si>
    <t>Backlog: no numeric impact while the field is not modelled.</t>
  </si>
  <si>
    <t>tblColumnMap BANKANO: PersonalData = Y, IncludeInModel = N; check PRIVACY.</t>
  </si>
  <si>
    <t>Backlog: to be confirmed against the companies' payment definitions; ReconBasis = GrossAmount meanwhile.</t>
  </si>
  <si>
    <t>fnParseFileName; FactPayment[PeriodDate] relationship; check DATES (PaymentOutsidePeriod).</t>
  </si>
  <si>
    <t>FX = CBRT forex buying rate of the bulletin dated on the payment date; weekends and holidays carry the last published rate forward for at most FXMaxCarryForwardDays = 10 days; beyond that the line is flagged as FX missing. Bulletins are fetched automatically (FXRateType selects the rate).</t>
  </si>
  <si>
    <t>Parameters FXRateType, FXMaxCarryForwardDays, FXSourceUrl; DimFXRate; checks FX_RATES and FX_FETCH.</t>
  </si>
  <si>
    <t>tblRecon (PeriodKey, CompanyID, CurrencyCode); check RECON.</t>
  </si>
  <si>
    <t>Parameters ReconAbsTolerance, ReconRelTolerance; tblRecon[ToleranceApplied]; check RECON.</t>
  </si>
  <si>
    <t>Parameter DuplicateKeyColumns; FactPayment[IsDuplicateKey]; check DUP_KEYS.</t>
  </si>
  <si>
    <t>Parameter ChronologyChain; FactPayment[ChronoViolation]; check CHRONOLOGY.</t>
  </si>
  <si>
    <t>DAX measures Partial Payment Cases and Partial Payment Ratio %; KPI_Check rows 15-16.</t>
  </si>
  <si>
    <t>DAX measure Avg Days Notification to Payment; KPI_Check row 14; check CHRONOLOGY.</t>
  </si>
  <si>
    <t>DAX measure Distinct Cases = KPI_Check Distinct Cases (Dashboard model check dashModelCheck).</t>
  </si>
  <si>
    <t>fnConvertValue, FactPayment; reconciliation differences of 0.00 in the acceptance runs.</t>
  </si>
  <si>
    <t>Privacy levels are ignored in this workbook because only local files and the workbook itself were sources.</t>
  </si>
  <si>
    <t>Superseded by D34: the workbook also reads the CBRT web site.</t>
  </si>
  <si>
    <t>fnStandardizeFile keeps only whitelisted columns (IncludeInModel = Y, PersonalData = N); check PRIVACY.</t>
  </si>
  <si>
    <t>Superseded by Cmd_ClosePeriod: the export is automated, four-eyes signed, logged and verified.</t>
  </si>
  <si>
    <t>A synthetic sample mode existed in the first release.</t>
  </si>
  <si>
    <t>Removed in 2.0.0: no mode parameter, no sample branch in any query.</t>
  </si>
  <si>
    <t>Per-user paths: the source and archive folders differ per user; each user sets them in Parameters.</t>
  </si>
  <si>
    <t>Superseded by Setup + UNC + settings file (D52, D53): one ACP_Settings.ini next to the workbook, resolved to UNC paths for every user.</t>
  </si>
  <si>
    <t>fnStandardizeFile (MapOrder); STG_DQ issue AMBIGUOUS MAPPING with Severity INFO.</t>
  </si>
  <si>
    <t>The months backfilled in 1.1 were closed without independent totals.</t>
  </si>
  <si>
    <t>3.0.0 starts in zero state: every month is closed through Setup and the four-eyes close with its reconciliation.</t>
  </si>
  <si>
    <t>Dashboard (CUBEVALUE, timeline), ControlPanel (FILTER, LET), VBA project.</t>
  </si>
  <si>
    <t>src/pq, DAX_Measures, tblControl formulas; src/vba (no business number computed).</t>
  </si>
  <si>
    <t>A cloud document library as source, archive and log location.</t>
  </si>
  <si>
    <t>Removed in 3.0.0: the platform runs on a shared network drive (D53).</t>
  </si>
  <si>
    <t>mod_Log.RefreshLog_Write; check STG_CURRENT compares STG_Refresh with the last RefreshLog row.</t>
  </si>
  <si>
    <t>Separate go-live step with a reset of the sample history.</t>
  </si>
  <si>
    <t>Removed in 3.0.0: replaced by Setup (Cmd_Setup) on a zero-state workbook (D57).</t>
  </si>
  <si>
    <t>Several users refresh from a cloud document library without editing any path.</t>
  </si>
  <si>
    <t>Removed in 3.0.0: the platform runs on a shared network drive; locations come from ACP_Settings.ini (D52, D53).</t>
  </si>
  <si>
    <t>Cell-level version history of the workbook in a cloud document library.</t>
  </si>
  <si>
    <t>Removed in 3.0.0: the platform runs on a shared network drive; the edit audit and the ActivityLog record every change.</t>
  </si>
  <si>
    <t>An add-only permission level of a cloud log library.</t>
  </si>
  <si>
    <t>Removed in 3.0.0: the platform runs on a shared network drive; the NTFS permission request in Admin_Guide makes the log folder add-only.</t>
  </si>
  <si>
    <t>fnFetchCBRT requests yyyyMM/ddMMyyyy.xml only; parameters FXAutoFetch, FXSource, FXSourceUrl.</t>
  </si>
  <si>
    <t>An API-key based alternative FX source.</t>
  </si>
  <si>
    <t>Removed in 3.0.0: FXSource is CBRT_XML or Manual only.</t>
  </si>
  <si>
    <t>PDF exports: tenant sensitivity labels could protect the PDFs that Excel exports (dashboard PDF, closing pack).</t>
  </si>
  <si>
    <t>Backlog: to be verified with the organisation's PDF reader and labelling policy; Excel itself does not encrypt the PDFs.</t>
  </si>
  <si>
    <t>Macro trust: the VBA project is signed by IT or the platform folder is a Trusted Location.</t>
  </si>
  <si>
    <t>Start sheet (instructions shown while macros are off); Admin_Guide, IT request.</t>
  </si>
  <si>
    <t>Outlier threshold per payment line = 5,000,000 TRY.</t>
  </si>
  <si>
    <t>Parameter OutlierThresholdTRY; FactPayment[IsOutlier]; check OUTLIERS.</t>
  </si>
  <si>
    <t>Four-eyes by Windows identity (DOMAIN\logon): the user who submitted a period can never close it, whatever roles that user holds; FourEyesRequired = N is a waiver that keeps check FOUR_EYES in REVIEW.</t>
  </si>
  <si>
    <t>mod_Cmd.Do_Close (segregation of duties); tblSignOff; acceptance test 6.</t>
  </si>
  <si>
    <t>Close gate: staging current and logged, and every BLOCKING check OK or explained for the period.</t>
  </si>
  <si>
    <t>cpCloseGate; tblControl[Severity]; Cmd_SubmitForReview and Cmd_ClosePeriod read the gate.</t>
  </si>
  <si>
    <t>Protection: the sheet-protection key is created at random for each installation and kept on the very hidden Security sheet (a deterrent; the edit audit is the control). The VBA project is locked for viewing with a password held by the owner; it is never stored in the workbook, the source export, the documentation or any log.</t>
  </si>
  <si>
    <t>Named cell secSheetKey; mod_Util.ProtectSheet; Admin_Guide 'Locking the VBA project' (applied by the owner after the source export).</t>
  </si>
  <si>
    <t>Trust access to the VBA project object model is needed only to export the VBA source (Cmd_ExportSourceCode skips the VBA part and says so when trust is off or the project is locked).</t>
  </si>
  <si>
    <t>mod_Export.ExportVba; acceptance test 14.</t>
  </si>
  <si>
    <t>mod_Log.ExternalWrite; qLog_External; check LOG_INTEGRITY.</t>
  </si>
  <si>
    <t>Commands that change the platform save the workbook; they are blocked when the workbook is open read-only, is a copy, or when its settings are missing.</t>
  </si>
  <si>
    <t>mod_Cmd.Guard / SessionBlock; tblCommandPermission[StateChanging]; acceptance tests 8, 9.</t>
  </si>
  <si>
    <t>Re-open is allowed for any closed month (Administrator); after its re-close, ActivePeriod continues with the first month without a current archive.</t>
  </si>
  <si>
    <t>Cmd_ReopenPeriod (files moved to Superseded, never deleted); mod_Archive.NextOpenPeriod; check ACTIVE_OPEN.</t>
  </si>
  <si>
    <t>tblNilReturn (Preparer); checks FILES_EXPECTED and COMPLETENESS.</t>
  </si>
  <si>
    <t>tblControl[ExplainedPeriod]; cpUnexplained; mod_Cmd.ClearExplanations; controls file sheet CHECKS.</t>
  </si>
  <si>
    <t>Version 2.0 was delivered for acceptance on a synthetic data set; the live folders stayed untouched.</t>
  </si>
  <si>
    <t>Superseded by D57: 3.0.0 is delivered in zero state and initialised by Setup.</t>
  </si>
  <si>
    <t>Drill-through (double-click on a Data Model pivot value) returns at most 1,000 rows by default; the limit is not exposed for the Data Model connection. The governed way to list lines is DataView (Show lines); an Administrator may raise the limit by hand (Data &gt; Queries &amp; Connections &gt; ThisWorkbookDataModel &gt; Properties &gt; Usage).</t>
  </si>
  <si>
    <t>DataView and Cmd_ViewCompanyMonth; Admin_Guide.</t>
  </si>
  <si>
    <t>D50</t>
  </si>
  <si>
    <t>Role-based authorisation: identity = Windows logon + domain from the logon token (no shared role passwords); roles Viewer (default for unlisted users), Analyst, Preparer, Reviewer, Administrator - a user may hold several; permissions are data in tblCommandPermission; every command starts with RequirePermission and denied attempts are logged as DENIED; buttons a user may not use are hidden.</t>
  </si>
  <si>
    <t>mod_Security.RequirePermission; tblUserRole; tblCommandPermission; mod_Session.ApplyButtons; acceptance tests 4-6.</t>
  </si>
  <si>
    <t>D51</t>
  </si>
  <si>
    <t>Administrator sign-in: Windows identity plus the administrator's own password, stored only as PBKDF2-HMAC-SHA256 (600,000 iterations, 16-byte per-administrator salt); five failures lock the sign-in for 30 minutes; every attempt is logged; recovery by another Administrator or a restore from backup - there is no other way in.</t>
  </si>
  <si>
    <t>mod_Security (Do_AdminLogin, Do_SetOwnPassword, tblAdminCredential); acceptance test 7.</t>
  </si>
  <si>
    <t>D52</t>
  </si>
  <si>
    <t>Two layers of settings: ACP_Settings.ini next to the workbook holds the installation's locations (relative paths allowed); VBA resolves them to absolute UNC paths and writes them into tblParameters before every refresh, where Power Query reads them.</t>
  </si>
  <si>
    <t>mod_Session.Session_LoadSettings; mod_Cmd.Do_RefreshAll; Admin_Guide 'Settings file'.</t>
  </si>
  <si>
    <t>SourceFolder, ArchiveFolder, LogFolder</t>
  </si>
  <si>
    <t>D53</t>
  </si>
  <si>
    <t>The platform runs from a shared network drive (UNC): mapped drives are converted to UNC (WNetGetConnectionW); a workbook opened outside PlatformHomePath is a copy; the file has one writer; long commands hold ACP.lock; a second user opens read-only.</t>
  </si>
  <si>
    <t>mod_Util.ToUnc; mod_Session (COPY, READONLY); mod_Security.AcquireLock; acceptance tests 3, 8, 9.</t>
  </si>
  <si>
    <t>D54</t>
  </si>
  <si>
    <t>Macro guard: the saved file shows only the Start sheet (bilingual instructions to enable macros through a Trusted Location or a signed project); every other sheet is very hidden while the file is written.</t>
  </si>
  <si>
    <t>mod_Session Guard_BeforeSave / Guard_AfterSave / SavePlatform; acceptance test 1.</t>
  </si>
  <si>
    <t>D55</t>
  </si>
  <si>
    <t>Integrity of the security tables: every change goes through Cmd_ManageUsers (or Setup) and logs a SECURITY event with the checksum of the tables; at open a mismatch or a broken ActivityLog chain degrades everyone to Viewer until an Administrator reviews the tables.</t>
  </si>
  <si>
    <t>mod_Security.SignSecurityTables and Security_CheckIntegrity; Home banner INTEGRITY; acceptance test 7.</t>
  </si>
  <si>
    <t>D56</t>
  </si>
  <si>
    <t>Check severity: BLOCKING checks gate the close; ADVISORY checks (COLUMNID_VERIFIED) are shown in amber on Home and ControlPanel and listed in the closing pack, without blocking.</t>
  </si>
  <si>
    <t>tblControl[Severity]; Status formula; cpCloseGate; controls file ABOUT AdvisoryItems; acceptance test 11.</t>
  </si>
  <si>
    <t>D57</t>
  </si>
  <si>
    <t>Zero-state delivery: 3.0.0 ships without companies, periods, locations, users or log events; the CBRT rates and the column dictionary are kept; Setup initialises an installation and writes the genesis event PLATFORM_INITIALISED.</t>
  </si>
  <si>
    <t>Release build tools/build/Build-Release.ps1; wording inventory before/after; acceptance test 12.</t>
  </si>
  <si>
    <t>D58</t>
  </si>
  <si>
    <t>The changelog is maintained only through Cmd_AddChangelogEntry (Administrator); the author is stamped from the Windows identity and display name; hand edits of tblChangelog are reverted and logged.</t>
  </si>
  <si>
    <t>mod_Cmd.Cmd_AddChangelogEntry; tblAuditScope tblChangelog (no edit permission); acceptance test 12.</t>
  </si>
  <si>
    <t>D59</t>
  </si>
  <si>
    <t>Edit rights are enforced by the edit audit: sheets are protected per role, and an edit the user's role does not allow is reverted from the shadow copy and logged (SECURITY EDIT_DENIED).</t>
  </si>
  <si>
    <t>mod_Log.AuditTable and RevertTable; tblAuditScope[EditPermission, ColumnPermissions]; acceptance test 5.</t>
  </si>
  <si>
    <t>D60</t>
  </si>
  <si>
    <t>FourEyesRequired is Administrator-only; switching it off needs the administrator password again and is logged with severity HIGH.</t>
  </si>
  <si>
    <t>tblAuditScope tblParameters (Edit_Parameters); mod_Log.AuditTable (waiver); mod_Security.ReconfirmAdmin.</t>
  </si>
  <si>
    <t>D61</t>
  </si>
  <si>
    <t>Months before go-live are frozen once by an Administrator with Cmd_Backfill: every month found in the source folder before the newest one is archived as found, without independent totals, four-eyes or explanations (SignOff[FourEyes] = NOT APPLIED (backfill), comment naming the Administrator); the newest month stays open and follows the normal four-eyes close. Months already archived are never overwritten.</t>
  </si>
  <si>
    <t>Specification of the backfill command by fozel (2026-09-29); mod_Cmd.Cmd_Backfill; tblCommandPermission (Administrator, signed in, typed confirmation BACKFILL); acceptance test 15.</t>
  </si>
  <si>
    <t>Every assumption and design decision with its owner. Each item is Confirmed (with evidence and sign-off date), Removed, Superseded or Deferred (Backlog, with an owner); check POLICY_OPEN counts only Open items. Changing an item needs the Administrator sign-in; every edit is logged with old and new value.</t>
  </si>
  <si>
    <t>Backlog - Deferred items and their owners</t>
  </si>
  <si>
    <t>What</t>
  </si>
  <si>
    <t>Why</t>
  </si>
  <si>
    <t>Components</t>
  </si>
  <si>
    <t>BreakingChanges</t>
  </si>
  <si>
    <t>1.0.0</t>
  </si>
  <si>
    <t>First release of the monthly payments closing workbook: parameter-driven Power Query ingestion of the company payment files (COMP&lt;CompanyID&gt;PAY&lt;MMYYYY&gt;.xlsx), a governed column dictionary with a personal-data whitelist, Turkish-locale standardisation, one active period plus a frozen archive, a star-schema Data Model with 19 DAX measures, a 19-check control panel, reconciliation, archive log, KPI cross-check, dashboard and documentation.</t>
  </si>
  <si>
    <t>Replace the manual month-end consolidation of the company payment files with a controlled, repeatable process.</t>
  </si>
  <si>
    <t>All sheets; 28 queries; Data Model; DAX_Measures; ControlPanel; Recon; ArchiveLog; Dashboard</t>
  </si>
  <si>
    <t>none (first release)</t>
  </si>
  <si>
    <t>Live configuration and fixes: the department's source and archive folders, companies taken from the file names, CBRT forex buying rates 2019-12-02..2026-09-25, archive backfilled 202501-202608, active period 202609. Reporting date moved to the file period (FactPayment[PeriodDate]); when a file carries several headers of one field, the header listed first in ColumnMap wins (AMBIGUOUS MAPPING is INFO); standardisation materialises only the whitelisted columns (about 1 s instead of 18 s per file).</t>
  </si>
  <si>
    <t>Go live with the real files; payment dates rarely fall in their file period, so monthly figures must follow the file period; live files carry internal and alias headers of the same field.</t>
  </si>
  <si>
    <t>Parameters, DimCompany, FX, ColumnMap, Recon, ArchiveLog, FactPayment, DimDate, fnStandardizeFile, fnConformArchive, STG_Files, DAX_Measures</t>
  </si>
  <si>
    <t>Default date relationship FactPayment[PeriodDate] (was PaymentDate); sample sheets removed.</t>
  </si>
  <si>
    <t>Excel + VBA edition (.xlsm): a command layer behind the Home buttons with one ActivityLog row per command; chained SHA-256 ActivityLog with an external read-only copy per event; RefreshLog; edit audit of the input tables; 24 checks with stable CheckIDs and a close gate; Submit / Close by two different Windows users with a data fingerprint, a read-only archive and a controls evidence file per month, re-open to Superseded; automatic CBRT fetch stored in tblFXRate; DataView detail view, Matrix sheet and a rebuilt Dashboard (CUBE cards, PivotCharts, timeline); Decision Register, Interface Contract and AdminConfig; source code exported to src/.</t>
  </si>
  <si>
    <t>Make the close auditable (who, what, when, result), enforce four-eyes by Windows identity and remove the manual FX maintenance.</t>
  </si>
  <si>
    <t>Home, ControlPanel, Dashboard, Matrix, DataView, SignOff, ArchiveLog, RefreshLog, ActivityLog, AdminConfig, DecisionRegister, Interface_Contract; mod_Cmd, mod_Log, mod_Archive, mod_Export, mod_Util; qFX_CBRT, fnFetchCBRT, qLog_External, qView_Lines, fnFileList</t>
  </si>
  <si>
    <t>Workbook format .xlsm; parameter DataMode removed; RootFolder and ArchiveFolder renamed; checks addressed by CheckID (tblControl); STG_Refresh columns replaced by SourceLocation, FilesRead and FileList.</t>
  </si>
  <si>
    <t>2026-09-29</t>
  </si>
  <si>
    <t>Production release. Runs from a shared network drive (UNC) for several users with role-based authorisation: Viewer, Analyst, Preparer, Reviewer and Administrator, permissions held as data, administrator sign-in with a salted and iterated password hash and lockout, segregation of duties at close. Guided Setup (first Administrator, folder pickers, UNC validation, discovery of companies and periods, users, FX check) writes ACP_Settings.ini; Start sheet macro guard; Home banner with the next action and a prioritised checklist; location watchdog, lock file and read-only detection; Backfill (Administrator) freezes the months before go-live in one run; unauthorised edits reverted and logged; BLOCKING / ADVISORY check severity; Decision Register closed with a Backlog; changelog maintained by command. Delivered in zero state.</t>
  </si>
  <si>
    <t>Put the platform into production for the department: several users on one shared file, clear responsibilities, no per-user paths, and a clean start without sample data.</t>
  </si>
  <si>
    <t>Start, Home, Security (very hidden), Admin_Guide, AdminConfig, Parameters, ControlPanel, DecisionRegister, Changelog, Interface_Contract, Legend; mod_Security, mod_Session, mod_Setup (new), mod_Cmd, mod_Log, mod_Util, mod_Archive, mod_Export, ThisWorkbook, frmPassword; fnFileList, STG_Refresh, qSrc_Files, qFX_CBRT, fnFetchCBRT, DimDate, STG_ActiveFact, STG_Discovery (new)</t>
  </si>
  <si>
    <t>Parameters SourceMode, SharePointSiteUrl, SharePointSourcePath, SharePointArchivePath and SharePointLogPath removed; LocalSourceFolder, LocalArchiveFolder and LocalLogFolder renamed SourceFolder, ArchiveFolder and LogFolder; new FXSourceUrl, PlatformFolder, PlatformHomePath, SetupCompletedOn, SetupCompletedBy; STG_Refresh and tblRefreshLog lose SourceMode; names cpSourceMode, envStatus, prmSharePointSiteUrl, prmSharePointSourcePath, prmLocalSourceFolder and lstSourceMode removed; Cmd_ResetForGoLive removed; every command checks permissions (result DENIED); tblSignOff[LogonUser] holds DOMAIN\logon; tblControl gains Severity (Status ADVISORY); tblDecision OwnerRole renamed Owner, Status Deferred added; tblChangelog columns What, Why, Components, BreakingChanges; FXSource values CBRT_XML and Manual.</t>
  </si>
  <si>
    <t>Changelog - releases</t>
  </si>
  <si>
    <t>One entry per release or structural change: what changed, why, the components and the breaking changes. Maintained only with Add changelog entry (Cmd_AddChangelogEntry, Administrator): the author is stamped from the Windows identity; typing in this table is reverted and logged. Routine monthly closes are recorded in ArchiveLog.</t>
  </si>
  <si>
    <t>Every Cmd_* writes one ActivityLog row (EventType COMMAND, or SECURITY for DENIED); its Result starts with one of these words. Api_LastResult returns the last one.</t>
  </si>
  <si>
    <t>Identity</t>
  </si>
  <si>
    <t>DOMAIN\logon</t>
  </si>
  <si>
    <t>Users are identified by the Windows logon and the domain of the logon token. tblSignOff, tblArchiveLog and tblUserRole hold DOMAIN\logon; the ActivityLog keeps LogonUser (logon name) in its checksum fields.</t>
  </si>
  <si>
    <t>Locations</t>
  </si>
  <si>
    <t>ACP_Settings.ini -&gt; tblParameters</t>
  </si>
  <si>
    <t>The installation's folders live in ACP_Settings.ini next to the workbook (relative paths allowed). VBA resolves them to UNC paths and writes them into tblParameters before every refresh; Power Query reads only tblParameters.</t>
  </si>
  <si>
    <t>Month being closed; set by Setup, advanced by Cmd_ClosePeriod. Empty = Setup not completed.</t>
  </si>
  <si>
    <t>text UNC path</t>
  </si>
  <si>
    <t>Company files (read recursively). Written by VBA from ACP_Settings.ini. Renamed from LocalSourceFolder in 3.0.</t>
  </si>
  <si>
    <t>Folder holding Archive, Log, Export and src. Written by VBA. New in 3.0.</t>
  </si>
  <si>
    <t>External ActivityLog. Written by VBA. Renamed from LocalLogFolder in 3.0.</t>
  </si>
  <si>
    <t>PDF, closing packs, extracts (VBA only). Written by VBA.</t>
  </si>
  <si>
    <t>Target of Cmd_ExportSourceCode (VBA only). Written by VBA.</t>
  </si>
  <si>
    <t>Registered location of the workbook; any other location is a copy. Written by VBA. New in 3.0.</t>
  </si>
  <si>
    <t>text timestamp</t>
  </si>
  <si>
    <t>When Setup last completed; empty = not completed. Written by VBA. New in 3.0.</t>
  </si>
  <si>
    <t>text DOMAIN\logon</t>
  </si>
  <si>
    <t>Administrator who last completed Setup. Written by VBA. New in 3.0.</t>
  </si>
  <si>
    <t>text: CBRT_XML | Manual</t>
  </si>
  <si>
    <t>Automatic FX source (3.0: CBRT_XML or Manual only).</t>
  </si>
  <si>
    <t>Address of the CBRT daily bulletins. New in 3.0.</t>
  </si>
  <si>
    <t>Administrator only; N = waiver (password again, severity HIGH; check FOUR_EYES stays REVIEW).</t>
  </si>
  <si>
    <t>The only configuration read by Power Query (cfgParameters / fnParam) and VBA (Param).</t>
  </si>
  <si>
    <t>Governance dictionary; VerifiedBy / VerifiedOn are stamped only by Cmd_VerifyColumnIDs.</t>
  </si>
  <si>
    <t>Written nil returns (no payments in the month).</t>
  </si>
  <si>
    <t>Published CBRT rates; Cmd_RefreshAll appends fetched bulletins.</t>
  </si>
  <si>
    <t>Four-eyes trail. Stage SUBMITTED | REJECTED | CLOSED | REOPENED. LogonUser = DOMAIN\logon; ExcelUser = display name.</t>
  </si>
  <si>
    <t>ID, Statement, Category, Owner, Status, Evidence, SignOffDate, LinkedParameter, LinkedCheck</t>
  </si>
  <si>
    <t>Decision Register. Status Open | Confirmed | Superseded | Removed | Deferred (3.0: OwnerRole renamed Owner, Deferred added).</t>
  </si>
  <si>
    <t>No, CheckID, Area, Check, WhatItVerifies, Result, Threshold, Severity, Status, Finding, Action, Explanation, ExplainedBy, ExplainedOn, ExplainedPeriod</t>
  </si>
  <si>
    <t>RefreshNo, LoggedAt, StagingRefreshedAt, ActivePeriod, SourceLocation, FilesRead, FileList, ActiveRows, HashTotal, GrossTRY, OverallStatus, ReviewCount, FXBulletinsStored, LogonUser, DurationSec</t>
  </si>
  <si>
    <t>Append-only history of Cmd_RefreshAll (3.0: SourceMode removed).</t>
  </si>
  <si>
    <t>Chained audit log (very hidden sheet). EventType COMMAND | EDIT | SECURITY | SYSTEM; the first event of an installation is written by Setup.</t>
  </si>
  <si>
    <t>SheetName, Visibility, Protect, AllowPivots, ShowWithStaging, VisibleTo, EditPermission, Notes</t>
  </si>
  <si>
    <t>Sheet visibility and protection per role (first matching pattern wins). VisibleTo and EditPermission new in 3.0.</t>
  </si>
  <si>
    <t>TableName, KeyColumns, EditPermission, ColumnPermissions, Notes</t>
  </si>
  <si>
    <t>Audited tables and who may edit them; unauthorised edits are reverted and logged. EditPermission and ColumnPermissions new in 3.0.</t>
  </si>
  <si>
    <t>Key, TR, EN | Text</t>
  </si>
  <si>
    <t>Banner and dialog texts, Turkish first. New in 3.0.</t>
  </si>
  <si>
    <t>tblUserRole</t>
  </si>
  <si>
    <t>LogonUser, Domain, DisplayName, Role, Active, ValidFrom, ValidTo, AddedBy, AddedOn, RowChecksum</t>
  </si>
  <si>
    <t>internal</t>
  </si>
  <si>
    <t>Very hidden sheet Security. Changed only by Cmd_ManageUsers and Setup. New in 3.0.</t>
  </si>
  <si>
    <t>tblCommandPermission</t>
  </si>
  <si>
    <t>Command, Label, Viewer, Analyst, Preparer, Reviewer, Administrator, Elevation, StateChanging, NeedsSetup, UsesLock, Notes</t>
  </si>
  <si>
    <t>Command x role -&gt; Y/N. Very hidden sheet Security. New in 3.0.</t>
  </si>
  <si>
    <t>tblAdminCredential</t>
  </si>
  <si>
    <t>LogonUser, Domain, Algorithm, Iterations, Salt, Hash, SetOn, SetBy, FailedAttempts, LockedUntilUtc, LastLoginUtc</t>
  </si>
  <si>
    <t>Salted, iterated password hashes of the Administrators (PBKDF2-HMAC-SHA256). Very hidden sheet Security. New in 3.0.</t>
  </si>
  <si>
    <t>Version, Date, Author, What, Why, Components, BreakingChanges</t>
  </si>
  <si>
    <t>Release history; written only by Cmd_AddChangelogEntry (3.0: new columns).</t>
  </si>
  <si>
    <t>RefreshedAt, ActivePeriod, SourceLocation, FilesRead, FileList, SourceCulture</t>
  </si>
  <si>
    <t>One row per refresh; no row while Setup is not completed (3.0: SourceMode removed).</t>
  </si>
  <si>
    <t>Data-quality issues.</t>
  </si>
  <si>
    <t>STG_Discovery</t>
  </si>
  <si>
    <t>Role, FileName, FolderPath, MatchStatus, CompanyID, PeriodKey, Reason</t>
  </si>
  <si>
    <t>cpPlatformHome</t>
  </si>
  <si>
    <t>Registered platform location (PlatformHomePath). New in 3.0.</t>
  </si>
  <si>
    <t>Configured source folder (compared with STG_Refresh by STG_CURRENT).</t>
  </si>
  <si>
    <t>OK when no BLOCKING check is REVIEW.</t>
  </si>
  <si>
    <t>cpAdvisoryCount</t>
  </si>
  <si>
    <t>Checks in ADVISORY (do not block). New in 3.0.</t>
  </si>
  <si>
    <t>ses*</t>
  </si>
  <si>
    <t>sesUser, sesLogon, sesRoles, sesIsAdmin, sesIsViewer, sesCanSetup, sesCode, sesSeverity, sesMessage, sesCanDo, sesMode, sesSignedIn, sesOpenedAt</t>
  </si>
  <si>
    <t>Session facts written by VBA at open (sheet Security); read by the Home banner. New in 3.0.</t>
  </si>
  <si>
    <t>secIntegrity / secSheetKey</t>
  </si>
  <si>
    <t>Result of the security-table check; per-installation sheet-protection key (sheet Security). New in 3.0.</t>
  </si>
  <si>
    <t>homeBanner / homeSeverity / homeNext / homeNextSeverity</t>
  </si>
  <si>
    <t>Home banner text and colour; next action from the checklist. New in 3.0.</t>
  </si>
  <si>
    <t>navHome / navStart</t>
  </si>
  <si>
    <t>Home anchor opened at start-up; Start sheet anchor (macro guard, new in 3.0).</t>
  </si>
  <si>
    <t>One tblParameters value each (prmFourEyesRequired, prmSourceFolder, prmSetupCompletedOn ...).</t>
  </si>
  <si>
    <t>(answers)</t>
  </si>
  <si>
    <t>Administrator (or the first user of a platform without users): guided Setup; writes ACP_Settings.ini and the genesis event PLATFORM_INITIALISED. Silent answers: key=value|key=value. New in 3.0.</t>
  </si>
  <si>
    <t>(action, account, roles, displayName)</t>
  </si>
  <si>
    <t>Administrator: ADD, REMOVE, RESETPWD, CHANGEPWD, PERM, LIST, ACCEPT; each change logs a SECURITY event with the table checksum. New in 3.0.</t>
  </si>
  <si>
    <t>(pwd)</t>
  </si>
  <si>
    <t>Administrator sign-in (Windows identity + password; 30 minutes, renewed by every administrator action). New in 3.0.</t>
  </si>
  <si>
    <t>Ends the administrator sign-in. New in 3.0.</t>
  </si>
  <si>
    <t>Preparer, Reviewer, Administrator: settings, FX fetch + persist, staging, model, recalc, chain check, RefreshLog.</t>
  </si>
  <si>
    <t>(period, reason)</t>
  </si>
  <si>
    <t>(confirmText, throughPeriod)</t>
  </si>
  <si>
    <t>Analyst, Preparer, Reviewer: refreshes qView_Lines only.</t>
  </si>
  <si>
    <t>Analyst, Preparer, Reviewer: detail view to an .xlsx in ExportFolder.</t>
  </si>
  <si>
    <t>Every user: Dashboard PDF in ExportFolder.</t>
  </si>
  <si>
    <t>Reviewer: PDFs, controls snapshot (ADVISORY items included) and log CSVs in one folder.</t>
  </si>
  <si>
    <t>Administrator: src/pq, src/vba (when the VBA project can be read), src/contract.</t>
  </si>
  <si>
    <t>Administrator: stamps VerifiedBy / VerifiedOn (selection, or a ColumnID list; * = all).</t>
  </si>
  <si>
    <t>(version, what, why, components, breaking)</t>
  </si>
  <si>
    <t>Administrator: the only way to add to tblChangelog; author from the Windows identity. New in 3.0.</t>
  </si>
  <si>
    <t>Administrator: removes an ACP.lock older than 2 hours (logged, severity HIGH). New in 3.0.</t>
  </si>
  <si>
    <t>Administrator: shows STG and log sheets (read-only).</t>
  </si>
  <si>
    <t>Administrator: re-applies tblSheetPolicy for the user's roles.</t>
  </si>
  <si>
    <t>True: commands show no dialog (for a desktop front end or scheduler).</t>
  </si>
  <si>
    <t>ACP_Settings.ini</t>
  </si>
  <si>
    <t>SourceFolder, PlatformFolder, ArchiveFolder, LogFolder, ExportFolder, SourceCodeFolder, PlatformHomePath, SetupCompletedOn, SetupCompletedBy</t>
  </si>
  <si>
    <t>text UTF-8 key=value</t>
  </si>
  <si>
    <t>Next to the workbook; written by Setup; relative paths (.\Archive) are relative to the workbook folder. New in 3.0.</t>
  </si>
  <si>
    <t>ACP.lock</t>
  </si>
  <si>
    <t>user, display, machine, command, startedUtc</t>
  </si>
  <si>
    <t>Workbook folder; present while a long state-changing command runs; an Administrator clears one older than 2 hours. New in 3.0.</t>
  </si>
  <si>
    <t>&lt;FilePrefix&gt;&lt;CompanyID&gt;&lt;FileInfix&gt;&lt;MMYYYY&gt;&lt;FileExtension&gt;, e.g. COMP2177PAY092026.xlsx</t>
  </si>
  <si>
    <t>Header in row 1 of the first sheet; anywhere below the source folder.</t>
  </si>
  <si>
    <t>Machine-readable evidence of the close; ABOUT lists the ADVISORY items.</t>
  </si>
  <si>
    <t>Date, Year, MonthNo, PeriodKey, YearMonth, Quarter, YearQuarter, MonthStart, MonthEnd, MonthsFromActive, PeriodStatus</t>
  </si>
  <si>
    <t>PeriodStatus Active | Closed | Future, or Not set while Setup is not completed (3.0).</t>
  </si>
  <si>
    <t>Breaking 3.0</t>
  </si>
  <si>
    <t>parameter</t>
  </si>
  <si>
    <t>removed</t>
  </si>
  <si>
    <t>Removed: the platform runs on a shared network drive.</t>
  </si>
  <si>
    <t>Removed with the cloud storage mode.</t>
  </si>
  <si>
    <t>LocalSourceFolder / LocalArchiveFolder / LocalLogFolder</t>
  </si>
  <si>
    <t>SourceFolder / ArchiveFolder / LogFolder</t>
  </si>
  <si>
    <t>renamed</t>
  </si>
  <si>
    <t>Renamed; values come from ACP_Settings.ini.</t>
  </si>
  <si>
    <t>STG_Refresh[SourceMode], tblRefreshLog[SourceMode]</t>
  </si>
  <si>
    <t>column</t>
  </si>
  <si>
    <t>Removed.</t>
  </si>
  <si>
    <t>cpSourceMode, envStatus, prmSharePointSiteUrl, prmSharePointSourcePath, prmLocalSourceFolder, lstSourceMode</t>
  </si>
  <si>
    <t>name</t>
  </si>
  <si>
    <t>Removed (prmSourceFolder and cpPlatformHome added).</t>
  </si>
  <si>
    <t>command</t>
  </si>
  <si>
    <t>Removed: an installation starts from the zero-state workbook with Setup.</t>
  </si>
  <si>
    <t>Cmd_ReopenPeriod(filesMovedByHand)</t>
  </si>
  <si>
    <t>argument</t>
  </si>
  <si>
    <t>Removed: files are always moved by the command.</t>
  </si>
  <si>
    <t>Every Cmd_*</t>
  </si>
  <si>
    <t>DENIED</t>
  </si>
  <si>
    <t>result</t>
  </si>
  <si>
    <t>changed</t>
  </si>
  <si>
    <t>Commands check tblCommandPermission first; a user without permission gets DENIED (logged as SECURITY).</t>
  </si>
  <si>
    <t>tblSignOff[LogonUser], tblArchiveLog[ArchivedBy, SupersededBy]</t>
  </si>
  <si>
    <t>Hold DOMAIN\logon (was the logon name only).</t>
  </si>
  <si>
    <t>Severity; Status ADVISORY</t>
  </si>
  <si>
    <t>New column Severity; Status can be ADVISORY.</t>
  </si>
  <si>
    <t>tblDecision[OwnerRole]</t>
  </si>
  <si>
    <t>Owner; Status Deferred</t>
  </si>
  <si>
    <t>OwnerRole renamed Owner; Status Deferred added.</t>
  </si>
  <si>
    <t>What, Why, Components, BreakingChanges</t>
  </si>
  <si>
    <t>columns</t>
  </si>
  <si>
    <t>Replaces Change, Sheets / queries affected, Reason / reference.</t>
  </si>
  <si>
    <t>CBRT_XML | Manual</t>
  </si>
  <si>
    <t>parameter value</t>
  </si>
  <si>
    <t>EVDS removed from the list.</t>
  </si>
  <si>
    <t>One row per group company (Administrator). CompanyID = the digits in the file name (text). Setup proposes the companies found in the source folder; enter the name and the type. The expected window drives FILES_EXPECTED and COMPLETENESS (ExpectedToPeriod blank = still reporting).</t>
  </si>
  <si>
    <t>Nil returns (tblNilReturn, Preparer) - a company without payments in a month confirms it in writing; record it here instead of a file (D46).</t>
  </si>
  <si>
    <t>Written only by the commands: Submit for review (Preparer), Reject / Close period (Reviewer - never the user who submitted), Re-open (Administrator). LogonUser holds DOMAIN\logon. The data fingerprint (StagingRefreshedAt, ActiveRows, HashTotal) proves the reviewer closed exactly what was submitted.</t>
  </si>
  <si>
    <t>Written by Close period (Cmd_ClosePeriod) and marked SUPERSEDED by Re-open (Cmd_ReopenPeriod); a Reviewer may type in Notes. Recorded* values are copied from ControlPanel tblCloseOut at close; Current* recompute from the archive at every refresh; IntegrityStatus must stay OK for every CURRENT row.</t>
  </si>
  <si>
    <t>One row per period x company x currency (Preparer). Type the independent total (accounting ledger extract or the company's signed cover letter) in the ORIGINAL currency; the model total, variance, tolerance and status are formulas. Status REVIEW = outside tolerance or no independent total.</t>
  </si>
  <si>
    <t>tblFXRate: CBRT forex buying rates by business day (TRY per 1 unit), from the CBRT daily bulletins (www.tcmb.gov.tr/kurlar); Refresh appends new bulletins automatically (FXAutoFetch = Y). Weekends and holidays are carried forward by the query (max FXMaxCarryForwardDays). tblCurrencyAlias: spellings found in files -&gt; ISO code. Editing needs the Administrator sign-in.</t>
  </si>
  <si>
    <t>[No ColumnID - not in the schema reference] Raw internal header that at least one company uses for the case number (per the file naming specification). Claim/case file number (dosya no). Business key, always text so leading zeros survive. A repeated CaseNo is an installment or partial payment, never a duplicate by itself.</t>
  </si>
  <si>
    <t>Governance table (Administrator). A new company or a renamed column is fixed by ADDING A ROW here - never by editing a query. Matching ignores case, Turkish letters, spaces and punctuation. Only fields with IncludeInModel = Y AND PersonalData = N (on every row) reach the model.</t>
  </si>
  <si>
    <t>For the Preparer and the Reviewer. The Home banner always shows your name, your roles and the one next action; the checklist below it shows where the month stands. Every button is logged. Type only in yellow cells of the tables your role may edit - anything else is reverted.</t>
  </si>
  <si>
    <t>6. When the close gate says OPEN: Home &gt; Submit for review. The workbook saves itself; the banner then shows "awaiting review".</t>
  </si>
  <si>
    <t>Reviewer (never the user who submitted)</t>
  </si>
  <si>
    <t xml:space="preserve">   • Home &gt; Reject submission, with a reason. The Preparer fixes the issue and submits again.</t>
  </si>
  <si>
    <t>• A company had no payments: the Preparer records its written nil return in tblNilReturn (sheet DimCompany) instead of a file.</t>
  </si>
  <si>
    <t>• The data changed after Submit (a new refresh or file): Close is blocked; the Preparer submits again.</t>
  </si>
  <si>
    <t>• Who may do what. Five roles: Viewer (default), Analyst, Preparer, Reviewer and Administrator. The permissions are data (tblCommandPermission) and every command checks them first (section 5).</t>
  </si>
  <si>
    <t xml:space="preserve">  • Home: who you are, your roles, the one next action (banner) and the checklist.</t>
  </si>
  <si>
    <t>3. Installation: platform folder, settings file and Setup</t>
  </si>
  <si>
    <t>Two layers of settings.</t>
  </si>
  <si>
    <t>• ACP_Settings.ini (UTF-8, key=value) next to the workbook: SourceFolder, PlatformFolder, ArchiveFolder, LogFolder, ExportFolder, SourceCodeFolder, PlatformHomePath, SetupCompletedOn, SetupCompletedBy. Relative paths such as .\Archive are relative to the workbook folder.</t>
  </si>
  <si>
    <t>• tblParameters (Location rows): the same values resolved to absolute UNC paths. VBA writes them at every open and before every refresh; Power Query reads only tblParameters.</t>
  </si>
  <si>
    <t>4. Opening the workbook</t>
  </si>
  <si>
    <t>1. inputs edited while macros were off are logged ("user unknown");</t>
  </si>
  <si>
    <t>Banner (Home). Line 1: user, logon, roles. Line 2: one next action, in colour. The first matching state wins:</t>
  </si>
  <si>
    <t>otherwise   |   from the checklist   |   the first open item</t>
  </si>
  <si>
    <t>5. Roles, permissions and sign-in</t>
  </si>
  <si>
    <t>Roles (a user may hold several; tblUserRole, very hidden sheet Security):</t>
  </si>
  <si>
    <t>Role   |   May do</t>
  </si>
  <si>
    <t>Reviewer   |   Analyst + Refresh, Reject submission, Close period, closing pack, archive notes</t>
  </si>
  <si>
    <t>6. Monthly close - how the commands work</t>
  </si>
  <si>
    <t>• Submit for review (Cmd_SubmitForReview, Preparer). Gate OPEN; SignOff SUBMITTED with the data fingerprint (StagingRefreshedAt, ActiveRows, HashTotal, GrossTRY); saves.</t>
  </si>
  <si>
    <t>• Reject submission (Cmd_RejectSubmission, Reviewer). SignOff REJECTED with the reason.</t>
  </si>
  <si>
    <t>7. Commands</t>
  </si>
  <si>
    <t>Button   |   Command   |   Roles   |   Saves   |   What it does</t>
  </si>
  <si>
    <t>Refresh   |   Cmd_RefreshAll   |   Preparer, Reviewer, Administrator   |   no   |   Section 6</t>
  </si>
  <si>
    <t>Submit for review   |   Cmd_SubmitForReview(comment)   |   Preparer   |   yes   |   Gate OPEN; SignOff SUBMITTED</t>
  </si>
  <si>
    <t>Close period   |   Cmd_ClosePeriod(comment)   |   Reviewer   |   yes   |   Section 6</t>
  </si>
  <si>
    <t>Closing pack   |   Cmd_ExportClosingPack   |   Reviewer   |   no   |   PDFs, controls snapshot, logs as CSV</t>
  </si>
  <si>
    <t>Setup   |   Cmd_Setup(answers)   |   Administrator (first user: bootstrap)   |   yes   |   Section 3</t>
  </si>
  <si>
    <t>Users and roles   |   Cmd_ManageUsers(action, account, roles, displayName)   |   Administrator   |   yes   |   ADD, REMOVE, RESETPWD, CHANGEPWD, PERM, LIST, ACCEPT</t>
  </si>
  <si>
    <t>Administrator sign-in / sign-out   |   Cmd_AdminLogin(pwd) / Cmd_AdminLogout   |   Administrator   |   no   |   Section 5</t>
  </si>
  <si>
    <t>Re-open period   |   Cmd_ReopenPeriod(period, reason)   |   Administrator   |   yes   |   Section 8</t>
  </si>
  <si>
    <t>Backfill history   |   Cmd_Backfill(confirmText, throughPeriod)   |   Administrator   |   yes   |   Section 8; once, at installation</t>
  </si>
  <si>
    <t>Export source code   |   Cmd_ExportSourceCode   |   Administrator   |   no   |   src/pq, src/vba (when readable), src/contract</t>
  </si>
  <si>
    <t>Show / Hide staging   |   Cmd_ShowStaging / Cmd_HideStaging   |   Administrator   |   no   |   Staging and log sheets read-only / policy re-applied</t>
  </si>
  <si>
    <t>Clear lock   |   Cmd_ClearLock   |   Administrator   |   no   |   Removes an ACP.lock older than 2 hours</t>
  </si>
  <si>
    <t>9. Audit trail</t>
  </si>
  <si>
    <t>ActivityLog   |   Who ran which command, edited which input or tried what, with what result?   |   very hidden sheet + authoritative external log folder</t>
  </si>
  <si>
    <t>Edit audit   |   Which input changed from what to what, and was it allowed?   |   ActivityLog EDIT / SECURITY events (shadow copies _sh_*)</t>
  </si>
  <si>
    <t>10. FX - CBRT rates</t>
  </si>
  <si>
    <t>11. Control framework</t>
  </si>
  <si>
    <t>#   |   CheckID   |   Severity   |   What it verifies</t>
  </si>
  <si>
    <t>1   |   STG_CURRENT   |   BLOCKING   |   Staging refreshed for the current period and source folder, and logged by Cmd_RefreshAll</t>
  </si>
  <si>
    <t>2   |   FILES_EXPECTED   |   BLOCKING   |   Every expected company delivered a file or a nil return</t>
  </si>
  <si>
    <t>3   |   FILES_DUPLICATE   |   BLOCKING   |   No duplicate copy of a source file</t>
  </si>
  <si>
    <t>5   |   FILES_UNEXPECTED   |   BLOCKING   |   No files from unexpected companies</t>
  </si>
  <si>
    <t>6   |   RECON   |   BLOCKING   |   Totals reconcile to the independent source</t>
  </si>
  <si>
    <t>7   |   CHRONOLOGY   |   BLOCKING   |   loss &lt;= notification &lt;= decision &lt;= payment</t>
  </si>
  <si>
    <t>9   |   FX_RATES   |   BLOCKING   |   An FX rate for every foreign-currency line</t>
  </si>
  <si>
    <t>10   |   FX_FETCH   |   BLOCKING   |   CBRT fetch complete up to the latest payment date</t>
  </si>
  <si>
    <t>11   |   DATES   |   BLOCKING   |   Dates plausible</t>
  </si>
  <si>
    <t>12   |   MAPPING_DQ   |   BLOCKING   |   Column mapping and conversion issues</t>
  </si>
  <si>
    <t>13   |   OUTLIERS   |   BLOCKING   |   Payment lines &gt;= OutlierThresholdTRY reviewed</t>
  </si>
  <si>
    <t>14   |   PRIVACY   |   BLOCKING   |   No personal data in the staging output</t>
  </si>
  <si>
    <t>18   |   COMPLETENESS   |   BLOCKING   |   Company x month completeness</t>
  </si>
  <si>
    <t>20   |   COLUMNID_VERIFIED   |   ADVISORY   |   ColumnIDs verified by command</t>
  </si>
  <si>
    <t>21   |   REFDATA   |   BLOCKING   |   Reference tables clean</t>
  </si>
  <si>
    <t>23   |   FOUR_EYES   |   BLOCKING   |   Four-eyes enabled</t>
  </si>
  <si>
    <t>24   |   LOG_INTEGRITY   |   BLOCKING   |   ActivityLog chain and external copy intact</t>
  </si>
  <si>
    <t>Only the Start sheet is visible   |   Macros are disabled   |   Follow the Start sheet; IT sets a Trusted Location or signs the project</t>
  </si>
  <si>
    <t>1. What an Administrator does</t>
  </si>
  <si>
    <t>• Installs the platform and runs Setup; runs it again when a folder or the platform location changes.</t>
  </si>
  <si>
    <t>• Manages users and roles, command permissions and administrator passwords (Users and roles).</t>
  </si>
  <si>
    <t>• Records every structural change with Add changelog entry.</t>
  </si>
  <si>
    <t>An Administrator does not prepare or close months by virtue of the role; a person who also prepares or reviews holds the Preparer or Reviewer role as well, and the segregation of duties still applies (the user who submitted a month can never close it).</t>
  </si>
  <si>
    <t>2. Installation</t>
  </si>
  <si>
    <t>1. Excel. Excel for Microsoft 365 on Windows (Data Model, CUBE functions, dynamic arrays and VBA are required).</t>
  </si>
  <si>
    <t>2. Folders. IT creates the platform folder on the shared network drive (for example \\fileserver\ActuarialClosing\Platform) and grants the permissions of section 6. The source folder, where the companies deliver their files, is usually elsewhere.</t>
  </si>
  <si>
    <t>3. Workbook. Copy Actuarial_Closing_Platform.xlsm into the platform folder. Keep one platform file; every other copy shows the COPY banner and cannot change data.</t>
  </si>
  <si>
    <t>4. Macros. IT makes the platform folder a Trusted Location for the users, or signs the VBA project (DecisionRegister D37). Without macros a user sees only the Start sheet, which explains this.</t>
  </si>
  <si>
    <t>6. Setup. The first Administrator opens the platform file; Setup starts by itself (section 3).</t>
  </si>
  <si>
    <t>3. Setup</t>
  </si>
  <si>
    <t>Setup is a sequence of dialogs; each step shows what it found, and Cancel stops at any time. Every change is logged with its old and new value.</t>
  </si>
  <si>
    <t>1. Administrator. On a platform without users you are asked whether you want to become the first Administrator. This can be done once. You set your administrator password now (section 5); the claim is logged with severity HIGH. On later runs you sign in with your password.</t>
  </si>
  <si>
    <t>2. Source folder. Pick the folder with the company payment files (sub-folders are read). A mapped drive letter is stored as its UNC path.</t>
  </si>
  <si>
    <t>6. Users and roles. Add users as DOMAIN\logon with their roles (section 4). Setup warns while fewer than two Administrators exist: only another Administrator can reset a lost password.</t>
  </si>
  <si>
    <t>7. FX check. One CBRT bulletin request. If the CBRT cannot be reached, FXAutoFetch is set to N and the rates are entered by hand (section 8).</t>
  </si>
  <si>
    <t>The settings file (ACP_Settings.ini, UTF-8, one key=value per line) holds SourceFolder, PlatformFolder, ArchiveFolder, LogFolder, ExportFolder, SourceCodeFolder, PlatformHomePath, SetupCompletedOn and SetupCompletedBy. Relative paths are relative to the workbook folder. Change it only through Setup; VBA writes the resolved UNC paths into tblParameters at every open and before every refresh, where Power Query reads them.</t>
  </si>
  <si>
    <t>Setup without dialogs (a desktop front end or an installation script): Application.Run "Api_SetSilent", True, then Application.Run "Cmd_Setup", "claim=Y|displayName=&lt;name&gt;|password=&lt;password&gt;|source=&lt;folder&gt;|platform=.\|archive=.\Archive|log=.\Log|export=.\Export|src=.\src|addCompanies=Y|archiveStart=&lt;YYYYMM&gt;|active=&lt;YYYYMM&gt;|users=DOMAIN\u1:Name One:Preparer;DOMAIN\u2:Name Two:Reviewer+Analyst|fx=test". The password is used once and never logged.</t>
  </si>
  <si>
    <t>4. Users and roles</t>
  </si>
  <si>
    <t>Roles (a user may hold several; everyone not listed is a Viewer):</t>
  </si>
  <si>
    <t>Viewer   |   read what is visible; export the Dashboard PDF</t>
  </si>
  <si>
    <t>Analyst   |   Viewer + show and export the lines of a company and month (DataView)</t>
  </si>
  <si>
    <t>Preparer   |   Analyst + Refresh, reconciliation totals, nil returns, check explanations, Submit for review</t>
  </si>
  <si>
    <t>Administrator   |   Setup, users and roles, re-open, ColumnID verification, source export, log verification, changelog entries, staging sheets, lock clearing, Refresh, and the administrator tables - after signing in</t>
  </si>
  <si>
    <t>The exact rights are the table tblCommandPermission (sheet Security, very hidden): Command x Role = Y / N.</t>
  </si>
  <si>
    <t>Home &gt; Users and roles (Cmd_ManageUsers; administrator sign-in needed):</t>
  </si>
  <si>
    <t>Choice   |   What it does</t>
  </si>
  <si>
    <t>1 Add a user or role   |   DOMAIN\logon (the domain may be left out for your own domain), display name, roles (comma separated)</t>
  </si>
  <si>
    <t>2 Remove a role   |   The role row is set inactive with ValidTo = today; rows are never deleted. The last active Administrator cannot be removed</t>
  </si>
  <si>
    <t>3 Reset another administrator's password   |   The user sets a new password at the next sign-in (severity HIGH)</t>
  </si>
  <si>
    <t>4 Change your own password   |   New password twice</t>
  </si>
  <si>
    <t>5 Change a command permission   |   Command (e.g. Cmd_RefreshAll, Edit_Recon) and Role=Y or Role=N</t>
  </si>
  <si>
    <t>6 Accept the security tables   |   Only after a review, when the banner says the role table was modified outside the application (section 9)</t>
  </si>
  <si>
    <t>Every change logs a SECURITY event with the old and new value, the list of active Administrators and the checksum of the security tables. Keep at least two Administrators.</t>
  </si>
  <si>
    <t>5. Administrator password</t>
  </si>
  <si>
    <t>• Each Administrator has an own password; there are no shared role passwords. Sign-in = Windows identity + that password.</t>
  </si>
  <si>
    <t>• Rules: at least 12 characters, not containing the logon name, not one repeated character. Keep it in a password manager.</t>
  </si>
  <si>
    <t>• Storage: only a salted, iterated hash (PBKDF2-HMAC-SHA256, 600,000 iterations, 16-byte random salt per Administrator) in tblAdminCredential. The password itself is never stored, never written into code or documentation and never logged.</t>
  </si>
  <si>
    <t>• Five wrong passwords lock the sign-in for 30 minutes. Every attempt, successful or not, is logged.</t>
  </si>
  <si>
    <t>• A sign-in lasts 30 minutes and is renewed by every administrator action; Administrator sign-out ends it.</t>
  </si>
  <si>
    <t>• Switching FourEyesRequired off asks for the password once more and is logged with severity HIGH.</t>
  </si>
  <si>
    <t>• Recovery. Another Administrator resets the password (Users and roles &gt; 3); the user sets a new one at the next sign-in. If no other Administrator can sign in, IT restores the platform folder from backup. There is no master password and no other way in.</t>
  </si>
  <si>
    <t>6. IT request - folder permissions</t>
  </si>
  <si>
    <t>Send this to IT when the platform is installed or a user joins or leaves. It assumes four directory groups; the roles inside the workbook are still assigned per user in Users and roles.</t>
  </si>
  <si>
    <t>Subject: Actuarial Closing Platform - folder permissions</t>
  </si>
  <si>
    <t>Please create the groups ACP-Users (every platform user), ACP-Preparers, ACP-Reviewers and ACP-Admins, and set these NTFS permissions (inheritance to sub-folders and files):</t>
  </si>
  <si>
    <t>Folder   |   ACP-Users   |   ACP-Preparers   |   ACP-Reviewers   |   ACP-Admins</t>
  </si>
  <si>
    <t>Source folder (company files)   |   Read &amp; execute   |   Read &amp; execute   |   Read &amp; execute   |   Read &amp; execute</t>
  </si>
  <si>
    <t>Platform folder (workbook, ACP_Settings.ini)   |   Read &amp; execute   |   Modify   |   Modify   |   Modify</t>
  </si>
  <si>
    <t>Platform\Archive   |   Read &amp; execute   |   Read &amp; execute + Write (no Delete)   |   Read &amp; execute + Write (no Delete)   |   Modify</t>
  </si>
  <si>
    <t>Platform\Log   |   Read &amp; execute + Create files (no Delete, no overwrite)   |   Read &amp; execute + Write (no Delete)   |   Read &amp; execute + Write (no Delete)   |   Modify</t>
  </si>
  <si>
    <t>Platform\Export   |   Modify   |   Modify   |   Modify   |   Modify</t>
  </si>
  <si>
    <t>Platform\src   |   -   |   -   |   -   |   Modify</t>
  </si>
  <si>
    <t>Delete in Archive and Log is granted to ACP-Admins only. Please make the platform folder a Trusted Location for the members of ACP-Users (Excel Trust Center, "Allow Trusted Locations on my network"), or sign the VBA project with the organisation's code-signing certificate. Please back up the platform folder daily and keep the backups of Archive and Log for at least ten years.</t>
  </si>
  <si>
    <t>Notes for the Administrator:</t>
  </si>
  <si>
    <t>• Modify on the platform folder is needed by everyone who changes the platform: Excel saves through a temporary file, and long commands write and remove ACP.lock there.</t>
  </si>
  <si>
    <t>• Create files for all users on Log: the platform writes one read-only file per event, including the denied attempts of Viewers and Analysts, who open the workbook read-only. If IT allows only Read for ACP-Users on Log, those events stay in the users' sessions and are not kept.</t>
  </si>
  <si>
    <t>• Setup checks the access of the Administrator who runs it. For the other roles, test once with a Preparer and a Reviewer account: the banner must not say read-only, and Refresh must answer OK.</t>
  </si>
  <si>
    <t>7. Moving the platform</t>
  </si>
  <si>
    <t>2. Open the workbook at the new place. The red COPY banner appears.</t>
  </si>
  <si>
    <t>3. Home &gt; Setup. Answer Yes to "Has the platform been moved here?", check the folders (pick the source folder again if it moved) and finish. The new PlatformHomePath is logged.</t>
  </si>
  <si>
    <t>4. Make the old folder read-only and keep it as evidence; never delete the old Log folder before the new one holds all ACT_*.csv files.</t>
  </si>
  <si>
    <t>8. FX manual mode</t>
  </si>
  <si>
    <t>When the CBRT bulletins cannot be reached (FX_FETCH REVIEW, or Setup's FX check failed):</t>
  </si>
  <si>
    <t>1. Sign in. Parameters: FXAutoFetch = N.</t>
  </si>
  <si>
    <t>2. Sheet FX, tblFXRate: add one row per business day and currency - RateDate, CurrencyCode (ISO), RateToTRY (TRY per 1 unit, the CBRT forex buying rate), Source ("CBRT ForexBuying bulletin &lt;number&gt; (manual, &lt;your name&gt;)"). Source: www.tcmb.gov.tr/kurlar.</t>
  </si>
  <si>
    <t>3. Refresh. FX_FETCH reports that the automatic fetch is off; FX_RATES must be OK.</t>
  </si>
  <si>
    <t>4. When the connection works again, set FXAutoFetch = Y: the next Refresh fetches every bulletin after the last stored rate.</t>
  </si>
  <si>
    <t>9. Security review (red banner)</t>
  </si>
  <si>
    <t>"Role table modified outside the application - Administrator must review" means the security tables differ from the last signed state, or the ActivityLog chain is broken. Everyone is a Viewer until it is resolved.</t>
  </si>
  <si>
    <t>1. Sign in (only the Administrators of the last signed state can).</t>
  </si>
  <si>
    <t>2. Users and roles &gt; 6 shows the reason and the current users. Compare them with the last SECURITY event in the external log folder (the ACT_*.csv files are authoritative).</t>
  </si>
  <si>
    <t>3. If the tables are right: accept (logged with severity HIGH). If not, or if the ActivityLog chain is broken: do not accept; IT restores the platform folder from the last good backup.</t>
  </si>
  <si>
    <t>10. Other administrator tasks</t>
  </si>
  <si>
    <t>• Stale lock. A lock file older than 2 hours (a crashed session): Home &gt; Clear lock (logged with severity HIGH).</t>
  </si>
  <si>
    <t>• Changelog. Home &gt; Add changelog entry: version, what, why, components, breaking changes. Your name and DOMAIN\logon are stamped; typing in tblChangelog is reverted.</t>
  </si>
  <si>
    <t>• Source export. Home &gt; Export source code writes src\pq, src\vba and src\contract into SourceCodeFolder. The VBA part needs "Trust access to the VBA project object model" and an unlocked project (unlock it for the session in the VBA editor); otherwise it is skipped with a note.</t>
  </si>
  <si>
    <t>• Drill-through limit. Double-clicking a Data Model pivot value lists at most 1,000 rows; the governed way to list lines is DataView. The limit can be raised by hand: Data &gt; Queries &amp; Connections &gt; ThisWorkbookDataModel &gt; Properties &gt; Usage (D49).</t>
  </si>
  <si>
    <t>11. Locking the VBA project (owner)</t>
  </si>
  <si>
    <t>The VBA project is locked for viewing after the source export of a release. The password is chosen by the owner and never stored in the workbook, the source export, the documentation or any log. There is no scripted way to set it; do it by hand:</t>
  </si>
  <si>
    <t>1. Make sure nobody else has the platform file open. Open it with macros enabled.</t>
  </si>
  <si>
    <t>2. Press Alt+F11 (VBA editor). Tools &gt; VBAProject Properties &gt; tab Protection.</t>
  </si>
  <si>
    <t>3. Tick "Lock project for viewing", type the password twice, OK.</t>
  </si>
  <si>
    <t>4. Close the VBA editor and save the workbook (Ctrl+S; the platform keeps only the Start sheet visible in the saved file). Close Excel.</t>
  </si>
  <si>
    <t>5. Re-open the file: the platform works as before; the VBA editor now asks for the password to show the code.</t>
  </si>
  <si>
    <t>6. Keep the password in the organisation's password vault, with a deputy.</t>
  </si>
  <si>
    <t>7. Check: Home &gt; Export source code (Administrator) exports the queries and the contract; the VBA part reports that the project is locked, unless you unlock it for the session in the VBA editor first.</t>
  </si>
  <si>
    <t>12. Backup and restore</t>
  </si>
  <si>
    <t>13. Open items (Backlog)</t>
  </si>
  <si>
    <t>s:Period</t>
  </si>
  <si>
    <t>s:ActivePeriod</t>
  </si>
  <si>
    <t>s:Integer YYYYMM</t>
  </si>
  <si>
    <t>s:The month being closed. Only its files are opened from the source folder. Set by Setup; advanced by Close period (Cmd_ClosePeriod) - never changed by hand except for a documented re-open.</t>
  </si>
  <si>
    <t>s:Integer avoids locale-dependent date entry; validated 200001-209912, month 01-12 (A20).</t>
  </si>
  <si>
    <t>s:ArchiveStartPeriod</t>
  </si>
  <si>
    <t>s:Location</t>
  </si>
  <si>
    <t>s:SourceFolder</t>
  </si>
  <si>
    <t>s:Folder (UNC) - written by VBA</t>
  </si>
  <si>
    <t>s:Root of the company payment files; every sub-folder is read. Comes from ACP_Settings.ini (Setup): do not type here.</t>
  </si>
  <si>
    <t>s:Read access for every platform user; the companies deliver their files there.</t>
  </si>
  <si>
    <t>s:PlatformFolder</t>
  </si>
  <si>
    <t>s:Folder that holds the platform folders (Archive, Log, Export, src). Comes from ACP_Settings.ini.</t>
  </si>
  <si>
    <t>s:Default: the workbook folder.</t>
  </si>
  <si>
    <t>s:ArchiveFolder</t>
  </si>
  <si>
    <t>s:LogFolder</t>
  </si>
  <si>
    <t>s:External ActivityLog: the authoritative copy, one read-only CSV per event. Comes from ACP_Settings.ini.</t>
  </si>
  <si>
    <t>s:Outside the source folder; files are added, never changed or deleted.</t>
  </si>
  <si>
    <t>s:ExportFolder</t>
  </si>
  <si>
    <t>s:PDFs, closing packs and company-month extracts (VBA only). Comes from ACP_Settings.ini.</t>
  </si>
  <si>
    <t>s:Shared with the team.</t>
  </si>
  <si>
    <t>s:SourceCodeFolder</t>
  </si>
  <si>
    <t>s:Target of Export source code (Cmd_ExportSourceCode): pq, vba and contract sub-folders. Comes from ACP_Settings.ini.</t>
  </si>
  <si>
    <t>s:Version control of the queries and the code.</t>
  </si>
  <si>
    <t>s:PlatformHomePath</t>
  </si>
  <si>
    <t>s:Full path (UNC) - written by VBA</t>
  </si>
  <si>
    <t>s:Registered location of this workbook. A file opened anywhere else is a COPY: commands that change data are disabled. Comes from ACP_Settings.ini.</t>
  </si>
  <si>
    <t>s:Location watchdog (D53).</t>
  </si>
  <si>
    <t>s:SetupCompletedOn</t>
  </si>
  <si>
    <t>s:Timestamp - written by VBA</t>
  </si>
  <si>
    <t>s:When Setup last completed (ACP_Settings.ini). Empty = Setup not completed.</t>
  </si>
  <si>
    <t>s:Drives the Home banner and checklist.</t>
  </si>
  <si>
    <t>s:SetupCompletedBy</t>
  </si>
  <si>
    <t>s:DOMAIN\logon - written by VBA</t>
  </si>
  <si>
    <t>s:Administrator who last completed Setup.</t>
  </si>
  <si>
    <t>s:Evidence of who configured the installation.</t>
  </si>
  <si>
    <t>s:File recognition</t>
  </si>
  <si>
    <t>s:FilePrefix</t>
  </si>
  <si>
    <t>s:COMP</t>
  </si>
  <si>
    <t>s:Text</t>
  </si>
  <si>
    <t>s:Source file names start with this text.</t>
  </si>
  <si>
    <t>s:Naming agreed with the companies: COMP&lt;CompanyID&gt;PAY&lt;MMYYYY&gt;.xlsx.</t>
  </si>
  <si>
    <t>s:FileInfix</t>
  </si>
  <si>
    <t>s:PAY</t>
  </si>
  <si>
    <t>s:Separator between the CompanyID digits and MMYYYY.</t>
  </si>
  <si>
    <t>s:Same naming convention.</t>
  </si>
  <si>
    <t>s:FileExtension</t>
  </si>
  <si>
    <t>s:.xlsx</t>
  </si>
  <si>
    <t>s:A .xls / .csv copy shows as NEAR-MISS instead of being read with other parsing rules.</t>
  </si>
  <si>
    <t>s:ArchiveFilePrefix</t>
  </si>
  <si>
    <t>s:ARCHIVE_PAY_</t>
  </si>
  <si>
    <t>s:ControlsFilePrefix</t>
  </si>
  <si>
    <t>s:CONTROLS_PAY_</t>
  </si>
  <si>
    <t>s:Standardisation</t>
  </si>
  <si>
    <t>s:SourceCulture</t>
  </si>
  <si>
    <t>s:tr-TR</t>
  </si>
  <si>
    <t>s:Text: culture code</t>
  </si>
  <si>
    <t>s:Culture used to read numbers and dates that source files hold as TEXT.</t>
  </si>
  <si>
    <t>s:Turkish files write 1.234,56 and dd.mm.yyyy; typed Excel cells are culture-independent anyway.</t>
  </si>
  <si>
    <t>s:ReportingCurrency</t>
  </si>
  <si>
    <t>s:TRY</t>
  </si>
  <si>
    <t>s:Text: ISO code</t>
  </si>
  <si>
    <t>s:Currency of the *TRY amounts (rate = 1).</t>
  </si>
  <si>
    <t>s:Group reporting currency.</t>
  </si>
  <si>
    <t>s:DimDateStartYear</t>
  </si>
  <si>
    <t>n:2000</t>
  </si>
  <si>
    <t>s:Integer</t>
  </si>
  <si>
    <t>s:First year of DimDate and oldest plausible date (check DATES).</t>
  </si>
  <si>
    <t>s:Covers loss dates of long-tail claims; older dates are flagged, not dropped.</t>
  </si>
  <si>
    <t>s:DimDateEndYear</t>
  </si>
  <si>
    <t>n:2030</t>
  </si>
  <si>
    <t>s:Last year of DimDate; later dates are flagged (check DATES).</t>
  </si>
  <si>
    <t>s:Catches typos such as year 2062.</t>
  </si>
  <si>
    <t>s:DuplicateKeyColumns</t>
  </si>
  <si>
    <t>s:CompanyID,CaseNo,CoverCode,InstallmentSeq,PaymentVoucherNo</t>
  </si>
  <si>
    <t>s:Text: comma list</t>
  </si>
  <si>
    <t>s:Canonical fields forming the business key of a payment line (check DUP_KEYS).</t>
  </si>
  <si>
    <t>s:A repeated CaseNo is an installment; the key adds cover, installment and voucher (A11).</t>
  </si>
  <si>
    <t>s:ChronologyChain</t>
  </si>
  <si>
    <t>s:LossDate,NotificationDate,DecisionDate,PaymentDate</t>
  </si>
  <si>
    <t>s:Dates that must not decrease, in this order (check CHRONOLOGY).</t>
  </si>
  <si>
    <t>s:Business rule of the department; configurable without editing a query.</t>
  </si>
  <si>
    <t>s:FXMaxCarryForwardDays</t>
  </si>
  <si>
    <t>n:10</t>
  </si>
  <si>
    <t>s:Maximum days a published FX rate is carried over weekends / holidays.</t>
  </si>
  <si>
    <t>s:Longest Turkish holiday bridge is about 9 days; older rates are treated as missing (A8).</t>
  </si>
  <si>
    <t>s:FX</t>
  </si>
  <si>
    <t>s:FXSource</t>
  </si>
  <si>
    <t>s:CBRT_XML</t>
  </si>
  <si>
    <t>s:Text: CBRT_XML / Manual</t>
  </si>
  <si>
    <t>s:Automatic FX source. CBRT_XML = the daily bulletin files of the Central Bank of the Republic of Turkey; Manual = no fetch, rates are typed on sheet FX.</t>
  </si>
  <si>
    <t>s:No API key needed; the only automatic source (D35).</t>
  </si>
  <si>
    <t>s:FXSourceUrl</t>
  </si>
  <si>
    <t>s:https://www.tcmb.gov.tr/kurlar/</t>
  </si>
  <si>
    <t>s:Text: URL</t>
  </si>
  <si>
    <t>s:Address of the CBRT daily bulletins (folder with yyyyMM/ddMMyyyy.xml files).</t>
  </si>
  <si>
    <t>s:A changed address needs no query change.</t>
  </si>
  <si>
    <t>s:FXRateType</t>
  </si>
  <si>
    <t>s:ForexBuying</t>
  </si>
  <si>
    <t>s:Text: CBRT bulletin field</t>
  </si>
  <si>
    <t>s:Rate taken from each bulletin (divided by its Unit).</t>
  </si>
  <si>
    <t>s:A8: forex buying rate of the payment date.</t>
  </si>
  <si>
    <t>s:FXAutoFetch</t>
  </si>
  <si>
    <t>s:Y</t>
  </si>
  <si>
    <t>s:Text: Y / N</t>
  </si>
  <si>
    <t>s:Y = Refresh fetches every missing weekday bulletin up to today and appends it to tblFXRate. Setup sets N when the CBRT cannot be reached.</t>
  </si>
  <si>
    <t>s:Each bulletin is downloaded once; only dates leave the workbook (D34).</t>
  </si>
  <si>
    <t>s:FXFetchFromDate</t>
  </si>
  <si>
    <t>s:Date</t>
  </si>
  <si>
    <t>s:First day to fetch when tblFXRate is empty.</t>
  </si>
  <si>
    <t>s:Used only when no rate is stored.</t>
  </si>
  <si>
    <t>s:Reconciliation</t>
  </si>
  <si>
    <t>s:ReconBasis</t>
  </si>
  <si>
    <t>s:GrossAmount</t>
  </si>
  <si>
    <t>s:Text: GrossAmount / NetAmount</t>
  </si>
  <si>
    <t>s:Model amount compared with the independent total.</t>
  </si>
  <si>
    <t>s:Ledgers normally book the gross payment; switch to NetAmount if yours books net.</t>
  </si>
  <si>
    <t>s:ReconAbsTolerance</t>
  </si>
  <si>
    <t>n:1</t>
  </si>
  <si>
    <t>s:Number (currency units)</t>
  </si>
  <si>
    <t>s:Absolute tolerance per company x currency.</t>
  </si>
  <si>
    <t>s:Rounding noise over 1,000 lines has sd ~0.09, so 1.00 gives no false alarms, yet one missing payment line always breaches it (A10).</t>
  </si>
  <si>
    <t>s:ReconRelTolerance</t>
  </si>
  <si>
    <t>n:0</t>
  </si>
  <si>
    <t>s:Fraction (0 = off)</t>
  </si>
  <si>
    <t>s:Relative tolerance as a fraction of |independent total|; applied as MAX(abs, rel x total).</t>
  </si>
  <si>
    <t>s:Off: a percentage of a large company's total can exceed a whole claim (A10).</t>
  </si>
  <si>
    <t>s:Policy</t>
  </si>
  <si>
    <t>s:OutlierThresholdTRY</t>
  </si>
  <si>
    <t>n:5000000</t>
  </si>
  <si>
    <t>s:Number (TRY)</t>
  </si>
  <si>
    <t>s:Payment lines with GrossAmountTRY at or above this amount must be reviewed (check OUTLIERS).</t>
  </si>
  <si>
    <t>s:Set by the Head of Actuarial Closing (D38).</t>
  </si>
  <si>
    <t>s:FourEyesRequired</t>
  </si>
  <si>
    <t>s:Text: Y / N (Administrator only)</t>
  </si>
  <si>
    <t>s:Y = the period must be closed by a different Windows user than the one who submitted it. N = waiver: needs the administrator password again and is logged with severity HIGH; check FOUR_EYES stays REVIEW.</t>
  </si>
  <si>
    <t>s:Segregation of duties (D39, D60).</t>
  </si>
  <si>
    <t>s:Detail view</t>
  </si>
  <si>
    <t>s:ViewCompany</t>
  </si>
  <si>
    <t>s:Company of the detail view (written by Show lines / Cmd_ViewCompanyMonth).</t>
  </si>
  <si>
    <t>s:Set through the DataView inputs, not here.</t>
  </si>
  <si>
    <t>s:ViewPeriod</t>
  </si>
  <si>
    <t>s:Period of the detail view (written by Show lines / Cmd_ViewCompanyMonth).</t>
  </si>
  <si>
    <t>s:Active period or a closed month.</t>
  </si>
  <si>
    <t>s:Platform</t>
  </si>
  <si>
    <t>s:PlatformVersion</t>
  </si>
  <si>
    <t>s:3.0.0</t>
  </si>
  <si>
    <t>s:Semantic versioning (Changelog).</t>
  </si>
  <si>
    <t>s:InterfaceContractVersion</t>
  </si>
  <si>
    <t>s:A breaking rename raises the major version.</t>
  </si>
  <si>
    <t>s:DashboardPeriodSlicer</t>
  </si>
  <si>
    <t>s:Slicer_YearMonth</t>
  </si>
  <si>
    <t>s:Text: slicer name</t>
  </si>
  <si>
    <t>s:Year-month slicer of the Dashboard; Refresh selects the active period in it.</t>
  </si>
  <si>
    <t>s:Keeps the KPI cards on the month being closed.</t>
  </si>
  <si>
    <t>s:DOSYANO</t>
  </si>
  <si>
    <t>s:CaseNo</t>
  </si>
  <si>
    <t>s:C001</t>
  </si>
  <si>
    <t>s:text</t>
  </si>
  <si>
    <t>s:N</t>
  </si>
  <si>
    <t>s:1 Core</t>
  </si>
  <si>
    <t>s:Claim/case file number (dosya no). Business key, always text so leading zeros survive. A repeated CaseNo is an installment or partial payment, never a duplicate by itself.</t>
  </si>
  <si>
    <t>s:ODEMETARIHI</t>
  </si>
  <si>
    <t>s:PaymentDate</t>
  </si>
  <si>
    <t>s:C002</t>
  </si>
  <si>
    <t>s:date</t>
  </si>
  <si>
    <t>s:Date the payment was made. Drives the ACTIVE relationship to DimDate, the FX-rate lookup and the 'payment outside file period' check.</t>
  </si>
  <si>
    <t>s:ODEMEKARARTARIHI</t>
  </si>
  <si>
    <t>s:DecisionDate</t>
  </si>
  <si>
    <t>s:C003</t>
  </si>
  <si>
    <t>s:Payment decision date (odeme karar tarihi). Third link of the chronology chain.</t>
  </si>
  <si>
    <t>s:HASARTARIHI</t>
  </si>
  <si>
    <t>s:LossDate</t>
  </si>
  <si>
    <t>s:C004</t>
  </si>
  <si>
    <t>s:Loss / event date (hasar tarihi). Inactive relationship to DimDate for incurred (accident-period) views; first link of the chronology chain.</t>
  </si>
  <si>
    <t>s:IHBARTARIHI</t>
  </si>
  <si>
    <t>s:NotificationDate</t>
  </si>
  <si>
    <t>s:C005</t>
  </si>
  <si>
    <t>s:Notification date (ihbar tarihi). Inactive relationship to DimDate; start of 'days from notification to payment'.</t>
  </si>
  <si>
    <t>s:URUNKOD</t>
  </si>
  <si>
    <t>s:ProductCode</t>
  </si>
  <si>
    <t>s:C006</t>
  </si>
  <si>
    <t>s:2 Analytical</t>
  </si>
  <si>
    <t>s:Product code - slicing dimension.</t>
  </si>
  <si>
    <t>s:ALTBRANSADI</t>
  </si>
  <si>
    <t>s:SubBranchName</t>
  </si>
  <si>
    <t>s:C007</t>
  </si>
  <si>
    <t>s:Branch-type classification: out of scope for phase 1 by decision, kept traceable here. To activate, set IncludeInModel = Y on every row of this field and refresh - no query change.</t>
  </si>
  <si>
    <t>s:ALTBRANSKODU</t>
  </si>
  <si>
    <t>s:SubBranchCode</t>
  </si>
  <si>
    <t>s:C008</t>
  </si>
  <si>
    <t>s:ILKPOLICENO</t>
  </si>
  <si>
    <t>s:OriginalPolicyNo</t>
  </si>
  <si>
    <t>s:C009</t>
  </si>
  <si>
    <t>s:5 Not modelled</t>
  </si>
  <si>
    <t>s:First policy number of a renewal chain - only needed for renewal-chain analysis.</t>
  </si>
  <si>
    <t>s:HASARNEDENI</t>
  </si>
  <si>
    <t>s:LossCause</t>
  </si>
  <si>
    <t>s:C010</t>
  </si>
  <si>
    <t>s:Cause of loss (hasar nedeni).</t>
  </si>
  <si>
    <t>s:SIGORTALI</t>
  </si>
  <si>
    <t>s:InsuredName</t>
  </si>
  <si>
    <t>s:C011</t>
  </si>
  <si>
    <t>s:4 Personal data</t>
  </si>
  <si>
    <t>s:Full name of the insured - direct identifier (KVKK Art. 3). Blocked from the model.</t>
  </si>
  <si>
    <t>s:ODEMEKIME</t>
  </si>
  <si>
    <t>s:PayeeName</t>
  </si>
  <si>
    <t>s:C012</t>
  </si>
  <si>
    <t>s:Name of the payee (odeme kime), usually a person - direct identifier. Blocked.</t>
  </si>
  <si>
    <t>s:ODEMEMIKTARI</t>
  </si>
  <si>
    <t>s:C013</t>
  </si>
  <si>
    <t>s:amount</t>
  </si>
  <si>
    <t>s:Payment amount in CurrencyCode (odeme miktari). Basis of 'total payments' and of the reconciliation (parameter ReconBasis).</t>
  </si>
  <si>
    <t>s:DOVIZCINSI</t>
  </si>
  <si>
    <t>s:CurrencyCode</t>
  </si>
  <si>
    <t>s:C014</t>
  </si>
  <si>
    <t>s:Payment currency, normalised to an ISO code through tblCurrencyAlias (TL/YTL -&gt; TRY).</t>
  </si>
  <si>
    <t>s:HESAPADI</t>
  </si>
  <si>
    <t>s:AccountHolderName</t>
  </si>
  <si>
    <t>s:C015</t>
  </si>
  <si>
    <t>s:Bank account holder name - direct identifier. Blocked.</t>
  </si>
  <si>
    <t>s:EVRAKTAMAMLANMATARIHI</t>
  </si>
  <si>
    <t>s:DocsCompleteDate</t>
  </si>
  <si>
    <t>s:C016</t>
  </si>
  <si>
    <t>s:Date the documents were complete (evrak tamamlanma). Natural next candidate for a payment-SLA KPI (phase 2).</t>
  </si>
  <si>
    <t>s:ILKMUALLAK</t>
  </si>
  <si>
    <t>s:InitialReserve</t>
  </si>
  <si>
    <t>s:C017</t>
  </si>
  <si>
    <t>s:Initial case reserve (ilk muallak). Useful for reserve-adequacy studies; not needed by the phase-1 KPIs.</t>
  </si>
  <si>
    <t>s:TEMINATTUTARI</t>
  </si>
  <si>
    <t>s:CoverAmount</t>
  </si>
  <si>
    <t>s:C018</t>
  </si>
  <si>
    <t>s:Cover amount (teminat tutari).</t>
  </si>
  <si>
    <t>s:PARTNER</t>
  </si>
  <si>
    <t>s:PartnerName</t>
  </si>
  <si>
    <t>s:C019</t>
  </si>
  <si>
    <t>s:Distribution partner (a legal entity, not personal data). Not needed in phase 1.</t>
  </si>
  <si>
    <t>s:MUSTERINO</t>
  </si>
  <si>
    <t>s:CustomerNo</t>
  </si>
  <si>
    <t>s:C020</t>
  </si>
  <si>
    <t>s:Customer number - indirect identifier that leads straight to a person in the source systems. Blocked.</t>
  </si>
  <si>
    <t>s:ODENEBILIRMAXTAZSAYISI</t>
  </si>
  <si>
    <t>s:MaxPayableCount</t>
  </si>
  <si>
    <t>s:C021</t>
  </si>
  <si>
    <t>s:integer</t>
  </si>
  <si>
    <t>s:Maximum number of payable indemnities. Could support an alternative partial-payment definition.</t>
  </si>
  <si>
    <t>s:ODENENTAZMINATSAYISI</t>
  </si>
  <si>
    <t>s:PaidCount</t>
  </si>
  <si>
    <t>s:C022</t>
  </si>
  <si>
    <t>s:Number of indemnities already paid.</t>
  </si>
  <si>
    <t>s:ONAYTARIHI</t>
  </si>
  <si>
    <t>s:ApprovalDate</t>
  </si>
  <si>
    <t>s:C023</t>
  </si>
  <si>
    <t>s:Approval date (onay tarihi). Overlaps DecisionDate - confirm the difference with the source owner before use.</t>
  </si>
  <si>
    <t>s:YENILEMENO</t>
  </si>
  <si>
    <t>s:RenewalNo</t>
  </si>
  <si>
    <t>s:C024</t>
  </si>
  <si>
    <t>s:Renewal number.</t>
  </si>
  <si>
    <t>s:SIGORTALITCKNO</t>
  </si>
  <si>
    <t>s:InsuredNationalID</t>
  </si>
  <si>
    <t>s:C025</t>
  </si>
  <si>
    <t>s:T.C. Kimlik No (national ID). DataType text so it could never lose leading zeros, but it is never loaded.</t>
  </si>
  <si>
    <t>s:KAYNAKADI</t>
  </si>
  <si>
    <t>s:SourceName</t>
  </si>
  <si>
    <t>s:C026</t>
  </si>
  <si>
    <t>s:Meaning unverified (source system or channel?).</t>
  </si>
  <si>
    <t>s:NETODENEN</t>
  </si>
  <si>
    <t>s:NetAmount</t>
  </si>
  <si>
    <t>s:C027</t>
  </si>
  <si>
    <t>s:Net amount paid after deductions (deductible, withholding) as delivered by the source - basis of 'net payments'.</t>
  </si>
  <si>
    <t>s:URUNAD</t>
  </si>
  <si>
    <t>s:ProductName</t>
  </si>
  <si>
    <t>s:C028</t>
  </si>
  <si>
    <t>s:Product name.</t>
  </si>
  <si>
    <t>s:DOSYADURUMU</t>
  </si>
  <si>
    <t>s:CaseStatus</t>
  </si>
  <si>
    <t>s:C029</t>
  </si>
  <si>
    <t>s:Case status (dosya durumu).</t>
  </si>
  <si>
    <t>s:STATUDETAY</t>
  </si>
  <si>
    <t>s:StatusDetail</t>
  </si>
  <si>
    <t>s:C030</t>
  </si>
  <si>
    <t>s:Status detail.</t>
  </si>
  <si>
    <t>s:TEMINATKODU</t>
  </si>
  <si>
    <t>s:CoverCode</t>
  </si>
  <si>
    <t>s:C031</t>
  </si>
  <si>
    <t>s:Cover (teminat) code. Part of the duplicate-key definition: one installment may pay several covers.</t>
  </si>
  <si>
    <t>s:TAKSIT_SEQ</t>
  </si>
  <si>
    <t>s:InstallmentSeq</t>
  </si>
  <si>
    <t>s:C032</t>
  </si>
  <si>
    <t>s:Installment / partial-payment sequence (taksit sirasi). Distinguishes legitimate repeated case numbers; part of the duplicate key.</t>
  </si>
  <si>
    <t>s:PARTNERPOLICENO</t>
  </si>
  <si>
    <t>s:PartnerPolicyNo</t>
  </si>
  <si>
    <t>s:C033</t>
  </si>
  <si>
    <t>s:Partner's policy number.</t>
  </si>
  <si>
    <t>s:BRANSKOD</t>
  </si>
  <si>
    <t>s:BranchCode</t>
  </si>
  <si>
    <t>s:C034</t>
  </si>
  <si>
    <t>s:IHBARKANAL</t>
  </si>
  <si>
    <t>s:NotificationChannel</t>
  </si>
  <si>
    <t>s:C035</t>
  </si>
  <si>
    <t>s:Notification channel.</t>
  </si>
  <si>
    <t>s:HASARILCE</t>
  </si>
  <si>
    <t>s:LossDistrict</t>
  </si>
  <si>
    <t>s:C036</t>
  </si>
  <si>
    <t>s:District of loss. Also a quasi-identifier in combination with dates - keep out unless needed.</t>
  </si>
  <si>
    <t>s:PARTNERKODU</t>
  </si>
  <si>
    <t>s:PartnerCode</t>
  </si>
  <si>
    <t>s:C037</t>
  </si>
  <si>
    <t>s:Partner code.</t>
  </si>
  <si>
    <t>s:ODEMEMIKTARI_REPAY</t>
  </si>
  <si>
    <t>s:RepaymentAmount</t>
  </si>
  <si>
    <t>s:C038</t>
  </si>
  <si>
    <t>s:Semantics unverified (refund, recovery or reversal?). Confirm before modelling.</t>
  </si>
  <si>
    <t>s:ISKOLUKODU</t>
  </si>
  <si>
    <t>s:LineOfBusinessCode</t>
  </si>
  <si>
    <t>s:C039</t>
  </si>
  <si>
    <t>s:Line of business (is kolu) is a branch-type classification: out of scope together with branches. out of scope for phase 1 by decision, kept traceable here. To activate, set IncludeInModel = Y on every row of this field and refresh - no query change.</t>
  </si>
  <si>
    <t>s:POLICEVADESI</t>
  </si>
  <si>
    <t>s:PolicyTerm</t>
  </si>
  <si>
    <t>s:C040</t>
  </si>
  <si>
    <t>s:Policy term - unit unknown (years or months), kept as text.</t>
  </si>
  <si>
    <t>s:PLANLANANODEMETARIHI</t>
  </si>
  <si>
    <t>s:PlannedPaymentDate</t>
  </si>
  <si>
    <t>s:C041</t>
  </si>
  <si>
    <t>s:Planned payment date.</t>
  </si>
  <si>
    <t>s:TOPLAMTEMINAT</t>
  </si>
  <si>
    <t>s:TotalSumInsured</t>
  </si>
  <si>
    <t>s:C042</t>
  </si>
  <si>
    <t>s:Total sum insured.</t>
  </si>
  <si>
    <t>s:USTBRANSADI</t>
  </si>
  <si>
    <t>s:ParentBranchName</t>
  </si>
  <si>
    <t>s:C043</t>
  </si>
  <si>
    <t>s:SATISKANALIKODU</t>
  </si>
  <si>
    <t>s:SalesChannelCode</t>
  </si>
  <si>
    <t>s:C044</t>
  </si>
  <si>
    <t>s:Sales channel code.</t>
  </si>
  <si>
    <t>s:VEFAT_KOD</t>
  </si>
  <si>
    <t>s:DeathCauseCode</t>
  </si>
  <si>
    <t>s:C045</t>
  </si>
  <si>
    <t>s:Cause of death = health data, a special category of personal data (KVKK Art. 6). Blocked.</t>
  </si>
  <si>
    <t>s:UW_KONUMU</t>
  </si>
  <si>
    <t>s:UnderwritingStatus</t>
  </si>
  <si>
    <t>s:C046</t>
  </si>
  <si>
    <t>s:Underwriting status.</t>
  </si>
  <si>
    <t>s:COINSURANCEADI</t>
  </si>
  <si>
    <t>s:CoinsurerName</t>
  </si>
  <si>
    <t>s:C047</t>
  </si>
  <si>
    <t>s:Co-insurer name.</t>
  </si>
  <si>
    <t>s:MUACCELIYETTAR</t>
  </si>
  <si>
    <t>s:DueDate</t>
  </si>
  <si>
    <t>s:C048</t>
  </si>
  <si>
    <t>s:Date the claim became due (muacceliyet).</t>
  </si>
  <si>
    <t>s:MENFAATTARTIP</t>
  </si>
  <si>
    <t>s:BeneficiaryType</t>
  </si>
  <si>
    <t>s:C049</t>
  </si>
  <si>
    <t>s:Beneficiary type.</t>
  </si>
  <si>
    <t>s:VEFAT_ACIKLAMA</t>
  </si>
  <si>
    <t>s:DeathCauseDescription</t>
  </si>
  <si>
    <t>s:C050</t>
  </si>
  <si>
    <t>s:Cause-of-death text = health data (KVKK Art. 6, special category). Blocked.</t>
  </si>
  <si>
    <t>s:BANKANO</t>
  </si>
  <si>
    <t>s:BankNo</t>
  </si>
  <si>
    <t>s:C051</t>
  </si>
  <si>
    <t>s:Ambiguous (bank code or account number) - treated as an account identifier (conservative) until confirmed.</t>
  </si>
  <si>
    <t>s:POLICENO</t>
  </si>
  <si>
    <t>s:PolicyNo</t>
  </si>
  <si>
    <t>s:C052</t>
  </si>
  <si>
    <t>s:Policy / contract number. Text - leading zeros kept.</t>
  </si>
  <si>
    <t>s:ORAN</t>
  </si>
  <si>
    <t>s:Rate</t>
  </si>
  <si>
    <t>s:C053</t>
  </si>
  <si>
    <t>s:decimal</t>
  </si>
  <si>
    <t>s:Meaning unverified.</t>
  </si>
  <si>
    <t>s:PARTNERURTKOD</t>
  </si>
  <si>
    <t>s:PartnerProductCode</t>
  </si>
  <si>
    <t>s:C054</t>
  </si>
  <si>
    <t>s:Partner product code.</t>
  </si>
  <si>
    <t>s:SIGORTALIDOGUMTARIHI</t>
  </si>
  <si>
    <t>s:InsuredBirthDate</t>
  </si>
  <si>
    <t>s:C055</t>
  </si>
  <si>
    <t>s:Date of birth - identifies a person together with other fields. Blocked.</t>
  </si>
  <si>
    <t>s:HASARIL</t>
  </si>
  <si>
    <t>s:LossProvince</t>
  </si>
  <si>
    <t>s:C056</t>
  </si>
  <si>
    <t>s:Province of loss.</t>
  </si>
  <si>
    <t>s:POLICEBITTAR</t>
  </si>
  <si>
    <t>s:PolicyEndDate</t>
  </si>
  <si>
    <t>s:C057</t>
  </si>
  <si>
    <t>s:Policy end date.</t>
  </si>
  <si>
    <t>s:HESAPNO</t>
  </si>
  <si>
    <t>s:AccountNo</t>
  </si>
  <si>
    <t>s:C058</t>
  </si>
  <si>
    <t>s:Bank account number - financial account identifier. Blocked.</t>
  </si>
  <si>
    <t>s:BANKAADI</t>
  </si>
  <si>
    <t>s:BankName</t>
  </si>
  <si>
    <t>s:C059</t>
  </si>
  <si>
    <t>s:Bank name alone is not personal data; not needed.</t>
  </si>
  <si>
    <t>s:SAGLIKBEYANFORMU</t>
  </si>
  <si>
    <t>s:HealthDeclaration</t>
  </si>
  <si>
    <t>s:C060</t>
  </si>
  <si>
    <t>s:Health declaration = health data (KVKK Art. 6, special category). Blocked.</t>
  </si>
  <si>
    <t>s:URUNTIP</t>
  </si>
  <si>
    <t>s:ProductType</t>
  </si>
  <si>
    <t>s:C061</t>
  </si>
  <si>
    <t>s:Product type.</t>
  </si>
  <si>
    <t>s:PROMT</t>
  </si>
  <si>
    <t>s:Promt</t>
  </si>
  <si>
    <t>s:C062</t>
  </si>
  <si>
    <t>s:Meaning unknown - confirm with the source owner.</t>
  </si>
  <si>
    <t>s:VERGINUMARASI</t>
  </si>
  <si>
    <t>s:TaxNo</t>
  </si>
  <si>
    <t>s:C063</t>
  </si>
  <si>
    <t>s:Tax number - identifies individuals (conservative). Blocked.</t>
  </si>
  <si>
    <t>s:SIGORTALIYAS</t>
  </si>
  <si>
    <t>s:C064</t>
  </si>
  <si>
    <t>s:Not an identifier, but not needed by the phase-1 KPIs: excluded by data minimisation (KVKK Art. 4).</t>
  </si>
  <si>
    <t>s:TAZMINATTURNEDEN</t>
  </si>
  <si>
    <t>s:ClaimType</t>
  </si>
  <si>
    <t>s:C065</t>
  </si>
  <si>
    <t>s:Indemnity type / reason (tazminat tur/neden), e.g. death, disability, exit.</t>
  </si>
  <si>
    <t>s:CINSIYET</t>
  </si>
  <si>
    <t>s:Gender</t>
  </si>
  <si>
    <t>s:C066</t>
  </si>
  <si>
    <t>s:Not needed by the phase-1 KPIs: excluded by data minimisation.</t>
  </si>
  <si>
    <t>s:IHBSTATUS</t>
  </si>
  <si>
    <t>s:NotificationStatus</t>
  </si>
  <si>
    <t>s:C067</t>
  </si>
  <si>
    <t>s:Notification status.</t>
  </si>
  <si>
    <t>s:ODEMESEKLI</t>
  </si>
  <si>
    <t>s:PaymentMethod</t>
  </si>
  <si>
    <t>s:C068</t>
  </si>
  <si>
    <t>s:Payment method.</t>
  </si>
  <si>
    <t>s:POLICEBASTAR</t>
  </si>
  <si>
    <t>s:PolicyStartDate</t>
  </si>
  <si>
    <t>s:C069</t>
  </si>
  <si>
    <t>s:Policy start date.</t>
  </si>
  <si>
    <t>s:SATISKANALIACIKLAMASI</t>
  </si>
  <si>
    <t>s:SalesChannelName</t>
  </si>
  <si>
    <t>s:C070</t>
  </si>
  <si>
    <t>s:Sales channel description.</t>
  </si>
  <si>
    <t>s:ISKOLUACIKLAMASI</t>
  </si>
  <si>
    <t>s:LineOfBusinessName</t>
  </si>
  <si>
    <t>s:C071</t>
  </si>
  <si>
    <t>s:MUAFIYETTUTAR</t>
  </si>
  <si>
    <t>s:DeductibleAmount</t>
  </si>
  <si>
    <t>s:C072</t>
  </si>
  <si>
    <t>s:Deductible (muafiyet) - explains part of Gross vs Net; phase 2.</t>
  </si>
  <si>
    <t>s:RISKBASTAR</t>
  </si>
  <si>
    <t>s:RiskStartDate</t>
  </si>
  <si>
    <t>s:C073</t>
  </si>
  <si>
    <t>s:Risk start date.</t>
  </si>
  <si>
    <t>s:RISKBITTAR</t>
  </si>
  <si>
    <t>s:RiskEndDate</t>
  </si>
  <si>
    <t>s:C074</t>
  </si>
  <si>
    <t>s:Risk end date.</t>
  </si>
  <si>
    <t>s:IHBARTARIHIYILAY</t>
  </si>
  <si>
    <t>s:NotificationYearMonth</t>
  </si>
  <si>
    <t>s:C075</t>
  </si>
  <si>
    <t>s:Derivable from NotificationDate.</t>
  </si>
  <si>
    <t>s:SIGORTALIMESLEK</t>
  </si>
  <si>
    <t>s:InsuredOccupation</t>
  </si>
  <si>
    <t>s:C076</t>
  </si>
  <si>
    <t>s:Personal attribute but not an identifier; excluded by data minimisation.</t>
  </si>
  <si>
    <t>s:TEDIYENO</t>
  </si>
  <si>
    <t>s:PaymentVoucherNo</t>
  </si>
  <si>
    <t>s:C077</t>
  </si>
  <si>
    <t>s:Payment voucher (tediye) number. Part of the duplicate key when the company provides it.</t>
  </si>
  <si>
    <t>s:ILKEVRAKGELISTAR</t>
  </si>
  <si>
    <t>s:FirstDocumentDate</t>
  </si>
  <si>
    <t>s:C078</t>
  </si>
  <si>
    <t>s:Date the first document arrived.</t>
  </si>
  <si>
    <t>s:ODENEBILIRE_GEC_TAR</t>
  </si>
  <si>
    <t>s:PayableStatusDate</t>
  </si>
  <si>
    <t>s:C079</t>
  </si>
  <si>
    <t>s:Date the case moved to 'payable'.</t>
  </si>
  <si>
    <t>s:IHBAROLUSTURMATARIHI</t>
  </si>
  <si>
    <t>s:NotificationCreatedDate</t>
  </si>
  <si>
    <t>s:C080</t>
  </si>
  <si>
    <t>s:Date the notification record was created.</t>
  </si>
  <si>
    <t>s:IBANNUMARASI</t>
  </si>
  <si>
    <t>s:IBAN</t>
  </si>
  <si>
    <t>s:C081</t>
  </si>
  <si>
    <t>s:IBAN - financial account identifier. Blocked.</t>
  </si>
  <si>
    <t>s:COINSURANCEKOD</t>
  </si>
  <si>
    <t>s:CoinsurerCode</t>
  </si>
  <si>
    <t>s:C082</t>
  </si>
  <si>
    <t>s:Co-insurer code.</t>
  </si>
  <si>
    <t>s:TARIFEKOD</t>
  </si>
  <si>
    <t>s:TariffCode</t>
  </si>
  <si>
    <t>s:C083</t>
  </si>
  <si>
    <t>s:Tariff / plan code.</t>
  </si>
  <si>
    <t>s:SIGORTALINO</t>
  </si>
  <si>
    <t>s:InsuredNo</t>
  </si>
  <si>
    <t>s:C084</t>
  </si>
  <si>
    <t>s:Insured number - identifier. Blocked.</t>
  </si>
  <si>
    <t>s:USTBRANSKODU</t>
  </si>
  <si>
    <t>s:ParentBranchCode</t>
  </si>
  <si>
    <t>s:C085</t>
  </si>
  <si>
    <t>s:POLICEZEYLNO</t>
  </si>
  <si>
    <t>s:EndorsementNo</t>
  </si>
  <si>
    <t>s:C086</t>
  </si>
  <si>
    <t>s:Endorsement (zeyl) number.</t>
  </si>
  <si>
    <t>s:MENFAATTAR_KONTROL</t>
  </si>
  <si>
    <t>s:BeneficiaryCheck</t>
  </si>
  <si>
    <t>s:C087</t>
  </si>
  <si>
    <t>s:Beneficiary check flag.</t>
  </si>
  <si>
    <t>s:EXGRATIANEDENI</t>
  </si>
  <si>
    <t>s:ExGratiaReason</t>
  </si>
  <si>
    <t>s:C088</t>
  </si>
  <si>
    <t>s:Ex-gratia reason.</t>
  </si>
  <si>
    <t>s:Poliçe No / Sözleşme No</t>
  </si>
  <si>
    <t>s:C089</t>
  </si>
  <si>
    <t>s:Alias: policy or (pension) contract number. Policy / contract number. Text - leading zeros kept.</t>
  </si>
  <si>
    <t>s:Sigortalı Ad Soyad</t>
  </si>
  <si>
    <t>s:C090</t>
  </si>
  <si>
    <t>s:Alias of SIGORTALI. Full name of the insured - direct identifier (KVKK Art. 3). Blocked from the model.</t>
  </si>
  <si>
    <t>s:Sigortalı_TCKN</t>
  </si>
  <si>
    <t>s:C091</t>
  </si>
  <si>
    <t>s:Alias of SIGORTALITCKNO. T.C. Kimlik No (national ID). DataType text so it could never lose leading zeros, but it is never loaded.</t>
  </si>
  <si>
    <t>s:Hasar Tarih</t>
  </si>
  <si>
    <t>s:C092</t>
  </si>
  <si>
    <t>s:Alias of HASARTARIHI. Loss / event date (hasar tarihi). Inactive relationship to DimDate for incurred (accident-period) views; first link of the chronology chain.</t>
  </si>
  <si>
    <t>s:Ödeme Sıra</t>
  </si>
  <si>
    <t>s:C093</t>
  </si>
  <si>
    <t>s:Alias of TAKSIT_SEQ. Installment / partial-payment sequence (taksit sirasi). Distinguishes legitimate repeated case numbers; part of the duplicate key.</t>
  </si>
  <si>
    <t>s:İhbar Tarih</t>
  </si>
  <si>
    <t>s:C094</t>
  </si>
  <si>
    <t>s:Alias of IHBARTARIHI. Notification date (ihbar tarihi). Inactive relationship to DimDate; start of 'days from notification to payment'.</t>
  </si>
  <si>
    <t>s:Dosya No</t>
  </si>
  <si>
    <t>s:C095</t>
  </si>
  <si>
    <t>s:Alias of DOSYANO (also matched automatically: 'Dosya No' and 'DOSYANO' normalise to the same key). Claim/case file number (dosya no). Business key, always text so leading zeros survive. A repeated CaseNo is an installment or partial payment, never a duplicate by itself.</t>
  </si>
  <si>
    <t>s:Tarife / Plan Kod</t>
  </si>
  <si>
    <t>s:C096</t>
  </si>
  <si>
    <t>s:Alias of TARIFEKOD. Tariff / plan code.</t>
  </si>
  <si>
    <t>s:Teminat Kod</t>
  </si>
  <si>
    <t>s:C097</t>
  </si>
  <si>
    <t>s:Alias of TEMINATKODU. Cover (teminat) code. Part of the duplicate-key definition: one installment may pay several covers.</t>
  </si>
  <si>
    <t>s:Toplam Ödenen</t>
  </si>
  <si>
    <t>s:C098</t>
  </si>
  <si>
    <t>s:[Mapping unverified] 'Total paid' is mapped to the gross payment amount. The reconciliation of every company that uses this header is the test of this assumption (DecisionRegister A3). Payment amount in CurrencyCode (odeme miktari). Basis of 'total payments' and of the reconciliation (parameter ReconBasis).</t>
  </si>
  <si>
    <t>s:Ödeme Tarih</t>
  </si>
  <si>
    <t>s:C099</t>
  </si>
  <si>
    <t>s:Alias of ODEMETARIHI. Date the payment was made. Drives the ACTIVE relationship to DimDate, the FX-rate lookup and the 'payment outside file period' check.</t>
  </si>
  <si>
    <t>s:Product Sub Category</t>
  </si>
  <si>
    <t>s:ProductSubCategory</t>
  </si>
  <si>
    <t>s:C100</t>
  </si>
  <si>
    <t>s:[Mapping unverified] English label; possibly the sub-branch (ALTBRANSADI). Unverified: may be the English label of ALTBRANSADI (sub-branch). Out of phase 1 either way.</t>
  </si>
  <si>
    <t>s:Poliçe Başlama Tarih (YG)</t>
  </si>
  <si>
    <t>s:C101</t>
  </si>
  <si>
    <t>s:[Mapping unverified] meaning of '(YG)' unknown; not modelled, so no numeric impact. Policy start date.</t>
  </si>
  <si>
    <t>s:Poliçe Bitiş Tarih (YG)</t>
  </si>
  <si>
    <t>s:C102</t>
  </si>
  <si>
    <t>s:[Mapping unverified] meaning of '(YG)' unknown; not modelled, so no numeric impact. Policy end date.</t>
  </si>
  <si>
    <t>s:aa</t>
  </si>
  <si>
    <t>s:[No ColumnID - not in the schema reference] Raw internal header that at least one company uses for the case number (per the file naming specification). Claim/case file number (dosya no). Business key, always text so leading zeros survive. A repeated CaseNo is an installment or partial payment, never a duplicate by itself.</t>
  </si>
  <si>
    <t>s:ISO code</t>
  </si>
  <si>
    <t>s:TL</t>
  </si>
  <si>
    <t>s:Common in Turkish files</t>
  </si>
  <si>
    <t>s:YTL</t>
  </si>
  <si>
    <t>s:Legacy (2005-2008)</t>
  </si>
  <si>
    <t>s:TRL</t>
  </si>
  <si>
    <t>s:Legacy ISO code</t>
  </si>
  <si>
    <t>s:Türk Lirası</t>
  </si>
  <si>
    <t>s:USD</t>
  </si>
  <si>
    <t>s:ABD Doları</t>
  </si>
  <si>
    <t>s:EUR</t>
  </si>
  <si>
    <t>s:Avro</t>
  </si>
  <si>
    <t>s:Euro</t>
  </si>
  <si>
    <t>s:GBP</t>
  </si>
  <si>
    <t>s:İngiliz Sterlini</t>
  </si>
  <si>
    <t>s:CHF</t>
  </si>
  <si>
    <t>d:2019-12-02</t>
  </si>
  <si>
    <t>n:5.732</t>
  </si>
  <si>
    <t>s:CBRT ForexBuying, bulletin 2019/226</t>
  </si>
  <si>
    <t>n:6.3246</t>
  </si>
  <si>
    <t>n:7.4027</t>
  </si>
  <si>
    <t>n:5.7426</t>
  </si>
  <si>
    <t>d:2019-12-03</t>
  </si>
  <si>
    <t>n:5.7798</t>
  </si>
  <si>
    <t>s:CBRT ForexBuying, bulletin 2019/227</t>
  </si>
  <si>
    <t>n:6.3552</t>
  </si>
  <si>
    <t>n:7.432</t>
  </si>
  <si>
    <t>n:5.7365</t>
  </si>
  <si>
    <t>d:2019-12-04</t>
  </si>
  <si>
    <t>n:5.7943</t>
  </si>
  <si>
    <t>s:CBRT ForexBuying, bulletin 2019/228</t>
  </si>
  <si>
    <t>n:6.3529</t>
  </si>
  <si>
    <t>n:7.4632</t>
  </si>
  <si>
    <t>n:5.736</t>
  </si>
  <si>
    <t>d:2019-12-05</t>
  </si>
  <si>
    <t>n:5.8019</t>
  </si>
  <si>
    <t>s:CBRT ForexBuying, bulletin 2019/229</t>
  </si>
  <si>
    <t>n:6.3738</t>
  </si>
  <si>
    <t>n:7.5361</t>
  </si>
  <si>
    <t>n:5.7488</t>
  </si>
  <si>
    <t>d:2019-12-06</t>
  </si>
  <si>
    <t>n:5.8049</t>
  </si>
  <si>
    <t>s:CBRT ForexBuying, bulletin 2019/230</t>
  </si>
  <si>
    <t>n:6.3805</t>
  </si>
  <si>
    <t>n:7.5397</t>
  </si>
  <si>
    <t>n:5.7479</t>
  </si>
  <si>
    <t>d:2019-12-09</t>
  </si>
  <si>
    <t>n:5.8344</t>
  </si>
  <si>
    <t>s:CBRT ForexBuying, bulletin 2019/231</t>
  </si>
  <si>
    <t>n:6.4083</t>
  </si>
  <si>
    <t>n:7.6108</t>
  </si>
  <si>
    <t>n:5.7905</t>
  </si>
  <si>
    <t>d:2019-12-10</t>
  </si>
  <si>
    <t>n:5.8639</t>
  </si>
  <si>
    <t>s:CBRT ForexBuying, bulletin 2019/232</t>
  </si>
  <si>
    <t>n:6.4218</t>
  </si>
  <si>
    <t>n:7.6191</t>
  </si>
  <si>
    <t>n:5.7987</t>
  </si>
  <si>
    <t>d:2019-12-11</t>
  </si>
  <si>
    <t>n:5.8736</t>
  </si>
  <si>
    <t>s:CBRT ForexBuying, bulletin 2019/233</t>
  </si>
  <si>
    <t>n:6.4267</t>
  </si>
  <si>
    <t>n:7.6047</t>
  </si>
  <si>
    <t>n:5.7982</t>
  </si>
  <si>
    <t>d:2019-12-12</t>
  </si>
  <si>
    <t>n:5.8776</t>
  </si>
  <si>
    <t>s:CBRT ForexBuying, bulletin 2019/234</t>
  </si>
  <si>
    <t>n:6.4434</t>
  </si>
  <si>
    <t>n:7.6268</t>
  </si>
  <si>
    <t>n:5.7875</t>
  </si>
  <si>
    <t>d:2019-12-13</t>
  </si>
  <si>
    <t>n:5.8577</t>
  </si>
  <si>
    <t>s:CBRT ForexBuying, bulletin 2019/235</t>
  </si>
  <si>
    <t>n:6.4503</t>
  </si>
  <si>
    <t>n:7.7284</t>
  </si>
  <si>
    <t>n:5.7726</t>
  </si>
  <si>
    <t>d:2019-12-16</t>
  </si>
  <si>
    <t>n:5.9189</t>
  </si>
  <si>
    <t>s:CBRT ForexBuying, bulletin 2019/236</t>
  </si>
  <si>
    <t>n:6.4993</t>
  </si>
  <si>
    <t>n:7.7898</t>
  </si>
  <si>
    <t>d:2019-12-17</t>
  </si>
  <si>
    <t>n:5.9441</t>
  </si>
  <si>
    <t>s:CBRT ForexBuying, bulletin 2019/237</t>
  </si>
  <si>
    <t>n:6.529</t>
  </si>
  <si>
    <t>n:7.7292</t>
  </si>
  <si>
    <t>n:5.8558</t>
  </si>
  <si>
    <t>d:2019-12-18</t>
  </si>
  <si>
    <t>n:6.0008</t>
  </si>
  <si>
    <t>s:CBRT ForexBuying, bulletin 2019/238</t>
  </si>
  <si>
    <t>n:6.5671</t>
  </si>
  <si>
    <t>n:7.717</t>
  </si>
  <si>
    <t>n:5.8991</t>
  </si>
  <si>
    <t>d:2019-12-19</t>
  </si>
  <si>
    <t>n:6.0295</t>
  </si>
  <si>
    <t>s:CBRT ForexBuying, bulletin 2019/239</t>
  </si>
  <si>
    <t>n:6.5963</t>
  </si>
  <si>
    <t>n:7.7465</t>
  </si>
  <si>
    <t>n:5.9252</t>
  </si>
  <si>
    <t>d:2019-12-20</t>
  </si>
  <si>
    <t>n:6.0187</t>
  </si>
  <si>
    <t>s:CBRT ForexBuying, bulletin 2019/240</t>
  </si>
  <si>
    <t>n:6.5704</t>
  </si>
  <si>
    <t>n:7.6902</t>
  </si>
  <si>
    <t>n:5.9115</t>
  </si>
  <si>
    <t>d:2019-12-23</t>
  </si>
  <si>
    <t>n:6.0305</t>
  </si>
  <si>
    <t>s:CBRT ForexBuying, bulletin 2019/241</t>
  </si>
  <si>
    <t>n:6.5714</t>
  </si>
  <si>
    <t>n:7.6979</t>
  </si>
  <si>
    <t>n:5.9291</t>
  </si>
  <si>
    <t>d:2019-12-24</t>
  </si>
  <si>
    <t>n:6.0283</t>
  </si>
  <si>
    <t>s:CBRT ForexBuying, bulletin 2019/242</t>
  </si>
  <si>
    <t>n:6.5773</t>
  </si>
  <si>
    <t>n:7.6664</t>
  </si>
  <si>
    <t>n:5.9364</t>
  </si>
  <si>
    <t>d:2019-12-25</t>
  </si>
  <si>
    <t>n:6.0299</t>
  </si>
  <si>
    <t>s:CBRT ForexBuying, bulletin 2019/243</t>
  </si>
  <si>
    <t>n:6.5755</t>
  </si>
  <si>
    <t>n:7.6773</t>
  </si>
  <si>
    <t>n:5.9293</t>
  </si>
  <si>
    <t>d:2019-12-26</t>
  </si>
  <si>
    <t>n:6.0312</t>
  </si>
  <si>
    <t>s:CBRT ForexBuying, bulletin 2019/244</t>
  </si>
  <si>
    <t>n:6.5759</t>
  </si>
  <si>
    <t>n:7.6854</t>
  </si>
  <si>
    <t>n:5.9302</t>
  </si>
  <si>
    <t>d:2019-12-27</t>
  </si>
  <si>
    <t>n:6.0581</t>
  </si>
  <si>
    <t>s:CBRT ForexBuying, bulletin 2019/245</t>
  </si>
  <si>
    <t>n:6.6117</t>
  </si>
  <si>
    <t>n:7.7375</t>
  </si>
  <si>
    <t>n:5.937</t>
  </si>
  <si>
    <t>d:2019-12-30</t>
  </si>
  <si>
    <t>n:6.0932</t>
  </si>
  <si>
    <t>s:CBRT ForexBuying, bulletin 2019/246</t>
  </si>
  <si>
    <t>n:6.6506</t>
  </si>
  <si>
    <t>n:7.7765</t>
  </si>
  <si>
    <t>n:5.9402</t>
  </si>
  <si>
    <t>d:2019-12-31</t>
  </si>
  <si>
    <t>n:6.1229</t>
  </si>
  <si>
    <t>s:CBRT ForexBuying, bulletin 2019/247</t>
  </si>
  <si>
    <t>n:6.6621</t>
  </si>
  <si>
    <t>n:7.8013</t>
  </si>
  <si>
    <t>n:5.94</t>
  </si>
  <si>
    <t>d:2020-01-02</t>
  </si>
  <si>
    <t>n:6.118</t>
  </si>
  <si>
    <t>s:CBRT ForexBuying, bulletin 2020/1</t>
  </si>
  <si>
    <t>n:6.663</t>
  </si>
  <si>
    <t>n:7.8464</t>
  </si>
  <si>
    <t>n:5.9478</t>
  </si>
  <si>
    <t>d:2020-01-03</t>
  </si>
  <si>
    <t>n:6.1179</t>
  </si>
  <si>
    <t>s:CBRT ForexBuying, bulletin 2020/2</t>
  </si>
  <si>
    <t>n:6.6464</t>
  </si>
  <si>
    <t>n:7.79</t>
  </si>
  <si>
    <t>n:5.9627</t>
  </si>
  <si>
    <t>d:2020-01-06</t>
  </si>
  <si>
    <t>n:6.1363</t>
  </si>
  <si>
    <t>s:CBRT ForexBuying, bulletin 2020/3</t>
  </si>
  <si>
    <t>n:6.6718</t>
  </si>
  <si>
    <t>n:7.8134</t>
  </si>
  <si>
    <t>n:5.9658</t>
  </si>
  <si>
    <t>d:2020-01-07</t>
  </si>
  <si>
    <t>n:6.1277</t>
  </si>
  <si>
    <t>s:CBRT ForexBuying, bulletin 2020/4</t>
  </si>
  <si>
    <t>n:6.6628</t>
  </si>
  <si>
    <t>n:7.8303</t>
  </si>
  <si>
    <t>n:5.9594</t>
  </si>
  <si>
    <t>d:2020-01-08</t>
  </si>
  <si>
    <t>n:6.1189</t>
  </si>
  <si>
    <t>s:CBRT ForexBuying, bulletin 2020/5</t>
  </si>
  <si>
    <t>n:6.6355</t>
  </si>
  <si>
    <t>n:7.8106</t>
  </si>
  <si>
    <t>n:5.9571</t>
  </si>
  <si>
    <t>d:2020-01-09</t>
  </si>
  <si>
    <t>n:6.0233</t>
  </si>
  <si>
    <t>s:CBRT ForexBuying, bulletin 2020/6</t>
  </si>
  <si>
    <t>n:6.5336</t>
  </si>
  <si>
    <t>n:7.6719</t>
  </si>
  <si>
    <t>n:5.881</t>
  </si>
  <si>
    <t>d:2020-01-10</t>
  </si>
  <si>
    <t>n:6.0119</t>
  </si>
  <si>
    <t>s:CBRT ForexBuying, bulletin 2020/7</t>
  </si>
  <si>
    <t>n:6.517</t>
  </si>
  <si>
    <t>n:7.6595</t>
  </si>
  <si>
    <t>n:5.8713</t>
  </si>
  <si>
    <t>d:2020-01-13</t>
  </si>
  <si>
    <t>n:6.0024</t>
  </si>
  <si>
    <t>s:CBRT ForexBuying, bulletin 2020/8</t>
  </si>
  <si>
    <t>n:6.5096</t>
  </si>
  <si>
    <t>n:7.5913</t>
  </si>
  <si>
    <t>n:5.8529</t>
  </si>
  <si>
    <t>d:2020-01-14</t>
  </si>
  <si>
    <t>n:6.0532</t>
  </si>
  <si>
    <t>s:CBRT ForexBuying, bulletin 2020/9</t>
  </si>
  <si>
    <t>n:6.5495</t>
  </si>
  <si>
    <t>n:7.6222</t>
  </si>
  <si>
    <t>n:5.8811</t>
  </si>
  <si>
    <t>d:2020-01-15</t>
  </si>
  <si>
    <t>n:6.0727</t>
  </si>
  <si>
    <t>s:CBRT ForexBuying, bulletin 2020/10</t>
  </si>
  <si>
    <t>n:6.5504</t>
  </si>
  <si>
    <t>n:7.6428</t>
  </si>
  <si>
    <t>n:5.8827</t>
  </si>
  <si>
    <t>d:2020-01-16</t>
  </si>
  <si>
    <t>n:6.0765</t>
  </si>
  <si>
    <t>s:CBRT ForexBuying, bulletin 2020/11</t>
  </si>
  <si>
    <t>n:6.5458</t>
  </si>
  <si>
    <t>n:7.6458</t>
  </si>
  <si>
    <t>n:5.8684</t>
  </si>
  <si>
    <t>d:2020-01-17</t>
  </si>
  <si>
    <t>n:6.0502</t>
  </si>
  <si>
    <t>s:CBRT ForexBuying, bulletin 2020/12</t>
  </si>
  <si>
    <t>n:6.5172</t>
  </si>
  <si>
    <t>n:7.6396</t>
  </si>
  <si>
    <t>n:5.8564</t>
  </si>
  <si>
    <t>d:2020-01-20</t>
  </si>
  <si>
    <t>n:6.0752</t>
  </si>
  <si>
    <t>s:CBRT ForexBuying, bulletin 2020/13</t>
  </si>
  <si>
    <t>n:6.5412</t>
  </si>
  <si>
    <t>n:5.8979</t>
  </si>
  <si>
    <t>d:2020-01-21</t>
  </si>
  <si>
    <t>n:6.1021</t>
  </si>
  <si>
    <t>s:CBRT ForexBuying, bulletin 2020/14</t>
  </si>
  <si>
    <t>n:6.568</t>
  </si>
  <si>
    <t>n:7.6976</t>
  </si>
  <si>
    <t>n:5.9191</t>
  </si>
  <si>
    <t>d:2020-01-22</t>
  </si>
  <si>
    <t>n:6.0899</t>
  </si>
  <si>
    <t>s:CBRT ForexBuying, bulletin 2020/15</t>
  </si>
  <si>
    <t>n:6.5723</t>
  </si>
  <si>
    <t>n:7.7334</t>
  </si>
  <si>
    <t>d:2020-01-23</t>
  </si>
  <si>
    <t>n:6.0928</t>
  </si>
  <si>
    <t>s:CBRT ForexBuying, bulletin 2020/16</t>
  </si>
  <si>
    <t>n:6.5585</t>
  </si>
  <si>
    <t>n:7.7552</t>
  </si>
  <si>
    <t>n:5.9152</t>
  </si>
  <si>
    <t>d:2020-01-24</t>
  </si>
  <si>
    <t>n:6.0961</t>
  </si>
  <si>
    <t>s:CBRT ForexBuying, bulletin 2020/17</t>
  </si>
  <si>
    <t>n:6.5473</t>
  </si>
  <si>
    <t>n:7.7616</t>
  </si>
  <si>
    <t>n:5.9288</t>
  </si>
  <si>
    <t>d:2020-01-27</t>
  </si>
  <si>
    <t>n:6.1048</t>
  </si>
  <si>
    <t>s:CBRT ForexBuying, bulletin 2020/18</t>
  </si>
  <si>
    <t>n:6.5471</t>
  </si>
  <si>
    <t>n:7.7541</t>
  </si>
  <si>
    <t>n:5.9371</t>
  </si>
  <si>
    <t>d:2020-01-28</t>
  </si>
  <si>
    <t>n:6.1027</t>
  </si>
  <si>
    <t>s:CBRT ForexBuying, bulletin 2020/19</t>
  </si>
  <si>
    <t>n:6.5369</t>
  </si>
  <si>
    <t>n:7.7133</t>
  </si>
  <si>
    <t>n:5.9334</t>
  </si>
  <si>
    <t>d:2020-01-29</t>
  </si>
  <si>
    <t>n:6.0827</t>
  </si>
  <si>
    <t>s:CBRT ForexBuying, bulletin 2020/20</t>
  </si>
  <si>
    <t>n:6.5371</t>
  </si>
  <si>
    <t>n:7.719</t>
  </si>
  <si>
    <t>n:5.9405</t>
  </si>
  <si>
    <t>d:2020-01-30</t>
  </si>
  <si>
    <t>n:6.1334</t>
  </si>
  <si>
    <t>s:CBRT ForexBuying, bulletin 2020/21</t>
  </si>
  <si>
    <t>n:6.5782</t>
  </si>
  <si>
    <t>n:7.7598</t>
  </si>
  <si>
    <t>n:5.9716</t>
  </si>
  <si>
    <t>d:2020-01-31</t>
  </si>
  <si>
    <t>n:6.1426</t>
  </si>
  <si>
    <t>s:CBRT ForexBuying, bulletin 2020/22</t>
  </si>
  <si>
    <t>n:6.5864</t>
  </si>
  <si>
    <t>n:7.8223</t>
  </si>
  <si>
    <t>n:5.9726</t>
  </si>
  <si>
    <t>d:2020-02-03</t>
  </si>
  <si>
    <t>n:6.1813</t>
  </si>
  <si>
    <t>s:CBRT ForexBuying, bulletin 2020/23</t>
  </si>
  <si>
    <t>n:6.6154</t>
  </si>
  <si>
    <t>n:7.8164</t>
  </si>
  <si>
    <t>n:5.9755</t>
  </si>
  <si>
    <t>d:2020-02-04</t>
  </si>
  <si>
    <t>n:6.1525</t>
  </si>
  <si>
    <t>s:CBRT ForexBuying, bulletin 2020/24</t>
  </si>
  <si>
    <t>n:6.6017</t>
  </si>
  <si>
    <t>n:7.7461</t>
  </si>
  <si>
    <t>n:5.9714</t>
  </si>
  <si>
    <t>d:2020-02-05</t>
  </si>
  <si>
    <t>n:6.1415</t>
  </si>
  <si>
    <t>s:CBRT ForexBuying, bulletin 2020/25</t>
  </si>
  <si>
    <t>n:6.5918</t>
  </si>
  <si>
    <t>n:7.7834</t>
  </si>
  <si>
    <t>n:5.976</t>
  </si>
  <si>
    <t>d:2020-02-06</t>
  </si>
  <si>
    <t>n:6.1219</t>
  </si>
  <si>
    <t>s:CBRT ForexBuying, bulletin 2020/26</t>
  </si>
  <si>
    <t>n:6.5761</t>
  </si>
  <si>
    <t>n:7.7438</t>
  </si>
  <si>
    <t>n:5.9783</t>
  </si>
  <si>
    <t>d:2020-02-07</t>
  </si>
  <si>
    <t>n:6.1112</t>
  </si>
  <si>
    <t>s:CBRT ForexBuying, bulletin 2020/27</t>
  </si>
  <si>
    <t>n:6.5518</t>
  </si>
  <si>
    <t>n:7.7172</t>
  </si>
  <si>
    <t>n:5.9776</t>
  </si>
  <si>
    <t>d:2020-02-10</t>
  </si>
  <si>
    <t>n:6.1181</t>
  </si>
  <si>
    <t>s:CBRT ForexBuying, bulletin 2020/28</t>
  </si>
  <si>
    <t>n:6.5644</t>
  </si>
  <si>
    <t>n:7.7231</t>
  </si>
  <si>
    <t>n:5.9951</t>
  </si>
  <si>
    <t>d:2020-02-11</t>
  </si>
  <si>
    <t>n:6.1504</t>
  </si>
  <si>
    <t>s:CBRT ForexBuying, bulletin 2020/29</t>
  </si>
  <si>
    <t>n:6.5777</t>
  </si>
  <si>
    <t>n:7.7741</t>
  </si>
  <si>
    <t>n:6.0271</t>
  </si>
  <si>
    <t>d:2020-02-12</t>
  </si>
  <si>
    <t>n:6.1593</t>
  </si>
  <si>
    <t>s:CBRT ForexBuying, bulletin 2020/30</t>
  </si>
  <si>
    <t>n:6.5729</t>
  </si>
  <si>
    <t>n:7.7979</t>
  </si>
  <si>
    <t>n:6.0215</t>
  </si>
  <si>
    <t>d:2020-02-13</t>
  </si>
  <si>
    <t>n:6.172</t>
  </si>
  <si>
    <t>s:CBRT ForexBuying, bulletin 2020/31</t>
  </si>
  <si>
    <t>n:6.5754</t>
  </si>
  <si>
    <t>n:7.8298</t>
  </si>
  <si>
    <t>n:6.0459</t>
  </si>
  <si>
    <t>d:2020-02-14</t>
  </si>
  <si>
    <t>n:6.1514</t>
  </si>
  <si>
    <t>s:CBRT ForexBuying, bulletin 2020/32</t>
  </si>
  <si>
    <t>n:6.555</t>
  </si>
  <si>
    <t>n:7.8718</t>
  </si>
  <si>
    <t>n:6.047</t>
  </si>
  <si>
    <t>d:2020-02-17</t>
  </si>
  <si>
    <t>n:6.1325</t>
  </si>
  <si>
    <t>s:CBRT ForexBuying, bulletin 2020/33</t>
  </si>
  <si>
    <t>n:6.5435</t>
  </si>
  <si>
    <t>n:7.8532</t>
  </si>
  <si>
    <t>n:6.0351</t>
  </si>
  <si>
    <t>d:2020-02-18</t>
  </si>
  <si>
    <t>n:6.163</t>
  </si>
  <si>
    <t>s:CBRT ForexBuying, bulletin 2020/34</t>
  </si>
  <si>
    <t>n:6.5596</t>
  </si>
  <si>
    <t>n:7.8646</t>
  </si>
  <si>
    <t>n:6.0578</t>
  </si>
  <si>
    <t>d:2020-02-19</t>
  </si>
  <si>
    <t>n:6.1457</t>
  </si>
  <si>
    <t>s:CBRT ForexBuying, bulletin 2020/35</t>
  </si>
  <si>
    <t>n:6.5428</t>
  </si>
  <si>
    <t>n:7.8594</t>
  </si>
  <si>
    <t>d:2020-02-20</t>
  </si>
  <si>
    <t>n:6.1717</t>
  </si>
  <si>
    <t>s:CBRT ForexBuying, bulletin 2020/36</t>
  </si>
  <si>
    <t>n:6.5654</t>
  </si>
  <si>
    <t>n:7.8286</t>
  </si>
  <si>
    <t>n:6.0824</t>
  </si>
  <si>
    <t>d:2020-02-21</t>
  </si>
  <si>
    <t>n:6.1989</t>
  </si>
  <si>
    <t>s:CBRT ForexBuying, bulletin 2020/37</t>
  </si>
  <si>
    <t>n:6.5922</t>
  </si>
  <si>
    <t>n:7.8659</t>
  </si>
  <si>
    <t>n:6.1023</t>
  </si>
  <si>
    <t>d:2020-02-24</t>
  </si>
  <si>
    <t>n:6.2448</t>
  </si>
  <si>
    <t>s:CBRT ForexBuying, bulletin 2020/38</t>
  </si>
  <si>
    <t>n:6.6409</t>
  </si>
  <si>
    <t>n:7.9161</t>
  </si>
  <si>
    <t>n:6.1383</t>
  </si>
  <si>
    <t>d:2020-02-25</t>
  </si>
  <si>
    <t>n:6.2425</t>
  </si>
  <si>
    <t>s:CBRT ForexBuying, bulletin 2020/39</t>
  </si>
  <si>
    <t>n:6.6416</t>
  </si>
  <si>
    <t>n:7.9245</t>
  </si>
  <si>
    <t>n:6.1218</t>
  </si>
  <si>
    <t>d:2020-02-26</t>
  </si>
  <si>
    <t>n:6.2896</t>
  </si>
  <si>
    <t>s:CBRT ForexBuying, bulletin 2020/40</t>
  </si>
  <si>
    <t>n:6.689</t>
  </si>
  <si>
    <t>n:7.9521</t>
  </si>
  <si>
    <t>n:6.1463</t>
  </si>
  <si>
    <t>d:2020-02-27</t>
  </si>
  <si>
    <t>n:6.3217</t>
  </si>
  <si>
    <t>s:CBRT ForexBuying, bulletin 2020/41</t>
  </si>
  <si>
    <t>n:6.7344</t>
  </si>
  <si>
    <t>n:7.935</t>
  </si>
  <si>
    <t>d:2020-02-28</t>
  </si>
  <si>
    <t>n:6.4347</t>
  </si>
  <si>
    <t>s:CBRT ForexBuying, bulletin 2020/42</t>
  </si>
  <si>
    <t>n:6.8592</t>
  </si>
  <si>
    <t>n:8.0068</t>
  </si>
  <si>
    <t>n:6.2259</t>
  </si>
  <si>
    <t>d:2020-03-02</t>
  </si>
  <si>
    <t>n:6.4489</t>
  </si>
  <si>
    <t>s:CBRT ForexBuying, bulletin 2020/43</t>
  </si>
  <si>
    <t>n:6.8903</t>
  </si>
  <si>
    <t>n:7.9419</t>
  </si>
  <si>
    <t>n:6.2192</t>
  </si>
  <si>
    <t>d:2020-03-03</t>
  </si>
  <si>
    <t>n:6.4496</t>
  </si>
  <si>
    <t>s:CBRT ForexBuying, bulletin 2020/44</t>
  </si>
  <si>
    <t>n:6.8889</t>
  </si>
  <si>
    <t>n:7.9065</t>
  </si>
  <si>
    <t>n:6.1943</t>
  </si>
  <si>
    <t>d:2020-03-04</t>
  </si>
  <si>
    <t>n:6.3556</t>
  </si>
  <si>
    <t>s:CBRT ForexBuying, bulletin 2020/45</t>
  </si>
  <si>
    <t>n:6.7927</t>
  </si>
  <si>
    <t>n:7.7777</t>
  </si>
  <si>
    <t>n:6.0904</t>
  </si>
  <si>
    <t>d:2020-03-05</t>
  </si>
  <si>
    <t>n:6.3519</t>
  </si>
  <si>
    <t>s:CBRT ForexBuying, bulletin 2020/46</t>
  </si>
  <si>
    <t>n:6.778</t>
  </si>
  <si>
    <t>n:7.8265</t>
  </si>
  <si>
    <t>n:6.0772</t>
  </si>
  <si>
    <t>d:2020-03-06</t>
  </si>
  <si>
    <t>n:6.455</t>
  </si>
  <si>
    <t>s:CBRT ForexBuying, bulletin 2020/47</t>
  </si>
  <si>
    <t>n:6.8604</t>
  </si>
  <si>
    <t>n:7.8841</t>
  </si>
  <si>
    <t>n:6.0821</t>
  </si>
  <si>
    <t>d:2020-03-09</t>
  </si>
  <si>
    <t>n:6.5751</t>
  </si>
  <si>
    <t>s:CBRT ForexBuying, bulletin 2020/48</t>
  </si>
  <si>
    <t>n:6.9735</t>
  </si>
  <si>
    <t>n:8.005</t>
  </si>
  <si>
    <t>n:6.1098</t>
  </si>
  <si>
    <t>d:2020-03-10</t>
  </si>
  <si>
    <t>n:6.539</t>
  </si>
  <si>
    <t>s:CBRT ForexBuying, bulletin 2020/49</t>
  </si>
  <si>
    <t>n:6.9455</t>
  </si>
  <si>
    <t>n:7.966</t>
  </si>
  <si>
    <t>n:6.1151</t>
  </si>
  <si>
    <t>d:2020-03-11</t>
  </si>
  <si>
    <t>n:6.5594</t>
  </si>
  <si>
    <t>s:CBRT ForexBuying, bulletin 2020/50</t>
  </si>
  <si>
    <t>n:6.9669</t>
  </si>
  <si>
    <t>n:7.938</t>
  </si>
  <si>
    <t>n:6.1502</t>
  </si>
  <si>
    <t>d:2020-03-12</t>
  </si>
  <si>
    <t>n:6.6316</t>
  </si>
  <si>
    <t>s:CBRT ForexBuying, bulletin 2020/51</t>
  </si>
  <si>
    <t>n:7.0139</t>
  </si>
  <si>
    <t>n:7.9376</t>
  </si>
  <si>
    <t>n:6.2264</t>
  </si>
  <si>
    <t>d:2020-03-13</t>
  </si>
  <si>
    <t>n:6.6193</t>
  </si>
  <si>
    <t>s:CBRT ForexBuying, bulletin 2020/52</t>
  </si>
  <si>
    <t>n:7.0099</t>
  </si>
  <si>
    <t>n:7.869</t>
  </si>
  <si>
    <t>n:6.2711</t>
  </si>
  <si>
    <t>d:2020-03-16</t>
  </si>
  <si>
    <t>n:6.7275</t>
  </si>
  <si>
    <t>s:CBRT ForexBuying, bulletin 2020/53</t>
  </si>
  <si>
    <t>n:7.1143</t>
  </si>
  <si>
    <t>n:7.8231</t>
  </si>
  <si>
    <t>n:6.3628</t>
  </si>
  <si>
    <t>d:2020-03-17</t>
  </si>
  <si>
    <t>n:6.7525</t>
  </si>
  <si>
    <t>s:CBRT ForexBuying, bulletin 2020/54</t>
  </si>
  <si>
    <t>n:7.1564</t>
  </si>
  <si>
    <t>n:7.8385</t>
  </si>
  <si>
    <t>n:6.4528</t>
  </si>
  <si>
    <t>d:2020-03-18</t>
  </si>
  <si>
    <t>n:6.7012</t>
  </si>
  <si>
    <t>s:CBRT ForexBuying, bulletin 2020/55</t>
  </si>
  <si>
    <t>n:7.0871</t>
  </si>
  <si>
    <t>n:7.7366</t>
  </si>
  <si>
    <t>n:6.4512</t>
  </si>
  <si>
    <t>d:2020-03-19</t>
  </si>
  <si>
    <t>n:6.6703</t>
  </si>
  <si>
    <t>s:CBRT ForexBuying, bulletin 2020/56</t>
  </si>
  <si>
    <t>n:7.055</t>
  </si>
  <si>
    <t>n:7.5016</t>
  </si>
  <si>
    <t>n:6.5154</t>
  </si>
  <si>
    <t>d:2020-03-20</t>
  </si>
  <si>
    <t>n:6.5986</t>
  </si>
  <si>
    <t>s:CBRT ForexBuying, bulletin 2020/57</t>
  </si>
  <si>
    <t>n:6.9737</t>
  </si>
  <si>
    <t>n:7.6265</t>
  </si>
  <si>
    <t>n:6.4839</t>
  </si>
  <si>
    <t>d:2020-03-23</t>
  </si>
  <si>
    <t>n:6.6623</t>
  </si>
  <si>
    <t>s:CBRT ForexBuying, bulletin 2020/58</t>
  </si>
  <si>
    <t>n:7.0484</t>
  </si>
  <si>
    <t>n:7.6354</t>
  </si>
  <si>
    <t>d:2020-03-24</t>
  </si>
  <si>
    <t>n:6.6418</t>
  </si>
  <si>
    <t>s:CBRT ForexBuying, bulletin 2020/59</t>
  </si>
  <si>
    <t>n:7.0455</t>
  </si>
  <si>
    <t>n:7.5874</t>
  </si>
  <si>
    <t>n:6.4943</t>
  </si>
  <si>
    <t>d:2020-03-25</t>
  </si>
  <si>
    <t>n:6.5139</t>
  </si>
  <si>
    <t>s:CBRT ForexBuying, bulletin 2020/60</t>
  </si>
  <si>
    <t>n:6.9271</t>
  </si>
  <si>
    <t>n:7.6005</t>
  </si>
  <si>
    <t>n:6.4024</t>
  </si>
  <si>
    <t>d:2020-03-26</t>
  </si>
  <si>
    <t>n:6.6238</t>
  </si>
  <si>
    <t>s:CBRT ForexBuying, bulletin 2020/61</t>
  </si>
  <si>
    <t>n:7.061</t>
  </si>
  <si>
    <t>n:7.6813</t>
  </si>
  <si>
    <t>n:6.456</t>
  </si>
  <si>
    <t>d:2020-03-27</t>
  </si>
  <si>
    <t>n:6.6683</t>
  </si>
  <si>
    <t>s:CBRT ForexBuying, bulletin 2020/62</t>
  </si>
  <si>
    <t>n:7.0896</t>
  </si>
  <si>
    <t>n:7.8483</t>
  </si>
  <si>
    <t>n:6.4346</t>
  </si>
  <si>
    <t>d:2020-03-30</t>
  </si>
  <si>
    <t>n:6.8013</t>
  </si>
  <si>
    <t>s:CBRT ForexBuying, bulletin 2020/63</t>
  </si>
  <si>
    <t>n:7.215</t>
  </si>
  <si>
    <t>n:8.0579</t>
  </si>
  <si>
    <t>n:6.516</t>
  </si>
  <si>
    <t>d:2020-03-31</t>
  </si>
  <si>
    <t>n:6.7962</t>
  </si>
  <si>
    <t>s:CBRT ForexBuying, bulletin 2020/64</t>
  </si>
  <si>
    <t>n:7.2107</t>
  </si>
  <si>
    <t>n:8.0894</t>
  </si>
  <si>
    <t>n:6.5696</t>
  </si>
  <si>
    <t>d:2020-04-01</t>
  </si>
  <si>
    <t>n:6.8673</t>
  </si>
  <si>
    <t>s:CBRT ForexBuying, bulletin 2020/65</t>
  </si>
  <si>
    <t>n:7.2756</t>
  </si>
  <si>
    <t>n:8.2002</t>
  </si>
  <si>
    <t>n:6.6428</t>
  </si>
  <si>
    <t>d:2020-04-02</t>
  </si>
  <si>
    <t>n:6.8789</t>
  </si>
  <si>
    <t>s:CBRT ForexBuying, bulletin 2020/66</t>
  </si>
  <si>
    <t>n:7.2849</t>
  </si>
  <si>
    <t>n:8.2724</t>
  </si>
  <si>
    <t>n:6.6672</t>
  </si>
  <si>
    <t>d:2020-04-03</t>
  </si>
  <si>
    <t>n:6.8369</t>
  </si>
  <si>
    <t>s:CBRT ForexBuying, bulletin 2020/67</t>
  </si>
  <si>
    <t>n:7.2279</t>
  </si>
  <si>
    <t>n:8.2228</t>
  </si>
  <si>
    <t>n:6.6903</t>
  </si>
  <si>
    <t>d:2020-04-06</t>
  </si>
  <si>
    <t>n:6.8935</t>
  </si>
  <si>
    <t>s:CBRT ForexBuying, bulletin 2020/68</t>
  </si>
  <si>
    <t>n:7.299</t>
  </si>
  <si>
    <t>n:8.2941</t>
  </si>
  <si>
    <t>n:6.7549</t>
  </si>
  <si>
    <t>d:2020-04-07</t>
  </si>
  <si>
    <t>n:6.9077</t>
  </si>
  <si>
    <t>s:CBRT ForexBuying, bulletin 2020/69</t>
  </si>
  <si>
    <t>n:7.3253</t>
  </si>
  <si>
    <t>n:8.2889</t>
  </si>
  <si>
    <t>n:6.7375</t>
  </si>
  <si>
    <t>d:2020-04-08</t>
  </si>
  <si>
    <t>n:6.9511</t>
  </si>
  <si>
    <t>s:CBRT ForexBuying, bulletin 2020/70</t>
  </si>
  <si>
    <t>n:7.3544</t>
  </si>
  <si>
    <t>n:8.3321</t>
  </si>
  <si>
    <t>n:6.7705</t>
  </si>
  <si>
    <t>d:2020-04-09</t>
  </si>
  <si>
    <t>n:6.9229</t>
  </si>
  <si>
    <t>s:CBRT ForexBuying, bulletin 2020/71</t>
  </si>
  <si>
    <t>n:7.3235</t>
  </si>
  <si>
    <t>n:8.3501</t>
  </si>
  <si>
    <t>n:6.7382</t>
  </si>
  <si>
    <t>d:2020-04-10</t>
  </si>
  <si>
    <t>n:6.9113</t>
  </si>
  <si>
    <t>s:CBRT ForexBuying, bulletin 2020/72</t>
  </si>
  <si>
    <t>n:7.3176</t>
  </si>
  <si>
    <t>n:8.3293</t>
  </si>
  <si>
    <t>n:6.6877</t>
  </si>
  <si>
    <t>d:2020-04-13</t>
  </si>
  <si>
    <t>n:6.9871</t>
  </si>
  <si>
    <t>s:CBRT ForexBuying, bulletin 2020/73</t>
  </si>
  <si>
    <t>n:7.3954</t>
  </si>
  <si>
    <t>n:8.4407</t>
  </si>
  <si>
    <t>n:6.7618</t>
  </si>
  <si>
    <t>d:2020-04-14</t>
  </si>
  <si>
    <t>n:7.0115</t>
  </si>
  <si>
    <t>s:CBRT ForexBuying, bulletin 2020/74</t>
  </si>
  <si>
    <t>n:7.4118</t>
  </si>
  <si>
    <t>n:8.4938</t>
  </si>
  <si>
    <t>n:6.7752</t>
  </si>
  <si>
    <t>d:2020-04-15</t>
  </si>
  <si>
    <t>n:7.0886</t>
  </si>
  <si>
    <t>s:CBRT ForexBuying, bulletin 2020/75</t>
  </si>
  <si>
    <t>n:7.4871</t>
  </si>
  <si>
    <t>n:8.562</t>
  </si>
  <si>
    <t>n:6.8505</t>
  </si>
  <si>
    <t>d:2020-04-16</t>
  </si>
  <si>
    <t>n:7.1279</t>
  </si>
  <si>
    <t>s:CBRT ForexBuying, bulletin 2020/76</t>
  </si>
  <si>
    <t>n:7.5145</t>
  </si>
  <si>
    <t>n:8.6108</t>
  </si>
  <si>
    <t>n:6.9073</t>
  </si>
  <si>
    <t>d:2020-04-17</t>
  </si>
  <si>
    <t>n:7.1064</t>
  </si>
  <si>
    <t>s:CBRT ForexBuying, bulletin 2020/77</t>
  </si>
  <si>
    <t>n:7.4906</t>
  </si>
  <si>
    <t>n:8.5938</t>
  </si>
  <si>
    <t>n:6.913</t>
  </si>
  <si>
    <t>d:2020-04-20</t>
  </si>
  <si>
    <t>n:7.1216</t>
  </si>
  <si>
    <t>s:CBRT ForexBuying, bulletin 2020/78</t>
  </si>
  <si>
    <t>n:7.5077</t>
  </si>
  <si>
    <t>n:8.5937</t>
  </si>
  <si>
    <t>n:6.9082</t>
  </si>
  <si>
    <t>d:2020-04-21</t>
  </si>
  <si>
    <t>n:7.1539</t>
  </si>
  <si>
    <t>s:CBRT ForexBuying, bulletin 2020/79</t>
  </si>
  <si>
    <t>n:7.5398</t>
  </si>
  <si>
    <t>n:8.5896</t>
  </si>
  <si>
    <t>n:6.9593</t>
  </si>
  <si>
    <t>d:2020-04-22</t>
  </si>
  <si>
    <t>n:7.1789</t>
  </si>
  <si>
    <t>s:CBRT ForexBuying, bulletin 2020/80</t>
  </si>
  <si>
    <t>n:7.5729</t>
  </si>
  <si>
    <t>n:8.592</t>
  </si>
  <si>
    <t>n:6.9708</t>
  </si>
  <si>
    <t>d:2020-04-24</t>
  </si>
  <si>
    <t>n:7.105</t>
  </si>
  <si>
    <t>s:CBRT ForexBuying, bulletin 2020/81</t>
  </si>
  <si>
    <t>n:7.4903</t>
  </si>
  <si>
    <t>n:8.5673</t>
  </si>
  <si>
    <t>n:6.9589</t>
  </si>
  <si>
    <t>d:2020-04-27</t>
  </si>
  <si>
    <t>n:7.1453</t>
  </si>
  <si>
    <t>s:CBRT ForexBuying, bulletin 2020/82</t>
  </si>
  <si>
    <t>n:7.559</t>
  </si>
  <si>
    <t>n:8.6508</t>
  </si>
  <si>
    <t>n:6.9675</t>
  </si>
  <si>
    <t>d:2020-04-28</t>
  </si>
  <si>
    <t>n:7.1462</t>
  </si>
  <si>
    <t>s:CBRT ForexBuying, bulletin 2020/83</t>
  </si>
  <si>
    <t>n:7.5877</t>
  </si>
  <si>
    <t>n:8.6996</t>
  </si>
  <si>
    <t>n:6.9881</t>
  </si>
  <si>
    <t>d:2020-04-29</t>
  </si>
  <si>
    <t>n:7.1537</t>
  </si>
  <si>
    <t>s:CBRT ForexBuying, bulletin 2020/84</t>
  </si>
  <si>
    <t>n:7.5764</t>
  </si>
  <si>
    <t>n:8.6599</t>
  </si>
  <si>
    <t>n:6.9787</t>
  </si>
  <si>
    <t>d:2020-04-30</t>
  </si>
  <si>
    <t>n:7.1589</t>
  </si>
  <si>
    <t>s:CBRT ForexBuying, bulletin 2020/85</t>
  </si>
  <si>
    <t>n:7.5827</t>
  </si>
  <si>
    <t>n:8.6924</t>
  </si>
  <si>
    <t>n:6.9719</t>
  </si>
  <si>
    <t>d:2020-05-04</t>
  </si>
  <si>
    <t>n:7.2599</t>
  </si>
  <si>
    <t>s:CBRT ForexBuying, bulletin 2020/86</t>
  </si>
  <si>
    <t>n:7.6739</t>
  </si>
  <si>
    <t>n:8.7124</t>
  </si>
  <si>
    <t>n:7.0151</t>
  </si>
  <si>
    <t>d:2020-05-05</t>
  </si>
  <si>
    <t>n:7.2631</t>
  </si>
  <si>
    <t>s:CBRT ForexBuying, bulletin 2020/87</t>
  </si>
  <si>
    <t>n:7.6624</t>
  </si>
  <si>
    <t>n:8.7683</t>
  </si>
  <si>
    <t>d:2020-05-06</t>
  </si>
  <si>
    <t>n:7.3074</t>
  </si>
  <si>
    <t>s:CBRT ForexBuying, bulletin 2020/88</t>
  </si>
  <si>
    <t>n:7.7112</t>
  </si>
  <si>
    <t>n:8.8276</t>
  </si>
  <si>
    <t>n:7.1334</t>
  </si>
  <si>
    <t>d:2020-05-07</t>
  </si>
  <si>
    <t>n:7.3847</t>
  </si>
  <si>
    <t>s:CBRT ForexBuying, bulletin 2020/89</t>
  </si>
  <si>
    <t>n:7.7944</t>
  </si>
  <si>
    <t>n:8.9143</t>
  </si>
  <si>
    <t>n:7.2209</t>
  </si>
  <si>
    <t>d:2020-05-08</t>
  </si>
  <si>
    <t>n:7.2862</t>
  </si>
  <si>
    <t>s:CBRT ForexBuying, bulletin 2020/90</t>
  </si>
  <si>
    <t>n:7.6894</t>
  </si>
  <si>
    <t>n:8.7724</t>
  </si>
  <si>
    <t>n:7.096</t>
  </si>
  <si>
    <t>d:2020-05-11</t>
  </si>
  <si>
    <t>n:7.2538</t>
  </si>
  <si>
    <t>s:CBRT ForexBuying, bulletin 2020/91</t>
  </si>
  <si>
    <t>n:7.6509</t>
  </si>
  <si>
    <t>n:8.7204</t>
  </si>
  <si>
    <t>n:7.0676</t>
  </si>
  <si>
    <t>d:2020-05-12</t>
  </si>
  <si>
    <t>n:7.2023</t>
  </si>
  <si>
    <t>s:CBRT ForexBuying, bulletin 2020/92</t>
  </si>
  <si>
    <t>n:7.5922</t>
  </si>
  <si>
    <t>n:8.639</t>
  </si>
  <si>
    <t>n:7.0121</t>
  </si>
  <si>
    <t>d:2020-05-13</t>
  </si>
  <si>
    <t>n:7.1812</t>
  </si>
  <si>
    <t>s:CBRT ForexBuying, bulletin 2020/93</t>
  </si>
  <si>
    <t>n:7.5735</t>
  </si>
  <si>
    <t>n:8.5641</t>
  </si>
  <si>
    <t>n:6.9789</t>
  </si>
  <si>
    <t>d:2020-05-14</t>
  </si>
  <si>
    <t>n:7.1281</t>
  </si>
  <si>
    <t>s:CBRT ForexBuying, bulletin 2020/94</t>
  </si>
  <si>
    <t>n:7.5122</t>
  </si>
  <si>
    <t>n:8.4708</t>
  </si>
  <si>
    <t>n:6.9543</t>
  </si>
  <si>
    <t>d:2020-05-15</t>
  </si>
  <si>
    <t>n:7.0786</t>
  </si>
  <si>
    <t>s:CBRT ForexBuying, bulletin 2020/95</t>
  </si>
  <si>
    <t>n:7.4624</t>
  </si>
  <si>
    <t>n:8.4063</t>
  </si>
  <si>
    <t>n:6.9041</t>
  </si>
  <si>
    <t>d:2020-05-18</t>
  </si>
  <si>
    <t>n:7.0394</t>
  </si>
  <si>
    <t>s:CBRT ForexBuying, bulletin 2020/96</t>
  </si>
  <si>
    <t>n:7.4185</t>
  </si>
  <si>
    <t>n:8.2994</t>
  </si>
  <si>
    <t>n:6.8596</t>
  </si>
  <si>
    <t>d:2020-05-20</t>
  </si>
  <si>
    <t>n:6.9977</t>
  </si>
  <si>
    <t>s:CBRT ForexBuying, bulletin 2020/97</t>
  </si>
  <si>
    <t>n:7.428</t>
  </si>
  <si>
    <t>n:8.2964</t>
  </si>
  <si>
    <t>n:6.7841</t>
  </si>
  <si>
    <t>d:2020-05-21</t>
  </si>
  <si>
    <t>n:7.0097</t>
  </si>
  <si>
    <t>s:CBRT ForexBuying, bulletin 2020/98</t>
  </si>
  <si>
    <t>n:7.4499</t>
  </si>
  <si>
    <t>n:8.2788</t>
  </si>
  <si>
    <t>n:6.7883</t>
  </si>
  <si>
    <t>d:2020-05-22</t>
  </si>
  <si>
    <t>s:CBRT ForexBuying, bulletin 2020/99</t>
  </si>
  <si>
    <t>n:7.4065</t>
  </si>
  <si>
    <t>n:8.2592</t>
  </si>
  <si>
    <t>n:6.7917</t>
  </si>
  <si>
    <t>d:2020-05-27</t>
  </si>
  <si>
    <t>n:6.9583</t>
  </si>
  <si>
    <t>s:CBRT ForexBuying, bulletin 2020/100</t>
  </si>
  <si>
    <t>n:7.4299</t>
  </si>
  <si>
    <t>n:8.3127</t>
  </si>
  <si>
    <t>n:6.7607</t>
  </si>
  <si>
    <t>d:2020-05-28</t>
  </si>
  <si>
    <t>n:6.9858</t>
  </si>
  <si>
    <t>s:CBRT ForexBuying, bulletin 2020/101</t>
  </si>
  <si>
    <t>n:7.4738</t>
  </si>
  <si>
    <t>n:8.3063</t>
  </si>
  <si>
    <t>n:6.7894</t>
  </si>
  <si>
    <t>d:2020-05-29</t>
  </si>
  <si>
    <t>n:7.0653</t>
  </si>
  <si>
    <t>s:CBRT ForexBuying, bulletin 2020/102</t>
  </si>
  <si>
    <t>n:7.577</t>
  </si>
  <si>
    <t>n:8.3838</t>
  </si>
  <si>
    <t>n:6.8138</t>
  </si>
  <si>
    <t>d:2020-06-01</t>
  </si>
  <si>
    <t>n:7.0704</t>
  </si>
  <si>
    <t>s:CBRT ForexBuying, bulletin 2020/103</t>
  </si>
  <si>
    <t>n:7.5724</t>
  </si>
  <si>
    <t>n:8.4224</t>
  </si>
  <si>
    <t>n:6.8059</t>
  </si>
  <si>
    <t>d:2020-06-02</t>
  </si>
  <si>
    <t>n:7.0412</t>
  </si>
  <si>
    <t>s:CBRT ForexBuying, bulletin 2020/104</t>
  </si>
  <si>
    <t>n:7.5654</t>
  </si>
  <si>
    <t>n:8.4923</t>
  </si>
  <si>
    <t>n:6.7817</t>
  </si>
  <si>
    <t>d:2020-06-03</t>
  </si>
  <si>
    <t>n:6.9739</t>
  </si>
  <si>
    <t>s:CBRT ForexBuying, bulletin 2020/105</t>
  </si>
  <si>
    <t>n:7.5439</t>
  </si>
  <si>
    <t>n:8.4541</t>
  </si>
  <si>
    <t>n:6.7308</t>
  </si>
  <si>
    <t>d:2020-06-04</t>
  </si>
  <si>
    <t>n:7.01</t>
  </si>
  <si>
    <t>s:CBRT ForexBuying, bulletin 2020/106</t>
  </si>
  <si>
    <t>n:7.5677</t>
  </si>
  <si>
    <t>n:8.4409</t>
  </si>
  <si>
    <t>n:6.7476</t>
  </si>
  <si>
    <t>d:2020-06-05</t>
  </si>
  <si>
    <t>n:7.0435</t>
  </si>
  <si>
    <t>s:CBRT ForexBuying, bulletin 2020/107</t>
  </si>
  <si>
    <t>n:7.6644</t>
  </si>
  <si>
    <t>n:8.5318</t>
  </si>
  <si>
    <t>n:6.7573</t>
  </si>
  <si>
    <t>d:2020-06-08</t>
  </si>
  <si>
    <t>n:7.0175</t>
  </si>
  <si>
    <t>s:CBRT ForexBuying, bulletin 2020/108</t>
  </si>
  <si>
    <t>n:7.6448</t>
  </si>
  <si>
    <t>n:8.5671</t>
  </si>
  <si>
    <t>n:6.7714</t>
  </si>
  <si>
    <t>d:2020-06-09</t>
  </si>
  <si>
    <t>n:7.0847</t>
  </si>
  <si>
    <t>s:CBRT ForexBuying, bulletin 2020/109</t>
  </si>
  <si>
    <t>n:7.6453</t>
  </si>
  <si>
    <t>n:8.5733</t>
  </si>
  <si>
    <t>n:6.7828</t>
  </si>
  <si>
    <t>d:2020-06-10</t>
  </si>
  <si>
    <t>n:7.1416</t>
  </si>
  <si>
    <t>s:CBRT ForexBuying, bulletin 2020/110</t>
  </si>
  <si>
    <t>n:7.7032</t>
  </si>
  <si>
    <t>n:8.6384</t>
  </si>
  <si>
    <t>n:6.7777</t>
  </si>
  <si>
    <t>d:2020-06-11</t>
  </si>
  <si>
    <t>n:7.1843</t>
  </si>
  <si>
    <t>s:CBRT ForexBuying, bulletin 2020/111</t>
  </si>
  <si>
    <t>n:7.7125</t>
  </si>
  <si>
    <t>n:8.587</t>
  </si>
  <si>
    <t>n:6.7827</t>
  </si>
  <si>
    <t>d:2020-06-12</t>
  </si>
  <si>
    <t>n:7.1878</t>
  </si>
  <si>
    <t>s:CBRT ForexBuying, bulletin 2020/112</t>
  </si>
  <si>
    <t>n:7.7097</t>
  </si>
  <si>
    <t>n:8.5848</t>
  </si>
  <si>
    <t>n:6.8142</t>
  </si>
  <si>
    <t>d:2020-06-15</t>
  </si>
  <si>
    <t>n:7.1503</t>
  </si>
  <si>
    <t>s:CBRT ForexBuying, bulletin 2020/113</t>
  </si>
  <si>
    <t>n:7.6741</t>
  </si>
  <si>
    <t>n:8.5255</t>
  </si>
  <si>
    <t>n:6.822</t>
  </si>
  <si>
    <t>d:2020-06-16</t>
  </si>
  <si>
    <t>n:7.1838</t>
  </si>
  <si>
    <t>s:CBRT ForexBuying, bulletin 2020/114</t>
  </si>
  <si>
    <t>n:7.7306</t>
  </si>
  <si>
    <t>n:8.6167</t>
  </si>
  <si>
    <t>n:6.8254</t>
  </si>
  <si>
    <t>d:2020-06-17</t>
  </si>
  <si>
    <t>n:7.1769</t>
  </si>
  <si>
    <t>s:CBRT ForexBuying, bulletin 2020/115</t>
  </si>
  <si>
    <t>n:7.6884</t>
  </si>
  <si>
    <t>n:8.5664</t>
  </si>
  <si>
    <t>n:6.8333</t>
  </si>
  <si>
    <t>d:2020-06-18</t>
  </si>
  <si>
    <t>n:7.1938</t>
  </si>
  <si>
    <t>s:CBRT ForexBuying, bulletin 2020/116</t>
  </si>
  <si>
    <t>n:7.6992</t>
  </si>
  <si>
    <t>n:8.5501</t>
  </si>
  <si>
    <t>n:6.845</t>
  </si>
  <si>
    <t>d:2020-06-19</t>
  </si>
  <si>
    <t>n:7.184</t>
  </si>
  <si>
    <t>s:CBRT ForexBuying, bulletin 2020/117</t>
  </si>
  <si>
    <t>n:8.4802</t>
  </si>
  <si>
    <t>n:6.844</t>
  </si>
  <si>
    <t>d:2020-06-22</t>
  </si>
  <si>
    <t>n:7.1832</t>
  </si>
  <si>
    <t>s:CBRT ForexBuying, bulletin 2020/118</t>
  </si>
  <si>
    <t>n:7.6713</t>
  </si>
  <si>
    <t>n:8.4723</t>
  </si>
  <si>
    <t>n:6.8422</t>
  </si>
  <si>
    <t>d:2020-06-23</t>
  </si>
  <si>
    <t>n:7.2221</t>
  </si>
  <si>
    <t>s:CBRT ForexBuying, bulletin 2020/119</t>
  </si>
  <si>
    <t>n:7.7278</t>
  </si>
  <si>
    <t>n:8.5213</t>
  </si>
  <si>
    <t>d:2020-06-24</t>
  </si>
  <si>
    <t>n:7.227</t>
  </si>
  <si>
    <t>s:CBRT ForexBuying, bulletin 2020/120</t>
  </si>
  <si>
    <t>n:7.7363</t>
  </si>
  <si>
    <t>n:8.545</t>
  </si>
  <si>
    <t>n:6.8452</t>
  </si>
  <si>
    <t>d:2020-06-25</t>
  </si>
  <si>
    <t>n:7.1942</t>
  </si>
  <si>
    <t>s:CBRT ForexBuying, bulletin 2020/121</t>
  </si>
  <si>
    <t>n:7.6796</t>
  </si>
  <si>
    <t>n:8.4942</t>
  </si>
  <si>
    <t>n:6.8434</t>
  </si>
  <si>
    <t>d:2020-06-26</t>
  </si>
  <si>
    <t>n:7.2011</t>
  </si>
  <si>
    <t>s:CBRT ForexBuying, bulletin 2020/122</t>
  </si>
  <si>
    <t>n:7.6776</t>
  </si>
  <si>
    <t>n:8.4717</t>
  </si>
  <si>
    <t>n:6.8417</t>
  </si>
  <si>
    <t>d:2020-06-29</t>
  </si>
  <si>
    <t>n:7.2161</t>
  </si>
  <si>
    <t>s:CBRT ForexBuying, bulletin 2020/123</t>
  </si>
  <si>
    <t>n:7.7082</t>
  </si>
  <si>
    <t>n:8.4282</t>
  </si>
  <si>
    <t>d:2020-06-30</t>
  </si>
  <si>
    <t>n:7.1734</t>
  </si>
  <si>
    <t>s:CBRT ForexBuying, bulletin 2020/124</t>
  </si>
  <si>
    <t>n:7.672</t>
  </si>
  <si>
    <t>n:8.3844</t>
  </si>
  <si>
    <t>n:6.8432</t>
  </si>
  <si>
    <t>d:2020-07-01</t>
  </si>
  <si>
    <t>n:7.2065</t>
  </si>
  <si>
    <t>s:CBRT ForexBuying, bulletin 2020/125</t>
  </si>
  <si>
    <t>n:7.6774</t>
  </si>
  <si>
    <t>n:8.4644</t>
  </si>
  <si>
    <t>d:2020-07-02</t>
  </si>
  <si>
    <t>n:7.233</t>
  </si>
  <si>
    <t>s:CBRT ForexBuying, bulletin 2020/126</t>
  </si>
  <si>
    <t>n:7.7211</t>
  </si>
  <si>
    <t>n:8.5454</t>
  </si>
  <si>
    <t>n:6.8428</t>
  </si>
  <si>
    <t>d:2020-07-03</t>
  </si>
  <si>
    <t>n:7.2133</t>
  </si>
  <si>
    <t>s:CBRT ForexBuying, bulletin 2020/127</t>
  </si>
  <si>
    <t>n:7.6859</t>
  </si>
  <si>
    <t>n:8.5109</t>
  </si>
  <si>
    <t>d:2020-07-06</t>
  </si>
  <si>
    <t>n:7.2528</t>
  </si>
  <si>
    <t>s:CBRT ForexBuying, bulletin 2020/128</t>
  </si>
  <si>
    <t>n:7.7356</t>
  </si>
  <si>
    <t>n:8.542</t>
  </si>
  <si>
    <t>n:6.8467</t>
  </si>
  <si>
    <t>d:2020-07-07</t>
  </si>
  <si>
    <t>n:7.2447</t>
  </si>
  <si>
    <t>s:CBRT ForexBuying, bulletin 2020/129</t>
  </si>
  <si>
    <t>n:7.73</t>
  </si>
  <si>
    <t>n:8.5427</t>
  </si>
  <si>
    <t>n:6.8519</t>
  </si>
  <si>
    <t>d:2020-07-08</t>
  </si>
  <si>
    <t>n:7.2601</t>
  </si>
  <si>
    <t>s:CBRT ForexBuying, bulletin 2020/130</t>
  </si>
  <si>
    <t>n:7.7308</t>
  </si>
  <si>
    <t>n:8.5788</t>
  </si>
  <si>
    <t>n:6.8523</t>
  </si>
  <si>
    <t>d:2020-07-09</t>
  </si>
  <si>
    <t>n:7.2899</t>
  </si>
  <si>
    <t>s:CBRT ForexBuying, bulletin 2020/131</t>
  </si>
  <si>
    <t>n:7.7688</t>
  </si>
  <si>
    <t>n:8.65</t>
  </si>
  <si>
    <t>n:6.853</t>
  </si>
  <si>
    <t>d:2020-07-10</t>
  </si>
  <si>
    <t>n:7.2575</t>
  </si>
  <si>
    <t>s:CBRT ForexBuying, bulletin 2020/132</t>
  </si>
  <si>
    <t>n:7.7309</t>
  </si>
  <si>
    <t>n:8.617</t>
  </si>
  <si>
    <t>n:6.8514</t>
  </si>
  <si>
    <t>d:2020-07-13</t>
  </si>
  <si>
    <t>n:7.2629</t>
  </si>
  <si>
    <t>s:CBRT ForexBuying, bulletin 2020/133</t>
  </si>
  <si>
    <t>n:7.76</t>
  </si>
  <si>
    <t>n:8.632</t>
  </si>
  <si>
    <t>n:6.8528</t>
  </si>
  <si>
    <t>d:2020-07-14</t>
  </si>
  <si>
    <t>n:7.2727</t>
  </si>
  <si>
    <t>s:CBRT ForexBuying, bulletin 2020/134</t>
  </si>
  <si>
    <t>n:7.7815</t>
  </si>
  <si>
    <t>n:8.569</t>
  </si>
  <si>
    <t>n:6.8524</t>
  </si>
  <si>
    <t>d:2020-07-16</t>
  </si>
  <si>
    <t>n:7.2246</t>
  </si>
  <si>
    <t>s:CBRT ForexBuying, bulletin 2020/135</t>
  </si>
  <si>
    <t>n:7.8021</t>
  </si>
  <si>
    <t>n:8.5697</t>
  </si>
  <si>
    <t>d:2020-07-17</t>
  </si>
  <si>
    <t>n:7.2412</t>
  </si>
  <si>
    <t>s:CBRT ForexBuying, bulletin 2020/136</t>
  </si>
  <si>
    <t>n:7.8083</t>
  </si>
  <si>
    <t>n:8.5749</t>
  </si>
  <si>
    <t>n:6.8439</t>
  </si>
  <si>
    <t>d:2020-07-20</t>
  </si>
  <si>
    <t>n:7.2716</t>
  </si>
  <si>
    <t>s:CBRT ForexBuying, bulletin 2020/137</t>
  </si>
  <si>
    <t>n:7.8391</t>
  </si>
  <si>
    <t>n:8.6017</t>
  </si>
  <si>
    <t>n:6.8438</t>
  </si>
  <si>
    <t>d:2020-07-21</t>
  </si>
  <si>
    <t>n:7.2763</t>
  </si>
  <si>
    <t>s:CBRT ForexBuying, bulletin 2020/138</t>
  </si>
  <si>
    <t>n:7.8296</t>
  </si>
  <si>
    <t>n:8.6695</t>
  </si>
  <si>
    <t>n:6.8429</t>
  </si>
  <si>
    <t>d:2020-07-22</t>
  </si>
  <si>
    <t>n:7.312</t>
  </si>
  <si>
    <t>s:CBRT ForexBuying, bulletin 2020/139</t>
  </si>
  <si>
    <t>n:7.893</t>
  </si>
  <si>
    <t>n:8.658</t>
  </si>
  <si>
    <t>n:6.8372</t>
  </si>
  <si>
    <t>d:2020-07-23</t>
  </si>
  <si>
    <t>n:7.3517</t>
  </si>
  <si>
    <t>s:CBRT ForexBuying, bulletin 2020/140</t>
  </si>
  <si>
    <t>n:7.9191</t>
  </si>
  <si>
    <t>n:8.6796</t>
  </si>
  <si>
    <t>n:6.8348</t>
  </si>
  <si>
    <t>d:2020-07-24</t>
  </si>
  <si>
    <t>n:7.3741</t>
  </si>
  <si>
    <t>s:CBRT ForexBuying, bulletin 2020/141</t>
  </si>
  <si>
    <t>n:7.9298</t>
  </si>
  <si>
    <t>n:8.693</t>
  </si>
  <si>
    <t>n:6.8353</t>
  </si>
  <si>
    <t>d:2020-07-27</t>
  </si>
  <si>
    <t>n:7.4147</t>
  </si>
  <si>
    <t>s:CBRT ForexBuying, bulletin 2020/142</t>
  </si>
  <si>
    <t>n:8.0074</t>
  </si>
  <si>
    <t>n:8.7676</t>
  </si>
  <si>
    <t>n:6.8364</t>
  </si>
  <si>
    <t>d:2020-07-28</t>
  </si>
  <si>
    <t>n:7.4655</t>
  </si>
  <si>
    <t>s:CBRT ForexBuying, bulletin 2020/143</t>
  </si>
  <si>
    <t>n:8.07</t>
  </si>
  <si>
    <t>n:8.8447</t>
  </si>
  <si>
    <t>n:6.8846</t>
  </si>
  <si>
    <t>d:2020-07-29</t>
  </si>
  <si>
    <t>n:7.5521</t>
  </si>
  <si>
    <t>s:CBRT ForexBuying, bulletin 2020/144</t>
  </si>
  <si>
    <t>n:8.1481</t>
  </si>
  <si>
    <t>n:8.976</t>
  </si>
  <si>
    <t>n:6.9372</t>
  </si>
  <si>
    <t>d:2020-08-04</t>
  </si>
  <si>
    <t>n:7.5546</t>
  </si>
  <si>
    <t>s:CBRT ForexBuying, bulletin 2020/145</t>
  </si>
  <si>
    <t>n:8.1676</t>
  </si>
  <si>
    <t>n:9.0383</t>
  </si>
  <si>
    <t>n:6.9334</t>
  </si>
  <si>
    <t>d:2020-08-05</t>
  </si>
  <si>
    <t>n:7.6594</t>
  </si>
  <si>
    <t>s:CBRT ForexBuying, bulletin 2020/146</t>
  </si>
  <si>
    <t>n:8.2718</t>
  </si>
  <si>
    <t>n:9.148</t>
  </si>
  <si>
    <t>n:6.9872</t>
  </si>
  <si>
    <t>d:2020-08-06</t>
  </si>
  <si>
    <t>n:7.8633</t>
  </si>
  <si>
    <t>s:CBRT ForexBuying, bulletin 2020/147</t>
  </si>
  <si>
    <t>n:8.486</t>
  </si>
  <si>
    <t>n:9.4092</t>
  </si>
  <si>
    <t>n:7.1593</t>
  </si>
  <si>
    <t>d:2020-08-07</t>
  </si>
  <si>
    <t>n:7.9381</t>
  </si>
  <si>
    <t>s:CBRT ForexBuying, bulletin 2020/148</t>
  </si>
  <si>
    <t>n:8.5939</t>
  </si>
  <si>
    <t>n:9.4985</t>
  </si>
  <si>
    <t>n:7.2661</t>
  </si>
  <si>
    <t>d:2020-08-10</t>
  </si>
  <si>
    <t>n:7.95</t>
  </si>
  <si>
    <t>s:CBRT ForexBuying, bulletin 2020/149</t>
  </si>
  <si>
    <t>n:8.585</t>
  </si>
  <si>
    <t>n:9.5104</t>
  </si>
  <si>
    <t>n:7.2996</t>
  </si>
  <si>
    <t>d:2020-08-11</t>
  </si>
  <si>
    <t>n:7.9158</t>
  </si>
  <si>
    <t>s:CBRT ForexBuying, bulletin 2020/150</t>
  </si>
  <si>
    <t>n:8.5299</t>
  </si>
  <si>
    <t>n:9.4714</t>
  </si>
  <si>
    <t>n:7.2483</t>
  </si>
  <si>
    <t>d:2020-08-12</t>
  </si>
  <si>
    <t>n:7.9436</t>
  </si>
  <si>
    <t>s:CBRT ForexBuying, bulletin 2020/151</t>
  </si>
  <si>
    <t>n:8.5658</t>
  </si>
  <si>
    <t>n:9.4873</t>
  </si>
  <si>
    <t>n:7.2865</t>
  </si>
  <si>
    <t>d:2020-08-13</t>
  </si>
  <si>
    <t>n:8.0192</t>
  </si>
  <si>
    <t>s:CBRT ForexBuying, bulletin 2020/152</t>
  </si>
  <si>
    <t>n:8.6564</t>
  </si>
  <si>
    <t>n:9.5556</t>
  </si>
  <si>
    <t>n:7.3147</t>
  </si>
  <si>
    <t>d:2020-08-14</t>
  </si>
  <si>
    <t>n:8.0469</t>
  </si>
  <si>
    <t>s:CBRT ForexBuying, bulletin 2020/153</t>
  </si>
  <si>
    <t>n:8.671</t>
  </si>
  <si>
    <t>n:9.5906</t>
  </si>
  <si>
    <t>n:7.3445</t>
  </si>
  <si>
    <t>d:2020-08-17</t>
  </si>
  <si>
    <t>n:8.0994</t>
  </si>
  <si>
    <t>s:CBRT ForexBuying, bulletin 2020/154</t>
  </si>
  <si>
    <t>n:8.7328</t>
  </si>
  <si>
    <t>n:9.6336</t>
  </si>
  <si>
    <t>n:7.3677</t>
  </si>
  <si>
    <t>d:2020-08-18</t>
  </si>
  <si>
    <t>n:8.1211</t>
  </si>
  <si>
    <t>s:CBRT ForexBuying, bulletin 2020/155</t>
  </si>
  <si>
    <t>n:8.7678</t>
  </si>
  <si>
    <t>n:9.6839</t>
  </si>
  <si>
    <t>n:7.3679</t>
  </si>
  <si>
    <t>d:2020-08-19</t>
  </si>
  <si>
    <t>n:8.1144</t>
  </si>
  <si>
    <t>s:CBRT ForexBuying, bulletin 2020/156</t>
  </si>
  <si>
    <t>n:8.771</t>
  </si>
  <si>
    <t>n:9.7074</t>
  </si>
  <si>
    <t>n:7.3477</t>
  </si>
  <si>
    <t>d:2020-08-20</t>
  </si>
  <si>
    <t>n:7.9791</t>
  </si>
  <si>
    <t>s:CBRT ForexBuying, bulletin 2020/157</t>
  </si>
  <si>
    <t>n:8.6389</t>
  </si>
  <si>
    <t>n:9.5484</t>
  </si>
  <si>
    <t>n:7.2952</t>
  </si>
  <si>
    <t>d:2020-08-21</t>
  </si>
  <si>
    <t>n:7.9092</t>
  </si>
  <si>
    <t>s:CBRT ForexBuying, bulletin 2020/158</t>
  </si>
  <si>
    <t>n:8.5281</t>
  </si>
  <si>
    <t>n:9.4965</t>
  </si>
  <si>
    <t>n:7.2156</t>
  </si>
  <si>
    <t>d:2020-08-24</t>
  </si>
  <si>
    <t>n:8.0439</t>
  </si>
  <si>
    <t>s:CBRT ForexBuying, bulletin 2020/159</t>
  </si>
  <si>
    <t>n:8.6764</t>
  </si>
  <si>
    <t>n:9.6069</t>
  </si>
  <si>
    <t>n:7.3372</t>
  </si>
  <si>
    <t>d:2020-08-25</t>
  </si>
  <si>
    <t>n:8.0774</t>
  </si>
  <si>
    <t>s:CBRT ForexBuying, bulletin 2020/160</t>
  </si>
  <si>
    <t>n:8.708</t>
  </si>
  <si>
    <t>n:9.6436</t>
  </si>
  <si>
    <t>n:7.3674</t>
  </si>
  <si>
    <t>d:2020-08-26</t>
  </si>
  <si>
    <t>n:8.0534</t>
  </si>
  <si>
    <t>s:CBRT ForexBuying, bulletin 2020/161</t>
  </si>
  <si>
    <t>n:8.6755</t>
  </si>
  <si>
    <t>n:9.6422</t>
  </si>
  <si>
    <t>n:7.3459</t>
  </si>
  <si>
    <t>d:2020-08-27</t>
  </si>
  <si>
    <t>n:8.0345</t>
  </si>
  <si>
    <t>s:CBRT ForexBuying, bulletin 2020/162</t>
  </si>
  <si>
    <t>n:8.6521</t>
  </si>
  <si>
    <t>n:9.6464</t>
  </si>
  <si>
    <t>n:7.3174</t>
  </si>
  <si>
    <t>d:2020-08-28</t>
  </si>
  <si>
    <t>n:8.0621</t>
  </si>
  <si>
    <t>s:CBRT ForexBuying, bulletin 2020/163</t>
  </si>
  <si>
    <t>n:8.6897</t>
  </si>
  <si>
    <t>n:9.6867</t>
  </si>
  <si>
    <t>n:7.305</t>
  </si>
  <si>
    <t>d:2020-08-31</t>
  </si>
  <si>
    <t>n:8.0878</t>
  </si>
  <si>
    <t>s:CBRT ForexBuying, bulletin 2020/164</t>
  </si>
  <si>
    <t>n:8.7284</t>
  </si>
  <si>
    <t>n:9.7421</t>
  </si>
  <si>
    <t>n:7.3261</t>
  </si>
  <si>
    <t>d:2020-09-01</t>
  </si>
  <si>
    <t>n:8.1115</t>
  </si>
  <si>
    <t>s:CBRT ForexBuying, bulletin 2020/165</t>
  </si>
  <si>
    <t>n:8.7979</t>
  </si>
  <si>
    <t>n:9.851</t>
  </si>
  <si>
    <t>n:7.3421</t>
  </si>
  <si>
    <t>d:2020-09-02</t>
  </si>
  <si>
    <t>n:8.0521</t>
  </si>
  <si>
    <t>s:CBRT ForexBuying, bulletin 2020/166</t>
  </si>
  <si>
    <t>n:8.7321</t>
  </si>
  <si>
    <t>n:9.8064</t>
  </si>
  <si>
    <t>n:7.3563</t>
  </si>
  <si>
    <t>d:2020-09-03</t>
  </si>
  <si>
    <t>n:8.0939</t>
  </si>
  <si>
    <t>s:CBRT ForexBuying, bulletin 2020/167</t>
  </si>
  <si>
    <t>n:8.7435</t>
  </si>
  <si>
    <t>n:9.8108</t>
  </si>
  <si>
    <t>n:7.3994</t>
  </si>
  <si>
    <t>d:2020-09-04</t>
  </si>
  <si>
    <t>n:8.1225</t>
  </si>
  <si>
    <t>s:CBRT ForexBuying, bulletin 2020/168</t>
  </si>
  <si>
    <t>n:8.7822</t>
  </si>
  <si>
    <t>n:9.8311</t>
  </si>
  <si>
    <t>n:7.4133</t>
  </si>
  <si>
    <t>d:2020-09-07</t>
  </si>
  <si>
    <t>n:8.118</t>
  </si>
  <si>
    <t>s:CBRT ForexBuying, bulletin 2020/169</t>
  </si>
  <si>
    <t>n:8.7938</t>
  </si>
  <si>
    <t>n:9.7883</t>
  </si>
  <si>
    <t>n:7.4349</t>
  </si>
  <si>
    <t>d:2020-09-08</t>
  </si>
  <si>
    <t>n:8.1015</t>
  </si>
  <si>
    <t>s:CBRT ForexBuying, bulletin 2020/170</t>
  </si>
  <si>
    <t>n:8.7994</t>
  </si>
  <si>
    <t>n:9.742</t>
  </si>
  <si>
    <t>n:7.4537</t>
  </si>
  <si>
    <t>d:2020-09-09</t>
  </si>
  <si>
    <t>n:8.1131</t>
  </si>
  <si>
    <t>s:CBRT ForexBuying, bulletin 2020/171</t>
  </si>
  <si>
    <t>n:8.7855</t>
  </si>
  <si>
    <t>n:9.6402</t>
  </si>
  <si>
    <t>n:7.467</t>
  </si>
  <si>
    <t>d:2020-09-10</t>
  </si>
  <si>
    <t>n:8.1795</t>
  </si>
  <si>
    <t>s:CBRT ForexBuying, bulletin 2020/172</t>
  </si>
  <si>
    <t>n:8.8228</t>
  </si>
  <si>
    <t>n:9.68</t>
  </si>
  <si>
    <t>n:7.4553</t>
  </si>
  <si>
    <t>d:2020-09-11</t>
  </si>
  <si>
    <t>n:8.1629</t>
  </si>
  <si>
    <t>s:CBRT ForexBuying, bulletin 2020/173</t>
  </si>
  <si>
    <t>n:8.8172</t>
  </si>
  <si>
    <t>n:9.5181</t>
  </si>
  <si>
    <t>n:7.4396</t>
  </si>
  <si>
    <t>d:2020-09-14</t>
  </si>
  <si>
    <t>n:8.2078</t>
  </si>
  <si>
    <t>s:CBRT ForexBuying, bulletin 2020/174</t>
  </si>
  <si>
    <t>n:8.858</t>
  </si>
  <si>
    <t>n:9.5837</t>
  </si>
  <si>
    <t>n:7.4689</t>
  </si>
  <si>
    <t>d:2020-09-15</t>
  </si>
  <si>
    <t>n:8.22</t>
  </si>
  <si>
    <t>s:CBRT ForexBuying, bulletin 2020/175</t>
  </si>
  <si>
    <t>n:8.8759</t>
  </si>
  <si>
    <t>n:9.6084</t>
  </si>
  <si>
    <t>n:7.4668</t>
  </si>
  <si>
    <t>d:2020-09-16</t>
  </si>
  <si>
    <t>n:8.2178</t>
  </si>
  <si>
    <t>s:CBRT ForexBuying, bulletin 2020/176</t>
  </si>
  <si>
    <t>n:8.8606</t>
  </si>
  <si>
    <t>n:9.6406</t>
  </si>
  <si>
    <t>n:7.4678</t>
  </si>
  <si>
    <t>d:2020-09-17</t>
  </si>
  <si>
    <t>n:8.2289</t>
  </si>
  <si>
    <t>s:CBRT ForexBuying, bulletin 2020/177</t>
  </si>
  <si>
    <t>n:8.8648</t>
  </si>
  <si>
    <t>n:9.7159</t>
  </si>
  <si>
    <t>n:7.5152</t>
  </si>
  <si>
    <t>d:2020-09-18</t>
  </si>
  <si>
    <t>n:8.272</t>
  </si>
  <si>
    <t>s:CBRT ForexBuying, bulletin 2020/178</t>
  </si>
  <si>
    <t>n:8.9295</t>
  </si>
  <si>
    <t>n:9.7601</t>
  </si>
  <si>
    <t>n:7.5344</t>
  </si>
  <si>
    <t>d:2020-09-21</t>
  </si>
  <si>
    <t>n:8.2778</t>
  </si>
  <si>
    <t>s:CBRT ForexBuying, bulletin 2020/179</t>
  </si>
  <si>
    <t>n:8.943</t>
  </si>
  <si>
    <t>n:9.7362</t>
  </si>
  <si>
    <t>n:7.572</t>
  </si>
  <si>
    <t>d:2020-09-22</t>
  </si>
  <si>
    <t>n:8.3072</t>
  </si>
  <si>
    <t>s:CBRT ForexBuying, bulletin 2020/180</t>
  </si>
  <si>
    <t>n:8.9553</t>
  </si>
  <si>
    <t>n:9.7466</t>
  </si>
  <si>
    <t>n:7.6251</t>
  </si>
  <si>
    <t>d:2020-09-23</t>
  </si>
  <si>
    <t>n:8.3007</t>
  </si>
  <si>
    <t>s:CBRT ForexBuying, bulletin 2020/181</t>
  </si>
  <si>
    <t>n:8.959</t>
  </si>
  <si>
    <t>n:9.7185</t>
  </si>
  <si>
    <t>n:7.657</t>
  </si>
  <si>
    <t>d:2020-09-24</t>
  </si>
  <si>
    <t>n:8.2655</t>
  </si>
  <si>
    <t>s:CBRT ForexBuying, bulletin 2020/182</t>
  </si>
  <si>
    <t>n:8.9277</t>
  </si>
  <si>
    <t>n:9.7419</t>
  </si>
  <si>
    <t>n:7.663</t>
  </si>
  <si>
    <t>d:2020-09-25</t>
  </si>
  <si>
    <t>n:8.1314</t>
  </si>
  <si>
    <t>s:CBRT ForexBuying, bulletin 2020/183</t>
  </si>
  <si>
    <t>n:8.805</t>
  </si>
  <si>
    <t>n:9.6166</t>
  </si>
  <si>
    <t>d:2020-09-28</t>
  </si>
  <si>
    <t>n:8.3389</t>
  </si>
  <si>
    <t>s:CBRT ForexBuying, bulletin 2020/184</t>
  </si>
  <si>
    <t>n:9.0268</t>
  </si>
  <si>
    <t>n:9.9373</t>
  </si>
  <si>
    <t>n:7.7507</t>
  </si>
  <si>
    <t>d:2020-09-29</t>
  </si>
  <si>
    <t>n:8.4413</t>
  </si>
  <si>
    <t>s:CBRT ForexBuying, bulletin 2020/185</t>
  </si>
  <si>
    <t>n:9.1281</t>
  </si>
  <si>
    <t>n:10.0309</t>
  </si>
  <si>
    <t>n:7.808</t>
  </si>
  <si>
    <t>d:2020-09-30</t>
  </si>
  <si>
    <t>n:8.3847</t>
  </si>
  <si>
    <t>s:CBRT ForexBuying, bulletin 2020/186</t>
  </si>
  <si>
    <t>n:9.0835</t>
  </si>
  <si>
    <t>n:9.9276</t>
  </si>
  <si>
    <t>n:7.7522</t>
  </si>
  <si>
    <t>d:2020-10-01</t>
  </si>
  <si>
    <t>n:8.3587</t>
  </si>
  <si>
    <t>s:CBRT ForexBuying, bulletin 2020/187</t>
  </si>
  <si>
    <t>n:9.0376</t>
  </si>
  <si>
    <t>n:9.8975</t>
  </si>
  <si>
    <t>n:7.6946</t>
  </si>
  <si>
    <t>d:2020-10-02</t>
  </si>
  <si>
    <t>n:8.3783</t>
  </si>
  <si>
    <t>s:CBRT ForexBuying, bulletin 2020/188</t>
  </si>
  <si>
    <t>n:9.0598</t>
  </si>
  <si>
    <t>n:9.9674</t>
  </si>
  <si>
    <t>n:7.7288</t>
  </si>
  <si>
    <t>d:2020-10-05</t>
  </si>
  <si>
    <t>n:8.4117</t>
  </si>
  <si>
    <t>s:CBRT ForexBuying, bulletin 2020/189</t>
  </si>
  <si>
    <t>n:9.0815</t>
  </si>
  <si>
    <t>n:9.9882</t>
  </si>
  <si>
    <t>n:7.7307</t>
  </si>
  <si>
    <t>d:2020-10-06</t>
  </si>
  <si>
    <t>n:8.4484</t>
  </si>
  <si>
    <t>s:CBRT ForexBuying, bulletin 2020/190</t>
  </si>
  <si>
    <t>n:9.1257</t>
  </si>
  <si>
    <t>n:10.0278</t>
  </si>
  <si>
    <t>n:7.7452</t>
  </si>
  <si>
    <t>d:2020-10-07</t>
  </si>
  <si>
    <t>n:8.5152</t>
  </si>
  <si>
    <t>s:CBRT ForexBuying, bulletin 2020/191</t>
  </si>
  <si>
    <t>n:9.2058</t>
  </si>
  <si>
    <t>n:10.0748</t>
  </si>
  <si>
    <t>n:7.8267</t>
  </si>
  <si>
    <t>d:2020-10-08</t>
  </si>
  <si>
    <t>n:8.5837</t>
  </si>
  <si>
    <t>s:CBRT ForexBuying, bulletin 2020/192</t>
  </si>
  <si>
    <t>n:9.2859</t>
  </si>
  <si>
    <t>n:10.1864</t>
  </si>
  <si>
    <t>n:7.8931</t>
  </si>
  <si>
    <t>d:2020-10-09</t>
  </si>
  <si>
    <t>n:8.6343</t>
  </si>
  <si>
    <t>s:CBRT ForexBuying, bulletin 2020/193</t>
  </si>
  <si>
    <t>n:9.3242</t>
  </si>
  <si>
    <t>n:10.221</t>
  </si>
  <si>
    <t>n:7.9072</t>
  </si>
  <si>
    <t>d:2020-10-12</t>
  </si>
  <si>
    <t>n:8.6164</t>
  </si>
  <si>
    <t>s:CBRT ForexBuying, bulletin 2020/194</t>
  </si>
  <si>
    <t>n:9.2889</t>
  </si>
  <si>
    <t>n:10.2307</t>
  </si>
  <si>
    <t>n:7.8673</t>
  </si>
  <si>
    <t>d:2020-10-13</t>
  </si>
  <si>
    <t>n:8.6309</t>
  </si>
  <si>
    <t>s:CBRT ForexBuying, bulletin 2020/195</t>
  </si>
  <si>
    <t>n:9.2866</t>
  </si>
  <si>
    <t>n:10.2586</t>
  </si>
  <si>
    <t>n:7.8778</t>
  </si>
  <si>
    <t>d:2020-10-14</t>
  </si>
  <si>
    <t>n:8.6419</t>
  </si>
  <si>
    <t>s:CBRT ForexBuying, bulletin 2020/196</t>
  </si>
  <si>
    <t>n:9.2986</t>
  </si>
  <si>
    <t>n:10.2208</t>
  </si>
  <si>
    <t>n:7.9205</t>
  </si>
  <si>
    <t>d:2020-10-15</t>
  </si>
  <si>
    <t>n:8.6347</t>
  </si>
  <si>
    <t>s:CBRT ForexBuying, bulletin 2020/197</t>
  </si>
  <si>
    <t>n:9.2724</t>
  </si>
  <si>
    <t>n:10.2416</t>
  </si>
  <si>
    <t>n:7.9116</t>
  </si>
  <si>
    <t>d:2020-10-16</t>
  </si>
  <si>
    <t>n:8.6302</t>
  </si>
  <si>
    <t>s:CBRT ForexBuying, bulletin 2020/198</t>
  </si>
  <si>
    <t>n:9.2692</t>
  </si>
  <si>
    <t>n:10.2075</t>
  </si>
  <si>
    <t>n:7.9129</t>
  </si>
  <si>
    <t>d:2020-10-19</t>
  </si>
  <si>
    <t>n:8.6101</t>
  </si>
  <si>
    <t>s:CBRT ForexBuying, bulletin 2020/199</t>
  </si>
  <si>
    <t>n:9.253</t>
  </si>
  <si>
    <t>n:10.2129</t>
  </si>
  <si>
    <t>d:2020-10-20</t>
  </si>
  <si>
    <t>n:8.6469</t>
  </si>
  <si>
    <t>s:CBRT ForexBuying, bulletin 2020/200</t>
  </si>
  <si>
    <t>n:9.2874</t>
  </si>
  <si>
    <t>n:10.1822</t>
  </si>
  <si>
    <t>n:7.8761</t>
  </si>
  <si>
    <t>d:2020-10-21</t>
  </si>
  <si>
    <t>n:8.6269</t>
  </si>
  <si>
    <t>s:CBRT ForexBuying, bulletin 2020/201</t>
  </si>
  <si>
    <t>n:9.2677</t>
  </si>
  <si>
    <t>n:10.18</t>
  </si>
  <si>
    <t>n:7.8179</t>
  </si>
  <si>
    <t>d:2020-10-22</t>
  </si>
  <si>
    <t>n:8.5845</t>
  </si>
  <si>
    <t>s:CBRT ForexBuying, bulletin 2020/202</t>
  </si>
  <si>
    <t>n:9.2387</t>
  </si>
  <si>
    <t>n:10.2142</t>
  </si>
  <si>
    <t>n:7.8025</t>
  </si>
  <si>
    <t>d:2020-10-23</t>
  </si>
  <si>
    <t>n:8.7476</t>
  </si>
  <si>
    <t>s:CBRT ForexBuying, bulletin 2020/203</t>
  </si>
  <si>
    <t>n:9.3941</t>
  </si>
  <si>
    <t>n:10.363</t>
  </si>
  <si>
    <t>n:7.9379</t>
  </si>
  <si>
    <t>d:2020-10-26</t>
  </si>
  <si>
    <t>n:8.8388</t>
  </si>
  <si>
    <t>s:CBRT ForexBuying, bulletin 2020/204</t>
  </si>
  <si>
    <t>n:9.4924</t>
  </si>
  <si>
    <t>n:10.4486</t>
  </si>
  <si>
    <t>n:8.0285</t>
  </si>
  <si>
    <t>d:2020-10-27</t>
  </si>
  <si>
    <t>n:8.9216</t>
  </si>
  <si>
    <t>s:CBRT ForexBuying, bulletin 2020/205</t>
  </si>
  <si>
    <t>n:9.5974</t>
  </si>
  <si>
    <t>n:10.5639</t>
  </si>
  <si>
    <t>d:2020-10-30</t>
  </si>
  <si>
    <t>n:9.0524</t>
  </si>
  <si>
    <t>s:CBRT ForexBuying, bulletin 2020/206</t>
  </si>
  <si>
    <t>n:9.6985</t>
  </si>
  <si>
    <t>n:10.7367</t>
  </si>
  <si>
    <t>n:8.3082</t>
  </si>
  <si>
    <t>d:2020-11-02</t>
  </si>
  <si>
    <t>n:9.1085</t>
  </si>
  <si>
    <t>s:CBRT ForexBuying, bulletin 2020/207</t>
  </si>
  <si>
    <t>n:9.7506</t>
  </si>
  <si>
    <t>n:10.7892</t>
  </si>
  <si>
    <t>n:8.376</t>
  </si>
  <si>
    <t>d:2020-11-03</t>
  </si>
  <si>
    <t>n:9.2045</t>
  </si>
  <si>
    <t>s:CBRT ForexBuying, bulletin 2020/208</t>
  </si>
  <si>
    <t>n:9.8802</t>
  </si>
  <si>
    <t>n:10.9473</t>
  </si>
  <si>
    <t>n:8.4546</t>
  </si>
  <si>
    <t>d:2020-11-04</t>
  </si>
  <si>
    <t>n:9.2226</t>
  </si>
  <si>
    <t>s:CBRT ForexBuying, bulletin 2020/209</t>
  </si>
  <si>
    <t>n:9.8715</t>
  </si>
  <si>
    <t>n:10.9532</t>
  </si>
  <si>
    <t>n:8.4553</t>
  </si>
  <si>
    <t>d:2020-11-05</t>
  </si>
  <si>
    <t>n:9.2667</t>
  </si>
  <si>
    <t>s:CBRT ForexBuying, bulletin 2020/210</t>
  </si>
  <si>
    <t>n:9.9416</t>
  </si>
  <si>
    <t>n:10.98</t>
  </si>
  <si>
    <t>n:8.4417</t>
  </si>
  <si>
    <t>d:2020-11-06</t>
  </si>
  <si>
    <t>n:9.359</t>
  </si>
  <si>
    <t>s:CBRT ForexBuying, bulletin 2020/211</t>
  </si>
  <si>
    <t>n:10.0279</t>
  </si>
  <si>
    <t>n:11.0973</t>
  </si>
  <si>
    <t>n:8.4613</t>
  </si>
  <si>
    <t>d:2020-11-09</t>
  </si>
  <si>
    <t>n:9.0663</t>
  </si>
  <si>
    <t>s:CBRT ForexBuying, bulletin 2020/212</t>
  </si>
  <si>
    <t>n:9.7173</t>
  </si>
  <si>
    <t>n:10.7433</t>
  </si>
  <si>
    <t>n:8.1778</t>
  </si>
  <si>
    <t>d:2020-11-10</t>
  </si>
  <si>
    <t>n:8.9836</t>
  </si>
  <si>
    <t>s:CBRT ForexBuying, bulletin 2020/213</t>
  </si>
  <si>
    <t>n:9.7278</t>
  </si>
  <si>
    <t>n:10.8705</t>
  </si>
  <si>
    <t>n:8.2358</t>
  </si>
  <si>
    <t>d:2020-11-11</t>
  </si>
  <si>
    <t>n:8.7566</t>
  </si>
  <si>
    <t>s:CBRT ForexBuying, bulletin 2020/214</t>
  </si>
  <si>
    <t>n:9.4921</t>
  </si>
  <si>
    <t>n:10.66</t>
  </si>
  <si>
    <t>n:8.0477</t>
  </si>
  <si>
    <t>d:2020-11-12</t>
  </si>
  <si>
    <t>n:8.4902</t>
  </si>
  <si>
    <t>s:CBRT ForexBuying, bulletin 2020/215</t>
  </si>
  <si>
    <t>n:9.1861</t>
  </si>
  <si>
    <t>n:10.248</t>
  </si>
  <si>
    <t>n:7.7896</t>
  </si>
  <si>
    <t>d:2020-11-13</t>
  </si>
  <si>
    <t>n:8.3232</t>
  </si>
  <si>
    <t>s:CBRT ForexBuying, bulletin 2020/216</t>
  </si>
  <si>
    <t>n:9.0169</t>
  </si>
  <si>
    <t>n:10.0274</t>
  </si>
  <si>
    <t>n:7.6297</t>
  </si>
  <si>
    <t>d:2020-11-16</t>
  </si>
  <si>
    <t>n:8.3993</t>
  </si>
  <si>
    <t>s:CBRT ForexBuying, bulletin 2020/217</t>
  </si>
  <si>
    <t>n:9.093</t>
  </si>
  <si>
    <t>n:10.1135</t>
  </si>
  <si>
    <t>n:7.6751</t>
  </si>
  <si>
    <t>d:2020-11-17</t>
  </si>
  <si>
    <t>n:8.476</t>
  </si>
  <si>
    <t>s:CBRT ForexBuying, bulletin 2020/218</t>
  </si>
  <si>
    <t>n:9.1836</t>
  </si>
  <si>
    <t>n:10.2212</t>
  </si>
  <si>
    <t>n:7.7393</t>
  </si>
  <si>
    <t>d:2020-11-18</t>
  </si>
  <si>
    <t>n:8.4602</t>
  </si>
  <si>
    <t>s:CBRT ForexBuying, bulletin 2020/219</t>
  </si>
  <si>
    <t>n:9.1701</t>
  </si>
  <si>
    <t>n:10.2343</t>
  </si>
  <si>
    <t>n:7.7195</t>
  </si>
  <si>
    <t>d:2020-11-19</t>
  </si>
  <si>
    <t>n:8.3871</t>
  </si>
  <si>
    <t>s:CBRT ForexBuying, bulletin 2020/220</t>
  </si>
  <si>
    <t>n:9.0783</t>
  </si>
  <si>
    <t>n:10.1317</t>
  </si>
  <si>
    <t>n:7.6699</t>
  </si>
  <si>
    <t>d:2020-11-20</t>
  </si>
  <si>
    <t>n:8.3014</t>
  </si>
  <si>
    <t>s:CBRT ForexBuying, bulletin 2020/221</t>
  </si>
  <si>
    <t>n:8.995</t>
  </si>
  <si>
    <t>n:10.0397</t>
  </si>
  <si>
    <t>n:7.5785</t>
  </si>
  <si>
    <t>d:2020-11-23</t>
  </si>
  <si>
    <t>n:8.5097</t>
  </si>
  <si>
    <t>s:CBRT ForexBuying, bulletin 2020/222</t>
  </si>
  <si>
    <t>n:9.2197</t>
  </si>
  <si>
    <t>n:10.3438</t>
  </si>
  <si>
    <t>n:7.7593</t>
  </si>
  <si>
    <t>d:2020-11-24</t>
  </si>
  <si>
    <t>n:8.6625</t>
  </si>
  <si>
    <t>s:CBRT ForexBuying, bulletin 2020/223</t>
  </si>
  <si>
    <t>n:9.3956</t>
  </si>
  <si>
    <t>n:10.553</t>
  </si>
  <si>
    <t>n:7.917</t>
  </si>
  <si>
    <t>d:2020-11-25</t>
  </si>
  <si>
    <t>n:8.689</t>
  </si>
  <si>
    <t>s:CBRT ForexBuying, bulletin 2020/224</t>
  </si>
  <si>
    <t>n:9.4499</t>
  </si>
  <si>
    <t>n:10.5773</t>
  </si>
  <si>
    <t>n:7.9415</t>
  </si>
  <si>
    <t>d:2020-11-26</t>
  </si>
  <si>
    <t>n:8.6727</t>
  </si>
  <si>
    <t>s:CBRT ForexBuying, bulletin 2020/225</t>
  </si>
  <si>
    <t>n:9.4067</t>
  </si>
  <si>
    <t>n:10.5328</t>
  </si>
  <si>
    <t>n:7.8945</t>
  </si>
  <si>
    <t>d:2020-11-27</t>
  </si>
  <si>
    <t>n:8.5803</t>
  </si>
  <si>
    <t>s:CBRT ForexBuying, bulletin 2020/226</t>
  </si>
  <si>
    <t>n:9.2988</t>
  </si>
  <si>
    <t>n:10.3924</t>
  </si>
  <si>
    <t>n:7.7975</t>
  </si>
  <si>
    <t>d:2020-11-30</t>
  </si>
  <si>
    <t>n:8.6062</t>
  </si>
  <si>
    <t>s:CBRT ForexBuying, bulletin 2020/227</t>
  </si>
  <si>
    <t>n:9.3306</t>
  </si>
  <si>
    <t>n:10.3728</t>
  </si>
  <si>
    <t>n:7.7892</t>
  </si>
  <si>
    <t>d:2020-12-01</t>
  </si>
  <si>
    <t>n:8.631</t>
  </si>
  <si>
    <t>s:CBRT ForexBuying, bulletin 2020/228</t>
  </si>
  <si>
    <t>n:9.3868</t>
  </si>
  <si>
    <t>n:10.461</t>
  </si>
  <si>
    <t>n:7.8412</t>
  </si>
  <si>
    <t>d:2020-12-02</t>
  </si>
  <si>
    <t>n:8.6532</t>
  </si>
  <si>
    <t>s:CBRT ForexBuying, bulletin 2020/229</t>
  </si>
  <si>
    <t>n:9.4134</t>
  </si>
  <si>
    <t>n:10.415</t>
  </si>
  <si>
    <t>d:2020-12-03</t>
  </si>
  <si>
    <t>n:8.7622</t>
  </si>
  <si>
    <t>s:CBRT ForexBuying, bulletin 2020/230</t>
  </si>
  <si>
    <t>n:9.5106</t>
  </si>
  <si>
    <t>n:10.5048</t>
  </si>
  <si>
    <t>n:7.8472</t>
  </si>
  <si>
    <t>d:2020-12-04</t>
  </si>
  <si>
    <t>n:8.7137</t>
  </si>
  <si>
    <t>s:CBRT ForexBuying, bulletin 2020/231</t>
  </si>
  <si>
    <t>n:9.4625</t>
  </si>
  <si>
    <t>n:10.4516</t>
  </si>
  <si>
    <t>n:7.7796</t>
  </si>
  <si>
    <t>d:2020-12-07</t>
  </si>
  <si>
    <t>n:8.7654</t>
  </si>
  <si>
    <t>s:CBRT ForexBuying, bulletin 2020/232</t>
  </si>
  <si>
    <t>n:9.4913</t>
  </si>
  <si>
    <t>n:10.411</t>
  </si>
  <si>
    <t>n:7.8373</t>
  </si>
  <si>
    <t>d:2020-12-08</t>
  </si>
  <si>
    <t>n:8.7511</t>
  </si>
  <si>
    <t>s:CBRT ForexBuying, bulletin 2020/233</t>
  </si>
  <si>
    <t>n:9.462</t>
  </si>
  <si>
    <t>n:10.402</t>
  </si>
  <si>
    <t>n:7.8087</t>
  </si>
  <si>
    <t>d:2020-12-09</t>
  </si>
  <si>
    <t>n:8.7849</t>
  </si>
  <si>
    <t>s:CBRT ForexBuying, bulletin 2020/234</t>
  </si>
  <si>
    <t>n:9.484</t>
  </si>
  <si>
    <t>n:10.4807</t>
  </si>
  <si>
    <t>n:7.8203</t>
  </si>
  <si>
    <t>d:2020-12-10</t>
  </si>
  <si>
    <t>n:8.8078</t>
  </si>
  <si>
    <t>s:CBRT ForexBuying, bulletin 2020/235</t>
  </si>
  <si>
    <t>n:9.4932</t>
  </si>
  <si>
    <t>n:10.4286</t>
  </si>
  <si>
    <t>n:7.8499</t>
  </si>
  <si>
    <t>d:2020-12-11</t>
  </si>
  <si>
    <t>n:8.9195</t>
  </si>
  <si>
    <t>s:CBRT ForexBuying, bulletin 2020/236</t>
  </si>
  <si>
    <t>n:9.6241</t>
  </si>
  <si>
    <t>n:10.4842</t>
  </si>
  <si>
    <t>n:7.9349</t>
  </si>
  <si>
    <t>d:2020-12-14</t>
  </si>
  <si>
    <t>n:8.8534</t>
  </si>
  <si>
    <t>s:CBRT ForexBuying, bulletin 2020/237</t>
  </si>
  <si>
    <t>n:9.5624</t>
  </si>
  <si>
    <t>n:10.5264</t>
  </si>
  <si>
    <t>n:7.8699</t>
  </si>
  <si>
    <t>d:2020-12-15</t>
  </si>
  <si>
    <t>n:8.8155</t>
  </si>
  <si>
    <t>s:CBRT ForexBuying, bulletin 2020/238</t>
  </si>
  <si>
    <t>n:9.5184</t>
  </si>
  <si>
    <t>n:10.4251</t>
  </si>
  <si>
    <t>n:7.8331</t>
  </si>
  <si>
    <t>d:2020-12-16</t>
  </si>
  <si>
    <t>n:8.79</t>
  </si>
  <si>
    <t>s:CBRT ForexBuying, bulletin 2020/239</t>
  </si>
  <si>
    <t>n:9.4908</t>
  </si>
  <si>
    <t>n:10.497</t>
  </si>
  <si>
    <t>n:7.7873</t>
  </si>
  <si>
    <t>d:2020-12-17</t>
  </si>
  <si>
    <t>n:8.7541</t>
  </si>
  <si>
    <t>s:CBRT ForexBuying, bulletin 2020/240</t>
  </si>
  <si>
    <t>n:9.4817</t>
  </si>
  <si>
    <t>n:10.5138</t>
  </si>
  <si>
    <t>n:7.751</t>
  </si>
  <si>
    <t>d:2020-12-18</t>
  </si>
  <si>
    <t>s:CBRT ForexBuying, bulletin 2020/241</t>
  </si>
  <si>
    <t>n:9.423</t>
  </si>
  <si>
    <t>n:10.3841</t>
  </si>
  <si>
    <t>n:7.6898</t>
  </si>
  <si>
    <t>d:2020-12-21</t>
  </si>
  <si>
    <t>n:8.6262</t>
  </si>
  <si>
    <t>s:CBRT ForexBuying, bulletin 2020/242</t>
  </si>
  <si>
    <t>n:9.3504</t>
  </si>
  <si>
    <t>n:10.173</t>
  </si>
  <si>
    <t>n:7.6769</t>
  </si>
  <si>
    <t>d:2020-12-22</t>
  </si>
  <si>
    <t>n:8.5956</t>
  </si>
  <si>
    <t>s:CBRT ForexBuying, bulletin 2020/243</t>
  </si>
  <si>
    <t>n:9.3347</t>
  </si>
  <si>
    <t>n:10.2314</t>
  </si>
  <si>
    <t>n:7.6368</t>
  </si>
  <si>
    <t>d:2020-12-23</t>
  </si>
  <si>
    <t>n:8.565</t>
  </si>
  <si>
    <t>s:CBRT ForexBuying, bulletin 2020/244</t>
  </si>
  <si>
    <t>n:9.303</t>
  </si>
  <si>
    <t>n:10.2284</t>
  </si>
  <si>
    <t>n:7.6321</t>
  </si>
  <si>
    <t>d:2020-12-24</t>
  </si>
  <si>
    <t>n:8.5583</t>
  </si>
  <si>
    <t>s:CBRT ForexBuying, bulletin 2020/245</t>
  </si>
  <si>
    <t>n:9.2948</t>
  </si>
  <si>
    <t>n:10.3333</t>
  </si>
  <si>
    <t>n:7.619</t>
  </si>
  <si>
    <t>d:2020-12-25</t>
  </si>
  <si>
    <t>n:8.4712</t>
  </si>
  <si>
    <t>s:CBRT ForexBuying, bulletin 2020/246</t>
  </si>
  <si>
    <t>n:9.2037</t>
  </si>
  <si>
    <t>n:10.223</t>
  </si>
  <si>
    <t>n:7.5517</t>
  </si>
  <si>
    <t>d:2020-12-28</t>
  </si>
  <si>
    <t>n:8.3803</t>
  </si>
  <si>
    <t>s:CBRT ForexBuying, bulletin 2020/247</t>
  </si>
  <si>
    <t>n:9.137</t>
  </si>
  <si>
    <t>n:10.1008</t>
  </si>
  <si>
    <t>d:2020-12-29</t>
  </si>
  <si>
    <t>n:8.3371</t>
  </si>
  <si>
    <t>s:CBRT ForexBuying, bulletin 2020/248</t>
  </si>
  <si>
    <t>n:9.0697</t>
  </si>
  <si>
    <t>n:9.9761</t>
  </si>
  <si>
    <t>n:7.4063</t>
  </si>
  <si>
    <t>d:2020-12-30</t>
  </si>
  <si>
    <t>n:8.2841</t>
  </si>
  <si>
    <t>s:CBRT ForexBuying, bulletin 2020/249</t>
  </si>
  <si>
    <t>n:9.0079</t>
  </si>
  <si>
    <t>n:9.9438</t>
  </si>
  <si>
    <t>n:7.3405</t>
  </si>
  <si>
    <t>d:2020-12-31</t>
  </si>
  <si>
    <t>n:8.4017</t>
  </si>
  <si>
    <t>s:CBRT ForexBuying, bulletin 2020/250</t>
  </si>
  <si>
    <t>n:9.1164</t>
  </si>
  <si>
    <t>n:10.1142</t>
  </si>
  <si>
    <t>n:7.4194</t>
  </si>
  <si>
    <t>d:2021-01-04</t>
  </si>
  <si>
    <t>n:8.3352</t>
  </si>
  <si>
    <t>s:CBRT ForexBuying, bulletin 2021/1</t>
  </si>
  <si>
    <t>n:9.0382</t>
  </si>
  <si>
    <t>n:10.0544</t>
  </si>
  <si>
    <t>n:7.3602</t>
  </si>
  <si>
    <t>d:2021-01-05</t>
  </si>
  <si>
    <t>n:8.3725</t>
  </si>
  <si>
    <t>s:CBRT ForexBuying, bulletin 2021/2</t>
  </si>
  <si>
    <t>n:9.0656</t>
  </si>
  <si>
    <t>n:10.0148</t>
  </si>
  <si>
    <t>n:7.3866</t>
  </si>
  <si>
    <t>d:2021-01-06</t>
  </si>
  <si>
    <t>n:8.3418</t>
  </si>
  <si>
    <t>s:CBRT ForexBuying, bulletin 2021/3</t>
  </si>
  <si>
    <t>n:9.0397</t>
  </si>
  <si>
    <t>n:9.9843</t>
  </si>
  <si>
    <t>n:7.33</t>
  </si>
  <si>
    <t>d:2021-01-07</t>
  </si>
  <si>
    <t>n:8.2281</t>
  </si>
  <si>
    <t>s:CBRT ForexBuying, bulletin 2021/4</t>
  </si>
  <si>
    <t>n:8.9342</t>
  </si>
  <si>
    <t>n:9.8641</t>
  </si>
  <si>
    <t>n:7.2733</t>
  </si>
  <si>
    <t>d:2021-01-08</t>
  </si>
  <si>
    <t>n:8.2765</t>
  </si>
  <si>
    <t>s:CBRT ForexBuying, bulletin 2021/5</t>
  </si>
  <si>
    <t>n:8.9968</t>
  </si>
  <si>
    <t>n:9.9667</t>
  </si>
  <si>
    <t>n:7.349</t>
  </si>
  <si>
    <t>d:2021-01-11</t>
  </si>
  <si>
    <t>n:8.3549</t>
  </si>
  <si>
    <t>s:CBRT ForexBuying, bulletin 2021/6</t>
  </si>
  <si>
    <t>n:9.0629</t>
  </si>
  <si>
    <t>n:10.029</t>
  </si>
  <si>
    <t>n:7.4431</t>
  </si>
  <si>
    <t>d:2021-01-12</t>
  </si>
  <si>
    <t>n:8.3626</t>
  </si>
  <si>
    <t>s:CBRT ForexBuying, bulletin 2021/7</t>
  </si>
  <si>
    <t>n:9.0693</t>
  </si>
  <si>
    <t>n:10.1082</t>
  </si>
  <si>
    <t>n:7.4608</t>
  </si>
  <si>
    <t>d:2021-01-13</t>
  </si>
  <si>
    <t>n:8.3528</t>
  </si>
  <si>
    <t>s:CBRT ForexBuying, bulletin 2021/8</t>
  </si>
  <si>
    <t>n:9.0552</t>
  </si>
  <si>
    <t>n:10.144</t>
  </si>
  <si>
    <t>n:7.4285</t>
  </si>
  <si>
    <t>d:2021-01-14</t>
  </si>
  <si>
    <t>n:8.3025</t>
  </si>
  <si>
    <t>s:CBRT ForexBuying, bulletin 2021/9</t>
  </si>
  <si>
    <t>n:8.9815</t>
  </si>
  <si>
    <t>n:10.0689</t>
  </si>
  <si>
    <t>n:7.3885</t>
  </si>
  <si>
    <t>d:2021-01-15</t>
  </si>
  <si>
    <t>n:8.3018</t>
  </si>
  <si>
    <t>s:CBRT ForexBuying, bulletin 2021/10</t>
  </si>
  <si>
    <t>n:8.9635</t>
  </si>
  <si>
    <t>n:10.0685</t>
  </si>
  <si>
    <t>n:7.3877</t>
  </si>
  <si>
    <t>d:2021-01-18</t>
  </si>
  <si>
    <t>n:8.3904</t>
  </si>
  <si>
    <t>s:CBRT ForexBuying, bulletin 2021/11</t>
  </si>
  <si>
    <t>n:9.0457</t>
  </si>
  <si>
    <t>n:10.1348</t>
  </si>
  <si>
    <t>n:7.4952</t>
  </si>
  <si>
    <t>d:2021-01-19</t>
  </si>
  <si>
    <t>n:8.3595</t>
  </si>
  <si>
    <t>s:CBRT ForexBuying, bulletin 2021/12</t>
  </si>
  <si>
    <t>n:9.0235</t>
  </si>
  <si>
    <t>n:10.1194</t>
  </si>
  <si>
    <t>n:7.4485</t>
  </si>
  <si>
    <t>d:2021-01-20</t>
  </si>
  <si>
    <t>n:8.3507</t>
  </si>
  <si>
    <t>s:CBRT ForexBuying, bulletin 2021/13</t>
  </si>
  <si>
    <t>n:9.0232</t>
  </si>
  <si>
    <t>n:10.1559</t>
  </si>
  <si>
    <t>n:7.4367</t>
  </si>
  <si>
    <t>d:2021-01-21</t>
  </si>
  <si>
    <t>n:8.2976</t>
  </si>
  <si>
    <t>s:CBRT ForexBuying, bulletin 2021/14</t>
  </si>
  <si>
    <t>n:8.9597</t>
  </si>
  <si>
    <t>n:10.1128</t>
  </si>
  <si>
    <t>n:7.3836</t>
  </si>
  <si>
    <t>d:2021-01-22</t>
  </si>
  <si>
    <t>n:8.3407</t>
  </si>
  <si>
    <t>s:CBRT ForexBuying, bulletin 2021/15</t>
  </si>
  <si>
    <t>n:9.0044</t>
  </si>
  <si>
    <t>n:10.1006</t>
  </si>
  <si>
    <t>n:7.3985</t>
  </si>
  <si>
    <t>d:2021-01-25</t>
  </si>
  <si>
    <t>n:8.3096</t>
  </si>
  <si>
    <t>s:CBRT ForexBuying, bulletin 2021/16</t>
  </si>
  <si>
    <t>n:8.9778</t>
  </si>
  <si>
    <t>n:10.0926</t>
  </si>
  <si>
    <t>n:7.3797</t>
  </si>
  <si>
    <t>d:2021-01-26</t>
  </si>
  <si>
    <t>n:8.2857</t>
  </si>
  <si>
    <t>s:CBRT ForexBuying, bulletin 2021/17</t>
  </si>
  <si>
    <t>n:8.955</t>
  </si>
  <si>
    <t>n:10.0587</t>
  </si>
  <si>
    <t>n:7.3835</t>
  </si>
  <si>
    <t>d:2021-01-27</t>
  </si>
  <si>
    <t>n:8.2674</t>
  </si>
  <si>
    <t>s:CBRT ForexBuying, bulletin 2021/18</t>
  </si>
  <si>
    <t>n:8.9276</t>
  </si>
  <si>
    <t>n:10.0854</t>
  </si>
  <si>
    <t>d:2021-01-28</t>
  </si>
  <si>
    <t>n:8.266</t>
  </si>
  <si>
    <t>s:CBRT ForexBuying, bulletin 2021/19</t>
  </si>
  <si>
    <t>n:10.0504</t>
  </si>
  <si>
    <t>n:7.3723</t>
  </si>
  <si>
    <t>d:2021-01-29</t>
  </si>
  <si>
    <t>n:8.2168</t>
  </si>
  <si>
    <t>s:CBRT ForexBuying, bulletin 2021/20</t>
  </si>
  <si>
    <t>n:8.8718</t>
  </si>
  <si>
    <t>n:10.01</t>
  </si>
  <si>
    <t>n:7.3216</t>
  </si>
  <si>
    <t>d:2021-02-01</t>
  </si>
  <si>
    <t>n:8.055</t>
  </si>
  <si>
    <t>s:CBRT ForexBuying, bulletin 2021/21</t>
  </si>
  <si>
    <t>n:8.7345</t>
  </si>
  <si>
    <t>n:9.8916</t>
  </si>
  <si>
    <t>n:7.2185</t>
  </si>
  <si>
    <t>d:2021-02-02</t>
  </si>
  <si>
    <t>n:7.9391</t>
  </si>
  <si>
    <t>s:CBRT ForexBuying, bulletin 2021/22</t>
  </si>
  <si>
    <t>n:8.607</t>
  </si>
  <si>
    <t>n:9.7488</t>
  </si>
  <si>
    <t>n:7.1372</t>
  </si>
  <si>
    <t>d:2021-02-03</t>
  </si>
  <si>
    <t>n:7.9377</t>
  </si>
  <si>
    <t>s:CBRT ForexBuying, bulletin 2021/23</t>
  </si>
  <si>
    <t>n:8.5995</t>
  </si>
  <si>
    <t>n:9.7423</t>
  </si>
  <si>
    <t>n:7.1498</t>
  </si>
  <si>
    <t>d:2021-02-04</t>
  </si>
  <si>
    <t>n:7.8919</t>
  </si>
  <si>
    <t>s:CBRT ForexBuying, bulletin 2021/24</t>
  </si>
  <si>
    <t>n:8.5559</t>
  </si>
  <si>
    <t>n:9.6718</t>
  </si>
  <si>
    <t>n:7.1324</t>
  </si>
  <si>
    <t>d:2021-02-05</t>
  </si>
  <si>
    <t>n:7.8192</t>
  </si>
  <si>
    <t>s:CBRT ForexBuying, bulletin 2021/25</t>
  </si>
  <si>
    <t>n:8.4764</t>
  </si>
  <si>
    <t>n:9.6735</t>
  </si>
  <si>
    <t>n:7.0789</t>
  </si>
  <si>
    <t>d:2021-02-08</t>
  </si>
  <si>
    <t>n:7.83</t>
  </si>
  <si>
    <t>s:CBRT ForexBuying, bulletin 2021/26</t>
  </si>
  <si>
    <t>n:8.5036</t>
  </si>
  <si>
    <t>n:9.6714</t>
  </si>
  <si>
    <t>n:7.0663</t>
  </si>
  <si>
    <t>d:2021-02-09</t>
  </si>
  <si>
    <t>n:7.8985</t>
  </si>
  <si>
    <t>s:CBRT ForexBuying, bulletin 2021/27</t>
  </si>
  <si>
    <t>n:9.7399</t>
  </si>
  <si>
    <t>n:7.0821</t>
  </si>
  <si>
    <t>d:2021-02-10</t>
  </si>
  <si>
    <t>n:7.8953</t>
  </si>
  <si>
    <t>s:CBRT ForexBuying, bulletin 2021/28</t>
  </si>
  <si>
    <t>n:8.5517</t>
  </si>
  <si>
    <t>n:9.7395</t>
  </si>
  <si>
    <t>n:7.0513</t>
  </si>
  <si>
    <t>d:2021-02-11</t>
  </si>
  <si>
    <t>n:7.89</t>
  </si>
  <si>
    <t>s:CBRT ForexBuying, bulletin 2021/29</t>
  </si>
  <si>
    <t>n:8.5374</t>
  </si>
  <si>
    <t>n:9.7222</t>
  </si>
  <si>
    <t>n:7.0404</t>
  </si>
  <si>
    <t>d:2021-02-12</t>
  </si>
  <si>
    <t>n:7.8493</t>
  </si>
  <si>
    <t>s:CBRT ForexBuying, bulletin 2021/30</t>
  </si>
  <si>
    <t>n:8.4977</t>
  </si>
  <si>
    <t>n:9.6582</t>
  </si>
  <si>
    <t>n:7.0162</t>
  </si>
  <si>
    <t>d:2021-02-15</t>
  </si>
  <si>
    <t>n:7.8077</t>
  </si>
  <si>
    <t>s:CBRT ForexBuying, bulletin 2021/31</t>
  </si>
  <si>
    <t>n:8.4607</t>
  </si>
  <si>
    <t>n:9.6755</t>
  </si>
  <si>
    <t>n:6.9724</t>
  </si>
  <si>
    <t>d:2021-02-16</t>
  </si>
  <si>
    <t>n:7.7648</t>
  </si>
  <si>
    <t>s:CBRT ForexBuying, bulletin 2021/32</t>
  </si>
  <si>
    <t>n:8.4026</t>
  </si>
  <si>
    <t>n:9.6141</t>
  </si>
  <si>
    <t>n:6.915</t>
  </si>
  <si>
    <t>d:2021-02-17</t>
  </si>
  <si>
    <t>n:7.8103</t>
  </si>
  <si>
    <t>s:CBRT ForexBuying, bulletin 2021/33</t>
  </si>
  <si>
    <t>n:8.4558</t>
  </si>
  <si>
    <t>n:9.7038</t>
  </si>
  <si>
    <t>n:7.004</t>
  </si>
  <si>
    <t>d:2021-02-18</t>
  </si>
  <si>
    <t>n:7.7279</t>
  </si>
  <si>
    <t>s:CBRT ForexBuying, bulletin 2021/34</t>
  </si>
  <si>
    <t>n:8.3867</t>
  </si>
  <si>
    <t>n:9.6503</t>
  </si>
  <si>
    <t>n:6.9527</t>
  </si>
  <si>
    <t>d:2021-02-19</t>
  </si>
  <si>
    <t>n:7.7637</t>
  </si>
  <si>
    <t>s:CBRT ForexBuying, bulletin 2021/35</t>
  </si>
  <si>
    <t>n:9.7226</t>
  </si>
  <si>
    <t>n:6.9611</t>
  </si>
  <si>
    <t>d:2021-02-22</t>
  </si>
  <si>
    <t>n:7.7585</t>
  </si>
  <si>
    <t>s:CBRT ForexBuying, bulletin 2021/36</t>
  </si>
  <si>
    <t>n:8.475</t>
  </si>
  <si>
    <t>n:9.7829</t>
  </si>
  <si>
    <t>n:6.994</t>
  </si>
  <si>
    <t>d:2021-02-23</t>
  </si>
  <si>
    <t>n:7.7998</t>
  </si>
  <si>
    <t>s:CBRT ForexBuying, bulletin 2021/37</t>
  </si>
  <si>
    <t>n:8.5418</t>
  </si>
  <si>
    <t>n:9.8772</t>
  </si>
  <si>
    <t>n:7.0253</t>
  </si>
  <si>
    <t>d:2021-02-24</t>
  </si>
  <si>
    <t>n:7.8496</t>
  </si>
  <si>
    <t>s:CBRT ForexBuying, bulletin 2021/38</t>
  </si>
  <si>
    <t>n:8.6774</t>
  </si>
  <si>
    <t>n:10.0912</t>
  </si>
  <si>
    <t>n:7.1357</t>
  </si>
  <si>
    <t>d:2021-02-25</t>
  </si>
  <si>
    <t>n:7.9233</t>
  </si>
  <si>
    <t>s:CBRT ForexBuying, bulletin 2021/39</t>
  </si>
  <si>
    <t>n:8.7811</t>
  </si>
  <si>
    <t>n:10.166</t>
  </si>
  <si>
    <t>n:7.1924</t>
  </si>
  <si>
    <t>d:2021-02-26</t>
  </si>
  <si>
    <t>n:8.1257</t>
  </si>
  <si>
    <t>s:CBRT ForexBuying, bulletin 2021/40</t>
  </si>
  <si>
    <t>n:8.942</t>
  </si>
  <si>
    <t>n:10.2477</t>
  </si>
  <si>
    <t>n:7.3708</t>
  </si>
  <si>
    <t>d:2021-03-01</t>
  </si>
  <si>
    <t>n:7.9966</t>
  </si>
  <si>
    <t>s:CBRT ForexBuying, bulletin 2021/41</t>
  </si>
  <si>
    <t>n:8.8059</t>
  </si>
  <si>
    <t>n:10.1758</t>
  </si>
  <si>
    <t>n:7.3029</t>
  </si>
  <si>
    <t>d:2021-03-02</t>
  </si>
  <si>
    <t>n:7.9497</t>
  </si>
  <si>
    <t>s:CBRT ForexBuying, bulletin 2021/42</t>
  </si>
  <si>
    <t>n:10.138</t>
  </si>
  <si>
    <t>n:7.3117</t>
  </si>
  <si>
    <t>d:2021-03-03</t>
  </si>
  <si>
    <t>n:7.9935</t>
  </si>
  <si>
    <t>s:CBRT ForexBuying, bulletin 2021/43</t>
  </si>
  <si>
    <t>n:8.8679</t>
  </si>
  <si>
    <t>n:10.2348</t>
  </si>
  <si>
    <t>n:7.3391</t>
  </si>
  <si>
    <t>d:2021-03-04</t>
  </si>
  <si>
    <t>n:8.0622</t>
  </si>
  <si>
    <t>s:CBRT ForexBuying, bulletin 2021/44</t>
  </si>
  <si>
    <t>n:8.9768</t>
  </si>
  <si>
    <t>n:10.374</t>
  </si>
  <si>
    <t>n:7.4524</t>
  </si>
  <si>
    <t>d:2021-03-05</t>
  </si>
  <si>
    <t>s:CBRT ForexBuying, bulletin 2021/45</t>
  </si>
  <si>
    <t>n:8.9643</t>
  </si>
  <si>
    <t>n:10.3747</t>
  </si>
  <si>
    <t>n:7.5096</t>
  </si>
  <si>
    <t>d:2021-03-08</t>
  </si>
  <si>
    <t>n:8.116</t>
  </si>
  <si>
    <t>s:CBRT ForexBuying, bulletin 2021/46</t>
  </si>
  <si>
    <t>n:9.0208</t>
  </si>
  <si>
    <t>n:10.482</t>
  </si>
  <si>
    <t>n:7.5939</t>
  </si>
  <si>
    <t>d:2021-03-09</t>
  </si>
  <si>
    <t>n:8.1677</t>
  </si>
  <si>
    <t>s:CBRT ForexBuying, bulletin 2021/47</t>
  </si>
  <si>
    <t>n:9.0851</t>
  </si>
  <si>
    <t>n:10.5838</t>
  </si>
  <si>
    <t>n:7.6403</t>
  </si>
  <si>
    <t>d:2021-03-10</t>
  </si>
  <si>
    <t>n:8.1497</t>
  </si>
  <si>
    <t>s:CBRT ForexBuying, bulletin 2021/48</t>
  </si>
  <si>
    <t>n:9.0315</t>
  </si>
  <si>
    <t>n:10.5294</t>
  </si>
  <si>
    <t>n:7.5952</t>
  </si>
  <si>
    <t>d:2021-03-11</t>
  </si>
  <si>
    <t>n:8.0149</t>
  </si>
  <si>
    <t>s:CBRT ForexBuying, bulletin 2021/49</t>
  </si>
  <si>
    <t>n:8.8995</t>
  </si>
  <si>
    <t>n:10.3672</t>
  </si>
  <si>
    <t>n:7.4446</t>
  </si>
  <si>
    <t>d:2021-03-12</t>
  </si>
  <si>
    <t>n:8.1236</t>
  </si>
  <si>
    <t>s:CBRT ForexBuying, bulletin 2021/50</t>
  </si>
  <si>
    <t>n:9.0326</t>
  </si>
  <si>
    <t>n:10.5266</t>
  </si>
  <si>
    <t>n:7.5709</t>
  </si>
  <si>
    <t>d:2021-03-15</t>
  </si>
  <si>
    <t>n:8.0891</t>
  </si>
  <si>
    <t>s:CBRT ForexBuying, bulletin 2021/51</t>
  </si>
  <si>
    <t>n:8.9912</t>
  </si>
  <si>
    <t>n:10.4784</t>
  </si>
  <si>
    <t>n:7.5374</t>
  </si>
  <si>
    <t>d:2021-03-16</t>
  </si>
  <si>
    <t>n:8.0779</t>
  </si>
  <si>
    <t>s:CBRT ForexBuying, bulletin 2021/52</t>
  </si>
  <si>
    <t>n:8.954</t>
  </si>
  <si>
    <t>n:10.3687</t>
  </si>
  <si>
    <t>n:7.5041</t>
  </si>
  <si>
    <t>d:2021-03-17</t>
  </si>
  <si>
    <t>n:8.0718</t>
  </si>
  <si>
    <t>s:CBRT ForexBuying, bulletin 2021/53</t>
  </si>
  <si>
    <t>n:8.9242</t>
  </si>
  <si>
    <t>n:10.4093</t>
  </si>
  <si>
    <t>n:7.498</t>
  </si>
  <si>
    <t>d:2021-03-18</t>
  </si>
  <si>
    <t>n:8.0421</t>
  </si>
  <si>
    <t>s:CBRT ForexBuying, bulletin 2021/54</t>
  </si>
  <si>
    <t>n:8.9113</t>
  </si>
  <si>
    <t>n:10.3985</t>
  </si>
  <si>
    <t>n:7.4573</t>
  </si>
  <si>
    <t>d:2021-03-19</t>
  </si>
  <si>
    <t>n:7.8166</t>
  </si>
  <si>
    <t>s:CBRT ForexBuying, bulletin 2021/55</t>
  </si>
  <si>
    <t>n:8.6566</t>
  </si>
  <si>
    <t>n:10.1064</t>
  </si>
  <si>
    <t>n:7.267</t>
  </si>
  <si>
    <t>d:2021-03-22</t>
  </si>
  <si>
    <t>n:8.5004</t>
  </si>
  <si>
    <t>s:CBRT ForexBuying, bulletin 2021/56</t>
  </si>
  <si>
    <t>n:9.4069</t>
  </si>
  <si>
    <t>n:10.9343</t>
  </si>
  <si>
    <t>n:7.904</t>
  </si>
  <si>
    <t>d:2021-03-23</t>
  </si>
  <si>
    <t>n:8.3922</t>
  </si>
  <si>
    <t>s:CBRT ForexBuying, bulletin 2021/57</t>
  </si>
  <si>
    <t>n:9.2902</t>
  </si>
  <si>
    <t>n:10.7583</t>
  </si>
  <si>
    <t>n:7.8082</t>
  </si>
  <si>
    <t>d:2021-03-24</t>
  </si>
  <si>
    <t>n:8.4974</t>
  </si>
  <si>
    <t>s:CBRT ForexBuying, bulletin 2021/58</t>
  </si>
  <si>
    <t>n:9.4257</t>
  </si>
  <si>
    <t>n:10.902</t>
  </si>
  <si>
    <t>n:7.9666</t>
  </si>
  <si>
    <t>d:2021-03-25</t>
  </si>
  <si>
    <t>n:8.4634</t>
  </si>
  <si>
    <t>s:CBRT ForexBuying, bulletin 2021/59</t>
  </si>
  <si>
    <t>n:9.3778</t>
  </si>
  <si>
    <t>n:10.8559</t>
  </si>
  <si>
    <t>n:7.9409</t>
  </si>
  <si>
    <t>d:2021-03-26</t>
  </si>
  <si>
    <t>n:8.4747</t>
  </si>
  <si>
    <t>s:CBRT ForexBuying, bulletin 2021/60</t>
  </si>
  <si>
    <t>n:9.415</t>
  </si>
  <si>
    <t>n:10.9848</t>
  </si>
  <si>
    <t>n:7.9893</t>
  </si>
  <si>
    <t>d:2021-03-29</t>
  </si>
  <si>
    <t>n:8.6259</t>
  </si>
  <si>
    <t>s:CBRT ForexBuying, bulletin 2021/61</t>
  </si>
  <si>
    <t>n:9.5618</t>
  </si>
  <si>
    <t>n:11.1957</t>
  </si>
  <si>
    <t>n:8.1192</t>
  </si>
  <si>
    <t>d:2021-03-30</t>
  </si>
  <si>
    <t>n:8.8191</t>
  </si>
  <si>
    <t>s:CBRT ForexBuying, bulletin 2021/62</t>
  </si>
  <si>
    <t>n:9.7741</t>
  </si>
  <si>
    <t>n:11.4324</t>
  </si>
  <si>
    <t>n:8.326</t>
  </si>
  <si>
    <t>d:2021-03-31</t>
  </si>
  <si>
    <t>n:8.8104</t>
  </si>
  <si>
    <t>s:CBRT ForexBuying, bulletin 2021/63</t>
  </si>
  <si>
    <t>n:9.7688</t>
  </si>
  <si>
    <t>n:11.4411</t>
  </si>
  <si>
    <t>n:8.3258</t>
  </si>
  <si>
    <t>d:2021-04-01</t>
  </si>
  <si>
    <t>n:8.6182</t>
  </si>
  <si>
    <t>s:CBRT ForexBuying, bulletin 2021/64</t>
  </si>
  <si>
    <t>n:9.5898</t>
  </si>
  <si>
    <t>n:11.2369</t>
  </si>
  <si>
    <t>n:8.1707</t>
  </si>
  <si>
    <t>d:2021-04-02</t>
  </si>
  <si>
    <t>n:8.5186</t>
  </si>
  <si>
    <t>s:CBRT ForexBuying, bulletin 2021/65</t>
  </si>
  <si>
    <t>n:9.4646</t>
  </si>
  <si>
    <t>n:11.1005</t>
  </si>
  <si>
    <t>n:8.0362</t>
  </si>
  <si>
    <t>d:2021-04-05</t>
  </si>
  <si>
    <t>n:8.6116</t>
  </si>
  <si>
    <t>s:CBRT ForexBuying, bulletin 2021/66</t>
  </si>
  <si>
    <t>n:9.5622</t>
  </si>
  <si>
    <t>n:11.2559</t>
  </si>
  <si>
    <t>n:8.1394</t>
  </si>
  <si>
    <t>d:2021-04-06</t>
  </si>
  <si>
    <t>n:8.6618</t>
  </si>
  <si>
    <t>s:CBRT ForexBuying, bulletin 2021/67</t>
  </si>
  <si>
    <t>n:9.6191</t>
  </si>
  <si>
    <t>n:11.2618</t>
  </si>
  <si>
    <t>n:8.1441</t>
  </si>
  <si>
    <t>d:2021-04-07</t>
  </si>
  <si>
    <t>n:8.7689</t>
  </si>
  <si>
    <t>s:CBRT ForexBuying, bulletin 2021/68</t>
  </si>
  <si>
    <t>n:9.7075</t>
  </si>
  <si>
    <t>n:11.2625</t>
  </si>
  <si>
    <t>n:8.1688</t>
  </si>
  <si>
    <t>d:2021-04-08</t>
  </si>
  <si>
    <t>n:8.7615</t>
  </si>
  <si>
    <t>s:CBRT ForexBuying, bulletin 2021/69</t>
  </si>
  <si>
    <t>n:9.6808</t>
  </si>
  <si>
    <t>n:11.1906</t>
  </si>
  <si>
    <t>n:8.1518</t>
  </si>
  <si>
    <t>d:2021-04-09</t>
  </si>
  <si>
    <t>n:8.7705</t>
  </si>
  <si>
    <t>s:CBRT ForexBuying, bulletin 2021/70</t>
  </si>
  <si>
    <t>n:9.6777</t>
  </si>
  <si>
    <t>n:11.1345</t>
  </si>
  <si>
    <t>n:8.1383</t>
  </si>
  <si>
    <t>d:2021-04-12</t>
  </si>
  <si>
    <t>n:8.8129</t>
  </si>
  <si>
    <t>s:CBRT ForexBuying, bulletin 2021/71</t>
  </si>
  <si>
    <t>n:9.7149</t>
  </si>
  <si>
    <t>n:11.2039</t>
  </si>
  <si>
    <t>n:8.1681</t>
  </si>
  <si>
    <t>d:2021-04-13</t>
  </si>
  <si>
    <t>n:8.7776</t>
  </si>
  <si>
    <t>s:CBRT ForexBuying, bulletin 2021/72</t>
  </si>
  <si>
    <t>n:9.6805</t>
  </si>
  <si>
    <t>n:11.1674</t>
  </si>
  <si>
    <t>d:2021-04-14</t>
  </si>
  <si>
    <t>n:8.7454</t>
  </si>
  <si>
    <t>s:CBRT ForexBuying, bulletin 2021/73</t>
  </si>
  <si>
    <t>n:9.6558</t>
  </si>
  <si>
    <t>n:11.103</t>
  </si>
  <si>
    <t>n:8.0729</t>
  </si>
  <si>
    <t>d:2021-04-15</t>
  </si>
  <si>
    <t>n:8.7088</t>
  </si>
  <si>
    <t>s:CBRT ForexBuying, bulletin 2021/74</t>
  </si>
  <si>
    <t>n:9.647</t>
  </si>
  <si>
    <t>n:11.0847</t>
  </si>
  <si>
    <t>n:8.0567</t>
  </si>
  <si>
    <t>d:2021-04-16</t>
  </si>
  <si>
    <t>n:8.7426</t>
  </si>
  <si>
    <t>s:CBRT ForexBuying, bulletin 2021/75</t>
  </si>
  <si>
    <t>n:9.6524</t>
  </si>
  <si>
    <t>n:11.0742</t>
  </si>
  <si>
    <t>n:8.0574</t>
  </si>
  <si>
    <t>d:2021-04-19</t>
  </si>
  <si>
    <t>n:8.7764</t>
  </si>
  <si>
    <t>s:CBRT ForexBuying, bulletin 2021/76</t>
  </si>
  <si>
    <t>n:9.6802</t>
  </si>
  <si>
    <t>n:11.167</t>
  </si>
  <si>
    <t>n:8.0514</t>
  </si>
  <si>
    <t>d:2021-04-20</t>
  </si>
  <si>
    <t>n:8.8331</t>
  </si>
  <si>
    <t>s:CBRT ForexBuying, bulletin 2021/77</t>
  </si>
  <si>
    <t>n:9.7718</t>
  </si>
  <si>
    <t>n:11.3097</t>
  </si>
  <si>
    <t>n:8.1011</t>
  </si>
  <si>
    <t>d:2021-04-21</t>
  </si>
  <si>
    <t>n:8.8542</t>
  </si>
  <si>
    <t>s:CBRT ForexBuying, bulletin 2021/78</t>
  </si>
  <si>
    <t>n:9.7816</t>
  </si>
  <si>
    <t>n:11.3258</t>
  </si>
  <si>
    <t>n:8.1433</t>
  </si>
  <si>
    <t>d:2021-04-22</t>
  </si>
  <si>
    <t>n:9.0114</t>
  </si>
  <si>
    <t>s:CBRT ForexBuying, bulletin 2021/79</t>
  </si>
  <si>
    <t>n:9.9576</t>
  </si>
  <si>
    <t>n:11.4841</t>
  </si>
  <si>
    <t>n:8.2694</t>
  </si>
  <si>
    <t>d:2021-04-26</t>
  </si>
  <si>
    <t>n:9.0882</t>
  </si>
  <si>
    <t>s:CBRT ForexBuying, bulletin 2021/80</t>
  </si>
  <si>
    <t>n:10.0735</t>
  </si>
  <si>
    <t>n:11.5637</t>
  </si>
  <si>
    <t>n:8.3295</t>
  </si>
  <si>
    <t>d:2021-04-27</t>
  </si>
  <si>
    <t>n:8.9754</t>
  </si>
  <si>
    <t>s:CBRT ForexBuying, bulletin 2021/81</t>
  </si>
  <si>
    <t>n:9.9371</t>
  </si>
  <si>
    <t>n:11.413</t>
  </si>
  <si>
    <t>n:8.231</t>
  </si>
  <si>
    <t>d:2021-04-28</t>
  </si>
  <si>
    <t>n:8.917</t>
  </si>
  <si>
    <t>s:CBRT ForexBuying, bulletin 2021/82</t>
  </si>
  <si>
    <t>n:9.8799</t>
  </si>
  <si>
    <t>n:11.3398</t>
  </si>
  <si>
    <t>n:8.186</t>
  </si>
  <si>
    <t>d:2021-04-29</t>
  </si>
  <si>
    <t>n:8.9642</t>
  </si>
  <si>
    <t>s:CBRT ForexBuying, bulletin 2021/83</t>
  </si>
  <si>
    <t>n:9.909</t>
  </si>
  <si>
    <t>n:11.3852</t>
  </si>
  <si>
    <t>n:8.1753</t>
  </si>
  <si>
    <t>d:2021-04-30</t>
  </si>
  <si>
    <t>n:9.0312</t>
  </si>
  <si>
    <t>s:CBRT ForexBuying, bulletin 2021/84</t>
  </si>
  <si>
    <t>n:9.9545</t>
  </si>
  <si>
    <t>n:11.4327</t>
  </si>
  <si>
    <t>n:8.2311</t>
  </si>
  <si>
    <t>d:2021-05-03</t>
  </si>
  <si>
    <t>n:9.0625</t>
  </si>
  <si>
    <t>s:CBRT ForexBuying, bulletin 2021/85</t>
  </si>
  <si>
    <t>n:9.9885</t>
  </si>
  <si>
    <t>n:11.4678</t>
  </si>
  <si>
    <t>n:8.292</t>
  </si>
  <si>
    <t>d:2021-05-04</t>
  </si>
  <si>
    <t>n:9.0633</t>
  </si>
  <si>
    <t>s:CBRT ForexBuying, bulletin 2021/86</t>
  </si>
  <si>
    <t>n:9.9837</t>
  </si>
  <si>
    <t>n:11.5085</t>
  </si>
  <si>
    <t>n:8.3091</t>
  </si>
  <si>
    <t>d:2021-05-05</t>
  </si>
  <si>
    <t>n:9.0961</t>
  </si>
  <si>
    <t>s:CBRT ForexBuying, bulletin 2021/87</t>
  </si>
  <si>
    <t>n:10.0109</t>
  </si>
  <si>
    <t>n:11.5744</t>
  </si>
  <si>
    <t>n:8.34</t>
  </si>
  <si>
    <t>d:2021-05-06</t>
  </si>
  <si>
    <t>n:9.1032</t>
  </si>
  <si>
    <t>s:CBRT ForexBuying, bulletin 2021/88</t>
  </si>
  <si>
    <t>n:9.9979</t>
  </si>
  <si>
    <t>n:11.5309</t>
  </si>
  <si>
    <t>n:8.3062</t>
  </si>
  <si>
    <t>d:2021-05-07</t>
  </si>
  <si>
    <t>n:9.089</t>
  </si>
  <si>
    <t>s:CBRT ForexBuying, bulletin 2021/89</t>
  </si>
  <si>
    <t>n:9.9879</t>
  </si>
  <si>
    <t>n:11.4919</t>
  </si>
  <si>
    <t>n:8.273</t>
  </si>
  <si>
    <t>d:2021-05-10</t>
  </si>
  <si>
    <t>n:9.138</t>
  </si>
  <si>
    <t>s:CBRT ForexBuying, bulletin 2021/90</t>
  </si>
  <si>
    <t>n:10.0284</t>
  </si>
  <si>
    <t>n:11.5978</t>
  </si>
  <si>
    <t>n:8.2457</t>
  </si>
  <si>
    <t>d:2021-05-11</t>
  </si>
  <si>
    <t>n:9.1635</t>
  </si>
  <si>
    <t>s:CBRT ForexBuying, bulletin 2021/91</t>
  </si>
  <si>
    <t>n:10.0727</t>
  </si>
  <si>
    <t>n:11.6895</t>
  </si>
  <si>
    <t>n:8.2867</t>
  </si>
  <si>
    <t>d:2021-05-17</t>
  </si>
  <si>
    <t>n:9.2383</t>
  </si>
  <si>
    <t>s:CBRT ForexBuying, bulletin 2021/92</t>
  </si>
  <si>
    <t>n:10.1403</t>
  </si>
  <si>
    <t>n:11.7492</t>
  </si>
  <si>
    <t>n:8.3469</t>
  </si>
  <si>
    <t>d:2021-05-18</t>
  </si>
  <si>
    <t>n:9.2524</t>
  </si>
  <si>
    <t>s:CBRT ForexBuying, bulletin 2021/93</t>
  </si>
  <si>
    <t>n:10.1667</t>
  </si>
  <si>
    <t>n:11.8049</t>
  </si>
  <si>
    <t>n:8.3281</t>
  </si>
  <si>
    <t>d:2021-05-20</t>
  </si>
  <si>
    <t>n:9.2617</t>
  </si>
  <si>
    <t>s:CBRT ForexBuying, bulletin 2021/94</t>
  </si>
  <si>
    <t>n:10.2043</t>
  </si>
  <si>
    <t>n:11.8009</t>
  </si>
  <si>
    <t>n:8.3689</t>
  </si>
  <si>
    <t>d:2021-05-21</t>
  </si>
  <si>
    <t>n:9.2923</t>
  </si>
  <si>
    <t>s:CBRT ForexBuying, bulletin 2021/95</t>
  </si>
  <si>
    <t>n:10.2072</t>
  </si>
  <si>
    <t>n:11.8423</t>
  </si>
  <si>
    <t>n:8.3554</t>
  </si>
  <si>
    <t>d:2021-05-24</t>
  </si>
  <si>
    <t>n:9.3133</t>
  </si>
  <si>
    <t>s:CBRT ForexBuying, bulletin 2021/96</t>
  </si>
  <si>
    <t>n:10.2278</t>
  </si>
  <si>
    <t>n:11.8318</t>
  </si>
  <si>
    <t>n:8.3811</t>
  </si>
  <si>
    <t>d:2021-05-25</t>
  </si>
  <si>
    <t>n:9.362</t>
  </si>
  <si>
    <t>s:CBRT ForexBuying, bulletin 2021/97</t>
  </si>
  <si>
    <t>n:10.2861</t>
  </si>
  <si>
    <t>n:11.8826</t>
  </si>
  <si>
    <t>n:8.3947</t>
  </si>
  <si>
    <t>d:2021-05-26</t>
  </si>
  <si>
    <t>n:9.4012</t>
  </si>
  <si>
    <t>s:CBRT ForexBuying, bulletin 2021/98</t>
  </si>
  <si>
    <t>n:10.3227</t>
  </si>
  <si>
    <t>n:11.9189</t>
  </si>
  <si>
    <t>n:8.433</t>
  </si>
  <si>
    <t>d:2021-05-27</t>
  </si>
  <si>
    <t>n:9.367</t>
  </si>
  <si>
    <t>s:CBRT ForexBuying, bulletin 2021/99</t>
  </si>
  <si>
    <t>n:10.2849</t>
  </si>
  <si>
    <t>n:11.8935</t>
  </si>
  <si>
    <t>n:8.4323</t>
  </si>
  <si>
    <t>d:2021-05-28</t>
  </si>
  <si>
    <t>n:9.4851</t>
  </si>
  <si>
    <t>s:CBRT ForexBuying, bulletin 2021/100</t>
  </si>
  <si>
    <t>n:10.4147</t>
  </si>
  <si>
    <t>n:12.1068</t>
  </si>
  <si>
    <t>n:8.5496</t>
  </si>
  <si>
    <t>d:2021-05-31</t>
  </si>
  <si>
    <t>n:9.4209</t>
  </si>
  <si>
    <t>s:CBRT ForexBuying, bulletin 2021/101</t>
  </si>
  <si>
    <t>n:10.3629</t>
  </si>
  <si>
    <t>n:12.0285</t>
  </si>
  <si>
    <t>n:8.499</t>
  </si>
  <si>
    <t>d:2021-06-01</t>
  </si>
  <si>
    <t>n:9.4391</t>
  </si>
  <si>
    <t>s:CBRT ForexBuying, bulletin 2021/102</t>
  </si>
  <si>
    <t>n:10.3998</t>
  </si>
  <si>
    <t>n:12.0514</t>
  </si>
  <si>
    <t>n:8.5032</t>
  </si>
  <si>
    <t>d:2021-06-02</t>
  </si>
  <si>
    <t>n:9.5384</t>
  </si>
  <si>
    <t>s:CBRT ForexBuying, bulletin 2021/103</t>
  </si>
  <si>
    <t>n:10.4895</t>
  </si>
  <si>
    <t>n:12.1475</t>
  </si>
  <si>
    <t>n:8.6066</t>
  </si>
  <si>
    <t>d:2021-06-03</t>
  </si>
  <si>
    <t>n:9.5598</t>
  </si>
  <si>
    <t>s:CBRT ForexBuying, bulletin 2021/104</t>
  </si>
  <si>
    <t>n:10.5091</t>
  </si>
  <si>
    <t>n:12.1996</t>
  </si>
  <si>
    <t>n:8.6231</t>
  </si>
  <si>
    <t>d:2021-06-04</t>
  </si>
  <si>
    <t>n:9.5763</t>
  </si>
  <si>
    <t>s:CBRT ForexBuying, bulletin 2021/105</t>
  </si>
  <si>
    <t>n:10.516</t>
  </si>
  <si>
    <t>n:12.2387</t>
  </si>
  <si>
    <t>n:8.682</t>
  </si>
  <si>
    <t>d:2021-06-07</t>
  </si>
  <si>
    <t>n:9.561</t>
  </si>
  <si>
    <t>s:CBRT ForexBuying, bulletin 2021/106</t>
  </si>
  <si>
    <t>n:10.4825</t>
  </si>
  <si>
    <t>n:12.1715</t>
  </si>
  <si>
    <t>n:8.6201</t>
  </si>
  <si>
    <t>d:2021-06-08</t>
  </si>
  <si>
    <t>n:9.5515</t>
  </si>
  <si>
    <t>s:CBRT ForexBuying, bulletin 2021/107</t>
  </si>
  <si>
    <t>n:10.4585</t>
  </si>
  <si>
    <t>n:12.1276</t>
  </si>
  <si>
    <t>n:8.5891</t>
  </si>
  <si>
    <t>d:2021-06-09</t>
  </si>
  <si>
    <t>n:9.5481</t>
  </si>
  <si>
    <t>s:CBRT ForexBuying, bulletin 2021/108</t>
  </si>
  <si>
    <t>n:10.4515</t>
  </si>
  <si>
    <t>n:12.1354</t>
  </si>
  <si>
    <t>n:8.575</t>
  </si>
  <si>
    <t>d:2021-06-10</t>
  </si>
  <si>
    <t>n:9.4974</t>
  </si>
  <si>
    <t>s:CBRT ForexBuying, bulletin 2021/109</t>
  </si>
  <si>
    <t>n:10.3808</t>
  </si>
  <si>
    <t>n:12.0065</t>
  </si>
  <si>
    <t>n:8.5313</t>
  </si>
  <si>
    <t>d:2021-06-11</t>
  </si>
  <si>
    <t>n:9.3063</t>
  </si>
  <si>
    <t>s:CBRT ForexBuying, bulletin 2021/110</t>
  </si>
  <si>
    <t>n:10.1615</t>
  </si>
  <si>
    <t>n:11.8097</t>
  </si>
  <si>
    <t>n:8.3547</t>
  </si>
  <si>
    <t>d:2021-06-14</t>
  </si>
  <si>
    <t>n:9.2549</t>
  </si>
  <si>
    <t>s:CBRT ForexBuying, bulletin 2021/111</t>
  </si>
  <si>
    <t>n:10.0998</t>
  </si>
  <si>
    <t>n:11.7348</t>
  </si>
  <si>
    <t>n:8.3374</t>
  </si>
  <si>
    <t>d:2021-06-15</t>
  </si>
  <si>
    <t>n:9.4911</t>
  </si>
  <si>
    <t>s:CBRT ForexBuying, bulletin 2021/112</t>
  </si>
  <si>
    <t>n:10.3646</t>
  </si>
  <si>
    <t>n:12.0193</t>
  </si>
  <si>
    <t>n:8.5474</t>
  </si>
  <si>
    <t>d:2021-06-16</t>
  </si>
  <si>
    <t>n:9.4608</t>
  </si>
  <si>
    <t>s:CBRT ForexBuying, bulletin 2021/113</t>
  </si>
  <si>
    <t>n:10.3327</t>
  </si>
  <si>
    <t>n:12.007</t>
  </si>
  <si>
    <t>n:8.5218</t>
  </si>
  <si>
    <t>d:2021-06-17</t>
  </si>
  <si>
    <t>n:9.4196</t>
  </si>
  <si>
    <t>s:CBRT ForexBuying, bulletin 2021/114</t>
  </si>
  <si>
    <t>n:10.3072</t>
  </si>
  <si>
    <t>n:12.0265</t>
  </si>
  <si>
    <t>n:8.6243</t>
  </si>
  <si>
    <t>d:2021-06-18</t>
  </si>
  <si>
    <t>n:9.4107</t>
  </si>
  <si>
    <t>s:CBRT ForexBuying, bulletin 2021/115</t>
  </si>
  <si>
    <t>n:10.3197</t>
  </si>
  <si>
    <t>n:12.0129</t>
  </si>
  <si>
    <t>n:8.6646</t>
  </si>
  <si>
    <t>d:2021-06-21</t>
  </si>
  <si>
    <t>n:9.4758</t>
  </si>
  <si>
    <t>s:CBRT ForexBuying, bulletin 2021/116</t>
  </si>
  <si>
    <t>n:10.4032</t>
  </si>
  <si>
    <t>n:12.1006</t>
  </si>
  <si>
    <t>n:8.7497</t>
  </si>
  <si>
    <t>d:2021-06-22</t>
  </si>
  <si>
    <t>n:9.4553</t>
  </si>
  <si>
    <t>s:CBRT ForexBuying, bulletin 2021/117</t>
  </si>
  <si>
    <t>n:10.3722</t>
  </si>
  <si>
    <t>n:12.0866</t>
  </si>
  <si>
    <t>n:8.7202</t>
  </si>
  <si>
    <t>d:2021-06-23</t>
  </si>
  <si>
    <t>n:9.3587</t>
  </si>
  <si>
    <t>s:CBRT ForexBuying, bulletin 2021/118</t>
  </si>
  <si>
    <t>n:10.2828</t>
  </si>
  <si>
    <t>n:12.0119</t>
  </si>
  <si>
    <t>n:8.6139</t>
  </si>
  <si>
    <t>d:2021-06-24</t>
  </si>
  <si>
    <t>n:9.4011</t>
  </si>
  <si>
    <t>s:CBRT ForexBuying, bulletin 2021/119</t>
  </si>
  <si>
    <t>n:10.3356</t>
  </si>
  <si>
    <t>n:12.0641</t>
  </si>
  <si>
    <t>n:8.6593</t>
  </si>
  <si>
    <t>d:2021-06-25</t>
  </si>
  <si>
    <t>n:9.4402</t>
  </si>
  <si>
    <t>s:CBRT ForexBuying, bulletin 2021/120</t>
  </si>
  <si>
    <t>n:12.0479</t>
  </si>
  <si>
    <t>n:8.6772</t>
  </si>
  <si>
    <t>d:2021-06-28</t>
  </si>
  <si>
    <t>n:9.4736</t>
  </si>
  <si>
    <t>s:CBRT ForexBuying, bulletin 2021/121</t>
  </si>
  <si>
    <t>n:10.4077</t>
  </si>
  <si>
    <t>n:12.1165</t>
  </si>
  <si>
    <t>n:8.7219</t>
  </si>
  <si>
    <t>d:2021-06-29</t>
  </si>
  <si>
    <t>n:9.4339</t>
  </si>
  <si>
    <t>s:CBRT ForexBuying, bulletin 2021/122</t>
  </si>
  <si>
    <t>n:10.3645</t>
  </si>
  <si>
    <t>n:12.0343</t>
  </si>
  <si>
    <t>n:8.7052</t>
  </si>
  <si>
    <t>d:2021-06-30</t>
  </si>
  <si>
    <t>n:9.3894</t>
  </si>
  <si>
    <t>s:CBRT ForexBuying, bulletin 2021/123</t>
  </si>
  <si>
    <t>n:10.3249</t>
  </si>
  <si>
    <t>n:12.0008</t>
  </si>
  <si>
    <t>n:8.6803</t>
  </si>
  <si>
    <t>d:2021-07-01</t>
  </si>
  <si>
    <t>n:9.3525</t>
  </si>
  <si>
    <t>s:CBRT ForexBuying, bulletin 2021/124</t>
  </si>
  <si>
    <t>n:10.2889</t>
  </si>
  <si>
    <t>n:11.9532</t>
  </si>
  <si>
    <t>n:8.6768</t>
  </si>
  <si>
    <t>d:2021-07-02</t>
  </si>
  <si>
    <t>n:9.3492</t>
  </si>
  <si>
    <t>s:CBRT ForexBuying, bulletin 2021/125</t>
  </si>
  <si>
    <t>n:10.2657</t>
  </si>
  <si>
    <t>n:11.9144</t>
  </si>
  <si>
    <t>n:8.6797</t>
  </si>
  <si>
    <t>d:2021-07-05</t>
  </si>
  <si>
    <t>n:9.3823</t>
  </si>
  <si>
    <t>s:CBRT ForexBuying, bulletin 2021/126</t>
  </si>
  <si>
    <t>n:10.287</t>
  </si>
  <si>
    <t>n:11.9824</t>
  </si>
  <si>
    <t>n:8.665</t>
  </si>
  <si>
    <t>d:2021-07-06</t>
  </si>
  <si>
    <t>n:9.357</t>
  </si>
  <si>
    <t>s:CBRT ForexBuying, bulletin 2021/127</t>
  </si>
  <si>
    <t>n:10.2562</t>
  </si>
  <si>
    <t>n:11.9722</t>
  </si>
  <si>
    <t>n:8.6515</t>
  </si>
  <si>
    <t>d:2021-07-07</t>
  </si>
  <si>
    <t>n:9.3633</t>
  </si>
  <si>
    <t>s:CBRT ForexBuying, bulletin 2021/128</t>
  </si>
  <si>
    <t>n:10.2469</t>
  </si>
  <si>
    <t>n:11.9457</t>
  </si>
  <si>
    <t>n:8.6657</t>
  </si>
  <si>
    <t>d:2021-07-08</t>
  </si>
  <si>
    <t>n:9.429</t>
  </si>
  <si>
    <t>s:CBRT ForexBuying, bulletin 2021/129</t>
  </si>
  <si>
    <t>n:10.2721</t>
  </si>
  <si>
    <t>n:11.9461</t>
  </si>
  <si>
    <t>n:8.6867</t>
  </si>
  <si>
    <t>d:2021-07-09</t>
  </si>
  <si>
    <t>n:9.4528</t>
  </si>
  <si>
    <t>s:CBRT ForexBuying, bulletin 2021/130</t>
  </si>
  <si>
    <t>n:10.2712</t>
  </si>
  <si>
    <t>n:11.9384</t>
  </si>
  <si>
    <t>n:8.6715</t>
  </si>
  <si>
    <t>d:2021-07-12</t>
  </si>
  <si>
    <t>n:9.4081</t>
  </si>
  <si>
    <t>s:CBRT ForexBuying, bulletin 2021/131</t>
  </si>
  <si>
    <t>n:10.2354</t>
  </si>
  <si>
    <t>n:11.9462</t>
  </si>
  <si>
    <t>n:8.6319</t>
  </si>
  <si>
    <t>d:2021-07-13</t>
  </si>
  <si>
    <t>n:9.3717</t>
  </si>
  <si>
    <t>s:CBRT ForexBuying, bulletin 2021/132</t>
  </si>
  <si>
    <t>n:10.1926</t>
  </si>
  <si>
    <t>n:11.9041</t>
  </si>
  <si>
    <t>n:8.6033</t>
  </si>
  <si>
    <t>d:2021-07-14</t>
  </si>
  <si>
    <t>n:9.3516</t>
  </si>
  <si>
    <t>s:CBRT ForexBuying, bulletin 2021/133</t>
  </si>
  <si>
    <t>n:10.156</t>
  </si>
  <si>
    <t>n:11.9077</t>
  </si>
  <si>
    <t>n:8.6123</t>
  </si>
  <si>
    <t>d:2021-07-16</t>
  </si>
  <si>
    <t>n:9.2351</t>
  </si>
  <si>
    <t>s:CBRT ForexBuying, bulletin 2021/134</t>
  </si>
  <si>
    <t>n:10.0483</t>
  </si>
  <si>
    <t>n:11.742</t>
  </si>
  <si>
    <t>n:8.5099</t>
  </si>
  <si>
    <t>d:2021-07-26</t>
  </si>
  <si>
    <t>n:9.3155</t>
  </si>
  <si>
    <t>s:CBRT ForexBuying, bulletin 2021/135</t>
  </si>
  <si>
    <t>n:10.105</t>
  </si>
  <si>
    <t>n:11.789</t>
  </si>
  <si>
    <t>n:8.573</t>
  </si>
  <si>
    <t>d:2021-07-27</t>
  </si>
  <si>
    <t>n:9.313</t>
  </si>
  <si>
    <t>s:CBRT ForexBuying, bulletin 2021/136</t>
  </si>
  <si>
    <t>n:10.0896</t>
  </si>
  <si>
    <t>n:11.7875</t>
  </si>
  <si>
    <t>n:8.5604</t>
  </si>
  <si>
    <t>d:2021-07-28</t>
  </si>
  <si>
    <t>n:9.32</t>
  </si>
  <si>
    <t>s:CBRT ForexBuying, bulletin 2021/137</t>
  </si>
  <si>
    <t>n:10.0929</t>
  </si>
  <si>
    <t>n:11.8393</t>
  </si>
  <si>
    <t>n:8.5446</t>
  </si>
  <si>
    <t>d:2021-07-29</t>
  </si>
  <si>
    <t>n:9.3297</t>
  </si>
  <si>
    <t>s:CBRT ForexBuying, bulletin 2021/138</t>
  </si>
  <si>
    <t>n:10.0862</t>
  </si>
  <si>
    <t>n:11.8338</t>
  </si>
  <si>
    <t>n:8.4975</t>
  </si>
  <si>
    <t>d:2021-07-30</t>
  </si>
  <si>
    <t>n:9.2691</t>
  </si>
  <si>
    <t>s:CBRT ForexBuying, bulletin 2021/139</t>
  </si>
  <si>
    <t>n:10.0084</t>
  </si>
  <si>
    <t>n:11.7308</t>
  </si>
  <si>
    <t>n:8.4139</t>
  </si>
  <si>
    <t>d:2021-08-02</t>
  </si>
  <si>
    <t>n:9.2416</t>
  </si>
  <si>
    <t>s:CBRT ForexBuying, bulletin 2021/140</t>
  </si>
  <si>
    <t>n:9.9677</t>
  </si>
  <si>
    <t>n:11.6457</t>
  </si>
  <si>
    <t>n:8.385</t>
  </si>
  <si>
    <t>d:2021-08-03</t>
  </si>
  <si>
    <t>n:9.1854</t>
  </si>
  <si>
    <t>s:CBRT ForexBuying, bulletin 2021/141</t>
  </si>
  <si>
    <t>n:9.8906</t>
  </si>
  <si>
    <t>n:11.5643</t>
  </si>
  <si>
    <t>n:8.3229</t>
  </si>
  <si>
    <t>d:2021-08-04</t>
  </si>
  <si>
    <t>n:9.2864</t>
  </si>
  <si>
    <t>s:CBRT ForexBuying, bulletin 2021/142</t>
  </si>
  <si>
    <t>n:9.9891</t>
  </si>
  <si>
    <t>n:11.7123</t>
  </si>
  <si>
    <t>n:8.4193</t>
  </si>
  <si>
    <t>d:2021-08-05</t>
  </si>
  <si>
    <t>n:9.3866</t>
  </si>
  <si>
    <t>s:CBRT ForexBuying, bulletin 2021/143</t>
  </si>
  <si>
    <t>n:10.0976</t>
  </si>
  <si>
    <t>n:11.8463</t>
  </si>
  <si>
    <t>n:8.5262</t>
  </si>
  <si>
    <t>d:2021-08-06</t>
  </si>
  <si>
    <t>n:9.4087</t>
  </si>
  <si>
    <t>s:CBRT ForexBuying, bulletin 2021/144</t>
  </si>
  <si>
    <t>n:10.1149</t>
  </si>
  <si>
    <t>n:11.8958</t>
  </si>
  <si>
    <t>n:8.5619</t>
  </si>
  <si>
    <t>d:2021-08-09</t>
  </si>
  <si>
    <t>n:9.4099</t>
  </si>
  <si>
    <t>s:CBRT ForexBuying, bulletin 2021/145</t>
  </si>
  <si>
    <t>n:10.1622</t>
  </si>
  <si>
    <t>n:11.9714</t>
  </si>
  <si>
    <t>n:8.6426</t>
  </si>
  <si>
    <t>d:2021-08-10</t>
  </si>
  <si>
    <t>s:CBRT ForexBuying, bulletin 2021/146</t>
  </si>
  <si>
    <t>n:10.1112</t>
  </si>
  <si>
    <t>n:11.9262</t>
  </si>
  <si>
    <t>n:8.6205</t>
  </si>
  <si>
    <t>d:2021-08-11</t>
  </si>
  <si>
    <t>n:9.3164</t>
  </si>
  <si>
    <t>s:CBRT ForexBuying, bulletin 2021/147</t>
  </si>
  <si>
    <t>n:10.1014</t>
  </si>
  <si>
    <t>n:11.8977</t>
  </si>
  <si>
    <t>n:8.6244</t>
  </si>
  <si>
    <t>d:2021-08-12</t>
  </si>
  <si>
    <t>n:9.2769</t>
  </si>
  <si>
    <t>s:CBRT ForexBuying, bulletin 2021/148</t>
  </si>
  <si>
    <t>n:10.064</t>
  </si>
  <si>
    <t>n:11.8612</t>
  </si>
  <si>
    <t>n:8.5723</t>
  </si>
  <si>
    <t>d:2021-08-13</t>
  </si>
  <si>
    <t>n:9.2331</t>
  </si>
  <si>
    <t>s:CBRT ForexBuying, bulletin 2021/149</t>
  </si>
  <si>
    <t>n:10.0251</t>
  </si>
  <si>
    <t>n:11.7644</t>
  </si>
  <si>
    <t>n:8.5359</t>
  </si>
  <si>
    <t>d:2021-08-16</t>
  </si>
  <si>
    <t>n:9.2397</t>
  </si>
  <si>
    <t>s:CBRT ForexBuying, bulletin 2021/150</t>
  </si>
  <si>
    <t>n:9.9762</t>
  </si>
  <si>
    <t>n:11.7146</t>
  </si>
  <si>
    <t>n:8.4681</t>
  </si>
  <si>
    <t>d:2021-08-17</t>
  </si>
  <si>
    <t>n:9.2125</t>
  </si>
  <si>
    <t>s:CBRT ForexBuying, bulletin 2021/151</t>
  </si>
  <si>
    <t>n:9.9022</t>
  </si>
  <si>
    <t>n:11.5906</t>
  </si>
  <si>
    <t>n:8.4141</t>
  </si>
  <si>
    <t>d:2021-08-18</t>
  </si>
  <si>
    <t>n:9.2364</t>
  </si>
  <si>
    <t>s:CBRT ForexBuying, bulletin 2021/152</t>
  </si>
  <si>
    <t>n:9.9174</t>
  </si>
  <si>
    <t>n:11.6189</t>
  </si>
  <si>
    <t>n:8.4632</t>
  </si>
  <si>
    <t>d:2021-08-19</t>
  </si>
  <si>
    <t>n:9.263</t>
  </si>
  <si>
    <t>s:CBRT ForexBuying, bulletin 2021/153</t>
  </si>
  <si>
    <t>n:9.9491</t>
  </si>
  <si>
    <t>n:11.6324</t>
  </si>
  <si>
    <t>n:8.5111</t>
  </si>
  <si>
    <t>d:2021-08-20</t>
  </si>
  <si>
    <t>n:9.2741</t>
  </si>
  <si>
    <t>s:CBRT ForexBuying, bulletin 2021/154</t>
  </si>
  <si>
    <t>n:9.9551</t>
  </si>
  <si>
    <t>n:11.5903</t>
  </si>
  <si>
    <t>n:8.5254</t>
  </si>
  <si>
    <t>d:2021-08-23</t>
  </si>
  <si>
    <t>s:CBRT ForexBuying, bulletin 2021/155</t>
  </si>
  <si>
    <t>n:9.9144</t>
  </si>
  <si>
    <t>n:11.5361</t>
  </si>
  <si>
    <t>n:8.4572</t>
  </si>
  <si>
    <t>d:2021-08-24</t>
  </si>
  <si>
    <t>n:9.1938</t>
  </si>
  <si>
    <t>s:CBRT ForexBuying, bulletin 2021/156</t>
  </si>
  <si>
    <t>n:9.8728</t>
  </si>
  <si>
    <t>n:11.5221</t>
  </si>
  <si>
    <t>n:8.4132</t>
  </si>
  <si>
    <t>d:2021-08-25</t>
  </si>
  <si>
    <t>n:9.1479</t>
  </si>
  <si>
    <t>s:CBRT ForexBuying, bulletin 2021/157</t>
  </si>
  <si>
    <t>n:9.8404</t>
  </si>
  <si>
    <t>n:11.4774</t>
  </si>
  <si>
    <t>n:8.3797</t>
  </si>
  <si>
    <t>d:2021-08-26</t>
  </si>
  <si>
    <t>n:9.0995</t>
  </si>
  <si>
    <t>s:CBRT ForexBuying, bulletin 2021/158</t>
  </si>
  <si>
    <t>n:9.8352</t>
  </si>
  <si>
    <t>n:11.4647</t>
  </si>
  <si>
    <t>n:8.3578</t>
  </si>
  <si>
    <t>d:2021-08-27</t>
  </si>
  <si>
    <t>n:9.1081</t>
  </si>
  <si>
    <t>s:CBRT ForexBuying, bulletin 2021/159</t>
  </si>
  <si>
    <t>n:9.8494</t>
  </si>
  <si>
    <t>n:11.4631</t>
  </si>
  <si>
    <t>n:8.3753</t>
  </si>
  <si>
    <t>d:2021-08-31</t>
  </si>
  <si>
    <t>n:9.0617</t>
  </si>
  <si>
    <t>s:CBRT ForexBuying, bulletin 2021/160</t>
  </si>
  <si>
    <t>n:9.8228</t>
  </si>
  <si>
    <t>n:11.4225</t>
  </si>
  <si>
    <t>n:8.3043</t>
  </si>
  <si>
    <t>d:2021-09-01</t>
  </si>
  <si>
    <t>n:9.0132</t>
  </si>
  <si>
    <t>s:CBRT ForexBuying, bulletin 2021/161</t>
  </si>
  <si>
    <t>n:9.791</t>
  </si>
  <si>
    <t>n:11.3819</t>
  </si>
  <si>
    <t>n:8.2876</t>
  </si>
  <si>
    <t>d:2021-09-02</t>
  </si>
  <si>
    <t>n:9.0063</t>
  </si>
  <si>
    <t>s:CBRT ForexBuying, bulletin 2021/162</t>
  </si>
  <si>
    <t>n:9.7911</t>
  </si>
  <si>
    <t>n:11.3749</t>
  </si>
  <si>
    <t>n:8.2633</t>
  </si>
  <si>
    <t>d:2021-09-03</t>
  </si>
  <si>
    <t>n:9.0496</t>
  </si>
  <si>
    <t>s:CBRT ForexBuying, bulletin 2021/163</t>
  </si>
  <si>
    <t>n:9.8492</t>
  </si>
  <si>
    <t>n:11.452</t>
  </si>
  <si>
    <t>n:8.295</t>
  </si>
  <si>
    <t>d:2021-09-06</t>
  </si>
  <si>
    <t>n:9.0165</t>
  </si>
  <si>
    <t>s:CBRT ForexBuying, bulletin 2021/164</t>
  </si>
  <si>
    <t>n:9.8199</t>
  </si>
  <si>
    <t>n:11.4368</t>
  </si>
  <si>
    <t>n:8.2767</t>
  </si>
  <si>
    <t>d:2021-09-07</t>
  </si>
  <si>
    <t>n:9.0553</t>
  </si>
  <si>
    <t>s:CBRT ForexBuying, bulletin 2021/165</t>
  </si>
  <si>
    <t>n:9.8506</t>
  </si>
  <si>
    <t>n:11.4403</t>
  </si>
  <si>
    <t>n:8.2981</t>
  </si>
  <si>
    <t>d:2021-09-08</t>
  </si>
  <si>
    <t>n:9.112</t>
  </si>
  <si>
    <t>s:CBRT ForexBuying, bulletin 2021/166</t>
  </si>
  <si>
    <t>n:9.9394</t>
  </si>
  <si>
    <t>n:11.5501</t>
  </si>
  <si>
    <t>d:2021-09-09</t>
  </si>
  <si>
    <t>n:9.1881</t>
  </si>
  <si>
    <t>s:CBRT ForexBuying, bulletin 2021/167</t>
  </si>
  <si>
    <t>n:10.0142</t>
  </si>
  <si>
    <t>n:11.6671</t>
  </si>
  <si>
    <t>n:8.4655</t>
  </si>
  <si>
    <t>d:2021-09-10</t>
  </si>
  <si>
    <t>n:9.1485</t>
  </si>
  <si>
    <t>s:CBRT ForexBuying, bulletin 2021/168</t>
  </si>
  <si>
    <t>n:9.9478</t>
  </si>
  <si>
    <t>n:11.64</t>
  </si>
  <si>
    <t>n:8.4044</t>
  </si>
  <si>
    <t>d:2021-09-13</t>
  </si>
  <si>
    <t>n:9.1386</t>
  </si>
  <si>
    <t>s:CBRT ForexBuying, bulletin 2021/169</t>
  </si>
  <si>
    <t>n:9.9496</t>
  </si>
  <si>
    <t>n:11.6493</t>
  </si>
  <si>
    <t>n:8.4441</t>
  </si>
  <si>
    <t>d:2021-09-14</t>
  </si>
  <si>
    <t>n:9.1267</t>
  </si>
  <si>
    <t>s:CBRT ForexBuying, bulletin 2021/170</t>
  </si>
  <si>
    <t>n:9.9615</t>
  </si>
  <si>
    <t>n:11.6686</t>
  </si>
  <si>
    <t>n:8.4314</t>
  </si>
  <si>
    <t>d:2021-09-15</t>
  </si>
  <si>
    <t>n:9.1592</t>
  </si>
  <si>
    <t>s:CBRT ForexBuying, bulletin 2021/171</t>
  </si>
  <si>
    <t>n:9.9616</t>
  </si>
  <si>
    <t>n:11.6333</t>
  </si>
  <si>
    <t>n:8.4272</t>
  </si>
  <si>
    <t>d:2021-09-16</t>
  </si>
  <si>
    <t>n:9.1178</t>
  </si>
  <si>
    <t>s:CBRT ForexBuying, bulletin 2021/172</t>
  </si>
  <si>
    <t>n:9.9382</t>
  </si>
  <si>
    <t>n:11.6476</t>
  </si>
  <si>
    <t>n:8.4402</t>
  </si>
  <si>
    <t>d:2021-09-17</t>
  </si>
  <si>
    <t>n:9.2199</t>
  </si>
  <si>
    <t>s:CBRT ForexBuying, bulletin 2021/173</t>
  </si>
  <si>
    <t>n:10.0921</t>
  </si>
  <si>
    <t>n:11.7976</t>
  </si>
  <si>
    <t>n:8.5678</t>
  </si>
  <si>
    <t>d:2021-09-20</t>
  </si>
  <si>
    <t>n:9.2813</t>
  </si>
  <si>
    <t>s:CBRT ForexBuying, bulletin 2021/174</t>
  </si>
  <si>
    <t>n:10.1467</t>
  </si>
  <si>
    <t>n:11.8298</t>
  </si>
  <si>
    <t>n:8.6648</t>
  </si>
  <si>
    <t>d:2021-09-21</t>
  </si>
  <si>
    <t>n:9.3029</t>
  </si>
  <si>
    <t>s:CBRT ForexBuying, bulletin 2021/175</t>
  </si>
  <si>
    <t>n:10.1272</t>
  </si>
  <si>
    <t>n:8.6301</t>
  </si>
  <si>
    <t>d:2021-09-22</t>
  </si>
  <si>
    <t>n:9.3366</t>
  </si>
  <si>
    <t>s:CBRT ForexBuying, bulletin 2021/176</t>
  </si>
  <si>
    <t>n:10.1291</t>
  </si>
  <si>
    <t>n:11.7585</t>
  </si>
  <si>
    <t>n:8.6349</t>
  </si>
  <si>
    <t>d:2021-09-23</t>
  </si>
  <si>
    <t>n:9.3407</t>
  </si>
  <si>
    <t>s:CBRT ForexBuying, bulletin 2021/177</t>
  </si>
  <si>
    <t>n:10.1456</t>
  </si>
  <si>
    <t>n:11.8191</t>
  </si>
  <si>
    <t>n:8.6584</t>
  </si>
  <si>
    <t>d:2021-09-24</t>
  </si>
  <si>
    <t>n:9.5285</t>
  </si>
  <si>
    <t>s:CBRT ForexBuying, bulletin 2021/178</t>
  </si>
  <si>
    <t>n:10.3526</t>
  </si>
  <si>
    <t>n:12.0717</t>
  </si>
  <si>
    <t>n:8.824</t>
  </si>
  <si>
    <t>d:2021-09-27</t>
  </si>
  <si>
    <t>n:9.5025</t>
  </si>
  <si>
    <t>s:CBRT ForexBuying, bulletin 2021/179</t>
  </si>
  <si>
    <t>n:10.3364</t>
  </si>
  <si>
    <t>n:12.0759</t>
  </si>
  <si>
    <t>n:8.8355</t>
  </si>
  <si>
    <t>d:2021-09-28</t>
  </si>
  <si>
    <t>n:9.523</t>
  </si>
  <si>
    <t>s:CBRT ForexBuying, bulletin 2021/180</t>
  </si>
  <si>
    <t>n:10.3486</t>
  </si>
  <si>
    <t>n:12.0686</t>
  </si>
  <si>
    <t>n:8.8585</t>
  </si>
  <si>
    <t>d:2021-09-29</t>
  </si>
  <si>
    <t>n:9.4945</t>
  </si>
  <si>
    <t>s:CBRT ForexBuying, bulletin 2021/181</t>
  </si>
  <si>
    <t>n:10.3135</t>
  </si>
  <si>
    <t>n:11.9292</t>
  </si>
  <si>
    <t>n:8.8433</t>
  </si>
  <si>
    <t>d:2021-09-30</t>
  </si>
  <si>
    <t>n:9.4755</t>
  </si>
  <si>
    <t>s:CBRT ForexBuying, bulletin 2021/182</t>
  </si>
  <si>
    <t>n:10.2933</t>
  </si>
  <si>
    <t>n:11.9175</t>
  </si>
  <si>
    <t>n:8.8785</t>
  </si>
  <si>
    <t>d:2021-10-01</t>
  </si>
  <si>
    <t>n:9.474</t>
  </si>
  <si>
    <t>s:CBRT ForexBuying, bulletin 2021/183</t>
  </si>
  <si>
    <t>n:10.2484</t>
  </si>
  <si>
    <t>n:11.915</t>
  </si>
  <si>
    <t>n:8.8469</t>
  </si>
  <si>
    <t>d:2021-10-04</t>
  </si>
  <si>
    <t>n:9.5097</t>
  </si>
  <si>
    <t>s:CBRT ForexBuying, bulletin 2021/184</t>
  </si>
  <si>
    <t>n:10.2822</t>
  </si>
  <si>
    <t>n:11.9972</t>
  </si>
  <si>
    <t>n:8.8522</t>
  </si>
  <si>
    <t>d:2021-10-05</t>
  </si>
  <si>
    <t>n:9.522</t>
  </si>
  <si>
    <t>s:CBRT ForexBuying, bulletin 2021/185</t>
  </si>
  <si>
    <t>n:10.2583</t>
  </si>
  <si>
    <t>n:12.0225</t>
  </si>
  <si>
    <t>n:8.8444</t>
  </si>
  <si>
    <t>d:2021-10-06</t>
  </si>
  <si>
    <t>n:9.5561</t>
  </si>
  <si>
    <t>s:CBRT ForexBuying, bulletin 2021/186</t>
  </si>
  <si>
    <t>n:10.2876</t>
  </si>
  <si>
    <t>n:12.0644</t>
  </si>
  <si>
    <t>n:8.9065</t>
  </si>
  <si>
    <t>d:2021-10-07</t>
  </si>
  <si>
    <t>n:9.5408</t>
  </si>
  <si>
    <t>s:CBRT ForexBuying, bulletin 2021/187</t>
  </si>
  <si>
    <t>n:12.0252</t>
  </si>
  <si>
    <t>n:8.8609</t>
  </si>
  <si>
    <t>d:2021-10-08</t>
  </si>
  <si>
    <t>n:9.551</t>
  </si>
  <si>
    <t>s:CBRT ForexBuying, bulletin 2021/188</t>
  </si>
  <si>
    <t>n:10.2832</t>
  </si>
  <si>
    <t>n:12.0904</t>
  </si>
  <si>
    <t>n:8.8982</t>
  </si>
  <si>
    <t>d:2021-10-11</t>
  </si>
  <si>
    <t>n:9.6198</t>
  </si>
  <si>
    <t>s:CBRT ForexBuying, bulletin 2021/189</t>
  </si>
  <si>
    <t>n:10.3398</t>
  </si>
  <si>
    <t>n:12.1689</t>
  </si>
  <si>
    <t>n:8.9367</t>
  </si>
  <si>
    <t>d:2021-10-12</t>
  </si>
  <si>
    <t>n:9.6797</t>
  </si>
  <si>
    <t>s:CBRT ForexBuying, bulletin 2021/190</t>
  </si>
  <si>
    <t>n:10.4026</t>
  </si>
  <si>
    <t>n:12.2237</t>
  </si>
  <si>
    <t>n:8.9996</t>
  </si>
  <si>
    <t>d:2021-10-13</t>
  </si>
  <si>
    <t>n:9.6969</t>
  </si>
  <si>
    <t>s:CBRT ForexBuying, bulletin 2021/191</t>
  </si>
  <si>
    <t>n:10.4268</t>
  </si>
  <si>
    <t>n:12.2703</t>
  </si>
  <si>
    <t>n:9.0222</t>
  </si>
  <si>
    <t>d:2021-10-14</t>
  </si>
  <si>
    <t>n:9.9068</t>
  </si>
  <si>
    <t>s:CBRT ForexBuying, bulletin 2021/192</t>
  </si>
  <si>
    <t>n:10.612</t>
  </si>
  <si>
    <t>n:12.5098</t>
  </si>
  <si>
    <t>n:9.1416</t>
  </si>
  <si>
    <t>d:2021-10-15</t>
  </si>
  <si>
    <t>s:CBRT ForexBuying, bulletin 2021/193</t>
  </si>
  <si>
    <t>n:10.6785</t>
  </si>
  <si>
    <t>n:12.6071</t>
  </si>
  <si>
    <t>n:9.1993</t>
  </si>
  <si>
    <t>d:2021-10-18</t>
  </si>
  <si>
    <t>n:9.9876</t>
  </si>
  <si>
    <t>s:CBRT ForexBuying, bulletin 2021/194</t>
  </si>
  <si>
    <t>n:10.7375</t>
  </si>
  <si>
    <t>n:12.7042</t>
  </si>
  <si>
    <t>d:2021-10-19</t>
  </si>
  <si>
    <t>n:10.074</t>
  </si>
  <si>
    <t>s:CBRT ForexBuying, bulletin 2021/195</t>
  </si>
  <si>
    <t>n:10.8237</t>
  </si>
  <si>
    <t>n:12.7928</t>
  </si>
  <si>
    <t>n:9.2845</t>
  </si>
  <si>
    <t>d:2021-10-20</t>
  </si>
  <si>
    <t>n:10.0556</t>
  </si>
  <si>
    <t>s:CBRT ForexBuying, bulletin 2021/196</t>
  </si>
  <si>
    <t>n:10.8308</t>
  </si>
  <si>
    <t>n:12.8022</t>
  </si>
  <si>
    <t>n:9.314</t>
  </si>
  <si>
    <t>d:2021-10-21</t>
  </si>
  <si>
    <t>n:10.0783</t>
  </si>
  <si>
    <t>s:CBRT ForexBuying, bulletin 2021/197</t>
  </si>
  <si>
    <t>n:10.8108</t>
  </si>
  <si>
    <t>n:12.799</t>
  </si>
  <si>
    <t>n:9.2857</t>
  </si>
  <si>
    <t>d:2021-10-22</t>
  </si>
  <si>
    <t>n:10.4293</t>
  </si>
  <si>
    <t>s:CBRT ForexBuying, bulletin 2021/198</t>
  </si>
  <si>
    <t>n:11.1566</t>
  </si>
  <si>
    <t>n:13.199</t>
  </si>
  <si>
    <t>n:9.586</t>
  </si>
  <si>
    <t>d:2021-10-25</t>
  </si>
  <si>
    <t>n:10.5803</t>
  </si>
  <si>
    <t>s:CBRT ForexBuying, bulletin 2021/199</t>
  </si>
  <si>
    <t>n:11.3283</t>
  </si>
  <si>
    <t>n:13.3814</t>
  </si>
  <si>
    <t>d:2021-10-26</t>
  </si>
  <si>
    <t>n:10.25</t>
  </si>
  <si>
    <t>s:CBRT ForexBuying, bulletin 2021/200</t>
  </si>
  <si>
    <t>n:10.9812</t>
  </si>
  <si>
    <t>n:13.0228</t>
  </si>
  <si>
    <t>n:9.4575</t>
  </si>
  <si>
    <t>d:2021-10-27</t>
  </si>
  <si>
    <t>n:10.2968</t>
  </si>
  <si>
    <t>s:CBRT ForexBuying, bulletin 2021/201</t>
  </si>
  <si>
    <t>n:10.998</t>
  </si>
  <si>
    <t>n:13.0023</t>
  </si>
  <si>
    <t>n:9.4813</t>
  </si>
  <si>
    <t>d:2021-11-01</t>
  </si>
  <si>
    <t>n:10.3844</t>
  </si>
  <si>
    <t>s:CBRT ForexBuying, bulletin 2021/202</t>
  </si>
  <si>
    <t>n:11.0216</t>
  </si>
  <si>
    <t>n:12.9943</t>
  </si>
  <si>
    <t>n:9.5287</t>
  </si>
  <si>
    <t>d:2021-11-02</t>
  </si>
  <si>
    <t>n:10.4196</t>
  </si>
  <si>
    <t>s:CBRT ForexBuying, bulletin 2021/203</t>
  </si>
  <si>
    <t>n:11.0413</t>
  </si>
  <si>
    <t>n:12.9644</t>
  </si>
  <si>
    <t>n:9.5171</t>
  </si>
  <si>
    <t>d:2021-11-03</t>
  </si>
  <si>
    <t>n:10.561</t>
  </si>
  <si>
    <t>s:CBRT ForexBuying, bulletin 2021/204</t>
  </si>
  <si>
    <t>n:11.1892</t>
  </si>
  <si>
    <t>n:13.1399</t>
  </si>
  <si>
    <t>n:9.657</t>
  </si>
  <si>
    <t>d:2021-11-04</t>
  </si>
  <si>
    <t>n:10.5829</t>
  </si>
  <si>
    <t>s:CBRT ForexBuying, bulletin 2021/205</t>
  </si>
  <si>
    <t>n:11.199</t>
  </si>
  <si>
    <t>n:13.1956</t>
  </si>
  <si>
    <t>n:9.6884</t>
  </si>
  <si>
    <t>d:2021-11-05</t>
  </si>
  <si>
    <t>n:10.5813</t>
  </si>
  <si>
    <t>s:CBRT ForexBuying, bulletin 2021/206</t>
  </si>
  <si>
    <t>n:11.1995</t>
  </si>
  <si>
    <t>n:13.0355</t>
  </si>
  <si>
    <t>n:9.7</t>
  </si>
  <si>
    <t>d:2021-11-08</t>
  </si>
  <si>
    <t>n:10.566</t>
  </si>
  <si>
    <t>s:CBRT ForexBuying, bulletin 2021/207</t>
  </si>
  <si>
    <t>n:11.2013</t>
  </si>
  <si>
    <t>n:13.0434</t>
  </si>
  <si>
    <t>n:9.6848</t>
  </si>
  <si>
    <t>d:2021-11-09</t>
  </si>
  <si>
    <t>n:10.6013</t>
  </si>
  <si>
    <t>s:CBRT ForexBuying, bulletin 2021/208</t>
  </si>
  <si>
    <t>n:11.2469</t>
  </si>
  <si>
    <t>n:13.1513</t>
  </si>
  <si>
    <t>n:9.7029</t>
  </si>
  <si>
    <t>d:2021-11-10</t>
  </si>
  <si>
    <t>n:10.6901</t>
  </si>
  <si>
    <t>s:CBRT ForexBuying, bulletin 2021/209</t>
  </si>
  <si>
    <t>n:11.3156</t>
  </si>
  <si>
    <t>n:13.2194</t>
  </si>
  <si>
    <t>n:9.7812</t>
  </si>
  <si>
    <t>d:2021-11-11</t>
  </si>
  <si>
    <t>n:10.7565</t>
  </si>
  <si>
    <t>s:CBRT ForexBuying, bulletin 2021/210</t>
  </si>
  <si>
    <t>n:11.3726</t>
  </si>
  <si>
    <t>n:13.2646</t>
  </si>
  <si>
    <t>n:9.917</t>
  </si>
  <si>
    <t>d:2021-11-12</t>
  </si>
  <si>
    <t>n:10.7218</t>
  </si>
  <si>
    <t>s:CBRT ForexBuying, bulletin 2021/211</t>
  </si>
  <si>
    <t>n:11.3448</t>
  </si>
  <si>
    <t>n:13.2486</t>
  </si>
  <si>
    <t>n:9.9105</t>
  </si>
  <si>
    <t>d:2021-11-15</t>
  </si>
  <si>
    <t>n:10.8225</t>
  </si>
  <si>
    <t>s:CBRT ForexBuying, bulletin 2021/212</t>
  </si>
  <si>
    <t>n:11.4282</t>
  </si>
  <si>
    <t>n:13.3758</t>
  </si>
  <si>
    <t>n:9.9804</t>
  </si>
  <si>
    <t>d:2021-11-16</t>
  </si>
  <si>
    <t>n:10.9483</t>
  </si>
  <si>
    <t>s:CBRT ForexBuying, bulletin 2021/213</t>
  </si>
  <si>
    <t>n:11.5606</t>
  </si>
  <si>
    <t>n:13.6541</t>
  </si>
  <si>
    <t>n:10.1671</t>
  </si>
  <si>
    <t>d:2021-11-17</t>
  </si>
  <si>
    <t>n:11.1436</t>
  </si>
  <si>
    <t>s:CBRT ForexBuying, bulletin 2021/214</t>
  </si>
  <si>
    <t>n:11.7627</t>
  </si>
  <si>
    <t>n:13.9566</t>
  </si>
  <si>
    <t>n:10.3993</t>
  </si>
  <si>
    <t>d:2021-11-18</t>
  </si>
  <si>
    <t>n:11.5071</t>
  </si>
  <si>
    <t>s:CBRT ForexBuying, bulletin 2021/215</t>
  </si>
  <si>
    <t>n:12.1224</t>
  </si>
  <si>
    <t>n:14.4111</t>
  </si>
  <si>
    <t>n:10.6963</t>
  </si>
  <si>
    <t>d:2021-11-19</t>
  </si>
  <si>
    <t>n:11.8716</t>
  </si>
  <si>
    <t>s:CBRT ForexBuying, bulletin 2021/216</t>
  </si>
  <si>
    <t>n:12.4815</t>
  </si>
  <si>
    <t>n:14.8155</t>
  </si>
  <si>
    <t>n:11.0266</t>
  </si>
  <si>
    <t>d:2021-11-22</t>
  </si>
  <si>
    <t>n:12.0001</t>
  </si>
  <si>
    <t>s:CBRT ForexBuying, bulletin 2021/217</t>
  </si>
  <si>
    <t>n:12.5938</t>
  </si>
  <si>
    <t>n:14.9805</t>
  </si>
  <si>
    <t>n:11.1712</t>
  </si>
  <si>
    <t>d:2021-11-23</t>
  </si>
  <si>
    <t>n:13.0167</t>
  </si>
  <si>
    <t>s:CBRT ForexBuying, bulletin 2021/218</t>
  </si>
  <si>
    <t>n:13.6789</t>
  </si>
  <si>
    <t>n:16.2331</t>
  </si>
  <si>
    <t>n:12.1556</t>
  </si>
  <si>
    <t>d:2021-11-24</t>
  </si>
  <si>
    <t>n:13.4557</t>
  </si>
  <si>
    <t>s:CBRT ForexBuying, bulletin 2021/219</t>
  </si>
  <si>
    <t>n:14.1524</t>
  </si>
  <si>
    <t>n:16.8244</t>
  </si>
  <si>
    <t>n:12.6082</t>
  </si>
  <si>
    <t>d:2021-11-25</t>
  </si>
  <si>
    <t>n:12.8247</t>
  </si>
  <si>
    <t>s:CBRT ForexBuying, bulletin 2021/220</t>
  </si>
  <si>
    <t>n:13.464</t>
  </si>
  <si>
    <t>n:15.9749</t>
  </si>
  <si>
    <t>d:2021-11-26</t>
  </si>
  <si>
    <t>n:12.9882</t>
  </si>
  <si>
    <t>s:CBRT ForexBuying, bulletin 2021/221</t>
  </si>
  <si>
    <t>n:13.5971</t>
  </si>
  <si>
    <t>n:16.0528</t>
  </si>
  <si>
    <t>n:12.0786</t>
  </si>
  <si>
    <t>d:2021-11-29</t>
  </si>
  <si>
    <t>n:13.646</t>
  </si>
  <si>
    <t>s:CBRT ForexBuying, bulletin 2021/222</t>
  </si>
  <si>
    <t>n:14.2793</t>
  </si>
  <si>
    <t>n:16.8587</t>
  </si>
  <si>
    <t>n:12.6595</t>
  </si>
  <si>
    <t>d:2021-11-30</t>
  </si>
  <si>
    <t>n:14.0402</t>
  </si>
  <si>
    <t>s:CBRT ForexBuying, bulletin 2021/223</t>
  </si>
  <si>
    <t>n:14.6798</t>
  </si>
  <si>
    <t>n:17.2354</t>
  </si>
  <si>
    <t>n:12.9387</t>
  </si>
  <si>
    <t>d:2021-12-01</t>
  </si>
  <si>
    <t>n:14.4636</t>
  </si>
  <si>
    <t>s:CBRT ForexBuying, bulletin 2021/224</t>
  </si>
  <si>
    <t>n:15.1049</t>
  </si>
  <si>
    <t>n:17.7259</t>
  </si>
  <si>
    <t>n:13.3363</t>
  </si>
  <si>
    <t>d:2021-12-02</t>
  </si>
  <si>
    <t>n:14.5302</t>
  </si>
  <si>
    <t>s:CBRT ForexBuying, bulletin 2021/225</t>
  </si>
  <si>
    <t>n:15.1838</t>
  </si>
  <si>
    <t>n:17.812</t>
  </si>
  <si>
    <t>n:13.4067</t>
  </si>
  <si>
    <t>d:2021-12-03</t>
  </si>
  <si>
    <t>n:14.825</t>
  </si>
  <si>
    <t>s:CBRT ForexBuying, bulletin 2021/226</t>
  </si>
  <si>
    <t>n:15.4548</t>
  </si>
  <si>
    <t>n:18.1352</t>
  </si>
  <si>
    <t>n:13.6801</t>
  </si>
  <si>
    <t>d:2021-12-06</t>
  </si>
  <si>
    <t>n:14.9057</t>
  </si>
  <si>
    <t>s:CBRT ForexBuying, bulletin 2021/227</t>
  </si>
  <si>
    <t>n:15.5503</t>
  </si>
  <si>
    <t>n:18.222</t>
  </si>
  <si>
    <t>n:13.774</t>
  </si>
  <si>
    <t>d:2021-12-07</t>
  </si>
  <si>
    <t>n:14.7511</t>
  </si>
  <si>
    <t>s:CBRT ForexBuying, bulletin 2021/228</t>
  </si>
  <si>
    <t>n:15.4101</t>
  </si>
  <si>
    <t>n:18.0992</t>
  </si>
  <si>
    <t>n:13.6667</t>
  </si>
  <si>
    <t>d:2021-12-08</t>
  </si>
  <si>
    <t>n:14.7086</t>
  </si>
  <si>
    <t>s:CBRT ForexBuying, bulletin 2021/229</t>
  </si>
  <si>
    <t>n:15.3754</t>
  </si>
  <si>
    <t>n:18.001</t>
  </si>
  <si>
    <t>n:13.6241</t>
  </si>
  <si>
    <t>d:2021-12-09</t>
  </si>
  <si>
    <t>n:14.8793</t>
  </si>
  <si>
    <t>s:CBRT ForexBuying, bulletin 2021/230</t>
  </si>
  <si>
    <t>n:15.5577</t>
  </si>
  <si>
    <t>n:18.1087</t>
  </si>
  <si>
    <t>n:13.7432</t>
  </si>
  <si>
    <t>d:2021-12-10</t>
  </si>
  <si>
    <t>n:14.9331</t>
  </si>
  <si>
    <t>s:CBRT ForexBuying, bulletin 2021/231</t>
  </si>
  <si>
    <t>n:15.6094</t>
  </si>
  <si>
    <t>n:18.2387</t>
  </si>
  <si>
    <t>n:13.8346</t>
  </si>
  <si>
    <t>d:2021-12-13</t>
  </si>
  <si>
    <t>n:15.3868</t>
  </si>
  <si>
    <t>s:CBRT ForexBuying, bulletin 2021/232</t>
  </si>
  <si>
    <t>n:16.0663</t>
  </si>
  <si>
    <t>n:18.8303</t>
  </si>
  <si>
    <t>n:14.2465</t>
  </si>
  <si>
    <t>d:2021-12-14</t>
  </si>
  <si>
    <t>n:15.3521</t>
  </si>
  <si>
    <t>s:CBRT ForexBuying, bulletin 2021/233</t>
  </si>
  <si>
    <t>n:16.0096</t>
  </si>
  <si>
    <t>n:18.7122</t>
  </si>
  <si>
    <t>n:14.1745</t>
  </si>
  <si>
    <t>d:2021-12-15</t>
  </si>
  <si>
    <t>n:15.7961</t>
  </si>
  <si>
    <t>s:CBRT ForexBuying, bulletin 2021/234</t>
  </si>
  <si>
    <t>n:16.494</t>
  </si>
  <si>
    <t>n:19.3747</t>
  </si>
  <si>
    <t>n:14.635</t>
  </si>
  <si>
    <t>d:2021-12-16</t>
  </si>
  <si>
    <t>n:16.4242</t>
  </si>
  <si>
    <t>s:CBRT ForexBuying, bulletin 2021/235</t>
  </si>
  <si>
    <t>n:17.1957</t>
  </si>
  <si>
    <t>n:20.1644</t>
  </si>
  <si>
    <t>n:15.2118</t>
  </si>
  <si>
    <t>d:2021-12-17</t>
  </si>
  <si>
    <t>n:17.7385</t>
  </si>
  <si>
    <t>s:CBRT ForexBuying, bulletin 2021/236</t>
  </si>
  <si>
    <t>n:18.5044</t>
  </si>
  <si>
    <t>n:21.7046</t>
  </si>
  <si>
    <t>n:16.3358</t>
  </si>
  <si>
    <t>d:2021-12-20</t>
  </si>
  <si>
    <t>n:18.8734</t>
  </si>
  <si>
    <t>s:CBRT ForexBuying, bulletin 2021/237</t>
  </si>
  <si>
    <t>n:19.6788</t>
  </si>
  <si>
    <t>n:23.0334</t>
  </si>
  <si>
    <t>n:17.4731</t>
  </si>
  <si>
    <t>d:2021-12-21</t>
  </si>
  <si>
    <t>n:14.1042</t>
  </si>
  <si>
    <t>s:CBRT ForexBuying, bulletin 2021/238</t>
  </si>
  <si>
    <t>n:14.7024</t>
  </si>
  <si>
    <t>n:17.2084</t>
  </si>
  <si>
    <t>n:13.0226</t>
  </si>
  <si>
    <t>d:2021-12-22</t>
  </si>
  <si>
    <t>n:13.4431</t>
  </si>
  <si>
    <t>s:CBRT ForexBuying, bulletin 2021/239</t>
  </si>
  <si>
    <t>n:14.0483</t>
  </si>
  <si>
    <t>n:16.5162</t>
  </si>
  <si>
    <t>n:12.4535</t>
  </si>
  <si>
    <t>d:2021-12-23</t>
  </si>
  <si>
    <t>n:12.4172</t>
  </si>
  <si>
    <t>s:CBRT ForexBuying, bulletin 2021/240</t>
  </si>
  <si>
    <t>n:12.9683</t>
  </si>
  <si>
    <t>n:15.3095</t>
  </si>
  <si>
    <t>n:11.4508</t>
  </si>
  <si>
    <t>d:2021-12-24</t>
  </si>
  <si>
    <t>n:12.7537</t>
  </si>
  <si>
    <t>s:CBRT ForexBuying, bulletin 2021/241</t>
  </si>
  <si>
    <t>n:13.2926</t>
  </si>
  <si>
    <t>n:15.6985</t>
  </si>
  <si>
    <t>n:11.7278</t>
  </si>
  <si>
    <t>d:2021-12-27</t>
  </si>
  <si>
    <t>n:12.3629</t>
  </si>
  <si>
    <t>s:CBRT ForexBuying, bulletin 2021/242</t>
  </si>
  <si>
    <t>n:12.8903</t>
  </si>
  <si>
    <t>n:15.2412</t>
  </si>
  <si>
    <t>n:11.39</t>
  </si>
  <si>
    <t>d:2021-12-28</t>
  </si>
  <si>
    <t>n:12.8722</t>
  </si>
  <si>
    <t>s:CBRT ForexBuying, bulletin 2021/243</t>
  </si>
  <si>
    <t>n:13.4</t>
  </si>
  <si>
    <t>n:15.8766</t>
  </si>
  <si>
    <t>n:11.8302</t>
  </si>
  <si>
    <t>d:2021-12-29</t>
  </si>
  <si>
    <t>n:13.2769</t>
  </si>
  <si>
    <t>s:CBRT ForexBuying, bulletin 2021/244</t>
  </si>
  <si>
    <t>n:13.8011</t>
  </si>
  <si>
    <t>n:16.38</t>
  </si>
  <si>
    <t>n:12.2219</t>
  </si>
  <si>
    <t>d:2021-12-30</t>
  </si>
  <si>
    <t>n:14.1207</t>
  </si>
  <si>
    <t>s:CBRT ForexBuying, bulletin 2021/245</t>
  </si>
  <si>
    <t>n:14.6823</t>
  </si>
  <si>
    <t>n:17.453</t>
  </si>
  <si>
    <t>n:12.9775</t>
  </si>
  <si>
    <t>d:2021-12-31</t>
  </si>
  <si>
    <t>n:14.5602</t>
  </si>
  <si>
    <t>s:CBRT ForexBuying, bulletin 2021/246</t>
  </si>
  <si>
    <t>n:15.0867</t>
  </si>
  <si>
    <t>n:17.9667</t>
  </si>
  <si>
    <t>n:13.329</t>
  </si>
  <si>
    <t>d:2022-01-03</t>
  </si>
  <si>
    <t>n:14.6684</t>
  </si>
  <si>
    <t>s:CBRT ForexBuying, bulletin 2022/1</t>
  </si>
  <si>
    <t>n:15.2342</t>
  </si>
  <si>
    <t>n:18.1055</t>
  </si>
  <si>
    <t>n:13.4221</t>
  </si>
  <si>
    <t>d:2022-01-04</t>
  </si>
  <si>
    <t>n:14.3268</t>
  </si>
  <si>
    <t>s:CBRT ForexBuying, bulletin 2022/2</t>
  </si>
  <si>
    <t>n:14.8902</t>
  </si>
  <si>
    <t>n:17.7619</t>
  </si>
  <si>
    <t>n:13.1873</t>
  </si>
  <si>
    <t>d:2022-01-05</t>
  </si>
  <si>
    <t>n:14.5704</t>
  </si>
  <si>
    <t>s:CBRT ForexBuying, bulletin 2022/3</t>
  </si>
  <si>
    <t>n:15.1137</t>
  </si>
  <si>
    <t>n:18.0669</t>
  </si>
  <si>
    <t>n:13.3687</t>
  </si>
  <si>
    <t>d:2022-01-06</t>
  </si>
  <si>
    <t>n:14.8056</t>
  </si>
  <si>
    <t>s:CBRT ForexBuying, bulletin 2022/4</t>
  </si>
  <si>
    <t>n:15.4105</t>
  </si>
  <si>
    <t>n:18.397</t>
  </si>
  <si>
    <t>n:13.6352</t>
  </si>
  <si>
    <t>d:2022-01-07</t>
  </si>
  <si>
    <t>n:14.8939</t>
  </si>
  <si>
    <t>s:CBRT ForexBuying, bulletin 2022/5</t>
  </si>
  <si>
    <t>n:15.5501</t>
  </si>
  <si>
    <t>n:18.5989</t>
  </si>
  <si>
    <t>n:13.7526</t>
  </si>
  <si>
    <t>d:2022-01-10</t>
  </si>
  <si>
    <t>n:14.8593</t>
  </si>
  <si>
    <t>s:CBRT ForexBuying, bulletin 2022/6</t>
  </si>
  <si>
    <t>n:15.5443</t>
  </si>
  <si>
    <t>n:18.6072</t>
  </si>
  <si>
    <t>n:13.7195</t>
  </si>
  <si>
    <t>d:2022-01-11</t>
  </si>
  <si>
    <t>n:14.7954</t>
  </si>
  <si>
    <t>s:CBRT ForexBuying, bulletin 2022/7</t>
  </si>
  <si>
    <t>n:15.5689</t>
  </si>
  <si>
    <t>n:18.6418</t>
  </si>
  <si>
    <t>n:13.7314</t>
  </si>
  <si>
    <t>d:2022-01-12</t>
  </si>
  <si>
    <t>n:14.8207</t>
  </si>
  <si>
    <t>s:CBRT ForexBuying, bulletin 2022/8</t>
  </si>
  <si>
    <t>n:15.5908</t>
  </si>
  <si>
    <t>n:18.67</t>
  </si>
  <si>
    <t>n:13.7209</t>
  </si>
  <si>
    <t>d:2022-01-13</t>
  </si>
  <si>
    <t>n:14.7956</t>
  </si>
  <si>
    <t>s:CBRT ForexBuying, bulletin 2022/9</t>
  </si>
  <si>
    <t>n:15.5177</t>
  </si>
  <si>
    <t>n:18.5599</t>
  </si>
  <si>
    <t>n:13.54</t>
  </si>
  <si>
    <t>d:2022-01-14</t>
  </si>
  <si>
    <t>n:14.7942</t>
  </si>
  <si>
    <t>s:CBRT ForexBuying, bulletin 2022/10</t>
  </si>
  <si>
    <t>n:15.4799</t>
  </si>
  <si>
    <t>n:18.5101</t>
  </si>
  <si>
    <t>n:13.5054</t>
  </si>
  <si>
    <t>d:2022-01-17</t>
  </si>
  <si>
    <t>n:14.717</t>
  </si>
  <si>
    <t>s:CBRT ForexBuying, bulletin 2022/11</t>
  </si>
  <si>
    <t>n:15.394</t>
  </si>
  <si>
    <t>n:18.4021</t>
  </si>
  <si>
    <t>n:13.4788</t>
  </si>
  <si>
    <t>d:2022-01-18</t>
  </si>
  <si>
    <t>n:14.7351</t>
  </si>
  <si>
    <t>s:CBRT ForexBuying, bulletin 2022/12</t>
  </si>
  <si>
    <t>n:15.395</t>
  </si>
  <si>
    <t>n:18.3819</t>
  </si>
  <si>
    <t>n:13.5109</t>
  </si>
  <si>
    <t>d:2022-01-19</t>
  </si>
  <si>
    <t>n:14.7829</t>
  </si>
  <si>
    <t>s:CBRT ForexBuying, bulletin 2022/13</t>
  </si>
  <si>
    <t>n:15.3848</t>
  </si>
  <si>
    <t>n:18.4387</t>
  </si>
  <si>
    <t>n:13.5703</t>
  </si>
  <si>
    <t>d:2022-01-20</t>
  </si>
  <si>
    <t>n:14.6545</t>
  </si>
  <si>
    <t>s:CBRT ForexBuying, bulletin 2022/14</t>
  </si>
  <si>
    <t>n:15.2577</t>
  </si>
  <si>
    <t>n:18.2821</t>
  </si>
  <si>
    <t>d:2022-01-21</t>
  </si>
  <si>
    <t>n:14.6368</t>
  </si>
  <si>
    <t>s:CBRT ForexBuying, bulletin 2022/15</t>
  </si>
  <si>
    <t>n:15.1892</t>
  </si>
  <si>
    <t>n:18.1574</t>
  </si>
  <si>
    <t>n:13.402</t>
  </si>
  <si>
    <t>d:2022-01-24</t>
  </si>
  <si>
    <t>n:14.6342</t>
  </si>
  <si>
    <t>s:CBRT ForexBuying, bulletin 2022/16</t>
  </si>
  <si>
    <t>n:15.1506</t>
  </si>
  <si>
    <t>n:18.0694</t>
  </si>
  <si>
    <t>n:13.3846</t>
  </si>
  <si>
    <t>d:2022-01-25</t>
  </si>
  <si>
    <t>n:14.6673</t>
  </si>
  <si>
    <t>s:CBRT ForexBuying, bulletin 2022/17</t>
  </si>
  <si>
    <t>n:15.2425</t>
  </si>
  <si>
    <t>n:18.1596</t>
  </si>
  <si>
    <t>n:13.5</t>
  </si>
  <si>
    <t>d:2022-01-26</t>
  </si>
  <si>
    <t>n:14.6439</t>
  </si>
  <si>
    <t>s:CBRT ForexBuying, bulletin 2022/18</t>
  </si>
  <si>
    <t>n:15.2404</t>
  </si>
  <si>
    <t>n:18.2062</t>
  </si>
  <si>
    <t>n:13.5029</t>
  </si>
  <si>
    <t>d:2022-01-27</t>
  </si>
  <si>
    <t>n:14.6274</t>
  </si>
  <si>
    <t>s:CBRT ForexBuying, bulletin 2022/19</t>
  </si>
  <si>
    <t>n:15.2159</t>
  </si>
  <si>
    <t>n:18.2046</t>
  </si>
  <si>
    <t>n:13.5932</t>
  </si>
  <si>
    <t>d:2022-01-28</t>
  </si>
  <si>
    <t>n:14.5766</t>
  </si>
  <si>
    <t>s:CBRT ForexBuying, bulletin 2022/20</t>
  </si>
  <si>
    <t>n:15.1536</t>
  </si>
  <si>
    <t>n:18.1861</t>
  </si>
  <si>
    <t>n:13.6066</t>
  </si>
  <si>
    <t>d:2022-01-31</t>
  </si>
  <si>
    <t>n:14.3417</t>
  </si>
  <si>
    <t>s:CBRT ForexBuying, bulletin 2022/21</t>
  </si>
  <si>
    <t>n:14.9676</t>
  </si>
  <si>
    <t>n:17.9683</t>
  </si>
  <si>
    <t>n:13.4015</t>
  </si>
  <si>
    <t>d:2022-02-01</t>
  </si>
  <si>
    <t>n:14.446</t>
  </si>
  <si>
    <t>s:CBRT ForexBuying, bulletin 2022/22</t>
  </si>
  <si>
    <t>n:15.0503</t>
  </si>
  <si>
    <t>n:17.9908</t>
  </si>
  <si>
    <t>n:13.367</t>
  </si>
  <si>
    <t>d:2022-02-02</t>
  </si>
  <si>
    <t>n:14.5608</t>
  </si>
  <si>
    <t>s:CBRT ForexBuying, bulletin 2022/23</t>
  </si>
  <si>
    <t>n:15.1653</t>
  </si>
  <si>
    <t>n:18.1535</t>
  </si>
  <si>
    <t>n:13.4287</t>
  </si>
  <si>
    <t>d:2022-02-03</t>
  </si>
  <si>
    <t>n:14.6739</t>
  </si>
  <si>
    <t>s:CBRT ForexBuying, bulletin 2022/24</t>
  </si>
  <si>
    <t>n:15.3002</t>
  </si>
  <si>
    <t>n:18.3425</t>
  </si>
  <si>
    <t>n:13.5543</t>
  </si>
  <si>
    <t>d:2022-02-04</t>
  </si>
  <si>
    <t>n:14.6487</t>
  </si>
  <si>
    <t>s:CBRT ForexBuying, bulletin 2022/25</t>
  </si>
  <si>
    <t>n:15.5162</t>
  </si>
  <si>
    <t>n:18.3391</t>
  </si>
  <si>
    <t>n:13.5336</t>
  </si>
  <si>
    <t>d:2022-02-07</t>
  </si>
  <si>
    <t>n:14.6131</t>
  </si>
  <si>
    <t>s:CBRT ForexBuying, bulletin 2022/26</t>
  </si>
  <si>
    <t>n:15.4812</t>
  </si>
  <si>
    <t>n:18.2807</t>
  </si>
  <si>
    <t>n:13.5429</t>
  </si>
  <si>
    <t>d:2022-02-08</t>
  </si>
  <si>
    <t>n:14.703</t>
  </si>
  <si>
    <t>s:CBRT ForexBuying, bulletin 2022/27</t>
  </si>
  <si>
    <t>n:15.5412</t>
  </si>
  <si>
    <t>n:18.4061</t>
  </si>
  <si>
    <t>n:13.616</t>
  </si>
  <si>
    <t>d:2022-02-09</t>
  </si>
  <si>
    <t>n:14.6519</t>
  </si>
  <si>
    <t>s:CBRT ForexBuying, bulletin 2022/28</t>
  </si>
  <si>
    <t>n:15.5002</t>
  </si>
  <si>
    <t>n:18.3765</t>
  </si>
  <si>
    <t>n:13.5675</t>
  </si>
  <si>
    <t>d:2022-02-10</t>
  </si>
  <si>
    <t>n:14.6135</t>
  </si>
  <si>
    <t>s:CBRT ForexBuying, bulletin 2022/29</t>
  </si>
  <si>
    <t>n:15.4713</t>
  </si>
  <si>
    <t>n:18.3151</t>
  </si>
  <si>
    <t>n:13.5322</t>
  </si>
  <si>
    <t>d:2022-02-11</t>
  </si>
  <si>
    <t>n:14.5144</t>
  </si>
  <si>
    <t>s:CBRT ForexBuying, bulletin 2022/30</t>
  </si>
  <si>
    <t>n:15.3674</t>
  </si>
  <si>
    <t>n:18.2544</t>
  </si>
  <si>
    <t>n:13.4933</t>
  </si>
  <si>
    <t>d:2022-02-14</t>
  </si>
  <si>
    <t>n:14.6077</t>
  </si>
  <si>
    <t>s:CBRT ForexBuying, bulletin 2022/31</t>
  </si>
  <si>
    <t>n:15.327</t>
  </si>
  <si>
    <t>n:18.2728</t>
  </si>
  <si>
    <t>n:13.5378</t>
  </si>
  <si>
    <t>d:2022-02-15</t>
  </si>
  <si>
    <t>n:14.6813</t>
  </si>
  <si>
    <t>s:CBRT ForexBuying, bulletin 2022/32</t>
  </si>
  <si>
    <t>n:15.4218</t>
  </si>
  <si>
    <t>n:18.3942</t>
  </si>
  <si>
    <t>n:13.6032</t>
  </si>
  <si>
    <t>d:2022-02-16</t>
  </si>
  <si>
    <t>n:14.6885</t>
  </si>
  <si>
    <t>s:CBRT ForexBuying, bulletin 2022/33</t>
  </si>
  <si>
    <t>n:15.4927</t>
  </si>
  <si>
    <t>n:18.4319</t>
  </si>
  <si>
    <t>n:13.6154</t>
  </si>
  <si>
    <t>d:2022-02-17</t>
  </si>
  <si>
    <t>n:14.7269</t>
  </si>
  <si>
    <t>s:CBRT ForexBuying, bulletin 2022/34</t>
  </si>
  <si>
    <t>n:15.462</t>
  </si>
  <si>
    <t>n:18.4676</t>
  </si>
  <si>
    <t>n:13.6035</t>
  </si>
  <si>
    <t>d:2022-02-18</t>
  </si>
  <si>
    <t>n:14.7473</t>
  </si>
  <si>
    <t>s:CBRT ForexBuying, bulletin 2022/35</t>
  </si>
  <si>
    <t>n:15.4745</t>
  </si>
  <si>
    <t>n:18.5103</t>
  </si>
  <si>
    <t>n:13.6118</t>
  </si>
  <si>
    <t>d:2022-02-21</t>
  </si>
  <si>
    <t>n:14.7858</t>
  </si>
  <si>
    <t>s:CBRT ForexBuying, bulletin 2022/36</t>
  </si>
  <si>
    <t>n:15.4651</t>
  </si>
  <si>
    <t>n:18.521</t>
  </si>
  <si>
    <t>n:13.6123</t>
  </si>
  <si>
    <t>d:2022-02-22</t>
  </si>
  <si>
    <t>n:14.9391</t>
  </si>
  <si>
    <t>s:CBRT ForexBuying, bulletin 2022/37</t>
  </si>
  <si>
    <t>n:15.5648</t>
  </si>
  <si>
    <t>n:18.6243</t>
  </si>
  <si>
    <t>n:13.7447</t>
  </si>
  <si>
    <t>d:2022-02-23</t>
  </si>
  <si>
    <t>n:14.9424</t>
  </si>
  <si>
    <t>s:CBRT ForexBuying, bulletin 2022/38</t>
  </si>
  <si>
    <t>n:15.6358</t>
  </si>
  <si>
    <t>n:18.7153</t>
  </si>
  <si>
    <t>n:13.7849</t>
  </si>
  <si>
    <t>d:2022-02-24</t>
  </si>
  <si>
    <t>n:15.4155</t>
  </si>
  <si>
    <t>s:CBRT ForexBuying, bulletin 2022/39</t>
  </si>
  <si>
    <t>n:15.9627</t>
  </si>
  <si>
    <t>n:19.1082</t>
  </si>
  <si>
    <t>n:14.2324</t>
  </si>
  <si>
    <t>d:2022-02-25</t>
  </si>
  <si>
    <t>n:15.1383</t>
  </si>
  <si>
    <t>s:CBRT ForexBuying, bulletin 2022/40</t>
  </si>
  <si>
    <t>n:15.7097</t>
  </si>
  <si>
    <t>n:18.7694</t>
  </si>
  <si>
    <t>n:14.0395</t>
  </si>
  <si>
    <t>d:2022-02-28</t>
  </si>
  <si>
    <t>n:14.9359</t>
  </si>
  <si>
    <t>s:CBRT ForexBuying, bulletin 2022/41</t>
  </si>
  <si>
    <t>n:15.4724</t>
  </si>
  <si>
    <t>n:18.474</t>
  </si>
  <si>
    <t>n:13.8286</t>
  </si>
  <si>
    <t>d:2022-03-01</t>
  </si>
  <si>
    <t>n:15.1013</t>
  </si>
  <si>
    <t>s:CBRT ForexBuying, bulletin 2022/42</t>
  </si>
  <si>
    <t>n:15.5556</t>
  </si>
  <si>
    <t>n:18.5961</t>
  </si>
  <si>
    <t>n:13.8854</t>
  </si>
  <si>
    <t>d:2022-03-02</t>
  </si>
  <si>
    <t>n:15.2426</t>
  </si>
  <si>
    <t>s:CBRT ForexBuying, bulletin 2022/43</t>
  </si>
  <si>
    <t>n:15.5729</t>
  </si>
  <si>
    <t>n:18.6493</t>
  </si>
  <si>
    <t>n:14.0386</t>
  </si>
  <si>
    <t>d:2022-03-03</t>
  </si>
  <si>
    <t>n:15.3086</t>
  </si>
  <si>
    <t>s:CBRT ForexBuying, bulletin 2022/44</t>
  </si>
  <si>
    <t>n:15.6521</t>
  </si>
  <si>
    <t>n:18.8607</t>
  </si>
  <si>
    <t>n:14.112</t>
  </si>
  <si>
    <t>d:2022-03-04</t>
  </si>
  <si>
    <t>n:15.3971</t>
  </si>
  <si>
    <t>s:CBRT ForexBuying, bulletin 2022/45</t>
  </si>
  <si>
    <t>n:15.6017</t>
  </si>
  <si>
    <t>n:18.84</t>
  </si>
  <si>
    <t>n:14.1766</t>
  </si>
  <si>
    <t>d:2022-03-07</t>
  </si>
  <si>
    <t>n:15.4558</t>
  </si>
  <si>
    <t>s:CBRT ForexBuying, bulletin 2022/46</t>
  </si>
  <si>
    <t>n:15.5309</t>
  </si>
  <si>
    <t>n:18.8178</t>
  </si>
  <si>
    <t>n:14.3012</t>
  </si>
  <si>
    <t>d:2022-03-08</t>
  </si>
  <si>
    <t>n:15.5792</t>
  </si>
  <si>
    <t>s:CBRT ForexBuying, bulletin 2022/47</t>
  </si>
  <si>
    <t>n:15.7502</t>
  </si>
  <si>
    <t>n:18.9437</t>
  </si>
  <si>
    <t>n:14.4728</t>
  </si>
  <si>
    <t>d:2022-03-09</t>
  </si>
  <si>
    <t>n:15.6979</t>
  </si>
  <si>
    <t>s:CBRT ForexBuying, bulletin 2022/48</t>
  </si>
  <si>
    <t>n:15.9918</t>
  </si>
  <si>
    <t>n:19.1576</t>
  </si>
  <si>
    <t>n:14.6061</t>
  </si>
  <si>
    <t>d:2022-03-10</t>
  </si>
  <si>
    <t>n:15.8705</t>
  </si>
  <si>
    <t>s:CBRT ForexBuying, bulletin 2022/49</t>
  </si>
  <si>
    <t>n:16.2842</t>
  </si>
  <si>
    <t>n:19.3844</t>
  </si>
  <si>
    <t>n:14.7435</t>
  </si>
  <si>
    <t>d:2022-03-11</t>
  </si>
  <si>
    <t>n:15.9698</t>
  </si>
  <si>
    <t>s:CBRT ForexBuying, bulletin 2022/50</t>
  </si>
  <si>
    <t>n:16.3758</t>
  </si>
  <si>
    <t>n:19.4655</t>
  </si>
  <si>
    <t>n:14.9042</t>
  </si>
  <si>
    <t>d:2022-03-14</t>
  </si>
  <si>
    <t>n:15.7492</t>
  </si>
  <si>
    <t>s:CBRT ForexBuying, bulletin 2022/51</t>
  </si>
  <si>
    <t>n:16.1627</t>
  </si>
  <si>
    <t>n:19.2105</t>
  </si>
  <si>
    <t>n:14.7624</t>
  </si>
  <si>
    <t>d:2022-03-15</t>
  </si>
  <si>
    <t>n:15.6728</t>
  </si>
  <si>
    <t>s:CBRT ForexBuying, bulletin 2022/52</t>
  </si>
  <si>
    <t>n:16.217</t>
  </si>
  <si>
    <t>n:19.1976</t>
  </si>
  <si>
    <t>n:14.7503</t>
  </si>
  <si>
    <t>d:2022-03-16</t>
  </si>
  <si>
    <t>n:15.5719</t>
  </si>
  <si>
    <t>s:CBRT ForexBuying, bulletin 2022/53</t>
  </si>
  <si>
    <t>n:16.1254</t>
  </si>
  <si>
    <t>n:19.1368</t>
  </si>
  <si>
    <t>n:14.6758</t>
  </si>
  <si>
    <t>d:2022-03-17</t>
  </si>
  <si>
    <t>n:15.5669</t>
  </si>
  <si>
    <t>s:CBRT ForexBuying, bulletin 2022/54</t>
  </si>
  <si>
    <t>n:16.2065</t>
  </si>
  <si>
    <t>n:19.3043</t>
  </si>
  <si>
    <t>n:14.6697</t>
  </si>
  <si>
    <t>d:2022-03-18</t>
  </si>
  <si>
    <t>n:15.7414</t>
  </si>
  <si>
    <t>s:CBRT ForexBuying, bulletin 2022/55</t>
  </si>
  <si>
    <t>n:16.3261</t>
  </si>
  <si>
    <t>n:19.3724</t>
  </si>
  <si>
    <t>n:14.764</t>
  </si>
  <si>
    <t>d:2022-03-21</t>
  </si>
  <si>
    <t>n:15.8631</t>
  </si>
  <si>
    <t>s:CBRT ForexBuying, bulletin 2022/56</t>
  </si>
  <si>
    <t>n:16.3668</t>
  </si>
  <si>
    <t>n:19.4454</t>
  </si>
  <si>
    <t>n:14.816</t>
  </si>
  <si>
    <t>d:2022-03-22</t>
  </si>
  <si>
    <t>n:15.7909</t>
  </si>
  <si>
    <t>s:CBRT ForexBuying, bulletin 2022/57</t>
  </si>
  <si>
    <t>n:16.2734</t>
  </si>
  <si>
    <t>n:19.473</t>
  </si>
  <si>
    <t>n:14.8041</t>
  </si>
  <si>
    <t>d:2022-03-23</t>
  </si>
  <si>
    <t>n:15.8034</t>
  </si>
  <si>
    <t>s:CBRT ForexBuying, bulletin 2022/58</t>
  </si>
  <si>
    <t>n:16.2985</t>
  </si>
  <si>
    <t>n:19.564</t>
  </si>
  <si>
    <t>n:14.8063</t>
  </si>
  <si>
    <t>d:2022-03-24</t>
  </si>
  <si>
    <t>n:15.8575</t>
  </si>
  <si>
    <t>s:CBRT ForexBuying, bulletin 2022/59</t>
  </si>
  <si>
    <t>n:16.2825</t>
  </si>
  <si>
    <t>n:19.5109</t>
  </si>
  <si>
    <t>n:14.8234</t>
  </si>
  <si>
    <t>d:2022-03-25</t>
  </si>
  <si>
    <t>n:15.939</t>
  </si>
  <si>
    <t>s:CBRT ForexBuying, bulletin 2022/60</t>
  </si>
  <si>
    <t>n:16.3136</t>
  </si>
  <si>
    <t>n:19.4913</t>
  </si>
  <si>
    <t>n:14.8068</t>
  </si>
  <si>
    <t>d:2022-03-28</t>
  </si>
  <si>
    <t>n:15.8088</t>
  </si>
  <si>
    <t>s:CBRT ForexBuying, bulletin 2022/61</t>
  </si>
  <si>
    <t>n:16.262</t>
  </si>
  <si>
    <t>n:19.4497</t>
  </si>
  <si>
    <t>n:14.8221</t>
  </si>
  <si>
    <t>d:2022-03-29</t>
  </si>
  <si>
    <t>n:15.7771</t>
  </si>
  <si>
    <t>s:CBRT ForexBuying, bulletin 2022/62</t>
  </si>
  <si>
    <t>n:16.3117</t>
  </si>
  <si>
    <t>n:19.3392</t>
  </si>
  <si>
    <t>n:14.7933</t>
  </si>
  <si>
    <t>d:2022-03-30</t>
  </si>
  <si>
    <t>n:15.7671</t>
  </si>
  <si>
    <t>s:CBRT ForexBuying, bulletin 2022/63</t>
  </si>
  <si>
    <t>n:16.3086</t>
  </si>
  <si>
    <t>n:19.2129</t>
  </si>
  <si>
    <t>n:14.6458</t>
  </si>
  <si>
    <t>d:2022-03-31</t>
  </si>
  <si>
    <t>n:15.7954</t>
  </si>
  <si>
    <t>s:CBRT ForexBuying, bulletin 2022/64</t>
  </si>
  <si>
    <t>n:16.2855</t>
  </si>
  <si>
    <t>n:19.1807</t>
  </si>
  <si>
    <t>n:14.6371</t>
  </si>
  <si>
    <t>d:2022-04-01</t>
  </si>
  <si>
    <t>n:15.8325</t>
  </si>
  <si>
    <t>s:CBRT ForexBuying, bulletin 2022/65</t>
  </si>
  <si>
    <t>n:16.2145</t>
  </si>
  <si>
    <t>n:19.2161</t>
  </si>
  <si>
    <t>n:14.6609</t>
  </si>
  <si>
    <t>d:2022-04-04</t>
  </si>
  <si>
    <t>n:15.8124</t>
  </si>
  <si>
    <t>s:CBRT ForexBuying, bulletin 2022/66</t>
  </si>
  <si>
    <t>n:16.1796</t>
  </si>
  <si>
    <t>n:19.2257</t>
  </si>
  <si>
    <t>n:14.6862</t>
  </si>
  <si>
    <t>d:2022-04-05</t>
  </si>
  <si>
    <t>n:15.8394</t>
  </si>
  <si>
    <t>s:CBRT ForexBuying, bulletin 2022/67</t>
  </si>
  <si>
    <t>n:16.1262</t>
  </si>
  <si>
    <t>n:19.2635</t>
  </si>
  <si>
    <t>n:14.6955</t>
  </si>
  <si>
    <t>d:2022-04-06</t>
  </si>
  <si>
    <t>n:15.7347</t>
  </si>
  <si>
    <t>s:CBRT ForexBuying, bulletin 2022/68</t>
  </si>
  <si>
    <t>n:16.0543</t>
  </si>
  <si>
    <t>n:19.2205</t>
  </si>
  <si>
    <t>n:14.7176</t>
  </si>
  <si>
    <t>d:2022-04-07</t>
  </si>
  <si>
    <t>n:15.7511</t>
  </si>
  <si>
    <t>s:CBRT ForexBuying, bulletin 2022/69</t>
  </si>
  <si>
    <t>n:16.0523</t>
  </si>
  <si>
    <t>n:19.2342</t>
  </si>
  <si>
    <t>n:14.7289</t>
  </si>
  <si>
    <t>d:2022-04-08</t>
  </si>
  <si>
    <t>n:15.7099</t>
  </si>
  <si>
    <t>s:CBRT ForexBuying, bulletin 2022/70</t>
  </si>
  <si>
    <t>n:16.0012</t>
  </si>
  <si>
    <t>n:19.1645</t>
  </si>
  <si>
    <t>n:14.7213</t>
  </si>
  <si>
    <t>d:2022-04-11</t>
  </si>
  <si>
    <t>n:15.7093</t>
  </si>
  <si>
    <t>s:CBRT ForexBuying, bulletin 2022/71</t>
  </si>
  <si>
    <t>n:16.0497</t>
  </si>
  <si>
    <t>n:19.1417</t>
  </si>
  <si>
    <t>n:14.7162</t>
  </si>
  <si>
    <t>d:2022-04-12</t>
  </si>
  <si>
    <t>n:15.6819</t>
  </si>
  <si>
    <t>s:CBRT ForexBuying, bulletin 2022/72</t>
  </si>
  <si>
    <t>n:15.933</t>
  </si>
  <si>
    <t>n:19.0482</t>
  </si>
  <si>
    <t>n:14.6633</t>
  </si>
  <si>
    <t>d:2022-04-13</t>
  </si>
  <si>
    <t>n:15.569</t>
  </si>
  <si>
    <t>s:CBRT ForexBuying, bulletin 2022/73</t>
  </si>
  <si>
    <t>n:15.7713</t>
  </si>
  <si>
    <t>n:18.8964</t>
  </si>
  <si>
    <t>n:14.5604</t>
  </si>
  <si>
    <t>d:2022-04-14</t>
  </si>
  <si>
    <t>n:15.5733</t>
  </si>
  <si>
    <t>s:CBRT ForexBuying, bulletin 2022/74</t>
  </si>
  <si>
    <t>n:15.9114</t>
  </si>
  <si>
    <t>n:19.1323</t>
  </si>
  <si>
    <t>n:14.5933</t>
  </si>
  <si>
    <t>d:2022-04-15</t>
  </si>
  <si>
    <t>n:15.4785</t>
  </si>
  <si>
    <t>s:CBRT ForexBuying, bulletin 2022/75</t>
  </si>
  <si>
    <t>n:15.8056</t>
  </si>
  <si>
    <t>n:19.0706</t>
  </si>
  <si>
    <t>n:14.6181</t>
  </si>
  <si>
    <t>d:2022-04-18</t>
  </si>
  <si>
    <t>n:15.4634</t>
  </si>
  <si>
    <t>s:CBRT ForexBuying, bulletin 2022/76</t>
  </si>
  <si>
    <t>n:15.7912</t>
  </si>
  <si>
    <t>n:19.0113</t>
  </si>
  <si>
    <t>n:14.6252</t>
  </si>
  <si>
    <t>d:2022-04-19</t>
  </si>
  <si>
    <t>n:15.4298</t>
  </si>
  <si>
    <t>s:CBRT ForexBuying, bulletin 2022/77</t>
  </si>
  <si>
    <t>n:15.801</t>
  </si>
  <si>
    <t>n:19.0261</t>
  </si>
  <si>
    <t>n:14.6343</t>
  </si>
  <si>
    <t>d:2022-04-20</t>
  </si>
  <si>
    <t>n:15.4007</t>
  </si>
  <si>
    <t>s:CBRT ForexBuying, bulletin 2022/78</t>
  </si>
  <si>
    <t>n:15.8633</t>
  </si>
  <si>
    <t>n:19.0507</t>
  </si>
  <si>
    <t>n:14.6424</t>
  </si>
  <si>
    <t>d:2022-04-21</t>
  </si>
  <si>
    <t>n:15.4317</t>
  </si>
  <si>
    <t>s:CBRT ForexBuying, bulletin 2022/79</t>
  </si>
  <si>
    <t>n:15.9909</t>
  </si>
  <si>
    <t>n:19.1189</t>
  </si>
  <si>
    <t>n:14.6605</t>
  </si>
  <si>
    <t>d:2022-04-22</t>
  </si>
  <si>
    <t>n:15.3652</t>
  </si>
  <si>
    <t>s:CBRT ForexBuying, bulletin 2022/80</t>
  </si>
  <si>
    <t>n:15.9017</t>
  </si>
  <si>
    <t>n:18.9495</t>
  </si>
  <si>
    <t>n:14.7068</t>
  </si>
  <si>
    <t>d:2022-04-25</t>
  </si>
  <si>
    <t>n:15.353</t>
  </si>
  <si>
    <t>s:CBRT ForexBuying, bulletin 2022/81</t>
  </si>
  <si>
    <t>n:15.8262</t>
  </si>
  <si>
    <t>n:18.7454</t>
  </si>
  <si>
    <t>n:14.7439</t>
  </si>
  <si>
    <t>d:2022-04-26</t>
  </si>
  <si>
    <t>n:15.3648</t>
  </si>
  <si>
    <t>s:CBRT ForexBuying, bulletin 2022/82</t>
  </si>
  <si>
    <t>n:15.7779</t>
  </si>
  <si>
    <t>n:18.744</t>
  </si>
  <si>
    <t>n:14.767</t>
  </si>
  <si>
    <t>d:2022-04-27</t>
  </si>
  <si>
    <t>n:15.2997</t>
  </si>
  <si>
    <t>s:CBRT ForexBuying, bulletin 2022/83</t>
  </si>
  <si>
    <t>n:15.6941</t>
  </si>
  <si>
    <t>n:18.5696</t>
  </si>
  <si>
    <t>n:14.7962</t>
  </si>
  <si>
    <t>d:2022-04-28</t>
  </si>
  <si>
    <t>n:15.1782</t>
  </si>
  <si>
    <t>s:CBRT ForexBuying, bulletin 2022/84</t>
  </si>
  <si>
    <t>n:15.5448</t>
  </si>
  <si>
    <t>n:18.4517</t>
  </si>
  <si>
    <t>n:14.7798</t>
  </si>
  <si>
    <t>d:2022-04-29</t>
  </si>
  <si>
    <t>n:15.2089</t>
  </si>
  <si>
    <t>s:CBRT ForexBuying, bulletin 2022/85</t>
  </si>
  <si>
    <t>n:15.6139</t>
  </si>
  <si>
    <t>n:18.5317</t>
  </si>
  <si>
    <t>n:14.7852</t>
  </si>
  <si>
    <t>d:2022-05-05</t>
  </si>
  <si>
    <t>n:15.134</t>
  </si>
  <si>
    <t>s:CBRT ForexBuying, bulletin 2022/86</t>
  </si>
  <si>
    <t>n:15.7054</t>
  </si>
  <si>
    <t>n:18.5428</t>
  </si>
  <si>
    <t>n:14.8313</t>
  </si>
  <si>
    <t>d:2022-05-06</t>
  </si>
  <si>
    <t>n:15.0849</t>
  </si>
  <si>
    <t>s:CBRT ForexBuying, bulletin 2022/87</t>
  </si>
  <si>
    <t>n:15.7147</t>
  </si>
  <si>
    <t>n:18.3393</t>
  </si>
  <si>
    <t>n:14.8978</t>
  </si>
  <si>
    <t>d:2022-05-09</t>
  </si>
  <si>
    <t>n:15.046</t>
  </si>
  <si>
    <t>s:CBRT ForexBuying, bulletin 2022/88</t>
  </si>
  <si>
    <t>n:15.7587</t>
  </si>
  <si>
    <t>n:18.399</t>
  </si>
  <si>
    <t>n:14.974</t>
  </si>
  <si>
    <t>d:2022-05-10</t>
  </si>
  <si>
    <t>n:15.2455</t>
  </si>
  <si>
    <t>s:CBRT ForexBuying, bulletin 2022/89</t>
  </si>
  <si>
    <t>n:16.0374</t>
  </si>
  <si>
    <t>n:18.7051</t>
  </si>
  <si>
    <t>n:15.1926</t>
  </si>
  <si>
    <t>d:2022-05-11</t>
  </si>
  <si>
    <t>n:15.3992</t>
  </si>
  <si>
    <t>s:CBRT ForexBuying, bulletin 2022/90</t>
  </si>
  <si>
    <t>n:16.133</t>
  </si>
  <si>
    <t>n:18.8562</t>
  </si>
  <si>
    <t>n:15.2882</t>
  </si>
  <si>
    <t>d:2022-05-12</t>
  </si>
  <si>
    <t>n:15.3802</t>
  </si>
  <si>
    <t>s:CBRT ForexBuying, bulletin 2022/91</t>
  </si>
  <si>
    <t>n:16.0354</t>
  </si>
  <si>
    <t>n:18.6918</t>
  </si>
  <si>
    <t>n:15.3526</t>
  </si>
  <si>
    <t>d:2022-05-13</t>
  </si>
  <si>
    <t>n:15.3924</t>
  </si>
  <si>
    <t>s:CBRT ForexBuying, bulletin 2022/92</t>
  </si>
  <si>
    <t>n:16.0455</t>
  </si>
  <si>
    <t>n:18.804</t>
  </si>
  <si>
    <t>n:15.4378</t>
  </si>
  <si>
    <t>d:2022-05-16</t>
  </si>
  <si>
    <t>n:15.4585</t>
  </si>
  <si>
    <t>s:CBRT ForexBuying, bulletin 2022/93</t>
  </si>
  <si>
    <t>n:16.2166</t>
  </si>
  <si>
    <t>n:19.0167</t>
  </si>
  <si>
    <t>n:15.5639</t>
  </si>
  <si>
    <t>d:2022-05-17</t>
  </si>
  <si>
    <t>n:15.8075</t>
  </si>
  <si>
    <t>s:CBRT ForexBuying, bulletin 2022/94</t>
  </si>
  <si>
    <t>n:16.5628</t>
  </si>
  <si>
    <t>n:19.6206</t>
  </si>
  <si>
    <t>n:15.7886</t>
  </si>
  <si>
    <t>d:2022-05-18</t>
  </si>
  <si>
    <t>n:15.9358</t>
  </si>
  <si>
    <t>s:CBRT ForexBuying, bulletin 2022/95</t>
  </si>
  <si>
    <t>n:16.7425</t>
  </si>
  <si>
    <t>n:19.7183</t>
  </si>
  <si>
    <t>n:15.9205</t>
  </si>
  <si>
    <t>d:2022-05-20</t>
  </si>
  <si>
    <t>n:16.3445</t>
  </si>
  <si>
    <t>s:CBRT ForexBuying, bulletin 2022/96</t>
  </si>
  <si>
    <t>n:16.8483</t>
  </si>
  <si>
    <t>n:19.8372</t>
  </si>
  <si>
    <t>n:15.9249</t>
  </si>
  <si>
    <t>d:2022-05-23</t>
  </si>
  <si>
    <t>n:16.3237</t>
  </si>
  <si>
    <t>s:CBRT ForexBuying, bulletin 2022/97</t>
  </si>
  <si>
    <t>n:16.8698</t>
  </si>
  <si>
    <t>n:19.8901</t>
  </si>
  <si>
    <t>n:15.8494</t>
  </si>
  <si>
    <t>d:2022-05-24</t>
  </si>
  <si>
    <t>n:16.6396</t>
  </si>
  <si>
    <t>s:CBRT ForexBuying, bulletin 2022/98</t>
  </si>
  <si>
    <t>n:17.2255</t>
  </si>
  <si>
    <t>n:20.1116</t>
  </si>
  <si>
    <t>n:16.0846</t>
  </si>
  <si>
    <t>d:2022-05-25</t>
  </si>
  <si>
    <t>n:16.8536</t>
  </si>
  <si>
    <t>s:CBRT ForexBuying, bulletin 2022/99</t>
  </si>
  <si>
    <t>n:17.366</t>
  </si>
  <si>
    <t>n:20.3254</t>
  </si>
  <si>
    <t>n:16.267</t>
  </si>
  <si>
    <t>d:2022-05-26</t>
  </si>
  <si>
    <t>n:17.0115</t>
  </si>
  <si>
    <t>s:CBRT ForexBuying, bulletin 2022/100</t>
  </si>
  <si>
    <t>n:17.5101</t>
  </si>
  <si>
    <t>n:20.5722</t>
  </si>
  <si>
    <t>n:16.3681</t>
  </si>
  <si>
    <t>d:2022-05-27</t>
  </si>
  <si>
    <t>n:17.0046</t>
  </si>
  <si>
    <t>s:CBRT ForexBuying, bulletin 2022/101</t>
  </si>
  <si>
    <t>n:17.527</t>
  </si>
  <si>
    <t>n:20.5837</t>
  </si>
  <si>
    <t>n:16.3479</t>
  </si>
  <si>
    <t>d:2022-05-30</t>
  </si>
  <si>
    <t>n:17.0371</t>
  </si>
  <si>
    <t>s:CBRT ForexBuying, bulletin 2022/102</t>
  </si>
  <si>
    <t>n:17.6019</t>
  </si>
  <si>
    <t>n:20.6338</t>
  </si>
  <si>
    <t>n:16.3562</t>
  </si>
  <si>
    <t>d:2022-05-31</t>
  </si>
  <si>
    <t>n:17.026</t>
  </si>
  <si>
    <t>s:CBRT ForexBuying, bulletin 2022/103</t>
  </si>
  <si>
    <t>n:17.5702</t>
  </si>
  <si>
    <t>n:20.612</t>
  </si>
  <si>
    <t>n:16.3876</t>
  </si>
  <si>
    <t>d:2022-06-01</t>
  </si>
  <si>
    <t>n:17.0339</t>
  </si>
  <si>
    <t>s:CBRT ForexBuying, bulletin 2022/104</t>
  </si>
  <si>
    <t>n:17.5916</t>
  </si>
  <si>
    <t>n:20.6236</t>
  </si>
  <si>
    <t>n:16.4127</t>
  </si>
  <si>
    <t>d:2022-06-02</t>
  </si>
  <si>
    <t>n:17.0885</t>
  </si>
  <si>
    <t>s:CBRT ForexBuying, bulletin 2022/105</t>
  </si>
  <si>
    <t>n:17.57</t>
  </si>
  <si>
    <t>n:20.5782</t>
  </si>
  <si>
    <t>n:16.439</t>
  </si>
  <si>
    <t>d:2022-06-03</t>
  </si>
  <si>
    <t>n:17.1499</t>
  </si>
  <si>
    <t>s:CBRT ForexBuying, bulletin 2022/106</t>
  </si>
  <si>
    <t>n:17.7066</t>
  </si>
  <si>
    <t>n:20.6759</t>
  </si>
  <si>
    <t>n:16.4765</t>
  </si>
  <si>
    <t>d:2022-06-06</t>
  </si>
  <si>
    <t>n:17.1845</t>
  </si>
  <si>
    <t>s:CBRT ForexBuying, bulletin 2022/107</t>
  </si>
  <si>
    <t>n:17.7785</t>
  </si>
  <si>
    <t>n:20.7582</t>
  </si>
  <si>
    <t>n:16.5588</t>
  </si>
  <si>
    <t>d:2022-06-07</t>
  </si>
  <si>
    <t>n:17.0828</t>
  </si>
  <si>
    <t>s:CBRT ForexBuying, bulletin 2022/108</t>
  </si>
  <si>
    <t>n:17.8408</t>
  </si>
  <si>
    <t>n:20.8323</t>
  </si>
  <si>
    <t>n:16.7084</t>
  </si>
  <si>
    <t>d:2022-06-08</t>
  </si>
  <si>
    <t>n:17.4596</t>
  </si>
  <si>
    <t>s:CBRT ForexBuying, bulletin 2022/109</t>
  </si>
  <si>
    <t>n:18.2931</t>
  </si>
  <si>
    <t>n:21.4047</t>
  </si>
  <si>
    <t>n:17.0925</t>
  </si>
  <si>
    <t>d:2022-06-09</t>
  </si>
  <si>
    <t>n:17.5418</t>
  </si>
  <si>
    <t>s:CBRT ForexBuying, bulletin 2022/110</t>
  </si>
  <si>
    <t>n:18.43</t>
  </si>
  <si>
    <t>n:21.4999</t>
  </si>
  <si>
    <t>n:17.1985</t>
  </si>
  <si>
    <t>d:2022-06-10</t>
  </si>
  <si>
    <t>n:17.3621</t>
  </si>
  <si>
    <t>s:CBRT ForexBuying, bulletin 2022/111</t>
  </si>
  <si>
    <t>n:18.0924</t>
  </si>
  <si>
    <t>n:21.2223</t>
  </si>
  <si>
    <t>n:17.0589</t>
  </si>
  <si>
    <t>d:2022-06-13</t>
  </si>
  <si>
    <t>n:17.3246</t>
  </si>
  <si>
    <t>s:CBRT ForexBuying, bulletin 2022/112</t>
  </si>
  <si>
    <t>n:18.0353</t>
  </si>
  <si>
    <t>n:21.0141</t>
  </si>
  <si>
    <t>n:17.2344</t>
  </si>
  <si>
    <t>d:2022-06-14</t>
  </si>
  <si>
    <t>n:17.3242</t>
  </si>
  <si>
    <t>s:CBRT ForexBuying, bulletin 2022/113</t>
  </si>
  <si>
    <t>n:18.0055</t>
  </si>
  <si>
    <t>n:20.864</t>
  </si>
  <si>
    <t>n:17.2343</t>
  </si>
  <si>
    <t>d:2022-06-15</t>
  </si>
  <si>
    <t>n:17.247</t>
  </si>
  <si>
    <t>s:CBRT ForexBuying, bulletin 2022/114</t>
  </si>
  <si>
    <t>n:18.0818</t>
  </si>
  <si>
    <t>n:20.801</t>
  </si>
  <si>
    <t>n:17.2568</t>
  </si>
  <si>
    <t>d:2022-06-16</t>
  </si>
  <si>
    <t>n:17.5423</t>
  </si>
  <si>
    <t>s:CBRT ForexBuying, bulletin 2022/115</t>
  </si>
  <si>
    <t>n:17.984</t>
  </si>
  <si>
    <t>n:20.9292</t>
  </si>
  <si>
    <t>n:17.288</t>
  </si>
  <si>
    <t>d:2022-06-17</t>
  </si>
  <si>
    <t>n:17.8736</t>
  </si>
  <si>
    <t>s:CBRT ForexBuying, bulletin 2022/116</t>
  </si>
  <si>
    <t>n:18.173</t>
  </si>
  <si>
    <t>n:21.2148</t>
  </si>
  <si>
    <t>n:17.2905</t>
  </si>
  <si>
    <t>d:2022-06-20</t>
  </si>
  <si>
    <t>n:17.8993</t>
  </si>
  <si>
    <t>s:CBRT ForexBuying, bulletin 2022/117</t>
  </si>
  <si>
    <t>n:18.2219</t>
  </si>
  <si>
    <t>n:21.1611</t>
  </si>
  <si>
    <t>n:17.3113</t>
  </si>
  <si>
    <t>d:2022-06-21</t>
  </si>
  <si>
    <t>n:17.8851</t>
  </si>
  <si>
    <t>s:CBRT ForexBuying, bulletin 2022/118</t>
  </si>
  <si>
    <t>n:18.2799</t>
  </si>
  <si>
    <t>n:21.2428</t>
  </si>
  <si>
    <t>n:17.3168</t>
  </si>
  <si>
    <t>d:2022-06-22</t>
  </si>
  <si>
    <t>n:17.8884</t>
  </si>
  <si>
    <t>s:CBRT ForexBuying, bulletin 2022/119</t>
  </si>
  <si>
    <t>n:18.2142</t>
  </si>
  <si>
    <t>n:21.1595</t>
  </si>
  <si>
    <t>n:17.3301</t>
  </si>
  <si>
    <t>d:2022-06-23</t>
  </si>
  <si>
    <t>n:17.9303</t>
  </si>
  <si>
    <t>s:CBRT ForexBuying, bulletin 2022/120</t>
  </si>
  <si>
    <t>n:18.2455</t>
  </si>
  <si>
    <t>n:21.1432</t>
  </si>
  <si>
    <t>n:17.347</t>
  </si>
  <si>
    <t>d:2022-06-24</t>
  </si>
  <si>
    <t>n:18.0535</t>
  </si>
  <si>
    <t>s:CBRT ForexBuying, bulletin 2022/121</t>
  </si>
  <si>
    <t>n:18.2753</t>
  </si>
  <si>
    <t>n:21.2696</t>
  </si>
  <si>
    <t>n:17.3478</t>
  </si>
  <si>
    <t>d:2022-06-27</t>
  </si>
  <si>
    <t>n:17.3354</t>
  </si>
  <si>
    <t>s:CBRT ForexBuying, bulletin 2022/122</t>
  </si>
  <si>
    <t>n:17.6057</t>
  </si>
  <si>
    <t>n:20.4246</t>
  </si>
  <si>
    <t>n:16.646</t>
  </si>
  <si>
    <t>d:2022-06-28</t>
  </si>
  <si>
    <t>n:17.3563</t>
  </si>
  <si>
    <t>s:CBRT ForexBuying, bulletin 2022/123</t>
  </si>
  <si>
    <t>n:17.5858</t>
  </si>
  <si>
    <t>n:20.3442</t>
  </si>
  <si>
    <t>n:16.6189</t>
  </si>
  <si>
    <t>d:2022-06-29</t>
  </si>
  <si>
    <t>n:17.4297</t>
  </si>
  <si>
    <t>s:CBRT ForexBuying, bulletin 2022/124</t>
  </si>
  <si>
    <t>n:17.5221</t>
  </si>
  <si>
    <t>n:20.2527</t>
  </si>
  <si>
    <t>n:16.669</t>
  </si>
  <si>
    <t>d:2022-06-30</t>
  </si>
  <si>
    <t>n:17.3698</t>
  </si>
  <si>
    <t>s:CBRT ForexBuying, bulletin 2022/125</t>
  </si>
  <si>
    <t>n:17.3701</t>
  </si>
  <si>
    <t>n:20.1752</t>
  </si>
  <si>
    <t>n:16.6614</t>
  </si>
  <si>
    <t>d:2022-07-01</t>
  </si>
  <si>
    <t>n:17.395</t>
  </si>
  <si>
    <t>s:CBRT ForexBuying, bulletin 2022/126</t>
  </si>
  <si>
    <t>n:17.4703</t>
  </si>
  <si>
    <t>n:20.1631</t>
  </si>
  <si>
    <t>n:16.7155</t>
  </si>
  <si>
    <t>d:2022-07-04</t>
  </si>
  <si>
    <t>n:17.4599</t>
  </si>
  <si>
    <t>s:CBRT ForexBuying, bulletin 2022/127</t>
  </si>
  <si>
    <t>n:17.5322</t>
  </si>
  <si>
    <t>n:20.3311</t>
  </si>
  <si>
    <t>n:16.7935</t>
  </si>
  <si>
    <t>d:2022-07-05</t>
  </si>
  <si>
    <t>n:17.5392</t>
  </si>
  <si>
    <t>s:CBRT ForexBuying, bulletin 2022/128</t>
  </si>
  <si>
    <t>n:17.5036</t>
  </si>
  <si>
    <t>n:20.3737</t>
  </si>
  <si>
    <t>n:16.9369</t>
  </si>
  <si>
    <t>d:2022-07-06</t>
  </si>
  <si>
    <t>n:17.6766</t>
  </si>
  <si>
    <t>s:CBRT ForexBuying, bulletin 2022/129</t>
  </si>
  <si>
    <t>n:17.5783</t>
  </si>
  <si>
    <t>n:20.4812</t>
  </si>
  <si>
    <t>n:17.1818</t>
  </si>
  <si>
    <t>d:2022-07-07</t>
  </si>
  <si>
    <t>n:17.7217</t>
  </si>
  <si>
    <t>s:CBRT ForexBuying, bulletin 2022/130</t>
  </si>
  <si>
    <t>n:17.5988</t>
  </si>
  <si>
    <t>n:20.6267</t>
  </si>
  <si>
    <t>n:17.2601</t>
  </si>
  <si>
    <t>d:2022-07-13</t>
  </si>
  <si>
    <t>n:17.7313</t>
  </si>
  <si>
    <t>s:CBRT ForexBuying, bulletin 2022/131</t>
  </si>
  <si>
    <t>n:17.4693</t>
  </si>
  <si>
    <t>n:20.676</t>
  </si>
  <si>
    <t>n:17.3913</t>
  </si>
  <si>
    <t>d:2022-07-14</t>
  </si>
  <si>
    <t>n:17.7043</t>
  </si>
  <si>
    <t>s:CBRT ForexBuying, bulletin 2022/132</t>
  </si>
  <si>
    <t>n:17.4977</t>
  </si>
  <si>
    <t>n:20.6437</t>
  </si>
  <si>
    <t>n:17.4581</t>
  </si>
  <si>
    <t>d:2022-07-18</t>
  </si>
  <si>
    <t>n:17.8583</t>
  </si>
  <si>
    <t>s:CBRT ForexBuying, bulletin 2022/133</t>
  </si>
  <si>
    <t>n:17.7083</t>
  </si>
  <si>
    <t>n:20.8428</t>
  </si>
  <si>
    <t>n:17.4635</t>
  </si>
  <si>
    <t>d:2022-07-19</t>
  </si>
  <si>
    <t>n:18.0434</t>
  </si>
  <si>
    <t>s:CBRT ForexBuying, bulletin 2022/134</t>
  </si>
  <si>
    <t>n:17.9559</t>
  </si>
  <si>
    <t>n:21.0342</t>
  </si>
  <si>
    <t>n:17.5425</t>
  </si>
  <si>
    <t>d:2022-07-20</t>
  </si>
  <si>
    <t>n:18.0721</t>
  </si>
  <si>
    <t>s:CBRT ForexBuying, bulletin 2022/135</t>
  </si>
  <si>
    <t>n:17.9549</t>
  </si>
  <si>
    <t>n:21.0309</t>
  </si>
  <si>
    <t>n:17.5605</t>
  </si>
  <si>
    <t>d:2022-07-21</t>
  </si>
  <si>
    <t>n:18.0829</t>
  </si>
  <si>
    <t>s:CBRT ForexBuying, bulletin 2022/136</t>
  </si>
  <si>
    <t>n:17.966</t>
  </si>
  <si>
    <t>n:21.0285</t>
  </si>
  <si>
    <t>n:17.6282</t>
  </si>
  <si>
    <t>d:2022-07-22</t>
  </si>
  <si>
    <t>n:18.277</t>
  </si>
  <si>
    <t>s:CBRT ForexBuying, bulletin 2022/137</t>
  </si>
  <si>
    <t>n:18.0087</t>
  </si>
  <si>
    <t>n:21.1382</t>
  </si>
  <si>
    <t>n:17.711</t>
  </si>
  <si>
    <t>d:2022-07-25</t>
  </si>
  <si>
    <t>n:18.4264</t>
  </si>
  <si>
    <t>s:CBRT ForexBuying, bulletin 2022/138</t>
  </si>
  <si>
    <t>n:18.1927</t>
  </si>
  <si>
    <t>n:21.3762</t>
  </si>
  <si>
    <t>n:17.8011</t>
  </si>
  <si>
    <t>d:2022-07-26</t>
  </si>
  <si>
    <t>n:18.4396</t>
  </si>
  <si>
    <t>s:CBRT ForexBuying, bulletin 2022/139</t>
  </si>
  <si>
    <t>n:18.16</t>
  </si>
  <si>
    <t>n:21.3977</t>
  </si>
  <si>
    <t>n:17.8335</t>
  </si>
  <si>
    <t>d:2022-07-27</t>
  </si>
  <si>
    <t>n:18.5326</t>
  </si>
  <si>
    <t>s:CBRT ForexBuying, bulletin 2022/140</t>
  </si>
  <si>
    <t>n:18.1286</t>
  </si>
  <si>
    <t>n:21.5111</t>
  </si>
  <si>
    <t>n:17.8701</t>
  </si>
  <si>
    <t>d:2022-07-28</t>
  </si>
  <si>
    <t>n:18.6118</t>
  </si>
  <si>
    <t>s:CBRT ForexBuying, bulletin 2022/141</t>
  </si>
  <si>
    <t>n:18.2176</t>
  </si>
  <si>
    <t>n:21.7198</t>
  </si>
  <si>
    <t>n:17.9044</t>
  </si>
  <si>
    <t>d:2022-07-29</t>
  </si>
  <si>
    <t>n:18.7446</t>
  </si>
  <si>
    <t>s:CBRT ForexBuying, bulletin 2022/142</t>
  </si>
  <si>
    <t>n:18.2977</t>
  </si>
  <si>
    <t>n:21.767</t>
  </si>
  <si>
    <t>n:17.8939</t>
  </si>
  <si>
    <t>d:2022-08-01</t>
  </si>
  <si>
    <t>n:18.8281</t>
  </si>
  <si>
    <t>s:CBRT ForexBuying, bulletin 2022/143</t>
  </si>
  <si>
    <t>n:18.3644</t>
  </si>
  <si>
    <t>n:21.8731</t>
  </si>
  <si>
    <t>n:17.9254</t>
  </si>
  <si>
    <t>d:2022-08-02</t>
  </si>
  <si>
    <t>n:18.7925</t>
  </si>
  <si>
    <t>s:CBRT ForexBuying, bulletin 2022/144</t>
  </si>
  <si>
    <t>n:18.3502</t>
  </si>
  <si>
    <t>n:21.8574</t>
  </si>
  <si>
    <t>n:17.9327</t>
  </si>
  <si>
    <t>d:2022-08-03</t>
  </si>
  <si>
    <t>n:18.6634</t>
  </si>
  <si>
    <t>s:CBRT ForexBuying, bulletin 2022/145</t>
  </si>
  <si>
    <t>n:18.2593</t>
  </si>
  <si>
    <t>n:21.8086</t>
  </si>
  <si>
    <t>n:17.9358</t>
  </si>
  <si>
    <t>d:2022-08-04</t>
  </si>
  <si>
    <t>n:18.6292</t>
  </si>
  <si>
    <t>s:CBRT ForexBuying, bulletin 2022/146</t>
  </si>
  <si>
    <t>n:18.2617</t>
  </si>
  <si>
    <t>n:21.7615</t>
  </si>
  <si>
    <t>n:17.935</t>
  </si>
  <si>
    <t>d:2022-08-05</t>
  </si>
  <si>
    <t>n:18.7248</t>
  </si>
  <si>
    <t>s:CBRT ForexBuying, bulletin 2022/147</t>
  </si>
  <si>
    <t>n:18.3515</t>
  </si>
  <si>
    <t>n:21.7489</t>
  </si>
  <si>
    <t>n:17.9362</t>
  </si>
  <si>
    <t>d:2022-08-08</t>
  </si>
  <si>
    <t>n:18.6786</t>
  </si>
  <si>
    <t>s:CBRT ForexBuying, bulletin 2022/148</t>
  </si>
  <si>
    <t>n:18.285</t>
  </si>
  <si>
    <t>n:21.6674</t>
  </si>
  <si>
    <t>n:17.9393</t>
  </si>
  <si>
    <t>d:2022-08-09</t>
  </si>
  <si>
    <t>n:18.7669</t>
  </si>
  <si>
    <t>s:CBRT ForexBuying, bulletin 2022/149</t>
  </si>
  <si>
    <t>n:18.3329</t>
  </si>
  <si>
    <t>n:21.6676</t>
  </si>
  <si>
    <t>n:17.9319</t>
  </si>
  <si>
    <t>d:2022-08-10</t>
  </si>
  <si>
    <t>n:18.8222</t>
  </si>
  <si>
    <t>s:CBRT ForexBuying, bulletin 2022/150</t>
  </si>
  <si>
    <t>n:18.3411</t>
  </si>
  <si>
    <t>n:21.6503</t>
  </si>
  <si>
    <t>n:17.9308</t>
  </si>
  <si>
    <t>d:2022-08-11</t>
  </si>
  <si>
    <t>s:CBRT ForexBuying, bulletin 2022/151</t>
  </si>
  <si>
    <t>n:18.5263</t>
  </si>
  <si>
    <t>n:21.8826</t>
  </si>
  <si>
    <t>n:17.9356</t>
  </si>
  <si>
    <t>d:2022-08-12</t>
  </si>
  <si>
    <t>n:18.9954</t>
  </si>
  <si>
    <t>s:CBRT ForexBuying, bulletin 2022/152</t>
  </si>
  <si>
    <t>n:18.4687</t>
  </si>
  <si>
    <t>n:21.776</t>
  </si>
  <si>
    <t>n:17.9366</t>
  </si>
  <si>
    <t>d:2022-08-15</t>
  </si>
  <si>
    <t>n:18.9502</t>
  </si>
  <si>
    <t>s:CBRT ForexBuying, bulletin 2022/153</t>
  </si>
  <si>
    <t>n:18.3238</t>
  </si>
  <si>
    <t>n:21.6511</t>
  </si>
  <si>
    <t>n:17.9411</t>
  </si>
  <si>
    <t>d:2022-08-16</t>
  </si>
  <si>
    <t>n:18.8664</t>
  </si>
  <si>
    <t>s:CBRT ForexBuying, bulletin 2022/154</t>
  </si>
  <si>
    <t>n:18.1958</t>
  </si>
  <si>
    <t>n:21.5532</t>
  </si>
  <si>
    <t>n:17.942</t>
  </si>
  <si>
    <t>d:2022-08-17</t>
  </si>
  <si>
    <t>n:18.817</t>
  </si>
  <si>
    <t>s:CBRT ForexBuying, bulletin 2022/155</t>
  </si>
  <si>
    <t>n:18.2487</t>
  </si>
  <si>
    <t>n:21.6724</t>
  </si>
  <si>
    <t>d:2022-08-18</t>
  </si>
  <si>
    <t>n:18.8066</t>
  </si>
  <si>
    <t>s:CBRT ForexBuying, bulletin 2022/156</t>
  </si>
  <si>
    <t>n:18.2694</t>
  </si>
  <si>
    <t>n:21.6063</t>
  </si>
  <si>
    <t>n:17.9688</t>
  </si>
  <si>
    <t>d:2022-08-19</t>
  </si>
  <si>
    <t>n:18.8471</t>
  </si>
  <si>
    <t>s:CBRT ForexBuying, bulletin 2022/157</t>
  </si>
  <si>
    <t>n:18.2093</t>
  </si>
  <si>
    <t>n:21.4329</t>
  </si>
  <si>
    <t>n:18.0767</t>
  </si>
  <si>
    <t>d:2022-08-22</t>
  </si>
  <si>
    <t>n:18.8296</t>
  </si>
  <si>
    <t>s:CBRT ForexBuying, bulletin 2022/158</t>
  </si>
  <si>
    <t>n:18.1184</t>
  </si>
  <si>
    <t>n:21.3336</t>
  </si>
  <si>
    <t>n:18.0988</t>
  </si>
  <si>
    <t>d:2022-08-23</t>
  </si>
  <si>
    <t>n:18.6966</t>
  </si>
  <si>
    <t>s:CBRT ForexBuying, bulletin 2022/159</t>
  </si>
  <si>
    <t>n:17.9664</t>
  </si>
  <si>
    <t>n:21.258</t>
  </si>
  <si>
    <t>n:18.1018</t>
  </si>
  <si>
    <t>d:2022-08-24</t>
  </si>
  <si>
    <t>n:18.7654</t>
  </si>
  <si>
    <t>s:CBRT ForexBuying, bulletin 2022/160</t>
  </si>
  <si>
    <t>n:18.0113</t>
  </si>
  <si>
    <t>n:21.35</t>
  </si>
  <si>
    <t>n:18.1176</t>
  </si>
  <si>
    <t>d:2022-08-25</t>
  </si>
  <si>
    <t>n:18.8023</t>
  </si>
  <si>
    <t>s:CBRT ForexBuying, bulletin 2022/161</t>
  </si>
  <si>
    <t>n:18.138</t>
  </si>
  <si>
    <t>n:21.4463</t>
  </si>
  <si>
    <t>n:18.1466</t>
  </si>
  <si>
    <t>d:2022-08-26</t>
  </si>
  <si>
    <t>n:18.7856</t>
  </si>
  <si>
    <t>s:CBRT ForexBuying, bulletin 2022/162</t>
  </si>
  <si>
    <t>n:18.1354</t>
  </si>
  <si>
    <t>n:21.4104</t>
  </si>
  <si>
    <t>n:18.1564</t>
  </si>
  <si>
    <t>d:2022-08-29</t>
  </si>
  <si>
    <t>n:18.7108</t>
  </si>
  <si>
    <t>s:CBRT ForexBuying, bulletin 2022/163</t>
  </si>
  <si>
    <t>n:18.0933</t>
  </si>
  <si>
    <t>n:21.1799</t>
  </si>
  <si>
    <t>n:18.1648</t>
  </si>
  <si>
    <t>d:2022-08-31</t>
  </si>
  <si>
    <t>n:18.5419</t>
  </si>
  <si>
    <t>s:CBRT ForexBuying, bulletin 2022/164</t>
  </si>
  <si>
    <t>n:21.1098</t>
  </si>
  <si>
    <t>n:18.1704</t>
  </si>
  <si>
    <t>d:2022-09-01</t>
  </si>
  <si>
    <t>n:18.5595</t>
  </si>
  <si>
    <t>s:CBRT ForexBuying, bulletin 2022/165</t>
  </si>
  <si>
    <t>n:18.2226</t>
  </si>
  <si>
    <t>n:21.0287</t>
  </si>
  <si>
    <t>n:18.1805</t>
  </si>
  <si>
    <t>d:2022-09-02</t>
  </si>
  <si>
    <t>n:18.5114</t>
  </si>
  <si>
    <t>s:CBRT ForexBuying, bulletin 2022/166</t>
  </si>
  <si>
    <t>n:18.1797</t>
  </si>
  <si>
    <t>n:21.0049</t>
  </si>
  <si>
    <t>n:18.2009</t>
  </si>
  <si>
    <t>d:2022-09-05</t>
  </si>
  <si>
    <t>n:18.4913</t>
  </si>
  <si>
    <t>s:CBRT ForexBuying, bulletin 2022/167</t>
  </si>
  <si>
    <t>n:18.0545</t>
  </si>
  <si>
    <t>n:20.8916</t>
  </si>
  <si>
    <t>n:18.205</t>
  </si>
  <si>
    <t>d:2022-09-06</t>
  </si>
  <si>
    <t>n:18.525</t>
  </si>
  <si>
    <t>s:CBRT ForexBuying, bulletin 2022/168</t>
  </si>
  <si>
    <t>n:18.1153</t>
  </si>
  <si>
    <t>n:21.0506</t>
  </si>
  <si>
    <t>n:18.2048</t>
  </si>
  <si>
    <t>d:2022-09-07</t>
  </si>
  <si>
    <t>n:18.4639</t>
  </si>
  <si>
    <t>s:CBRT ForexBuying, bulletin 2022/169</t>
  </si>
  <si>
    <t>n:18.0378</t>
  </si>
  <si>
    <t>n:20.8685</t>
  </si>
  <si>
    <t>n:18.214</t>
  </si>
  <si>
    <t>d:2022-09-08</t>
  </si>
  <si>
    <t>n:18.6479</t>
  </si>
  <si>
    <t>s:CBRT ForexBuying, bulletin 2022/170</t>
  </si>
  <si>
    <t>n:18.2218</t>
  </si>
  <si>
    <t>n:20.9424</t>
  </si>
  <si>
    <t>n:18.2195</t>
  </si>
  <si>
    <t>d:2022-09-09</t>
  </si>
  <si>
    <t>n:18.9429</t>
  </si>
  <si>
    <t>s:CBRT ForexBuying, bulletin 2022/171</t>
  </si>
  <si>
    <t>n:18.3622</t>
  </si>
  <si>
    <t>n:21.1148</t>
  </si>
  <si>
    <t>n:18.2189</t>
  </si>
  <si>
    <t>d:2022-09-12</t>
  </si>
  <si>
    <t>n:19.0323</t>
  </si>
  <si>
    <t>s:CBRT ForexBuying, bulletin 2022/172</t>
  </si>
  <si>
    <t>n:18.5041</t>
  </si>
  <si>
    <t>n:21.2454</t>
  </si>
  <si>
    <t>n:18.2187</t>
  </si>
  <si>
    <t>d:2022-09-13</t>
  </si>
  <si>
    <t>n:19.1293</t>
  </si>
  <si>
    <t>s:CBRT ForexBuying, bulletin 2022/173</t>
  </si>
  <si>
    <t>n:18.513</t>
  </si>
  <si>
    <t>n:21.3202</t>
  </si>
  <si>
    <t>n:18.2205</t>
  </si>
  <si>
    <t>d:2022-09-14</t>
  </si>
  <si>
    <t>n:18.9255</t>
  </si>
  <si>
    <t>s:CBRT ForexBuying, bulletin 2022/174</t>
  </si>
  <si>
    <t>n:18.2196</t>
  </si>
  <si>
    <t>n:20.9971</t>
  </si>
  <si>
    <t>n:18.2321</t>
  </si>
  <si>
    <t>d:2022-09-15</t>
  </si>
  <si>
    <t>n:18.9692</t>
  </si>
  <si>
    <t>s:CBRT ForexBuying, bulletin 2022/175</t>
  </si>
  <si>
    <t>n:18.2095</t>
  </si>
  <si>
    <t>n:20.9736</t>
  </si>
  <si>
    <t>n:18.2427</t>
  </si>
  <si>
    <t>d:2022-09-16</t>
  </si>
  <si>
    <t>n:18.8991</t>
  </si>
  <si>
    <t>s:CBRT ForexBuying, bulletin 2022/176</t>
  </si>
  <si>
    <t>n:18.1954</t>
  </si>
  <si>
    <t>n:20.7497</t>
  </si>
  <si>
    <t>n:18.2474</t>
  </si>
  <si>
    <t>d:2022-09-19</t>
  </si>
  <si>
    <t>n:18.8417</t>
  </si>
  <si>
    <t>s:CBRT ForexBuying, bulletin 2022/177</t>
  </si>
  <si>
    <t>n:18.2271</t>
  </si>
  <si>
    <t>n:20.7404</t>
  </si>
  <si>
    <t>n:18.2658</t>
  </si>
  <si>
    <t>d:2022-09-20</t>
  </si>
  <si>
    <t>s:CBRT ForexBuying, bulletin 2022/178</t>
  </si>
  <si>
    <t>n:18.3014</t>
  </si>
  <si>
    <t>n:20.8673</t>
  </si>
  <si>
    <t>n:18.2786</t>
  </si>
  <si>
    <t>d:2022-09-21</t>
  </si>
  <si>
    <t>n:18.9189</t>
  </si>
  <si>
    <t>s:CBRT ForexBuying, bulletin 2022/179</t>
  </si>
  <si>
    <t>n:18.1312</t>
  </si>
  <si>
    <t>n:20.7069</t>
  </si>
  <si>
    <t>n:18.2949</t>
  </si>
  <si>
    <t>d:2022-09-22</t>
  </si>
  <si>
    <t>n:18.7482</t>
  </si>
  <si>
    <t>s:CBRT ForexBuying, bulletin 2022/180</t>
  </si>
  <si>
    <t>n:18.0785</t>
  </si>
  <si>
    <t>n:20.6822</t>
  </si>
  <si>
    <t>n:18.3401</t>
  </si>
  <si>
    <t>d:2022-09-23</t>
  </si>
  <si>
    <t>n:18.6869</t>
  </si>
  <si>
    <t>s:CBRT ForexBuying, bulletin 2022/181</t>
  </si>
  <si>
    <t>n:17.9431</t>
  </si>
  <si>
    <t>n:20.4139</t>
  </si>
  <si>
    <t>n:18.3702</t>
  </si>
  <si>
    <t>d:2022-09-26</t>
  </si>
  <si>
    <t>n:18.62</t>
  </si>
  <si>
    <t>s:CBRT ForexBuying, bulletin 2022/182</t>
  </si>
  <si>
    <t>n:17.7909</t>
  </si>
  <si>
    <t>n:19.7068</t>
  </si>
  <si>
    <t>n:18.4266</t>
  </si>
  <si>
    <t>d:2022-09-27</t>
  </si>
  <si>
    <t>n:18.6322</t>
  </si>
  <si>
    <t>s:CBRT ForexBuying, bulletin 2022/183</t>
  </si>
  <si>
    <t>n:17.7719</t>
  </si>
  <si>
    <t>n:19.8833</t>
  </si>
  <si>
    <t>n:18.4509</t>
  </si>
  <si>
    <t>d:2022-09-28</t>
  </si>
  <si>
    <t>n:18.5952</t>
  </si>
  <si>
    <t>s:CBRT ForexBuying, bulletin 2022/184</t>
  </si>
  <si>
    <t>n:17.6711</t>
  </si>
  <si>
    <t>n:19.6738</t>
  </si>
  <si>
    <t>n:18.4862</t>
  </si>
  <si>
    <t>d:2022-09-29</t>
  </si>
  <si>
    <t>n:18.8092</t>
  </si>
  <si>
    <t>s:CBRT ForexBuying, bulletin 2022/185</t>
  </si>
  <si>
    <t>n:17.9232</t>
  </si>
  <si>
    <t>n:19.9995</t>
  </si>
  <si>
    <t>n:18.5038</t>
  </si>
  <si>
    <t>d:2022-09-30</t>
  </si>
  <si>
    <t>n:18.8888</t>
  </si>
  <si>
    <t>s:CBRT ForexBuying, bulletin 2022/186</t>
  </si>
  <si>
    <t>n:18.1395</t>
  </si>
  <si>
    <t>n:20.5816</t>
  </si>
  <si>
    <t>n:18.5187</t>
  </si>
  <si>
    <t>d:2022-10-03</t>
  </si>
  <si>
    <t>s:CBRT ForexBuying, bulletin 2022/187</t>
  </si>
  <si>
    <t>n:18.1474</t>
  </si>
  <si>
    <t>n:20.7316</t>
  </si>
  <si>
    <t>n:18.5397</t>
  </si>
  <si>
    <t>d:2022-10-04</t>
  </si>
  <si>
    <t>n:18.7152</t>
  </si>
  <si>
    <t>s:CBRT ForexBuying, bulletin 2022/188</t>
  </si>
  <si>
    <t>n:18.3233</t>
  </si>
  <si>
    <t>n:21.0376</t>
  </si>
  <si>
    <t>n:18.5447</t>
  </si>
  <si>
    <t>d:2022-10-05</t>
  </si>
  <si>
    <t>n:18.8341</t>
  </si>
  <si>
    <t>s:CBRT ForexBuying, bulletin 2022/189</t>
  </si>
  <si>
    <t>n:18.4388</t>
  </si>
  <si>
    <t>n:21.1154</t>
  </si>
  <si>
    <t>n:18.555</t>
  </si>
  <si>
    <t>d:2022-10-06</t>
  </si>
  <si>
    <t>n:18.8532</t>
  </si>
  <si>
    <t>s:CBRT ForexBuying, bulletin 2022/190</t>
  </si>
  <si>
    <t>n:18.3543</t>
  </si>
  <si>
    <t>n:20.9122</t>
  </si>
  <si>
    <t>n:18.5589</t>
  </si>
  <si>
    <t>d:2022-10-07</t>
  </si>
  <si>
    <t>n:18.6936</t>
  </si>
  <si>
    <t>s:CBRT ForexBuying, bulletin 2022/191</t>
  </si>
  <si>
    <t>n:18.1795</t>
  </si>
  <si>
    <t>n:20.7227</t>
  </si>
  <si>
    <t>n:18.5592</t>
  </si>
  <si>
    <t>d:2022-10-10</t>
  </si>
  <si>
    <t>n:18.5615</t>
  </si>
  <si>
    <t>s:CBRT ForexBuying, bulletin 2022/192</t>
  </si>
  <si>
    <t>n:18.0048</t>
  </si>
  <si>
    <t>n:20.497</t>
  </si>
  <si>
    <t>n:18.5581</t>
  </si>
  <si>
    <t>d:2022-10-11</t>
  </si>
  <si>
    <t>n:18.5399</t>
  </si>
  <si>
    <t>s:CBRT ForexBuying, bulletin 2022/193</t>
  </si>
  <si>
    <t>n:18.0168</t>
  </si>
  <si>
    <t>n:20.4689</t>
  </si>
  <si>
    <t>d:2022-10-12</t>
  </si>
  <si>
    <t>n:18.6144</t>
  </si>
  <si>
    <t>s:CBRT ForexBuying, bulletin 2022/194</t>
  </si>
  <si>
    <t>n:18.0297</t>
  </si>
  <si>
    <t>n:20.4518</t>
  </si>
  <si>
    <t>n:18.5664</t>
  </si>
  <si>
    <t>d:2022-10-13</t>
  </si>
  <si>
    <t>n:18.5487</t>
  </si>
  <si>
    <t>s:CBRT ForexBuying, bulletin 2022/195</t>
  </si>
  <si>
    <t>n:18.0405</t>
  </si>
  <si>
    <t>n:20.6407</t>
  </si>
  <si>
    <t>n:18.5656</t>
  </si>
  <si>
    <t>d:2022-10-14</t>
  </si>
  <si>
    <t>n:18.4993</t>
  </si>
  <si>
    <t>s:CBRT ForexBuying, bulletin 2022/196</t>
  </si>
  <si>
    <t>n:18.093</t>
  </si>
  <si>
    <t>n:20.8701</t>
  </si>
  <si>
    <t>n:18.5596</t>
  </si>
  <si>
    <t>d:2022-10-17</t>
  </si>
  <si>
    <t>n:18.4889</t>
  </si>
  <si>
    <t>s:CBRT ForexBuying, bulletin 2022/197</t>
  </si>
  <si>
    <t>n:18.0897</t>
  </si>
  <si>
    <t>n:20.8957</t>
  </si>
  <si>
    <t>n:18.5663</t>
  </si>
  <si>
    <t>d:2022-10-18</t>
  </si>
  <si>
    <t>n:18.6112</t>
  </si>
  <si>
    <t>s:CBRT ForexBuying, bulletin 2022/198</t>
  </si>
  <si>
    <t>n:18.2696</t>
  </si>
  <si>
    <t>n:20.9571</t>
  </si>
  <si>
    <t>d:2022-10-19</t>
  </si>
  <si>
    <t>n:18.5185</t>
  </si>
  <si>
    <t>s:CBRT ForexBuying, bulletin 2022/199</t>
  </si>
  <si>
    <t>n:18.2157</t>
  </si>
  <si>
    <t>n:20.8847</t>
  </si>
  <si>
    <t>n:18.5661</t>
  </si>
  <si>
    <t>d:2022-10-20</t>
  </si>
  <si>
    <t>n:18.4463</t>
  </si>
  <si>
    <t>s:CBRT ForexBuying, bulletin 2022/200</t>
  </si>
  <si>
    <t>n:18.186</t>
  </si>
  <si>
    <t>n:20.7933</t>
  </si>
  <si>
    <t>n:18.5687</t>
  </si>
  <si>
    <t>d:2022-10-21</t>
  </si>
  <si>
    <t>n:18.3565</t>
  </si>
  <si>
    <t>s:CBRT ForexBuying, bulletin 2022/201</t>
  </si>
  <si>
    <t>n:18.1246</t>
  </si>
  <si>
    <t>n:20.6593</t>
  </si>
  <si>
    <t>n:18.5741</t>
  </si>
  <si>
    <t>d:2022-10-24</t>
  </si>
  <si>
    <t>n:18.5279</t>
  </si>
  <si>
    <t>s:CBRT ForexBuying, bulletin 2022/202</t>
  </si>
  <si>
    <t>n:18.2761</t>
  </si>
  <si>
    <t>n:21.0113</t>
  </si>
  <si>
    <t>n:18.583</t>
  </si>
  <si>
    <t>d:2022-10-25</t>
  </si>
  <si>
    <t>n:18.4917</t>
  </si>
  <si>
    <t>s:CBRT ForexBuying, bulletin 2022/203</t>
  </si>
  <si>
    <t>n:18.3231</t>
  </si>
  <si>
    <t>n:20.9869</t>
  </si>
  <si>
    <t>n:18.5825</t>
  </si>
  <si>
    <t>d:2022-10-26</t>
  </si>
  <si>
    <t>n:18.7444</t>
  </si>
  <si>
    <t>s:CBRT ForexBuying, bulletin 2022/204</t>
  </si>
  <si>
    <t>n:18.6253</t>
  </si>
  <si>
    <t>n:21.4474</t>
  </si>
  <si>
    <t>n:18.5865</t>
  </si>
  <si>
    <t>d:2022-10-27</t>
  </si>
  <si>
    <t>n:18.7543</t>
  </si>
  <si>
    <t>s:CBRT ForexBuying, bulletin 2022/205</t>
  </si>
  <si>
    <t>n:18.6837</t>
  </si>
  <si>
    <t>n:21.4873</t>
  </si>
  <si>
    <t>n:18.588</t>
  </si>
  <si>
    <t>d:2022-10-31</t>
  </si>
  <si>
    <t>n:18.56</t>
  </si>
  <si>
    <t>s:CBRT ForexBuying, bulletin 2022/206</t>
  </si>
  <si>
    <t>n:18.4742</t>
  </si>
  <si>
    <t>n:21.4612</t>
  </si>
  <si>
    <t>n:18.5915</t>
  </si>
  <si>
    <t>d:2022-11-01</t>
  </si>
  <si>
    <t>n:18.6453</t>
  </si>
  <si>
    <t>s:CBRT ForexBuying, bulletin 2022/207</t>
  </si>
  <si>
    <t>n:18.468</t>
  </si>
  <si>
    <t>n:21.4142</t>
  </si>
  <si>
    <t>n:18.5956</t>
  </si>
  <si>
    <t>d:2022-11-02</t>
  </si>
  <si>
    <t>n:18.6027</t>
  </si>
  <si>
    <t>s:CBRT ForexBuying, bulletin 2022/208</t>
  </si>
  <si>
    <t>n:18.4043</t>
  </si>
  <si>
    <t>n:21.356</t>
  </si>
  <si>
    <t>n:18.5981</t>
  </si>
  <si>
    <t>d:2022-11-03</t>
  </si>
  <si>
    <t>n:18.3658</t>
  </si>
  <si>
    <t>s:CBRT ForexBuying, bulletin 2022/209</t>
  </si>
  <si>
    <t>n:18.1639</t>
  </si>
  <si>
    <t>n:20.9659</t>
  </si>
  <si>
    <t>n:18.5972</t>
  </si>
  <si>
    <t>d:2022-11-04</t>
  </si>
  <si>
    <t>n:18.3831</t>
  </si>
  <si>
    <t>s:CBRT ForexBuying, bulletin 2022/210</t>
  </si>
  <si>
    <t>n:18.185</t>
  </si>
  <si>
    <t>n:20.8173</t>
  </si>
  <si>
    <t>n:18.5936</t>
  </si>
  <si>
    <t>d:2022-11-07</t>
  </si>
  <si>
    <t>n:18.6758</t>
  </si>
  <si>
    <t>s:CBRT ForexBuying, bulletin 2022/211</t>
  </si>
  <si>
    <t>n:18.5226</t>
  </si>
  <si>
    <t>n:21.1449</t>
  </si>
  <si>
    <t>n:18.5833</t>
  </si>
  <si>
    <t>d:2022-11-08</t>
  </si>
  <si>
    <t>n:18.7178</t>
  </si>
  <si>
    <t>s:CBRT ForexBuying, bulletin 2022/212</t>
  </si>
  <si>
    <t>n:18.5744</t>
  </si>
  <si>
    <t>n:21.2773</t>
  </si>
  <si>
    <t>n:18.5803</t>
  </si>
  <si>
    <t>d:2022-11-09</t>
  </si>
  <si>
    <t>n:18.8177</t>
  </si>
  <si>
    <t>s:CBRT ForexBuying, bulletin 2022/213</t>
  </si>
  <si>
    <t>n:18.685</t>
  </si>
  <si>
    <t>n:21.3142</t>
  </si>
  <si>
    <t>n:18.5791</t>
  </si>
  <si>
    <t>d:2022-11-10</t>
  </si>
  <si>
    <t>n:18.7836</t>
  </si>
  <si>
    <t>s:CBRT ForexBuying, bulletin 2022/214</t>
  </si>
  <si>
    <t>n:18.5418</t>
  </si>
  <si>
    <t>n:21.1145</t>
  </si>
  <si>
    <t>n:18.5793</t>
  </si>
  <si>
    <t>d:2022-11-11</t>
  </si>
  <si>
    <t>n:19.2166</t>
  </si>
  <si>
    <t>s:CBRT ForexBuying, bulletin 2022/215</t>
  </si>
  <si>
    <t>n:18.9888</t>
  </si>
  <si>
    <t>n:21.7017</t>
  </si>
  <si>
    <t>n:18.5115</t>
  </si>
  <si>
    <t>d:2022-11-14</t>
  </si>
  <si>
    <t>n:19.5958</t>
  </si>
  <si>
    <t>s:CBRT ForexBuying, bulletin 2022/216</t>
  </si>
  <si>
    <t>n:19.1661</t>
  </si>
  <si>
    <t>n:21.8593</t>
  </si>
  <si>
    <t>n:18.5819</t>
  </si>
  <si>
    <t>d:2022-11-15</t>
  </si>
  <si>
    <t>n:19.7203</t>
  </si>
  <si>
    <t>s:CBRT ForexBuying, bulletin 2022/217</t>
  </si>
  <si>
    <t>n:19.3327</t>
  </si>
  <si>
    <t>n:21.9675</t>
  </si>
  <si>
    <t>n:18.5864</t>
  </si>
  <si>
    <t>d:2022-11-16</t>
  </si>
  <si>
    <t>n:19.7046</t>
  </si>
  <si>
    <t>s:CBRT ForexBuying, bulletin 2022/218</t>
  </si>
  <si>
    <t>n:19.3524</t>
  </si>
  <si>
    <t>n:22.0795</t>
  </si>
  <si>
    <t>n:18.5916</t>
  </si>
  <si>
    <t>d:2022-11-17</t>
  </si>
  <si>
    <t>n:19.594</t>
  </si>
  <si>
    <t>s:CBRT ForexBuying, bulletin 2022/219</t>
  </si>
  <si>
    <t>n:19.2822</t>
  </si>
  <si>
    <t>n:22.0848</t>
  </si>
  <si>
    <t>n:18.5959</t>
  </si>
  <si>
    <t>d:2022-11-18</t>
  </si>
  <si>
    <t>n:19.4961</t>
  </si>
  <si>
    <t>s:CBRT ForexBuying, bulletin 2022/220</t>
  </si>
  <si>
    <t>n:19.2842</t>
  </si>
  <si>
    <t>n:22.1153</t>
  </si>
  <si>
    <t>n:18.5945</t>
  </si>
  <si>
    <t>d:2022-11-21</t>
  </si>
  <si>
    <t>n:19.3748</t>
  </si>
  <si>
    <t>s:CBRT ForexBuying, bulletin 2022/221</t>
  </si>
  <si>
    <t>n:19.0548</t>
  </si>
  <si>
    <t>n:21.9328</t>
  </si>
  <si>
    <t>n:18.5979</t>
  </si>
  <si>
    <t>d:2022-11-22</t>
  </si>
  <si>
    <t>n:19.4136</t>
  </si>
  <si>
    <t>s:CBRT ForexBuying, bulletin 2022/222</t>
  </si>
  <si>
    <t>n:19.1</t>
  </si>
  <si>
    <t>n:22.0119</t>
  </si>
  <si>
    <t>n:18.6033</t>
  </si>
  <si>
    <t>d:2022-11-23</t>
  </si>
  <si>
    <t>n:19.5104</t>
  </si>
  <si>
    <t>s:CBRT ForexBuying, bulletin 2022/223</t>
  </si>
  <si>
    <t>n:19.2101</t>
  </si>
  <si>
    <t>n:22.1243</t>
  </si>
  <si>
    <t>n:18.6062</t>
  </si>
  <si>
    <t>d:2022-11-24</t>
  </si>
  <si>
    <t>n:19.6918</t>
  </si>
  <si>
    <t>s:CBRT ForexBuying, bulletin 2022/224</t>
  </si>
  <si>
    <t>n:19.3736</t>
  </si>
  <si>
    <t>n:22.4615</t>
  </si>
  <si>
    <t>n:18.6045</t>
  </si>
  <si>
    <t>d:2022-11-25</t>
  </si>
  <si>
    <t>n:19.648</t>
  </si>
  <si>
    <t>s:CBRT ForexBuying, bulletin 2022/225</t>
  </si>
  <si>
    <t>n:19.367</t>
  </si>
  <si>
    <t>n:22.4738</t>
  </si>
  <si>
    <t>n:18.6071</t>
  </si>
  <si>
    <t>d:2022-11-28</t>
  </si>
  <si>
    <t>n:19.6739</t>
  </si>
  <si>
    <t>s:CBRT ForexBuying, bulletin 2022/226</t>
  </si>
  <si>
    <t>n:19.4073</t>
  </si>
  <si>
    <t>n:22.4459</t>
  </si>
  <si>
    <t>n:18.6069</t>
  </si>
  <si>
    <t>d:2022-11-29</t>
  </si>
  <si>
    <t>n:19.5632</t>
  </si>
  <si>
    <t>s:CBRT ForexBuying, bulletin 2022/227</t>
  </si>
  <si>
    <t>n:19.3116</t>
  </si>
  <si>
    <t>n:22.3285</t>
  </si>
  <si>
    <t>n:18.614</t>
  </si>
  <si>
    <t>d:2022-11-30</t>
  </si>
  <si>
    <t>n:19.5276</t>
  </si>
  <si>
    <t>s:CBRT ForexBuying, bulletin 2022/228</t>
  </si>
  <si>
    <t>n:19.2824</t>
  </si>
  <si>
    <t>n:22.2842</t>
  </si>
  <si>
    <t>n:18.6194</t>
  </si>
  <si>
    <t>d:2022-12-01</t>
  </si>
  <si>
    <t>n:19.671</t>
  </si>
  <si>
    <t>s:CBRT ForexBuying, bulletin 2022/229</t>
  </si>
  <si>
    <t>n:19.4206</t>
  </si>
  <si>
    <t>n:22.5369</t>
  </si>
  <si>
    <t>n:18.6123</t>
  </si>
  <si>
    <t>d:2022-12-02</t>
  </si>
  <si>
    <t>n:19.8598</t>
  </si>
  <si>
    <t>s:CBRT ForexBuying, bulletin 2022/230</t>
  </si>
  <si>
    <t>n:19.6004</t>
  </si>
  <si>
    <t>n:22.792</t>
  </si>
  <si>
    <t>n:18.6103</t>
  </si>
  <si>
    <t>d:2022-12-05</t>
  </si>
  <si>
    <t>n:19.8564</t>
  </si>
  <si>
    <t>s:CBRT ForexBuying, bulletin 2022/231</t>
  </si>
  <si>
    <t>n:19.6436</t>
  </si>
  <si>
    <t>n:22.8292</t>
  </si>
  <si>
    <t>n:18.613</t>
  </si>
  <si>
    <t>d:2022-12-06</t>
  </si>
  <si>
    <t>n:19.6947</t>
  </si>
  <si>
    <t>s:CBRT ForexBuying, bulletin 2022/232</t>
  </si>
  <si>
    <t>n:19.5375</t>
  </si>
  <si>
    <t>n:22.6496</t>
  </si>
  <si>
    <t>n:18.6143</t>
  </si>
  <si>
    <t>d:2022-12-07</t>
  </si>
  <si>
    <t>n:19.7156</t>
  </si>
  <si>
    <t>s:CBRT ForexBuying, bulletin 2022/233</t>
  </si>
  <si>
    <t>n:19.5015</t>
  </si>
  <si>
    <t>n:22.5675</t>
  </si>
  <si>
    <t>n:18.6166</t>
  </si>
  <si>
    <t>d:2022-12-08</t>
  </si>
  <si>
    <t>n:19.7378</t>
  </si>
  <si>
    <t>s:CBRT ForexBuying, bulletin 2022/234</t>
  </si>
  <si>
    <t>n:19.5764</t>
  </si>
  <si>
    <t>n:22.6485</t>
  </si>
  <si>
    <t>n:18.6202</t>
  </si>
  <si>
    <t>d:2022-12-09</t>
  </si>
  <si>
    <t>n:19.9023</t>
  </si>
  <si>
    <t>s:CBRT ForexBuying, bulletin 2022/235</t>
  </si>
  <si>
    <t>n:19.6684</t>
  </si>
  <si>
    <t>n:22.7801</t>
  </si>
  <si>
    <t>n:18.6208</t>
  </si>
  <si>
    <t>d:2022-12-12</t>
  </si>
  <si>
    <t>n:19.8953</t>
  </si>
  <si>
    <t>s:CBRT ForexBuying, bulletin 2022/236</t>
  </si>
  <si>
    <t>n:19.6386</t>
  </si>
  <si>
    <t>n:22.7946</t>
  </si>
  <si>
    <t>n:18.6199</t>
  </si>
  <si>
    <t>d:2022-12-13</t>
  </si>
  <si>
    <t>n:19.8497</t>
  </si>
  <si>
    <t>s:CBRT ForexBuying, bulletin 2022/237</t>
  </si>
  <si>
    <t>n:19.6382</t>
  </si>
  <si>
    <t>n:22.8333</t>
  </si>
  <si>
    <t>n:18.6246</t>
  </si>
  <si>
    <t>d:2022-12-14</t>
  </si>
  <si>
    <t>n:20.0312</t>
  </si>
  <si>
    <t>s:CBRT ForexBuying, bulletin 2022/238</t>
  </si>
  <si>
    <t>n:19.8349</t>
  </si>
  <si>
    <t>n:23.0167</t>
  </si>
  <si>
    <t>n:18.6266</t>
  </si>
  <si>
    <t>d:2022-12-15</t>
  </si>
  <si>
    <t>n:20.025</t>
  </si>
  <si>
    <t>s:CBRT ForexBuying, bulletin 2022/239</t>
  </si>
  <si>
    <t>n:19.7985</t>
  </si>
  <si>
    <t>n:22.9616</t>
  </si>
  <si>
    <t>n:18.6254</t>
  </si>
  <si>
    <t>d:2022-12-16</t>
  </si>
  <si>
    <t>n:20.0137</t>
  </si>
  <si>
    <t>s:CBRT ForexBuying, bulletin 2022/240</t>
  </si>
  <si>
    <t>n:19.8114</t>
  </si>
  <si>
    <t>n:22.6465</t>
  </si>
  <si>
    <t>n:18.6268</t>
  </si>
  <si>
    <t>d:2022-12-19</t>
  </si>
  <si>
    <t>n:19.9692</t>
  </si>
  <si>
    <t>s:CBRT ForexBuying, bulletin 2022/241</t>
  </si>
  <si>
    <t>n:19.7925</t>
  </si>
  <si>
    <t>n:22.6898</t>
  </si>
  <si>
    <t>n:18.6312</t>
  </si>
  <si>
    <t>d:2022-12-20</t>
  </si>
  <si>
    <t>n:20.0642</t>
  </si>
  <si>
    <t>s:CBRT ForexBuying, bulletin 2022/242</t>
  </si>
  <si>
    <t>n:19.8025</t>
  </si>
  <si>
    <t>n:22.6243</t>
  </si>
  <si>
    <t>n:18.6381</t>
  </si>
  <si>
    <t>d:2022-12-21</t>
  </si>
  <si>
    <t>n:20.0706</t>
  </si>
  <si>
    <t>s:CBRT ForexBuying, bulletin 2022/243</t>
  </si>
  <si>
    <t>n:19.7987</t>
  </si>
  <si>
    <t>n:22.6007</t>
  </si>
  <si>
    <t>n:18.6432</t>
  </si>
  <si>
    <t>d:2022-12-22</t>
  </si>
  <si>
    <t>n:20.1267</t>
  </si>
  <si>
    <t>s:CBRT ForexBuying, bulletin 2022/244</t>
  </si>
  <si>
    <t>n:19.8354</t>
  </si>
  <si>
    <t>n:22.5291</t>
  </si>
  <si>
    <t>n:18.6522</t>
  </si>
  <si>
    <t>d:2022-12-23</t>
  </si>
  <si>
    <t>n:20.0001</t>
  </si>
  <si>
    <t>s:CBRT ForexBuying, bulletin 2022/245</t>
  </si>
  <si>
    <t>n:19.8044</t>
  </si>
  <si>
    <t>n:22.4675</t>
  </si>
  <si>
    <t>n:18.6592</t>
  </si>
  <si>
    <t>d:2022-12-26</t>
  </si>
  <si>
    <t>n:19.9728</t>
  </si>
  <si>
    <t>s:CBRT ForexBuying, bulletin 2022/246</t>
  </si>
  <si>
    <t>n:19.8324</t>
  </si>
  <si>
    <t>n:22.4831</t>
  </si>
  <si>
    <t>n:18.6649</t>
  </si>
  <si>
    <t>d:2022-12-27</t>
  </si>
  <si>
    <t>n:20.0569</t>
  </si>
  <si>
    <t>s:CBRT ForexBuying, bulletin 2022/247</t>
  </si>
  <si>
    <t>n:19.9087</t>
  </si>
  <si>
    <t>n:22.5142</t>
  </si>
  <si>
    <t>n:18.6813</t>
  </si>
  <si>
    <t>d:2022-12-28</t>
  </si>
  <si>
    <t>n:20.077</t>
  </si>
  <si>
    <t>s:CBRT ForexBuying, bulletin 2022/248</t>
  </si>
  <si>
    <t>n:19.8946</t>
  </si>
  <si>
    <t>n:22.4804</t>
  </si>
  <si>
    <t>n:18.6964</t>
  </si>
  <si>
    <t>d:2022-12-29</t>
  </si>
  <si>
    <t>n:20.1435</t>
  </si>
  <si>
    <t>s:CBRT ForexBuying, bulletin 2022/249</t>
  </si>
  <si>
    <t>n:19.8816</t>
  </si>
  <si>
    <t>n:22.4663</t>
  </si>
  <si>
    <t>d:2022-12-30</t>
  </si>
  <si>
    <t>n:20.2019</t>
  </si>
  <si>
    <t>s:CBRT ForexBuying, bulletin 2022/250</t>
  </si>
  <si>
    <t>n:19.9349</t>
  </si>
  <si>
    <t>n:22.4892</t>
  </si>
  <si>
    <t>n:18.6983</t>
  </si>
  <si>
    <t>d:2023-01-02</t>
  </si>
  <si>
    <t>n:20.181</t>
  </si>
  <si>
    <t>s:CBRT ForexBuying, bulletin 2023/1</t>
  </si>
  <si>
    <t>n:19.9806</t>
  </si>
  <si>
    <t>n:22.5109</t>
  </si>
  <si>
    <t>n:18.7029</t>
  </si>
  <si>
    <t>d:2023-01-03</t>
  </si>
  <si>
    <t>n:19.9944</t>
  </si>
  <si>
    <t>s:CBRT ForexBuying, bulletin 2023/2</t>
  </si>
  <si>
    <t>n:19.7818</t>
  </si>
  <si>
    <t>n:22.3431</t>
  </si>
  <si>
    <t>n:18.7105</t>
  </si>
  <si>
    <t>d:2023-01-04</t>
  </si>
  <si>
    <t>n:20.1143</t>
  </si>
  <si>
    <t>s:CBRT ForexBuying, bulletin 2023/3</t>
  </si>
  <si>
    <t>n:19.8472</t>
  </si>
  <si>
    <t>n:22.5009</t>
  </si>
  <si>
    <t>n:18.7194</t>
  </si>
  <si>
    <t>d:2023-01-05</t>
  </si>
  <si>
    <t>n:20.1508</t>
  </si>
  <si>
    <t>s:CBRT ForexBuying, bulletin 2023/4</t>
  </si>
  <si>
    <t>n:19.8886</t>
  </si>
  <si>
    <t>n:22.4879</t>
  </si>
  <si>
    <t>n:18.7387</t>
  </si>
  <si>
    <t>d:2023-01-06</t>
  </si>
  <si>
    <t>n:19.921</t>
  </si>
  <si>
    <t>s:CBRT ForexBuying, bulletin 2023/5</t>
  </si>
  <si>
    <t>n:19.704</t>
  </si>
  <si>
    <t>n:22.2271</t>
  </si>
  <si>
    <t>n:18.7498</t>
  </si>
  <si>
    <t>d:2023-01-09</t>
  </si>
  <si>
    <t>n:20.2403</t>
  </si>
  <si>
    <t>s:CBRT ForexBuying, bulletin 2023/6</t>
  </si>
  <si>
    <t>n:20.0269</t>
  </si>
  <si>
    <t>n:22.736</t>
  </si>
  <si>
    <t>n:18.7538</t>
  </si>
  <si>
    <t>d:2023-01-10</t>
  </si>
  <si>
    <t>n:20.3172</t>
  </si>
  <si>
    <t>s:CBRT ForexBuying, bulletin 2023/7</t>
  </si>
  <si>
    <t>n:20.1386</t>
  </si>
  <si>
    <t>n:22.7818</t>
  </si>
  <si>
    <t>n:18.7555</t>
  </si>
  <si>
    <t>d:2023-01-11</t>
  </si>
  <si>
    <t>n:20.2769</t>
  </si>
  <si>
    <t>s:CBRT ForexBuying, bulletin 2023/8</t>
  </si>
  <si>
    <t>n:20.1528</t>
  </si>
  <si>
    <t>n:22.7361</t>
  </si>
  <si>
    <t>n:18.7581</t>
  </si>
  <si>
    <t>d:2023-01-12</t>
  </si>
  <si>
    <t>n:20.0748</t>
  </si>
  <si>
    <t>s:CBRT ForexBuying, bulletin 2023/9</t>
  </si>
  <si>
    <t>n:20.1858</t>
  </si>
  <si>
    <t>n:22.7731</t>
  </si>
  <si>
    <t>n:18.7608</t>
  </si>
  <si>
    <t>d:2023-01-13</t>
  </si>
  <si>
    <t>n:20.1589</t>
  </si>
  <si>
    <t>s:CBRT ForexBuying, bulletin 2023/10</t>
  </si>
  <si>
    <t>n:20.3386</t>
  </si>
  <si>
    <t>n:22.8749</t>
  </si>
  <si>
    <t>n:18.7592</t>
  </si>
  <si>
    <t>d:2023-01-16</t>
  </si>
  <si>
    <t>n:20.2186</t>
  </si>
  <si>
    <t>s:CBRT ForexBuying, bulletin 2023/11</t>
  </si>
  <si>
    <t>n:20.3163</t>
  </si>
  <si>
    <t>n:22.8784</t>
  </si>
  <si>
    <t>n:18.7681</t>
  </si>
  <si>
    <t>d:2023-01-17</t>
  </si>
  <si>
    <t>n:20.2789</t>
  </si>
  <si>
    <t>s:CBRT ForexBuying, bulletin 2023/12</t>
  </si>
  <si>
    <t>n:20.3157</t>
  </si>
  <si>
    <t>n:22.8857</t>
  </si>
  <si>
    <t>n:18.7691</t>
  </si>
  <si>
    <t>d:2023-01-18</t>
  </si>
  <si>
    <t>n:20.4448</t>
  </si>
  <si>
    <t>s:CBRT ForexBuying, bulletin 2023/13</t>
  </si>
  <si>
    <t>n:20.3329</t>
  </si>
  <si>
    <t>n:23.1189</t>
  </si>
  <si>
    <t>n:18.7701</t>
  </si>
  <si>
    <t>d:2023-01-19</t>
  </si>
  <si>
    <t>n:20.4399</t>
  </si>
  <si>
    <t>s:CBRT ForexBuying, bulletin 2023/14</t>
  </si>
  <si>
    <t>n:20.3054</t>
  </si>
  <si>
    <t>n:23.1229</t>
  </si>
  <si>
    <t>n:18.7742</t>
  </si>
  <si>
    <t>d:2023-01-20</t>
  </si>
  <si>
    <t>n:20.394</t>
  </si>
  <si>
    <t>s:CBRT ForexBuying, bulletin 2023/15</t>
  </si>
  <si>
    <t>n:20.3419</t>
  </si>
  <si>
    <t>n:23.1645</t>
  </si>
  <si>
    <t>n:18.7771</t>
  </si>
  <si>
    <t>d:2023-01-23</t>
  </si>
  <si>
    <t>n:20.4051</t>
  </si>
  <si>
    <t>s:CBRT ForexBuying, bulletin 2023/16</t>
  </si>
  <si>
    <t>n:20.4768</t>
  </si>
  <si>
    <t>n:23.247</t>
  </si>
  <si>
    <t>n:18.7844</t>
  </si>
  <si>
    <t>d:2023-01-24</t>
  </si>
  <si>
    <t>n:20.3262</t>
  </si>
  <si>
    <t>s:CBRT ForexBuying, bulletin 2023/17</t>
  </si>
  <si>
    <t>n:20.4142</t>
  </si>
  <si>
    <t>n:23.1658</t>
  </si>
  <si>
    <t>n:18.7735</t>
  </si>
  <si>
    <t>d:2023-01-25</t>
  </si>
  <si>
    <t>n:20.3016</t>
  </si>
  <si>
    <t>s:CBRT ForexBuying, bulletin 2023/18</t>
  </si>
  <si>
    <t>n:20.437</t>
  </si>
  <si>
    <t>n:23.0914</t>
  </si>
  <si>
    <t>n:18.785</t>
  </si>
  <si>
    <t>d:2023-01-26</t>
  </si>
  <si>
    <t>n:20.4165</t>
  </si>
  <si>
    <t>s:CBRT ForexBuying, bulletin 2023/19</t>
  </si>
  <si>
    <t>n:20.4931</t>
  </si>
  <si>
    <t>n:23.246</t>
  </si>
  <si>
    <t>n:18.7853</t>
  </si>
  <si>
    <t>d:2023-01-27</t>
  </si>
  <si>
    <t>n:20.3356</t>
  </si>
  <si>
    <t>s:CBRT ForexBuying, bulletin 2023/20</t>
  </si>
  <si>
    <t>n:20.4401</t>
  </si>
  <si>
    <t>n:23.205</t>
  </si>
  <si>
    <t>n:18.7852</t>
  </si>
  <si>
    <t>d:2023-01-30</t>
  </si>
  <si>
    <t>n:20.357</t>
  </si>
  <si>
    <t>s:CBRT ForexBuying, bulletin 2023/21</t>
  </si>
  <si>
    <t>n:20.4525</t>
  </si>
  <si>
    <t>n:23.2356</t>
  </si>
  <si>
    <t>n:18.7876</t>
  </si>
  <si>
    <t>d:2023-01-31</t>
  </si>
  <si>
    <t>n:20.2232</t>
  </si>
  <si>
    <t>s:CBRT ForexBuying, bulletin 2023/22</t>
  </si>
  <si>
    <t>n:20.3458</t>
  </si>
  <si>
    <t>n:23.1239</t>
  </si>
  <si>
    <t>n:18.7878</t>
  </si>
  <si>
    <t>d:2023-02-01</t>
  </si>
  <si>
    <t>n:20.4672</t>
  </si>
  <si>
    <t>s:CBRT ForexBuying, bulletin 2023/23</t>
  </si>
  <si>
    <t>n:20.4512</t>
  </si>
  <si>
    <t>n:23.1118</t>
  </si>
  <si>
    <t>n:18.7897</t>
  </si>
  <si>
    <t>d:2023-02-02</t>
  </si>
  <si>
    <t>n:20.6331</t>
  </si>
  <si>
    <t>s:CBRT ForexBuying, bulletin 2023/24</t>
  </si>
  <si>
    <t>n:20.6661</t>
  </si>
  <si>
    <t>n:23.1745</t>
  </si>
  <si>
    <t>n:18.7913</t>
  </si>
  <si>
    <t>d:2023-02-03</t>
  </si>
  <si>
    <t>n:20.5156</t>
  </si>
  <si>
    <t>s:CBRT ForexBuying, bulletin 2023/25</t>
  </si>
  <si>
    <t>n:20.5163</t>
  </si>
  <si>
    <t>n:22.9476</t>
  </si>
  <si>
    <t>n:18.7948</t>
  </si>
  <si>
    <t>d:2023-02-06</t>
  </si>
  <si>
    <t>n:20.2816</t>
  </si>
  <si>
    <t>s:CBRT ForexBuying, bulletin 2023/26</t>
  </si>
  <si>
    <t>n:20.2662</t>
  </si>
  <si>
    <t>n:22.6219</t>
  </si>
  <si>
    <t>d:2023-02-07</t>
  </si>
  <si>
    <t>n:20.2506</t>
  </si>
  <si>
    <t>s:CBRT ForexBuying, bulletin 2023/27</t>
  </si>
  <si>
    <t>n:20.1606</t>
  </si>
  <si>
    <t>n:22.5558</t>
  </si>
  <si>
    <t>n:18.8087</t>
  </si>
  <si>
    <t>d:2023-02-08</t>
  </si>
  <si>
    <t>n:20.4111</t>
  </si>
  <si>
    <t>s:CBRT ForexBuying, bulletin 2023/28</t>
  </si>
  <si>
    <t>n:20.2127</t>
  </si>
  <si>
    <t>n:22.6979</t>
  </si>
  <si>
    <t>n:18.81</t>
  </si>
  <si>
    <t>d:2023-02-09</t>
  </si>
  <si>
    <t>n:20.4269</t>
  </si>
  <si>
    <t>s:CBRT ForexBuying, bulletin 2023/29</t>
  </si>
  <si>
    <t>n:20.2313</t>
  </si>
  <si>
    <t>n:22.7719</t>
  </si>
  <si>
    <t>n:18.8109</t>
  </si>
  <si>
    <t>d:2023-02-10</t>
  </si>
  <si>
    <t>n:20.3479</t>
  </si>
  <si>
    <t>s:CBRT ForexBuying, bulletin 2023/30</t>
  </si>
  <si>
    <t>n:20.1664</t>
  </si>
  <si>
    <t>n:22.7478</t>
  </si>
  <si>
    <t>n:18.8112</t>
  </si>
  <si>
    <t>d:2023-02-13</t>
  </si>
  <si>
    <t>n:20.3277</t>
  </si>
  <si>
    <t>s:CBRT ForexBuying, bulletin 2023/31</t>
  </si>
  <si>
    <t>n:20.0922</t>
  </si>
  <si>
    <t>n:22.6375</t>
  </si>
  <si>
    <t>n:18.8184</t>
  </si>
  <si>
    <t>d:2023-02-14</t>
  </si>
  <si>
    <t>n:20.462</t>
  </si>
  <si>
    <t>s:CBRT ForexBuying, bulletin 2023/32</t>
  </si>
  <si>
    <t>n:20.2332</t>
  </si>
  <si>
    <t>n:22.8764</t>
  </si>
  <si>
    <t>n:18.8225</t>
  </si>
  <si>
    <t>d:2023-02-15</t>
  </si>
  <si>
    <t>n:20.3462</t>
  </si>
  <si>
    <t>s:CBRT ForexBuying, bulletin 2023/33</t>
  </si>
  <si>
    <t>n:20.1746</t>
  </si>
  <si>
    <t>n:22.7214</t>
  </si>
  <si>
    <t>n:18.8282</t>
  </si>
  <si>
    <t>d:2023-02-16</t>
  </si>
  <si>
    <t>n:20.368</t>
  </si>
  <si>
    <t>s:CBRT ForexBuying, bulletin 2023/34</t>
  </si>
  <si>
    <t>n:20.1579</t>
  </si>
  <si>
    <t>n:22.6535</t>
  </si>
  <si>
    <t>n:18.832</t>
  </si>
  <si>
    <t>d:2023-02-17</t>
  </si>
  <si>
    <t>n:20.1766</t>
  </si>
  <si>
    <t>s:CBRT ForexBuying, bulletin 2023/35</t>
  </si>
  <si>
    <t>n:20.0376</t>
  </si>
  <si>
    <t>n:22.4479</t>
  </si>
  <si>
    <t>n:18.836</t>
  </si>
  <si>
    <t>d:2023-02-20</t>
  </si>
  <si>
    <t>n:20.3603</t>
  </si>
  <si>
    <t>s:CBRT ForexBuying, bulletin 2023/36</t>
  </si>
  <si>
    <t>n:20.1432</t>
  </si>
  <si>
    <t>n:22.635</t>
  </si>
  <si>
    <t>n:18.8438</t>
  </si>
  <si>
    <t>d:2023-02-21</t>
  </si>
  <si>
    <t>n:20.3298</t>
  </si>
  <si>
    <t>s:CBRT ForexBuying, bulletin 2023/37</t>
  </si>
  <si>
    <t>n:20.095</t>
  </si>
  <si>
    <t>n:22.6846</t>
  </si>
  <si>
    <t>n:18.8464</t>
  </si>
  <si>
    <t>d:2023-02-22</t>
  </si>
  <si>
    <t>n:20.2823</t>
  </si>
  <si>
    <t>s:CBRT ForexBuying, bulletin 2023/38</t>
  </si>
  <si>
    <t>n:20.0599</t>
  </si>
  <si>
    <t>n:22.7526</t>
  </si>
  <si>
    <t>n:18.8506</t>
  </si>
  <si>
    <t>d:2023-02-23</t>
  </si>
  <si>
    <t>n:20.1898</t>
  </si>
  <si>
    <t>s:CBRT ForexBuying, bulletin 2023/39</t>
  </si>
  <si>
    <t>n:19.9977</t>
  </si>
  <si>
    <t>n:22.6683</t>
  </si>
  <si>
    <t>n:18.8548</t>
  </si>
  <si>
    <t>d:2023-02-24</t>
  </si>
  <si>
    <t>n:20.1209</t>
  </si>
  <si>
    <t>s:CBRT ForexBuying, bulletin 2023/40</t>
  </si>
  <si>
    <t>n:19.9653</t>
  </si>
  <si>
    <t>n:22.616</t>
  </si>
  <si>
    <t>n:18.8567</t>
  </si>
  <si>
    <t>d:2023-02-27</t>
  </si>
  <si>
    <t>n:19.9934</t>
  </si>
  <si>
    <t>s:CBRT ForexBuying, bulletin 2023/41</t>
  </si>
  <si>
    <t>n:19.9061</t>
  </si>
  <si>
    <t>n:22.5272</t>
  </si>
  <si>
    <t>n:18.8632</t>
  </si>
  <si>
    <t>d:2023-02-28</t>
  </si>
  <si>
    <t>n:20.0692</t>
  </si>
  <si>
    <t>s:CBRT ForexBuying, bulletin 2023/42</t>
  </si>
  <si>
    <t>n:20.0042</t>
  </si>
  <si>
    <t>n:22.7381</t>
  </si>
  <si>
    <t>n:18.8647</t>
  </si>
  <si>
    <t>d:2023-03-01</t>
  </si>
  <si>
    <t>n:20.0674</t>
  </si>
  <si>
    <t>s:CBRT ForexBuying, bulletin 2023/43</t>
  </si>
  <si>
    <t>n:20.0845</t>
  </si>
  <si>
    <t>n:22.7194</t>
  </si>
  <si>
    <t>n:18.8652</t>
  </si>
  <si>
    <t>d:2023-03-02</t>
  </si>
  <si>
    <t>n:19.9857</t>
  </si>
  <si>
    <t>s:CBRT ForexBuying, bulletin 2023/44</t>
  </si>
  <si>
    <t>n:20.0545</t>
  </si>
  <si>
    <t>n:22.5599</t>
  </si>
  <si>
    <t>n:18.867</t>
  </si>
  <si>
    <t>d:2023-03-03</t>
  </si>
  <si>
    <t>n:20.0465</t>
  </si>
  <si>
    <t>s:CBRT ForexBuying, bulletin 2023/45</t>
  </si>
  <si>
    <t>n:20.0195</t>
  </si>
  <si>
    <t>n:22.5637</t>
  </si>
  <si>
    <t>n:18.8587</t>
  </si>
  <si>
    <t>d:2023-03-06</t>
  </si>
  <si>
    <t>n:20.1583</t>
  </si>
  <si>
    <t>s:CBRT ForexBuying, bulletin 2023/46</t>
  </si>
  <si>
    <t>n:20.0857</t>
  </si>
  <si>
    <t>n:22.6592</t>
  </si>
  <si>
    <t>n:18.8801</t>
  </si>
  <si>
    <t>d:2023-03-07</t>
  </si>
  <si>
    <t>n:20.2283</t>
  </si>
  <si>
    <t>s:CBRT ForexBuying, bulletin 2023/47</t>
  </si>
  <si>
    <t>n:20.1549</t>
  </si>
  <si>
    <t>n:22.67</t>
  </si>
  <si>
    <t>n:18.8907</t>
  </si>
  <si>
    <t>d:2023-03-08</t>
  </si>
  <si>
    <t>n:20.0157</t>
  </si>
  <si>
    <t>s:CBRT ForexBuying, bulletin 2023/48</t>
  </si>
  <si>
    <t>n:19.9323</t>
  </si>
  <si>
    <t>n:22.3432</t>
  </si>
  <si>
    <t>n:18.9135</t>
  </si>
  <si>
    <t>d:2023-03-09</t>
  </si>
  <si>
    <t>s:CBRT ForexBuying, bulletin 2023/49</t>
  </si>
  <si>
    <t>n:19.9895</t>
  </si>
  <si>
    <t>n:22.4306</t>
  </si>
  <si>
    <t>n:18.9295</t>
  </si>
  <si>
    <t>d:2023-03-10</t>
  </si>
  <si>
    <t>n:20.3223</t>
  </si>
  <si>
    <t>s:CBRT ForexBuying, bulletin 2023/50</t>
  </si>
  <si>
    <t>n:20.0511</t>
  </si>
  <si>
    <t>n:22.6168</t>
  </si>
  <si>
    <t>n:18.9374</t>
  </si>
  <si>
    <t>d:2023-03-13</t>
  </si>
  <si>
    <t>n:20.6588</t>
  </si>
  <si>
    <t>s:CBRT ForexBuying, bulletin 2023/51</t>
  </si>
  <si>
    <t>n:20.2645</t>
  </si>
  <si>
    <t>n:22.8667</t>
  </si>
  <si>
    <t>n:18.9494</t>
  </si>
  <si>
    <t>d:2023-03-14</t>
  </si>
  <si>
    <t>n:20.7343</t>
  </si>
  <si>
    <t>s:CBRT ForexBuying, bulletin 2023/52</t>
  </si>
  <si>
    <t>n:20.2927</t>
  </si>
  <si>
    <t>n:23.007</t>
  </si>
  <si>
    <t>n:18.9514</t>
  </si>
  <si>
    <t>d:2023-03-15</t>
  </si>
  <si>
    <t>n:20.6025</t>
  </si>
  <si>
    <t>s:CBRT ForexBuying, bulletin 2023/53</t>
  </si>
  <si>
    <t>n:20.2523</t>
  </si>
  <si>
    <t>n:22.9391</t>
  </si>
  <si>
    <t>n:18.9583</t>
  </si>
  <si>
    <t>d:2023-03-16</t>
  </si>
  <si>
    <t>n:20.4186</t>
  </si>
  <si>
    <t>s:CBRT ForexBuying, bulletin 2023/54</t>
  </si>
  <si>
    <t>n:20.142</t>
  </si>
  <si>
    <t>n:22.864</t>
  </si>
  <si>
    <t>n:18.9756</t>
  </si>
  <si>
    <t>d:2023-03-17</t>
  </si>
  <si>
    <t>n:20.4471</t>
  </si>
  <si>
    <t>s:CBRT ForexBuying, bulletin 2023/55</t>
  </si>
  <si>
    <t>n:20.2077</t>
  </si>
  <si>
    <t>n:23.0089</t>
  </si>
  <si>
    <t>n:18.9785</t>
  </si>
  <si>
    <t>d:2023-03-20</t>
  </si>
  <si>
    <t>n:20.4233</t>
  </si>
  <si>
    <t>s:CBRT ForexBuying, bulletin 2023/56</t>
  </si>
  <si>
    <t>n:20.2753</t>
  </si>
  <si>
    <t>n:23.1416</t>
  </si>
  <si>
    <t>n:18.9919</t>
  </si>
  <si>
    <t>d:2023-03-21</t>
  </si>
  <si>
    <t>n:20.4373</t>
  </si>
  <si>
    <t>s:CBRT ForexBuying, bulletin 2023/57</t>
  </si>
  <si>
    <t>n:20.4094</t>
  </si>
  <si>
    <t>n:23.231</t>
  </si>
  <si>
    <t>n:19.0014</t>
  </si>
  <si>
    <t>d:2023-03-22</t>
  </si>
  <si>
    <t>n:20.5685</t>
  </si>
  <si>
    <t>s:CBRT ForexBuying, bulletin 2023/58</t>
  </si>
  <si>
    <t>n:20.5019</t>
  </si>
  <si>
    <t>n:23.2871</t>
  </si>
  <si>
    <t>n:19.0165</t>
  </si>
  <si>
    <t>d:2023-03-23</t>
  </si>
  <si>
    <t>n:20.7257</t>
  </si>
  <si>
    <t>s:CBRT ForexBuying, bulletin 2023/59</t>
  </si>
  <si>
    <t>n:20.722</t>
  </si>
  <si>
    <t>n:23.3789</t>
  </si>
  <si>
    <t>n:19.0223</t>
  </si>
  <si>
    <t>d:2023-03-24</t>
  </si>
  <si>
    <t>n:20.6727</t>
  </si>
  <si>
    <t>s:CBRT ForexBuying, bulletin 2023/60</t>
  </si>
  <si>
    <t>n:20.5055</t>
  </si>
  <si>
    <t>n:23.2563</t>
  </si>
  <si>
    <t>n:19.0371</t>
  </si>
  <si>
    <t>d:2023-03-27</t>
  </si>
  <si>
    <t>n:20.7477</t>
  </si>
  <si>
    <t>s:CBRT ForexBuying, bulletin 2023/61</t>
  </si>
  <si>
    <t>n:20.5252</t>
  </si>
  <si>
    <t>n:23.3261</t>
  </si>
  <si>
    <t>n:19.068</t>
  </si>
  <si>
    <t>d:2023-03-28</t>
  </si>
  <si>
    <t>n:20.7529</t>
  </si>
  <si>
    <t>s:CBRT ForexBuying, bulletin 2023/62</t>
  </si>
  <si>
    <t>n:20.6467</t>
  </si>
  <si>
    <t>n:23.4483</t>
  </si>
  <si>
    <t>n:19.0839</t>
  </si>
  <si>
    <t>d:2023-03-29</t>
  </si>
  <si>
    <t>n:20.7376</t>
  </si>
  <si>
    <t>s:CBRT ForexBuying, bulletin 2023/63</t>
  </si>
  <si>
    <t>n:20.7201</t>
  </si>
  <si>
    <t>n:23.5295</t>
  </si>
  <si>
    <t>n:19.107</t>
  </si>
  <si>
    <t>d:2023-03-30</t>
  </si>
  <si>
    <t>n:20.8521</t>
  </si>
  <si>
    <t>s:CBRT ForexBuying, bulletin 2023/64</t>
  </si>
  <si>
    <t>n:20.8021</t>
  </si>
  <si>
    <t>n:23.5943</t>
  </si>
  <si>
    <t>n:19.146</t>
  </si>
  <si>
    <t>d:2023-03-31</t>
  </si>
  <si>
    <t>n:20.8615</t>
  </si>
  <si>
    <t>s:CBRT ForexBuying, bulletin 2023/65</t>
  </si>
  <si>
    <t>n:20.845</t>
  </si>
  <si>
    <t>n:23.6602</t>
  </si>
  <si>
    <t>n:19.1532</t>
  </si>
  <si>
    <t>d:2023-04-03</t>
  </si>
  <si>
    <t>n:20.8648</t>
  </si>
  <si>
    <t>s:CBRT ForexBuying, bulletin 2023/66</t>
  </si>
  <si>
    <t>n:20.8074</t>
  </si>
  <si>
    <t>n:23.6298</t>
  </si>
  <si>
    <t>n:19.1788</t>
  </si>
  <si>
    <t>d:2023-04-04</t>
  </si>
  <si>
    <t>n:21.0014</t>
  </si>
  <si>
    <t>s:CBRT ForexBuying, bulletin 2023/67</t>
  </si>
  <si>
    <t>n:20.9597</t>
  </si>
  <si>
    <t>n:23.9162</t>
  </si>
  <si>
    <t>n:19.2001</t>
  </si>
  <si>
    <t>d:2023-04-05</t>
  </si>
  <si>
    <t>n:21.1923</t>
  </si>
  <si>
    <t>s:CBRT ForexBuying, bulletin 2023/68</t>
  </si>
  <si>
    <t>n:21.0501</t>
  </si>
  <si>
    <t>n:23.9562</t>
  </si>
  <si>
    <t>n:19.2266</t>
  </si>
  <si>
    <t>d:2023-04-06</t>
  </si>
  <si>
    <t>n:21.2004</t>
  </si>
  <si>
    <t>s:CBRT ForexBuying, bulletin 2023/69</t>
  </si>
  <si>
    <t>n:20.9782</t>
  </si>
  <si>
    <t>n:23.9405</t>
  </si>
  <si>
    <t>n:19.2361</t>
  </si>
  <si>
    <t>d:2023-04-07</t>
  </si>
  <si>
    <t>n:21.2261</t>
  </si>
  <si>
    <t>s:CBRT ForexBuying, bulletin 2023/70</t>
  </si>
  <si>
    <t>n:20.9964</t>
  </si>
  <si>
    <t>n:23.8846</t>
  </si>
  <si>
    <t>n:19.2332</t>
  </si>
  <si>
    <t>d:2023-04-10</t>
  </si>
  <si>
    <t>n:21.1842</t>
  </si>
  <si>
    <t>s:CBRT ForexBuying, bulletin 2023/71</t>
  </si>
  <si>
    <t>n:20.981</t>
  </si>
  <si>
    <t>n:23.8632</t>
  </si>
  <si>
    <t>n:19.238</t>
  </si>
  <si>
    <t>d:2023-04-11</t>
  </si>
  <si>
    <t>n:21.2366</t>
  </si>
  <si>
    <t>s:CBRT ForexBuying, bulletin 2023/72</t>
  </si>
  <si>
    <t>n:21.0043</t>
  </si>
  <si>
    <t>n:23.9055</t>
  </si>
  <si>
    <t>n:19.2619</t>
  </si>
  <si>
    <t>d:2023-04-12</t>
  </si>
  <si>
    <t>n:21.3242</t>
  </si>
  <si>
    <t>s:CBRT ForexBuying, bulletin 2023/73</t>
  </si>
  <si>
    <t>n:21.0741</t>
  </si>
  <si>
    <t>n:23.9115</t>
  </si>
  <si>
    <t>n:19.2885</t>
  </si>
  <si>
    <t>d:2023-04-13</t>
  </si>
  <si>
    <t>n:21.5895</t>
  </si>
  <si>
    <t>s:CBRT ForexBuying, bulletin 2023/74</t>
  </si>
  <si>
    <t>n:21.2512</t>
  </si>
  <si>
    <t>n:24.101</t>
  </si>
  <si>
    <t>n:19.307</t>
  </si>
  <si>
    <t>d:2023-04-14</t>
  </si>
  <si>
    <t>n:21.7242</t>
  </si>
  <si>
    <t>s:CBRT ForexBuying, bulletin 2023/75</t>
  </si>
  <si>
    <t>n:21.3873</t>
  </si>
  <si>
    <t>n:24.1549</t>
  </si>
  <si>
    <t>n:19.3363</t>
  </si>
  <si>
    <t>d:2023-04-17</t>
  </si>
  <si>
    <t>n:21.5999</t>
  </si>
  <si>
    <t>s:CBRT ForexBuying, bulletin 2023/76</t>
  </si>
  <si>
    <t>n:21.2519</t>
  </si>
  <si>
    <t>n:23.9732</t>
  </si>
  <si>
    <t>n:19.3542</t>
  </si>
  <si>
    <t>d:2023-04-18</t>
  </si>
  <si>
    <t>n:21.5628</t>
  </si>
  <si>
    <t>s:CBRT ForexBuying, bulletin 2023/77</t>
  </si>
  <si>
    <t>n:21.2554</t>
  </si>
  <si>
    <t>n:24.0466</t>
  </si>
  <si>
    <t>n:19.3755</t>
  </si>
  <si>
    <t>d:2023-04-19</t>
  </si>
  <si>
    <t>n:21.5135</t>
  </si>
  <si>
    <t>s:CBRT ForexBuying, bulletin 2023/78</t>
  </si>
  <si>
    <t>n:21.2121</t>
  </si>
  <si>
    <t>n:24.0516</t>
  </si>
  <si>
    <t>n:19.3806</t>
  </si>
  <si>
    <t>d:2023-04-24</t>
  </si>
  <si>
    <t>n:21.7235</t>
  </si>
  <si>
    <t>s:CBRT ForexBuying, bulletin 2023/79</t>
  </si>
  <si>
    <t>n:21.3204</t>
  </si>
  <si>
    <t>n:24.0696</t>
  </si>
  <si>
    <t>n:19.3853</t>
  </si>
  <si>
    <t>d:2023-04-25</t>
  </si>
  <si>
    <t>n:21.8005</t>
  </si>
  <si>
    <t>s:CBRT ForexBuying, bulletin 2023/80</t>
  </si>
  <si>
    <t>n:21.395</t>
  </si>
  <si>
    <t>n:24.1257</t>
  </si>
  <si>
    <t>n:19.3937</t>
  </si>
  <si>
    <t>d:2023-04-26</t>
  </si>
  <si>
    <t>n:21.75</t>
  </si>
  <si>
    <t>s:CBRT ForexBuying, bulletin 2023/81</t>
  </si>
  <si>
    <t>n:21.4074</t>
  </si>
  <si>
    <t>n:24.1494</t>
  </si>
  <si>
    <t>n:19.4029</t>
  </si>
  <si>
    <t>d:2023-04-27</t>
  </si>
  <si>
    <t>n:21.6966</t>
  </si>
  <si>
    <t>s:CBRT ForexBuying, bulletin 2023/82</t>
  </si>
  <si>
    <t>n:21.4403</t>
  </si>
  <si>
    <t>n:24.1566</t>
  </si>
  <si>
    <t>n:19.4103</t>
  </si>
  <si>
    <t>d:2023-04-28</t>
  </si>
  <si>
    <t>n:21.6477</t>
  </si>
  <si>
    <t>s:CBRT ForexBuying, bulletin 2023/83</t>
  </si>
  <si>
    <t>n:21.3604</t>
  </si>
  <si>
    <t>n:24.1829</t>
  </si>
  <si>
    <t>n:19.4268</t>
  </si>
  <si>
    <t>d:2023-05-02</t>
  </si>
  <si>
    <t>n:21.6036</t>
  </si>
  <si>
    <t>s:CBRT ForexBuying, bulletin 2023/84</t>
  </si>
  <si>
    <t>n:21.3306</t>
  </si>
  <si>
    <t>n:24.2213</t>
  </si>
  <si>
    <t>n:19.4417</t>
  </si>
  <si>
    <t>d:2023-05-03</t>
  </si>
  <si>
    <t>n:21.8374</t>
  </si>
  <si>
    <t>s:CBRT ForexBuying, bulletin 2023/85</t>
  </si>
  <si>
    <t>n:21.4672</t>
  </si>
  <si>
    <t>n:24.2924</t>
  </si>
  <si>
    <t>n:19.4511</t>
  </si>
  <si>
    <t>d:2023-05-04</t>
  </si>
  <si>
    <t>n:21.9195</t>
  </si>
  <si>
    <t>s:CBRT ForexBuying, bulletin 2023/86</t>
  </si>
  <si>
    <t>n:21.5293</t>
  </si>
  <si>
    <t>n:24.4283</t>
  </si>
  <si>
    <t>n:19.4647</t>
  </si>
  <si>
    <t>d:2023-05-05</t>
  </si>
  <si>
    <t>n:21.8182</t>
  </si>
  <si>
    <t>s:CBRT ForexBuying, bulletin 2023/87</t>
  </si>
  <si>
    <t>n:21.4749</t>
  </si>
  <si>
    <t>n:24.5205</t>
  </si>
  <si>
    <t>n:19.4747</t>
  </si>
  <si>
    <t>d:2023-05-08</t>
  </si>
  <si>
    <t>n:21.8816</t>
  </si>
  <si>
    <t>s:CBRT ForexBuying, bulletin 2023/88</t>
  </si>
  <si>
    <t>n:21.5141</t>
  </si>
  <si>
    <t>n:24.5998</t>
  </si>
  <si>
    <t>n:19.4837</t>
  </si>
  <si>
    <t>d:2023-05-09</t>
  </si>
  <si>
    <t>n:21.8066</t>
  </si>
  <si>
    <t>s:CBRT ForexBuying, bulletin 2023/89</t>
  </si>
  <si>
    <t>n:21.4008</t>
  </si>
  <si>
    <t>n:24.5464</t>
  </si>
  <si>
    <t>n:19.4909</t>
  </si>
  <si>
    <t>d:2023-05-10</t>
  </si>
  <si>
    <t>n:21.8577</t>
  </si>
  <si>
    <t>s:CBRT ForexBuying, bulletin 2023/90</t>
  </si>
  <si>
    <t>n:21.3821</t>
  </si>
  <si>
    <t>n:24.5814</t>
  </si>
  <si>
    <t>n:19.5134</t>
  </si>
  <si>
    <t>d:2023-05-11</t>
  </si>
  <si>
    <t>n:21.8091</t>
  </si>
  <si>
    <t>s:CBRT ForexBuying, bulletin 2023/91</t>
  </si>
  <si>
    <t>n:21.3534</t>
  </si>
  <si>
    <t>n:24.54</t>
  </si>
  <si>
    <t>n:19.5389</t>
  </si>
  <si>
    <t>d:2023-05-12</t>
  </si>
  <si>
    <t>n:21.8633</t>
  </si>
  <si>
    <t>s:CBRT ForexBuying, bulletin 2023/92</t>
  </si>
  <si>
    <t>n:21.3447</t>
  </si>
  <si>
    <t>n:24.4663</t>
  </si>
  <si>
    <t>n:19.5649</t>
  </si>
  <si>
    <t>d:2023-05-15</t>
  </si>
  <si>
    <t>n:21.8506</t>
  </si>
  <si>
    <t>s:CBRT ForexBuying, bulletin 2023/93</t>
  </si>
  <si>
    <t>n:21.3524</t>
  </si>
  <si>
    <t>n:24.492</t>
  </si>
  <si>
    <t>d:2023-05-16</t>
  </si>
  <si>
    <t>n:21.9775</t>
  </si>
  <si>
    <t>s:CBRT ForexBuying, bulletin 2023/94</t>
  </si>
  <si>
    <t>n:21.4277</t>
  </si>
  <si>
    <t>n:24.5925</t>
  </si>
  <si>
    <t>n:19.68</t>
  </si>
  <si>
    <t>d:2023-05-17</t>
  </si>
  <si>
    <t>n:21.9017</t>
  </si>
  <si>
    <t>s:CBRT ForexBuying, bulletin 2023/95</t>
  </si>
  <si>
    <t>n:21.3786</t>
  </si>
  <si>
    <t>n:24.5119</t>
  </si>
  <si>
    <t>n:19.7336</t>
  </si>
  <si>
    <t>d:2023-05-18</t>
  </si>
  <si>
    <t>n:21.9039</t>
  </si>
  <si>
    <t>s:CBRT ForexBuying, bulletin 2023/96</t>
  </si>
  <si>
    <t>n:21.3774</t>
  </si>
  <si>
    <t>n:24.5492</t>
  </si>
  <si>
    <t>n:19.7607</t>
  </si>
  <si>
    <t>d:2023-05-22</t>
  </si>
  <si>
    <t>n:22.045</t>
  </si>
  <si>
    <t>s:CBRT ForexBuying, bulletin 2023/97</t>
  </si>
  <si>
    <t>n:21.4186</t>
  </si>
  <si>
    <t>n:24.6037</t>
  </si>
  <si>
    <t>n:19.8047</t>
  </si>
  <si>
    <t>d:2023-05-23</t>
  </si>
  <si>
    <t>n:21.9713</t>
  </si>
  <si>
    <t>s:CBRT ForexBuying, bulletin 2023/98</t>
  </si>
  <si>
    <t>n:21.3946</t>
  </si>
  <si>
    <t>n:24.5462</t>
  </si>
  <si>
    <t>n:19.827</t>
  </si>
  <si>
    <t>d:2023-05-24</t>
  </si>
  <si>
    <t>n:21.9603</t>
  </si>
  <si>
    <t>s:CBRT ForexBuying, bulletin 2023/99</t>
  </si>
  <si>
    <t>n:21.3986</t>
  </si>
  <si>
    <t>n:24.599</t>
  </si>
  <si>
    <t>n:19.86</t>
  </si>
  <si>
    <t>d:2023-05-25</t>
  </si>
  <si>
    <t>n:21.9254</t>
  </si>
  <si>
    <t>s:CBRT ForexBuying, bulletin 2023/100</t>
  </si>
  <si>
    <t>n:21.3507</t>
  </si>
  <si>
    <t>n:24.5651</t>
  </si>
  <si>
    <t>n:19.9027</t>
  </si>
  <si>
    <t>d:2023-05-26</t>
  </si>
  <si>
    <t>n:22.0352</t>
  </si>
  <si>
    <t>s:CBRT ForexBuying, bulletin 2023/101</t>
  </si>
  <si>
    <t>n:21.4251</t>
  </si>
  <si>
    <t>n:24.6224</t>
  </si>
  <si>
    <t>n:19.9512</t>
  </si>
  <si>
    <t>d:2023-05-29</t>
  </si>
  <si>
    <t>n:22.1256</t>
  </si>
  <si>
    <t>s:CBRT ForexBuying, bulletin 2023/102</t>
  </si>
  <si>
    <t>n:21.4932</t>
  </si>
  <si>
    <t>n:24.7093</t>
  </si>
  <si>
    <t>n:20.0453</t>
  </si>
  <si>
    <t>d:2023-05-30</t>
  </si>
  <si>
    <t>n:22.4155</t>
  </si>
  <si>
    <t>s:CBRT ForexBuying, bulletin 2023/103</t>
  </si>
  <si>
    <t>n:21.7607</t>
  </si>
  <si>
    <t>n:25.128</t>
  </si>
  <si>
    <t>n:20.3104</t>
  </si>
  <si>
    <t>d:2023-05-31</t>
  </si>
  <si>
    <t>n:22.6413</t>
  </si>
  <si>
    <t>s:CBRT ForexBuying, bulletin 2023/104</t>
  </si>
  <si>
    <t>n:22.0582</t>
  </si>
  <si>
    <t>n:25.503</t>
  </si>
  <si>
    <t>n:20.6632</t>
  </si>
  <si>
    <t>d:2023-06-01</t>
  </si>
  <si>
    <t>n:22.7654</t>
  </si>
  <si>
    <t>s:CBRT ForexBuying, bulletin 2023/105</t>
  </si>
  <si>
    <t>n:22.1932</t>
  </si>
  <si>
    <t>n:25.7817</t>
  </si>
  <si>
    <t>d:2023-06-02</t>
  </si>
  <si>
    <t>n:22.9728</t>
  </si>
  <si>
    <t>s:CBRT ForexBuying, bulletin 2023/106</t>
  </si>
  <si>
    <t>n:22.4433</t>
  </si>
  <si>
    <t>n:26.0766</t>
  </si>
  <si>
    <t>n:20.8447</t>
  </si>
  <si>
    <t>d:2023-06-05</t>
  </si>
  <si>
    <t>n:23.1664</t>
  </si>
  <si>
    <t>s:CBRT ForexBuying, bulletin 2023/107</t>
  </si>
  <si>
    <t>n:22.6105</t>
  </si>
  <si>
    <t>n:26.1712</t>
  </si>
  <si>
    <t>n:21.1465</t>
  </si>
  <si>
    <t>d:2023-06-06</t>
  </si>
  <si>
    <t>n:23.6134</t>
  </si>
  <si>
    <t>s:CBRT ForexBuying, bulletin 2023/108</t>
  </si>
  <si>
    <t>n:22.9581</t>
  </si>
  <si>
    <t>n:26.6017</t>
  </si>
  <si>
    <t>n:21.4565</t>
  </si>
  <si>
    <t>d:2023-06-07</t>
  </si>
  <si>
    <t>n:25.334</t>
  </si>
  <si>
    <t>s:CBRT ForexBuying, bulletin 2023/109</t>
  </si>
  <si>
    <t>n:24.6248</t>
  </si>
  <si>
    <t>n:28.5854</t>
  </si>
  <si>
    <t>n:23.021</t>
  </si>
  <si>
    <t>d:2023-06-08</t>
  </si>
  <si>
    <t>n:25.5854</t>
  </si>
  <si>
    <t>s:CBRT ForexBuying, bulletin 2023/110</t>
  </si>
  <si>
    <t>n:25.0103</t>
  </si>
  <si>
    <t>n:29.0148</t>
  </si>
  <si>
    <t>n:23.3212</t>
  </si>
  <si>
    <t>d:2023-06-09</t>
  </si>
  <si>
    <t>n:25.9545</t>
  </si>
  <si>
    <t>s:CBRT ForexBuying, bulletin 2023/111</t>
  </si>
  <si>
    <t>n:25.2323</t>
  </si>
  <si>
    <t>n:29.3571</t>
  </si>
  <si>
    <t>n:23.4314</t>
  </si>
  <si>
    <t>d:2023-06-12</t>
  </si>
  <si>
    <t>n:26.0689</t>
  </si>
  <si>
    <t>s:CBRT ForexBuying, bulletin 2023/112</t>
  </si>
  <si>
    <t>n:25.4282</t>
  </si>
  <si>
    <t>n:29.6555</t>
  </si>
  <si>
    <t>n:23.6117</t>
  </si>
  <si>
    <t>d:2023-06-13</t>
  </si>
  <si>
    <t>n:26.0464</t>
  </si>
  <si>
    <t>s:CBRT ForexBuying, bulletin 2023/113</t>
  </si>
  <si>
    <t>n:25.5302</t>
  </si>
  <si>
    <t>n:29.6565</t>
  </si>
  <si>
    <t>n:23.6387</t>
  </si>
  <si>
    <t>d:2023-06-14</t>
  </si>
  <si>
    <t>n:26.0554</t>
  </si>
  <si>
    <t>s:CBRT ForexBuying, bulletin 2023/114</t>
  </si>
  <si>
    <t>n:25.4842</t>
  </si>
  <si>
    <t>n:29.7594</t>
  </si>
  <si>
    <t>n:23.5989</t>
  </si>
  <si>
    <t>d:2023-06-15</t>
  </si>
  <si>
    <t>n:26.1303</t>
  </si>
  <si>
    <t>s:CBRT ForexBuying, bulletin 2023/115</t>
  </si>
  <si>
    <t>n:25.6004</t>
  </si>
  <si>
    <t>n:29.8669</t>
  </si>
  <si>
    <t>n:23.6389</t>
  </si>
  <si>
    <t>d:2023-06-16</t>
  </si>
  <si>
    <t>n:26.4574</t>
  </si>
  <si>
    <t>s:CBRT ForexBuying, bulletin 2023/116</t>
  </si>
  <si>
    <t>n:25.8807</t>
  </si>
  <si>
    <t>n:30.2006</t>
  </si>
  <si>
    <t>n:23.6388</t>
  </si>
  <si>
    <t>d:2023-06-19</t>
  </si>
  <si>
    <t>n:26.3555</t>
  </si>
  <si>
    <t>s:CBRT ForexBuying, bulletin 2023/117</t>
  </si>
  <si>
    <t>n:25.8186</t>
  </si>
  <si>
    <t>n:30.2333</t>
  </si>
  <si>
    <t>n:23.6371</t>
  </si>
  <si>
    <t>d:2023-06-20</t>
  </si>
  <si>
    <t>n:26.2247</t>
  </si>
  <si>
    <t>s:CBRT ForexBuying, bulletin 2023/118</t>
  </si>
  <si>
    <t>n:25.772</t>
  </si>
  <si>
    <t>n:30.0689</t>
  </si>
  <si>
    <t>n:23.577</t>
  </si>
  <si>
    <t>d:2023-06-21</t>
  </si>
  <si>
    <t>n:26.1655</t>
  </si>
  <si>
    <t>s:CBRT ForexBuying, bulletin 2023/119</t>
  </si>
  <si>
    <t>n:25.7113</t>
  </si>
  <si>
    <t>n:29.9241</t>
  </si>
  <si>
    <t>n:23.5493</t>
  </si>
  <si>
    <t>d:2023-06-22</t>
  </si>
  <si>
    <t>n:26.3799</t>
  </si>
  <si>
    <t>s:CBRT ForexBuying, bulletin 2023/120</t>
  </si>
  <si>
    <t>n:25.9732</t>
  </si>
  <si>
    <t>n:30.1221</t>
  </si>
  <si>
    <t>n:23.6239</t>
  </si>
  <si>
    <t>d:2023-06-23</t>
  </si>
  <si>
    <t>n:28.0118</t>
  </si>
  <si>
    <t>s:CBRT ForexBuying, bulletin 2023/121</t>
  </si>
  <si>
    <t>n:27.4579</t>
  </si>
  <si>
    <t>n:32.051</t>
  </si>
  <si>
    <t>n:25.2505</t>
  </si>
  <si>
    <t>d:2023-06-26</t>
  </si>
  <si>
    <t>n:28.8079</t>
  </si>
  <si>
    <t>s:CBRT ForexBuying, bulletin 2023/122</t>
  </si>
  <si>
    <t>n:28.154</t>
  </si>
  <si>
    <t>n:32.8076</t>
  </si>
  <si>
    <t>n:25.8231</t>
  </si>
  <si>
    <t>d:2023-07-03</t>
  </si>
  <si>
    <t>n:28.8894</t>
  </si>
  <si>
    <t>s:CBRT ForexBuying, bulletin 2023/123</t>
  </si>
  <si>
    <t>n:28.3448</t>
  </si>
  <si>
    <t>n:32.9357</t>
  </si>
  <si>
    <t>n:26.0312</t>
  </si>
  <si>
    <t>d:2023-07-04</t>
  </si>
  <si>
    <t>n:28.9638</t>
  </si>
  <si>
    <t>s:CBRT ForexBuying, bulletin 2023/124</t>
  </si>
  <si>
    <t>n:28.3464</t>
  </si>
  <si>
    <t>n:32.9764</t>
  </si>
  <si>
    <t>n:26.0035</t>
  </si>
  <si>
    <t>d:2023-07-05</t>
  </si>
  <si>
    <t>n:28.9299</t>
  </si>
  <si>
    <t>s:CBRT ForexBuying, bulletin 2023/125</t>
  </si>
  <si>
    <t>n:28.3518</t>
  </si>
  <si>
    <t>n:33.0413</t>
  </si>
  <si>
    <t>n:26.0474</t>
  </si>
  <si>
    <t>d:2023-07-06</t>
  </si>
  <si>
    <t>n:28.9693</t>
  </si>
  <si>
    <t>s:CBRT ForexBuying, bulletin 2023/126</t>
  </si>
  <si>
    <t>n:28.3161</t>
  </si>
  <si>
    <t>n:33.1188</t>
  </si>
  <si>
    <t>n:26.0452</t>
  </si>
  <si>
    <t>d:2023-07-07</t>
  </si>
  <si>
    <t>n:29.0042</t>
  </si>
  <si>
    <t>s:CBRT ForexBuying, bulletin 2023/127</t>
  </si>
  <si>
    <t>n:28.337</t>
  </si>
  <si>
    <t>n:33.1316</t>
  </si>
  <si>
    <t>n:26.0381</t>
  </si>
  <si>
    <t>d:2023-07-10</t>
  </si>
  <si>
    <t>n:29.2075</t>
  </si>
  <si>
    <t>s:CBRT ForexBuying, bulletin 2023/128</t>
  </si>
  <si>
    <t>n:28.5515</t>
  </si>
  <si>
    <t>n:33.3017</t>
  </si>
  <si>
    <t>n:26.0564</t>
  </si>
  <si>
    <t>d:2023-07-11</t>
  </si>
  <si>
    <t>n:29.4819</t>
  </si>
  <si>
    <t>s:CBRT ForexBuying, bulletin 2023/129</t>
  </si>
  <si>
    <t>n:28.6913</t>
  </si>
  <si>
    <t>n:33.5728</t>
  </si>
  <si>
    <t>n:26.0721</t>
  </si>
  <si>
    <t>d:2023-07-12</t>
  </si>
  <si>
    <t>n:29.6582</t>
  </si>
  <si>
    <t>s:CBRT ForexBuying, bulletin 2023/130</t>
  </si>
  <si>
    <t>n:28.7787</t>
  </si>
  <si>
    <t>n:33.7004</t>
  </si>
  <si>
    <t>n:26.1099</t>
  </si>
  <si>
    <t>d:2023-07-13</t>
  </si>
  <si>
    <t>n:30.1921</t>
  </si>
  <si>
    <t>s:CBRT ForexBuying, bulletin 2023/131</t>
  </si>
  <si>
    <t>n:29.1598</t>
  </si>
  <si>
    <t>n:34.0192</t>
  </si>
  <si>
    <t>n:26.1195</t>
  </si>
  <si>
    <t>d:2023-07-14</t>
  </si>
  <si>
    <t>n:30.3748</t>
  </si>
  <si>
    <t>s:CBRT ForexBuying, bulletin 2023/132</t>
  </si>
  <si>
    <t>n:29.339</t>
  </si>
  <si>
    <t>n:34.222</t>
  </si>
  <si>
    <t>n:26.1446</t>
  </si>
  <si>
    <t>d:2023-07-17</t>
  </si>
  <si>
    <t>n:30.4681</t>
  </si>
  <si>
    <t>s:CBRT ForexBuying, bulletin 2023/133</t>
  </si>
  <si>
    <t>n:29.4868</t>
  </si>
  <si>
    <t>n:34.2864</t>
  </si>
  <si>
    <t>n:26.2388</t>
  </si>
  <si>
    <t>d:2023-07-18</t>
  </si>
  <si>
    <t>n:31.1857</t>
  </si>
  <si>
    <t>s:CBRT ForexBuying, bulletin 2023/134</t>
  </si>
  <si>
    <t>n:30.1791</t>
  </si>
  <si>
    <t>n:35.0735</t>
  </si>
  <si>
    <t>n:26.8232</t>
  </si>
  <si>
    <t>d:2023-07-19</t>
  </si>
  <si>
    <t>n:31.2576</t>
  </si>
  <si>
    <t>s:CBRT ForexBuying, bulletin 2023/135</t>
  </si>
  <si>
    <t>n:30.183</t>
  </si>
  <si>
    <t>n:34.73</t>
  </si>
  <si>
    <t>n:26.8963</t>
  </si>
  <si>
    <t>d:2023-07-20</t>
  </si>
  <si>
    <t>n:31.2543</t>
  </si>
  <si>
    <t>s:CBRT ForexBuying, bulletin 2023/136</t>
  </si>
  <si>
    <t>n:30.1356</t>
  </si>
  <si>
    <t>n:34.647</t>
  </si>
  <si>
    <t>n:26.8878</t>
  </si>
  <si>
    <t>d:2023-07-21</t>
  </si>
  <si>
    <t>n:30.9727</t>
  </si>
  <si>
    <t>s:CBRT ForexBuying, bulletin 2023/137</t>
  </si>
  <si>
    <t>n:29.929</t>
  </si>
  <si>
    <t>n:34.5267</t>
  </si>
  <si>
    <t>n:26.8944</t>
  </si>
  <si>
    <t>d:2023-07-24</t>
  </si>
  <si>
    <t>n:31.0123</t>
  </si>
  <si>
    <t>s:CBRT ForexBuying, bulletin 2023/138</t>
  </si>
  <si>
    <t>n:29.8646</t>
  </si>
  <si>
    <t>n:34.515</t>
  </si>
  <si>
    <t>n:26.9212</t>
  </si>
  <si>
    <t>d:2023-07-25</t>
  </si>
  <si>
    <t>n:30.931</t>
  </si>
  <si>
    <t>s:CBRT ForexBuying, bulletin 2023/139</t>
  </si>
  <si>
    <t>n:29.7778</t>
  </si>
  <si>
    <t>n:34.526</t>
  </si>
  <si>
    <t>n:26.9263</t>
  </si>
  <si>
    <t>d:2023-07-26</t>
  </si>
  <si>
    <t>n:31.1605</t>
  </si>
  <si>
    <t>s:CBRT ForexBuying, bulletin 2023/140</t>
  </si>
  <si>
    <t>n:29.8139</t>
  </si>
  <si>
    <t>n:34.7004</t>
  </si>
  <si>
    <t>n:26.9283</t>
  </si>
  <si>
    <t>d:2023-07-27</t>
  </si>
  <si>
    <t>n:31.3492</t>
  </si>
  <si>
    <t>s:CBRT ForexBuying, bulletin 2023/141</t>
  </si>
  <si>
    <t>n:29.9756</t>
  </si>
  <si>
    <t>n:34.8755</t>
  </si>
  <si>
    <t>n:26.9308</t>
  </si>
  <si>
    <t>d:2023-07-28</t>
  </si>
  <si>
    <t>n:30.8767</t>
  </si>
  <si>
    <t>s:CBRT ForexBuying, bulletin 2023/142</t>
  </si>
  <si>
    <t>n:29.57</t>
  </si>
  <si>
    <t>n:34.474</t>
  </si>
  <si>
    <t>n:26.9394</t>
  </si>
  <si>
    <t>d:2023-07-31</t>
  </si>
  <si>
    <t>n:30.8668</t>
  </si>
  <si>
    <t>s:CBRT ForexBuying, bulletin 2023/143</t>
  </si>
  <si>
    <t>n:29.6989</t>
  </si>
  <si>
    <t>n:34.5722</t>
  </si>
  <si>
    <t>n:26.9323</t>
  </si>
  <si>
    <t>d:2023-08-01</t>
  </si>
  <si>
    <t>n:30.7281</t>
  </si>
  <si>
    <t>s:CBRT ForexBuying, bulletin 2023/144</t>
  </si>
  <si>
    <t>n:29.5733</t>
  </si>
  <si>
    <t>n:34.4509</t>
  </si>
  <si>
    <t>n:26.9329</t>
  </si>
  <si>
    <t>d:2023-08-02</t>
  </si>
  <si>
    <t>n:30.6465</t>
  </si>
  <si>
    <t>s:CBRT ForexBuying, bulletin 2023/145</t>
  </si>
  <si>
    <t>n:29.5887</t>
  </si>
  <si>
    <t>n:34.3674</t>
  </si>
  <si>
    <t>n:26.9382</t>
  </si>
  <si>
    <t>d:2023-08-03</t>
  </si>
  <si>
    <t>n:30.6489</t>
  </si>
  <si>
    <t>s:CBRT ForexBuying, bulletin 2023/146</t>
  </si>
  <si>
    <t>n:29.4507</t>
  </si>
  <si>
    <t>n:34.0947</t>
  </si>
  <si>
    <t>n:26.9498</t>
  </si>
  <si>
    <t>d:2023-08-04</t>
  </si>
  <si>
    <t>n:30.6627</t>
  </si>
  <si>
    <t>s:CBRT ForexBuying, bulletin 2023/147</t>
  </si>
  <si>
    <t>n:29.4979</t>
  </si>
  <si>
    <t>n:34.1825</t>
  </si>
  <si>
    <t>n:26.9545</t>
  </si>
  <si>
    <t>d:2023-08-07</t>
  </si>
  <si>
    <t>n:30.7124</t>
  </si>
  <si>
    <t>s:CBRT ForexBuying, bulletin 2023/148</t>
  </si>
  <si>
    <t>n:29.6034</t>
  </si>
  <si>
    <t>n:34.2726</t>
  </si>
  <si>
    <t>n:26.9651</t>
  </si>
  <si>
    <t>d:2023-08-08</t>
  </si>
  <si>
    <t>n:30.7588</t>
  </si>
  <si>
    <t>s:CBRT ForexBuying, bulletin 2023/149</t>
  </si>
  <si>
    <t>n:29.6024</t>
  </si>
  <si>
    <t>n:34.3064</t>
  </si>
  <si>
    <t>n:26.982</t>
  </si>
  <si>
    <t>d:2023-08-09</t>
  </si>
  <si>
    <t>n:30.7586</t>
  </si>
  <si>
    <t>s:CBRT ForexBuying, bulletin 2023/150</t>
  </si>
  <si>
    <t>n:29.6279</t>
  </si>
  <si>
    <t>n:34.3536</t>
  </si>
  <si>
    <t>n:26.9892</t>
  </si>
  <si>
    <t>d:2023-08-10</t>
  </si>
  <si>
    <t>n:30.8223</t>
  </si>
  <si>
    <t>s:CBRT ForexBuying, bulletin 2023/151</t>
  </si>
  <si>
    <t>n:29.7365</t>
  </si>
  <si>
    <t>n:34.3762</t>
  </si>
  <si>
    <t>n:26.9978</t>
  </si>
  <si>
    <t>d:2023-08-11</t>
  </si>
  <si>
    <t>n:30.7451</t>
  </si>
  <si>
    <t>s:CBRT ForexBuying, bulletin 2023/152</t>
  </si>
  <si>
    <t>n:29.6845</t>
  </si>
  <si>
    <t>n:34.2672</t>
  </si>
  <si>
    <t>n:27.0059</t>
  </si>
  <si>
    <t>d:2023-08-14</t>
  </si>
  <si>
    <t>n:30.7384</t>
  </si>
  <si>
    <t>s:CBRT ForexBuying, bulletin 2023/153</t>
  </si>
  <si>
    <t>n:29.5687</t>
  </si>
  <si>
    <t>n:34.2352</t>
  </si>
  <si>
    <t>n:27.017</t>
  </si>
  <si>
    <t>d:2023-08-15</t>
  </si>
  <si>
    <t>n:30.7614</t>
  </si>
  <si>
    <t>s:CBRT ForexBuying, bulletin 2023/154</t>
  </si>
  <si>
    <t>n:29.5353</t>
  </si>
  <si>
    <t>n:34.2868</t>
  </si>
  <si>
    <t>n:27.022</t>
  </si>
  <si>
    <t>d:2023-08-16</t>
  </si>
  <si>
    <t>n:30.6868</t>
  </si>
  <si>
    <t>s:CBRT ForexBuying, bulletin 2023/155</t>
  </si>
  <si>
    <t>n:29.516</t>
  </si>
  <si>
    <t>n:34.3837</t>
  </si>
  <si>
    <t>n:27.0254</t>
  </si>
  <si>
    <t>d:2023-08-17</t>
  </si>
  <si>
    <t>n:30.7227</t>
  </si>
  <si>
    <t>s:CBRT ForexBuying, bulletin 2023/156</t>
  </si>
  <si>
    <t>n:29.455</t>
  </si>
  <si>
    <t>n:34.4173</t>
  </si>
  <si>
    <t>n:27.0681</t>
  </si>
  <si>
    <t>d:2023-08-18</t>
  </si>
  <si>
    <t>n:30.6715</t>
  </si>
  <si>
    <t>s:CBRT ForexBuying, bulletin 2023/157</t>
  </si>
  <si>
    <t>n:29.4092</t>
  </si>
  <si>
    <t>n:34.3504</t>
  </si>
  <si>
    <t>n:27.0606</t>
  </si>
  <si>
    <t>d:2023-08-21</t>
  </si>
  <si>
    <t>n:30.7595</t>
  </si>
  <si>
    <t>s:CBRT ForexBuying, bulletin 2023/158</t>
  </si>
  <si>
    <t>n:29.5518</t>
  </si>
  <si>
    <t>n:34.4926</t>
  </si>
  <si>
    <t>n:27.1275</t>
  </si>
  <si>
    <t>d:2023-08-22</t>
  </si>
  <si>
    <t>n:30.8878</t>
  </si>
  <si>
    <t>s:CBRT ForexBuying, bulletin 2023/159</t>
  </si>
  <si>
    <t>n:29.6274</t>
  </si>
  <si>
    <t>n:34.6622</t>
  </si>
  <si>
    <t>n:27.1676</t>
  </si>
  <si>
    <t>d:2023-08-23</t>
  </si>
  <si>
    <t>n:30.7853</t>
  </si>
  <si>
    <t>s:CBRT ForexBuying, bulletin 2023/160</t>
  </si>
  <si>
    <t>n:29.4062</t>
  </si>
  <si>
    <t>n:34.3856</t>
  </si>
  <si>
    <t>n:27.1737</t>
  </si>
  <si>
    <t>d:2023-08-24</t>
  </si>
  <si>
    <t>n:30.7229</t>
  </si>
  <si>
    <t>s:CBRT ForexBuying, bulletin 2023/161</t>
  </si>
  <si>
    <t>n:29.4057</t>
  </si>
  <si>
    <t>n:34.3146</t>
  </si>
  <si>
    <t>n:27.0937</t>
  </si>
  <si>
    <t>d:2023-08-25</t>
  </si>
  <si>
    <t>n:29.7426</t>
  </si>
  <si>
    <t>s:CBRT ForexBuying, bulletin 2023/162</t>
  </si>
  <si>
    <t>n:28.4899</t>
  </si>
  <si>
    <t>n:33.1915</t>
  </si>
  <si>
    <t>n:26.406</t>
  </si>
  <si>
    <t>d:2023-08-28</t>
  </si>
  <si>
    <t>n:29.9455</t>
  </si>
  <si>
    <t>s:CBRT ForexBuying, bulletin 2023/163</t>
  </si>
  <si>
    <t>n:28.6712</t>
  </si>
  <si>
    <t>n:33.3254</t>
  </si>
  <si>
    <t>n:26.5271</t>
  </si>
  <si>
    <t>d:2023-08-29</t>
  </si>
  <si>
    <t>s:CBRT ForexBuying, bulletin 2023/164</t>
  </si>
  <si>
    <t>n:28.7308</t>
  </si>
  <si>
    <t>n:33.4427</t>
  </si>
  <si>
    <t>n:26.5763</t>
  </si>
  <si>
    <t>d:2023-08-31</t>
  </si>
  <si>
    <t>n:30.2014</t>
  </si>
  <si>
    <t>s:CBRT ForexBuying, bulletin 2023/165</t>
  </si>
  <si>
    <t>n:29.0184</t>
  </si>
  <si>
    <t>n:33.7886</t>
  </si>
  <si>
    <t>n:26.6658</t>
  </si>
  <si>
    <t>d:2023-09-01</t>
  </si>
  <si>
    <t>n:30.1571</t>
  </si>
  <si>
    <t>s:CBRT ForexBuying, bulletin 2023/166</t>
  </si>
  <si>
    <t>n:28.9377</t>
  </si>
  <si>
    <t>n:33.7523</t>
  </si>
  <si>
    <t>n:26.6783</t>
  </si>
  <si>
    <t>d:2023-09-04</t>
  </si>
  <si>
    <t>n:30.169</t>
  </si>
  <si>
    <t>s:CBRT ForexBuying, bulletin 2023/167</t>
  </si>
  <si>
    <t>n:28.866</t>
  </si>
  <si>
    <t>n:33.7021</t>
  </si>
  <si>
    <t>n:26.735</t>
  </si>
  <si>
    <t>d:2023-09-05</t>
  </si>
  <si>
    <t>n:30.066</t>
  </si>
  <si>
    <t>s:CBRT ForexBuying, bulletin 2023/168</t>
  </si>
  <si>
    <t>n:28.7642</t>
  </si>
  <si>
    <t>n:33.5451</t>
  </si>
  <si>
    <t>n:26.7605</t>
  </si>
  <si>
    <t>d:2023-09-06</t>
  </si>
  <si>
    <t>n:30.0137</t>
  </si>
  <si>
    <t>s:CBRT ForexBuying, bulletin 2023/169</t>
  </si>
  <si>
    <t>n:28.7368</t>
  </si>
  <si>
    <t>n:33.5625</t>
  </si>
  <si>
    <t>n:26.7701</t>
  </si>
  <si>
    <t>d:2023-09-07</t>
  </si>
  <si>
    <t>n:29.9777</t>
  </si>
  <si>
    <t>s:CBRT ForexBuying, bulletin 2023/170</t>
  </si>
  <si>
    <t>n:28.7117</t>
  </si>
  <si>
    <t>n:33.3676</t>
  </si>
  <si>
    <t>n:26.8048</t>
  </si>
  <si>
    <t>d:2023-09-08</t>
  </si>
  <si>
    <t>n:30.0123</t>
  </si>
  <si>
    <t>s:CBRT ForexBuying, bulletin 2023/171</t>
  </si>
  <si>
    <t>n:28.7034</t>
  </si>
  <si>
    <t>n:33.4137</t>
  </si>
  <si>
    <t>n:26.8087</t>
  </si>
  <si>
    <t>d:2023-09-11</t>
  </si>
  <si>
    <t>n:30.0464</t>
  </si>
  <si>
    <t>s:CBRT ForexBuying, bulletin 2023/172</t>
  </si>
  <si>
    <t>n:28.797</t>
  </si>
  <si>
    <t>n:33.5511</t>
  </si>
  <si>
    <t>n:26.8414</t>
  </si>
  <si>
    <t>d:2023-09-12</t>
  </si>
  <si>
    <t>n:30.0556</t>
  </si>
  <si>
    <t>s:CBRT ForexBuying, bulletin 2023/173</t>
  </si>
  <si>
    <t>n:28.7911</t>
  </si>
  <si>
    <t>n:33.4602</t>
  </si>
  <si>
    <t>n:26.8582</t>
  </si>
  <si>
    <t>d:2023-09-13</t>
  </si>
  <si>
    <t>n:30.0703</t>
  </si>
  <si>
    <t>s:CBRT ForexBuying, bulletin 2023/174</t>
  </si>
  <si>
    <t>n:28.8851</t>
  </si>
  <si>
    <t>n:33.4864</t>
  </si>
  <si>
    <t>n:26.9024</t>
  </si>
  <si>
    <t>d:2023-09-14</t>
  </si>
  <si>
    <t>n:30.0546</t>
  </si>
  <si>
    <t>s:CBRT ForexBuying, bulletin 2023/175</t>
  </si>
  <si>
    <t>n:28.8817</t>
  </si>
  <si>
    <t>n:33.5227</t>
  </si>
  <si>
    <t>n:26.9069</t>
  </si>
  <si>
    <t>d:2023-09-15</t>
  </si>
  <si>
    <t>n:29.9983</t>
  </si>
  <si>
    <t>s:CBRT ForexBuying, bulletin 2023/176</t>
  </si>
  <si>
    <t>n:28.7098</t>
  </si>
  <si>
    <t>n:33.4052</t>
  </si>
  <si>
    <t>n:26.93</t>
  </si>
  <si>
    <t>d:2023-09-18</t>
  </si>
  <si>
    <t>n:30.0329</t>
  </si>
  <si>
    <t>s:CBRT ForexBuying, bulletin 2023/177</t>
  </si>
  <si>
    <t>n:28.7754</t>
  </si>
  <si>
    <t>n:33.3715</t>
  </si>
  <si>
    <t>n:26.9814</t>
  </si>
  <si>
    <t>d:2023-09-19</t>
  </si>
  <si>
    <t>n:30.045</t>
  </si>
  <si>
    <t>s:CBRT ForexBuying, bulletin 2023/178</t>
  </si>
  <si>
    <t>n:28.864</t>
  </si>
  <si>
    <t>n:33.3877</t>
  </si>
  <si>
    <t>n:26.9938</t>
  </si>
  <si>
    <t>d:2023-09-20</t>
  </si>
  <si>
    <t>n:30.0118</t>
  </si>
  <si>
    <t>s:CBRT ForexBuying, bulletin 2023/179</t>
  </si>
  <si>
    <t>n:28.8676</t>
  </si>
  <si>
    <t>n:33.3183</t>
  </si>
  <si>
    <t>n:26.991</t>
  </si>
  <si>
    <t>d:2023-09-21</t>
  </si>
  <si>
    <t>n:29.7716</t>
  </si>
  <si>
    <t>s:CBRT ForexBuying, bulletin 2023/180</t>
  </si>
  <si>
    <t>n:28.7571</t>
  </si>
  <si>
    <t>n:33.156</t>
  </si>
  <si>
    <t>n:27.002</t>
  </si>
  <si>
    <t>d:2023-09-22</t>
  </si>
  <si>
    <t>n:29.8425</t>
  </si>
  <si>
    <t>s:CBRT ForexBuying, bulletin 2023/181</t>
  </si>
  <si>
    <t>n:28.8483</t>
  </si>
  <si>
    <t>n:33.1659</t>
  </si>
  <si>
    <t>n:27.1039</t>
  </si>
  <si>
    <t>d:2023-09-25</t>
  </si>
  <si>
    <t>n:29.8065</t>
  </si>
  <si>
    <t>s:CBRT ForexBuying, bulletin 2023/182</t>
  </si>
  <si>
    <t>n:28.9027</t>
  </si>
  <si>
    <t>n:33.1842</t>
  </si>
  <si>
    <t>n:27.1751</t>
  </si>
  <si>
    <t>d:2023-09-26</t>
  </si>
  <si>
    <t>n:29.7346</t>
  </si>
  <si>
    <t>s:CBRT ForexBuying, bulletin 2023/183</t>
  </si>
  <si>
    <t>n:28.8183</t>
  </si>
  <si>
    <t>n:33.085</t>
  </si>
  <si>
    <t>n:27.2108</t>
  </si>
  <si>
    <t>d:2023-09-27</t>
  </si>
  <si>
    <t>n:29.6581</t>
  </si>
  <si>
    <t>s:CBRT ForexBuying, bulletin 2023/184</t>
  </si>
  <si>
    <t>n:28.7853</t>
  </si>
  <si>
    <t>n:33.0617</t>
  </si>
  <si>
    <t>n:27.264</t>
  </si>
  <si>
    <t>d:2023-09-28</t>
  </si>
  <si>
    <t>n:29.7195</t>
  </si>
  <si>
    <t>s:CBRT ForexBuying, bulletin 2023/185</t>
  </si>
  <si>
    <t>n:28.8083</t>
  </si>
  <si>
    <t>n:33.2751</t>
  </si>
  <si>
    <t>n:27.3752</t>
  </si>
  <si>
    <t>d:2023-09-29</t>
  </si>
  <si>
    <t>n:29.9837</t>
  </si>
  <si>
    <t>s:CBRT ForexBuying, bulletin 2023/186</t>
  </si>
  <si>
    <t>n:29.0305</t>
  </si>
  <si>
    <t>n:33.4816</t>
  </si>
  <si>
    <t>n:27.3767</t>
  </si>
  <si>
    <t>d:2023-10-02</t>
  </si>
  <si>
    <t>n:29.9477</t>
  </si>
  <si>
    <t>s:CBRT ForexBuying, bulletin 2023/187</t>
  </si>
  <si>
    <t>n:28.928</t>
  </si>
  <si>
    <t>n:33.3153</t>
  </si>
  <si>
    <t>n:27.4044</t>
  </si>
  <si>
    <t>d:2023-10-03</t>
  </si>
  <si>
    <t>n:29.7314</t>
  </si>
  <si>
    <t>s:CBRT ForexBuying, bulletin 2023/188</t>
  </si>
  <si>
    <t>n:28.7674</t>
  </si>
  <si>
    <t>n:33.096</t>
  </si>
  <si>
    <t>n:27.4518</t>
  </si>
  <si>
    <t>d:2023-10-04</t>
  </si>
  <si>
    <t>n:29.8778</t>
  </si>
  <si>
    <t>s:CBRT ForexBuying, bulletin 2023/189</t>
  </si>
  <si>
    <t>n:28.8765</t>
  </si>
  <si>
    <t>n:33.2679</t>
  </si>
  <si>
    <t>n:27.5316</t>
  </si>
  <si>
    <t>d:2023-10-05</t>
  </si>
  <si>
    <t>n:29.964</t>
  </si>
  <si>
    <t>s:CBRT ForexBuying, bulletin 2023/190</t>
  </si>
  <si>
    <t>n:28.9346</t>
  </si>
  <si>
    <t>n:33.345</t>
  </si>
  <si>
    <t>n:27.5264</t>
  </si>
  <si>
    <t>d:2023-10-06</t>
  </si>
  <si>
    <t>n:30.1258</t>
  </si>
  <si>
    <t>s:CBRT ForexBuying, bulletin 2023/191</t>
  </si>
  <si>
    <t>n:29.0769</t>
  </si>
  <si>
    <t>n:33.5642</t>
  </si>
  <si>
    <t>n:27.558</t>
  </si>
  <si>
    <t>d:2023-10-09</t>
  </si>
  <si>
    <t>n:30.2965</t>
  </si>
  <si>
    <t>s:CBRT ForexBuying, bulletin 2023/192</t>
  </si>
  <si>
    <t>n:29.127</t>
  </si>
  <si>
    <t>n:33.617</t>
  </si>
  <si>
    <t>n:27.6559</t>
  </si>
  <si>
    <t>d:2023-10-10</t>
  </si>
  <si>
    <t>n:30.5008</t>
  </si>
  <si>
    <t>s:CBRT ForexBuying, bulletin 2023/193</t>
  </si>
  <si>
    <t>n:29.297</t>
  </si>
  <si>
    <t>n:33.8439</t>
  </si>
  <si>
    <t>n:27.6791</t>
  </si>
  <si>
    <t>d:2023-10-11</t>
  </si>
  <si>
    <t>n:30.58</t>
  </si>
  <si>
    <t>s:CBRT ForexBuying, bulletin 2023/194</t>
  </si>
  <si>
    <t>n:29.3644</t>
  </si>
  <si>
    <t>n:33.9586</t>
  </si>
  <si>
    <t>n:27.6894</t>
  </si>
  <si>
    <t>d:2023-10-12</t>
  </si>
  <si>
    <t>n:30.708</t>
  </si>
  <si>
    <t>s:CBRT ForexBuying, bulletin 2023/195</t>
  </si>
  <si>
    <t>n:29.4343</t>
  </si>
  <si>
    <t>n:34.0324</t>
  </si>
  <si>
    <t>n:27.7077</t>
  </si>
  <si>
    <t>d:2023-10-13</t>
  </si>
  <si>
    <t>n:30.5065</t>
  </si>
  <si>
    <t>s:CBRT ForexBuying, bulletin 2023/196</t>
  </si>
  <si>
    <t>n:29.2306</t>
  </si>
  <si>
    <t>n:33.7706</t>
  </si>
  <si>
    <t>n:27.7439</t>
  </si>
  <si>
    <t>d:2023-10-16</t>
  </si>
  <si>
    <t>n:30.7638</t>
  </si>
  <si>
    <t>s:CBRT ForexBuying, bulletin 2023/197</t>
  </si>
  <si>
    <t>n:29.3261</t>
  </si>
  <si>
    <t>n:33.8014</t>
  </si>
  <si>
    <t>n:27.8364</t>
  </si>
  <si>
    <t>d:2023-10-17</t>
  </si>
  <si>
    <t>n:30.8469</t>
  </si>
  <si>
    <t>s:CBRT ForexBuying, bulletin 2023/198</t>
  </si>
  <si>
    <t>n:33.857</t>
  </si>
  <si>
    <t>n:27.8719</t>
  </si>
  <si>
    <t>d:2023-10-18</t>
  </si>
  <si>
    <t>n:31.0394</t>
  </si>
  <si>
    <t>s:CBRT ForexBuying, bulletin 2023/199</t>
  </si>
  <si>
    <t>n:29.563</t>
  </si>
  <si>
    <t>n:34.0369</t>
  </si>
  <si>
    <t>n:27.9659</t>
  </si>
  <si>
    <t>d:2023-10-19</t>
  </si>
  <si>
    <t>n:31.0509</t>
  </si>
  <si>
    <t>s:CBRT ForexBuying, bulletin 2023/200</t>
  </si>
  <si>
    <t>n:29.4883</t>
  </si>
  <si>
    <t>n:33.8302</t>
  </si>
  <si>
    <t>n:27.9649</t>
  </si>
  <si>
    <t>d:2023-10-20</t>
  </si>
  <si>
    <t>n:31.2976</t>
  </si>
  <si>
    <t>s:CBRT ForexBuying, bulletin 2023/201</t>
  </si>
  <si>
    <t>n:29.6017</t>
  </si>
  <si>
    <t>n:33.8465</t>
  </si>
  <si>
    <t>n:27.9714</t>
  </si>
  <si>
    <t>d:2023-10-23</t>
  </si>
  <si>
    <t>n:31.3031</t>
  </si>
  <si>
    <t>s:CBRT ForexBuying, bulletin 2023/202</t>
  </si>
  <si>
    <t>n:29.683</t>
  </si>
  <si>
    <t>n:34.004</t>
  </si>
  <si>
    <t>n:28.0103</t>
  </si>
  <si>
    <t>d:2023-10-24</t>
  </si>
  <si>
    <t>n:31.3767</t>
  </si>
  <si>
    <t>s:CBRT ForexBuying, bulletin 2023/203</t>
  </si>
  <si>
    <t>n:29.8745</t>
  </si>
  <si>
    <t>n:34.2991</t>
  </si>
  <si>
    <t>n:28.0536</t>
  </si>
  <si>
    <t>d:2023-10-25</t>
  </si>
  <si>
    <t>n:31.2961</t>
  </si>
  <si>
    <t>s:CBRT ForexBuying, bulletin 2023/204</t>
  </si>
  <si>
    <t>n:29.7098</t>
  </si>
  <si>
    <t>n:34.0149</t>
  </si>
  <si>
    <t>n:28.0807</t>
  </si>
  <si>
    <t>d:2023-10-26</t>
  </si>
  <si>
    <t>n:31.2</t>
  </si>
  <si>
    <t>s:CBRT ForexBuying, bulletin 2023/205</t>
  </si>
  <si>
    <t>n:29.6253</t>
  </si>
  <si>
    <t>n:33.8981</t>
  </si>
  <si>
    <t>n:28.1026</t>
  </si>
  <si>
    <t>d:2023-10-27</t>
  </si>
  <si>
    <t>n:31.162</t>
  </si>
  <si>
    <t>s:CBRT ForexBuying, bulletin 2023/206</t>
  </si>
  <si>
    <t>n:29.6896</t>
  </si>
  <si>
    <t>n:34.0392</t>
  </si>
  <si>
    <t>n:28.1258</t>
  </si>
  <si>
    <t>d:2023-10-30</t>
  </si>
  <si>
    <t>n:31.1472</t>
  </si>
  <si>
    <t>s:CBRT ForexBuying, bulletin 2023/207</t>
  </si>
  <si>
    <t>n:29.8143</t>
  </si>
  <si>
    <t>n:34.1217</t>
  </si>
  <si>
    <t>n:28.2043</t>
  </si>
  <si>
    <t>d:2023-10-31</t>
  </si>
  <si>
    <t>n:31.2343</t>
  </si>
  <si>
    <t>s:CBRT ForexBuying, bulletin 2023/208</t>
  </si>
  <si>
    <t>n:30.0552</t>
  </si>
  <si>
    <t>n:34.3181</t>
  </si>
  <si>
    <t>n:28.2366</t>
  </si>
  <si>
    <t>d:2023-11-01</t>
  </si>
  <si>
    <t>n:31.0302</t>
  </si>
  <si>
    <t>s:CBRT ForexBuying, bulletin 2023/209</t>
  </si>
  <si>
    <t>n:29.8539</t>
  </si>
  <si>
    <t>n:34.277</t>
  </si>
  <si>
    <t>n:28.2806</t>
  </si>
  <si>
    <t>d:2023-11-02</t>
  </si>
  <si>
    <t>n:31.2362</t>
  </si>
  <si>
    <t>s:CBRT ForexBuying, bulletin 2023/210</t>
  </si>
  <si>
    <t>n:30.0503</t>
  </si>
  <si>
    <t>n:34.4222</t>
  </si>
  <si>
    <t>n:28.3063</t>
  </si>
  <si>
    <t>d:2023-11-03</t>
  </si>
  <si>
    <t>n:31.2392</t>
  </si>
  <si>
    <t>s:CBRT ForexBuying, bulletin 2023/211</t>
  </si>
  <si>
    <t>n:30.1554</t>
  </si>
  <si>
    <t>n:34.5554</t>
  </si>
  <si>
    <t>n:28.3479</t>
  </si>
  <si>
    <t>d:2023-11-06</t>
  </si>
  <si>
    <t>n:31.5817</t>
  </si>
  <si>
    <t>s:CBRT ForexBuying, bulletin 2023/212</t>
  </si>
  <si>
    <t>n:30.5031</t>
  </si>
  <si>
    <t>n:35.1481</t>
  </si>
  <si>
    <t>n:28.3884</t>
  </si>
  <si>
    <t>d:2023-11-07</t>
  </si>
  <si>
    <t>n:31.5118</t>
  </si>
  <si>
    <t>s:CBRT ForexBuying, bulletin 2023/213</t>
  </si>
  <si>
    <t>n:30.3973</t>
  </si>
  <si>
    <t>n:34.9398</t>
  </si>
  <si>
    <t>n:28.4353</t>
  </si>
  <si>
    <t>d:2023-11-08</t>
  </si>
  <si>
    <t>n:31.5169</t>
  </si>
  <si>
    <t>s:CBRT ForexBuying, bulletin 2023/214</t>
  </si>
  <si>
    <t>n:30.3965</t>
  </si>
  <si>
    <t>n:34.8623</t>
  </si>
  <si>
    <t>n:28.4767</t>
  </si>
  <si>
    <t>d:2023-11-09</t>
  </si>
  <si>
    <t>n:31.5632</t>
  </si>
  <si>
    <t>s:CBRT ForexBuying, bulletin 2023/215</t>
  </si>
  <si>
    <t>n:30.463</t>
  </si>
  <si>
    <t>n:34.9195</t>
  </si>
  <si>
    <t>n:28.4759</t>
  </si>
  <si>
    <t>d:2023-11-10</t>
  </si>
  <si>
    <t>n:31.4869</t>
  </si>
  <si>
    <t>s:CBRT ForexBuying, bulletin 2023/216</t>
  </si>
  <si>
    <t>n:30.4047</t>
  </si>
  <si>
    <t>n:34.7533</t>
  </si>
  <si>
    <t>n:28.4857</t>
  </si>
  <si>
    <t>d:2023-11-13</t>
  </si>
  <si>
    <t>n:31.5608</t>
  </si>
  <si>
    <t>s:CBRT ForexBuying, bulletin 2023/217</t>
  </si>
  <si>
    <t>n:30.5159</t>
  </si>
  <si>
    <t>n:34.8862</t>
  </si>
  <si>
    <t>n:28.542</t>
  </si>
  <si>
    <t>d:2023-11-14</t>
  </si>
  <si>
    <t>n:31.6218</t>
  </si>
  <si>
    <t>s:CBRT ForexBuying, bulletin 2023/218</t>
  </si>
  <si>
    <t>n:30.6117</t>
  </si>
  <si>
    <t>n:35.0614</t>
  </si>
  <si>
    <t>n:28.5826</t>
  </si>
  <si>
    <t>d:2023-11-15</t>
  </si>
  <si>
    <t>n:32.1399</t>
  </si>
  <si>
    <t>s:CBRT ForexBuying, bulletin 2023/219</t>
  </si>
  <si>
    <t>n:31.0926</t>
  </si>
  <si>
    <t>n:35.6245</t>
  </si>
  <si>
    <t>n:28.6163</t>
  </si>
  <si>
    <t>d:2023-11-16</t>
  </si>
  <si>
    <t>n:32.1711</t>
  </si>
  <si>
    <t>s:CBRT ForexBuying, bulletin 2023/220</t>
  </si>
  <si>
    <t>n:31.081</t>
  </si>
  <si>
    <t>n:35.4629</t>
  </si>
  <si>
    <t>n:28.6529</t>
  </si>
  <si>
    <t>d:2023-11-17</t>
  </si>
  <si>
    <t>n:32.2057</t>
  </si>
  <si>
    <t>s:CBRT ForexBuying, bulletin 2023/221</t>
  </si>
  <si>
    <t>n:31.1086</t>
  </si>
  <si>
    <t>n:35.5011</t>
  </si>
  <si>
    <t>n:28.6592</t>
  </si>
  <si>
    <t>d:2023-11-20</t>
  </si>
  <si>
    <t>n:32.4025</t>
  </si>
  <si>
    <t>s:CBRT ForexBuying, bulletin 2023/222</t>
  </si>
  <si>
    <t>n:31.355</t>
  </si>
  <si>
    <t>n:35.7658</t>
  </si>
  <si>
    <t>n:28.7051</t>
  </si>
  <si>
    <t>d:2023-11-21</t>
  </si>
  <si>
    <t>n:32.4461</t>
  </si>
  <si>
    <t>s:CBRT ForexBuying, bulletin 2023/223</t>
  </si>
  <si>
    <t>n:31.4725</t>
  </si>
  <si>
    <t>n:35.9607</t>
  </si>
  <si>
    <t>n:28.7474</t>
  </si>
  <si>
    <t>d:2023-11-22</t>
  </si>
  <si>
    <t>n:32.4485</t>
  </si>
  <si>
    <t>s:CBRT ForexBuying, bulletin 2023/224</t>
  </si>
  <si>
    <t>n:31.3523</t>
  </si>
  <si>
    <t>n:35.9633</t>
  </si>
  <si>
    <t>n:28.7618</t>
  </si>
  <si>
    <t>d:2023-11-23</t>
  </si>
  <si>
    <t>n:32.5232</t>
  </si>
  <si>
    <t>s:CBRT ForexBuying, bulletin 2023/225</t>
  </si>
  <si>
    <t>n:31.4156</t>
  </si>
  <si>
    <t>n:36.0135</t>
  </si>
  <si>
    <t>n:28.7786</t>
  </si>
  <si>
    <t>d:2023-11-24</t>
  </si>
  <si>
    <t>n:32.5227</t>
  </si>
  <si>
    <t>s:CBRT ForexBuying, bulletin 2023/226</t>
  </si>
  <si>
    <t>n:31.4311</t>
  </si>
  <si>
    <t>n:36.0988</t>
  </si>
  <si>
    <t>n:28.8088</t>
  </si>
  <si>
    <t>d:2023-11-27</t>
  </si>
  <si>
    <t>n:32.6921</t>
  </si>
  <si>
    <t>s:CBRT ForexBuying, bulletin 2023/227</t>
  </si>
  <si>
    <t>n:31.5995</t>
  </si>
  <si>
    <t>n:36.3516</t>
  </si>
  <si>
    <t>n:28.8584</t>
  </si>
  <si>
    <t>d:2023-11-28</t>
  </si>
  <si>
    <t>n:32.7084</t>
  </si>
  <si>
    <t>s:CBRT ForexBuying, bulletin 2023/228</t>
  </si>
  <si>
    <t>n:31.6139</t>
  </si>
  <si>
    <t>n:36.3952</t>
  </si>
  <si>
    <t>n:28.8768</t>
  </si>
  <si>
    <t>d:2023-11-29</t>
  </si>
  <si>
    <t>n:32.8361</t>
  </si>
  <si>
    <t>s:CBRT ForexBuying, bulletin 2023/229</t>
  </si>
  <si>
    <t>n:31.7037</t>
  </si>
  <si>
    <t>n:36.571</t>
  </si>
  <si>
    <t>n:28.8596</t>
  </si>
  <si>
    <t>d:2023-11-30</t>
  </si>
  <si>
    <t>n:32.8902</t>
  </si>
  <si>
    <t>s:CBRT ForexBuying, bulletin 2023/230</t>
  </si>
  <si>
    <t>n:31.5154</t>
  </si>
  <si>
    <t>n:36.4431</t>
  </si>
  <si>
    <t>n:28.8209</t>
  </si>
  <si>
    <t>d:2023-12-01</t>
  </si>
  <si>
    <t>n:32.9248</t>
  </si>
  <si>
    <t>s:CBRT ForexBuying, bulletin 2023/231</t>
  </si>
  <si>
    <t>n:31.4437</t>
  </si>
  <si>
    <t>n:36.4348</t>
  </si>
  <si>
    <t>n:28.8553</t>
  </si>
  <si>
    <t>d:2023-12-04</t>
  </si>
  <si>
    <t>n:32.9723</t>
  </si>
  <si>
    <t>s:CBRT ForexBuying, bulletin 2023/232</t>
  </si>
  <si>
    <t>n:31.3515</t>
  </si>
  <si>
    <t>n:36.5011</t>
  </si>
  <si>
    <t>n:28.8515</t>
  </si>
  <si>
    <t>d:2023-12-05</t>
  </si>
  <si>
    <t>n:32.9767</t>
  </si>
  <si>
    <t>s:CBRT ForexBuying, bulletin 2023/233</t>
  </si>
  <si>
    <t>n:31.2561</t>
  </si>
  <si>
    <t>n:36.3918</t>
  </si>
  <si>
    <t>n:28.8705</t>
  </si>
  <si>
    <t>d:2023-12-06</t>
  </si>
  <si>
    <t>n:32.9402</t>
  </si>
  <si>
    <t>s:CBRT ForexBuying, bulletin 2023/234</t>
  </si>
  <si>
    <t>n:31.1547</t>
  </si>
  <si>
    <t>n:36.3202</t>
  </si>
  <si>
    <t>n:28.8793</t>
  </si>
  <si>
    <t>d:2023-12-07</t>
  </si>
  <si>
    <t>n:32.9533</t>
  </si>
  <si>
    <t>s:CBRT ForexBuying, bulletin 2023/235</t>
  </si>
  <si>
    <t>n:31.1103</t>
  </si>
  <si>
    <t>n:36.2485</t>
  </si>
  <si>
    <t>n:28.874</t>
  </si>
  <si>
    <t>d:2023-12-08</t>
  </si>
  <si>
    <t>n:32.9421</t>
  </si>
  <si>
    <t>s:CBRT ForexBuying, bulletin 2023/236</t>
  </si>
  <si>
    <t>n:31.1567</t>
  </si>
  <si>
    <t>n:36.2673</t>
  </si>
  <si>
    <t>n:28.8974</t>
  </si>
  <si>
    <t>d:2023-12-11</t>
  </si>
  <si>
    <t>n:32.822</t>
  </si>
  <si>
    <t>s:CBRT ForexBuying, bulletin 2023/237</t>
  </si>
  <si>
    <t>n:31.1556</t>
  </si>
  <si>
    <t>n:36.2781</t>
  </si>
  <si>
    <t>n:28.9396</t>
  </si>
  <si>
    <t>d:2023-12-12</t>
  </si>
  <si>
    <t>n:32.9848</t>
  </si>
  <si>
    <t>s:CBRT ForexBuying, bulletin 2023/238</t>
  </si>
  <si>
    <t>n:31.2629</t>
  </si>
  <si>
    <t>n:36.3546</t>
  </si>
  <si>
    <t>n:28.9773</t>
  </si>
  <si>
    <t>d:2023-12-13</t>
  </si>
  <si>
    <t>n:33.0362</t>
  </si>
  <si>
    <t>s:CBRT ForexBuying, bulletin 2023/239</t>
  </si>
  <si>
    <t>n:31.2806</t>
  </si>
  <si>
    <t>n:36.2808</t>
  </si>
  <si>
    <t>n:29.0056</t>
  </si>
  <si>
    <t>d:2023-12-14</t>
  </si>
  <si>
    <t>n:33.2336</t>
  </si>
  <si>
    <t>s:CBRT ForexBuying, bulletin 2023/240</t>
  </si>
  <si>
    <t>n:31.6038</t>
  </si>
  <si>
    <t>n:36.5934</t>
  </si>
  <si>
    <t>n:28.9805</t>
  </si>
  <si>
    <t>d:2023-12-15</t>
  </si>
  <si>
    <t>n:33.3656</t>
  </si>
  <si>
    <t>s:CBRT ForexBuying, bulletin 2023/241</t>
  </si>
  <si>
    <t>n:31.8017</t>
  </si>
  <si>
    <t>n:36.9437</t>
  </si>
  <si>
    <t>n:28.9847</t>
  </si>
  <si>
    <t>d:2023-12-18</t>
  </si>
  <si>
    <t>n:33.3195</t>
  </si>
  <si>
    <t>s:CBRT ForexBuying, bulletin 2023/242</t>
  </si>
  <si>
    <t>n:31.6644</t>
  </si>
  <si>
    <t>n:36.7029</t>
  </si>
  <si>
    <t>n:29.0053</t>
  </si>
  <si>
    <t>d:2023-12-19</t>
  </si>
  <si>
    <t>n:33.4363</t>
  </si>
  <si>
    <t>s:CBRT ForexBuying, bulletin 2023/243</t>
  </si>
  <si>
    <t>n:31.7461</t>
  </si>
  <si>
    <t>n:36.7618</t>
  </si>
  <si>
    <t>n:29.0299</t>
  </si>
  <si>
    <t>d:2023-12-20</t>
  </si>
  <si>
    <t>n:33.6498</t>
  </si>
  <si>
    <t>s:CBRT ForexBuying, bulletin 2023/244</t>
  </si>
  <si>
    <t>n:31.8497</t>
  </si>
  <si>
    <t>n:36.7671</t>
  </si>
  <si>
    <t>n:29.0677</t>
  </si>
  <si>
    <t>d:2023-12-21</t>
  </si>
  <si>
    <t>n:33.6786</t>
  </si>
  <si>
    <t>s:CBRT ForexBuying, bulletin 2023/245</t>
  </si>
  <si>
    <t>n:31.8579</t>
  </si>
  <si>
    <t>n:36.704</t>
  </si>
  <si>
    <t>n:29.0897</t>
  </si>
  <si>
    <t>d:2023-12-22</t>
  </si>
  <si>
    <t>n:33.976</t>
  </si>
  <si>
    <t>s:CBRT ForexBuying, bulletin 2023/246</t>
  </si>
  <si>
    <t>n:32.0726</t>
  </si>
  <si>
    <t>n:36.9491</t>
  </si>
  <si>
    <t>n:29.1344</t>
  </si>
  <si>
    <t>d:2023-12-25</t>
  </si>
  <si>
    <t>n:34.0296</t>
  </si>
  <si>
    <t>s:CBRT ForexBuying, bulletin 2023/247</t>
  </si>
  <si>
    <t>n:32.1766</t>
  </si>
  <si>
    <t>n:37.0336</t>
  </si>
  <si>
    <t>n:29.2108</t>
  </si>
  <si>
    <t>d:2023-12-26</t>
  </si>
  <si>
    <t>n:34.0778</t>
  </si>
  <si>
    <t>s:CBRT ForexBuying, bulletin 2023/248</t>
  </si>
  <si>
    <t>n:32.2421</t>
  </si>
  <si>
    <t>n:37.0895</t>
  </si>
  <si>
    <t>n:29.2647</t>
  </si>
  <si>
    <t>d:2023-12-27</t>
  </si>
  <si>
    <t>n:34.3033</t>
  </si>
  <si>
    <t>s:CBRT ForexBuying, bulletin 2023/249</t>
  </si>
  <si>
    <t>n:32.4186</t>
  </si>
  <si>
    <t>n:37.2657</t>
  </si>
  <si>
    <t>n:29.3374</t>
  </si>
  <si>
    <t>d:2023-12-28</t>
  </si>
  <si>
    <t>n:35.0033</t>
  </si>
  <si>
    <t>s:CBRT ForexBuying, bulletin 2023/250</t>
  </si>
  <si>
    <t>n:32.6937</t>
  </si>
  <si>
    <t>n:37.5718</t>
  </si>
  <si>
    <t>n:29.3973</t>
  </si>
  <si>
    <t>d:2023-12-29</t>
  </si>
  <si>
    <t>n:34.9666</t>
  </si>
  <si>
    <t>s:CBRT ForexBuying, bulletin 2023/251</t>
  </si>
  <si>
    <t>n:32.5739</t>
  </si>
  <si>
    <t>n:37.4417</t>
  </si>
  <si>
    <t>n:29.4382</t>
  </si>
  <si>
    <t>d:2024-01-02</t>
  </si>
  <si>
    <t>n:34.9607</t>
  </si>
  <si>
    <t>s:CBRT ForexBuying, bulletin 2024/1</t>
  </si>
  <si>
    <t>n:32.6671</t>
  </si>
  <si>
    <t>n:37.6575</t>
  </si>
  <si>
    <t>n:29.6675</t>
  </si>
  <si>
    <t>d:2024-01-03</t>
  </si>
  <si>
    <t>n:34.8384</t>
  </si>
  <si>
    <t>s:CBRT ForexBuying, bulletin 2024/2</t>
  </si>
  <si>
    <t>n:32.5431</t>
  </si>
  <si>
    <t>n:37.5126</t>
  </si>
  <si>
    <t>n:29.7394</t>
  </si>
  <si>
    <t>d:2024-01-04</t>
  </si>
  <si>
    <t>n:34.9344</t>
  </si>
  <si>
    <t>s:CBRT ForexBuying, bulletin 2024/3</t>
  </si>
  <si>
    <t>n:32.569</t>
  </si>
  <si>
    <t>n:37.7082</t>
  </si>
  <si>
    <t>n:29.7452</t>
  </si>
  <si>
    <t>d:2024-01-05</t>
  </si>
  <si>
    <t>n:34.8455</t>
  </si>
  <si>
    <t>s:CBRT ForexBuying, bulletin 2024/4</t>
  </si>
  <si>
    <t>n:32.4987</t>
  </si>
  <si>
    <t>n:37.6378</t>
  </si>
  <si>
    <t>n:29.7714</t>
  </si>
  <si>
    <t>d:2024-01-08</t>
  </si>
  <si>
    <t>n:34.988</t>
  </si>
  <si>
    <t>s:CBRT ForexBuying, bulletin 2024/5</t>
  </si>
  <si>
    <t>n:32.6401</t>
  </si>
  <si>
    <t>n:37.8316</t>
  </si>
  <si>
    <t>n:29.8342</t>
  </si>
  <si>
    <t>d:2024-01-09</t>
  </si>
  <si>
    <t>n:35.0929</t>
  </si>
  <si>
    <t>s:CBRT ForexBuying, bulletin 2024/6</t>
  </si>
  <si>
    <t>n:32.7049</t>
  </si>
  <si>
    <t>n:37.9809</t>
  </si>
  <si>
    <t>n:29.8823</t>
  </si>
  <si>
    <t>d:2024-01-10</t>
  </si>
  <si>
    <t>n:35.0061</t>
  </si>
  <si>
    <t>s:CBRT ForexBuying, bulletin 2024/7</t>
  </si>
  <si>
    <t>n:32.724</t>
  </si>
  <si>
    <t>n:37.9642</t>
  </si>
  <si>
    <t>n:29.9136</t>
  </si>
  <si>
    <t>d:2024-01-11</t>
  </si>
  <si>
    <t>n:35.1427</t>
  </si>
  <si>
    <t>s:CBRT ForexBuying, bulletin 2024/8</t>
  </si>
  <si>
    <t>n:32.88</t>
  </si>
  <si>
    <t>n:38.1573</t>
  </si>
  <si>
    <t>n:29.9581</t>
  </si>
  <si>
    <t>d:2024-01-12</t>
  </si>
  <si>
    <t>n:35.1115</t>
  </si>
  <si>
    <t>s:CBRT ForexBuying, bulletin 2024/9</t>
  </si>
  <si>
    <t>n:32.9124</t>
  </si>
  <si>
    <t>n:38.2202</t>
  </si>
  <si>
    <t>n:30.0163</t>
  </si>
  <si>
    <t>d:2024-01-15</t>
  </si>
  <si>
    <t>n:35.1158</t>
  </si>
  <si>
    <t>s:CBRT ForexBuying, bulletin 2024/10</t>
  </si>
  <si>
    <t>n:32.9036</t>
  </si>
  <si>
    <t>n:38.2058</t>
  </si>
  <si>
    <t>n:30.0449</t>
  </si>
  <si>
    <t>d:2024-01-16</t>
  </si>
  <si>
    <t>n:34.8529</t>
  </si>
  <si>
    <t>s:CBRT ForexBuying, bulletin 2024/11</t>
  </si>
  <si>
    <t>n:32.751</t>
  </si>
  <si>
    <t>n:37.9628</t>
  </si>
  <si>
    <t>n:30.047</t>
  </si>
  <si>
    <t>d:2024-01-17</t>
  </si>
  <si>
    <t>n:34.7759</t>
  </si>
  <si>
    <t>s:CBRT ForexBuying, bulletin 2024/12</t>
  </si>
  <si>
    <t>n:32.6911</t>
  </si>
  <si>
    <t>n:38.0125</t>
  </si>
  <si>
    <t>n:30.0721</t>
  </si>
  <si>
    <t>d:2024-01-18</t>
  </si>
  <si>
    <t>n:34.7083</t>
  </si>
  <si>
    <t>s:CBRT ForexBuying, bulletin 2024/13</t>
  </si>
  <si>
    <t>n:32.7618</t>
  </si>
  <si>
    <t>n:38.1093</t>
  </si>
  <si>
    <t>n:30.0847</t>
  </si>
  <si>
    <t>d:2024-01-19</t>
  </si>
  <si>
    <t>n:34.5952</t>
  </si>
  <si>
    <t>s:CBRT ForexBuying, bulletin 2024/14</t>
  </si>
  <si>
    <t>n:32.7771</t>
  </si>
  <si>
    <t>n:38.1438</t>
  </si>
  <si>
    <t>n:30.1219</t>
  </si>
  <si>
    <t>d:2024-01-22</t>
  </si>
  <si>
    <t>n:34.6749</t>
  </si>
  <si>
    <t>s:CBRT ForexBuying, bulletin 2024/15</t>
  </si>
  <si>
    <t>n:32.881</t>
  </si>
  <si>
    <t>n:38.2837</t>
  </si>
  <si>
    <t>n:30.1806</t>
  </si>
  <si>
    <t>d:2024-01-23</t>
  </si>
  <si>
    <t>n:34.7442</t>
  </si>
  <si>
    <t>s:CBRT ForexBuying, bulletin 2024/16</t>
  </si>
  <si>
    <t>n:32.9087</t>
  </si>
  <si>
    <t>n:38.3964</t>
  </si>
  <si>
    <t>n:30.2185</t>
  </si>
  <si>
    <t>d:2024-01-24</t>
  </si>
  <si>
    <t>n:34.7913</t>
  </si>
  <si>
    <t>s:CBRT ForexBuying, bulletin 2024/17</t>
  </si>
  <si>
    <t>n:32.8837</t>
  </si>
  <si>
    <t>n:38.3961</t>
  </si>
  <si>
    <t>n:30.2145</t>
  </si>
  <si>
    <t>d:2024-01-25</t>
  </si>
  <si>
    <t>n:34.9041</t>
  </si>
  <si>
    <t>s:CBRT ForexBuying, bulletin 2024/18</t>
  </si>
  <si>
    <t>n:32.9166</t>
  </si>
  <si>
    <t>n:38.4025</t>
  </si>
  <si>
    <t>d:2024-01-26</t>
  </si>
  <si>
    <t>n:34.8537</t>
  </si>
  <si>
    <t>s:CBRT ForexBuying, bulletin 2024/19</t>
  </si>
  <si>
    <t>n:32.7904</t>
  </si>
  <si>
    <t>n:38.3687</t>
  </si>
  <si>
    <t>n:30.2343</t>
  </si>
  <si>
    <t>d:2024-01-29</t>
  </si>
  <si>
    <t>n:35.0368</t>
  </si>
  <si>
    <t>s:CBRT ForexBuying, bulletin 2024/20</t>
  </si>
  <si>
    <t>n:32.8013</t>
  </si>
  <si>
    <t>n:38.4092</t>
  </si>
  <si>
    <t>n:30.2849</t>
  </si>
  <si>
    <t>d:2024-01-30</t>
  </si>
  <si>
    <t>n:35.0605</t>
  </si>
  <si>
    <t>s:CBRT ForexBuying, bulletin 2024/21</t>
  </si>
  <si>
    <t>n:32.8144</t>
  </si>
  <si>
    <t>n:38.3807</t>
  </si>
  <si>
    <t>n:30.3053</t>
  </si>
  <si>
    <t>d:2024-01-31</t>
  </si>
  <si>
    <t>n:35.0115</t>
  </si>
  <si>
    <t>s:CBRT ForexBuying, bulletin 2024/22</t>
  </si>
  <si>
    <t>n:32.7884</t>
  </si>
  <si>
    <t>n:38.3398</t>
  </si>
  <si>
    <t>n:30.2952</t>
  </si>
  <si>
    <t>d:2024-02-01</t>
  </si>
  <si>
    <t>n:35.0251</t>
  </si>
  <si>
    <t>s:CBRT ForexBuying, bulletin 2024/23</t>
  </si>
  <si>
    <t>n:32.7217</t>
  </si>
  <si>
    <t>n:38.2728</t>
  </si>
  <si>
    <t>n:30.3063</t>
  </si>
  <si>
    <t>d:2024-02-02</t>
  </si>
  <si>
    <t>n:35.3738</t>
  </si>
  <si>
    <t>s:CBRT ForexBuying, bulletin 2024/24</t>
  </si>
  <si>
    <t>n:33.0537</t>
  </si>
  <si>
    <t>n:38.6719</t>
  </si>
  <si>
    <t>n:30.3735</t>
  </si>
  <si>
    <t>d:2024-02-05</t>
  </si>
  <si>
    <t>n:34.9897</t>
  </si>
  <si>
    <t>s:CBRT ForexBuying, bulletin 2024/25</t>
  </si>
  <si>
    <t>n:32.8052</t>
  </si>
  <si>
    <t>n:38.3441</t>
  </si>
  <si>
    <t>n:30.477</t>
  </si>
  <si>
    <t>d:2024-02-06</t>
  </si>
  <si>
    <t>n:34.9287</t>
  </si>
  <si>
    <t>s:CBRT ForexBuying, bulletin 2024/26</t>
  </si>
  <si>
    <t>n:32.7691</t>
  </si>
  <si>
    <t>n:38.2205</t>
  </si>
  <si>
    <t>n:30.5077</t>
  </si>
  <si>
    <t>d:2024-02-07</t>
  </si>
  <si>
    <t>n:34.9699</t>
  </si>
  <si>
    <t>s:CBRT ForexBuying, bulletin 2024/27</t>
  </si>
  <si>
    <t>n:32.8771</t>
  </si>
  <si>
    <t>n:38.4839</t>
  </si>
  <si>
    <t>n:30.5349</t>
  </si>
  <si>
    <t>d:2024-02-08</t>
  </si>
  <si>
    <t>n:34.8814</t>
  </si>
  <si>
    <t>s:CBRT ForexBuying, bulletin 2024/28</t>
  </si>
  <si>
    <t>n:32.9071</t>
  </si>
  <si>
    <t>n:38.4819</t>
  </si>
  <si>
    <t>n:30.5357</t>
  </si>
  <si>
    <t>d:2024-02-09</t>
  </si>
  <si>
    <t>n:34.8825</t>
  </si>
  <si>
    <t>s:CBRT ForexBuying, bulletin 2024/29</t>
  </si>
  <si>
    <t>n:32.9634</t>
  </si>
  <si>
    <t>n:38.5389</t>
  </si>
  <si>
    <t>n:30.6005</t>
  </si>
  <si>
    <t>d:2024-02-12</t>
  </si>
  <si>
    <t>n:34.9395</t>
  </si>
  <si>
    <t>s:CBRT ForexBuying, bulletin 2024/30</t>
  </si>
  <si>
    <t>n:33.0244</t>
  </si>
  <si>
    <t>n:38.6119</t>
  </si>
  <si>
    <t>n:30.6318</t>
  </si>
  <si>
    <t>d:2024-02-13</t>
  </si>
  <si>
    <t>n:34.7919</t>
  </si>
  <si>
    <t>s:CBRT ForexBuying, bulletin 2024/31</t>
  </si>
  <si>
    <t>n:33.034</t>
  </si>
  <si>
    <t>n:38.7323</t>
  </si>
  <si>
    <t>n:30.669</t>
  </si>
  <si>
    <t>d:2024-02-14</t>
  </si>
  <si>
    <t>n:34.5079</t>
  </si>
  <si>
    <t>s:CBRT ForexBuying, bulletin 2024/32</t>
  </si>
  <si>
    <t>n:32.851</t>
  </si>
  <si>
    <t>n:38.4759</t>
  </si>
  <si>
    <t>n:30.6835</t>
  </si>
  <si>
    <t>d:2024-02-15</t>
  </si>
  <si>
    <t>n:34.6642</t>
  </si>
  <si>
    <t>s:CBRT ForexBuying, bulletin 2024/33</t>
  </si>
  <si>
    <t>n:32.9473</t>
  </si>
  <si>
    <t>n:38.4739</t>
  </si>
  <si>
    <t>n:30.6968</t>
  </si>
  <si>
    <t>d:2024-02-16</t>
  </si>
  <si>
    <t>n:34.7873</t>
  </si>
  <si>
    <t>s:CBRT ForexBuying, bulletin 2024/34</t>
  </si>
  <si>
    <t>n:33.0805</t>
  </si>
  <si>
    <t>n:38.6064</t>
  </si>
  <si>
    <t>n:30.7221</t>
  </si>
  <si>
    <t>d:2024-02-19</t>
  </si>
  <si>
    <t>n:34.8803</t>
  </si>
  <si>
    <t>s:CBRT ForexBuying, bulletin 2024/35</t>
  </si>
  <si>
    <t>n:33.2036</t>
  </si>
  <si>
    <t>n:38.7998</t>
  </si>
  <si>
    <t>n:30.804</t>
  </si>
  <si>
    <t>d:2024-02-20</t>
  </si>
  <si>
    <t>n:34.8746</t>
  </si>
  <si>
    <t>s:CBRT ForexBuying, bulletin 2024/36</t>
  </si>
  <si>
    <t>n:33.264</t>
  </si>
  <si>
    <t>n:38.7751</t>
  </si>
  <si>
    <t>n:30.8388</t>
  </si>
  <si>
    <t>d:2024-02-21</t>
  </si>
  <si>
    <t>n:35.0118</t>
  </si>
  <si>
    <t>s:CBRT ForexBuying, bulletin 2024/37</t>
  </si>
  <si>
    <t>n:33.3931</t>
  </si>
  <si>
    <t>n:38.9366</t>
  </si>
  <si>
    <t>n:30.9096</t>
  </si>
  <si>
    <t>d:2024-02-22</t>
  </si>
  <si>
    <t>n:35.2252</t>
  </si>
  <si>
    <t>s:CBRT ForexBuying, bulletin 2024/38</t>
  </si>
  <si>
    <t>n:33.6051</t>
  </si>
  <si>
    <t>n:39.1771</t>
  </si>
  <si>
    <t>n:30.9582</t>
  </si>
  <si>
    <t>d:2024-02-23</t>
  </si>
  <si>
    <t>n:35.1182</t>
  </si>
  <si>
    <t>s:CBRT ForexBuying, bulletin 2024/39</t>
  </si>
  <si>
    <t>n:33.562</t>
  </si>
  <si>
    <t>n:39.2119</t>
  </si>
  <si>
    <t>n:31.0047</t>
  </si>
  <si>
    <t>d:2024-02-26</t>
  </si>
  <si>
    <t>n:35.1878</t>
  </si>
  <si>
    <t>s:CBRT ForexBuying, bulletin 2024/40</t>
  </si>
  <si>
    <t>n:33.6453</t>
  </si>
  <si>
    <t>n:39.29</t>
  </si>
  <si>
    <t>n:31.0441</t>
  </si>
  <si>
    <t>d:2024-02-27</t>
  </si>
  <si>
    <t>n:35.2474</t>
  </si>
  <si>
    <t>s:CBRT ForexBuying, bulletin 2024/41</t>
  </si>
  <si>
    <t>n:33.7284</t>
  </si>
  <si>
    <t>n:39.3558</t>
  </si>
  <si>
    <t>n:31.0737</t>
  </si>
  <si>
    <t>d:2024-02-28</t>
  </si>
  <si>
    <t>n:35.2563</t>
  </si>
  <si>
    <t>s:CBRT ForexBuying, bulletin 2024/42</t>
  </si>
  <si>
    <t>n:33.6543</t>
  </si>
  <si>
    <t>n:39.2885</t>
  </si>
  <si>
    <t>n:31.1201</t>
  </si>
  <si>
    <t>d:2024-02-29</t>
  </si>
  <si>
    <t>n:35.3651</t>
  </si>
  <si>
    <t>s:CBRT ForexBuying, bulletin 2024/43</t>
  </si>
  <si>
    <t>n:33.7686</t>
  </si>
  <si>
    <t>n:39.3798</t>
  </si>
  <si>
    <t>n:31.1597</t>
  </si>
  <si>
    <t>d:2024-03-01</t>
  </si>
  <si>
    <t>n:35.1944</t>
  </si>
  <si>
    <t>s:CBRT ForexBuying, bulletin 2024/44</t>
  </si>
  <si>
    <t>n:33.7797</t>
  </si>
  <si>
    <t>n:39.3952</t>
  </si>
  <si>
    <t>d:2024-03-04</t>
  </si>
  <si>
    <t>n:35.5019</t>
  </si>
  <si>
    <t>s:CBRT ForexBuying, bulletin 2024/45</t>
  </si>
  <si>
    <t>n:34.0791</t>
  </si>
  <si>
    <t>n:39.7381</t>
  </si>
  <si>
    <t>n:31.4069</t>
  </si>
  <si>
    <t>d:2024-03-05</t>
  </si>
  <si>
    <t>n:35.527</t>
  </si>
  <si>
    <t>s:CBRT ForexBuying, bulletin 2024/46</t>
  </si>
  <si>
    <t>n:34.2228</t>
  </si>
  <si>
    <t>n:39.9311</t>
  </si>
  <si>
    <t>n:31.5457</t>
  </si>
  <si>
    <t>d:2024-03-06</t>
  </si>
  <si>
    <t>n:35.7108</t>
  </si>
  <si>
    <t>s:CBRT ForexBuying, bulletin 2024/47</t>
  </si>
  <si>
    <t>n:34.4186</t>
  </si>
  <si>
    <t>n:40.2029</t>
  </si>
  <si>
    <t>n:31.6612</t>
  </si>
  <si>
    <t>d:2024-03-07</t>
  </si>
  <si>
    <t>n:35.9949</t>
  </si>
  <si>
    <t>s:CBRT ForexBuying, bulletin 2024/48</t>
  </si>
  <si>
    <t>n:34.6296</t>
  </si>
  <si>
    <t>n:40.4357</t>
  </si>
  <si>
    <t>n:31.7768</t>
  </si>
  <si>
    <t>d:2024-03-08</t>
  </si>
  <si>
    <t>n:36.2582</t>
  </si>
  <si>
    <t>s:CBRT ForexBuying, bulletin 2024/49</t>
  </si>
  <si>
    <t>n:34.8478</t>
  </si>
  <si>
    <t>n:40.7816</t>
  </si>
  <si>
    <t>n:31.8618</t>
  </si>
  <si>
    <t>d:2024-03-11</t>
  </si>
  <si>
    <t>n:36.3523</t>
  </si>
  <si>
    <t>s:CBRT ForexBuying, bulletin 2024/50</t>
  </si>
  <si>
    <t>n:34.9442</t>
  </si>
  <si>
    <t>n:40.9585</t>
  </si>
  <si>
    <t>n:31.9378</t>
  </si>
  <si>
    <t>d:2024-03-12</t>
  </si>
  <si>
    <t>n:36.4081</t>
  </si>
  <si>
    <t>s:CBRT ForexBuying, bulletin 2024/51</t>
  </si>
  <si>
    <t>n:34.9675</t>
  </si>
  <si>
    <t>n:40.8578</t>
  </si>
  <si>
    <t>n:31.9856</t>
  </si>
  <si>
    <t>d:2024-03-13</t>
  </si>
  <si>
    <t>n:36.3999</t>
  </si>
  <si>
    <t>s:CBRT ForexBuying, bulletin 2024/52</t>
  </si>
  <si>
    <t>n:35.0183</t>
  </si>
  <si>
    <t>n:40.9129</t>
  </si>
  <si>
    <t>n:32.039</t>
  </si>
  <si>
    <t>d:2024-03-14</t>
  </si>
  <si>
    <t>n:36.3695</t>
  </si>
  <si>
    <t>s:CBRT ForexBuying, bulletin 2024/53</t>
  </si>
  <si>
    <t>n:35.0739</t>
  </si>
  <si>
    <t>n:40.9929</t>
  </si>
  <si>
    <t>n:32.0629</t>
  </si>
  <si>
    <t>d:2024-03-15</t>
  </si>
  <si>
    <t>n:36.2644</t>
  </si>
  <si>
    <t>s:CBRT ForexBuying, bulletin 2024/54</t>
  </si>
  <si>
    <t>n:34.9733</t>
  </si>
  <si>
    <t>n:40.8704</t>
  </si>
  <si>
    <t>n:32.1214</t>
  </si>
  <si>
    <t>d:2024-03-18</t>
  </si>
  <si>
    <t>n:36.4095</t>
  </si>
  <si>
    <t>s:CBRT ForexBuying, bulletin 2024/55</t>
  </si>
  <si>
    <t>n:35.1355</t>
  </si>
  <si>
    <t>n:41.007</t>
  </si>
  <si>
    <t>n:32.2448</t>
  </si>
  <si>
    <t>d:2024-03-19</t>
  </si>
  <si>
    <t>n:36.2469</t>
  </si>
  <si>
    <t>s:CBRT ForexBuying, bulletin 2024/56</t>
  </si>
  <si>
    <t>n:35.0236</t>
  </si>
  <si>
    <t>n:40.8946</t>
  </si>
  <si>
    <t>n:32.2791</t>
  </si>
  <si>
    <t>d:2024-03-20</t>
  </si>
  <si>
    <t>n:36.2273</t>
  </si>
  <si>
    <t>s:CBRT ForexBuying, bulletin 2024/57</t>
  </si>
  <si>
    <t>n:35.082</t>
  </si>
  <si>
    <t>n:40.9949</t>
  </si>
  <si>
    <t>n:32.3294</t>
  </si>
  <si>
    <t>d:2024-03-21</t>
  </si>
  <si>
    <t>n:36.1791</t>
  </si>
  <si>
    <t>s:CBRT ForexBuying, bulletin 2024/58</t>
  </si>
  <si>
    <t>n:35.2734</t>
  </si>
  <si>
    <t>n:41.1957</t>
  </si>
  <si>
    <t>n:32.3105</t>
  </si>
  <si>
    <t>d:2024-03-22</t>
  </si>
  <si>
    <t>n:35.4318</t>
  </si>
  <si>
    <t>s:CBRT ForexBuying, bulletin 2024/59</t>
  </si>
  <si>
    <t>n:34.5875</t>
  </si>
  <si>
    <t>n:40.2028</t>
  </si>
  <si>
    <t>n:31.9675</t>
  </si>
  <si>
    <t>d:2024-03-25</t>
  </si>
  <si>
    <t>n:35.6189</t>
  </si>
  <si>
    <t>s:CBRT ForexBuying, bulletin 2024/60</t>
  </si>
  <si>
    <t>n:34.6819</t>
  </si>
  <si>
    <t>n:40.3768</t>
  </si>
  <si>
    <t>n:32.0592</t>
  </si>
  <si>
    <t>d:2024-03-26</t>
  </si>
  <si>
    <t>n:35.5459</t>
  </si>
  <si>
    <t>s:CBRT ForexBuying, bulletin 2024/61</t>
  </si>
  <si>
    <t>n:34.8336</t>
  </si>
  <si>
    <t>n:40.5489</t>
  </si>
  <si>
    <t>n:32.1005</t>
  </si>
  <si>
    <t>d:2024-03-27</t>
  </si>
  <si>
    <t>n:35.4423</t>
  </si>
  <si>
    <t>s:CBRT ForexBuying, bulletin 2024/62</t>
  </si>
  <si>
    <t>n:34.8285</t>
  </si>
  <si>
    <t>n:40.537</t>
  </si>
  <si>
    <t>n:32.165</t>
  </si>
  <si>
    <t>d:2024-03-28</t>
  </si>
  <si>
    <t>n:35.5332</t>
  </si>
  <si>
    <t>s:CBRT ForexBuying, bulletin 2024/63</t>
  </si>
  <si>
    <t>n:34.8189</t>
  </si>
  <si>
    <t>n:40.6169</t>
  </si>
  <si>
    <t>n:32.2596</t>
  </si>
  <si>
    <t>d:2024-03-29</t>
  </si>
  <si>
    <t>n:35.7269</t>
  </si>
  <si>
    <t>s:CBRT ForexBuying, bulletin 2024/64</t>
  </si>
  <si>
    <t>n:34.8023</t>
  </si>
  <si>
    <t>n:40.6665</t>
  </si>
  <si>
    <t>n:32.2854</t>
  </si>
  <si>
    <t>d:2024-04-01</t>
  </si>
  <si>
    <t>n:35.8102</t>
  </si>
  <si>
    <t>s:CBRT ForexBuying, bulletin 2024/65</t>
  </si>
  <si>
    <t>n:34.8992</t>
  </si>
  <si>
    <t>n:40.7631</t>
  </si>
  <si>
    <t>n:32.3568</t>
  </si>
  <si>
    <t>d:2024-04-02</t>
  </si>
  <si>
    <t>n:35.3033</t>
  </si>
  <si>
    <t>s:CBRT ForexBuying, bulletin 2024/66</t>
  </si>
  <si>
    <t>n:34.5081</t>
  </si>
  <si>
    <t>n:40.2963</t>
  </si>
  <si>
    <t>n:32.1302</t>
  </si>
  <si>
    <t>d:2024-04-03</t>
  </si>
  <si>
    <t>n:35.0706</t>
  </si>
  <si>
    <t>s:CBRT ForexBuying, bulletin 2024/67</t>
  </si>
  <si>
    <t>n:34.4097</t>
  </si>
  <si>
    <t>n:40.0934</t>
  </si>
  <si>
    <t>n:31.9392</t>
  </si>
  <si>
    <t>d:2024-04-04</t>
  </si>
  <si>
    <t>n:35.0441</t>
  </si>
  <si>
    <t>s:CBRT ForexBuying, bulletin 2024/68</t>
  </si>
  <si>
    <t>n:34.5629</t>
  </si>
  <si>
    <t>n:40.239</t>
  </si>
  <si>
    <t>n:31.8396</t>
  </si>
  <si>
    <t>d:2024-04-05</t>
  </si>
  <si>
    <t>n:35.2626</t>
  </si>
  <si>
    <t>s:CBRT ForexBuying, bulletin 2024/69</t>
  </si>
  <si>
    <t>n:34.5892</t>
  </si>
  <si>
    <t>n:40.2509</t>
  </si>
  <si>
    <t>n:31.9209</t>
  </si>
  <si>
    <t>d:2024-04-08</t>
  </si>
  <si>
    <t>n:35.2704</t>
  </si>
  <si>
    <t>s:CBRT ForexBuying, bulletin 2024/70</t>
  </si>
  <si>
    <t>n:34.659</t>
  </si>
  <si>
    <t>n:40.3449</t>
  </si>
  <si>
    <t>n:32.006</t>
  </si>
  <si>
    <t>d:2024-04-15</t>
  </si>
  <si>
    <t>n:35.3261</t>
  </si>
  <si>
    <t>s:CBRT ForexBuying, bulletin 2024/71</t>
  </si>
  <si>
    <t>n:34.4475</t>
  </si>
  <si>
    <t>n:40.2775</t>
  </si>
  <si>
    <t>n:32.3271</t>
  </si>
  <si>
    <t>d:2024-04-16</t>
  </si>
  <si>
    <t>n:35.4146</t>
  </si>
  <si>
    <t>s:CBRT ForexBuying, bulletin 2024/72</t>
  </si>
  <si>
    <t>n:34.4266</t>
  </si>
  <si>
    <t>n:40.2549</t>
  </si>
  <si>
    <t>n:32.4049</t>
  </si>
  <si>
    <t>d:2024-04-17</t>
  </si>
  <si>
    <t>n:35.5604</t>
  </si>
  <si>
    <t>s:CBRT ForexBuying, bulletin 2024/73</t>
  </si>
  <si>
    <t>n:34.5266</t>
  </si>
  <si>
    <t>n:40.3893</t>
  </si>
  <si>
    <t>n:32.4626</t>
  </si>
  <si>
    <t>d:2024-04-18</t>
  </si>
  <si>
    <t>n:35.6246</t>
  </si>
  <si>
    <t>s:CBRT ForexBuying, bulletin 2024/74</t>
  </si>
  <si>
    <t>n:34.6559</t>
  </si>
  <si>
    <t>n:40.4148</t>
  </si>
  <si>
    <t>n:32.4551</t>
  </si>
  <si>
    <t>d:2024-04-19</t>
  </si>
  <si>
    <t>n:35.6985</t>
  </si>
  <si>
    <t>s:CBRT ForexBuying, bulletin 2024/75</t>
  </si>
  <si>
    <t>n:34.6254</t>
  </si>
  <si>
    <t>n:40.3782</t>
  </si>
  <si>
    <t>n:32.5096</t>
  </si>
  <si>
    <t>d:2024-04-22</t>
  </si>
  <si>
    <t>n:35.5852</t>
  </si>
  <si>
    <t>s:CBRT ForexBuying, bulletin 2024/76</t>
  </si>
  <si>
    <t>n:34.6207</t>
  </si>
  <si>
    <t>n:40.0684</t>
  </si>
  <si>
    <t>n:32.5</t>
  </si>
  <si>
    <t>d:2024-04-24</t>
  </si>
  <si>
    <t>n:35.4425</t>
  </si>
  <si>
    <t>s:CBRT ForexBuying, bulletin 2024/77</t>
  </si>
  <si>
    <t>n:34.7084</t>
  </si>
  <si>
    <t>n:40.3078</t>
  </si>
  <si>
    <t>n:32.4742</t>
  </si>
  <si>
    <t>d:2024-04-25</t>
  </si>
  <si>
    <t>n:35.4863</t>
  </si>
  <si>
    <t>s:CBRT ForexBuying, bulletin 2024/78</t>
  </si>
  <si>
    <t>n:34.8231</t>
  </si>
  <si>
    <t>n:40.5575</t>
  </si>
  <si>
    <t>n:32.4747</t>
  </si>
  <si>
    <t>d:2024-04-26</t>
  </si>
  <si>
    <t>n:35.5002</t>
  </si>
  <si>
    <t>s:CBRT ForexBuying, bulletin 2024/79</t>
  </si>
  <si>
    <t>n:34.8255</t>
  </si>
  <si>
    <t>n:40.5424</t>
  </si>
  <si>
    <t>n:32.4527</t>
  </si>
  <si>
    <t>d:2024-04-29</t>
  </si>
  <si>
    <t>n:35.3822</t>
  </si>
  <si>
    <t>s:CBRT ForexBuying, bulletin 2024/80</t>
  </si>
  <si>
    <t>n:34.6487</t>
  </si>
  <si>
    <t>n:40.4444</t>
  </si>
  <si>
    <t>n:32.3389</t>
  </si>
  <si>
    <t>d:2024-04-30</t>
  </si>
  <si>
    <t>n:35.337</t>
  </si>
  <si>
    <t>s:CBRT ForexBuying, bulletin 2024/81</t>
  </si>
  <si>
    <t>n:34.623</t>
  </si>
  <si>
    <t>n:40.4475</t>
  </si>
  <si>
    <t>n:32.3091</t>
  </si>
  <si>
    <t>d:2024-05-02</t>
  </si>
  <si>
    <t>n:35.3582</t>
  </si>
  <si>
    <t>s:CBRT ForexBuying, bulletin 2024/82</t>
  </si>
  <si>
    <t>n:34.6073</t>
  </si>
  <si>
    <t>n:40.3938</t>
  </si>
  <si>
    <t>n:32.3199</t>
  </si>
  <si>
    <t>d:2024-05-03</t>
  </si>
  <si>
    <t>n:35.448</t>
  </si>
  <si>
    <t>s:CBRT ForexBuying, bulletin 2024/83</t>
  </si>
  <si>
    <t>n:34.6335</t>
  </si>
  <si>
    <t>n:40.415</t>
  </si>
  <si>
    <t>n:32.2472</t>
  </si>
  <si>
    <t>d:2024-05-06</t>
  </si>
  <si>
    <t>n:35.5092</t>
  </si>
  <si>
    <t>s:CBRT ForexBuying, bulletin 2024/84</t>
  </si>
  <si>
    <t>n:34.6993</t>
  </si>
  <si>
    <t>n:40.4463</t>
  </si>
  <si>
    <t>n:32.2242</t>
  </si>
  <si>
    <t>d:2024-05-07</t>
  </si>
  <si>
    <t>s:CBRT ForexBuying, bulletin 2024/85</t>
  </si>
  <si>
    <t>n:34.6708</t>
  </si>
  <si>
    <t>n:40.324</t>
  </si>
  <si>
    <t>n:32.2073</t>
  </si>
  <si>
    <t>d:2024-05-08</t>
  </si>
  <si>
    <t>n:35.3578</t>
  </si>
  <si>
    <t>s:CBRT ForexBuying, bulletin 2024/86</t>
  </si>
  <si>
    <t>n:34.6075</t>
  </si>
  <si>
    <t>n:40.1412</t>
  </si>
  <si>
    <t>n:32.207</t>
  </si>
  <si>
    <t>d:2024-05-09</t>
  </si>
  <si>
    <t>n:35.3077</t>
  </si>
  <si>
    <t>s:CBRT ForexBuying, bulletin 2024/87</t>
  </si>
  <si>
    <t>n:34.5334</t>
  </si>
  <si>
    <t>n:40.0856</t>
  </si>
  <si>
    <t>n:32.177</t>
  </si>
  <si>
    <t>d:2024-05-10</t>
  </si>
  <si>
    <t>n:35.382</t>
  </si>
  <si>
    <t>s:CBRT ForexBuying, bulletin 2024/88</t>
  </si>
  <si>
    <t>n:34.66</t>
  </si>
  <si>
    <t>n:40.2252</t>
  </si>
  <si>
    <t>n:32.1534</t>
  </si>
  <si>
    <t>d:2024-05-13</t>
  </si>
  <si>
    <t>n:35.3762</t>
  </si>
  <si>
    <t>s:CBRT ForexBuying, bulletin 2024/89</t>
  </si>
  <si>
    <t>n:34.6591</t>
  </si>
  <si>
    <t>n:40.2194</t>
  </si>
  <si>
    <t>n:32.1496</t>
  </si>
  <si>
    <t>d:2024-05-14</t>
  </si>
  <si>
    <t>n:35.3847</t>
  </si>
  <si>
    <t>s:CBRT ForexBuying, bulletin 2024/90</t>
  </si>
  <si>
    <t>n:34.7388</t>
  </si>
  <si>
    <t>n:40.3307</t>
  </si>
  <si>
    <t>n:32.1946</t>
  </si>
  <si>
    <t>d:2024-05-15</t>
  </si>
  <si>
    <t>n:35.52</t>
  </si>
  <si>
    <t>s:CBRT ForexBuying, bulletin 2024/91</t>
  </si>
  <si>
    <t>n:34.8985</t>
  </si>
  <si>
    <t>n:40.5649</t>
  </si>
  <si>
    <t>n:32.2296</t>
  </si>
  <si>
    <t>d:2024-05-16</t>
  </si>
  <si>
    <t>n:35.5733</t>
  </si>
  <si>
    <t>s:CBRT ForexBuying, bulletin 2024/92</t>
  </si>
  <si>
    <t>n:34.9622</t>
  </si>
  <si>
    <t>n:40.6766</t>
  </si>
  <si>
    <t>n:32.1573</t>
  </si>
  <si>
    <t>d:2024-05-17</t>
  </si>
  <si>
    <t>n:35.3536</t>
  </si>
  <si>
    <t>s:CBRT ForexBuying, bulletin 2024/93</t>
  </si>
  <si>
    <t>n:34.9265</t>
  </si>
  <si>
    <t>n:40.6714</t>
  </si>
  <si>
    <t>n:32.194</t>
  </si>
  <si>
    <t>d:2024-05-20</t>
  </si>
  <si>
    <t>n:35.2833</t>
  </si>
  <si>
    <t>s:CBRT ForexBuying, bulletin 2024/94</t>
  </si>
  <si>
    <t>n:34.9565</t>
  </si>
  <si>
    <t>n:40.7691</t>
  </si>
  <si>
    <t>n:32.156</t>
  </si>
  <si>
    <t>d:2024-05-21</t>
  </si>
  <si>
    <t>n:35.2642</t>
  </si>
  <si>
    <t>s:CBRT ForexBuying, bulletin 2024/95</t>
  </si>
  <si>
    <t>n:34.9438</t>
  </si>
  <si>
    <t>n:40.8184</t>
  </si>
  <si>
    <t>n:32.1556</t>
  </si>
  <si>
    <t>d:2024-05-22</t>
  </si>
  <si>
    <t>n:35.0832</t>
  </si>
  <si>
    <t>s:CBRT ForexBuying, bulletin 2024/96</t>
  </si>
  <si>
    <t>n:34.8394</t>
  </si>
  <si>
    <t>n:40.8279</t>
  </si>
  <si>
    <t>n:32.1209</t>
  </si>
  <si>
    <t>d:2024-05-23</t>
  </si>
  <si>
    <t>s:CBRT ForexBuying, bulletin 2024/97</t>
  </si>
  <si>
    <t>n:34.8413</t>
  </si>
  <si>
    <t>n:40.8371</t>
  </si>
  <si>
    <t>n:32.1421</t>
  </si>
  <si>
    <t>d:2024-05-24</t>
  </si>
  <si>
    <t>n:35.0533</t>
  </si>
  <si>
    <t>s:CBRT ForexBuying, bulletin 2024/98</t>
  </si>
  <si>
    <t>n:34.8089</t>
  </si>
  <si>
    <t>n:40.7803</t>
  </si>
  <si>
    <t>n:32.1452</t>
  </si>
  <si>
    <t>d:2024-05-27</t>
  </si>
  <si>
    <t>n:35.0581</t>
  </si>
  <si>
    <t>s:CBRT ForexBuying, bulletin 2024/99</t>
  </si>
  <si>
    <t>n:34.882</t>
  </si>
  <si>
    <t>n:40.8926</t>
  </si>
  <si>
    <t>n:32.1311</t>
  </si>
  <si>
    <t>d:2024-05-28</t>
  </si>
  <si>
    <t>n:35.1668</t>
  </si>
  <si>
    <t>s:CBRT ForexBuying, bulletin 2024/100</t>
  </si>
  <si>
    <t>n:34.9383</t>
  </si>
  <si>
    <t>n:40.9641</t>
  </si>
  <si>
    <t>n:32.1203</t>
  </si>
  <si>
    <t>d:2024-05-29</t>
  </si>
  <si>
    <t>n:35.1891</t>
  </si>
  <si>
    <t>s:CBRT ForexBuying, bulletin 2024/101</t>
  </si>
  <si>
    <t>n:34.918</t>
  </si>
  <si>
    <t>n:40.9884</t>
  </si>
  <si>
    <t>n:32.1874</t>
  </si>
  <si>
    <t>d:2024-05-30</t>
  </si>
  <si>
    <t>n:35.4298</t>
  </si>
  <si>
    <t>s:CBRT ForexBuying, bulletin 2024/102</t>
  </si>
  <si>
    <t>n:34.8654</t>
  </si>
  <si>
    <t>n:40.9092</t>
  </si>
  <si>
    <t>n:32.2489</t>
  </si>
  <si>
    <t>d:2024-05-31</t>
  </si>
  <si>
    <t>n:35.4074</t>
  </si>
  <si>
    <t>s:CBRT ForexBuying, bulletin 2024/103</t>
  </si>
  <si>
    <t>n:34.8283</t>
  </si>
  <si>
    <t>n:40.7895</t>
  </si>
  <si>
    <t>n:32.1339</t>
  </si>
  <si>
    <t>d:2024-06-03</t>
  </si>
  <si>
    <t>n:35.5605</t>
  </si>
  <si>
    <t>s:CBRT ForexBuying, bulletin 2024/104</t>
  </si>
  <si>
    <t>n:34.8607</t>
  </si>
  <si>
    <t>n:40.8205</t>
  </si>
  <si>
    <t>d:2024-06-04</t>
  </si>
  <si>
    <t>n:35.9956</t>
  </si>
  <si>
    <t>s:CBRT ForexBuying, bulletin 2024/105</t>
  </si>
  <si>
    <t>n:35.1019</t>
  </si>
  <si>
    <t>n:41.1526</t>
  </si>
  <si>
    <t>n:32.2687</t>
  </si>
  <si>
    <t>d:2024-06-05</t>
  </si>
  <si>
    <t>n:36.2841</t>
  </si>
  <si>
    <t>s:CBRT ForexBuying, bulletin 2024/106</t>
  </si>
  <si>
    <t>n:35.2869</t>
  </si>
  <si>
    <t>n:41.3876</t>
  </si>
  <si>
    <t>n:32.4547</t>
  </si>
  <si>
    <t>d:2024-06-06</t>
  </si>
  <si>
    <t>n:36.0028</t>
  </si>
  <si>
    <t>s:CBRT ForexBuying, bulletin 2024/107</t>
  </si>
  <si>
    <t>n:34.9997</t>
  </si>
  <si>
    <t>n:41.071</t>
  </si>
  <si>
    <t>n:32.1775</t>
  </si>
  <si>
    <t>d:2024-06-07</t>
  </si>
  <si>
    <t>n:36.1095</t>
  </si>
  <si>
    <t>s:CBRT ForexBuying, bulletin 2024/108</t>
  </si>
  <si>
    <t>n:35.0641</t>
  </si>
  <si>
    <t>n:41.1251</t>
  </si>
  <si>
    <t>n:32.1923</t>
  </si>
  <si>
    <t>d:2024-06-10</t>
  </si>
  <si>
    <t>n:36.0068</t>
  </si>
  <si>
    <t>s:CBRT ForexBuying, bulletin 2024/109</t>
  </si>
  <si>
    <t>n:34.8022</t>
  </si>
  <si>
    <t>n:41.067</t>
  </si>
  <si>
    <t>n:32.3699</t>
  </si>
  <si>
    <t>d:2024-06-11</t>
  </si>
  <si>
    <t>n:35.9478</t>
  </si>
  <si>
    <t>s:CBRT ForexBuying, bulletin 2024/110</t>
  </si>
  <si>
    <t>n:34.7345</t>
  </si>
  <si>
    <t>n:41.0651</t>
  </si>
  <si>
    <t>n:32.3127</t>
  </si>
  <si>
    <t>d:2024-06-12</t>
  </si>
  <si>
    <t>n:35.9545</t>
  </si>
  <si>
    <t>s:CBRT ForexBuying, bulletin 2024/111</t>
  </si>
  <si>
    <t>n:34.7349</t>
  </si>
  <si>
    <t>n:41.1346</t>
  </si>
  <si>
    <t>n:32.3073</t>
  </si>
  <si>
    <t>d:2024-06-13</t>
  </si>
  <si>
    <t>n:35.8987</t>
  </si>
  <si>
    <t>s:CBRT ForexBuying, bulletin 2024/112</t>
  </si>
  <si>
    <t>n:34.8106</t>
  </si>
  <si>
    <t>n:41.125</t>
  </si>
  <si>
    <t>n:32.2313</t>
  </si>
  <si>
    <t>d:2024-06-14</t>
  </si>
  <si>
    <t>n:36.2522</t>
  </si>
  <si>
    <t>s:CBRT ForexBuying, bulletin 2024/113</t>
  </si>
  <si>
    <t>n:34.7319</t>
  </si>
  <si>
    <t>n:41.2073</t>
  </si>
  <si>
    <t>n:32.4579</t>
  </si>
  <si>
    <t>d:2024-06-20</t>
  </si>
  <si>
    <t>n:36.5563</t>
  </si>
  <si>
    <t>s:CBRT ForexBuying, bulletin 2024/114</t>
  </si>
  <si>
    <t>n:34.929</t>
  </si>
  <si>
    <t>n:41.2968</t>
  </si>
  <si>
    <t>n:32.5711</t>
  </si>
  <si>
    <t>d:2024-06-21</t>
  </si>
  <si>
    <t>n:36.6678</t>
  </si>
  <si>
    <t>s:CBRT ForexBuying, bulletin 2024/115</t>
  </si>
  <si>
    <t>n:35.0464</t>
  </si>
  <si>
    <t>n:41.3867</t>
  </si>
  <si>
    <t>n:32.781</t>
  </si>
  <si>
    <t>d:2024-06-24</t>
  </si>
  <si>
    <t>n:36.6395</t>
  </si>
  <si>
    <t>s:CBRT ForexBuying, bulletin 2024/116</t>
  </si>
  <si>
    <t>n:35.1702</t>
  </si>
  <si>
    <t>n:41.464</t>
  </si>
  <si>
    <t>n:32.8078</t>
  </si>
  <si>
    <t>d:2024-06-25</t>
  </si>
  <si>
    <t>n:36.7453</t>
  </si>
  <si>
    <t>s:CBRT ForexBuying, bulletin 2024/117</t>
  </si>
  <si>
    <t>n:41.6821</t>
  </si>
  <si>
    <t>n:32.9015</t>
  </si>
  <si>
    <t>d:2024-06-26</t>
  </si>
  <si>
    <t>n:36.5988</t>
  </si>
  <si>
    <t>s:CBRT ForexBuying, bulletin 2024/118</t>
  </si>
  <si>
    <t>n:35.1801</t>
  </si>
  <si>
    <t>n:41.6061</t>
  </si>
  <si>
    <t>n:32.904</t>
  </si>
  <si>
    <t>d:2024-06-27</t>
  </si>
  <si>
    <t>n:36.514</t>
  </si>
  <si>
    <t>s:CBRT ForexBuying, bulletin 2024/119</t>
  </si>
  <si>
    <t>n:35.1212</t>
  </si>
  <si>
    <t>n:41.4484</t>
  </si>
  <si>
    <t>n:32.8417</t>
  </si>
  <si>
    <t>d:2024-06-28</t>
  </si>
  <si>
    <t>n:36.4135</t>
  </si>
  <si>
    <t>s:CBRT ForexBuying, bulletin 2024/120</t>
  </si>
  <si>
    <t>n:35.1284</t>
  </si>
  <si>
    <t>n:41.4365</t>
  </si>
  <si>
    <t>n:32.8262</t>
  </si>
  <si>
    <t>d:2024-07-01</t>
  </si>
  <si>
    <t>n:36.1441</t>
  </si>
  <si>
    <t>s:CBRT ForexBuying, bulletin 2024/121</t>
  </si>
  <si>
    <t>n:35.0939</t>
  </si>
  <si>
    <t>n:41.2734</t>
  </si>
  <si>
    <t>n:32.6207</t>
  </si>
  <si>
    <t>d:2024-07-02</t>
  </si>
  <si>
    <t>n:36.011</t>
  </si>
  <si>
    <t>s:CBRT ForexBuying, bulletin 2024/122</t>
  </si>
  <si>
    <t>n:34.9759</t>
  </si>
  <si>
    <t>n:41.1593</t>
  </si>
  <si>
    <t>n:32.629</t>
  </si>
  <si>
    <t>d:2024-07-03</t>
  </si>
  <si>
    <t>n:35.8766</t>
  </si>
  <si>
    <t>s:CBRT ForexBuying, bulletin 2024/123</t>
  </si>
  <si>
    <t>n:34.9499</t>
  </si>
  <si>
    <t>n:41.1849</t>
  </si>
  <si>
    <t>n:32.4929</t>
  </si>
  <si>
    <t>d:2024-07-04</t>
  </si>
  <si>
    <t>n:35.9852</t>
  </si>
  <si>
    <t>s:CBRT ForexBuying, bulletin 2024/124</t>
  </si>
  <si>
    <t>n:35.0933</t>
  </si>
  <si>
    <t>n:41.379</t>
  </si>
  <si>
    <t>n:32.5011</t>
  </si>
  <si>
    <t>d:2024-07-05</t>
  </si>
  <si>
    <t>n:36.2323</t>
  </si>
  <si>
    <t>s:CBRT ForexBuying, bulletin 2024/125</t>
  </si>
  <si>
    <t>n:35.3205</t>
  </si>
  <si>
    <t>n:41.6363</t>
  </si>
  <si>
    <t>n:32.6301</t>
  </si>
  <si>
    <t>d:2024-07-08</t>
  </si>
  <si>
    <t>n:36.3675</t>
  </si>
  <si>
    <t>s:CBRT ForexBuying, bulletin 2024/126</t>
  </si>
  <si>
    <t>n:35.3604</t>
  </si>
  <si>
    <t>n:41.7652</t>
  </si>
  <si>
    <t>d:2024-07-09</t>
  </si>
  <si>
    <t>n:36.3636</t>
  </si>
  <si>
    <t>s:CBRT ForexBuying, bulletin 2024/127</t>
  </si>
  <si>
    <t>n:35.4241</t>
  </si>
  <si>
    <t>n:41.8499</t>
  </si>
  <si>
    <t>n:32.7362</t>
  </si>
  <si>
    <t>d:2024-07-10</t>
  </si>
  <si>
    <t>n:36.5508</t>
  </si>
  <si>
    <t>s:CBRT ForexBuying, bulletin 2024/128</t>
  </si>
  <si>
    <t>n:35.5812</t>
  </si>
  <si>
    <t>n:42.0268</t>
  </si>
  <si>
    <t>n:32.8849</t>
  </si>
  <si>
    <t>d:2024-07-11</t>
  </si>
  <si>
    <t>n:36.4697</t>
  </si>
  <si>
    <t>s:CBRT ForexBuying, bulletin 2024/129</t>
  </si>
  <si>
    <t>n:35.6229</t>
  </si>
  <si>
    <t>n:42.2094</t>
  </si>
  <si>
    <t>n:32.8473</t>
  </si>
  <si>
    <t>d:2024-07-12</t>
  </si>
  <si>
    <t>n:36.6481</t>
  </si>
  <si>
    <t>s:CBRT ForexBuying, bulletin 2024/130</t>
  </si>
  <si>
    <t>n:35.8082</t>
  </si>
  <si>
    <t>n:42.5162</t>
  </si>
  <si>
    <t>n:32.9069</t>
  </si>
  <si>
    <t>d:2024-07-16</t>
  </si>
  <si>
    <t>n:36.7988</t>
  </si>
  <si>
    <t>s:CBRT ForexBuying, bulletin 2024/131</t>
  </si>
  <si>
    <t>n:35.9882</t>
  </si>
  <si>
    <t>n:42.7408</t>
  </si>
  <si>
    <t>n:33.0223</t>
  </si>
  <si>
    <t>d:2024-07-17</t>
  </si>
  <si>
    <t>n:37.0682</t>
  </si>
  <si>
    <t>s:CBRT ForexBuying, bulletin 2024/132</t>
  </si>
  <si>
    <t>n:36.0984</t>
  </si>
  <si>
    <t>n:42.9489</t>
  </si>
  <si>
    <t>n:33.038</t>
  </si>
  <si>
    <t>d:2024-07-18</t>
  </si>
  <si>
    <t>n:37.2883</t>
  </si>
  <si>
    <t>s:CBRT ForexBuying, bulletin 2024/133</t>
  </si>
  <si>
    <t>n:36.1143</t>
  </si>
  <si>
    <t>n:42.8437</t>
  </si>
  <si>
    <t>n:33.0389</t>
  </si>
  <si>
    <t>d:2024-07-19</t>
  </si>
  <si>
    <t>n:37.0452</t>
  </si>
  <si>
    <t>s:CBRT ForexBuying, bulletin 2024/134</t>
  </si>
  <si>
    <t>n:35.9251</t>
  </si>
  <si>
    <t>n:42.5768</t>
  </si>
  <si>
    <t>n:33.0042</t>
  </si>
  <si>
    <t>d:2024-07-22</t>
  </si>
  <si>
    <t>n:37.0215</t>
  </si>
  <si>
    <t>s:CBRT ForexBuying, bulletin 2024/135</t>
  </si>
  <si>
    <t>n:35.8679</t>
  </si>
  <si>
    <t>n:42.5155</t>
  </si>
  <si>
    <t>n:32.9441</t>
  </si>
  <si>
    <t>d:2024-07-23</t>
  </si>
  <si>
    <t>n:36.8349</t>
  </si>
  <si>
    <t>s:CBRT ForexBuying, bulletin 2024/136</t>
  </si>
  <si>
    <t>n:35.7444</t>
  </si>
  <si>
    <t>n:42.3905</t>
  </si>
  <si>
    <t>n:32.8805</t>
  </si>
  <si>
    <t>d:2024-07-24</t>
  </si>
  <si>
    <t>n:36.8414</t>
  </si>
  <si>
    <t>s:CBRT ForexBuying, bulletin 2024/137</t>
  </si>
  <si>
    <t>n:35.5656</t>
  </si>
  <si>
    <t>n:42.2567</t>
  </si>
  <si>
    <t>n:32.8106</t>
  </si>
  <si>
    <t>d:2024-07-25</t>
  </si>
  <si>
    <t>n:37.3972</t>
  </si>
  <si>
    <t>s:CBRT ForexBuying, bulletin 2024/138</t>
  </si>
  <si>
    <t>n:35.7759</t>
  </si>
  <si>
    <t>n:42.4187</t>
  </si>
  <si>
    <t>n:32.9833</t>
  </si>
  <si>
    <t>d:2024-07-26</t>
  </si>
  <si>
    <t>n:37.2419</t>
  </si>
  <si>
    <t>s:CBRT ForexBuying, bulletin 2024/139</t>
  </si>
  <si>
    <t>n:35.7732</t>
  </si>
  <si>
    <t>n:42.3359</t>
  </si>
  <si>
    <t>n:32.9586</t>
  </si>
  <si>
    <t>d:2024-07-29</t>
  </si>
  <si>
    <t>n:37.1668</t>
  </si>
  <si>
    <t>s:CBRT ForexBuying, bulletin 2024/140</t>
  </si>
  <si>
    <t>n:35.711</t>
  </si>
  <si>
    <t>n:42.2259</t>
  </si>
  <si>
    <t>n:32.9509</t>
  </si>
  <si>
    <t>d:2024-07-30</t>
  </si>
  <si>
    <t>n:37.1823</t>
  </si>
  <si>
    <t>s:CBRT ForexBuying, bulletin 2024/141</t>
  </si>
  <si>
    <t>n:35.7612</t>
  </si>
  <si>
    <t>n:42.3866</t>
  </si>
  <si>
    <t>n:33.0304</t>
  </si>
  <si>
    <t>d:2024-07-31</t>
  </si>
  <si>
    <t>n:37.4636</t>
  </si>
  <si>
    <t>s:CBRT ForexBuying, bulletin 2024/142</t>
  </si>
  <si>
    <t>n:35.8145</t>
  </si>
  <si>
    <t>n:42.394</t>
  </si>
  <si>
    <t>n:33.0835</t>
  </si>
  <si>
    <t>d:2024-08-01</t>
  </si>
  <si>
    <t>n:37.6428</t>
  </si>
  <si>
    <t>s:CBRT ForexBuying, bulletin 2024/143</t>
  </si>
  <si>
    <t>n:35.7005</t>
  </si>
  <si>
    <t>n:42.2169</t>
  </si>
  <si>
    <t>n:33.0782</t>
  </si>
  <si>
    <t>d:2024-08-02</t>
  </si>
  <si>
    <t>n:37.8826</t>
  </si>
  <si>
    <t>s:CBRT ForexBuying, bulletin 2024/144</t>
  </si>
  <si>
    <t>n:35.7726</t>
  </si>
  <si>
    <t>n:42.0403</t>
  </si>
  <si>
    <t>n:33.0763</t>
  </si>
  <si>
    <t>d:2024-08-05</t>
  </si>
  <si>
    <t>n:39.0415</t>
  </si>
  <si>
    <t>s:CBRT ForexBuying, bulletin 2024/145</t>
  </si>
  <si>
    <t>n:36.3998</t>
  </si>
  <si>
    <t>n:42.3668</t>
  </si>
  <si>
    <t>n:33.2573</t>
  </si>
  <si>
    <t>d:2024-08-06</t>
  </si>
  <si>
    <t>n:38.9885</t>
  </si>
  <si>
    <t>s:CBRT ForexBuying, bulletin 2024/146</t>
  </si>
  <si>
    <t>n:36.4783</t>
  </si>
  <si>
    <t>n:42.4102</t>
  </si>
  <si>
    <t>n:33.3984</t>
  </si>
  <si>
    <t>d:2024-08-07</t>
  </si>
  <si>
    <t>n:38.8695</t>
  </si>
  <si>
    <t>s:CBRT ForexBuying, bulletin 2024/147</t>
  </si>
  <si>
    <t>n:36.5731</t>
  </si>
  <si>
    <t>n:42.5049</t>
  </si>
  <si>
    <t>n:33.4965</t>
  </si>
  <si>
    <t>d:2024-08-08</t>
  </si>
  <si>
    <t>n:38.8797</t>
  </si>
  <si>
    <t>s:CBRT ForexBuying, bulletin 2024/148</t>
  </si>
  <si>
    <t>n:36.5702</t>
  </si>
  <si>
    <t>n:42.3897</t>
  </si>
  <si>
    <t>n:33.4471</t>
  </si>
  <si>
    <t>d:2024-08-09</t>
  </si>
  <si>
    <t>n:38.5718</t>
  </si>
  <si>
    <t>s:CBRT ForexBuying, bulletin 2024/149</t>
  </si>
  <si>
    <t>n:36.5382</t>
  </si>
  <si>
    <t>n:42.6146</t>
  </si>
  <si>
    <t>n:33.4596</t>
  </si>
  <si>
    <t>d:2024-08-12</t>
  </si>
  <si>
    <t>n:38.4769</t>
  </si>
  <si>
    <t>s:CBRT ForexBuying, bulletin 2024/150</t>
  </si>
  <si>
    <t>n:36.5777</t>
  </si>
  <si>
    <t>n:42.6695</t>
  </si>
  <si>
    <t>n:33.4843</t>
  </si>
  <si>
    <t>d:2024-08-13</t>
  </si>
  <si>
    <t>n:38.5314</t>
  </si>
  <si>
    <t>s:CBRT ForexBuying, bulletin 2024/151</t>
  </si>
  <si>
    <t>n:36.5968</t>
  </si>
  <si>
    <t>n:42.7862</t>
  </si>
  <si>
    <t>n:33.4928</t>
  </si>
  <si>
    <t>d:2024-08-14</t>
  </si>
  <si>
    <t>n:38.7023</t>
  </si>
  <si>
    <t>s:CBRT ForexBuying, bulletin 2024/152</t>
  </si>
  <si>
    <t>n:36.886</t>
  </si>
  <si>
    <t>n:42.9313</t>
  </si>
  <si>
    <t>n:33.4846</t>
  </si>
  <si>
    <t>d:2024-08-15</t>
  </si>
  <si>
    <t>n:38.6782</t>
  </si>
  <si>
    <t>s:CBRT ForexBuying, bulletin 2024/153</t>
  </si>
  <si>
    <t>n:36.9715</t>
  </si>
  <si>
    <t>n:43.0785</t>
  </si>
  <si>
    <t>n:33.5746</t>
  </si>
  <si>
    <t>d:2024-08-16</t>
  </si>
  <si>
    <t>n:38.5899</t>
  </si>
  <si>
    <t>s:CBRT ForexBuying, bulletin 2024/154</t>
  </si>
  <si>
    <t>n:36.9281</t>
  </si>
  <si>
    <t>n:43.2639</t>
  </si>
  <si>
    <t>n:33.6107</t>
  </si>
  <si>
    <t>d:2024-08-19</t>
  </si>
  <si>
    <t>n:38.8359</t>
  </si>
  <si>
    <t>s:CBRT ForexBuying, bulletin 2024/155</t>
  </si>
  <si>
    <t>n:37.1497</t>
  </si>
  <si>
    <t>n:43.5452</t>
  </si>
  <si>
    <t>n:33.6524</t>
  </si>
  <si>
    <t>d:2024-08-20</t>
  </si>
  <si>
    <t>n:39.1517</t>
  </si>
  <si>
    <t>s:CBRT ForexBuying, bulletin 2024/156</t>
  </si>
  <si>
    <t>n:37.3963</t>
  </si>
  <si>
    <t>n:43.8053</t>
  </si>
  <si>
    <t>n:33.7482</t>
  </si>
  <si>
    <t>d:2024-08-21</t>
  </si>
  <si>
    <t>n:39.485</t>
  </si>
  <si>
    <t>s:CBRT ForexBuying, bulletin 2024/157</t>
  </si>
  <si>
    <t>n:37.6305</t>
  </si>
  <si>
    <t>n:44.0078</t>
  </si>
  <si>
    <t>d:2024-08-22</t>
  </si>
  <si>
    <t>n:39.6789</t>
  </si>
  <si>
    <t>s:CBRT ForexBuying, bulletin 2024/158</t>
  </si>
  <si>
    <t>n:37.7158</t>
  </si>
  <si>
    <t>n:44.3038</t>
  </si>
  <si>
    <t>n:33.8506</t>
  </si>
  <si>
    <t>d:2024-08-23</t>
  </si>
  <si>
    <t>n:39.692</t>
  </si>
  <si>
    <t>s:CBRT ForexBuying, bulletin 2024/159</t>
  </si>
  <si>
    <t>n:37.6852</t>
  </si>
  <si>
    <t>n:44.395</t>
  </si>
  <si>
    <t>n:33.8863</t>
  </si>
  <si>
    <t>d:2024-08-26</t>
  </si>
  <si>
    <t>n:39.9825</t>
  </si>
  <si>
    <t>s:CBRT ForexBuying, bulletin 2024/160</t>
  </si>
  <si>
    <t>n:37.9171</t>
  </si>
  <si>
    <t>n:44.6922</t>
  </si>
  <si>
    <t>n:33.9282</t>
  </si>
  <si>
    <t>d:2024-08-27</t>
  </si>
  <si>
    <t>n:40.0002</t>
  </si>
  <si>
    <t>s:CBRT ForexBuying, bulletin 2024/161</t>
  </si>
  <si>
    <t>n:37.9118</t>
  </si>
  <si>
    <t>n:44.7956</t>
  </si>
  <si>
    <t>n:33.9577</t>
  </si>
  <si>
    <t>d:2024-08-28</t>
  </si>
  <si>
    <t>n:40.1779</t>
  </si>
  <si>
    <t>s:CBRT ForexBuying, bulletin 2024/162</t>
  </si>
  <si>
    <t>n:37.8261</t>
  </si>
  <si>
    <t>n:44.8349</t>
  </si>
  <si>
    <t>n:33.9626</t>
  </si>
  <si>
    <t>d:2024-08-29</t>
  </si>
  <si>
    <t>n:40.1501</t>
  </si>
  <si>
    <t>s:CBRT ForexBuying, bulletin 2024/163</t>
  </si>
  <si>
    <t>n:37.6723</t>
  </si>
  <si>
    <t>n:44.7031</t>
  </si>
  <si>
    <t>n:33.9233</t>
  </si>
  <si>
    <t>d:2024-09-02</t>
  </si>
  <si>
    <t>n:39.8159</t>
  </si>
  <si>
    <t>s:CBRT ForexBuying, bulletin 2024/164</t>
  </si>
  <si>
    <t>n:37.5346</t>
  </si>
  <si>
    <t>n:44.4776</t>
  </si>
  <si>
    <t>n:33.9196</t>
  </si>
  <si>
    <t>d:2024-09-03</t>
  </si>
  <si>
    <t>n:39.6653</t>
  </si>
  <si>
    <t>s:CBRT ForexBuying, bulletin 2024/165</t>
  </si>
  <si>
    <t>n:37.4322</t>
  </si>
  <si>
    <t>n:44.3819</t>
  </si>
  <si>
    <t>n:33.887</t>
  </si>
  <si>
    <t>d:2024-09-04</t>
  </si>
  <si>
    <t>n:39.9226</t>
  </si>
  <si>
    <t>s:CBRT ForexBuying, bulletin 2024/166</t>
  </si>
  <si>
    <t>n:37.5501</t>
  </si>
  <si>
    <t>n:44.4813</t>
  </si>
  <si>
    <t>n:33.9725</t>
  </si>
  <si>
    <t>d:2024-09-05</t>
  </si>
  <si>
    <t>n:39.9776</t>
  </si>
  <si>
    <t>s:CBRT ForexBuying, bulletin 2024/167</t>
  </si>
  <si>
    <t>n:37.616</t>
  </si>
  <si>
    <t>n:44.5417</t>
  </si>
  <si>
    <t>n:33.9091</t>
  </si>
  <si>
    <t>d:2024-09-06</t>
  </si>
  <si>
    <t>n:40.1627</t>
  </si>
  <si>
    <t>s:CBRT ForexBuying, bulletin 2024/168</t>
  </si>
  <si>
    <t>n:37.6683</t>
  </si>
  <si>
    <t>n:44.5835</t>
  </si>
  <si>
    <t>n:33.8937</t>
  </si>
  <si>
    <t>d:2024-09-09</t>
  </si>
  <si>
    <t>n:39.9757</t>
  </si>
  <si>
    <t>s:CBRT ForexBuying, bulletin 2024/169</t>
  </si>
  <si>
    <t>n:37.5419</t>
  </si>
  <si>
    <t>n:44.3953</t>
  </si>
  <si>
    <t>n:33.9676</t>
  </si>
  <si>
    <t>d:2024-09-10</t>
  </si>
  <si>
    <t>n:39.9884</t>
  </si>
  <si>
    <t>s:CBRT ForexBuying, bulletin 2024/170</t>
  </si>
  <si>
    <t>n:37.5231</t>
  </si>
  <si>
    <t>n:44.431</t>
  </si>
  <si>
    <t>n:33.9904</t>
  </si>
  <si>
    <t>d:2024-09-11</t>
  </si>
  <si>
    <t>n:40.0403</t>
  </si>
  <si>
    <t>s:CBRT ForexBuying, bulletin 2024/171</t>
  </si>
  <si>
    <t>n:37.4837</t>
  </si>
  <si>
    <t>n:44.3404</t>
  </si>
  <si>
    <t>n:33.9398</t>
  </si>
  <si>
    <t>d:2024-09-12</t>
  </si>
  <si>
    <t>n:39.5976</t>
  </si>
  <si>
    <t>s:CBRT ForexBuying, bulletin 2024/172</t>
  </si>
  <si>
    <t>n:37.3343</t>
  </si>
  <si>
    <t>n:44.1463</t>
  </si>
  <si>
    <t>n:33.8984</t>
  </si>
  <si>
    <t>d:2024-09-13</t>
  </si>
  <si>
    <t>n:39.7799</t>
  </si>
  <si>
    <t>s:CBRT ForexBuying, bulletin 2024/173</t>
  </si>
  <si>
    <t>n:37.4964</t>
  </si>
  <si>
    <t>n:44.3399</t>
  </si>
  <si>
    <t>n:33.8159</t>
  </si>
  <si>
    <t>d:2024-09-16</t>
  </si>
  <si>
    <t>n:40.0184</t>
  </si>
  <si>
    <t>s:CBRT ForexBuying, bulletin 2024/174</t>
  </si>
  <si>
    <t>n:44.6085</t>
  </si>
  <si>
    <t>n:33.8895</t>
  </si>
  <si>
    <t>d:2024-09-17</t>
  </si>
  <si>
    <t>n:40.1527</t>
  </si>
  <si>
    <t>s:CBRT ForexBuying, bulletin 2024/175</t>
  </si>
  <si>
    <t>n:37.8255</t>
  </si>
  <si>
    <t>n:44.8209</t>
  </si>
  <si>
    <t>n:33.9681</t>
  </si>
  <si>
    <t>d:2024-09-18</t>
  </si>
  <si>
    <t>n:40.2323</t>
  </si>
  <si>
    <t>s:CBRT ForexBuying, bulletin 2024/176</t>
  </si>
  <si>
    <t>n:37.8693</t>
  </si>
  <si>
    <t>n:44.8605</t>
  </si>
  <si>
    <t>n:34.0283</t>
  </si>
  <si>
    <t>d:2024-09-19</t>
  </si>
  <si>
    <t>n:40.0655</t>
  </si>
  <si>
    <t>s:CBRT ForexBuying, bulletin 2024/177</t>
  </si>
  <si>
    <t>n:37.9182</t>
  </si>
  <si>
    <t>n:44.9993</t>
  </si>
  <si>
    <t>n:33.9766</t>
  </si>
  <si>
    <t>d:2024-09-20</t>
  </si>
  <si>
    <t>n:39.9358</t>
  </si>
  <si>
    <t>s:CBRT ForexBuying, bulletin 2024/178</t>
  </si>
  <si>
    <t>n:37.9058</t>
  </si>
  <si>
    <t>n:45.0895</t>
  </si>
  <si>
    <t>n:33.9531</t>
  </si>
  <si>
    <t>d:2024-09-23</t>
  </si>
  <si>
    <t>n:39.9572</t>
  </si>
  <si>
    <t>s:CBRT ForexBuying, bulletin 2024/179</t>
  </si>
  <si>
    <t>n:37.8615</t>
  </si>
  <si>
    <t>n:45.1934</t>
  </si>
  <si>
    <t>n:34.0627</t>
  </si>
  <si>
    <t>d:2024-09-24</t>
  </si>
  <si>
    <t>n:40.094</t>
  </si>
  <si>
    <t>s:CBRT ForexBuying, bulletin 2024/180</t>
  </si>
  <si>
    <t>n:37.9305</t>
  </si>
  <si>
    <t>n:45.4742</t>
  </si>
  <si>
    <t>n:34.0815</t>
  </si>
  <si>
    <t>d:2024-09-25</t>
  </si>
  <si>
    <t>n:40.1664</t>
  </si>
  <si>
    <t>s:CBRT ForexBuying, bulletin 2024/181</t>
  </si>
  <si>
    <t>n:38.1426</t>
  </si>
  <si>
    <t>n:45.5363</t>
  </si>
  <si>
    <t>n:34.0894</t>
  </si>
  <si>
    <t>d:2024-09-26</t>
  </si>
  <si>
    <t>n:40.0825</t>
  </si>
  <si>
    <t>s:CBRT ForexBuying, bulletin 2024/182</t>
  </si>
  <si>
    <t>n:38.0092</t>
  </si>
  <si>
    <t>n:34.0982</t>
  </si>
  <si>
    <t>d:2024-09-27</t>
  </si>
  <si>
    <t>n:40.248</t>
  </si>
  <si>
    <t>s:CBRT ForexBuying, bulletin 2024/183</t>
  </si>
  <si>
    <t>n:38.018</t>
  </si>
  <si>
    <t>n:45.5408</t>
  </si>
  <si>
    <t>n:34.09</t>
  </si>
  <si>
    <t>d:2024-09-30</t>
  </si>
  <si>
    <t>n:40.3765</t>
  </si>
  <si>
    <t>s:CBRT ForexBuying, bulletin 2024/184</t>
  </si>
  <si>
    <t>n:38.1714</t>
  </si>
  <si>
    <t>n:45.646</t>
  </si>
  <si>
    <t>n:34.121</t>
  </si>
  <si>
    <t>d:2024-10-01</t>
  </si>
  <si>
    <t>n:40.1986</t>
  </si>
  <si>
    <t>s:CBRT ForexBuying, bulletin 2024/185</t>
  </si>
  <si>
    <t>n:37.889</t>
  </si>
  <si>
    <t>n:45.4268</t>
  </si>
  <si>
    <t>n:34.1247</t>
  </si>
  <si>
    <t>d:2024-10-02</t>
  </si>
  <si>
    <t>n:40.24</t>
  </si>
  <si>
    <t>s:CBRT ForexBuying, bulletin 2024/186</t>
  </si>
  <si>
    <t>n:37.808</t>
  </si>
  <si>
    <t>n:45.3075</t>
  </si>
  <si>
    <t>n:34.1538</t>
  </si>
  <si>
    <t>d:2024-10-03</t>
  </si>
  <si>
    <t>n:39.9774</t>
  </si>
  <si>
    <t>s:CBRT ForexBuying, bulletin 2024/187</t>
  </si>
  <si>
    <t>n:37.6544</t>
  </si>
  <si>
    <t>n:44.7188</t>
  </si>
  <si>
    <t>n:34.1126</t>
  </si>
  <si>
    <t>d:2024-10-04</t>
  </si>
  <si>
    <t>n:39.9928</t>
  </si>
  <si>
    <t>s:CBRT ForexBuying, bulletin 2024/188</t>
  </si>
  <si>
    <t>n:37.6516</t>
  </si>
  <si>
    <t>n:44.8543</t>
  </si>
  <si>
    <t>n:34.1398</t>
  </si>
  <si>
    <t>d:2024-10-07</t>
  </si>
  <si>
    <t>n:39.7835</t>
  </si>
  <si>
    <t>s:CBRT ForexBuying, bulletin 2024/189</t>
  </si>
  <si>
    <t>n:37.4998</t>
  </si>
  <si>
    <t>n:44.6727</t>
  </si>
  <si>
    <t>n:34.1881</t>
  </si>
  <si>
    <t>d:2024-10-08</t>
  </si>
  <si>
    <t>n:39.9192</t>
  </si>
  <si>
    <t>s:CBRT ForexBuying, bulletin 2024/190</t>
  </si>
  <si>
    <t>n:37.5932</t>
  </si>
  <si>
    <t>n:44.7268</t>
  </si>
  <si>
    <t>n:34.2103</t>
  </si>
  <si>
    <t>d:2024-10-09</t>
  </si>
  <si>
    <t>n:39.7917</t>
  </si>
  <si>
    <t>s:CBRT ForexBuying, bulletin 2024/191</t>
  </si>
  <si>
    <t>n:37.4829</t>
  </si>
  <si>
    <t>n:44.6624</t>
  </si>
  <si>
    <t>n:34.1951</t>
  </si>
  <si>
    <t>d:2024-10-10</t>
  </si>
  <si>
    <t>n:39.6397</t>
  </si>
  <si>
    <t>s:CBRT ForexBuying, bulletin 2024/192</t>
  </si>
  <si>
    <t>n:37.3463</t>
  </si>
  <si>
    <t>n:44.5905</t>
  </si>
  <si>
    <t>n:34.1522</t>
  </si>
  <si>
    <t>d:2024-10-11</t>
  </si>
  <si>
    <t>n:39.7658</t>
  </si>
  <si>
    <t>s:CBRT ForexBuying, bulletin 2024/193</t>
  </si>
  <si>
    <t>n:37.373</t>
  </si>
  <si>
    <t>n:44.5585</t>
  </si>
  <si>
    <t>n:34.1625</t>
  </si>
  <si>
    <t>d:2024-10-14</t>
  </si>
  <si>
    <t>n:39.6775</t>
  </si>
  <si>
    <t>s:CBRT ForexBuying, bulletin 2024/194</t>
  </si>
  <si>
    <t>n:37.3644</t>
  </si>
  <si>
    <t>n:44.5842</t>
  </si>
  <si>
    <t>n:34.2034</t>
  </si>
  <si>
    <t>d:2024-10-15</t>
  </si>
  <si>
    <t>n:39.5894</t>
  </si>
  <si>
    <t>s:CBRT ForexBuying, bulletin 2024/195</t>
  </si>
  <si>
    <t>n:37.2908</t>
  </si>
  <si>
    <t>n:44.6371</t>
  </si>
  <si>
    <t>n:34.2018</t>
  </si>
  <si>
    <t>d:2024-10-16</t>
  </si>
  <si>
    <t>n:39.5253</t>
  </si>
  <si>
    <t>s:CBRT ForexBuying, bulletin 2024/196</t>
  </si>
  <si>
    <t>n:37.1938</t>
  </si>
  <si>
    <t>n:44.3685</t>
  </si>
  <si>
    <t>n:34.1633</t>
  </si>
  <si>
    <t>d:2024-10-17</t>
  </si>
  <si>
    <t>n:39.3574</t>
  </si>
  <si>
    <t>s:CBRT ForexBuying, bulletin 2024/197</t>
  </si>
  <si>
    <t>n:37.0392</t>
  </si>
  <si>
    <t>n:44.2525</t>
  </si>
  <si>
    <t>n:34.1155</t>
  </si>
  <si>
    <t>d:2024-10-18</t>
  </si>
  <si>
    <t>n:39.3672</t>
  </si>
  <si>
    <t>s:CBRT ForexBuying, bulletin 2024/198</t>
  </si>
  <si>
    <t>n:37.0621</t>
  </si>
  <si>
    <t>n:44.5163</t>
  </si>
  <si>
    <t>n:34.1786</t>
  </si>
  <si>
    <t>d:2024-10-21</t>
  </si>
  <si>
    <t>n:39.4312</t>
  </si>
  <si>
    <t>s:CBRT ForexBuying, bulletin 2024/199</t>
  </si>
  <si>
    <t>n:37.0871</t>
  </si>
  <si>
    <t>n:44.4347</t>
  </si>
  <si>
    <t>n:34.1788</t>
  </si>
  <si>
    <t>d:2024-10-22</t>
  </si>
  <si>
    <t>n:39.4001</t>
  </si>
  <si>
    <t>s:CBRT ForexBuying, bulletin 2024/200</t>
  </si>
  <si>
    <t>n:37.0035</t>
  </si>
  <si>
    <t>n:44.3239</t>
  </si>
  <si>
    <t>n:34.1821</t>
  </si>
  <si>
    <t>d:2024-10-23</t>
  </si>
  <si>
    <t>n:39.3386</t>
  </si>
  <si>
    <t>s:CBRT ForexBuying, bulletin 2024/201</t>
  </si>
  <si>
    <t>n:36.8722</t>
  </si>
  <si>
    <t>n:44.2847</t>
  </si>
  <si>
    <t>n:34.2011</t>
  </si>
  <si>
    <t>d:2024-10-24</t>
  </si>
  <si>
    <t>n:39.3958</t>
  </si>
  <si>
    <t>s:CBRT ForexBuying, bulletin 2024/202</t>
  </si>
  <si>
    <t>n:36.9095</t>
  </si>
  <si>
    <t>n:44.2397</t>
  </si>
  <si>
    <t>n:34.1902</t>
  </si>
  <si>
    <t>d:2024-10-25</t>
  </si>
  <si>
    <t>n:39.3671</t>
  </si>
  <si>
    <t>s:CBRT ForexBuying, bulletin 2024/203</t>
  </si>
  <si>
    <t>n:36.9993</t>
  </si>
  <si>
    <t>n:44.2915</t>
  </si>
  <si>
    <t>n:34.189</t>
  </si>
  <si>
    <t>d:2024-10-30</t>
  </si>
  <si>
    <t>n:39.3649</t>
  </si>
  <si>
    <t>s:CBRT ForexBuying, bulletin 2024/204</t>
  </si>
  <si>
    <t>n:37.0474</t>
  </si>
  <si>
    <t>n:44.3881</t>
  </si>
  <si>
    <t>n:34.2095</t>
  </si>
  <si>
    <t>d:2024-10-31</t>
  </si>
  <si>
    <t>n:39.4</t>
  </si>
  <si>
    <t>s:CBRT ForexBuying, bulletin 2024/205</t>
  </si>
  <si>
    <t>n:37.1235</t>
  </si>
  <si>
    <t>n:44.2973</t>
  </si>
  <si>
    <t>n:34.1787</t>
  </si>
  <si>
    <t>d:2024-11-01</t>
  </si>
  <si>
    <t>n:39.3638</t>
  </si>
  <si>
    <t>s:CBRT ForexBuying, bulletin 2024/206</t>
  </si>
  <si>
    <t>n:37.1848</t>
  </si>
  <si>
    <t>n:44.0978</t>
  </si>
  <si>
    <t>n:34.2236</t>
  </si>
  <si>
    <t>d:2024-11-04</t>
  </si>
  <si>
    <t>n:39.5705</t>
  </si>
  <si>
    <t>s:CBRT ForexBuying, bulletin 2024/207</t>
  </si>
  <si>
    <t>n:37.3528</t>
  </si>
  <si>
    <t>n:44.3865</t>
  </si>
  <si>
    <t>n:34.2757</t>
  </si>
  <si>
    <t>d:2024-11-05</t>
  </si>
  <si>
    <t>n:39.6451</t>
  </si>
  <si>
    <t>s:CBRT ForexBuying, bulletin 2024/208</t>
  </si>
  <si>
    <t>n:37.3363</t>
  </si>
  <si>
    <t>n:44.4229</t>
  </si>
  <si>
    <t>n:34.282</t>
  </si>
  <si>
    <t>d:2024-11-06</t>
  </si>
  <si>
    <t>n:38.9965</t>
  </si>
  <si>
    <t>s:CBRT ForexBuying, bulletin 2024/209</t>
  </si>
  <si>
    <t>n:36.7154</t>
  </si>
  <si>
    <t>n:43.9641</t>
  </si>
  <si>
    <t>n:34.1841</t>
  </si>
  <si>
    <t>d:2024-11-07</t>
  </si>
  <si>
    <t>n:38.9258</t>
  </si>
  <si>
    <t>s:CBRT ForexBuying, bulletin 2024/210</t>
  </si>
  <si>
    <t>n:36.7576</t>
  </si>
  <si>
    <t>n:44.0742</t>
  </si>
  <si>
    <t>n:34.1764</t>
  </si>
  <si>
    <t>d:2024-11-08</t>
  </si>
  <si>
    <t>n:39.2084</t>
  </si>
  <si>
    <t>s:CBRT ForexBuying, bulletin 2024/211</t>
  </si>
  <si>
    <t>n:36.9321</t>
  </si>
  <si>
    <t>n:44.3387</t>
  </si>
  <si>
    <t>n:34.2614</t>
  </si>
  <si>
    <t>d:2024-11-11</t>
  </si>
  <si>
    <t>n:38.9383</t>
  </si>
  <si>
    <t>s:CBRT ForexBuying, bulletin 2024/212</t>
  </si>
  <si>
    <t>n:36.6384</t>
  </si>
  <si>
    <t>n:44.1446</t>
  </si>
  <si>
    <t>n:34.2869</t>
  </si>
  <si>
    <t>d:2024-11-12</t>
  </si>
  <si>
    <t>n:38.8237</t>
  </si>
  <si>
    <t>s:CBRT ForexBuying, bulletin 2024/213</t>
  </si>
  <si>
    <t>n:36.4642</t>
  </si>
  <si>
    <t>n:43.9178</t>
  </si>
  <si>
    <t>n:34.3128</t>
  </si>
  <si>
    <t>d:2024-11-13</t>
  </si>
  <si>
    <t>n:38.7699</t>
  </si>
  <si>
    <t>s:CBRT ForexBuying, bulletin 2024/214</t>
  </si>
  <si>
    <t>n:36.4323</t>
  </si>
  <si>
    <t>n:43.6574</t>
  </si>
  <si>
    <t>n:34.3118</t>
  </si>
  <si>
    <t>d:2024-11-14</t>
  </si>
  <si>
    <t>n:38.5151</t>
  </si>
  <si>
    <t>s:CBRT ForexBuying, bulletin 2024/215</t>
  </si>
  <si>
    <t>n:36.1255</t>
  </si>
  <si>
    <t>n:43.3731</t>
  </si>
  <si>
    <t>n:34.2996</t>
  </si>
  <si>
    <t>d:2024-11-15</t>
  </si>
  <si>
    <t>n:38.584</t>
  </si>
  <si>
    <t>s:CBRT ForexBuying, bulletin 2024/216</t>
  </si>
  <si>
    <t>n:36.2766</t>
  </si>
  <si>
    <t>n:43.4323</t>
  </si>
  <si>
    <t>n:34.3333</t>
  </si>
  <si>
    <t>d:2024-11-18</t>
  </si>
  <si>
    <t>n:38.7248</t>
  </si>
  <si>
    <t>s:CBRT ForexBuying, bulletin 2024/217</t>
  </si>
  <si>
    <t>n:36.3227</t>
  </si>
  <si>
    <t>n:43.4045</t>
  </si>
  <si>
    <t>n:34.4321</t>
  </si>
  <si>
    <t>d:2024-11-19</t>
  </si>
  <si>
    <t>n:38.9806</t>
  </si>
  <si>
    <t>s:CBRT ForexBuying, bulletin 2024/218</t>
  </si>
  <si>
    <t>n:36.4813</t>
  </si>
  <si>
    <t>n:43.5922</t>
  </si>
  <si>
    <t>n:34.5162</t>
  </si>
  <si>
    <t>d:2024-11-20</t>
  </si>
  <si>
    <t>n:38.8207</t>
  </si>
  <si>
    <t>s:CBRT ForexBuying, bulletin 2024/219</t>
  </si>
  <si>
    <t>n:36.3826</t>
  </si>
  <si>
    <t>n:43.5749</t>
  </si>
  <si>
    <t>n:34.4372</t>
  </si>
  <si>
    <t>d:2024-11-21</t>
  </si>
  <si>
    <t>n:38.8972</t>
  </si>
  <si>
    <t>s:CBRT ForexBuying, bulletin 2024/220</t>
  </si>
  <si>
    <t>n:36.2759</t>
  </si>
  <si>
    <t>n:43.4726</t>
  </si>
  <si>
    <t>n:34.4495</t>
  </si>
  <si>
    <t>d:2024-11-22</t>
  </si>
  <si>
    <t>n:38.7391</t>
  </si>
  <si>
    <t>s:CBRT ForexBuying, bulletin 2024/221</t>
  </si>
  <si>
    <t>n:35.9849</t>
  </si>
  <si>
    <t>n:43.1554</t>
  </si>
  <si>
    <t>n:34.4642</t>
  </si>
  <si>
    <t>d:2024-11-25</t>
  </si>
  <si>
    <t>n:38.6846</t>
  </si>
  <si>
    <t>s:CBRT ForexBuying, bulletin 2024/222</t>
  </si>
  <si>
    <t>n:36.1612</t>
  </si>
  <si>
    <t>n:43.3342</t>
  </si>
  <si>
    <t>n:34.5184</t>
  </si>
  <si>
    <t>d:2024-11-26</t>
  </si>
  <si>
    <t>n:38.9103</t>
  </si>
  <si>
    <t>s:CBRT ForexBuying, bulletin 2024/223</t>
  </si>
  <si>
    <t>n:36.2891</t>
  </si>
  <si>
    <t>n:43.3657</t>
  </si>
  <si>
    <t>n:34.5726</t>
  </si>
  <si>
    <t>d:2024-11-27</t>
  </si>
  <si>
    <t>n:39.0448</t>
  </si>
  <si>
    <t>s:CBRT ForexBuying, bulletin 2024/224</t>
  </si>
  <si>
    <t>n:36.3371</t>
  </si>
  <si>
    <t>n:43.4856</t>
  </si>
  <si>
    <t>n:34.5728</t>
  </si>
  <si>
    <t>d:2024-11-28</t>
  </si>
  <si>
    <t>n:39.0127</t>
  </si>
  <si>
    <t>s:CBRT ForexBuying, bulletin 2024/225</t>
  </si>
  <si>
    <t>n:36.4509</t>
  </si>
  <si>
    <t>n:43.6819</t>
  </si>
  <si>
    <t>n:34.5697</t>
  </si>
  <si>
    <t>d:2024-11-29</t>
  </si>
  <si>
    <t>n:39.161</t>
  </si>
  <si>
    <t>s:CBRT ForexBuying, bulletin 2024/226</t>
  </si>
  <si>
    <t>n:36.5473</t>
  </si>
  <si>
    <t>n:43.863</t>
  </si>
  <si>
    <t>n:34.5794</t>
  </si>
  <si>
    <t>d:2024-12-02</t>
  </si>
  <si>
    <t>n:39.0441</t>
  </si>
  <si>
    <t>s:CBRT ForexBuying, bulletin 2024/227</t>
  </si>
  <si>
    <t>n:36.4313</t>
  </si>
  <si>
    <t>n:43.9234</t>
  </si>
  <si>
    <t>n:34.6432</t>
  </si>
  <si>
    <t>d:2024-12-03</t>
  </si>
  <si>
    <t>n:39.0516</t>
  </si>
  <si>
    <t>s:CBRT ForexBuying, bulletin 2024/228</t>
  </si>
  <si>
    <t>n:36.4494</t>
  </si>
  <si>
    <t>n:43.8539</t>
  </si>
  <si>
    <t>n:34.6766</t>
  </si>
  <si>
    <t>d:2024-12-04</t>
  </si>
  <si>
    <t>n:39.0368</t>
  </si>
  <si>
    <t>s:CBRT ForexBuying, bulletin 2024/229</t>
  </si>
  <si>
    <t>n:36.439</t>
  </si>
  <si>
    <t>n:43.9057</t>
  </si>
  <si>
    <t>n:34.6873</t>
  </si>
  <si>
    <t>d:2024-12-05</t>
  </si>
  <si>
    <t>n:39.1348</t>
  </si>
  <si>
    <t>s:CBRT ForexBuying, bulletin 2024/230</t>
  </si>
  <si>
    <t>n:36.5136</t>
  </si>
  <si>
    <t>n:44.0475</t>
  </si>
  <si>
    <t>n:34.6753</t>
  </si>
  <si>
    <t>d:2024-12-06</t>
  </si>
  <si>
    <t>n:39.4132</t>
  </si>
  <si>
    <t>s:CBRT ForexBuying, bulletin 2024/231</t>
  </si>
  <si>
    <t>n:36.7174</t>
  </si>
  <si>
    <t>n:44.2048</t>
  </si>
  <si>
    <t>n:34.7007</t>
  </si>
  <si>
    <t>d:2024-12-09</t>
  </si>
  <si>
    <t>n:39.4245</t>
  </si>
  <si>
    <t>s:CBRT ForexBuying, bulletin 2024/232</t>
  </si>
  <si>
    <t>n:36.715</t>
  </si>
  <si>
    <t>n:44.2712</t>
  </si>
  <si>
    <t>n:34.7499</t>
  </si>
  <si>
    <t>d:2024-12-10</t>
  </si>
  <si>
    <t>n:39.4554</t>
  </si>
  <si>
    <t>s:CBRT ForexBuying, bulletin 2024/233</t>
  </si>
  <si>
    <t>n:36.6602</t>
  </si>
  <si>
    <t>n:44.2768</t>
  </si>
  <si>
    <t>n:34.7797</t>
  </si>
  <si>
    <t>d:2024-12-11</t>
  </si>
  <si>
    <t>n:39.2739</t>
  </si>
  <si>
    <t>s:CBRT ForexBuying, bulletin 2024/234</t>
  </si>
  <si>
    <t>n:36.5548</t>
  </si>
  <si>
    <t>n:44.2625</t>
  </si>
  <si>
    <t>n:34.8028</t>
  </si>
  <si>
    <t>d:2024-12-12</t>
  </si>
  <si>
    <t>n:39.2263</t>
  </si>
  <si>
    <t>s:CBRT ForexBuying, bulletin 2024/235</t>
  </si>
  <si>
    <t>n:36.5873</t>
  </si>
  <si>
    <t>n:44.3381</t>
  </si>
  <si>
    <t>n:34.8177</t>
  </si>
  <si>
    <t>d:2024-12-13</t>
  </si>
  <si>
    <t>n:38.919</t>
  </si>
  <si>
    <t>s:CBRT ForexBuying, bulletin 2024/236</t>
  </si>
  <si>
    <t>n:36.5216</t>
  </si>
  <si>
    <t>n:43.996</t>
  </si>
  <si>
    <t>n:34.8621</t>
  </si>
  <si>
    <t>d:2024-12-16</t>
  </si>
  <si>
    <t>n:39.0535</t>
  </si>
  <si>
    <t>s:CBRT ForexBuying, bulletin 2024/237</t>
  </si>
  <si>
    <t>n:36.6498</t>
  </si>
  <si>
    <t>n:44.0456</t>
  </si>
  <si>
    <t>d:2024-12-17</t>
  </si>
  <si>
    <t>n:38.8618</t>
  </si>
  <si>
    <t>s:CBRT ForexBuying, bulletin 2024/238</t>
  </si>
  <si>
    <t>n:36.6424</t>
  </si>
  <si>
    <t>n:44.2423</t>
  </si>
  <si>
    <t>n:34.9219</t>
  </si>
  <si>
    <t>d:2024-12-18</t>
  </si>
  <si>
    <t>n:39.0334</t>
  </si>
  <si>
    <t>s:CBRT ForexBuying, bulletin 2024/239</t>
  </si>
  <si>
    <t>n:36.6959</t>
  </si>
  <si>
    <t>n:44.3188</t>
  </si>
  <si>
    <t>n:34.9529</t>
  </si>
  <si>
    <t>d:2024-12-19</t>
  </si>
  <si>
    <t>n:38.9239</t>
  </si>
  <si>
    <t>s:CBRT ForexBuying, bulletin 2024/240</t>
  </si>
  <si>
    <t>n:36.4134</t>
  </si>
  <si>
    <t>n:44.1441</t>
  </si>
  <si>
    <t>n:35.0067</t>
  </si>
  <si>
    <t>d:2024-12-20</t>
  </si>
  <si>
    <t>n:39.0473</t>
  </si>
  <si>
    <t>s:CBRT ForexBuying, bulletin 2024/241</t>
  </si>
  <si>
    <t>n:36.4162</t>
  </si>
  <si>
    <t>n:43.7733</t>
  </si>
  <si>
    <t>n:35.0619</t>
  </si>
  <si>
    <t>d:2024-12-23</t>
  </si>
  <si>
    <t>n:39.1254</t>
  </si>
  <si>
    <t>s:CBRT ForexBuying, bulletin 2024/242</t>
  </si>
  <si>
    <t>n:44.0117</t>
  </si>
  <si>
    <t>n:35.1065</t>
  </si>
  <si>
    <t>d:2024-12-24</t>
  </si>
  <si>
    <t>n:38.9982</t>
  </si>
  <si>
    <t>s:CBRT ForexBuying, bulletin 2024/243</t>
  </si>
  <si>
    <t>n:36.5693</t>
  </si>
  <si>
    <t>n:44.023</t>
  </si>
  <si>
    <t>n:35.1814</t>
  </si>
  <si>
    <t>d:2024-12-25</t>
  </si>
  <si>
    <t>s:CBRT ForexBuying, bulletin 2024/244</t>
  </si>
  <si>
    <t>n:36.6592</t>
  </si>
  <si>
    <t>n:44.1238</t>
  </si>
  <si>
    <t>n:35.2162</t>
  </si>
  <si>
    <t>d:2024-12-26</t>
  </si>
  <si>
    <t>n:39.0338</t>
  </si>
  <si>
    <t>s:CBRT ForexBuying, bulletin 2024/245</t>
  </si>
  <si>
    <t>n:36.6076</t>
  </si>
  <si>
    <t>n:44.0423</t>
  </si>
  <si>
    <t>n:35.2033</t>
  </si>
  <si>
    <t>d:2024-12-27</t>
  </si>
  <si>
    <t>n:38.9416</t>
  </si>
  <si>
    <t>s:CBRT ForexBuying, bulletin 2024/246</t>
  </si>
  <si>
    <t>n:36.6134</t>
  </si>
  <si>
    <t>n:43.9486</t>
  </si>
  <si>
    <t>n:35.1368</t>
  </si>
  <si>
    <t>d:2024-12-30</t>
  </si>
  <si>
    <t>n:38.951</t>
  </si>
  <si>
    <t>s:CBRT ForexBuying, bulletin 2024/247</t>
  </si>
  <si>
    <t>n:36.7429</t>
  </si>
  <si>
    <t>n:44.2458</t>
  </si>
  <si>
    <t>n:35.2233</t>
  </si>
  <si>
    <t>d:2024-12-31</t>
  </si>
  <si>
    <t>n:38.9446</t>
  </si>
  <si>
    <t>s:CBRT ForexBuying, bulletin 2024/248</t>
  </si>
  <si>
    <t>n:36.7362</t>
  </si>
  <si>
    <t>n:44.2073</t>
  </si>
  <si>
    <t>n:35.2803</t>
  </si>
  <si>
    <t>d:2025-01-02</t>
  </si>
  <si>
    <t>n:38.8308</t>
  </si>
  <si>
    <t>s:CBRT ForexBuying, bulletin 2025/1</t>
  </si>
  <si>
    <t>n:36.4804</t>
  </si>
  <si>
    <t>n:43.9513</t>
  </si>
  <si>
    <t>n:35.2525</t>
  </si>
  <si>
    <t>d:2025-01-03</t>
  </si>
  <si>
    <t>n:38.6701</t>
  </si>
  <si>
    <t>s:CBRT ForexBuying, bulletin 2025/2</t>
  </si>
  <si>
    <t>n:36.2762</t>
  </si>
  <si>
    <t>n:43.6637</t>
  </si>
  <si>
    <t>n:35.271</t>
  </si>
  <si>
    <t>d:2025-01-06</t>
  </si>
  <si>
    <t>n:38.8423</t>
  </si>
  <si>
    <t>s:CBRT ForexBuying, bulletin 2025/3</t>
  </si>
  <si>
    <t>n:36.5264</t>
  </si>
  <si>
    <t>n:43.9542</t>
  </si>
  <si>
    <t>n:35.2892</t>
  </si>
  <si>
    <t>d:2025-01-07</t>
  </si>
  <si>
    <t>n:38.9127</t>
  </si>
  <si>
    <t>s:CBRT ForexBuying, bulletin 2025/4</t>
  </si>
  <si>
    <t>n:36.7501</t>
  </si>
  <si>
    <t>n:44.2045</t>
  </si>
  <si>
    <t>n:35.2764</t>
  </si>
  <si>
    <t>d:2025-01-08</t>
  </si>
  <si>
    <t>n:38.6713</t>
  </si>
  <si>
    <t>s:CBRT ForexBuying, bulletin 2025/5</t>
  </si>
  <si>
    <t>n:36.459</t>
  </si>
  <si>
    <t>n:43.879</t>
  </si>
  <si>
    <t>n:35.3179</t>
  </si>
  <si>
    <t>d:2025-01-09</t>
  </si>
  <si>
    <t>n:38.6101</t>
  </si>
  <si>
    <t>s:CBRT ForexBuying, bulletin 2025/6</t>
  </si>
  <si>
    <t>n:36.3567</t>
  </si>
  <si>
    <t>n:43.2761</t>
  </si>
  <si>
    <t>n:35.2921</t>
  </si>
  <si>
    <t>d:2025-01-10</t>
  </si>
  <si>
    <t>n:38.6041</t>
  </si>
  <si>
    <t>s:CBRT ForexBuying, bulletin 2025/7</t>
  </si>
  <si>
    <t>n:36.3871</t>
  </si>
  <si>
    <t>n:43.3588</t>
  </si>
  <si>
    <t>n:35.3356</t>
  </si>
  <si>
    <t>d:2025-01-13</t>
  </si>
  <si>
    <t>n:38.5482</t>
  </si>
  <si>
    <t>s:CBRT ForexBuying, bulletin 2025/8</t>
  </si>
  <si>
    <t>n:36.1555</t>
  </si>
  <si>
    <t>n:42.8827</t>
  </si>
  <si>
    <t>n:35.4197</t>
  </si>
  <si>
    <t>d:2025-01-14</t>
  </si>
  <si>
    <t>n:38.5994</t>
  </si>
  <si>
    <t>s:CBRT ForexBuying, bulletin 2025/9</t>
  </si>
  <si>
    <t>n:36.3401</t>
  </si>
  <si>
    <t>n:43.1383</t>
  </si>
  <si>
    <t>n:35.4292</t>
  </si>
  <si>
    <t>d:2025-01-15</t>
  </si>
  <si>
    <t>n:38.7628</t>
  </si>
  <si>
    <t>s:CBRT ForexBuying, bulletin 2025/10</t>
  </si>
  <si>
    <t>n:36.5032</t>
  </si>
  <si>
    <t>n:43.2145</t>
  </si>
  <si>
    <t>n:35.4294</t>
  </si>
  <si>
    <t>d:2025-01-16</t>
  </si>
  <si>
    <t>n:38.744</t>
  </si>
  <si>
    <t>s:CBRT ForexBuying, bulletin 2025/11</t>
  </si>
  <si>
    <t>n:36.4274</t>
  </si>
  <si>
    <t>n:43.1444</t>
  </si>
  <si>
    <t>n:35.3979</t>
  </si>
  <si>
    <t>d:2025-01-17</t>
  </si>
  <si>
    <t>n:38.765</t>
  </si>
  <si>
    <t>s:CBRT ForexBuying, bulletin 2025/12</t>
  </si>
  <si>
    <t>n:36.4604</t>
  </si>
  <si>
    <t>n:43.1131</t>
  </si>
  <si>
    <t>n:35.4119</t>
  </si>
  <si>
    <t>d:2025-01-20</t>
  </si>
  <si>
    <t>n:38.8122</t>
  </si>
  <si>
    <t>s:CBRT ForexBuying, bulletin 2025/13</t>
  </si>
  <si>
    <t>n:36.6347</t>
  </si>
  <si>
    <t>n:43.2598</t>
  </si>
  <si>
    <t>n:35.5183</t>
  </si>
  <si>
    <t>d:2025-01-21</t>
  </si>
  <si>
    <t>n:38.9867</t>
  </si>
  <si>
    <t>s:CBRT ForexBuying, bulletin 2025/14</t>
  </si>
  <si>
    <t>n:36.832</t>
  </si>
  <si>
    <t>n:43.4873</t>
  </si>
  <si>
    <t>n:35.5516</t>
  </si>
  <si>
    <t>d:2025-01-22</t>
  </si>
  <si>
    <t>n:39.2163</t>
  </si>
  <si>
    <t>s:CBRT ForexBuying, bulletin 2025/15</t>
  </si>
  <si>
    <t>n:37.1109</t>
  </si>
  <si>
    <t>n:43.8491</t>
  </si>
  <si>
    <t>n:35.5815</t>
  </si>
  <si>
    <t>d:2025-01-23</t>
  </si>
  <si>
    <t>n:39.1409</t>
  </si>
  <si>
    <t>s:CBRT ForexBuying, bulletin 2025/16</t>
  </si>
  <si>
    <t>n:37.0294</t>
  </si>
  <si>
    <t>n:43.7365</t>
  </si>
  <si>
    <t>n:35.5915</t>
  </si>
  <si>
    <t>d:2025-01-24</t>
  </si>
  <si>
    <t>n:39.2527</t>
  </si>
  <si>
    <t>s:CBRT ForexBuying, bulletin 2025/17</t>
  </si>
  <si>
    <t>n:37.3073</t>
  </si>
  <si>
    <t>n:44.1063</t>
  </si>
  <si>
    <t>n:35.5994</t>
  </si>
  <si>
    <t>d:2025-01-27</t>
  </si>
  <si>
    <t>n:39.4352</t>
  </si>
  <si>
    <t>s:CBRT ForexBuying, bulletin 2025/18</t>
  </si>
  <si>
    <t>n:37.3915</t>
  </si>
  <si>
    <t>n:44.3911</t>
  </si>
  <si>
    <t>n:35.6602</t>
  </si>
  <si>
    <t>d:2025-01-28</t>
  </si>
  <si>
    <t>n:39.3019</t>
  </si>
  <si>
    <t>s:CBRT ForexBuying, bulletin 2025/19</t>
  </si>
  <si>
    <t>n:37.2335</t>
  </si>
  <si>
    <t>n:44.3219</t>
  </si>
  <si>
    <t>n:35.6978</t>
  </si>
  <si>
    <t>d:2025-01-29</t>
  </si>
  <si>
    <t>n:39.3351</t>
  </si>
  <si>
    <t>s:CBRT ForexBuying, bulletin 2025/20</t>
  </si>
  <si>
    <t>n:37.1865</t>
  </si>
  <si>
    <t>n:44.3204</t>
  </si>
  <si>
    <t>n:35.7067</t>
  </si>
  <si>
    <t>d:2025-01-30</t>
  </si>
  <si>
    <t>n:39.2822</t>
  </si>
  <si>
    <t>s:CBRT ForexBuying, bulletin 2025/21</t>
  </si>
  <si>
    <t>n:37.1844</t>
  </si>
  <si>
    <t>n:44.3676</t>
  </si>
  <si>
    <t>n:35.721</t>
  </si>
  <si>
    <t>d:2025-01-31</t>
  </si>
  <si>
    <t>n:39.1844</t>
  </si>
  <si>
    <t>s:CBRT ForexBuying, bulletin 2025/22</t>
  </si>
  <si>
    <t>n:37.1461</t>
  </si>
  <si>
    <t>n:44.3465</t>
  </si>
  <si>
    <t>n:35.763</t>
  </si>
  <si>
    <t>d:2025-02-03</t>
  </si>
  <si>
    <t>n:39.0617</t>
  </si>
  <si>
    <t>s:CBRT ForexBuying, bulletin 2025/23</t>
  </si>
  <si>
    <t>n:36.763</t>
  </si>
  <si>
    <t>n:44.0864</t>
  </si>
  <si>
    <t>n:35.9022</t>
  </si>
  <si>
    <t>d:2025-02-04</t>
  </si>
  <si>
    <t>n:39.3615</t>
  </si>
  <si>
    <t>s:CBRT ForexBuying, bulletin 2025/24</t>
  </si>
  <si>
    <t>n:37.0822</t>
  </si>
  <si>
    <t>n:44.5209</t>
  </si>
  <si>
    <t>n:35.9164</t>
  </si>
  <si>
    <t>d:2025-02-05</t>
  </si>
  <si>
    <t>n:39.6349</t>
  </si>
  <si>
    <t>s:CBRT ForexBuying, bulletin 2025/25</t>
  </si>
  <si>
    <t>n:37.3222</t>
  </si>
  <si>
    <t>n:44.8018</t>
  </si>
  <si>
    <t>n:35.8683</t>
  </si>
  <si>
    <t>d:2025-02-06</t>
  </si>
  <si>
    <t>n:39.5312</t>
  </si>
  <si>
    <t>s:CBRT ForexBuying, bulletin 2025/26</t>
  </si>
  <si>
    <t>n:37.1584</t>
  </si>
  <si>
    <t>n:44.5218</t>
  </si>
  <si>
    <t>n:35.8332</t>
  </si>
  <si>
    <t>d:2025-02-07</t>
  </si>
  <si>
    <t>n:39.5218</t>
  </si>
  <si>
    <t>s:CBRT ForexBuying, bulletin 2025/27</t>
  </si>
  <si>
    <t>n:37.2933</t>
  </si>
  <si>
    <t>n:44.6231</t>
  </si>
  <si>
    <t>n:35.9055</t>
  </si>
  <si>
    <t>d:2025-02-10</t>
  </si>
  <si>
    <t>n:39.3911</t>
  </si>
  <si>
    <t>s:CBRT ForexBuying, bulletin 2025/28</t>
  </si>
  <si>
    <t>n:37.1016</t>
  </si>
  <si>
    <t>n:44.5179</t>
  </si>
  <si>
    <t>n:35.9451</t>
  </si>
  <si>
    <t>d:2025-02-11</t>
  </si>
  <si>
    <t>n:39.3398</t>
  </si>
  <si>
    <t>s:CBRT ForexBuying, bulletin 2025/29</t>
  </si>
  <si>
    <t>n:37.0881</t>
  </si>
  <si>
    <t>n:44.3632</t>
  </si>
  <si>
    <t>n:35.9593</t>
  </si>
  <si>
    <t>d:2025-02-12</t>
  </si>
  <si>
    <t>n:39.4332</t>
  </si>
  <si>
    <t>s:CBRT ForexBuying, bulletin 2025/30</t>
  </si>
  <si>
    <t>n:37.3666</t>
  </si>
  <si>
    <t>n:44.7707</t>
  </si>
  <si>
    <t>n:36.0273</t>
  </si>
  <si>
    <t>d:2025-02-13</t>
  </si>
  <si>
    <t>n:39.587</t>
  </si>
  <si>
    <t>s:CBRT ForexBuying, bulletin 2025/31</t>
  </si>
  <si>
    <t>n:37.5557</t>
  </si>
  <si>
    <t>n:44.9389</t>
  </si>
  <si>
    <t>n:36.0448</t>
  </si>
  <si>
    <t>d:2025-02-14</t>
  </si>
  <si>
    <t>n:39.8995</t>
  </si>
  <si>
    <t>s:CBRT ForexBuying, bulletin 2025/32</t>
  </si>
  <si>
    <t>n:37.7997</t>
  </si>
  <si>
    <t>n:45.3303</t>
  </si>
  <si>
    <t>n:36.106</t>
  </si>
  <si>
    <t>d:2025-02-17</t>
  </si>
  <si>
    <t>n:40.0575</t>
  </si>
  <si>
    <t>s:CBRT ForexBuying, bulletin 2025/33</t>
  </si>
  <si>
    <t>n:37.8966</t>
  </si>
  <si>
    <t>n:45.4626</t>
  </si>
  <si>
    <t>n:36.1523</t>
  </si>
  <si>
    <t>d:2025-02-18</t>
  </si>
  <si>
    <t>n:40.0666</t>
  </si>
  <si>
    <t>s:CBRT ForexBuying, bulletin 2025/34</t>
  </si>
  <si>
    <t>n:37.8678</t>
  </si>
  <si>
    <t>n:45.5473</t>
  </si>
  <si>
    <t>n:36.1964</t>
  </si>
  <si>
    <t>d:2025-02-19</t>
  </si>
  <si>
    <t>n:39.9819</t>
  </si>
  <si>
    <t>s:CBRT ForexBuying, bulletin 2025/35</t>
  </si>
  <si>
    <t>n:37.812</t>
  </si>
  <si>
    <t>n:45.5852</t>
  </si>
  <si>
    <t>n:36.2267</t>
  </si>
  <si>
    <t>d:2025-02-20</t>
  </si>
  <si>
    <t>n:40.0791</t>
  </si>
  <si>
    <t>s:CBRT ForexBuying, bulletin 2025/36</t>
  </si>
  <si>
    <t>n:37.8218</t>
  </si>
  <si>
    <t>n:45.6149</t>
  </si>
  <si>
    <t>n:36.2472</t>
  </si>
  <si>
    <t>d:2025-02-21</t>
  </si>
  <si>
    <t>n:40.3065</t>
  </si>
  <si>
    <t>s:CBRT ForexBuying, bulletin 2025/37</t>
  </si>
  <si>
    <t>n:38.0381</t>
  </si>
  <si>
    <t>n:45.8683</t>
  </si>
  <si>
    <t>n:36.306</t>
  </si>
  <si>
    <t>d:2025-02-24</t>
  </si>
  <si>
    <t>n:40.3867</t>
  </si>
  <si>
    <t>s:CBRT ForexBuying, bulletin 2025/38</t>
  </si>
  <si>
    <t>n:38.1135</t>
  </si>
  <si>
    <t>n:45.9001</t>
  </si>
  <si>
    <t>n:36.3563</t>
  </si>
  <si>
    <t>d:2025-02-25</t>
  </si>
  <si>
    <t>n:40.5025</t>
  </si>
  <si>
    <t>s:CBRT ForexBuying, bulletin 2025/39</t>
  </si>
  <si>
    <t>n:38.1144</t>
  </si>
  <si>
    <t>n:45.8716</t>
  </si>
  <si>
    <t>n:36.3875</t>
  </si>
  <si>
    <t>d:2025-02-26</t>
  </si>
  <si>
    <t>n:40.5497</t>
  </si>
  <si>
    <t>s:CBRT ForexBuying, bulletin 2025/40</t>
  </si>
  <si>
    <t>n:38.1763</t>
  </si>
  <si>
    <t>n:45.9298</t>
  </si>
  <si>
    <t>n:36.3717</t>
  </si>
  <si>
    <t>d:2025-02-27</t>
  </si>
  <si>
    <t>n:40.4329</t>
  </si>
  <si>
    <t>s:CBRT ForexBuying, bulletin 2025/41</t>
  </si>
  <si>
    <t>n:38.104</t>
  </si>
  <si>
    <t>n:46.0035</t>
  </si>
  <si>
    <t>n:36.3652</t>
  </si>
  <si>
    <t>d:2025-02-28</t>
  </si>
  <si>
    <t>n:40.2552</t>
  </si>
  <si>
    <t>s:CBRT ForexBuying, bulletin 2025/42</t>
  </si>
  <si>
    <t>n:37.8234</t>
  </si>
  <si>
    <t>n:45.7326</t>
  </si>
  <si>
    <t>n:36.3812</t>
  </si>
  <si>
    <t>d:2025-03-03</t>
  </si>
  <si>
    <t>n:40.2923</t>
  </si>
  <si>
    <t>s:CBRT ForexBuying, bulletin 2025/43</t>
  </si>
  <si>
    <t>n:37.9507</t>
  </si>
  <si>
    <t>n:45.8744</t>
  </si>
  <si>
    <t>n:36.4097</t>
  </si>
  <si>
    <t>d:2025-03-04</t>
  </si>
  <si>
    <t>n:40.6844</t>
  </si>
  <si>
    <t>s:CBRT ForexBuying, bulletin 2025/44</t>
  </si>
  <si>
    <t>n:38.2606</t>
  </si>
  <si>
    <t>n:46.2174</t>
  </si>
  <si>
    <t>n:36.4011</t>
  </si>
  <si>
    <t>d:2025-03-05</t>
  </si>
  <si>
    <t>n:40.8812</t>
  </si>
  <si>
    <t>s:CBRT ForexBuying, bulletin 2025/45</t>
  </si>
  <si>
    <t>n:38.8476</t>
  </si>
  <si>
    <t>n:46.5634</t>
  </si>
  <si>
    <t>n:36.3682</t>
  </si>
  <si>
    <t>d:2025-03-06</t>
  </si>
  <si>
    <t>n:40.8871</t>
  </si>
  <si>
    <t>s:CBRT ForexBuying, bulletin 2025/46</t>
  </si>
  <si>
    <t>n:39.2821</t>
  </si>
  <si>
    <t>n:46.8031</t>
  </si>
  <si>
    <t>n:36.3748</t>
  </si>
  <si>
    <t>d:2025-03-07</t>
  </si>
  <si>
    <t>n:41.2048</t>
  </si>
  <si>
    <t>s:CBRT ForexBuying, bulletin 2025/47</t>
  </si>
  <si>
    <t>n:39.387</t>
  </si>
  <si>
    <t>n:46.8281</t>
  </si>
  <si>
    <t>n:36.3153</t>
  </si>
  <si>
    <t>d:2025-03-10</t>
  </si>
  <si>
    <t>n:41.4262</t>
  </si>
  <si>
    <t>s:CBRT ForexBuying, bulletin 2025/48</t>
  </si>
  <si>
    <t>n:39.5144</t>
  </si>
  <si>
    <t>n:46.974</t>
  </si>
  <si>
    <t>n:36.4558</t>
  </si>
  <si>
    <t>d:2025-03-11</t>
  </si>
  <si>
    <t>n:41.3558</t>
  </si>
  <si>
    <t>s:CBRT ForexBuying, bulletin 2025/49</t>
  </si>
  <si>
    <t>n:39.7755</t>
  </si>
  <si>
    <t>n:47.0901</t>
  </si>
  <si>
    <t>n:36.5088</t>
  </si>
  <si>
    <t>d:2025-03-12</t>
  </si>
  <si>
    <t>n:41.2997</t>
  </si>
  <si>
    <t>s:CBRT ForexBuying, bulletin 2025/50</t>
  </si>
  <si>
    <t>n:39.8506</t>
  </si>
  <si>
    <t>n:47.179</t>
  </si>
  <si>
    <t>n:36.5401</t>
  </si>
  <si>
    <t>d:2025-03-13</t>
  </si>
  <si>
    <t>n:41.324</t>
  </si>
  <si>
    <t>s:CBRT ForexBuying, bulletin 2025/51</t>
  </si>
  <si>
    <t>n:39.7179</t>
  </si>
  <si>
    <t>n:47.2375</t>
  </si>
  <si>
    <t>n:36.5387</t>
  </si>
  <si>
    <t>d:2025-03-14</t>
  </si>
  <si>
    <t>n:41.2208</t>
  </si>
  <si>
    <t>s:CBRT ForexBuying, bulletin 2025/52</t>
  </si>
  <si>
    <t>n:39.6843</t>
  </si>
  <si>
    <t>n:47.1761</t>
  </si>
  <si>
    <t>n:36.535</t>
  </si>
  <si>
    <t>d:2025-03-17</t>
  </si>
  <si>
    <t>n:41.3551</t>
  </si>
  <si>
    <t>s:CBRT ForexBuying, bulletin 2025/53</t>
  </si>
  <si>
    <t>n:39.8766</t>
  </si>
  <si>
    <t>n:47.3365</t>
  </si>
  <si>
    <t>n:36.6139</t>
  </si>
  <si>
    <t>d:2025-03-18</t>
  </si>
  <si>
    <t>n:41.484</t>
  </si>
  <si>
    <t>s:CBRT ForexBuying, bulletin 2025/54</t>
  </si>
  <si>
    <t>n:40.0133</t>
  </si>
  <si>
    <t>n:47.4421</t>
  </si>
  <si>
    <t>n:36.5922</t>
  </si>
  <si>
    <t>d:2025-03-19</t>
  </si>
  <si>
    <t>n:43.1704</t>
  </si>
  <si>
    <t>s:CBRT ForexBuying, bulletin 2025/55</t>
  </si>
  <si>
    <t>n:41.4214</t>
  </si>
  <si>
    <t>n:49.192</t>
  </si>
  <si>
    <t>n:37.9839</t>
  </si>
  <si>
    <t>d:2025-03-20</t>
  </si>
  <si>
    <t>n:42.9747</t>
  </si>
  <si>
    <t>s:CBRT ForexBuying, bulletin 2025/56</t>
  </si>
  <si>
    <t>n:41.1915</t>
  </si>
  <si>
    <t>n:49.0735</t>
  </si>
  <si>
    <t>n:37.915</t>
  </si>
  <si>
    <t>d:2025-03-21</t>
  </si>
  <si>
    <t>n:42.7894</t>
  </si>
  <si>
    <t>s:CBRT ForexBuying, bulletin 2025/57</t>
  </si>
  <si>
    <t>n:41.0195</t>
  </si>
  <si>
    <t>n:48.8913</t>
  </si>
  <si>
    <t>n:37.8502</t>
  </si>
  <si>
    <t>d:2025-03-24</t>
  </si>
  <si>
    <t>n:42.8296</t>
  </si>
  <si>
    <t>s:CBRT ForexBuying, bulletin 2025/58</t>
  </si>
  <si>
    <t>n:41.04</t>
  </si>
  <si>
    <t>n:48.9551</t>
  </si>
  <si>
    <t>n:37.86</t>
  </si>
  <si>
    <t>d:2025-03-25</t>
  </si>
  <si>
    <t>n:42.8142</t>
  </si>
  <si>
    <t>s:CBRT ForexBuying, bulletin 2025/59</t>
  </si>
  <si>
    <t>n:40.9489</t>
  </si>
  <si>
    <t>n:48.918</t>
  </si>
  <si>
    <t>n:37.9086</t>
  </si>
  <si>
    <t>d:2025-03-26</t>
  </si>
  <si>
    <t>n:42.8195</t>
  </si>
  <si>
    <t>s:CBRT ForexBuying, bulletin 2025/60</t>
  </si>
  <si>
    <t>n:40.9326</t>
  </si>
  <si>
    <t>n:48.8902</t>
  </si>
  <si>
    <t>n:37.9287</t>
  </si>
  <si>
    <t>d:2025-03-27</t>
  </si>
  <si>
    <t>n:42.8155</t>
  </si>
  <si>
    <t>s:CBRT ForexBuying, bulletin 2025/61</t>
  </si>
  <si>
    <t>n:40.874</t>
  </si>
  <si>
    <t>n:48.9378</t>
  </si>
  <si>
    <t>n:37.9323</t>
  </si>
  <si>
    <t>d:2025-03-28</t>
  </si>
  <si>
    <t>n:42.699</t>
  </si>
  <si>
    <t>s:CBRT ForexBuying, bulletin 2025/62</t>
  </si>
  <si>
    <t>n:40.7019</t>
  </si>
  <si>
    <t>n:48.7963</t>
  </si>
  <si>
    <t>n:37.7656</t>
  </si>
  <si>
    <t>d:2025-04-02</t>
  </si>
  <si>
    <t>n:42.7188</t>
  </si>
  <si>
    <t>s:CBRT ForexBuying, bulletin 2025/63</t>
  </si>
  <si>
    <t>n:40.8746</t>
  </si>
  <si>
    <t>n:48.8657</t>
  </si>
  <si>
    <t>n:37.8559</t>
  </si>
  <si>
    <t>d:2025-04-03</t>
  </si>
  <si>
    <t>n:43.6673</t>
  </si>
  <si>
    <t>s:CBRT ForexBuying, bulletin 2025/64</t>
  </si>
  <si>
    <t>n:41.74</t>
  </si>
  <si>
    <t>n:49.7118</t>
  </si>
  <si>
    <t>n:37.8637</t>
  </si>
  <si>
    <t>d:2025-04-04</t>
  </si>
  <si>
    <t>n:44.2281</t>
  </si>
  <si>
    <t>s:CBRT ForexBuying, bulletin 2025/65</t>
  </si>
  <si>
    <t>n:41.7115</t>
  </si>
  <si>
    <t>n:49.152</t>
  </si>
  <si>
    <t>n:37.8465</t>
  </si>
  <si>
    <t>d:2025-04-07</t>
  </si>
  <si>
    <t>n:44.4355</t>
  </si>
  <si>
    <t>s:CBRT ForexBuying, bulletin 2025/66</t>
  </si>
  <si>
    <t>n:41.6552</t>
  </si>
  <si>
    <t>n:48.6948</t>
  </si>
  <si>
    <t>n:37.933</t>
  </si>
  <si>
    <t>d:2025-04-08</t>
  </si>
  <si>
    <t>n:44.1563</t>
  </si>
  <si>
    <t>s:CBRT ForexBuying, bulletin 2025/67</t>
  </si>
  <si>
    <t>n:41.4822</t>
  </si>
  <si>
    <t>n:48.3201</t>
  </si>
  <si>
    <t>n:37.93</t>
  </si>
  <si>
    <t>d:2025-04-09</t>
  </si>
  <si>
    <t>n:44.919</t>
  </si>
  <si>
    <t>s:CBRT ForexBuying, bulletin 2025/68</t>
  </si>
  <si>
    <t>n:41.871</t>
  </si>
  <si>
    <t>n:48.5207</t>
  </si>
  <si>
    <t>n:37.9327</t>
  </si>
  <si>
    <t>d:2025-04-10</t>
  </si>
  <si>
    <t>n:44.641</t>
  </si>
  <si>
    <t>s:CBRT ForexBuying, bulletin 2025/69</t>
  </si>
  <si>
    <t>n:41.8133</t>
  </si>
  <si>
    <t>n:48.7317</t>
  </si>
  <si>
    <t>n:37.8646</t>
  </si>
  <si>
    <t>d:2025-04-11</t>
  </si>
  <si>
    <t>n:46.2545</t>
  </si>
  <si>
    <t>s:CBRT ForexBuying, bulletin 2025/70</t>
  </si>
  <si>
    <t>n:43.0405</t>
  </si>
  <si>
    <t>n:49.4987</t>
  </si>
  <si>
    <t>n:37.9073</t>
  </si>
  <si>
    <t>d:2025-04-14</t>
  </si>
  <si>
    <t>n:46.3267</t>
  </si>
  <si>
    <t>s:CBRT ForexBuying, bulletin 2025/71</t>
  </si>
  <si>
    <t>n:43.2496</t>
  </si>
  <si>
    <t>n:49.9387</t>
  </si>
  <si>
    <t>n:37.9649</t>
  </si>
  <si>
    <t>d:2025-04-15</t>
  </si>
  <si>
    <t>n:46.4922</t>
  </si>
  <si>
    <t>s:CBRT ForexBuying, bulletin 2025/72</t>
  </si>
  <si>
    <t>n:43.101</t>
  </si>
  <si>
    <t>n:50.1835</t>
  </si>
  <si>
    <t>n:38.0065</t>
  </si>
  <si>
    <t>d:2025-04-16</t>
  </si>
  <si>
    <t>n:46.5035</t>
  </si>
  <si>
    <t>s:CBRT ForexBuying, bulletin 2025/73</t>
  </si>
  <si>
    <t>n:43.2457</t>
  </si>
  <si>
    <t>n:50.4164</t>
  </si>
  <si>
    <t>n:38.0472</t>
  </si>
  <si>
    <t>d:2025-04-17</t>
  </si>
  <si>
    <t>n:46.4527</t>
  </si>
  <si>
    <t>s:CBRT ForexBuying, bulletin 2025/74</t>
  </si>
  <si>
    <t>n:43.2644</t>
  </si>
  <si>
    <t>n:50.2831</t>
  </si>
  <si>
    <t>n:38.0611</t>
  </si>
  <si>
    <t>d:2025-04-18</t>
  </si>
  <si>
    <t>n:46.3125</t>
  </si>
  <si>
    <t>s:CBRT ForexBuying, bulletin 2025/75</t>
  </si>
  <si>
    <t>n:43.2143</t>
  </si>
  <si>
    <t>n:50.352</t>
  </si>
  <si>
    <t>n:38.0032</t>
  </si>
  <si>
    <t>d:2025-04-21</t>
  </si>
  <si>
    <t>n:47.1692</t>
  </si>
  <si>
    <t>s:CBRT ForexBuying, bulletin 2025/76</t>
  </si>
  <si>
    <t>n:43.9857</t>
  </si>
  <si>
    <t>n:50.9836</t>
  </si>
  <si>
    <t>n:38.114</t>
  </si>
  <si>
    <t>d:2025-04-22</t>
  </si>
  <si>
    <t>n:46.897</t>
  </si>
  <si>
    <t>s:CBRT ForexBuying, bulletin 2025/77</t>
  </si>
  <si>
    <t>n:43.8343</t>
  </si>
  <si>
    <t>n:50.9273</t>
  </si>
  <si>
    <t>n:38.1314</t>
  </si>
  <si>
    <t>d:2025-04-24</t>
  </si>
  <si>
    <t>n:46.1628</t>
  </si>
  <si>
    <t>s:CBRT ForexBuying, bulletin 2025/78</t>
  </si>
  <si>
    <t>n:43.485</t>
  </si>
  <si>
    <t>n:50.7477</t>
  </si>
  <si>
    <t>n:38.2289</t>
  </si>
  <si>
    <t>d:2025-04-25</t>
  </si>
  <si>
    <t>n:45.9471</t>
  </si>
  <si>
    <t>s:CBRT ForexBuying, bulletin 2025/79</t>
  </si>
  <si>
    <t>n:43.4132</t>
  </si>
  <si>
    <t>n:50.8007</t>
  </si>
  <si>
    <t>n:38.2455</t>
  </si>
  <si>
    <t>d:2025-04-28</t>
  </si>
  <si>
    <t>n:46.0979</t>
  </si>
  <si>
    <t>s:CBRT ForexBuying, bulletin 2025/80</t>
  </si>
  <si>
    <t>n:43.5309</t>
  </si>
  <si>
    <t>n:51.0386</t>
  </si>
  <si>
    <t>n:38.3665</t>
  </si>
  <si>
    <t>d:2025-04-29</t>
  </si>
  <si>
    <t>n:46.4075</t>
  </si>
  <si>
    <t>s:CBRT ForexBuying, bulletin 2025/81</t>
  </si>
  <si>
    <t>n:43.6858</t>
  </si>
  <si>
    <t>n:51.3277</t>
  </si>
  <si>
    <t>n:38.3672</t>
  </si>
  <si>
    <t>d:2025-04-30</t>
  </si>
  <si>
    <t>n:46.3907</t>
  </si>
  <si>
    <t>s:CBRT ForexBuying, bulletin 2025/82</t>
  </si>
  <si>
    <t>n:43.6361</t>
  </si>
  <si>
    <t>n:51.218</t>
  </si>
  <si>
    <t>n:38.3684</t>
  </si>
  <si>
    <t>d:2025-05-02</t>
  </si>
  <si>
    <t>n:46.3874</t>
  </si>
  <si>
    <t>s:CBRT ForexBuying, bulletin 2025/83</t>
  </si>
  <si>
    <t>n:43.496</t>
  </si>
  <si>
    <t>n:50.9437</t>
  </si>
  <si>
    <t>n:38.3695</t>
  </si>
  <si>
    <t>d:2025-05-05</t>
  </si>
  <si>
    <t>n:46.5927</t>
  </si>
  <si>
    <t>s:CBRT ForexBuying, bulletin 2025/84</t>
  </si>
  <si>
    <t>n:43.6421</t>
  </si>
  <si>
    <t>n:51.113</t>
  </si>
  <si>
    <t>n:38.5105</t>
  </si>
  <si>
    <t>d:2025-05-06</t>
  </si>
  <si>
    <t>n:46.6165</t>
  </si>
  <si>
    <t>s:CBRT ForexBuying, bulletin 2025/85</t>
  </si>
  <si>
    <t>n:43.6354</t>
  </si>
  <si>
    <t>n:51.2635</t>
  </si>
  <si>
    <t>n:38.5259</t>
  </si>
  <si>
    <t>d:2025-05-07</t>
  </si>
  <si>
    <t>n:46.6543</t>
  </si>
  <si>
    <t>s:CBRT ForexBuying, bulletin 2025/86</t>
  </si>
  <si>
    <t>n:43.809</t>
  </si>
  <si>
    <t>n:51.3716</t>
  </si>
  <si>
    <t>n:38.556</t>
  </si>
  <si>
    <t>d:2025-05-08</t>
  </si>
  <si>
    <t>n:46.5414</t>
  </si>
  <si>
    <t>s:CBRT ForexBuying, bulletin 2025/87</t>
  </si>
  <si>
    <t>n:43.5242</t>
  </si>
  <si>
    <t>n:51.1268</t>
  </si>
  <si>
    <t>n:38.5529</t>
  </si>
  <si>
    <t>d:2025-05-09</t>
  </si>
  <si>
    <t>n:46.3166</t>
  </si>
  <si>
    <t>s:CBRT ForexBuying, bulletin 2025/88</t>
  </si>
  <si>
    <t>n:43.3914</t>
  </si>
  <si>
    <t>n:51.0783</t>
  </si>
  <si>
    <t>n:38.5725</t>
  </si>
  <si>
    <t>d:2025-05-12</t>
  </si>
  <si>
    <t>n:45.8007</t>
  </si>
  <si>
    <t>s:CBRT ForexBuying, bulletin 2025/89</t>
  </si>
  <si>
    <t>n:43.0404</t>
  </si>
  <si>
    <t>n:38.6761</t>
  </si>
  <si>
    <t>d:2025-05-13</t>
  </si>
  <si>
    <t>n:45.9021</t>
  </si>
  <si>
    <t>s:CBRT ForexBuying, bulletin 2025/90</t>
  </si>
  <si>
    <t>n:43.0087</t>
  </si>
  <si>
    <t>n:51.0461</t>
  </si>
  <si>
    <t>n:38.7123</t>
  </si>
  <si>
    <t>d:2025-05-14</t>
  </si>
  <si>
    <t>n:46.1451</t>
  </si>
  <si>
    <t>s:CBRT ForexBuying, bulletin 2025/91</t>
  </si>
  <si>
    <t>n:43.4288</t>
  </si>
  <si>
    <t>n:51.5075</t>
  </si>
  <si>
    <t>n:38.6933</t>
  </si>
  <si>
    <t>d:2025-05-15</t>
  </si>
  <si>
    <t>n:46.015</t>
  </si>
  <si>
    <t>s:CBRT ForexBuying, bulletin 2025/92</t>
  </si>
  <si>
    <t>n:43.2847</t>
  </si>
  <si>
    <t>n:51.2395</t>
  </si>
  <si>
    <t>n:38.6349</t>
  </si>
  <si>
    <t>d:2025-05-16</t>
  </si>
  <si>
    <t>n:46.0831</t>
  </si>
  <si>
    <t>s:CBRT ForexBuying, bulletin 2025/93</t>
  </si>
  <si>
    <t>n:43.2309</t>
  </si>
  <si>
    <t>n:51.2493</t>
  </si>
  <si>
    <t>n:38.5944</t>
  </si>
  <si>
    <t>d:2025-05-20</t>
  </si>
  <si>
    <t>n:46.4454</t>
  </si>
  <si>
    <t>s:CBRT ForexBuying, bulletin 2025/94</t>
  </si>
  <si>
    <t>n:43.6422</t>
  </si>
  <si>
    <t>n:51.7569</t>
  </si>
  <si>
    <t>n:38.7709</t>
  </si>
  <si>
    <t>d:2025-05-21</t>
  </si>
  <si>
    <t>n:46.9118</t>
  </si>
  <si>
    <t>s:CBRT ForexBuying, bulletin 2025/95</t>
  </si>
  <si>
    <t>n:43.9134</t>
  </si>
  <si>
    <t>n:51.9103</t>
  </si>
  <si>
    <t>n:38.7602</t>
  </si>
  <si>
    <t>d:2025-05-22</t>
  </si>
  <si>
    <t>n:46.8615</t>
  </si>
  <si>
    <t>s:CBRT ForexBuying, bulletin 2025/96</t>
  </si>
  <si>
    <t>n:43.8666</t>
  </si>
  <si>
    <t>n:51.9479</t>
  </si>
  <si>
    <t>n:38.7965</t>
  </si>
  <si>
    <t>d:2025-05-23</t>
  </si>
  <si>
    <t>n:46.9019</t>
  </si>
  <si>
    <t>s:CBRT ForexBuying, bulletin 2025/97</t>
  </si>
  <si>
    <t>n:44.0028</t>
  </si>
  <si>
    <t>n:52.2504</t>
  </si>
  <si>
    <t>n:38.8174</t>
  </si>
  <si>
    <t>d:2025-05-26</t>
  </si>
  <si>
    <t>n:47.2389</t>
  </si>
  <si>
    <t>s:CBRT ForexBuying, bulletin 2025/98</t>
  </si>
  <si>
    <t>n:44.2855</t>
  </si>
  <si>
    <t>n:52.6642</t>
  </si>
  <si>
    <t>n:38.8907</t>
  </si>
  <si>
    <t>d:2025-05-27</t>
  </si>
  <si>
    <t>n:47.0234</t>
  </si>
  <si>
    <t>s:CBRT ForexBuying, bulletin 2025/99</t>
  </si>
  <si>
    <t>n:44.1526</t>
  </si>
  <si>
    <t>n:52.5872</t>
  </si>
  <si>
    <t>n:38.9027</t>
  </si>
  <si>
    <t>d:2025-05-28</t>
  </si>
  <si>
    <t>n:47.0224</t>
  </si>
  <si>
    <t>s:CBRT ForexBuying, bulletin 2025/100</t>
  </si>
  <si>
    <t>n:44.1399</t>
  </si>
  <si>
    <t>n:52.5154</t>
  </si>
  <si>
    <t>n:38.9808</t>
  </si>
  <si>
    <t>d:2025-05-29</t>
  </si>
  <si>
    <t>n:46.9391</t>
  </si>
  <si>
    <t>s:CBRT ForexBuying, bulletin 2025/101</t>
  </si>
  <si>
    <t>n:43.9996</t>
  </si>
  <si>
    <t>n:52.4493</t>
  </si>
  <si>
    <t>n:39.0212</t>
  </si>
  <si>
    <t>d:2025-05-30</t>
  </si>
  <si>
    <t>n:47.295</t>
  </si>
  <si>
    <t>s:CBRT ForexBuying, bulletin 2025/102</t>
  </si>
  <si>
    <t>n:44.2706</t>
  </si>
  <si>
    <t>n:52.5407</t>
  </si>
  <si>
    <t>n:39.0626</t>
  </si>
  <si>
    <t>d:2025-06-02</t>
  </si>
  <si>
    <t>n:47.6991</t>
  </si>
  <si>
    <t>s:CBRT ForexBuying, bulletin 2025/103</t>
  </si>
  <si>
    <t>n:44.6554</t>
  </si>
  <si>
    <t>n:52.8658</t>
  </si>
  <si>
    <t>n:39.1151</t>
  </si>
  <si>
    <t>d:2025-06-03</t>
  </si>
  <si>
    <t>n:47.5979</t>
  </si>
  <si>
    <t>s:CBRT ForexBuying, bulletin 2025/104</t>
  </si>
  <si>
    <t>n:44.5878</t>
  </si>
  <si>
    <t>n:52.7281</t>
  </si>
  <si>
    <t>n:39.0798</t>
  </si>
  <si>
    <t>d:2025-06-04</t>
  </si>
  <si>
    <t>n:47.331</t>
  </si>
  <si>
    <t>s:CBRT ForexBuying, bulletin 2025/105</t>
  </si>
  <si>
    <t>n:44.4673</t>
  </si>
  <si>
    <t>n:52.7484</t>
  </si>
  <si>
    <t>n:39.0575</t>
  </si>
  <si>
    <t>d:2025-06-10</t>
  </si>
  <si>
    <t>n:47.5282</t>
  </si>
  <si>
    <t>s:CBRT ForexBuying, bulletin 2025/106</t>
  </si>
  <si>
    <t>n:44.6599</t>
  </si>
  <si>
    <t>n:52.7132</t>
  </si>
  <si>
    <t>n:39.1385</t>
  </si>
  <si>
    <t>d:2025-06-11</t>
  </si>
  <si>
    <t>n:47.4566</t>
  </si>
  <si>
    <t>s:CBRT ForexBuying, bulletin 2025/107</t>
  </si>
  <si>
    <t>n:44.7047</t>
  </si>
  <si>
    <t>n:52.679</t>
  </si>
  <si>
    <t>n:39.1192</t>
  </si>
  <si>
    <t>d:2025-06-12</t>
  </si>
  <si>
    <t>n:48.0566</t>
  </si>
  <si>
    <t>s:CBRT ForexBuying, bulletin 2025/108</t>
  </si>
  <si>
    <t>n:45.3249</t>
  </si>
  <si>
    <t>n:53.1335</t>
  </si>
  <si>
    <t>d:2025-06-13</t>
  </si>
  <si>
    <t>n:48.2017</t>
  </si>
  <si>
    <t>s:CBRT ForexBuying, bulletin 2025/109</t>
  </si>
  <si>
    <t>n:45.2384</t>
  </si>
  <si>
    <t>n:53.0839</t>
  </si>
  <si>
    <t>n:39.2546</t>
  </si>
  <si>
    <t>d:2025-06-16</t>
  </si>
  <si>
    <t>n:48.3501</t>
  </si>
  <si>
    <t>s:CBRT ForexBuying, bulletin 2025/110</t>
  </si>
  <si>
    <t>n:45.5225</t>
  </si>
  <si>
    <t>n:53.3159</t>
  </si>
  <si>
    <t>n:39.321</t>
  </si>
  <si>
    <t>d:2025-06-17</t>
  </si>
  <si>
    <t>n:48.2468</t>
  </si>
  <si>
    <t>s:CBRT ForexBuying, bulletin 2025/111</t>
  </si>
  <si>
    <t>n:45.4312</t>
  </si>
  <si>
    <t>n:53.1894</t>
  </si>
  <si>
    <t>n:39.3015</t>
  </si>
  <si>
    <t>d:2025-06-18</t>
  </si>
  <si>
    <t>n:48.1475</t>
  </si>
  <si>
    <t>s:CBRT ForexBuying, bulletin 2025/112</t>
  </si>
  <si>
    <t>n:45.357</t>
  </si>
  <si>
    <t>n:52.9555</t>
  </si>
  <si>
    <t>n:39.4229</t>
  </si>
  <si>
    <t>d:2025-06-19</t>
  </si>
  <si>
    <t>n:48.1506</t>
  </si>
  <si>
    <t>s:CBRT ForexBuying, bulletin 2025/113</t>
  </si>
  <si>
    <t>n:45.2939</t>
  </si>
  <si>
    <t>n:52.8994</t>
  </si>
  <si>
    <t>n:39.4801</t>
  </si>
  <si>
    <t>d:2025-06-20</t>
  </si>
  <si>
    <t>n:48.3204</t>
  </si>
  <si>
    <t>s:CBRT ForexBuying, bulletin 2025/114</t>
  </si>
  <si>
    <t>n:45.5548</t>
  </si>
  <si>
    <t>n:53.2385</t>
  </si>
  <si>
    <t>n:39.541</t>
  </si>
  <si>
    <t>d:2025-06-23</t>
  </si>
  <si>
    <t>n:48.3769</t>
  </si>
  <si>
    <t>s:CBRT ForexBuying, bulletin 2025/115</t>
  </si>
  <si>
    <t>n:45.526</t>
  </si>
  <si>
    <t>n:53.0719</t>
  </si>
  <si>
    <t>n:39.647</t>
  </si>
  <si>
    <t>d:2025-06-24</t>
  </si>
  <si>
    <t>n:48.673</t>
  </si>
  <si>
    <t>s:CBRT ForexBuying, bulletin 2025/116</t>
  </si>
  <si>
    <t>n:45.8819</t>
  </si>
  <si>
    <t>n:53.6922</t>
  </si>
  <si>
    <t>n:39.5502</t>
  </si>
  <si>
    <t>d:2025-06-25</t>
  </si>
  <si>
    <t>n:49.0664</t>
  </si>
  <si>
    <t>s:CBRT ForexBuying, bulletin 2025/117</t>
  </si>
  <si>
    <t>n:45.9946</t>
  </si>
  <si>
    <t>n:53.8742</t>
  </si>
  <si>
    <t>n:39.6392</t>
  </si>
  <si>
    <t>d:2025-06-26</t>
  </si>
  <si>
    <t>n:49.4481</t>
  </si>
  <si>
    <t>s:CBRT ForexBuying, bulletin 2025/118</t>
  </si>
  <si>
    <t>n:46.4941</t>
  </si>
  <si>
    <t>n:54.4178</t>
  </si>
  <si>
    <t>n:39.6989</t>
  </si>
  <si>
    <t>d:2025-06-27</t>
  </si>
  <si>
    <t>n:49.636</t>
  </si>
  <si>
    <t>s:CBRT ForexBuying, bulletin 2025/119</t>
  </si>
  <si>
    <t>n:46.5526</t>
  </si>
  <si>
    <t>n:54.5078</t>
  </si>
  <si>
    <t>n:39.7424</t>
  </si>
  <si>
    <t>d:2025-06-30</t>
  </si>
  <si>
    <t>n:49.7035</t>
  </si>
  <si>
    <t>s:CBRT ForexBuying, bulletin 2025/120</t>
  </si>
  <si>
    <t>n:46.6074</t>
  </si>
  <si>
    <t>n:54.3777</t>
  </si>
  <si>
    <t>n:39.7408</t>
  </si>
  <si>
    <t>d:2025-07-01</t>
  </si>
  <si>
    <t>n:50.2566</t>
  </si>
  <si>
    <t>s:CBRT ForexBuying, bulletin 2025/121</t>
  </si>
  <si>
    <t>n:46.9375</t>
  </si>
  <si>
    <t>n:54.6522</t>
  </si>
  <si>
    <t>n:39.7733</t>
  </si>
  <si>
    <t>d:2025-07-02</t>
  </si>
  <si>
    <t>n:50.0008</t>
  </si>
  <si>
    <t>s:CBRT ForexBuying, bulletin 2025/122</t>
  </si>
  <si>
    <t>n:46.7606</t>
  </si>
  <si>
    <t>n:54.3284</t>
  </si>
  <si>
    <t>n:39.7292</t>
  </si>
  <si>
    <t>d:2025-07-03</t>
  </si>
  <si>
    <t>n:49.9788</t>
  </si>
  <si>
    <t>s:CBRT ForexBuying, bulletin 2025/123</t>
  </si>
  <si>
    <t>n:46.8004</t>
  </si>
  <si>
    <t>n:54.0944</t>
  </si>
  <si>
    <t>n:39.677</t>
  </si>
  <si>
    <t>d:2025-07-04</t>
  </si>
  <si>
    <t>n:49.8917</t>
  </si>
  <si>
    <t>s:CBRT ForexBuying, bulletin 2025/124</t>
  </si>
  <si>
    <t>n:46.7222</t>
  </si>
  <si>
    <t>n:54.1032</t>
  </si>
  <si>
    <t>n:39.6792</t>
  </si>
  <si>
    <t>d:2025-07-07</t>
  </si>
  <si>
    <t>n:49.9624</t>
  </si>
  <si>
    <t>s:CBRT ForexBuying, bulletin 2025/125</t>
  </si>
  <si>
    <t>n:46.8302</t>
  </si>
  <si>
    <t>n:54.1912</t>
  </si>
  <si>
    <t>n:39.9019</t>
  </si>
  <si>
    <t>d:2025-07-08</t>
  </si>
  <si>
    <t>n:49.9969</t>
  </si>
  <si>
    <t>s:CBRT ForexBuying, bulletin 2025/126</t>
  </si>
  <si>
    <t>n:46.8836</t>
  </si>
  <si>
    <t>n:54.2344</t>
  </si>
  <si>
    <t>n:39.9332</t>
  </si>
  <si>
    <t>d:2025-07-09</t>
  </si>
  <si>
    <t>n:50.0519</t>
  </si>
  <si>
    <t>s:CBRT ForexBuying, bulletin 2025/127</t>
  </si>
  <si>
    <t>n:46.7923</t>
  </si>
  <si>
    <t>n:54.2218</t>
  </si>
  <si>
    <t>n:39.9621</t>
  </si>
  <si>
    <t>d:2025-07-10</t>
  </si>
  <si>
    <t>n:50.1899</t>
  </si>
  <si>
    <t>s:CBRT ForexBuying, bulletin 2025/128</t>
  </si>
  <si>
    <t>n:46.8833</t>
  </si>
  <si>
    <t>n:54.2899</t>
  </si>
  <si>
    <t>n:39.9775</t>
  </si>
  <si>
    <t>d:2025-07-11</t>
  </si>
  <si>
    <t>n:50.1073</t>
  </si>
  <si>
    <t>s:CBRT ForexBuying, bulletin 2025/129</t>
  </si>
  <si>
    <t>n:46.7575</t>
  </si>
  <si>
    <t>n:54.0421</t>
  </si>
  <si>
    <t>n:40.0076</t>
  </si>
  <si>
    <t>d:2025-07-14</t>
  </si>
  <si>
    <t>n:50.1811</t>
  </si>
  <si>
    <t>s:CBRT ForexBuying, bulletin 2025/130</t>
  </si>
  <si>
    <t>n:46.8415</t>
  </si>
  <si>
    <t>n:53.9417</t>
  </si>
  <si>
    <t>n:40.0883</t>
  </si>
  <si>
    <t>d:2025-07-16</t>
  </si>
  <si>
    <t>n:49.9794</t>
  </si>
  <si>
    <t>s:CBRT ForexBuying, bulletin 2025/131</t>
  </si>
  <si>
    <t>n:46.6624</t>
  </si>
  <si>
    <t>n:53.7256</t>
  </si>
  <si>
    <t>n:40.1639</t>
  </si>
  <si>
    <t>d:2025-07-17</t>
  </si>
  <si>
    <t>n:49.8685</t>
  </si>
  <si>
    <t>s:CBRT ForexBuying, bulletin 2025/132</t>
  </si>
  <si>
    <t>n:46.5844</t>
  </si>
  <si>
    <t>n:53.7585</t>
  </si>
  <si>
    <t>n:40.2014</t>
  </si>
  <si>
    <t>d:2025-07-18</t>
  </si>
  <si>
    <t>n:50.034</t>
  </si>
  <si>
    <t>s:CBRT ForexBuying, bulletin 2025/133</t>
  </si>
  <si>
    <t>n:46.7999</t>
  </si>
  <si>
    <t>n:53.9814</t>
  </si>
  <si>
    <t>n:40.2282</t>
  </si>
  <si>
    <t>d:2025-07-21</t>
  </si>
  <si>
    <t>n:50.2584</t>
  </si>
  <si>
    <t>s:CBRT ForexBuying, bulletin 2025/134</t>
  </si>
  <si>
    <t>n:46.9527</t>
  </si>
  <si>
    <t>n:54.1489</t>
  </si>
  <si>
    <t>n:40.3108</t>
  </si>
  <si>
    <t>d:2025-07-22</t>
  </si>
  <si>
    <t>n:50.4695</t>
  </si>
  <si>
    <t>s:CBRT ForexBuying, bulletin 2025/135</t>
  </si>
  <si>
    <t>n:47.1822</t>
  </si>
  <si>
    <t>n:54.2856</t>
  </si>
  <si>
    <t>n:40.3356</t>
  </si>
  <si>
    <t>d:2025-07-23</t>
  </si>
  <si>
    <t>n:50.8057</t>
  </si>
  <si>
    <t>s:CBRT ForexBuying, bulletin 2025/136</t>
  </si>
  <si>
    <t>n:47.3692</t>
  </si>
  <si>
    <t>n:54.565</t>
  </si>
  <si>
    <t>n:40.3683</t>
  </si>
  <si>
    <t>d:2025-07-24</t>
  </si>
  <si>
    <t>n:50.7593</t>
  </si>
  <si>
    <t>s:CBRT ForexBuying, bulletin 2025/137</t>
  </si>
  <si>
    <t>n:47.4843</t>
  </si>
  <si>
    <t>n:54.643</t>
  </si>
  <si>
    <t>n:40.3929</t>
  </si>
  <si>
    <t>d:2025-07-25</t>
  </si>
  <si>
    <t>n:50.622</t>
  </si>
  <si>
    <t>s:CBRT ForexBuying, bulletin 2025/138</t>
  </si>
  <si>
    <t>n:47.4217</t>
  </si>
  <si>
    <t>n:54.3058</t>
  </si>
  <si>
    <t>n:40.399</t>
  </si>
  <si>
    <t>d:2025-07-28</t>
  </si>
  <si>
    <t>n:50.5137</t>
  </si>
  <si>
    <t>s:CBRT ForexBuying, bulletin 2025/139</t>
  </si>
  <si>
    <t>n:47.2531</t>
  </si>
  <si>
    <t>n:54.2149</t>
  </si>
  <si>
    <t>n:40.4717</t>
  </si>
  <si>
    <t>d:2025-07-29</t>
  </si>
  <si>
    <t>n:50.1472</t>
  </si>
  <si>
    <t>s:CBRT ForexBuying, bulletin 2025/140</t>
  </si>
  <si>
    <t>n:46.8015</t>
  </si>
  <si>
    <t>n:53.9305</t>
  </si>
  <si>
    <t>n:40.493</t>
  </si>
  <si>
    <t>d:2025-07-30</t>
  </si>
  <si>
    <t>n:50.1758</t>
  </si>
  <si>
    <t>s:CBRT ForexBuying, bulletin 2025/141</t>
  </si>
  <si>
    <t>n:46.7684</t>
  </si>
  <si>
    <t>n:54.0499</t>
  </si>
  <si>
    <t>n:40.4994</t>
  </si>
  <si>
    <t>d:2025-07-31</t>
  </si>
  <si>
    <t>n:49.7471</t>
  </si>
  <si>
    <t>s:CBRT ForexBuying, bulletin 2025/142</t>
  </si>
  <si>
    <t>n:46.374</t>
  </si>
  <si>
    <t>n:53.577</t>
  </si>
  <si>
    <t>n:40.5128</t>
  </si>
  <si>
    <t>d:2025-08-01</t>
  </si>
  <si>
    <t>n:49.5667</t>
  </si>
  <si>
    <t>s:CBRT ForexBuying, bulletin 2025/143</t>
  </si>
  <si>
    <t>n:46.2407</t>
  </si>
  <si>
    <t>n:53.2832</t>
  </si>
  <si>
    <t>n:40.519</t>
  </si>
  <si>
    <t>d:2025-08-04</t>
  </si>
  <si>
    <t>n:50.1074</t>
  </si>
  <si>
    <t>s:CBRT ForexBuying, bulletin 2025/144</t>
  </si>
  <si>
    <t>n:46.9544</t>
  </si>
  <si>
    <t>n:53.8452</t>
  </si>
  <si>
    <t>n:40.594</t>
  </si>
  <si>
    <t>d:2025-08-05</t>
  </si>
  <si>
    <t>n:50.0014</t>
  </si>
  <si>
    <t>s:CBRT ForexBuying, bulletin 2025/145</t>
  </si>
  <si>
    <t>n:46.8689</t>
  </si>
  <si>
    <t>n:53.8359</t>
  </si>
  <si>
    <t>n:40.6026</t>
  </si>
  <si>
    <t>d:2025-08-06</t>
  </si>
  <si>
    <t>n:50.1447</t>
  </si>
  <si>
    <t>s:CBRT ForexBuying, bulletin 2025/146</t>
  </si>
  <si>
    <t>n:47.0414</t>
  </si>
  <si>
    <t>n:53.912</t>
  </si>
  <si>
    <t>n:40.5932</t>
  </si>
  <si>
    <t>d:2025-08-07</t>
  </si>
  <si>
    <t>n:50.2304</t>
  </si>
  <si>
    <t>s:CBRT ForexBuying, bulletin 2025/147</t>
  </si>
  <si>
    <t>n:47.3672</t>
  </si>
  <si>
    <t>n:54.2033</t>
  </si>
  <si>
    <t>n:40.5808</t>
  </si>
  <si>
    <t>d:2025-08-08</t>
  </si>
  <si>
    <t>n:50.0817</t>
  </si>
  <si>
    <t>s:CBRT ForexBuying, bulletin 2025/148</t>
  </si>
  <si>
    <t>n:47.2245</t>
  </si>
  <si>
    <t>n:54.4089</t>
  </si>
  <si>
    <t>n:40.5543</t>
  </si>
  <si>
    <t>d:2025-08-11</t>
  </si>
  <si>
    <t>n:50.1182</t>
  </si>
  <si>
    <t>s:CBRT ForexBuying, bulletin 2025/149</t>
  </si>
  <si>
    <t>n:47.326</t>
  </si>
  <si>
    <t>n:54.5689</t>
  </si>
  <si>
    <t>n:40.6325</t>
  </si>
  <si>
    <t>d:2025-08-12</t>
  </si>
  <si>
    <t>n:50.006</t>
  </si>
  <si>
    <t>s:CBRT ForexBuying, bulletin 2025/150</t>
  </si>
  <si>
    <t>n:47.1846</t>
  </si>
  <si>
    <t>n:54.59</t>
  </si>
  <si>
    <t>n:40.6384</t>
  </si>
  <si>
    <t>d:2025-08-13</t>
  </si>
  <si>
    <t>n:50.466</t>
  </si>
  <si>
    <t>s:CBRT ForexBuying, bulletin 2025/151</t>
  </si>
  <si>
    <t>n:47.6222</t>
  </si>
  <si>
    <t>n:55.024</t>
  </si>
  <si>
    <t>n:40.6573</t>
  </si>
  <si>
    <t>d:2025-08-14</t>
  </si>
  <si>
    <t>n:50.3813</t>
  </si>
  <si>
    <t>s:CBRT ForexBuying, bulletin 2025/152</t>
  </si>
  <si>
    <t>n:47.5612</t>
  </si>
  <si>
    <t>n:55.1731</t>
  </si>
  <si>
    <t>n:40.7094</t>
  </si>
  <si>
    <t>d:2025-08-15</t>
  </si>
  <si>
    <t>n:50.4381</t>
  </si>
  <si>
    <t>s:CBRT ForexBuying, bulletin 2025/153</t>
  </si>
  <si>
    <t>n:47.5864</t>
  </si>
  <si>
    <t>n:55.1173</t>
  </si>
  <si>
    <t>n:40.7313</t>
  </si>
  <si>
    <t>d:2025-08-18</t>
  </si>
  <si>
    <t>n:50.4543</t>
  </si>
  <si>
    <t>s:CBRT ForexBuying, bulletin 2025/154</t>
  </si>
  <si>
    <t>n:47.6755</t>
  </si>
  <si>
    <t>n:55.1643</t>
  </si>
  <si>
    <t>n:40.8084</t>
  </si>
  <si>
    <t>d:2025-08-19</t>
  </si>
  <si>
    <t>n:50.5374</t>
  </si>
  <si>
    <t>s:CBRT ForexBuying, bulletin 2025/155</t>
  </si>
  <si>
    <t>n:47.6745</t>
  </si>
  <si>
    <t>n:55.0815</t>
  </si>
  <si>
    <t>n:40.812</t>
  </si>
  <si>
    <t>d:2025-08-20</t>
  </si>
  <si>
    <t>n:50.4456</t>
  </si>
  <si>
    <t>s:CBRT ForexBuying, bulletin 2025/156</t>
  </si>
  <si>
    <t>n:47.5457</t>
  </si>
  <si>
    <t>n:55.0188</t>
  </si>
  <si>
    <t>n:40.841</t>
  </si>
  <si>
    <t>d:2025-08-21</t>
  </si>
  <si>
    <t>n:50.5947</t>
  </si>
  <si>
    <t>s:CBRT ForexBuying, bulletin 2025/157</t>
  </si>
  <si>
    <t>n:47.5904</t>
  </si>
  <si>
    <t>n:54.909</t>
  </si>
  <si>
    <t>n:40.8586</t>
  </si>
  <si>
    <t>d:2025-08-22</t>
  </si>
  <si>
    <t>n:50.3594</t>
  </si>
  <si>
    <t>s:CBRT ForexBuying, bulletin 2025/158</t>
  </si>
  <si>
    <t>n:47.3729</t>
  </si>
  <si>
    <t>n:54.6879</t>
  </si>
  <si>
    <t>n:40.8507</t>
  </si>
  <si>
    <t>d:2025-08-25</t>
  </si>
  <si>
    <t>n:50.886</t>
  </si>
  <si>
    <t>s:CBRT ForexBuying, bulletin 2025/159</t>
  </si>
  <si>
    <t>n:47.8773</t>
  </si>
  <si>
    <t>n:55.1711</t>
  </si>
  <si>
    <t>n:40.9205</t>
  </si>
  <si>
    <t>d:2025-08-26</t>
  </si>
  <si>
    <t>n:50.6829</t>
  </si>
  <si>
    <t>s:CBRT ForexBuying, bulletin 2025/160</t>
  </si>
  <si>
    <t>n:47.6318</t>
  </si>
  <si>
    <t>n:55.0581</t>
  </si>
  <si>
    <t>n:40.9413</t>
  </si>
  <si>
    <t>d:2025-08-27</t>
  </si>
  <si>
    <t>n:50.6798</t>
  </si>
  <si>
    <t>s:CBRT ForexBuying, bulletin 2025/161</t>
  </si>
  <si>
    <t>n:47.4965</t>
  </si>
  <si>
    <t>n:54.9731</t>
  </si>
  <si>
    <t>n:40.9629</t>
  </si>
  <si>
    <t>d:2025-08-28</t>
  </si>
  <si>
    <t>n:51.0368</t>
  </si>
  <si>
    <t>s:CBRT ForexBuying, bulletin 2025/162</t>
  </si>
  <si>
    <t>n:47.7444</t>
  </si>
  <si>
    <t>n:55.2478</t>
  </si>
  <si>
    <t>n:40.9735</t>
  </si>
  <si>
    <t>d:2025-08-29</t>
  </si>
  <si>
    <t>n:50.9582</t>
  </si>
  <si>
    <t>s:CBRT ForexBuying, bulletin 2025/163</t>
  </si>
  <si>
    <t>n:47.7841</t>
  </si>
  <si>
    <t>n:55.0681</t>
  </si>
  <si>
    <t>n:40.9441</t>
  </si>
  <si>
    <t>d:2025-09-01</t>
  </si>
  <si>
    <t>n:51.2198</t>
  </si>
  <si>
    <t>s:CBRT ForexBuying, bulletin 2025/164</t>
  </si>
  <si>
    <t>n:48.1101</t>
  </si>
  <si>
    <t>n:55.427</t>
  </si>
  <si>
    <t>n:41.0379</t>
  </si>
  <si>
    <t>d:2025-09-02</t>
  </si>
  <si>
    <t>n:50.9814</t>
  </si>
  <si>
    <t>s:CBRT ForexBuying, bulletin 2025/165</t>
  </si>
  <si>
    <t>n:47.8603</t>
  </si>
  <si>
    <t>n:55.0244</t>
  </si>
  <si>
    <t>n:41.0768</t>
  </si>
  <si>
    <t>d:2025-09-03</t>
  </si>
  <si>
    <t>n:50.9504</t>
  </si>
  <si>
    <t>s:CBRT ForexBuying, bulletin 2025/166</t>
  </si>
  <si>
    <t>n:47.8487</t>
  </si>
  <si>
    <t>n:54.9405</t>
  </si>
  <si>
    <t>n:41.0851</t>
  </si>
  <si>
    <t>d:2025-09-04</t>
  </si>
  <si>
    <t>n:50.9264</t>
  </si>
  <si>
    <t>s:CBRT ForexBuying, bulletin 2025/167</t>
  </si>
  <si>
    <t>n:47.8704</t>
  </si>
  <si>
    <t>n:55.131</t>
  </si>
  <si>
    <t>n:41.0908</t>
  </si>
  <si>
    <t>d:2025-09-05</t>
  </si>
  <si>
    <t>n:51.0303</t>
  </si>
  <si>
    <t>s:CBRT ForexBuying, bulletin 2025/168</t>
  </si>
  <si>
    <t>n:48.0133</t>
  </si>
  <si>
    <t>n:55.258</t>
  </si>
  <si>
    <t>n:41.097</t>
  </si>
  <si>
    <t>d:2025-09-08</t>
  </si>
  <si>
    <t>n:51.6204</t>
  </si>
  <si>
    <t>s:CBRT ForexBuying, bulletin 2025/169</t>
  </si>
  <si>
    <t>n:48.2995</t>
  </si>
  <si>
    <t>n:55.5801</t>
  </si>
  <si>
    <t>n:41.1816</t>
  </si>
  <si>
    <t>d:2025-09-09</t>
  </si>
  <si>
    <t>n:51.8081</t>
  </si>
  <si>
    <t>s:CBRT ForexBuying, bulletin 2025/170</t>
  </si>
  <si>
    <t>n:48.4281</t>
  </si>
  <si>
    <t>n:55.8069</t>
  </si>
  <si>
    <t>n:41.192</t>
  </si>
  <si>
    <t>d:2025-09-10</t>
  </si>
  <si>
    <t>n:51.5415</t>
  </si>
  <si>
    <t>s:CBRT ForexBuying, bulletin 2025/171</t>
  </si>
  <si>
    <t>n:48.2165</t>
  </si>
  <si>
    <t>n:55.6653</t>
  </si>
  <si>
    <t>n:41.2013</t>
  </si>
  <si>
    <t>d:2025-09-11</t>
  </si>
  <si>
    <t>n:51.4272</t>
  </si>
  <si>
    <t>s:CBRT ForexBuying, bulletin 2025/172</t>
  </si>
  <si>
    <t>n:48.1672</t>
  </si>
  <si>
    <t>n:55.5911</t>
  </si>
  <si>
    <t>n:41.2114</t>
  </si>
  <si>
    <t>d:2025-09-12</t>
  </si>
  <si>
    <t>n:51.5991</t>
  </si>
  <si>
    <t>s:CBRT ForexBuying, bulletin 2025/173</t>
  </si>
  <si>
    <t>n:48.3351</t>
  </si>
  <si>
    <t>n:55.7491</t>
  </si>
  <si>
    <t>n:41.209</t>
  </si>
  <si>
    <t>d:2025-09-15</t>
  </si>
  <si>
    <t>n:51.7205</t>
  </si>
  <si>
    <t>s:CBRT ForexBuying, bulletin 2025/174</t>
  </si>
  <si>
    <t>n:48.444</t>
  </si>
  <si>
    <t>n:55.9711</t>
  </si>
  <si>
    <t>n:41.255</t>
  </si>
  <si>
    <t>d:2025-09-16</t>
  </si>
  <si>
    <t>n:51.9649</t>
  </si>
  <si>
    <t>s:CBRT ForexBuying, bulletin 2025/175</t>
  </si>
  <si>
    <t>n:48.6615</t>
  </si>
  <si>
    <t>n:56.1112</t>
  </si>
  <si>
    <t>n:41.2295</t>
  </si>
  <si>
    <t>d:2025-09-17</t>
  </si>
  <si>
    <t>n:52.2534</t>
  </si>
  <si>
    <t>s:CBRT ForexBuying, bulletin 2025/176</t>
  </si>
  <si>
    <t>n:48.8181</t>
  </si>
  <si>
    <t>n:56.1327</t>
  </si>
  <si>
    <t>n:41.2161</t>
  </si>
  <si>
    <t>d:2025-09-18</t>
  </si>
  <si>
    <t>n:52.1491</t>
  </si>
  <si>
    <t>s:CBRT ForexBuying, bulletin 2025/177</t>
  </si>
  <si>
    <t>n:48.7706</t>
  </si>
  <si>
    <t>n:56.1193</t>
  </si>
  <si>
    <t>n:41.241</t>
  </si>
  <si>
    <t>d:2025-09-19</t>
  </si>
  <si>
    <t>n:51.7483</t>
  </si>
  <si>
    <t>s:CBRT ForexBuying, bulletin 2025/178</t>
  </si>
  <si>
    <t>n:48.4889</t>
  </si>
  <si>
    <t>n:55.5566</t>
  </si>
  <si>
    <t>n:41.2344</t>
  </si>
  <si>
    <t>d:2025-09-22</t>
  </si>
  <si>
    <t>n:51.8568</t>
  </si>
  <si>
    <t>s:CBRT ForexBuying, bulletin 2025/179</t>
  </si>
  <si>
    <t>n:48.582</t>
  </si>
  <si>
    <t>n:55.6239</t>
  </si>
  <si>
    <t>n:41.2983</t>
  </si>
  <si>
    <t>d:2025-09-23</t>
  </si>
  <si>
    <t>n:52.0588</t>
  </si>
  <si>
    <t>s:CBRT ForexBuying, bulletin 2025/180</t>
  </si>
  <si>
    <t>n:48.7644</t>
  </si>
  <si>
    <t>n:55.7605</t>
  </si>
  <si>
    <t>n:41.3375</t>
  </si>
  <si>
    <t>d:2025-09-24</t>
  </si>
  <si>
    <t>n:51.9931</t>
  </si>
  <si>
    <t>s:CBRT ForexBuying, bulletin 2025/181</t>
  </si>
  <si>
    <t>n:48.6935</t>
  </si>
  <si>
    <t>n:55.6664</t>
  </si>
  <si>
    <t>n:41.3726</t>
  </si>
  <si>
    <t>d:2025-09-25</t>
  </si>
  <si>
    <t>n:51.8921</t>
  </si>
  <si>
    <t>s:CBRT ForexBuying, bulletin 2025/182</t>
  </si>
  <si>
    <t>n:48.607</t>
  </si>
  <si>
    <t>n:55.5629</t>
  </si>
  <si>
    <t>n:41.395</t>
  </si>
  <si>
    <t>d:2025-09-26</t>
  </si>
  <si>
    <t>n:51.6801</t>
  </si>
  <si>
    <t>s:CBRT ForexBuying, bulletin 2025/183</t>
  </si>
  <si>
    <t>n:48.3509</t>
  </si>
  <si>
    <t>n:55.2195</t>
  </si>
  <si>
    <t>n:41.4179</t>
  </si>
  <si>
    <t>d:2025-09-29</t>
  </si>
  <si>
    <t>n:51.9614</t>
  </si>
  <si>
    <t>s:CBRT ForexBuying, bulletin 2025/184</t>
  </si>
  <si>
    <t>n:48.6479</t>
  </si>
  <si>
    <t>n:55.67</t>
  </si>
  <si>
    <t>n:41.4984</t>
  </si>
  <si>
    <t>d:2025-09-30</t>
  </si>
  <si>
    <t>n:51.9709</t>
  </si>
  <si>
    <t>s:CBRT ForexBuying, bulletin 2025/185</t>
  </si>
  <si>
    <t>n:48.7512</t>
  </si>
  <si>
    <t>n:55.701</t>
  </si>
  <si>
    <t>n:41.5068</t>
  </si>
  <si>
    <t>d:2025-10-01</t>
  </si>
  <si>
    <t>n:52.0205</t>
  </si>
  <si>
    <t>s:CBRT ForexBuying, bulletin 2025/186</t>
  </si>
  <si>
    <t>n:48.7508</t>
  </si>
  <si>
    <t>n:55.8225</t>
  </si>
  <si>
    <t>n:41.513</t>
  </si>
  <si>
    <t>d:2025-10-02</t>
  </si>
  <si>
    <t>n:52.0446</t>
  </si>
  <si>
    <t>s:CBRT ForexBuying, bulletin 2025/187</t>
  </si>
  <si>
    <t>n:48.7985</t>
  </si>
  <si>
    <t>n:55.9295</t>
  </si>
  <si>
    <t>n:41.5283</t>
  </si>
  <si>
    <t>d:2025-10-03</t>
  </si>
  <si>
    <t>n:51.995</t>
  </si>
  <si>
    <t>s:CBRT ForexBuying, bulletin 2025/188</t>
  </si>
  <si>
    <t>n:48.7205</t>
  </si>
  <si>
    <t>n:55.7577</t>
  </si>
  <si>
    <t>n:41.5226</t>
  </si>
  <si>
    <t>d:2025-10-06</t>
  </si>
  <si>
    <t>n:52.0091</t>
  </si>
  <si>
    <t>s:CBRT ForexBuying, bulletin 2025/189</t>
  </si>
  <si>
    <t>n:48.58</t>
  </si>
  <si>
    <t>n:55.8215</t>
  </si>
  <si>
    <t>n:41.6225</t>
  </si>
  <si>
    <t>d:2025-10-07</t>
  </si>
  <si>
    <t>n:52.0598</t>
  </si>
  <si>
    <t>s:CBRT ForexBuying, bulletin 2025/190</t>
  </si>
  <si>
    <t>n:48.5809</t>
  </si>
  <si>
    <t>n:55.8153</t>
  </si>
  <si>
    <t>n:41.6217</t>
  </si>
  <si>
    <t>d:2025-10-08</t>
  </si>
  <si>
    <t>n:51.876</t>
  </si>
  <si>
    <t>s:CBRT ForexBuying, bulletin 2025/191</t>
  </si>
  <si>
    <t>n:48.3879</t>
  </si>
  <si>
    <t>n:55.7244</t>
  </si>
  <si>
    <t>n:41.633</t>
  </si>
  <si>
    <t>d:2025-10-09</t>
  </si>
  <si>
    <t>n:51.8151</t>
  </si>
  <si>
    <t>s:CBRT ForexBuying, bulletin 2025/192</t>
  </si>
  <si>
    <t>n:48.3704</t>
  </si>
  <si>
    <t>n:55.5731</t>
  </si>
  <si>
    <t>n:41.6421</t>
  </si>
  <si>
    <t>d:2025-10-10</t>
  </si>
  <si>
    <t>n:51.5576</t>
  </si>
  <si>
    <t>s:CBRT ForexBuying, bulletin 2025/193</t>
  </si>
  <si>
    <t>n:48.1872</t>
  </si>
  <si>
    <t>n:55.239</t>
  </si>
  <si>
    <t>n:41.6388</t>
  </si>
  <si>
    <t>d:2025-10-13</t>
  </si>
  <si>
    <t>n:51.82</t>
  </si>
  <si>
    <t>s:CBRT ForexBuying, bulletin 2025/194</t>
  </si>
  <si>
    <t>n:48.3565</t>
  </si>
  <si>
    <t>n:55.5426</t>
  </si>
  <si>
    <t>n:41.7196</t>
  </si>
  <si>
    <t>d:2025-10-14</t>
  </si>
  <si>
    <t>n:51.8116</t>
  </si>
  <si>
    <t>s:CBRT ForexBuying, bulletin 2025/195</t>
  </si>
  <si>
    <t>n:48.2476</t>
  </si>
  <si>
    <t>n:55.3089</t>
  </si>
  <si>
    <t>n:41.7496</t>
  </si>
  <si>
    <t>d:2025-10-15</t>
  </si>
  <si>
    <t>n:52.078</t>
  </si>
  <si>
    <t>s:CBRT ForexBuying, bulletin 2025/196</t>
  </si>
  <si>
    <t>n:48.5717</t>
  </si>
  <si>
    <t>n:55.6754</t>
  </si>
  <si>
    <t>n:41.7611</t>
  </si>
  <si>
    <t>d:2025-10-16</t>
  </si>
  <si>
    <t>n:52.2961</t>
  </si>
  <si>
    <t>s:CBRT ForexBuying, bulletin 2025/197</t>
  </si>
  <si>
    <t>n:48.6885</t>
  </si>
  <si>
    <t>n:56.0103</t>
  </si>
  <si>
    <t>n:41.7736</t>
  </si>
  <si>
    <t>d:2025-10-17</t>
  </si>
  <si>
    <t>n:52.7918</t>
  </si>
  <si>
    <t>s:CBRT ForexBuying, bulletin 2025/198</t>
  </si>
  <si>
    <t>n:48.8859</t>
  </si>
  <si>
    <t>n:56.0474</t>
  </si>
  <si>
    <t>n:41.7855</t>
  </si>
  <si>
    <t>d:2025-10-20</t>
  </si>
  <si>
    <t>n:52.6903</t>
  </si>
  <si>
    <t>s:CBRT ForexBuying, bulletin 2025/199</t>
  </si>
  <si>
    <t>n:48.8255</t>
  </si>
  <si>
    <t>n:56.0971</t>
  </si>
  <si>
    <t>n:41.8768</t>
  </si>
  <si>
    <t>d:2025-10-21</t>
  </si>
  <si>
    <t>n:52.6514</t>
  </si>
  <si>
    <t>s:CBRT ForexBuying, bulletin 2025/200</t>
  </si>
  <si>
    <t>n:48.6813</t>
  </si>
  <si>
    <t>n:55.9765</t>
  </si>
  <si>
    <t>n:41.8872</t>
  </si>
  <si>
    <t>d:2025-10-22</t>
  </si>
  <si>
    <t>n:52.5012</t>
  </si>
  <si>
    <t>s:CBRT ForexBuying, bulletin 2025/201</t>
  </si>
  <si>
    <t>n:48.5808</t>
  </si>
  <si>
    <t>n:55.7242</t>
  </si>
  <si>
    <t>n:41.8966</t>
  </si>
  <si>
    <t>d:2025-10-23</t>
  </si>
  <si>
    <t>n:52.4038</t>
  </si>
  <si>
    <t>s:CBRT ForexBuying, bulletin 2025/202</t>
  </si>
  <si>
    <t>n:48.5803</t>
  </si>
  <si>
    <t>n:55.8285</t>
  </si>
  <si>
    <t>n:41.9042</t>
  </si>
  <si>
    <t>d:2025-10-24</t>
  </si>
  <si>
    <t>n:52.4495</t>
  </si>
  <si>
    <t>s:CBRT ForexBuying, bulletin 2025/203</t>
  </si>
  <si>
    <t>n:48.5943</t>
  </si>
  <si>
    <t>n:55.6351</t>
  </si>
  <si>
    <t>n:41.8427</t>
  </si>
  <si>
    <t>d:2025-10-27</t>
  </si>
  <si>
    <t>n:52.4579</t>
  </si>
  <si>
    <t>s:CBRT ForexBuying, bulletin 2025/204</t>
  </si>
  <si>
    <t>n:48.7086</t>
  </si>
  <si>
    <t>n:55.7343</t>
  </si>
  <si>
    <t>n:41.8699</t>
  </si>
  <si>
    <t>d:2025-10-30</t>
  </si>
  <si>
    <t>n:52.3002</t>
  </si>
  <si>
    <t>s:CBRT ForexBuying, bulletin 2025/205</t>
  </si>
  <si>
    <t>n:48.6582</t>
  </si>
  <si>
    <t>n:55.1801</t>
  </si>
  <si>
    <t>n:41.9</t>
  </si>
  <si>
    <t>d:2025-10-31</t>
  </si>
  <si>
    <t>n:52.0836</t>
  </si>
  <si>
    <t>s:CBRT ForexBuying, bulletin 2025/206</t>
  </si>
  <si>
    <t>n:48.462</t>
  </si>
  <si>
    <t>n:54.9444</t>
  </si>
  <si>
    <t>n:41.8922</t>
  </si>
  <si>
    <t>d:2025-11-03</t>
  </si>
  <si>
    <t>n:51.9422</t>
  </si>
  <si>
    <t>s:CBRT ForexBuying, bulletin 2025/207</t>
  </si>
  <si>
    <t>n:48.3661</t>
  </si>
  <si>
    <t>n:55.0282</t>
  </si>
  <si>
    <t>n:41.9751</t>
  </si>
  <si>
    <t>d:2025-11-04</t>
  </si>
  <si>
    <t>n:51.8475</t>
  </si>
  <si>
    <t>s:CBRT ForexBuying, bulletin 2025/208</t>
  </si>
  <si>
    <t>n:48.3464</t>
  </si>
  <si>
    <t>n:54.8847</t>
  </si>
  <si>
    <t>n:42.0042</t>
  </si>
  <si>
    <t>d:2025-11-05</t>
  </si>
  <si>
    <t>n:51.7765</t>
  </si>
  <si>
    <t>s:CBRT ForexBuying, bulletin 2025/209</t>
  </si>
  <si>
    <t>n:48.288</t>
  </si>
  <si>
    <t>n:54.6939</t>
  </si>
  <si>
    <t>n:42.0362</t>
  </si>
  <si>
    <t>d:2025-11-06</t>
  </si>
  <si>
    <t>n:51.8484</t>
  </si>
  <si>
    <t>s:CBRT ForexBuying, bulletin 2025/210</t>
  </si>
  <si>
    <t>n:48.4068</t>
  </si>
  <si>
    <t>n:54.8796</t>
  </si>
  <si>
    <t>n:42.0426</t>
  </si>
  <si>
    <t>d:2025-11-07</t>
  </si>
  <si>
    <t>n:51.9554</t>
  </si>
  <si>
    <t>s:CBRT ForexBuying, bulletin 2025/211</t>
  </si>
  <si>
    <t>n:48.5281</t>
  </si>
  <si>
    <t>n:55.0398</t>
  </si>
  <si>
    <t>n:42.049</t>
  </si>
  <si>
    <t>d:2025-11-10</t>
  </si>
  <si>
    <t>n:52.1278</t>
  </si>
  <si>
    <t>s:CBRT ForexBuying, bulletin 2025/212</t>
  </si>
  <si>
    <t>n:48.7023</t>
  </si>
  <si>
    <t>n:55.3418</t>
  </si>
  <si>
    <t>n:42.1124</t>
  </si>
  <si>
    <t>d:2025-11-11</t>
  </si>
  <si>
    <t>n:52.3568</t>
  </si>
  <si>
    <t>s:CBRT ForexBuying, bulletin 2025/213</t>
  </si>
  <si>
    <t>n:48.74</t>
  </si>
  <si>
    <t>n:55.2806</t>
  </si>
  <si>
    <t>n:42.1526</t>
  </si>
  <si>
    <t>d:2025-11-12</t>
  </si>
  <si>
    <t>n:52.6155</t>
  </si>
  <si>
    <t>s:CBRT ForexBuying, bulletin 2025/214</t>
  </si>
  <si>
    <t>n:48.8135</t>
  </si>
  <si>
    <t>n:55.268</t>
  </si>
  <si>
    <t>n:42.1636</t>
  </si>
  <si>
    <t>d:2025-11-13</t>
  </si>
  <si>
    <t>n:52.8507</t>
  </si>
  <si>
    <t>s:CBRT ForexBuying, bulletin 2025/215</t>
  </si>
  <si>
    <t>n:48.9643</t>
  </si>
  <si>
    <t>n:55.3553</t>
  </si>
  <si>
    <t>n:42.1724</t>
  </si>
  <si>
    <t>d:2025-11-14</t>
  </si>
  <si>
    <t>n:53.1247</t>
  </si>
  <si>
    <t>s:CBRT ForexBuying, bulletin 2025/216</t>
  </si>
  <si>
    <t>n:49.0216</t>
  </si>
  <si>
    <t>n:55.3491</t>
  </si>
  <si>
    <t>n:42.1661</t>
  </si>
  <si>
    <t>d:2025-11-17</t>
  </si>
  <si>
    <t>n:53.0477</t>
  </si>
  <si>
    <t>s:CBRT ForexBuying, bulletin 2025/217</t>
  </si>
  <si>
    <t>n:49.0316</t>
  </si>
  <si>
    <t>n:55.5298</t>
  </si>
  <si>
    <t>n:42.2525</t>
  </si>
  <si>
    <t>d:2025-11-18</t>
  </si>
  <si>
    <t>n:52.9789</t>
  </si>
  <si>
    <t>s:CBRT ForexBuying, bulletin 2025/218</t>
  </si>
  <si>
    <t>n:48.9795</t>
  </si>
  <si>
    <t>n:55.4803</t>
  </si>
  <si>
    <t>n:42.2641</t>
  </si>
  <si>
    <t>d:2025-11-19</t>
  </si>
  <si>
    <t>s:CBRT ForexBuying, bulletin 2025/219</t>
  </si>
  <si>
    <t>n:48.9495</t>
  </si>
  <si>
    <t>n:55.4131</t>
  </si>
  <si>
    <t>n:42.2756</t>
  </si>
  <si>
    <t>d:2025-11-20</t>
  </si>
  <si>
    <t>n:52.326</t>
  </si>
  <si>
    <t>s:CBRT ForexBuying, bulletin 2025/220</t>
  </si>
  <si>
    <t>n:48.7238</t>
  </si>
  <si>
    <t>n:55.1728</t>
  </si>
  <si>
    <t>n:42.2882</t>
  </si>
  <si>
    <t>d:2025-11-21</t>
  </si>
  <si>
    <t>n:52.3755</t>
  </si>
  <si>
    <t>s:CBRT ForexBuying, bulletin 2025/221</t>
  </si>
  <si>
    <t>n:48.7472</t>
  </si>
  <si>
    <t>n:55.1839</t>
  </si>
  <si>
    <t>n:42.2819</t>
  </si>
  <si>
    <t>d:2025-11-24</t>
  </si>
  <si>
    <t>n:52.3235</t>
  </si>
  <si>
    <t>s:CBRT ForexBuying, bulletin 2025/222</t>
  </si>
  <si>
    <t>n:48.8473</t>
  </si>
  <si>
    <t>n:55.3788</t>
  </si>
  <si>
    <t>n:42.3675</t>
  </si>
  <si>
    <t>d:2025-11-25</t>
  </si>
  <si>
    <t>n:52.2187</t>
  </si>
  <si>
    <t>s:CBRT ForexBuying, bulletin 2025/223</t>
  </si>
  <si>
    <t>n:48.8415</t>
  </si>
  <si>
    <t>n:55.4854</t>
  </si>
  <si>
    <t>d:2025-11-26</t>
  </si>
  <si>
    <t>n:52.4213</t>
  </si>
  <si>
    <t>s:CBRT ForexBuying, bulletin 2025/224</t>
  </si>
  <si>
    <t>n:49.0355</t>
  </si>
  <si>
    <t>n:55.7122</t>
  </si>
  <si>
    <t>n:42.3578</t>
  </si>
  <si>
    <t>d:2025-11-27</t>
  </si>
  <si>
    <t>n:52.4873</t>
  </si>
  <si>
    <t>s:CBRT ForexBuying, bulletin 2025/225</t>
  </si>
  <si>
    <t>n:49.0878</t>
  </si>
  <si>
    <t>n:55.9456</t>
  </si>
  <si>
    <t>n:42.3624</t>
  </si>
  <si>
    <t>d:2025-11-28</t>
  </si>
  <si>
    <t>n:52.4337</t>
  </si>
  <si>
    <t>s:CBRT ForexBuying, bulletin 2025/226</t>
  </si>
  <si>
    <t>n:49.0114</t>
  </si>
  <si>
    <t>n:55.8504</t>
  </si>
  <si>
    <t>n:42.3547</t>
  </si>
  <si>
    <t>d:2025-12-01</t>
  </si>
  <si>
    <t>n:52.6899</t>
  </si>
  <si>
    <t>s:CBRT ForexBuying, bulletin 2025/227</t>
  </si>
  <si>
    <t>n:49.2708</t>
  </si>
  <si>
    <t>n:55.9962</t>
  </si>
  <si>
    <t>n:42.416</t>
  </si>
  <si>
    <t>d:2025-12-02</t>
  </si>
  <si>
    <t>n:52.5299</t>
  </si>
  <si>
    <t>s:CBRT ForexBuying, bulletin 2025/228</t>
  </si>
  <si>
    <t>n:49.1783</t>
  </si>
  <si>
    <t>n:55.8494</t>
  </si>
  <si>
    <t>n:42.3574</t>
  </si>
  <si>
    <t>d:2025-12-03</t>
  </si>
  <si>
    <t>n:52.7524</t>
  </si>
  <si>
    <t>s:CBRT ForexBuying, bulletin 2025/229</t>
  </si>
  <si>
    <t>n:49.3609</t>
  </si>
  <si>
    <t>n:56.1183</t>
  </si>
  <si>
    <t>n:42.3702</t>
  </si>
  <si>
    <t>d:2025-12-04</t>
  </si>
  <si>
    <t>n:52.8279</t>
  </si>
  <si>
    <t>s:CBRT ForexBuying, bulletin 2025/230</t>
  </si>
  <si>
    <t>n:49.4583</t>
  </si>
  <si>
    <t>n:56.4542</t>
  </si>
  <si>
    <t>n:42.3771</t>
  </si>
  <si>
    <t>d:2025-12-05</t>
  </si>
  <si>
    <t>n:52.6353</t>
  </si>
  <si>
    <t>s:CBRT ForexBuying, bulletin 2025/231</t>
  </si>
  <si>
    <t>n:49.3699</t>
  </si>
  <si>
    <t>n:56.4383</t>
  </si>
  <si>
    <t>n:42.3606</t>
  </si>
  <si>
    <t>d:2025-12-08</t>
  </si>
  <si>
    <t>n:52.6941</t>
  </si>
  <si>
    <t>s:CBRT ForexBuying, bulletin 2025/232</t>
  </si>
  <si>
    <t>n:49.5004</t>
  </si>
  <si>
    <t>n:56.4965</t>
  </si>
  <si>
    <t>n:42.4735</t>
  </si>
  <si>
    <t>d:2025-12-09</t>
  </si>
  <si>
    <t>n:52.6001</t>
  </si>
  <si>
    <t>s:CBRT ForexBuying, bulletin 2025/233</t>
  </si>
  <si>
    <t>n:49.4875</t>
  </si>
  <si>
    <t>n:56.5787</t>
  </si>
  <si>
    <t>n:42.497</t>
  </si>
  <si>
    <t>d:2025-12-10</t>
  </si>
  <si>
    <t>n:52.6847</t>
  </si>
  <si>
    <t>s:CBRT ForexBuying, bulletin 2025/234</t>
  </si>
  <si>
    <t>n:49.4936</t>
  </si>
  <si>
    <t>n:56.5183</t>
  </si>
  <si>
    <t>n:42.5179</t>
  </si>
  <si>
    <t>d:2025-12-11</t>
  </si>
  <si>
    <t>n:53.1556</t>
  </si>
  <si>
    <t>s:CBRT ForexBuying, bulletin 2025/235</t>
  </si>
  <si>
    <t>n:49.7672</t>
  </si>
  <si>
    <t>n:56.7871</t>
  </si>
  <si>
    <t>n:42.5343</t>
  </si>
  <si>
    <t>d:2025-12-12</t>
  </si>
  <si>
    <t>n:53.3742</t>
  </si>
  <si>
    <t>s:CBRT ForexBuying, bulletin 2025/236</t>
  </si>
  <si>
    <t>n:49.901</t>
  </si>
  <si>
    <t>n:56.8237</t>
  </si>
  <si>
    <t>n:42.5344</t>
  </si>
  <si>
    <t>d:2025-12-15</t>
  </si>
  <si>
    <t>n:53.3951</t>
  </si>
  <si>
    <t>s:CBRT ForexBuying, bulletin 2025/237</t>
  </si>
  <si>
    <t>n:50.0304</t>
  </si>
  <si>
    <t>n:56.9083</t>
  </si>
  <si>
    <t>n:42.6211</t>
  </si>
  <si>
    <t>d:2025-12-16</t>
  </si>
  <si>
    <t>n:53.4212</t>
  </si>
  <si>
    <t>s:CBRT ForexBuying, bulletin 2025/238</t>
  </si>
  <si>
    <t>n:50.1185</t>
  </si>
  <si>
    <t>n:57.0285</t>
  </si>
  <si>
    <t>n:42.6317</t>
  </si>
  <si>
    <t>d:2025-12-17</t>
  </si>
  <si>
    <t>n:53.3535</t>
  </si>
  <si>
    <t>s:CBRT ForexBuying, bulletin 2025/239</t>
  </si>
  <si>
    <t>n:49.9682</t>
  </si>
  <si>
    <t>n:56.7824</t>
  </si>
  <si>
    <t>n:42.6516</t>
  </si>
  <si>
    <t>d:2025-12-18</t>
  </si>
  <si>
    <t>n:53.4986</t>
  </si>
  <si>
    <t>s:CBRT ForexBuying, bulletin 2025/240</t>
  </si>
  <si>
    <t>n:50.0371</t>
  </si>
  <si>
    <t>n:56.8877</t>
  </si>
  <si>
    <t>n:42.6585</t>
  </si>
  <si>
    <t>d:2025-12-19</t>
  </si>
  <si>
    <t>n:53.5082</t>
  </si>
  <si>
    <t>s:CBRT ForexBuying, bulletin 2025/241</t>
  </si>
  <si>
    <t>n:49.9615</t>
  </si>
  <si>
    <t>n:56.957</t>
  </si>
  <si>
    <t>n:42.6532</t>
  </si>
  <si>
    <t>d:2025-12-22</t>
  </si>
  <si>
    <t>n:53.7006</t>
  </si>
  <si>
    <t>s:CBRT ForexBuying, bulletin 2025/242</t>
  </si>
  <si>
    <t>n:50.1255</t>
  </si>
  <si>
    <t>n:57.2567</t>
  </si>
  <si>
    <t>n:42.734</t>
  </si>
  <si>
    <t>d:2025-12-23</t>
  </si>
  <si>
    <t>n:54.0602</t>
  </si>
  <si>
    <t>s:CBRT ForexBuying, bulletin 2025/243</t>
  </si>
  <si>
    <t>n:50.3857</t>
  </si>
  <si>
    <t>n:57.6229</t>
  </si>
  <si>
    <t>n:42.7474</t>
  </si>
  <si>
    <t>d:2025-12-24</t>
  </si>
  <si>
    <t>n:54.1971</t>
  </si>
  <si>
    <t>s:CBRT ForexBuying, bulletin 2025/244</t>
  </si>
  <si>
    <t>n:50.4208</t>
  </si>
  <si>
    <t>n:57.6815</t>
  </si>
  <si>
    <t>n:42.7434</t>
  </si>
  <si>
    <t>d:2025-12-25</t>
  </si>
  <si>
    <t>n:54.1878</t>
  </si>
  <si>
    <t>s:CBRT ForexBuying, bulletin 2025/245</t>
  </si>
  <si>
    <t>n:50.3896</t>
  </si>
  <si>
    <t>n:57.7322</t>
  </si>
  <si>
    <t>n:42.7641</t>
  </si>
  <si>
    <t>d:2025-12-26</t>
  </si>
  <si>
    <t>n:54.0529</t>
  </si>
  <si>
    <t>s:CBRT ForexBuying, bulletin 2025/246</t>
  </si>
  <si>
    <t>n:50.3547</t>
  </si>
  <si>
    <t>n:57.5898</t>
  </si>
  <si>
    <t>n:42.7656</t>
  </si>
  <si>
    <t>d:2025-12-29</t>
  </si>
  <si>
    <t>n:54.165</t>
  </si>
  <si>
    <t>s:CBRT ForexBuying, bulletin 2025/247</t>
  </si>
  <si>
    <t>n:50.4519</t>
  </si>
  <si>
    <t>n:57.7163</t>
  </si>
  <si>
    <t>n:42.8542</t>
  </si>
  <si>
    <t>d:2025-12-30</t>
  </si>
  <si>
    <t>n:54.2141</t>
  </si>
  <si>
    <t>s:CBRT ForexBuying, bulletin 2025/248</t>
  </si>
  <si>
    <t>n:50.4532</t>
  </si>
  <si>
    <t>n:57.8159</t>
  </si>
  <si>
    <t>n:42.8623</t>
  </si>
  <si>
    <t>d:2025-12-31</t>
  </si>
  <si>
    <t>n:53.8919</t>
  </si>
  <si>
    <t>s:CBRT ForexBuying, bulletin 2025/249</t>
  </si>
  <si>
    <t>n:50.2859</t>
  </si>
  <si>
    <t>n:57.5123</t>
  </si>
  <si>
    <t>n:42.8457</t>
  </si>
  <si>
    <t>d:2026-01-02</t>
  </si>
  <si>
    <t>n:53.9267</t>
  </si>
  <si>
    <t>s:CBRT ForexBuying, bulletin 2026/1</t>
  </si>
  <si>
    <t>n:50.2933</t>
  </si>
  <si>
    <t>n:57.5986</t>
  </si>
  <si>
    <t>n:42.881</t>
  </si>
  <si>
    <t>d:2026-01-05</t>
  </si>
  <si>
    <t>n:53.9341</t>
  </si>
  <si>
    <t>s:CBRT ForexBuying, bulletin 2026/2</t>
  </si>
  <si>
    <t>n:50.2083</t>
  </si>
  <si>
    <t>n:57.6529</t>
  </si>
  <si>
    <t>n:42.9648</t>
  </si>
  <si>
    <t>d:2026-01-06</t>
  </si>
  <si>
    <t>n:54.113</t>
  </si>
  <si>
    <t>s:CBRT ForexBuying, bulletin 2026/3</t>
  </si>
  <si>
    <t>n:50.3619</t>
  </si>
  <si>
    <t>n:58.0842</t>
  </si>
  <si>
    <t>n:42.9663</t>
  </si>
  <si>
    <t>d:2026-01-07</t>
  </si>
  <si>
    <t>n:53.8731</t>
  </si>
  <si>
    <t>s:CBRT ForexBuying, bulletin 2026/4</t>
  </si>
  <si>
    <t>n:50.2287</t>
  </si>
  <si>
    <t>n:57.9141</t>
  </si>
  <si>
    <t>n:42.9743</t>
  </si>
  <si>
    <t>d:2026-01-08</t>
  </si>
  <si>
    <t>n:53.77</t>
  </si>
  <si>
    <t>s:CBRT ForexBuying, bulletin 2026/5</t>
  </si>
  <si>
    <t>n:50.1844</t>
  </si>
  <si>
    <t>n:57.6841</t>
  </si>
  <si>
    <t>d:2026-01-09</t>
  </si>
  <si>
    <t>n:53.6198</t>
  </si>
  <si>
    <t>s:CBRT ForexBuying, bulletin 2026/6</t>
  </si>
  <si>
    <t>n:50.0676</t>
  </si>
  <si>
    <t>n:57.577</t>
  </si>
  <si>
    <t>n:42.9863</t>
  </si>
  <si>
    <t>d:2026-01-12</t>
  </si>
  <si>
    <t>n:53.9044</t>
  </si>
  <si>
    <t>s:CBRT ForexBuying, bulletin 2026/7</t>
  </si>
  <si>
    <t>n:50.3016</t>
  </si>
  <si>
    <t>n:57.8363</t>
  </si>
  <si>
    <t>n:43.0609</t>
  </si>
  <si>
    <t>d:2026-01-13</t>
  </si>
  <si>
    <t>n:53.8676</t>
  </si>
  <si>
    <t>s:CBRT ForexBuying, bulletin 2026/8</t>
  </si>
  <si>
    <t>n:50.2556</t>
  </si>
  <si>
    <t>n:57.94</t>
  </si>
  <si>
    <t>n:43.0765</t>
  </si>
  <si>
    <t>d:2026-01-14</t>
  </si>
  <si>
    <t>n:53.6527</t>
  </si>
  <si>
    <t>s:CBRT ForexBuying, bulletin 2026/9</t>
  </si>
  <si>
    <t>n:50.2006</t>
  </si>
  <si>
    <t>n:57.8579</t>
  </si>
  <si>
    <t>n:43.0925</t>
  </si>
  <si>
    <t>d:2026-01-15</t>
  </si>
  <si>
    <t>n:53.7016</t>
  </si>
  <si>
    <t>s:CBRT ForexBuying, bulletin 2026/10</t>
  </si>
  <si>
    <t>n:50.1546</t>
  </si>
  <si>
    <t>n:57.8031</t>
  </si>
  <si>
    <t>n:43.1147</t>
  </si>
  <si>
    <t>d:2026-01-16</t>
  </si>
  <si>
    <t>n:53.5941</t>
  </si>
  <si>
    <t>s:CBRT ForexBuying, bulletin 2026/11</t>
  </si>
  <si>
    <t>n:50.0345</t>
  </si>
  <si>
    <t>n:57.6226</t>
  </si>
  <si>
    <t>n:43.0883</t>
  </si>
  <si>
    <t>d:2026-01-19</t>
  </si>
  <si>
    <t>n:53.9393</t>
  </si>
  <si>
    <t>s:CBRT ForexBuying, bulletin 2026/12</t>
  </si>
  <si>
    <t>n:50.2173</t>
  </si>
  <si>
    <t>n:57.7969</t>
  </si>
  <si>
    <t>n:43.1943</t>
  </si>
  <si>
    <t>d:2026-01-20</t>
  </si>
  <si>
    <t>n:54.4499</t>
  </si>
  <si>
    <t>s:CBRT ForexBuying, bulletin 2026/13</t>
  </si>
  <si>
    <t>n:50.599</t>
  </si>
  <si>
    <t>n:58.0898</t>
  </si>
  <si>
    <t>n:43.2061</t>
  </si>
  <si>
    <t>d:2026-01-21</t>
  </si>
  <si>
    <t>n:54.4648</t>
  </si>
  <si>
    <t>s:CBRT ForexBuying, bulletin 2026/14</t>
  </si>
  <si>
    <t>n:50.6184</t>
  </si>
  <si>
    <t>n:57.9169</t>
  </si>
  <si>
    <t>n:43.2165</t>
  </si>
  <si>
    <t>d:2026-01-22</t>
  </si>
  <si>
    <t>n:54.3367</t>
  </si>
  <si>
    <t>s:CBRT ForexBuying, bulletin 2026/15</t>
  </si>
  <si>
    <t>n:50.5434</t>
  </si>
  <si>
    <t>n:57.9578</t>
  </si>
  <si>
    <t>n:43.2247</t>
  </si>
  <si>
    <t>d:2026-01-23</t>
  </si>
  <si>
    <t>n:54.5236</t>
  </si>
  <si>
    <t>s:CBRT ForexBuying, bulletin 2026/16</t>
  </si>
  <si>
    <t>n:50.7105</t>
  </si>
  <si>
    <t>n:58.263</t>
  </si>
  <si>
    <t>n:43.2036</t>
  </si>
  <si>
    <t>d:2026-01-26</t>
  </si>
  <si>
    <t>n:55.5686</t>
  </si>
  <si>
    <t>s:CBRT ForexBuying, bulletin 2026/17</t>
  </si>
  <si>
    <t>n:51.3256</t>
  </si>
  <si>
    <t>n:59.0546</t>
  </si>
  <si>
    <t>n:43.2978</t>
  </si>
  <si>
    <t>d:2026-01-27</t>
  </si>
  <si>
    <t>n:55.6634</t>
  </si>
  <si>
    <t>s:CBRT ForexBuying, bulletin 2026/18</t>
  </si>
  <si>
    <t>n:51.4513</t>
  </si>
  <si>
    <t>n:59.2017</t>
  </si>
  <si>
    <t>n:43.3158</t>
  </si>
  <si>
    <t>d:2026-01-28</t>
  </si>
  <si>
    <t>n:56.3841</t>
  </si>
  <si>
    <t>s:CBRT ForexBuying, bulletin 2026/19</t>
  </si>
  <si>
    <t>n:51.935</t>
  </si>
  <si>
    <t>n:59.6581</t>
  </si>
  <si>
    <t>n:43.3327</t>
  </si>
  <si>
    <t>d:2026-01-29</t>
  </si>
  <si>
    <t>n:56.3606</t>
  </si>
  <si>
    <t>s:CBRT ForexBuying, bulletin 2026/20</t>
  </si>
  <si>
    <t>n:51.8492</t>
  </si>
  <si>
    <t>n:59.7646</t>
  </si>
  <si>
    <t>n:43.3443</t>
  </si>
  <si>
    <t>d:2026-01-30</t>
  </si>
  <si>
    <t>n:56.2858</t>
  </si>
  <si>
    <t>s:CBRT ForexBuying, bulletin 2026/21</t>
  </si>
  <si>
    <t>n:51.699</t>
  </si>
  <si>
    <t>n:59.5269</t>
  </si>
  <si>
    <t>n:43.3414</t>
  </si>
  <si>
    <t>d:2026-02-02</t>
  </si>
  <si>
    <t>n:55.9343</t>
  </si>
  <si>
    <t>s:CBRT ForexBuying, bulletin 2026/22</t>
  </si>
  <si>
    <t>n:51.4862</t>
  </si>
  <si>
    <t>n:59.351</t>
  </si>
  <si>
    <t>n:43.4168</t>
  </si>
  <si>
    <t>d:2026-02-03</t>
  </si>
  <si>
    <t>n:55.6685</t>
  </si>
  <si>
    <t>s:CBRT ForexBuying, bulletin 2026/23</t>
  </si>
  <si>
    <t>n:51.2353</t>
  </si>
  <si>
    <t>n:59.2676</t>
  </si>
  <si>
    <t>n:43.4142</t>
  </si>
  <si>
    <t>d:2026-02-04</t>
  </si>
  <si>
    <t>n:55.8257</t>
  </si>
  <si>
    <t>s:CBRT ForexBuying, bulletin 2026/24</t>
  </si>
  <si>
    <t>n:51.3335</t>
  </si>
  <si>
    <t>n:59.4575</t>
  </si>
  <si>
    <t>n:43.4245</t>
  </si>
  <si>
    <t>d:2026-02-05</t>
  </si>
  <si>
    <t>n:55.7406</t>
  </si>
  <si>
    <t>s:CBRT ForexBuying, bulletin 2026/25</t>
  </si>
  <si>
    <t>n:51.2442</t>
  </si>
  <si>
    <t>n:59.0047</t>
  </si>
  <si>
    <t>n:43.4555</t>
  </si>
  <si>
    <t>d:2026-02-06</t>
  </si>
  <si>
    <t>n:55.7418</t>
  </si>
  <si>
    <t>s:CBRT ForexBuying, bulletin 2026/26</t>
  </si>
  <si>
    <t>n:51.2437</t>
  </si>
  <si>
    <t>n:58.8858</t>
  </si>
  <si>
    <t>n:43.4542</t>
  </si>
  <si>
    <t>d:2026-02-09</t>
  </si>
  <si>
    <t>n:56.2034</t>
  </si>
  <si>
    <t>s:CBRT ForexBuying, bulletin 2026/27</t>
  </si>
  <si>
    <t>n:51.6162</t>
  </si>
  <si>
    <t>n:59.1344</t>
  </si>
  <si>
    <t>n:43.5182</t>
  </si>
  <si>
    <t>d:2026-02-10</t>
  </si>
  <si>
    <t>n:56.68</t>
  </si>
  <si>
    <t>s:CBRT ForexBuying, bulletin 2026/28</t>
  </si>
  <si>
    <t>n:51.8534</t>
  </si>
  <si>
    <t>n:59.4182</t>
  </si>
  <si>
    <t>n:43.545</t>
  </si>
  <si>
    <t>d:2026-02-11</t>
  </si>
  <si>
    <t>n:56.7451</t>
  </si>
  <si>
    <t>s:CBRT ForexBuying, bulletin 2026/29</t>
  </si>
  <si>
    <t>n:51.9129</t>
  </si>
  <si>
    <t>n:59.5297</t>
  </si>
  <si>
    <t>n:43.5633</t>
  </si>
  <si>
    <t>d:2026-02-12</t>
  </si>
  <si>
    <t>n:56.5015</t>
  </si>
  <si>
    <t>s:CBRT ForexBuying, bulletin 2026/30</t>
  </si>
  <si>
    <t>n:51.7491</t>
  </si>
  <si>
    <t>n:59.3174</t>
  </si>
  <si>
    <t>n:43.5702</t>
  </si>
  <si>
    <t>d:2026-02-13</t>
  </si>
  <si>
    <t>n:56.422</t>
  </si>
  <si>
    <t>s:CBRT ForexBuying, bulletin 2026/31</t>
  </si>
  <si>
    <t>n:51.6384</t>
  </si>
  <si>
    <t>n:59.1797</t>
  </si>
  <si>
    <t>n:43.5433</t>
  </si>
  <si>
    <t>d:2026-02-16</t>
  </si>
  <si>
    <t>n:56.601</t>
  </si>
  <si>
    <t>s:CBRT ForexBuying, bulletin 2026/32</t>
  </si>
  <si>
    <t>n:51.7741</t>
  </si>
  <si>
    <t>n:59.4493</t>
  </si>
  <si>
    <t>n:43.6375</t>
  </si>
  <si>
    <t>d:2026-02-17</t>
  </si>
  <si>
    <t>n:56.5861</t>
  </si>
  <si>
    <t>s:CBRT ForexBuying, bulletin 2026/33</t>
  </si>
  <si>
    <t>n:51.6837</t>
  </si>
  <si>
    <t>n:59.2024</t>
  </si>
  <si>
    <t>n:43.6524</t>
  </si>
  <si>
    <t>d:2026-02-18</t>
  </si>
  <si>
    <t>n:56.4871</t>
  </si>
  <si>
    <t>s:CBRT ForexBuying, bulletin 2026/34</t>
  </si>
  <si>
    <t>n:51.6919</t>
  </si>
  <si>
    <t>n:59.1559</t>
  </si>
  <si>
    <t>n:43.6747</t>
  </si>
  <si>
    <t>d:2026-02-19</t>
  </si>
  <si>
    <t>n:56.3886</t>
  </si>
  <si>
    <t>s:CBRT ForexBuying, bulletin 2026/35</t>
  </si>
  <si>
    <t>n:51.5343</t>
  </si>
  <si>
    <t>n:58.8658</t>
  </si>
  <si>
    <t>n:43.6913</t>
  </si>
  <si>
    <t>d:2026-02-20</t>
  </si>
  <si>
    <t>n:56.1788</t>
  </si>
  <si>
    <t>s:CBRT ForexBuying, bulletin 2026/36</t>
  </si>
  <si>
    <t>n:51.3825</t>
  </si>
  <si>
    <t>n:58.7036</t>
  </si>
  <si>
    <t>n:43.6883</t>
  </si>
  <si>
    <t>d:2026-02-23</t>
  </si>
  <si>
    <t>n:56.4066</t>
  </si>
  <si>
    <t>s:CBRT ForexBuying, bulletin 2026/37</t>
  </si>
  <si>
    <t>n:51.6617</t>
  </si>
  <si>
    <t>n:59.026</t>
  </si>
  <si>
    <t>n:43.7542</t>
  </si>
  <si>
    <t>d:2026-02-24</t>
  </si>
  <si>
    <t>n:56.3941</t>
  </si>
  <si>
    <t>s:CBRT ForexBuying, bulletin 2026/38</t>
  </si>
  <si>
    <t>n:51.5834</t>
  </si>
  <si>
    <t>n:58.9489</t>
  </si>
  <si>
    <t>n:43.7775</t>
  </si>
  <si>
    <t>d:2026-02-25</t>
  </si>
  <si>
    <t>n:56.4475</t>
  </si>
  <si>
    <t>s:CBRT ForexBuying, bulletin 2026/39</t>
  </si>
  <si>
    <t>n:51.6237</t>
  </si>
  <si>
    <t>n:59.0901</t>
  </si>
  <si>
    <t>n:43.7888</t>
  </si>
  <si>
    <t>d:2026-02-26</t>
  </si>
  <si>
    <t>n:56.5006</t>
  </si>
  <si>
    <t>s:CBRT ForexBuying, bulletin 2026/40</t>
  </si>
  <si>
    <t>n:51.7119</t>
  </si>
  <si>
    <t>n:59.1922</t>
  </si>
  <si>
    <t>n:43.8026</t>
  </si>
  <si>
    <t>d:2026-02-27</t>
  </si>
  <si>
    <t>n:56.5465</t>
  </si>
  <si>
    <t>s:CBRT ForexBuying, bulletin 2026/41</t>
  </si>
  <si>
    <t>n:51.7008</t>
  </si>
  <si>
    <t>n:58.943</t>
  </si>
  <si>
    <t>n:43.8</t>
  </si>
  <si>
    <t>d:2026-03-02</t>
  </si>
  <si>
    <t>n:56.666</t>
  </si>
  <si>
    <t>s:CBRT ForexBuying, bulletin 2026/42</t>
  </si>
  <si>
    <t>n:51.4738</t>
  </si>
  <si>
    <t>n:58.6229</t>
  </si>
  <si>
    <t>n:43.885</t>
  </si>
  <si>
    <t>d:2026-03-03</t>
  </si>
  <si>
    <t>n:55.8086</t>
  </si>
  <si>
    <t>s:CBRT ForexBuying, bulletin 2026/43</t>
  </si>
  <si>
    <t>n:51.0094</t>
  </si>
  <si>
    <t>n:58.3334</t>
  </si>
  <si>
    <t>n:43.8913</t>
  </si>
  <si>
    <t>d:2026-03-04</t>
  </si>
  <si>
    <t>n:56.0449</t>
  </si>
  <si>
    <t>s:CBRT ForexBuying, bulletin 2026/44</t>
  </si>
  <si>
    <t>n:50.994</t>
  </si>
  <si>
    <t>n:58.5335</t>
  </si>
  <si>
    <t>n:43.8932</t>
  </si>
  <si>
    <t>d:2026-03-05</t>
  </si>
  <si>
    <t>n:56.1482</t>
  </si>
  <si>
    <t>s:CBRT ForexBuying, bulletin 2026/45</t>
  </si>
  <si>
    <t>n:58.4992</t>
  </si>
  <si>
    <t>n:43.9135</t>
  </si>
  <si>
    <t>d:2026-03-06</t>
  </si>
  <si>
    <t>n:56.0894</t>
  </si>
  <si>
    <t>s:CBRT ForexBuying, bulletin 2026/46</t>
  </si>
  <si>
    <t>n:50.8905</t>
  </si>
  <si>
    <t>n:58.5046</t>
  </si>
  <si>
    <t>n:43.9055</t>
  </si>
  <si>
    <t>d:2026-03-09</t>
  </si>
  <si>
    <t>n:56.3306</t>
  </si>
  <si>
    <t>s:CBRT ForexBuying, bulletin 2026/47</t>
  </si>
  <si>
    <t>n:50.834</t>
  </si>
  <si>
    <t>n:58.5729</t>
  </si>
  <si>
    <t>n:44.0007</t>
  </si>
  <si>
    <t>d:2026-03-10</t>
  </si>
  <si>
    <t>n:56.5378</t>
  </si>
  <si>
    <t>s:CBRT ForexBuying, bulletin 2026/48</t>
  </si>
  <si>
    <t>n:51.2174</t>
  </si>
  <si>
    <t>n:59.0856</t>
  </si>
  <si>
    <t>n:43.9826</t>
  </si>
  <si>
    <t>d:2026-03-11</t>
  </si>
  <si>
    <t>n:56.4144</t>
  </si>
  <si>
    <t>s:CBRT ForexBuying, bulletin 2026/49</t>
  </si>
  <si>
    <t>n:51.0776</t>
  </si>
  <si>
    <t>n:59.0023</t>
  </si>
  <si>
    <t>n:43.9964</t>
  </si>
  <si>
    <t>d:2026-03-12</t>
  </si>
  <si>
    <t>n:56.2234</t>
  </si>
  <si>
    <t>s:CBRT ForexBuying, bulletin 2026/50</t>
  </si>
  <si>
    <t>n:50.8713</t>
  </si>
  <si>
    <t>n:58.8543</t>
  </si>
  <si>
    <t>n:44.031</t>
  </si>
  <si>
    <t>d:2026-03-13</t>
  </si>
  <si>
    <t>n:55.7273</t>
  </si>
  <si>
    <t>s:CBRT ForexBuying, bulletin 2026/51</t>
  </si>
  <si>
    <t>n:50.4521</t>
  </si>
  <si>
    <t>n:58.326</t>
  </si>
  <si>
    <t>n:44.021</t>
  </si>
  <si>
    <t>d:2026-03-16</t>
  </si>
  <si>
    <t>n:55.7354</t>
  </si>
  <si>
    <t>s:CBRT ForexBuying, bulletin 2026/52</t>
  </si>
  <si>
    <t>n:50.5073</t>
  </si>
  <si>
    <t>n:58.3741</t>
  </si>
  <si>
    <t>n:44.106</t>
  </si>
  <si>
    <t>d:2026-03-17</t>
  </si>
  <si>
    <t>n:55.8991</t>
  </si>
  <si>
    <t>s:CBRT ForexBuying, bulletin 2026/53</t>
  </si>
  <si>
    <t>n:50.7521</t>
  </si>
  <si>
    <t>n:58.6556</t>
  </si>
  <si>
    <t>n:44.1207</t>
  </si>
  <si>
    <t>d:2026-03-18</t>
  </si>
  <si>
    <t>n:56.0183</t>
  </si>
  <si>
    <t>s:CBRT ForexBuying, bulletin 2026/54</t>
  </si>
  <si>
    <t>n:50.9193</t>
  </si>
  <si>
    <t>n:58.8504</t>
  </si>
  <si>
    <t>n:44.1325</t>
  </si>
  <si>
    <t>d:2026-03-23</t>
  </si>
  <si>
    <t>n:55.792</t>
  </si>
  <si>
    <t>s:CBRT ForexBuying, bulletin 2026/55</t>
  </si>
  <si>
    <t>n:50.9722</t>
  </si>
  <si>
    <t>n:58.7276</t>
  </si>
  <si>
    <t>n:44.2435</t>
  </si>
  <si>
    <t>d:2026-03-24</t>
  </si>
  <si>
    <t>n:56.1015</t>
  </si>
  <si>
    <t>s:CBRT ForexBuying, bulletin 2026/56</t>
  </si>
  <si>
    <t>n:51.3211</t>
  </si>
  <si>
    <t>n:59.24</t>
  </si>
  <si>
    <t>n:44.2636</t>
  </si>
  <si>
    <t>d:2026-03-25</t>
  </si>
  <si>
    <t>n:55.9521</t>
  </si>
  <si>
    <t>s:CBRT ForexBuying, bulletin 2026/57</t>
  </si>
  <si>
    <t>n:51.362</t>
  </si>
  <si>
    <t>n:59.2284</t>
  </si>
  <si>
    <t>n:44.2737</t>
  </si>
  <si>
    <t>d:2026-03-26</t>
  </si>
  <si>
    <t>n:55.7645</t>
  </si>
  <si>
    <t>s:CBRT ForexBuying, bulletin 2026/58</t>
  </si>
  <si>
    <t>n:51.1617</t>
  </si>
  <si>
    <t>n:59.0184</t>
  </si>
  <si>
    <t>n:44.2828</t>
  </si>
  <si>
    <t>d:2026-03-27</t>
  </si>
  <si>
    <t>n:55.4442</t>
  </si>
  <si>
    <t>s:CBRT ForexBuying, bulletin 2026/59</t>
  </si>
  <si>
    <t>n:51.015</t>
  </si>
  <si>
    <t>n:58.8438</t>
  </si>
  <si>
    <t>n:44.2887</t>
  </si>
  <si>
    <t>d:2026-03-30</t>
  </si>
  <si>
    <t>n:55.3773</t>
  </si>
  <si>
    <t>s:CBRT ForexBuying, bulletin 2026/60</t>
  </si>
  <si>
    <t>n:51.0236</t>
  </si>
  <si>
    <t>n:58.6665</t>
  </si>
  <si>
    <t>n:44.3841</t>
  </si>
  <si>
    <t>d:2026-03-31</t>
  </si>
  <si>
    <t>n:55.3611</t>
  </si>
  <si>
    <t>s:CBRT ForexBuying, bulletin 2026/61</t>
  </si>
  <si>
    <t>n:50.9294</t>
  </si>
  <si>
    <t>n:58.5556</t>
  </si>
  <si>
    <t>n:44.3961</t>
  </si>
  <si>
    <t>d:2026-04-01</t>
  </si>
  <si>
    <t>n:55.8338</t>
  </si>
  <si>
    <t>s:CBRT ForexBuying, bulletin 2026/62</t>
  </si>
  <si>
    <t>n:51.4787</t>
  </si>
  <si>
    <t>n:58.9134</t>
  </si>
  <si>
    <t>n:44.3938</t>
  </si>
  <si>
    <t>d:2026-04-02</t>
  </si>
  <si>
    <t>n:55.4204</t>
  </si>
  <si>
    <t>s:CBRT ForexBuying, bulletin 2026/63</t>
  </si>
  <si>
    <t>n:51.1885</t>
  </si>
  <si>
    <t>n:58.5527</t>
  </si>
  <si>
    <t>n:44.4155</t>
  </si>
  <si>
    <t>d:2026-04-03</t>
  </si>
  <si>
    <t>n:55.54</t>
  </si>
  <si>
    <t>s:CBRT ForexBuying, bulletin 2026/64</t>
  </si>
  <si>
    <t>n:51.2867</t>
  </si>
  <si>
    <t>n:58.7076</t>
  </si>
  <si>
    <t>n:44.4306</t>
  </si>
  <si>
    <t>d:2026-04-06</t>
  </si>
  <si>
    <t>n:55.6514</t>
  </si>
  <si>
    <t>s:CBRT ForexBuying, bulletin 2026/65</t>
  </si>
  <si>
    <t>n:51.4048</t>
  </si>
  <si>
    <t>n:58.8368</t>
  </si>
  <si>
    <t>n:44.5085</t>
  </si>
  <si>
    <t>d:2026-04-07</t>
  </si>
  <si>
    <t>n:55.5936</t>
  </si>
  <si>
    <t>s:CBRT ForexBuying, bulletin 2026/66</t>
  </si>
  <si>
    <t>n:51.4563</t>
  </si>
  <si>
    <t>n:58.9089</t>
  </si>
  <si>
    <t>n:44.5255</t>
  </si>
  <si>
    <t>d:2026-04-08</t>
  </si>
  <si>
    <t>n:56.2542</t>
  </si>
  <si>
    <t>s:CBRT ForexBuying, bulletin 2026/67</t>
  </si>
  <si>
    <t>n:51.9678</t>
  </si>
  <si>
    <t>n:59.6235</t>
  </si>
  <si>
    <t>n:44.4527</t>
  </si>
  <si>
    <t>d:2026-04-09</t>
  </si>
  <si>
    <t>n:56.1336</t>
  </si>
  <si>
    <t>s:CBRT ForexBuying, bulletin 2026/68</t>
  </si>
  <si>
    <t>n:51.9538</t>
  </si>
  <si>
    <t>n:59.5585</t>
  </si>
  <si>
    <t>n:44.5102</t>
  </si>
  <si>
    <t>d:2026-04-10</t>
  </si>
  <si>
    <t>n:56.2329</t>
  </si>
  <si>
    <t>s:CBRT ForexBuying, bulletin 2026/69</t>
  </si>
  <si>
    <t>n:52.0744</t>
  </si>
  <si>
    <t>n:59.6765</t>
  </si>
  <si>
    <t>n:44.5157</t>
  </si>
  <si>
    <t>d:2026-04-13</t>
  </si>
  <si>
    <t>n:56.3355</t>
  </si>
  <si>
    <t>s:CBRT ForexBuying, bulletin 2026/70</t>
  </si>
  <si>
    <t>n:52.1729</t>
  </si>
  <si>
    <t>n:59.8245</t>
  </si>
  <si>
    <t>n:44.6355</t>
  </si>
  <si>
    <t>d:2026-04-14</t>
  </si>
  <si>
    <t>n:57.0359</t>
  </si>
  <si>
    <t>s:CBRT ForexBuying, bulletin 2026/71</t>
  </si>
  <si>
    <t>n:52.6281</t>
  </si>
  <si>
    <t>n:60.3686</t>
  </si>
  <si>
    <t>n:44.6474</t>
  </si>
  <si>
    <t>d:2026-04-15</t>
  </si>
  <si>
    <t>n:57.0137</t>
  </si>
  <si>
    <t>s:CBRT ForexBuying, bulletin 2026/72</t>
  </si>
  <si>
    <t>n:52.635</t>
  </si>
  <si>
    <t>n:60.4546</t>
  </si>
  <si>
    <t>n:44.6681</t>
  </si>
  <si>
    <t>d:2026-04-16</t>
  </si>
  <si>
    <t>n:56.9515</t>
  </si>
  <si>
    <t>s:CBRT ForexBuying, bulletin 2026/73</t>
  </si>
  <si>
    <t>n:52.6651</t>
  </si>
  <si>
    <t>n:60.4479</t>
  </si>
  <si>
    <t>n:44.6788</t>
  </si>
  <si>
    <t>d:2026-04-17</t>
  </si>
  <si>
    <t>n:56.9675</t>
  </si>
  <si>
    <t>s:CBRT ForexBuying, bulletin 2026/74</t>
  </si>
  <si>
    <t>n:52.6945</t>
  </si>
  <si>
    <t>n:60.3502</t>
  </si>
  <si>
    <t>n:44.6989</t>
  </si>
  <si>
    <t>d:2026-04-20</t>
  </si>
  <si>
    <t>n:57.1754</t>
  </si>
  <si>
    <t>s:CBRT ForexBuying, bulletin 2026/75</t>
  </si>
  <si>
    <t>n:52.7012</t>
  </si>
  <si>
    <t>n:60.4161</t>
  </si>
  <si>
    <t>n:44.7952</t>
  </si>
  <si>
    <t>d:2026-04-21</t>
  </si>
  <si>
    <t>n:57.3442</t>
  </si>
  <si>
    <t>s:CBRT ForexBuying, bulletin 2026/76</t>
  </si>
  <si>
    <t>n:52.7209</t>
  </si>
  <si>
    <t>n:60.4384</t>
  </si>
  <si>
    <t>n:44.8101</t>
  </si>
  <si>
    <t>d:2026-04-22</t>
  </si>
  <si>
    <t>n:57.274</t>
  </si>
  <si>
    <t>s:CBRT ForexBuying, bulletin 2026/77</t>
  </si>
  <si>
    <t>n:52.6499</t>
  </si>
  <si>
    <t>n:60.4824</t>
  </si>
  <si>
    <t>n:44.8132</t>
  </si>
  <si>
    <t>d:2026-04-24</t>
  </si>
  <si>
    <t>n:56.906</t>
  </si>
  <si>
    <t>s:CBRT ForexBuying, bulletin 2026/78</t>
  </si>
  <si>
    <t>n:52.4524</t>
  </si>
  <si>
    <t>n:60.3668</t>
  </si>
  <si>
    <t>n:44.8541</t>
  </si>
  <si>
    <t>d:2026-04-27</t>
  </si>
  <si>
    <t>n:57.1569</t>
  </si>
  <si>
    <t>s:CBRT ForexBuying, bulletin 2026/79</t>
  </si>
  <si>
    <t>n:52.768</t>
  </si>
  <si>
    <t>n:60.7928</t>
  </si>
  <si>
    <t>n:44.9393</t>
  </si>
  <si>
    <t>d:2026-04-28</t>
  </si>
  <si>
    <t>n:56.8134</t>
  </si>
  <si>
    <t>s:CBRT ForexBuying, bulletin 2026/80</t>
  </si>
  <si>
    <t>n:52.5814</t>
  </si>
  <si>
    <t>n:60.5795</t>
  </si>
  <si>
    <t>n:44.9705</t>
  </si>
  <si>
    <t>d:2026-04-29</t>
  </si>
  <si>
    <t>n:56.8509</t>
  </si>
  <si>
    <t>s:CBRT ForexBuying, bulletin 2026/81</t>
  </si>
  <si>
    <t>n:52.6433</t>
  </si>
  <si>
    <t>n:60.6463</t>
  </si>
  <si>
    <t>n:44.985</t>
  </si>
  <si>
    <t>d:2026-04-30</t>
  </si>
  <si>
    <t>n:56.9204</t>
  </si>
  <si>
    <t>s:CBRT ForexBuying, bulletin 2026/82</t>
  </si>
  <si>
    <t>n:52.5723</t>
  </si>
  <si>
    <t>n:60.6013</t>
  </si>
  <si>
    <t>n:44.9692</t>
  </si>
  <si>
    <t>d:2026-05-04</t>
  </si>
  <si>
    <t>n:57.4734</t>
  </si>
  <si>
    <t>s:CBRT ForexBuying, bulletin 2026/83</t>
  </si>
  <si>
    <t>n:52.8334</t>
  </si>
  <si>
    <t>n:61.0533</t>
  </si>
  <si>
    <t>n:45.104</t>
  </si>
  <si>
    <t>d:2026-05-05</t>
  </si>
  <si>
    <t>n:57.468</t>
  </si>
  <si>
    <t>s:CBRT ForexBuying, bulletin 2026/84</t>
  </si>
  <si>
    <t>n:52.7563</t>
  </si>
  <si>
    <t>n:61.0074</t>
  </si>
  <si>
    <t>n:45.1339</t>
  </si>
  <si>
    <t>d:2026-05-06</t>
  </si>
  <si>
    <t>n:57.8161</t>
  </si>
  <si>
    <t>s:CBRT ForexBuying, bulletin 2026/85</t>
  </si>
  <si>
    <t>n:53.0961</t>
  </si>
  <si>
    <t>n:61.3664</t>
  </si>
  <si>
    <t>n:45.1436</t>
  </si>
  <si>
    <t>d:2026-05-07</t>
  </si>
  <si>
    <t>n:57.9213</t>
  </si>
  <si>
    <t>s:CBRT ForexBuying, bulletin 2026/86</t>
  </si>
  <si>
    <t>n:53.1305</t>
  </si>
  <si>
    <t>n:61.3843</t>
  </si>
  <si>
    <t>n:45.1566</t>
  </si>
  <si>
    <t>d:2026-05-08</t>
  </si>
  <si>
    <t>n:57.9152</t>
  </si>
  <si>
    <t>s:CBRT ForexBuying, bulletin 2026/87</t>
  </si>
  <si>
    <t>n:53.1363</t>
  </si>
  <si>
    <t>n:61.3621</t>
  </si>
  <si>
    <t>n:45.19</t>
  </si>
  <si>
    <t>d:2026-05-11</t>
  </si>
  <si>
    <t>n:58.0548</t>
  </si>
  <si>
    <t>s:CBRT ForexBuying, bulletin 2026/88</t>
  </si>
  <si>
    <t>n:53.3097</t>
  </si>
  <si>
    <t>n:61.4972</t>
  </si>
  <si>
    <t>n:45.2951</t>
  </si>
  <si>
    <t>d:2026-05-12</t>
  </si>
  <si>
    <t>n:57.9054</t>
  </si>
  <si>
    <t>s:CBRT ForexBuying, bulletin 2026/89</t>
  </si>
  <si>
    <t>n:53.2242</t>
  </si>
  <si>
    <t>n:61.2188</t>
  </si>
  <si>
    <t>n:45.313</t>
  </si>
  <si>
    <t>d:2026-05-13</t>
  </si>
  <si>
    <t>n:57.8588</t>
  </si>
  <si>
    <t>s:CBRT ForexBuying, bulletin 2026/90</t>
  </si>
  <si>
    <t>n:53.0837</t>
  </si>
  <si>
    <t>n:61.1688</t>
  </si>
  <si>
    <t>n:45.3307</t>
  </si>
  <si>
    <t>d:2026-05-14</t>
  </si>
  <si>
    <t>n:57.8671</t>
  </si>
  <si>
    <t>s:CBRT ForexBuying, bulletin 2026/91</t>
  </si>
  <si>
    <t>n:53.0971</t>
  </si>
  <si>
    <t>n:61.1737</t>
  </si>
  <si>
    <t>n:45.3482</t>
  </si>
  <si>
    <t>d:2026-05-15</t>
  </si>
  <si>
    <t>n:57.6434</t>
  </si>
  <si>
    <t>s:CBRT ForexBuying, bulletin 2026/92</t>
  </si>
  <si>
    <t>n:52.8112</t>
  </si>
  <si>
    <t>n:60.5284</t>
  </si>
  <si>
    <t>n:45.3877</t>
  </si>
  <si>
    <t>d:2026-05-18</t>
  </si>
  <si>
    <t>n:57.7258</t>
  </si>
  <si>
    <t>s:CBRT ForexBuying, bulletin 2026/93</t>
  </si>
  <si>
    <t>n:52.8818</t>
  </si>
  <si>
    <t>n:60.6247</t>
  </si>
  <si>
    <t>n:45.4477</t>
  </si>
  <si>
    <t>d:2026-05-20</t>
  </si>
  <si>
    <t>n:57.4567</t>
  </si>
  <si>
    <t>s:CBRT ForexBuying, bulletin 2026/94</t>
  </si>
  <si>
    <t>n:60.8275</t>
  </si>
  <si>
    <t>n:45.509</t>
  </si>
  <si>
    <t>d:2026-05-21</t>
  </si>
  <si>
    <t>n:57.6871</t>
  </si>
  <si>
    <t>s:CBRT ForexBuying, bulletin 2026/95</t>
  </si>
  <si>
    <t>n:52.8774</t>
  </si>
  <si>
    <t>n:61.0461</t>
  </si>
  <si>
    <t>n:45.5277</t>
  </si>
  <si>
    <t>d:2026-05-22</t>
  </si>
  <si>
    <t>n:57.7947</t>
  </si>
  <si>
    <t>s:CBRT ForexBuying, bulletin 2026/96</t>
  </si>
  <si>
    <t>n:52.8599</t>
  </si>
  <si>
    <t>n:61.0503</t>
  </si>
  <si>
    <t>n:45.5532</t>
  </si>
  <si>
    <t>d:2026-05-25</t>
  </si>
  <si>
    <t>n:58.2456</t>
  </si>
  <si>
    <t>s:CBRT ForexBuying, bulletin 2026/97</t>
  </si>
  <si>
    <t>n:53.1224</t>
  </si>
  <si>
    <t>n:61.4571</t>
  </si>
  <si>
    <t>n:45.6312</t>
  </si>
  <si>
    <t>d:2026-06-01</t>
  </si>
  <si>
    <t>n:58.3619</t>
  </si>
  <si>
    <t>s:CBRT ForexBuying, bulletin 2026/98</t>
  </si>
  <si>
    <t>n:53.4042</t>
  </si>
  <si>
    <t>n:61.5996</t>
  </si>
  <si>
    <t>n:45.8248</t>
  </si>
  <si>
    <t>d:2026-06-02</t>
  </si>
  <si>
    <t>n:58.2348</t>
  </si>
  <si>
    <t>s:CBRT ForexBuying, bulletin 2026/99</t>
  </si>
  <si>
    <t>n:53.3878</t>
  </si>
  <si>
    <t>n:61.6463</t>
  </si>
  <si>
    <t>n:45.8402</t>
  </si>
  <si>
    <t>d:2026-06-03</t>
  </si>
  <si>
    <t>n:57.9915</t>
  </si>
  <si>
    <t>s:CBRT ForexBuying, bulletin 2026/100</t>
  </si>
  <si>
    <t>n:53.2768</t>
  </si>
  <si>
    <t>n:61.5885</t>
  </si>
  <si>
    <t>n:45.8696</t>
  </si>
  <si>
    <t>d:2026-06-04</t>
  </si>
  <si>
    <t>n:57.9435</t>
  </si>
  <si>
    <t>s:CBRT ForexBuying, bulletin 2026/101</t>
  </si>
  <si>
    <t>n:53.3268</t>
  </si>
  <si>
    <t>n:61.5527</t>
  </si>
  <si>
    <t>n:45.8873</t>
  </si>
  <si>
    <t>d:2026-06-05</t>
  </si>
  <si>
    <t>n:58.1289</t>
  </si>
  <si>
    <t>s:CBRT ForexBuying, bulletin 2026/102</t>
  </si>
  <si>
    <t>n:53.4156</t>
  </si>
  <si>
    <t>n:61.6753</t>
  </si>
  <si>
    <t>n:45.9084</t>
  </si>
  <si>
    <t>d:2026-06-08</t>
  </si>
  <si>
    <t>n:57.5607</t>
  </si>
  <si>
    <t>s:CBRT ForexBuying, bulletin 2026/103</t>
  </si>
  <si>
    <t>n:53.0044</t>
  </si>
  <si>
    <t>n:61.2478</t>
  </si>
  <si>
    <t>n:46.0144</t>
  </si>
  <si>
    <t>d:2026-06-09</t>
  </si>
  <si>
    <t>n:57.6705</t>
  </si>
  <si>
    <t>s:CBRT ForexBuying, bulletin 2026/104</t>
  </si>
  <si>
    <t>n:53.194</t>
  </si>
  <si>
    <t>n:61.5002</t>
  </si>
  <si>
    <t>n:46.0328</t>
  </si>
  <si>
    <t>d:2026-06-10</t>
  </si>
  <si>
    <t>n:57.5223</t>
  </si>
  <si>
    <t>s:CBRT ForexBuying, bulletin 2026/105</t>
  </si>
  <si>
    <t>n:53.1886</t>
  </si>
  <si>
    <t>n:61.5444</t>
  </si>
  <si>
    <t>n:46.0491</t>
  </si>
  <si>
    <t>d:2026-06-11</t>
  </si>
  <si>
    <t>n:57.4936</t>
  </si>
  <si>
    <t>s:CBRT ForexBuying, bulletin 2026/106</t>
  </si>
  <si>
    <t>n:53.1485</t>
  </si>
  <si>
    <t>n:61.482</t>
  </si>
  <si>
    <t>n:46.0669</t>
  </si>
  <si>
    <t>d:2026-06-12</t>
  </si>
  <si>
    <t>n:57.7622</t>
  </si>
  <si>
    <t>s:CBRT ForexBuying, bulletin 2026/107</t>
  </si>
  <si>
    <t>n:53.3419</t>
  </si>
  <si>
    <t>n:61.6939</t>
  </si>
  <si>
    <t>n:46.0857</t>
  </si>
  <si>
    <t>d:2026-06-15</t>
  </si>
  <si>
    <t>n:58.0933</t>
  </si>
  <si>
    <t>s:CBRT ForexBuying, bulletin 2026/108</t>
  </si>
  <si>
    <t>n:53.6157</t>
  </si>
  <si>
    <t>n:61.927</t>
  </si>
  <si>
    <t>n:46.1932</t>
  </si>
  <si>
    <t>d:2026-06-16</t>
  </si>
  <si>
    <t>n:58.0121</t>
  </si>
  <si>
    <t>s:CBRT ForexBuying, bulletin 2026/109</t>
  </si>
  <si>
    <t>n:53.6077</t>
  </si>
  <si>
    <t>n:61.902</t>
  </si>
  <si>
    <t>n:46.2125</t>
  </si>
  <si>
    <t>d:2026-06-17</t>
  </si>
  <si>
    <t>n:58.2439</t>
  </si>
  <si>
    <t>s:CBRT ForexBuying, bulletin 2026/110</t>
  </si>
  <si>
    <t>n:53.6365</t>
  </si>
  <si>
    <t>n:61.9111</t>
  </si>
  <si>
    <t>n:46.2307</t>
  </si>
  <si>
    <t>d:2026-06-18</t>
  </si>
  <si>
    <t>n:57.5264</t>
  </si>
  <si>
    <t>s:CBRT ForexBuying, bulletin 2026/111</t>
  </si>
  <si>
    <t>n:53.1143</t>
  </si>
  <si>
    <t>n:61.1998</t>
  </si>
  <si>
    <t>n:46.246</t>
  </si>
  <si>
    <t>d:2026-06-19</t>
  </si>
  <si>
    <t>n:57.244</t>
  </si>
  <si>
    <t>s:CBRT ForexBuying, bulletin 2026/112</t>
  </si>
  <si>
    <t>n:53.0096</t>
  </si>
  <si>
    <t>n:61.0722</t>
  </si>
  <si>
    <t>n:46.2724</t>
  </si>
  <si>
    <t>d:2026-06-22</t>
  </si>
  <si>
    <t>n:57.2542</t>
  </si>
  <si>
    <t>s:CBRT ForexBuying, bulletin 2026/113</t>
  </si>
  <si>
    <t>n:53.1153</t>
  </si>
  <si>
    <t>n:61.1987</t>
  </si>
  <si>
    <t>n:46.3758</t>
  </si>
  <si>
    <t>d:2026-06-23</t>
  </si>
  <si>
    <t>n:57.1658</t>
  </si>
  <si>
    <t>s:CBRT ForexBuying, bulletin 2026/114</t>
  </si>
  <si>
    <t>n:52.9191</t>
  </si>
  <si>
    <t>n:61.2416</t>
  </si>
  <si>
    <t>n:46.3925</t>
  </si>
  <si>
    <t>d:2026-06-24</t>
  </si>
  <si>
    <t>n:57.0217</t>
  </si>
  <si>
    <t>s:CBRT ForexBuying, bulletin 2026/115</t>
  </si>
  <si>
    <t>n:52.6683</t>
  </si>
  <si>
    <t>n:61.0484</t>
  </si>
  <si>
    <t>n:46.4099</t>
  </si>
  <si>
    <t>d:2026-06-25</t>
  </si>
  <si>
    <t>n:57.0555</t>
  </si>
  <si>
    <t>s:CBRT ForexBuying, bulletin 2026/116</t>
  </si>
  <si>
    <t>n:52.7177</t>
  </si>
  <si>
    <t>n:61.0739</t>
  </si>
  <si>
    <t>n:46.4302</t>
  </si>
  <si>
    <t>d:2026-06-26</t>
  </si>
  <si>
    <t>n:57.3117</t>
  </si>
  <si>
    <t>s:CBRT ForexBuying, bulletin 2026/117</t>
  </si>
  <si>
    <t>n:52.9289</t>
  </si>
  <si>
    <t>n:61.2684</t>
  </si>
  <si>
    <t>n:46.4482</t>
  </si>
  <si>
    <t>d:2026-06-29</t>
  </si>
  <si>
    <t>n:57.4407</t>
  </si>
  <si>
    <t>s:CBRT ForexBuying, bulletin 2026/118</t>
  </si>
  <si>
    <t>n:53.095</t>
  </si>
  <si>
    <t>n:61.4404</t>
  </si>
  <si>
    <t>n:46.5551</t>
  </si>
  <si>
    <t>d:2026-06-30</t>
  </si>
  <si>
    <t>n:57.4216</t>
  </si>
  <si>
    <t>s:CBRT ForexBuying, bulletin 2026/119</t>
  </si>
  <si>
    <t>n:53.0866</t>
  </si>
  <si>
    <t>n:61.5332</t>
  </si>
  <si>
    <t>n:46.5747</t>
  </si>
  <si>
    <t>d:2026-07-01</t>
  </si>
  <si>
    <t>n:57.3826</t>
  </si>
  <si>
    <t>s:CBRT ForexBuying, bulletin 2026/120</t>
  </si>
  <si>
    <t>n:53.089</t>
  </si>
  <si>
    <t>n:61.6033</t>
  </si>
  <si>
    <t>n:46.5867</t>
  </si>
  <si>
    <t>d:2026-07-02</t>
  </si>
  <si>
    <t>n:57.6879</t>
  </si>
  <si>
    <t>s:CBRT ForexBuying, bulletin 2026/121</t>
  </si>
  <si>
    <t>n:53.1693</t>
  </si>
  <si>
    <t>n:62.0259</t>
  </si>
  <si>
    <t>n:46.608</t>
  </si>
  <si>
    <t>d:2026-07-03</t>
  </si>
  <si>
    <t>n:57.9744</t>
  </si>
  <si>
    <t>s:CBRT ForexBuying, bulletin 2026/122</t>
  </si>
  <si>
    <t>n:53.3956</t>
  </si>
  <si>
    <t>n:62.2009</t>
  </si>
  <si>
    <t>n:46.6337</t>
  </si>
  <si>
    <t>d:2026-07-06</t>
  </si>
  <si>
    <t>n:57.8848</t>
  </si>
  <si>
    <t>s:CBRT ForexBuying, bulletin 2026/123</t>
  </si>
  <si>
    <t>n:53.3716</t>
  </si>
  <si>
    <t>n:62.2408</t>
  </si>
  <si>
    <t>n:46.7362</t>
  </si>
  <si>
    <t>d:2026-07-07</t>
  </si>
  <si>
    <t>n:57.8326</t>
  </si>
  <si>
    <t>s:CBRT ForexBuying, bulletin 2026/124</t>
  </si>
  <si>
    <t>n:53.4346</t>
  </si>
  <si>
    <t>n:62.4663</t>
  </si>
  <si>
    <t>n:46.7525</t>
  </si>
  <si>
    <t>d:2026-07-08</t>
  </si>
  <si>
    <t>n:57.7705</t>
  </si>
  <si>
    <t>s:CBRT ForexBuying, bulletin 2026/125</t>
  </si>
  <si>
    <t>n:53.372</t>
  </si>
  <si>
    <t>n:62.327</t>
  </si>
  <si>
    <t>n:46.7694</t>
  </si>
  <si>
    <t>d:2026-07-09</t>
  </si>
  <si>
    <t>n:57.85</t>
  </si>
  <si>
    <t>s:CBRT ForexBuying, bulletin 2026/126</t>
  </si>
  <si>
    <t>n:53.482</t>
  </si>
  <si>
    <t>n:62.6247</t>
  </si>
  <si>
    <t>n:46.7854</t>
  </si>
  <si>
    <t>d:2026-07-10</t>
  </si>
  <si>
    <t>n:57.928</t>
  </si>
  <si>
    <t>s:CBRT ForexBuying, bulletin 2026/127</t>
  </si>
  <si>
    <t>n:53.5195</t>
  </si>
  <si>
    <t>n:62.7138</t>
  </si>
  <si>
    <t>n:46.8084</t>
  </si>
  <si>
    <t>d:2026-07-13</t>
  </si>
  <si>
    <t>n:57.853</t>
  </si>
  <si>
    <t>s:CBRT ForexBuying, bulletin 2026/128</t>
  </si>
  <si>
    <t>n:53.6013</t>
  </si>
  <si>
    <t>n:62.7162</t>
  </si>
  <si>
    <t>n:46.9121</t>
  </si>
  <si>
    <t>d:2026-07-14</t>
  </si>
  <si>
    <t>n:57.5941</t>
  </si>
  <si>
    <t>s:CBRT ForexBuying, bulletin 2026/129</t>
  </si>
  <si>
    <t>n:53.4792</t>
  </si>
  <si>
    <t>n:62.6363</t>
  </si>
  <si>
    <t>n:46.9253</t>
  </si>
  <si>
    <t>d:2026-07-16</t>
  </si>
  <si>
    <t>n:58.0848</t>
  </si>
  <si>
    <t>s:CBRT ForexBuying, bulletin 2026/130</t>
  </si>
  <si>
    <t>n:53.8544</t>
  </si>
  <si>
    <t>n:63.3863</t>
  </si>
  <si>
    <t>n:46.967</t>
  </si>
  <si>
    <t>d:2026-07-17</t>
  </si>
  <si>
    <t>n:58.06</t>
  </si>
  <si>
    <t>s:CBRT ForexBuying, bulletin 2026/131</t>
  </si>
  <si>
    <t>n:53.7467</t>
  </si>
  <si>
    <t>n:63.0802</t>
  </si>
  <si>
    <t>n:46.9858</t>
  </si>
  <si>
    <t>d:2026-07-20</t>
  </si>
  <si>
    <t>n:58.1887</t>
  </si>
  <si>
    <t>s:CBRT ForexBuying, bulletin 2026/132</t>
  </si>
  <si>
    <t>n:53.8514</t>
  </si>
  <si>
    <t>n:63.3106</t>
  </si>
  <si>
    <t>n:47.0938</t>
  </si>
  <si>
    <t>d:2026-07-21</t>
  </si>
  <si>
    <t>n:58.0231</t>
  </si>
  <si>
    <t>s:CBRT ForexBuying, bulletin 2026/133</t>
  </si>
  <si>
    <t>n:53.8086</t>
  </si>
  <si>
    <t>n:63.1539</t>
  </si>
  <si>
    <t>n:47.1134</t>
  </si>
  <si>
    <t>d:2026-07-22</t>
  </si>
  <si>
    <t>n:57.8826</t>
  </si>
  <si>
    <t>s:CBRT ForexBuying, bulletin 2026/134</t>
  </si>
  <si>
    <t>n:53.7661</t>
  </si>
  <si>
    <t>n:62.924</t>
  </si>
  <si>
    <t>n:47.1309</t>
  </si>
  <si>
    <t>d:2026-07-23</t>
  </si>
  <si>
    <t>n:57.7233</t>
  </si>
  <si>
    <t>s:CBRT ForexBuying, bulletin 2026/135</t>
  </si>
  <si>
    <t>n:53.8043</t>
  </si>
  <si>
    <t>n:47.1467</t>
  </si>
  <si>
    <t>d:2026-07-24</t>
  </si>
  <si>
    <t>n:57.6145</t>
  </si>
  <si>
    <t>s:CBRT ForexBuying, bulletin 2026/136</t>
  </si>
  <si>
    <t>n:53.6951</t>
  </si>
  <si>
    <t>n:62.7377</t>
  </si>
  <si>
    <t>n:47.1647</t>
  </si>
  <si>
    <t>d:2026-07-27</t>
  </si>
  <si>
    <t>n:57.8618</t>
  </si>
  <si>
    <t>s:CBRT ForexBuying, bulletin 2026/137</t>
  </si>
  <si>
    <t>n:53.8746</t>
  </si>
  <si>
    <t>n:62.9079</t>
  </si>
  <si>
    <t>n:47.2681</t>
  </si>
  <si>
    <t>d:2026-07-28</t>
  </si>
  <si>
    <t>n:57.553</t>
  </si>
  <si>
    <t>s:CBRT ForexBuying, bulletin 2026/138</t>
  </si>
  <si>
    <t>n:53.7445</t>
  </si>
  <si>
    <t>n:62.7354</t>
  </si>
  <si>
    <t>n:47.2899</t>
  </si>
  <si>
    <t>d:2026-07-29</t>
  </si>
  <si>
    <t>n:57.6102</t>
  </si>
  <si>
    <t>s:CBRT ForexBuying, bulletin 2026/139</t>
  </si>
  <si>
    <t>n:53.8871</t>
  </si>
  <si>
    <t>n:62.8005</t>
  </si>
  <si>
    <t>n:47.3075</t>
  </si>
  <si>
    <t>d:2026-07-30</t>
  </si>
  <si>
    <t>n:57.9486</t>
  </si>
  <si>
    <t>s:CBRT ForexBuying, bulletin 2026/140</t>
  </si>
  <si>
    <t>n:54.2273</t>
  </si>
  <si>
    <t>n:63.1505</t>
  </si>
  <si>
    <t>n:47.3274</t>
  </si>
  <si>
    <t>d:2026-07-31</t>
  </si>
  <si>
    <t>n:58.4727</t>
  </si>
  <si>
    <t>s:CBRT ForexBuying, bulletin 2026/141</t>
  </si>
  <si>
    <t>n:54.4841</t>
  </si>
  <si>
    <t>n:63.5517</t>
  </si>
  <si>
    <t>n:47.3452</t>
  </si>
  <si>
    <t>d:2026-08-03</t>
  </si>
  <si>
    <t>n:58.5318</t>
  </si>
  <si>
    <t>s:CBRT ForexBuying, bulletin 2026/142</t>
  </si>
  <si>
    <t>n:54.6882</t>
  </si>
  <si>
    <t>n:63.7528</t>
  </si>
  <si>
    <t>n:47.4497</t>
  </si>
  <si>
    <t>d:2026-08-04</t>
  </si>
  <si>
    <t>n:58.4736</t>
  </si>
  <si>
    <t>s:CBRT ForexBuying, bulletin 2026/143</t>
  </si>
  <si>
    <t>n:54.6413</t>
  </si>
  <si>
    <t>n:63.6888</t>
  </si>
  <si>
    <t>n:47.4694</t>
  </si>
  <si>
    <t>d:2026-08-05</t>
  </si>
  <si>
    <t>n:58.5628</t>
  </si>
  <si>
    <t>s:CBRT ForexBuying, bulletin 2026/144</t>
  </si>
  <si>
    <t>n:54.81</t>
  </si>
  <si>
    <t>n:63.845</t>
  </si>
  <si>
    <t>n:47.4881</t>
  </si>
  <si>
    <t>d:2026-08-06</t>
  </si>
  <si>
    <t>n:58.5831</t>
  </si>
  <si>
    <t>s:CBRT ForexBuying, bulletin 2026/145</t>
  </si>
  <si>
    <t>n:54.8356</t>
  </si>
  <si>
    <t>n:63.8407</t>
  </si>
  <si>
    <t>n:47.5055</t>
  </si>
  <si>
    <t>d:2026-08-07</t>
  </si>
  <si>
    <t>n:58.4666</t>
  </si>
  <si>
    <t>s:CBRT ForexBuying, bulletin 2026/146</t>
  </si>
  <si>
    <t>n:54.7749</t>
  </si>
  <si>
    <t>n:63.7878</t>
  </si>
  <si>
    <t>n:47.5229</t>
  </si>
  <si>
    <t>d:2026-08-10</t>
  </si>
  <si>
    <t>n:58.7916</t>
  </si>
  <si>
    <t>s:CBRT ForexBuying, bulletin 2026/147</t>
  </si>
  <si>
    <t>n:55.0422</t>
  </si>
  <si>
    <t>n:64.179</t>
  </si>
  <si>
    <t>n:47.626</t>
  </si>
  <si>
    <t>d:2026-08-11</t>
  </si>
  <si>
    <t>n:58.6182</t>
  </si>
  <si>
    <t>s:CBRT ForexBuying, bulletin 2026/148</t>
  </si>
  <si>
    <t>n:54.9693</t>
  </si>
  <si>
    <t>n:64.2212</t>
  </si>
  <si>
    <t>n:47.6505</t>
  </si>
  <si>
    <t>d:2026-08-12</t>
  </si>
  <si>
    <t>n:58.5552</t>
  </si>
  <si>
    <t>s:CBRT ForexBuying, bulletin 2026/149</t>
  </si>
  <si>
    <t>n:54.9987</t>
  </si>
  <si>
    <t>n:64.3083</t>
  </si>
  <si>
    <t>n:47.6678</t>
  </si>
  <si>
    <t>d:2026-08-13</t>
  </si>
  <si>
    <t>n:58.5371</t>
  </si>
  <si>
    <t>s:CBRT ForexBuying, bulletin 2026/150</t>
  </si>
  <si>
    <t>n:54.9754</t>
  </si>
  <si>
    <t>n:64.2008</t>
  </si>
  <si>
    <t>n:47.6858</t>
  </si>
  <si>
    <t>d:2026-08-14</t>
  </si>
  <si>
    <t>n:58.554</t>
  </si>
  <si>
    <t>s:CBRT ForexBuying, bulletin 2026/151</t>
  </si>
  <si>
    <t>n:55.1391</t>
  </si>
  <si>
    <t>n:64.4148</t>
  </si>
  <si>
    <t>n:47.7206</t>
  </si>
  <si>
    <t>d:2026-08-17</t>
  </si>
  <si>
    <t>n:58.9129</t>
  </si>
  <si>
    <t>s:CBRT ForexBuying, bulletin 2026/152</t>
  </si>
  <si>
    <t>n:55.4451</t>
  </si>
  <si>
    <t>n:64.7113</t>
  </si>
  <si>
    <t>n:47.8109</t>
  </si>
  <si>
    <t>d:2026-08-18</t>
  </si>
  <si>
    <t>n:58.7868</t>
  </si>
  <si>
    <t>s:CBRT ForexBuying, bulletin 2026/153</t>
  </si>
  <si>
    <t>n:55.366</t>
  </si>
  <si>
    <t>n:64.597</t>
  </si>
  <si>
    <t>n:47.8293</t>
  </si>
  <si>
    <t>d:2026-08-19</t>
  </si>
  <si>
    <t>n:58.8922</t>
  </si>
  <si>
    <t>s:CBRT ForexBuying, bulletin 2026/154</t>
  </si>
  <si>
    <t>n:55.5061</t>
  </si>
  <si>
    <t>n:64.7454</t>
  </si>
  <si>
    <t>n:47.8467</t>
  </si>
  <si>
    <t>d:2026-08-20</t>
  </si>
  <si>
    <t>n:59.8734</t>
  </si>
  <si>
    <t>s:CBRT ForexBuying, bulletin 2026/155</t>
  </si>
  <si>
    <t>n:55.976</t>
  </si>
  <si>
    <t>n:65.145</t>
  </si>
  <si>
    <t>n:47.8642</t>
  </si>
  <si>
    <t>d:2026-08-21</t>
  </si>
  <si>
    <t>n:59.7464</t>
  </si>
  <si>
    <t>s:CBRT ForexBuying, bulletin 2026/156</t>
  </si>
  <si>
    <t>n:56.0159</t>
  </si>
  <si>
    <t>n:65.2584</t>
  </si>
  <si>
    <t>n:47.8799</t>
  </si>
  <si>
    <t>d:2026-08-24</t>
  </si>
  <si>
    <t>n:59.6969</t>
  </si>
  <si>
    <t>s:CBRT ForexBuying, bulletin 2026/157</t>
  </si>
  <si>
    <t>n:55.9939</t>
  </si>
  <si>
    <t>n:65.3151</t>
  </si>
  <si>
    <t>n:47.9924</t>
  </si>
  <si>
    <t>d:2026-08-25</t>
  </si>
  <si>
    <t>n:59.6403</t>
  </si>
  <si>
    <t>s:CBRT ForexBuying, bulletin 2026/158</t>
  </si>
  <si>
    <t>n:55.9892</t>
  </si>
  <si>
    <t>n:65.3573</t>
  </si>
  <si>
    <t>n:48.0117</t>
  </si>
  <si>
    <t>d:2026-08-26</t>
  </si>
  <si>
    <t>n:59.6188</t>
  </si>
  <si>
    <t>s:CBRT ForexBuying, bulletin 2026/159</t>
  </si>
  <si>
    <t>n:56.0388</t>
  </si>
  <si>
    <t>n:65.344</t>
  </si>
  <si>
    <t>n:48.0292</t>
  </si>
  <si>
    <t>d:2026-08-27</t>
  </si>
  <si>
    <t>n:59.4899</t>
  </si>
  <si>
    <t>s:CBRT ForexBuying, bulletin 2026/160</t>
  </si>
  <si>
    <t>n:55.9574</t>
  </si>
  <si>
    <t>n:65.1418</t>
  </si>
  <si>
    <t>n:48.0466</t>
  </si>
  <si>
    <t>d:2026-08-28</t>
  </si>
  <si>
    <t>n:59.6438</t>
  </si>
  <si>
    <t>s:CBRT ForexBuying, bulletin 2026/161</t>
  </si>
  <si>
    <t>n:55.9845</t>
  </si>
  <si>
    <t>n:65.2091</t>
  </si>
  <si>
    <t>n:48.0732</t>
  </si>
  <si>
    <t>d:2026-08-31</t>
  </si>
  <si>
    <t>n:59.4436</t>
  </si>
  <si>
    <t>s:CBRT ForexBuying, bulletin 2026/162</t>
  </si>
  <si>
    <t>n:55.8652</t>
  </si>
  <si>
    <t>n:65.1261</t>
  </si>
  <si>
    <t>n:48.1745</t>
  </si>
  <si>
    <t>d:2026-09-01</t>
  </si>
  <si>
    <t>n:59.3595</t>
  </si>
  <si>
    <t>s:CBRT ForexBuying, bulletin 2026/163</t>
  </si>
  <si>
    <t>n:55.8769</t>
  </si>
  <si>
    <t>n:65.1286</t>
  </si>
  <si>
    <t>n:48.1891</t>
  </si>
  <si>
    <t>d:2026-09-02</t>
  </si>
  <si>
    <t>n:59.057</t>
  </si>
  <si>
    <t>s:CBRT ForexBuying, bulletin 2026/164</t>
  </si>
  <si>
    <t>n:55.7929</t>
  </si>
  <si>
    <t>n:64.9377</t>
  </si>
  <si>
    <t>n:48.2075</t>
  </si>
  <si>
    <t>d:2026-09-03</t>
  </si>
  <si>
    <t>n:59.4529</t>
  </si>
  <si>
    <t>s:CBRT ForexBuying, bulletin 2026/165</t>
  </si>
  <si>
    <t>n:55.9713</t>
  </si>
  <si>
    <t>n:64.9761</t>
  </si>
  <si>
    <t>n:48.2238</t>
  </si>
  <si>
    <t>d:2026-09-04</t>
  </si>
  <si>
    <t>n:59.4926</t>
  </si>
  <si>
    <t>s:CBRT ForexBuying, bulletin 2026/166</t>
  </si>
  <si>
    <t>n:56.0571</t>
  </si>
  <si>
    <t>n:65.1605</t>
  </si>
  <si>
    <t>n:48.2326</t>
  </si>
  <si>
    <t>d:2026-09-07</t>
  </si>
  <si>
    <t>n:59.5926</t>
  </si>
  <si>
    <t>s:CBRT ForexBuying, bulletin 2026/167</t>
  </si>
  <si>
    <t>n:56.1851</t>
  </si>
  <si>
    <t>n:65.3185</t>
  </si>
  <si>
    <t>n:48.3465</t>
  </si>
  <si>
    <t>d:2026-09-08</t>
  </si>
  <si>
    <t>n:59.4925</t>
  </si>
  <si>
    <t>s:CBRT ForexBuying, bulletin 2026/168</t>
  </si>
  <si>
    <t>n:56.18</t>
  </si>
  <si>
    <t>n:65.3505</t>
  </si>
  <si>
    <t>n:48.3727</t>
  </si>
  <si>
    <t>d:2026-09-09</t>
  </si>
  <si>
    <t>n:59.6812</t>
  </si>
  <si>
    <t>s:CBRT ForexBuying, bulletin 2026/169</t>
  </si>
  <si>
    <t>n:56.306</t>
  </si>
  <si>
    <t>n:65.4516</t>
  </si>
  <si>
    <t>n:48.3905</t>
  </si>
  <si>
    <t>d:2026-09-10</t>
  </si>
  <si>
    <t>n:59.6001</t>
  </si>
  <si>
    <t>s:CBRT ForexBuying, bulletin 2026/170</t>
  </si>
  <si>
    <t>n:56.3113</t>
  </si>
  <si>
    <t>n:65.4672</t>
  </si>
  <si>
    <t>n:48.4069</t>
  </si>
  <si>
    <t>d:2026-09-11</t>
  </si>
  <si>
    <t>n:59.3278</t>
  </si>
  <si>
    <t>s:CBRT ForexBuying, bulletin 2026/171</t>
  </si>
  <si>
    <t>n:56.1754</t>
  </si>
  <si>
    <t>n:65.3215</t>
  </si>
  <si>
    <t>n:48.4305</t>
  </si>
  <si>
    <t>d:2026-09-14</t>
  </si>
  <si>
    <t>n:59.1981</t>
  </si>
  <si>
    <t>s:CBRT ForexBuying, bulletin 2026/172</t>
  </si>
  <si>
    <t>n:56.0284</t>
  </si>
  <si>
    <t>n:65.3562</t>
  </si>
  <si>
    <t>n:48.5343</t>
  </si>
  <si>
    <t>d:2026-09-15</t>
  </si>
  <si>
    <t>n:59.2403</t>
  </si>
  <si>
    <t>s:CBRT ForexBuying, bulletin 2026/173</t>
  </si>
  <si>
    <t>n:56.0207</t>
  </si>
  <si>
    <t>n:65.3297</t>
  </si>
  <si>
    <t>n:48.5585</t>
  </si>
  <si>
    <t>d:2026-09-16</t>
  </si>
  <si>
    <t>n:59.1819</t>
  </si>
  <si>
    <t>s:CBRT ForexBuying, bulletin 2026/174</t>
  </si>
  <si>
    <t>n:56.0645</t>
  </si>
  <si>
    <t>n:65.319</t>
  </si>
  <si>
    <t>n:48.5779</t>
  </si>
  <si>
    <t>d:2026-09-17</t>
  </si>
  <si>
    <t>n:58.7403</t>
  </si>
  <si>
    <t>s:CBRT ForexBuying, bulletin 2026/175</t>
  </si>
  <si>
    <t>n:55.7548</t>
  </si>
  <si>
    <t>n:64.9574</t>
  </si>
  <si>
    <t>n:48.5873</t>
  </si>
  <si>
    <t>d:2026-09-18</t>
  </si>
  <si>
    <t>n:58.7941</t>
  </si>
  <si>
    <t>s:CBRT ForexBuying, bulletin 2026/176</t>
  </si>
  <si>
    <t>n:55.7981</t>
  </si>
  <si>
    <t>n:64.8549</t>
  </si>
  <si>
    <t>n:48.6116</t>
  </si>
  <si>
    <t>d:2026-09-21</t>
  </si>
  <si>
    <t>n:59.0761</t>
  </si>
  <si>
    <t>s:CBRT ForexBuying, bulletin 2026/177</t>
  </si>
  <si>
    <t>n:55.9243</t>
  </si>
  <si>
    <t>n:65.0834</t>
  </si>
  <si>
    <t>n:48.7131</t>
  </si>
  <si>
    <t>d:2026-09-22</t>
  </si>
  <si>
    <t>n:59.2886</t>
  </si>
  <si>
    <t>s:CBRT ForexBuying, bulletin 2026/178</t>
  </si>
  <si>
    <t>n:55.8513</t>
  </si>
  <si>
    <t>n:65.0122</t>
  </si>
  <si>
    <t>n:48.7323</t>
  </si>
  <si>
    <t>d:2026-09-23</t>
  </si>
  <si>
    <t>n:59.128</t>
  </si>
  <si>
    <t>s:CBRT ForexBuying, bulletin 2026/179</t>
  </si>
  <si>
    <t>n:55.6521</t>
  </si>
  <si>
    <t>n:64.7052</t>
  </si>
  <si>
    <t>n:48.7499</t>
  </si>
  <si>
    <t>d:2026-09-24</t>
  </si>
  <si>
    <t>n:58.8365</t>
  </si>
  <si>
    <t>s:CBRT ForexBuying, bulletin 2026/180</t>
  </si>
  <si>
    <t>n:55.4945</t>
  </si>
  <si>
    <t>n:64.4338</t>
  </si>
  <si>
    <t>n:48.7671</t>
  </si>
  <si>
    <t>d:2026-09-25</t>
  </si>
  <si>
    <t>n:58.7128</t>
  </si>
  <si>
    <t>s:CBRT ForexBuying, bulletin 2026/181</t>
  </si>
  <si>
    <t>n:55.5878</t>
  </si>
  <si>
    <t>n:64.4761</t>
  </si>
  <si>
    <t>n:48.7901</t>
  </si>
  <si>
    <t>s:A1</t>
  </si>
  <si>
    <t>s:ColumnIDs are provisional: ColumnID = 'C' + position of the header in the transcribed schema list (102 headers); the official schema reference is held by the data owners. A row counts as verified only when Cmd_VerifyColumnIDs has stamped VerifiedBy and VerifiedOn with the Windows identity.</t>
  </si>
  <si>
    <t>s:Verification</t>
  </si>
  <si>
    <t>s:Data owners</t>
  </si>
  <si>
    <t>s:Deferred</t>
  </si>
  <si>
    <t>s:Backlog: waits for the official schema reference. Check COLUMNID_VERIFIED is ADVISORY (amber, listed in the closing pack) and does not block the close.</t>
  </si>
  <si>
    <t>s:COLUMNID_VERIFIED</t>
  </si>
  <si>
    <t>s:A2</t>
  </si>
  <si>
    <t>s:The header is row 1 of the FIRST sheet (tab order, even if hidden). A file with title rows above the header shows as NO MAPPED HEADER / MISSING COLUMN (REVIEW) instead of loading wrongly.</t>
  </si>
  <si>
    <t>s:Technical</t>
  </si>
  <si>
    <t>s:fozel</t>
  </si>
  <si>
    <t>s:Confirmed</t>
  </si>
  <si>
    <t>s:fnReadFirstSheet, fnStandardizeFile (NO MAPPED HEADER); check MAPPING_DQ.</t>
  </si>
  <si>
    <t>d:2026-09-29</t>
  </si>
  <si>
    <t>s:MAPPING_DQ</t>
  </si>
  <si>
    <t>s:A3</t>
  </si>
  <si>
    <t>s:Toplam Ödenen' (total paid) is mapped to GrossAmount. The reconciliation of every company using that header is the test.</t>
  </si>
  <si>
    <t>s:Backlog: confirmed by the companies' ledgers through the monthly reconciliation (check RECON).</t>
  </si>
  <si>
    <t>s:RECON</t>
  </si>
  <si>
    <t>s:A4</t>
  </si>
  <si>
    <t>s:Poliçe Başlama / Bitiş Tarih (YG)' is mapped to PolicyStart / PolicyEndDate; the meaning of '(YG)' is to be confirmed by the data owners. Not modelled - no numeric impact.</t>
  </si>
  <si>
    <t>s:Backlog: no numeric impact while the field is not modelled.</t>
  </si>
  <si>
    <t>s:A5</t>
  </si>
  <si>
    <t>s:BANKANO is treated as an account identifier (personal data).</t>
  </si>
  <si>
    <t>s:tblColumnMap BANKANO: PersonalData = Y, IncludeInModel = N; check PRIVACY.</t>
  </si>
  <si>
    <t>s:PRIVACY</t>
  </si>
  <si>
    <t>s:A6</t>
  </si>
  <si>
    <t>s:NetAmount is the source's NETODENEN as delivered; it is not recomputed from gross minus deductions.</t>
  </si>
  <si>
    <t>s:Backlog: to be confirmed against the companies' payment definitions; ReconBasis = GrossAmount meanwhile.</t>
  </si>
  <si>
    <t>s:A7</t>
  </si>
  <si>
    <t>s:The reporting period is the period in the FILE NAME and drives the default date relationship (PeriodDate). Lines whose PaymentDate falls in another month are flagged, never moved.</t>
  </si>
  <si>
    <t>s:fnParseFileName; FactPayment[PeriodDate] relationship; check DATES (PaymentOutsidePeriod).</t>
  </si>
  <si>
    <t>s:DATES</t>
  </si>
  <si>
    <t>s:A8</t>
  </si>
  <si>
    <t>s:FX = CBRT forex buying rate of the bulletin dated on the payment date; weekends and holidays carry the last published rate forward for at most FXMaxCarryForwardDays = 10 days; beyond that the line is flagged as FX missing. Bulletins are fetched automatically (FXRateType selects the rate).</t>
  </si>
  <si>
    <t>s:Parameters FXRateType, FXMaxCarryForwardDays, FXSourceUrl; DimFXRate; checks FX_RATES and FX_FETCH.</t>
  </si>
  <si>
    <t>s:FXRateType, FXMaxCarryForwardDays</t>
  </si>
  <si>
    <t>s:FX_RATES</t>
  </si>
  <si>
    <t>s:A9</t>
  </si>
  <si>
    <t>s:Reconciliation is done in the ORIGINAL currency per company x currency, not in TRY.</t>
  </si>
  <si>
    <t>s:tblRecon (PeriodKey, CompanyID, CurrencyCode); check RECON.</t>
  </si>
  <si>
    <t>s:A10</t>
  </si>
  <si>
    <t>s:ReconAbsTolerance = 1.00 (currency unit); ReconRelTolerance = 0 (off).</t>
  </si>
  <si>
    <t>s:Parameters ReconAbsTolerance, ReconRelTolerance; tblRecon[ToleranceApplied]; check RECON.</t>
  </si>
  <si>
    <t>s:ReconAbsTolerance, ReconRelTolerance</t>
  </si>
  <si>
    <t>s:A11</t>
  </si>
  <si>
    <t>s:Duplicate key = CompanyID|CaseNo|CoverCode|InstallmentSeq|PaymentVoucherNo. Reversals that share a key are flagged on purpose - a person confirms them.</t>
  </si>
  <si>
    <t>s:Parameter DuplicateKeyColumns; FactPayment[IsDuplicateKey]; check DUP_KEYS.</t>
  </si>
  <si>
    <t>s:DUP_KEYS</t>
  </si>
  <si>
    <t>s:A12</t>
  </si>
  <si>
    <t>s:Chronology compares only the dates present, in chain order; blanks are reported separately (BLANK CORE VALUE).</t>
  </si>
  <si>
    <t>s:Parameter ChronologyChain; FactPayment[ChronoViolation]; check CHRONOLOGY.</t>
  </si>
  <si>
    <t>s:CHRONOLOGY</t>
  </si>
  <si>
    <t>s:A13</t>
  </si>
  <si>
    <t>s:A case is 'partially paid' when it has 2 or more payment lines in all periods up to and including the period in context (as-of).</t>
  </si>
  <si>
    <t>s:DAX measures Partial Payment Cases and Partial Payment Ratio %; KPI_Check rows 15-16.</t>
  </si>
  <si>
    <t>s:A14</t>
  </si>
  <si>
    <t>s:Average days notification -&gt; payment is per payment line; lines with a negative value (chronology breaks) are excluded.</t>
  </si>
  <si>
    <t>s:DAX measure Avg Days Notification to Payment; KPI_Check row 14; check CHRONOLOGY.</t>
  </si>
  <si>
    <t>s:A15</t>
  </si>
  <si>
    <t>s:Distinct cases are counted on CaseKey = CompanyID|CaseNo.</t>
  </si>
  <si>
    <t>s:DAX measure Distinct Cases = KPI_Check Distinct Cases (Dashboard model check dashModelCheck).</t>
  </si>
  <si>
    <t>s:A16</t>
  </si>
  <si>
    <t>s:Money columns use Currency.Type (fixed decimal, 4 places).</t>
  </si>
  <si>
    <t>s:fnConvertValue, FactPayment; reconciliation differences of 0.00 in the acceptance runs.</t>
  </si>
  <si>
    <t>s:A17</t>
  </si>
  <si>
    <t>s:Privacy levels are ignored in this workbook because only local files and the workbook itself were sources.</t>
  </si>
  <si>
    <t>s:IT Security</t>
  </si>
  <si>
    <t>s:Superseded</t>
  </si>
  <si>
    <t>s:Superseded by D34: the workbook also reads the CBRT web site.</t>
  </si>
  <si>
    <t>s:A18</t>
  </si>
  <si>
    <t>s:Personal data exists only transiently inside the Power Query engine while a source sheet is read; it is removed in the first transform step and never written to a sheet, the Data Model or the archive.</t>
  </si>
  <si>
    <t>s:Process</t>
  </si>
  <si>
    <t>s:fnStandardizeFile keeps only whitelisted columns (IncludeInModel = Y, PersonalData = N); check PRIVACY.</t>
  </si>
  <si>
    <t>s:A19</t>
  </si>
  <si>
    <t>s:The archive export is a deliberate manual values-only copy.</t>
  </si>
  <si>
    <t>s:Head of Actuarial Closing</t>
  </si>
  <si>
    <t>s:Superseded by Cmd_ClosePeriod: the export is automated, four-eyes signed, logged and verified.</t>
  </si>
  <si>
    <t>s:ARCHIVE_INTEGRITY</t>
  </si>
  <si>
    <t>s:A20</t>
  </si>
  <si>
    <t>s:ActivePeriod is an integer YYYYMM (validated 200001-209912, month 01-12).</t>
  </si>
  <si>
    <t>s:Data validation on tblParameters; VBA IsValidPeriod.</t>
  </si>
  <si>
    <t>s:A21</t>
  </si>
  <si>
    <t>s:Worksheet formulas use only functions that exist in both Excel and LibreOffice; no dynamic-array functions.</t>
  </si>
  <si>
    <t>s:Platform administrator</t>
  </si>
  <si>
    <t>s:Superseded by D26 (Excel for Microsoft 365 only).</t>
  </si>
  <si>
    <t>s:A22</t>
  </si>
  <si>
    <t>s:A synthetic sample mode existed in the first release.</t>
  </si>
  <si>
    <t>s:Removed</t>
  </si>
  <si>
    <t>s:Removed in 2.0.0: no mode parameter, no sample branch in any query.</t>
  </si>
  <si>
    <t>s:A23</t>
  </si>
  <si>
    <t>s:Per-user paths: the source and archive folders differ per user; each user sets them in Parameters.</t>
  </si>
  <si>
    <t>s:Superseded by Setup + UNC + settings file (D52, D53): one ACP_Settings.ini next to the workbook, resolved to UNC paths for every user.</t>
  </si>
  <si>
    <t>s:A24</t>
  </si>
  <si>
    <t>s:Several headers of one field in one file: the header listed first in ColumnMap wins; the others are INFO (AMBIGUOUS MAPPING).</t>
  </si>
  <si>
    <t>s:fnStandardizeFile (MapOrder); STG_DQ issue AMBIGUOUS MAPPING with Severity INFO.</t>
  </si>
  <si>
    <t>s:A25</t>
  </si>
  <si>
    <t>s:The months backfilled in 1.1 were closed without independent totals.</t>
  </si>
  <si>
    <t>s:3.0.0 starts in zero state: every month is closed through Setup and the four-eyes close with its reconciliation.</t>
  </si>
  <si>
    <t>s:D26</t>
  </si>
  <si>
    <t>s:Excel for Microsoft 365 (Windows) only: CUBE functions, PivotCharts, timelines, VBA and dynamic-array formulas are used (supersedes A21).</t>
  </si>
  <si>
    <t>s:Dashboard (CUBEVALUE, timeline), ControlPanel (FILTER, LET), VBA project.</t>
  </si>
  <si>
    <t>s:D27</t>
  </si>
  <si>
    <t>s:Division of labour: Power Query owns every transformation, DAX the measures, worksheet formulas the statuses, VBA only orchestrates (it copies, never computes).</t>
  </si>
  <si>
    <t>s:src/pq, DAX_Measures, tblControl formulas; src/vba (no business number computed).</t>
  </si>
  <si>
    <t>s:D28</t>
  </si>
  <si>
    <t>s:A cloud document library as source, archive and log location.</t>
  </si>
  <si>
    <t>s:Removed in 3.0.0: the platform runs on a shared network drive (D53).</t>
  </si>
  <si>
    <t>s:D29</t>
  </si>
  <si>
    <t>s:RefreshLog is written by VBA after Cmd_RefreshAll (not by a self-referencing query): the overall status exists only after recalculation, and a query table would lose its history.</t>
  </si>
  <si>
    <t>s:mod_Log.RefreshLog_Write; check STG_CURRENT compares STG_Refresh with the last RefreshLog row.</t>
  </si>
  <si>
    <t>s:STG_CURRENT</t>
  </si>
  <si>
    <t>s:D30</t>
  </si>
  <si>
    <t>s:Separate go-live step with a reset of the sample history.</t>
  </si>
  <si>
    <t>s:Removed in 3.0.0: replaced by Setup (Cmd_Setup) on a zero-state workbook (D57).</t>
  </si>
  <si>
    <t>s:D31</t>
  </si>
  <si>
    <t>s:Several users refresh from a cloud document library without editing any path.</t>
  </si>
  <si>
    <t>s:Removed in 3.0.0: the platform runs on a shared network drive; locations come from ACP_Settings.ini (D52, D53).</t>
  </si>
  <si>
    <t>s:D32</t>
  </si>
  <si>
    <t>s:Cell-level version history of the workbook in a cloud document library.</t>
  </si>
  <si>
    <t>s:Removed in 3.0.0: the platform runs on a shared network drive; the edit audit and the ActivityLog record every change.</t>
  </si>
  <si>
    <t>s:D33</t>
  </si>
  <si>
    <t>s:An add-only permission level of a cloud log library.</t>
  </si>
  <si>
    <t>s:Removed in 3.0.0: the platform runs on a shared network drive; the NTFS permission request in Admin_Guide makes the log folder add-only.</t>
  </si>
  <si>
    <t>s:D34</t>
  </si>
  <si>
    <t>s:Privacy levels are ignored, including the CBRT web access: only dates leave the workbook (revises A17).</t>
  </si>
  <si>
    <t>s:fnFetchCBRT requests yyyyMM/ddMMyyyy.xml only; parameters FXAutoFetch, FXSource, FXSourceUrl.</t>
  </si>
  <si>
    <t>s:FXAutoFetch, FXSource</t>
  </si>
  <si>
    <t>s:FX_FETCH</t>
  </si>
  <si>
    <t>s:D35</t>
  </si>
  <si>
    <t>s:An API-key based alternative FX source.</t>
  </si>
  <si>
    <t>s:Removed in 3.0.0: FXSource is CBRT_XML or Manual only.</t>
  </si>
  <si>
    <t>s:D36</t>
  </si>
  <si>
    <t>s:PDF exports: tenant sensitivity labels could protect the PDFs that Excel exports (dashboard PDF, closing pack).</t>
  </si>
  <si>
    <t>s:IT</t>
  </si>
  <si>
    <t>s:Backlog: to be verified with the organisation's PDF reader and labelling policy; Excel itself does not encrypt the PDFs.</t>
  </si>
  <si>
    <t>s:D37</t>
  </si>
  <si>
    <t>s:Macro trust: the VBA project is signed by IT or the platform folder is a Trusted Location.</t>
  </si>
  <si>
    <t>s:Start sheet (instructions shown while macros are off); Admin_Guide, IT request.</t>
  </si>
  <si>
    <t>s:D38</t>
  </si>
  <si>
    <t>s:Outlier threshold per payment line = 5,000,000 TRY.</t>
  </si>
  <si>
    <t>s:Parameter OutlierThresholdTRY; FactPayment[IsOutlier]; check OUTLIERS.</t>
  </si>
  <si>
    <t>s:OUTLIERS</t>
  </si>
  <si>
    <t>s:D39</t>
  </si>
  <si>
    <t>s:Four-eyes by Windows identity (DOMAIN\logon): the user who submitted a period can never close it, whatever roles that user holds; FourEyesRequired = N is a waiver that keeps check FOUR_EYES in REVIEW.</t>
  </si>
  <si>
    <t>s:mod_Cmd.Do_Close (segregation of duties); tblSignOff; acceptance test 6.</t>
  </si>
  <si>
    <t>s:FOUR_EYES</t>
  </si>
  <si>
    <t>s:D40</t>
  </si>
  <si>
    <t>s:Close gate: staging current and logged, and every BLOCKING check OK or explained for the period.</t>
  </si>
  <si>
    <t>s:cpCloseGate; tblControl[Severity]; Cmd_SubmitForReview and Cmd_ClosePeriod read the gate.</t>
  </si>
  <si>
    <t>s:D41</t>
  </si>
  <si>
    <t>s:Protection: the sheet-protection key is created at random for each installation and kept on the very hidden Security sheet (a deterrent; the edit audit is the control). The VBA project is locked for viewing with a password held by the owner; it is never stored in the workbook, the source export, the documentation or any log.</t>
  </si>
  <si>
    <t>s:Named cell secSheetKey; mod_Util.ProtectSheet; Admin_Guide 'Locking the VBA project' (applied by the owner after the source export).</t>
  </si>
  <si>
    <t>s:D42</t>
  </si>
  <si>
    <t>s:Trust access to the VBA project object model is needed only to export the VBA source (Cmd_ExportSourceCode skips the VBA part and says so when trust is off or the project is locked).</t>
  </si>
  <si>
    <t>s:mod_Export.ExportVba; acceptance test 14.</t>
  </si>
  <si>
    <t>s:D43</t>
  </si>
  <si>
    <t>s:External ActivityLog: one immutable CSV per event named ACT_&lt;EventNo&gt;_&lt;UTC&gt;_&lt;user&gt;_&lt;checksum&gt;.csv; qLog_External compares file names with the workbook copy; events of sessions that were not saved stay outside the workbook (INFO).</t>
  </si>
  <si>
    <t>s:mod_Log.ExternalWrite; qLog_External; check LOG_INTEGRITY.</t>
  </si>
  <si>
    <t>s:LOG_INTEGRITY</t>
  </si>
  <si>
    <t>s:D44</t>
  </si>
  <si>
    <t>s:Commands that change the platform save the workbook; they are blocked when the workbook is open read-only, is a copy, or when its settings are missing.</t>
  </si>
  <si>
    <t>s:mod_Cmd.Guard / SessionBlock; tblCommandPermission[StateChanging]; acceptance tests 8, 9.</t>
  </si>
  <si>
    <t>s:D45</t>
  </si>
  <si>
    <t>s:Re-open is allowed for any closed month (Administrator); after its re-close, ActivePeriod continues with the first month without a current archive.</t>
  </si>
  <si>
    <t>s:Cmd_ReopenPeriod (files moved to Superseded, never deleted); mod_Archive.NextOpenPeriod; check ACTIVE_OPEN.</t>
  </si>
  <si>
    <t>s:ACTIVE_OPEN</t>
  </si>
  <si>
    <t>s:D46</t>
  </si>
  <si>
    <t>s:A company without payments delivers a written nil return, recorded in tblNilReturn; FILES_EXPECTED and COMPLETENESS accept it.</t>
  </si>
  <si>
    <t>s:tblNilReturn (Preparer); checks FILES_EXPECTED and COMPLETENESS.</t>
  </si>
  <si>
    <t>s:FILES_EXPECTED, COMPLETENESS</t>
  </si>
  <si>
    <t>s:D47</t>
  </si>
  <si>
    <t>s:REVIEW explanations count only for the period they were given for; they are cleared at close and kept in CONTROLS_PAY_&lt;period&gt;.xlsx.</t>
  </si>
  <si>
    <t>s:tblControl[ExplainedPeriod]; cpUnexplained; mod_Cmd.ClearExplanations; controls file sheet CHECKS.</t>
  </si>
  <si>
    <t>s:D48</t>
  </si>
  <si>
    <t>s:Version 2.0 was delivered for acceptance on a synthetic data set; the live folders stayed untouched.</t>
  </si>
  <si>
    <t>s:Superseded by D57: 3.0.0 is delivered in zero state and initialised by Setup.</t>
  </si>
  <si>
    <t>s:D49</t>
  </si>
  <si>
    <t>s:Drill-through (double-click on a Data Model pivot value) returns at most 1,000 rows by default; the limit is not exposed for the Data Model connection. The governed way to list lines is DataView (Show lines); an Administrator may raise the limit by hand (Data &gt; Queries &amp; Connections &gt; ThisWorkbookDataModel &gt; Properties &gt; Usage).</t>
  </si>
  <si>
    <t>s:DataView and Cmd_ViewCompanyMonth; Admin_Guide.</t>
  </si>
  <si>
    <t>s:D50</t>
  </si>
  <si>
    <t>s:Role-based authorisation: identity = Windows logon + domain from the logon token (no shared role passwords); roles Viewer (default for unlisted users), Analyst, Preparer, Reviewer, Administrator - a user may hold several; permissions are data in tblCommandPermission; every command starts with RequirePermission and denied attempts are logged as DENIED; buttons a user may not use are hidden.</t>
  </si>
  <si>
    <t>s:mod_Security.RequirePermission; tblUserRole; tblCommandPermission; mod_Session.ApplyButtons; acceptance tests 4-6.</t>
  </si>
  <si>
    <t>s:D51</t>
  </si>
  <si>
    <t>s:Administrator sign-in: Windows identity plus the administrator's own password, stored only as PBKDF2-HMAC-SHA256 (600,000 iterations, 16-byte per-administrator salt); five failures lock the sign-in for 30 minutes; every attempt is logged; recovery by another Administrator or a restore from backup - there is no other way in.</t>
  </si>
  <si>
    <t>s:mod_Security (Do_AdminLogin, Do_SetOwnPassword, tblAdminCredential); acceptance test 7.</t>
  </si>
  <si>
    <t>s:D52</t>
  </si>
  <si>
    <t>s:Two layers of settings: ACP_Settings.ini next to the workbook holds the installation's locations (relative paths allowed); VBA resolves them to absolute UNC paths and writes them into tblParameters before every refresh, where Power Query reads them.</t>
  </si>
  <si>
    <t>s:mod_Session.Session_LoadSettings; mod_Cmd.Do_RefreshAll; Admin_Guide 'Settings file'.</t>
  </si>
  <si>
    <t>s:SourceFolder, ArchiveFolder, LogFolder</t>
  </si>
  <si>
    <t>s:D53</t>
  </si>
  <si>
    <t>s:The platform runs from a shared network drive (UNC): mapped drives are converted to UNC (WNetGetConnectionW); a workbook opened outside PlatformHomePath is a copy; the file has one writer; long commands hold ACP.lock; a second user opens read-only.</t>
  </si>
  <si>
    <t>s:mod_Util.ToUnc; mod_Session (COPY, READONLY); mod_Security.AcquireLock; acceptance tests 3, 8, 9.</t>
  </si>
  <si>
    <t>s:D54</t>
  </si>
  <si>
    <t>s:Macro guard: the saved file shows only the Start sheet (bilingual instructions to enable macros through a Trusted Location or a signed project); every other sheet is very hidden while the file is written.</t>
  </si>
  <si>
    <t>s:mod_Session Guard_BeforeSave / Guard_AfterSave / SavePlatform; acceptance test 1.</t>
  </si>
  <si>
    <t>s:D55</t>
  </si>
  <si>
    <t>s:Integrity of the security tables: every change goes through Cmd_ManageUsers (or Setup) and logs a SECURITY event with the checksum of the tables; at open a mismatch or a broken ActivityLog chain degrades everyone to Viewer until an Administrator reviews the tables.</t>
  </si>
  <si>
    <t>s:mod_Security.SignSecurityTables and Security_CheckIntegrity; Home banner INTEGRITY; acceptance test 7.</t>
  </si>
  <si>
    <t>s:D56</t>
  </si>
  <si>
    <t>s:Check severity: BLOCKING checks gate the close; ADVISORY checks (COLUMNID_VERIFIED) are shown in amber on Home and ControlPanel and listed in the closing pack, without blocking.</t>
  </si>
  <si>
    <t>s:tblControl[Severity]; Status formula; cpCloseGate; controls file ABOUT AdvisoryItems; acceptance test 11.</t>
  </si>
  <si>
    <t>s:D57</t>
  </si>
  <si>
    <t>s:Zero-state delivery: 3.0.0 ships without companies, periods, locations, users or log events; the CBRT rates and the column dictionary are kept; Setup initialises an installation and writes the genesis event PLATFORM_INITIALISED.</t>
  </si>
  <si>
    <t>s:Release build tools/build/Build-Release.ps1; wording inventory before/after; acceptance test 12.</t>
  </si>
  <si>
    <t>s:D58</t>
  </si>
  <si>
    <t>s:The changelog is maintained only through Cmd_AddChangelogEntry (Administrator); the author is stamped from the Windows identity and display name; hand edits of tblChangelog are reverted and logged.</t>
  </si>
  <si>
    <t>s:mod_Cmd.Cmd_AddChangelogEntry; tblAuditScope tblChangelog (no edit permission); acceptance test 12.</t>
  </si>
  <si>
    <t>s:D59</t>
  </si>
  <si>
    <t>s:Edit rights are enforced by the edit audit: sheets are protected per role, and an edit the user's role does not allow is reverted from the shadow copy and logged (SECURITY EDIT_DENIED).</t>
  </si>
  <si>
    <t>s:mod_Log.AuditTable and RevertTable; tblAuditScope[EditPermission, ColumnPermissions]; acceptance test 5.</t>
  </si>
  <si>
    <t>s:D60</t>
  </si>
  <si>
    <t>s:FourEyesRequired is Administrator-only; switching it off needs the administrator password again and is logged with severity HIGH.</t>
  </si>
  <si>
    <t>s:tblAuditScope tblParameters (Edit_Parameters); mod_Log.AuditTable (waiver); mod_Security.ReconfirmAdmin.</t>
  </si>
  <si>
    <t>s:D61</t>
  </si>
  <si>
    <t>s:Months before go-live are frozen once by an Administrator with Cmd_Backfill: every month found in the source folder before the newest one is archived as found, without independent totals, four-eyes or explanations (SignOff[FourEyes] = NOT APPLIED (backfill), comment naming the Administrator); the newest month stays open and follows the normal four-eyes close. Months already archived are never overwritten.</t>
  </si>
  <si>
    <t>s:Specification of the backfill command by fozel (2026-09-29); mod_Cmd.Cmd_Backfill; tblCommandPermission (Administrator, signed in, typed confirmation BACKFILL); acceptance test 15.</t>
  </si>
  <si>
    <t>s:ARCHIVE_COMPLETE</t>
  </si>
  <si>
    <t>s:Refresh</t>
  </si>
  <si>
    <t>s:Staging data is current and the refresh was logged</t>
  </si>
  <si>
    <t>s:The STG_* tables were refreshed for the ActivePeriod and the source folder now in Parameters, hold only active-period lines, and the refresh ran through Refresh (Cmd_RefreshAll): it is the last RefreshLog entry.</t>
  </si>
  <si>
    <t>s:BLOCKING</t>
  </si>
  <si>
    <t>s:REVIEW</t>
  </si>
  <si>
    <t>s:Home &gt; Refresh and wait for the message. Do not use Data &gt; Refresh All: it is not logged and keeps this check in REVIEW. If a query fails, the message names it - fix that error first (Technical_Guide, Troubleshooting).</t>
  </si>
  <si>
    <t>n:2</t>
  </si>
  <si>
    <t>s:FILES_EXPECTED</t>
  </si>
  <si>
    <t>s:Files</t>
  </si>
  <si>
    <t>s:Every expected company delivered a file or a nil return</t>
  </si>
  <si>
    <t>s:Each company expected in the active period (DimCompany window) has at least one MATCHED file or a written nil return in tblNilReturn.</t>
  </si>
  <si>
    <t>s:OK</t>
  </si>
  <si>
    <t>s:Section C shows the company. Look for the file in the source location (a mis-named copy appears under FILES_NEARMISS), ask the company to deliver it, or record its written nil return in tblNilReturn (sheet DimCompany). A company that stopped reporting gets an ExpectedToPeriod on DimCompany.</t>
  </si>
  <si>
    <t>n:3</t>
  </si>
  <si>
    <t>s:FILES_DUPLICATE</t>
  </si>
  <si>
    <t>s:No duplicate copies of a source file</t>
  </si>
  <si>
    <t>s:No company/period file exists more than once anywhere in the source location (all copies would be loaded).</t>
  </si>
  <si>
    <t>s:Show staging &gt; STG_Files: filter FilesForCompanyPeriod &gt; 1 and compare FolderPath / DateModified. Move the stale copy out of the source location, then Refresh.</t>
  </si>
  <si>
    <t>n:4</t>
  </si>
  <si>
    <t>s:FILES_NEARMISS</t>
  </si>
  <si>
    <t>s:No near-miss file names</t>
  </si>
  <si>
    <t>s:No file looks like a payment file (prefix, separator, MMYYYY) while breaking the naming pattern.</t>
  </si>
  <si>
    <t>s:No mis-named payment files in the source location.</t>
  </si>
  <si>
    <t>n:5</t>
  </si>
  <si>
    <t>s:FILES_UNEXPECTED</t>
  </si>
  <si>
    <t>s:No files from unexpected companies</t>
  </si>
  <si>
    <t>s:Every MATCHED active-period file belongs to a company expected in that period.</t>
  </si>
  <si>
    <t>s:Every matched file belongs to a company expected this period.</t>
  </si>
  <si>
    <t>s:STG_Files: MatchStatus = MATCHED and PeriodKey = active period; compare CompanyID with DimCompany. New company: add it to DimCompany (ExpectedFromPeriod) and map its headers in ColumnMap. Typo in the file name: rename the file.</t>
  </si>
  <si>
    <t>n:6</t>
  </si>
  <si>
    <t>s:Totals reconcile to the independent source</t>
  </si>
  <si>
    <t>s:Per company x currency: model total (ReconBasis, original currency) = independent total within MAX(abs, rel x |total|); every total in the data has a Recon row.</t>
  </si>
  <si>
    <t>s:Recon sheet: rows with Status = REVIEW show Variance and ToleranceApplied. A variance equal to one payment line usually means a missing, extra or re-sent line - compare with DUP_KEYS and look at the company in DataView. A total without a Recon row needs its independent figure entered.</t>
  </si>
  <si>
    <t>n:7</t>
  </si>
  <si>
    <t>s:Data quality</t>
  </si>
  <si>
    <t>s:Chronology: loss &lt;= notification &lt;= decision &lt;= payment</t>
  </si>
  <si>
    <t>s:For every line the dates of parameter ChronologyChain do not decrease (blank dates skipped).</t>
  </si>
  <si>
    <t>s:STG_ActiveFact: filter ChronoViolation = 1; ChronoDetail names the inverted pair and SourceFile + SourceRowNo point to the source line. Typical causes: day and month swapped in a text date, a re-opened claim keeping an old decision date. Ask the company to confirm or correct; explain accepted exceptions here.</t>
  </si>
  <si>
    <t>n:8</t>
  </si>
  <si>
    <t>s:No duplicate payment keys</t>
  </si>
  <si>
    <t>s:No business key (parameter DuplicateKeyColumns) occurs twice in the history. A repeated CaseNo alone is an installment, not a duplicate.</t>
  </si>
  <si>
    <t>s:STG_ActiveFact: filter IsDuplicateKey = 1 and sort by LineKey. WITHIN PERIOD = the line is delivered twice this month; ACROSS PERIODS = the same installment was already reported in a closed month (re-sent line or double payment). Genuine reversals may share a key: explain them here.</t>
  </si>
  <si>
    <t>n:9</t>
  </si>
  <si>
    <t>s:FX rate available for every foreign-currency line</t>
  </si>
  <si>
    <t>s:Every non-TRY line found a CBRT rate for its payment date (carried forward at most FXMaxCarryForwardDays).</t>
  </si>
  <si>
    <t>s:Every foreign-currency line has a rate (carried forward at most 10 days).</t>
  </si>
  <si>
    <t>s:STG_ActiveFact: filter FXRateMissing = 1; note CurrencyCode and PaymentDate. With FXAutoFetch = Y the next Refresh fetches missing CBRT bulletins (see FX_FETCH); otherwise add the rate to tblFXRate (sheet FX), or map an unknown currency spelling in tblCurrencyAlias, then Refresh.</t>
  </si>
  <si>
    <t>s:CBRT fetch complete up to the latest payment date</t>
  </si>
  <si>
    <t>s:With FXAutoFetch = Y: no bulletin day failed (network or format error) and the rates are known (stored, fetched or confirmed without bulletin) up to the latest PaymentDate of the active period.</t>
  </si>
  <si>
    <t>s:Show staging &gt; STG_FXFetch lists every fetched day: OK, NO BULLETIN (weekend or holiday) or ERROR with the reason. ERROR: check the network or proxy and Refresh again; if the CBRT stays unreachable, an Administrator sets FXAutoFetch = N and enters the rates by hand on sheet FX (source www.tcmb.gov.tr/kurlar), and you explain it here.</t>
  </si>
  <si>
    <t>n:11</t>
  </si>
  <si>
    <t>s:Dates plausible</t>
  </si>
  <si>
    <t>s:PaymentDate lies in the file's period, and every chain date lies inside the date dimension (DimDateStartYear - DimDateEndYear).</t>
  </si>
  <si>
    <t>s:STG_ActiveFact: filter PaymentOutsidePeriod = 1 - the line belongs to another month (cut-off error or wrong file); ask the company. Dates outside the date dimension are typos (e.g. year 2062) or very old losses: correct at source, or widen DimDateStartYear / DimDateEndYear.</t>
  </si>
  <si>
    <t>n:12</t>
  </si>
  <si>
    <t>s:Column mapping and conversion issues</t>
  </si>
  <si>
    <t>s:No REVIEW issue in STG_DQ: unmapped header, header row not found, missing core column, type-conversion failure, empty file, blank core value, dictionary conflict.</t>
  </si>
  <si>
    <t>s:Show staging &gt; STG_DQ lists each issue with its Detail. UNMAPPED HEADER: add a ColumnMap row and classify it. MISSING COLUMN (core): ask the company for the field or map the header it uses. TYPE CONVERSION: check the column's format at source. EMPTY FILE: request the file again. NO MAPPED HEADER: the header must be row 1 of the first sheet (a title row above it hides it) - ask for a corrected file.</t>
  </si>
  <si>
    <t>n:13</t>
  </si>
  <si>
    <t>s:Large payments reviewed</t>
  </si>
  <si>
    <t>s:Payment lines with GrossAmountTRY at or above OutlierThresholdTRY are confirmed before the close (explanation).</t>
  </si>
  <si>
    <t>s:Show staging &gt; STG_ActiveFact: filter IsOutlier = 1 (or DataView for the company). Confirm each large payment with the claims department (decision, approval level) and write who confirmed what in Explanation. The threshold OutlierThresholdTRY is a policy (DecisionRegister D38).</t>
  </si>
  <si>
    <t>n:14</t>
  </si>
  <si>
    <t>s:Privacy</t>
  </si>
  <si>
    <t>s:No personal data in the staging output</t>
  </si>
  <si>
    <t>s:No column of STG_ActiveFact (= the Data Model fact and the archive) carries a canonical name or source header classified as personal data.</t>
  </si>
  <si>
    <t>s:No personal-data field is present in the staging output or the Data Model.</t>
  </si>
  <si>
    <t>s:Do not close, archive or distribute. In ColumnMap set PersonalData = Y and IncludeInModel = N on every row of the field named in STG_ActiveFact's header, Refresh, confirm this check is OK, then inform the Data Protection Officer.</t>
  </si>
  <si>
    <t>n:15</t>
  </si>
  <si>
    <t>s:Period management</t>
  </si>
  <si>
    <t>s:Closed months are archived and logged</t>
  </si>
  <si>
    <t>s:ArchiveLog holds exactly one CURRENT row for every month from ArchiveStartPeriod to the month before ActivePeriod.</t>
  </si>
  <si>
    <t>n:16</t>
  </si>
  <si>
    <t>s:Archive unchanged since close</t>
  </si>
  <si>
    <t>n:17</t>
  </si>
  <si>
    <t>s:Active period is not an already-closed month</t>
  </si>
  <si>
    <t>n:18</t>
  </si>
  <si>
    <t>s:COMPLETENESS</t>
  </si>
  <si>
    <t>s:Company x month completeness</t>
  </si>
  <si>
    <t>s:Every company expected in a closed month since ArchiveStartPeriod has data in that month or a nil return (section D).</t>
  </si>
  <si>
    <t>s:Section D shows company x month. MISSING in a closed month: the month was closed without that company. Obtain the file or the written nil return; record a nil return in tblNilReturn, or re-open the month if data must be added (Technical_Guide).</t>
  </si>
  <si>
    <t>n:19</t>
  </si>
  <si>
    <t>s:DICTIONARY</t>
  </si>
  <si>
    <t>s:Governance</t>
  </si>
  <si>
    <t>s:Column dictionary is consistent</t>
  </si>
  <si>
    <t>s:ColumnMap passes the ten rules of its Dictionary health block (valid flags and types, no personal data included, core fields loadable, consistent rows).</t>
  </si>
  <si>
    <t>s:ColumnMap sheet, Dictionary health block: each rule says what is wrong (e.g. IncludeInModel = Y with PersonalData = Y, a Core field switched off, an invalid DataType). Correct the rows and Refresh.</t>
  </si>
  <si>
    <t>n:20</t>
  </si>
  <si>
    <t>s:ColumnIDs verified (VerifiedBy, VerifiedOn)</t>
  </si>
  <si>
    <t>s:Every dictionary row has a ColumnID stamped as verified by Cmd_VerifyColumnIDs, and no verification stamp was typed by hand after the last verification.</t>
  </si>
  <si>
    <t>n:103</t>
  </si>
  <si>
    <t>s:ADVISORY</t>
  </si>
  <si>
    <t>s:103 dictionary row(s) have no ColumnID or are not verified.</t>
  </si>
  <si>
    <t>s:ADVISORY: shown in amber and listed in the closing pack; it never blocks the close. ColumnMap: check each orange ColumnID against the official schema reference (DecisionRegister A1, Backlog), select the verified rows and click Verify selected ColumnIDs (Administrator); your Windows identity and the date are stamped and logged.</t>
  </si>
  <si>
    <t>n:21</t>
  </si>
  <si>
    <t>s:REFDATA</t>
  </si>
  <si>
    <t>s:Reference tables clean</t>
  </si>
  <si>
    <t>s:tblFXRate has no duplicate date + currency and no blank / zero / negative rate; tblDimCompany has no duplicate CompanyID.</t>
  </si>
  <si>
    <t>s:FX and company tables have no duplicates or invalid rates.</t>
  </si>
  <si>
    <t>s:FX sheet: sort tblFXRate by CurrencyCode and RateDate, remove duplicates and fix rates. DimCompany: remove duplicate CompanyID rows.</t>
  </si>
  <si>
    <t>n:22</t>
  </si>
  <si>
    <t>s:POLICY_OPEN</t>
  </si>
  <si>
    <t>s:No decision is Open</t>
  </si>
  <si>
    <t>s:Every DecisionRegister item is Confirmed, Removed, Superseded or Deferred; Deferred items are tracked in the Backlog with an owner.</t>
  </si>
  <si>
    <t>s:No decision is Open (5 deferred item(s) in the Backlog).</t>
  </si>
  <si>
    <t>s:DecisionRegister (Administrator): the owner decides and signs off (Status = Confirmed with Evidence and SignOffDate), or the item is Deferred with an owner and appears in the Backlog.</t>
  </si>
  <si>
    <t>n:23</t>
  </si>
  <si>
    <t>s:Four-eyes control enabled</t>
  </si>
  <si>
    <t>s:Parameter FourEyesRequired = Y: the period is closed by a different Windows user than the one who submitted it.</t>
  </si>
  <si>
    <t>s:Four-eyes is enforced: the period must be closed by a different Windows user than the preparer.</t>
  </si>
  <si>
    <t>s:Parameters: FourEyesRequired = Y. Only an Administrator can switch it off, with the password once more; the waiver is logged with severity HIGH (DecisionRegister D39, D60). Explain here who approved it and why.</t>
  </si>
  <si>
    <t>n:24</t>
  </si>
  <si>
    <t>s:ActivityLog chain and external copy intact</t>
  </si>
  <si>
    <t>s:The chained checksums of the workbook ActivityLog verify, and every workbook event has an identical external copy (file name with the same checksum).</t>
  </si>
  <si>
    <t>s:The external log folder is authoritative. Compare the listed events with their ACT_*.csv files; a mismatch means the workbook log was edited or rebuilt. Inform the platform administrator and IT Security; never repair the log by hand. Verify log (Cmd_VerifyLog) re-checks the chain; the external copy is compared at every Refresh.</t>
  </si>
  <si>
    <t>s:Start</t>
  </si>
  <si>
    <t>s:VERYHIDDEN</t>
  </si>
  <si>
    <t>s:*</t>
  </si>
  <si>
    <t>s:Macro guard: the only visible sheet of the saved file</t>
  </si>
  <si>
    <t>s:Home</t>
  </si>
  <si>
    <t>s:VISIBLE</t>
  </si>
  <si>
    <t>s:Banner, checklist and the buttons of the user's roles</t>
  </si>
  <si>
    <t>s:Closing_Manual</t>
  </si>
  <si>
    <t>s:ControlPanel</t>
  </si>
  <si>
    <t>s:Explanation column open to Edit_Explanation (tblAuditScope)</t>
  </si>
  <si>
    <t>s:Dashboard</t>
  </si>
  <si>
    <t>s:Slicers, timeline and pivots usable</t>
  </si>
  <si>
    <t>s:Matrix</t>
  </si>
  <si>
    <t>s:Pivot and slicers usable</t>
  </si>
  <si>
    <t>s:DataView</t>
  </si>
  <si>
    <t>s:Analyst,Preparer,Reviewer</t>
  </si>
  <si>
    <t>s:Company / period inputs unlocked; Show lines unprotects to refresh</t>
  </si>
  <si>
    <t>s:KPI_Check</t>
  </si>
  <si>
    <t>s:Parameters</t>
  </si>
  <si>
    <t>s:Edit_Parameters</t>
  </si>
  <si>
    <t>s:Administrator (signed in); edits logged</t>
  </si>
  <si>
    <t>s:ColumnMap</t>
  </si>
  <si>
    <t>s:Edit_ColumnMap</t>
  </si>
  <si>
    <t>s:Administrator (signed in); VerifiedBy / VerifiedOn only by command</t>
  </si>
  <si>
    <t>s:DimCompany</t>
  </si>
  <si>
    <t>s:Edit_DimCompany,Edit_NilReturn</t>
  </si>
  <si>
    <t>s:Companies: Administrator; nil returns: Preparer</t>
  </si>
  <si>
    <t>s:Edit_FXRate,Edit_CurrencyAlias</t>
  </si>
  <si>
    <t>s:Administrator (signed in); Refresh appends CBRT rates</t>
  </si>
  <si>
    <t>s:Recon</t>
  </si>
  <si>
    <t>s:Edit_Recon</t>
  </si>
  <si>
    <t>s:Preparer</t>
  </si>
  <si>
    <t>s:ArchiveLog</t>
  </si>
  <si>
    <t>s:Written by commands; Notes open to Edit_ArchiveLogNotes</t>
  </si>
  <si>
    <t>s:SignOff</t>
  </si>
  <si>
    <t>s:Written by commands only</t>
  </si>
  <si>
    <t>s:DecisionRegister</t>
  </si>
  <si>
    <t>s:Edit_Decision</t>
  </si>
  <si>
    <t>s:Administrator (signed in)</t>
  </si>
  <si>
    <t>s:Interface_Contract</t>
  </si>
  <si>
    <t>s:Technical_Guide</t>
  </si>
  <si>
    <t>s:Admin_Guide</t>
  </si>
  <si>
    <t>s:Administrator</t>
  </si>
  <si>
    <t>s:Legend</t>
  </si>
  <si>
    <t>s:Changelog</t>
  </si>
  <si>
    <t>s:Maintained only by Add changelog entry (Cmd_AddChangelogEntry)</t>
  </si>
  <si>
    <t>s:DataModel</t>
  </si>
  <si>
    <t>s:DAX_Measures</t>
  </si>
  <si>
    <t>s:PivotGuide</t>
  </si>
  <si>
    <t>s:AdminConfig</t>
  </si>
  <si>
    <t>s:Edit_AdminConfig</t>
  </si>
  <si>
    <t>s:RefreshLog</t>
  </si>
  <si>
    <t>s:HIDDEN</t>
  </si>
  <si>
    <t>s:Shown by Show staging</t>
  </si>
  <si>
    <t>s:STG_*</t>
  </si>
  <si>
    <t>s:Power Query output - shown read-only by Show staging</t>
  </si>
  <si>
    <t>s:Dash_Pivots</t>
  </si>
  <si>
    <t>s:Pivots behind the dashboard charts</t>
  </si>
  <si>
    <t>s:ActivityLog</t>
  </si>
  <si>
    <t>s:Shown read-only by Show staging</t>
  </si>
  <si>
    <t>s:Security</t>
  </si>
  <si>
    <t>s:Users, roles, permissions, administrator credentials, session cells</t>
  </si>
  <si>
    <t>s:_sh_*</t>
  </si>
  <si>
    <t>s:Shadow copies of the edit audit</t>
  </si>
  <si>
    <t>s:tblParameters</t>
  </si>
  <si>
    <t>s:Parameter</t>
  </si>
  <si>
    <t>s:FourEyesRequired off needs the password again (severity HIGH); location rows are written by VBA from ACP_Settings.ini</t>
  </si>
  <si>
    <t>s:tblColumnMap</t>
  </si>
  <si>
    <t>s:SourceHeader</t>
  </si>
  <si>
    <t>s:VerifiedBy / VerifiedOn hand edits are FLAGGED</t>
  </si>
  <si>
    <t>s:tblDimCompany</t>
  </si>
  <si>
    <t>s:CompanyID</t>
  </si>
  <si>
    <t>s:Edit_DimCompany</t>
  </si>
  <si>
    <t>s:tblNilReturn</t>
  </si>
  <si>
    <t>s:PeriodKey,CompanyID</t>
  </si>
  <si>
    <t>s:Edit_NilReturn</t>
  </si>
  <si>
    <t>s:tblCurrencyAlias</t>
  </si>
  <si>
    <t>s:SourceValue</t>
  </si>
  <si>
    <t>s:Edit_CurrencyAlias</t>
  </si>
  <si>
    <t>s:tblFXRate</t>
  </si>
  <si>
    <t>s:RateDate,CurrencyCode</t>
  </si>
  <si>
    <t>s:Edit_FXRate</t>
  </si>
  <si>
    <t>s:Rates appended by Refresh are re-baselined, not logged as edits</t>
  </si>
  <si>
    <t>s:tblRecon</t>
  </si>
  <si>
    <t>s:PeriodKey,CompanyID,CurrencyCode</t>
  </si>
  <si>
    <t>s:tblDecision</t>
  </si>
  <si>
    <t>s:ID</t>
  </si>
  <si>
    <t>s:tblControl</t>
  </si>
  <si>
    <t>s:CheckID</t>
  </si>
  <si>
    <t>s:Explanation=Edit_Explanation</t>
  </si>
  <si>
    <t>s:Explanation edits are stamped (ExplainedBy / ExplainedOn / ExplainedPeriod)</t>
  </si>
  <si>
    <t>s:tblArchiveLog</t>
  </si>
  <si>
    <t>s:PeriodKey</t>
  </si>
  <si>
    <t>s:Notes=Edit_ArchiveLogNotes</t>
  </si>
  <si>
    <t>s:Command-written; only Notes may be typed</t>
  </si>
  <si>
    <t>s:tblSignOff</t>
  </si>
  <si>
    <t>s:SignOffNo</t>
  </si>
  <si>
    <t>s:Command-written only</t>
  </si>
  <si>
    <t>s:tblSheetPolicy</t>
  </si>
  <si>
    <t>s:SheetName</t>
  </si>
  <si>
    <t>s:tblAuditScope</t>
  </si>
  <si>
    <t>s:TableName</t>
  </si>
  <si>
    <t>s:tblKPICaveat</t>
  </si>
  <si>
    <t>s:KPI,CheckID</t>
  </si>
  <si>
    <t>s:tblRefreshPlan</t>
  </si>
  <si>
    <t>s:Connection</t>
  </si>
  <si>
    <t>s:tblUIText</t>
  </si>
  <si>
    <t>s:Key</t>
  </si>
  <si>
    <t>s:Banner and dialog texts (Turkish, English)</t>
  </si>
  <si>
    <t>s:tblChangelog</t>
  </si>
  <si>
    <t>s:Version</t>
  </si>
  <si>
    <t>s:Only Add changelog entry (Cmd_AddChangelogEntry) writes here</t>
  </si>
  <si>
    <t>s:Total Payments TRY</t>
  </si>
  <si>
    <t>s:Lines without an FX rate are excluded from TRY totals.</t>
  </si>
  <si>
    <t>s:Totals do not reconcile to the independent source yet.</t>
  </si>
  <si>
    <t>s:Not every expected company has delivered.</t>
  </si>
  <si>
    <t>s:Duplicate payment keys may double count.</t>
  </si>
  <si>
    <t>s:Net Payments TRY</t>
  </si>
  <si>
    <t>s:Distinct Cases</t>
  </si>
  <si>
    <t>s:Duplicate keys may inflate the case count.</t>
  </si>
  <si>
    <t>s:MoM Change %</t>
  </si>
  <si>
    <t>s:Avg Days Notification to Payment</t>
  </si>
  <si>
    <t>s:Lines with inverted dates are excluded from the average.</t>
  </si>
  <si>
    <t>s:Implausible dates affect the average.</t>
  </si>
  <si>
    <t>s:Query - STG_FXFetch</t>
  </si>
  <si>
    <t>s:FXFETCH</t>
  </si>
  <si>
    <t>s:First: fetched CBRT rates are appended to tblFXRate</t>
  </si>
  <si>
    <t>s:Query - DimCompany</t>
  </si>
  <si>
    <t>s:MODEL</t>
  </si>
  <si>
    <t>s:Query - DimDate</t>
  </si>
  <si>
    <t>s:Query - DimFXRate</t>
  </si>
  <si>
    <t>s:Query - FactPayment</t>
  </si>
  <si>
    <t>s:Query - STG_Refresh</t>
  </si>
  <si>
    <t>s:STAGING</t>
  </si>
  <si>
    <t>s:Query - STG_Files</t>
  </si>
  <si>
    <t>s:Query - STG_ActiveFact</t>
  </si>
  <si>
    <t>s:Query - STG_Summary</t>
  </si>
  <si>
    <t>s:Query - STG_DQ</t>
  </si>
  <si>
    <t>s:Query - STG_LogExternal</t>
  </si>
  <si>
    <t>s:Last: compares the ActivityLog with its external copy</t>
  </si>
  <si>
    <t>s:Query - qView_Lines</t>
  </si>
  <si>
    <t>s:VIEW</t>
  </si>
  <si>
    <t>s:Only Show lines (Cmd_ViewCompanyMonth)</t>
  </si>
  <si>
    <t>s:Query - STG_Discovery</t>
  </si>
  <si>
    <t>s:SETUP</t>
  </si>
  <si>
    <t>s:Only Setup (discovery of the source and archive folders)</t>
  </si>
  <si>
    <t>shadow copy of tblUIText for the edit audit (mod_Log) - do not edit</t>
  </si>
  <si>
    <t>s:BTN_OK</t>
  </si>
  <si>
    <t>s:Tamam</t>
  </si>
  <si>
    <t>s:Tamam
OK</t>
  </si>
  <si>
    <t>s:BTN_CANCEL</t>
  </si>
  <si>
    <t>s:İptal</t>
  </si>
  <si>
    <t>s:Cancel</t>
  </si>
  <si>
    <t>s:İptal
Cancel</t>
  </si>
  <si>
    <t>s:ROLE_Viewer</t>
  </si>
  <si>
    <t>s:Görüntüleyici</t>
  </si>
  <si>
    <t>s:Viewer</t>
  </si>
  <si>
    <t>s:Görüntüleyici
Viewer</t>
  </si>
  <si>
    <t>s:ROLE_Analyst</t>
  </si>
  <si>
    <t>s:Analist</t>
  </si>
  <si>
    <t>s:Analyst</t>
  </si>
  <si>
    <t>s:Analist
Analyst</t>
  </si>
  <si>
    <t>s:ROLE_Preparer</t>
  </si>
  <si>
    <t>s:Hazırlayan</t>
  </si>
  <si>
    <t>s:Hazırlayan
Preparer</t>
  </si>
  <si>
    <t>s:ROLE_Reviewer</t>
  </si>
  <si>
    <t>s:Kontrol eden</t>
  </si>
  <si>
    <t>s:Reviewer</t>
  </si>
  <si>
    <t>s:Kontrol eden
Reviewer</t>
  </si>
  <si>
    <t>s:ROLE_Administrator</t>
  </si>
  <si>
    <t>s:Yönetici</t>
  </si>
  <si>
    <t>s:Yönetici
Administrator</t>
  </si>
  <si>
    <t>s:HOME_ROLE</t>
  </si>
  <si>
    <t>s:Rol</t>
  </si>
  <si>
    <t>s:Role</t>
  </si>
  <si>
    <t>s:Rol
Role</t>
  </si>
  <si>
    <t>s:HOME_CANDO</t>
  </si>
  <si>
    <t>s:Yapabilecekleriniz</t>
  </si>
  <si>
    <t>s:What you may do</t>
  </si>
  <si>
    <t>s:Yapabilecekleriniz
What you may do</t>
  </si>
  <si>
    <t>s:HOME_CHECKLIST</t>
  </si>
  <si>
    <t>s:Kontrol listesi – ilk açık madde sıradaki iştir</t>
  </si>
  <si>
    <t>s:Checklist – the first open item is the next action</t>
  </si>
  <si>
    <t>s:Kontrol listesi – ilk açık madde sıradaki iştir
Checklist – the first open item is the next action</t>
  </si>
  <si>
    <t>s:HOME_COMMANDS</t>
  </si>
  <si>
    <t>s:Komutlar – yalnızca rolünüzün izin verdiği düğmeler görünür</t>
  </si>
  <si>
    <t>s:Commands – only the buttons your role allows are shown</t>
  </si>
  <si>
    <t>s:Komutlar – yalnızca rolünüzün izin verdiği düğmeler görünür
Commands – only the buttons your role allows are shown</t>
  </si>
  <si>
    <t>s:NODATA</t>
  </si>
  <si>
    <t>s:Henüz veri yok – Kurulum'u tamamlayın (Giriş sayfası).</t>
  </si>
  <si>
    <t>s:No data yet – complete Setup (Home).</t>
  </si>
  <si>
    <t>s:Henüz veri yok – Kurulum'u tamamlayın (Giriş sayfası).
No data yet – complete Setup (Home).</t>
  </si>
  <si>
    <t>s:DENIED_ROLE</t>
  </si>
  <si>
    <t>s:Bu işlem için yetkiniz yok: {0}. Rolünüz: {1}. Erişim için platform yöneticisine başvurun.</t>
  </si>
  <si>
    <t>s:You are not allowed to run {0}. Your role: {1}. Ask a platform Administrator for access.</t>
  </si>
  <si>
    <t>s:Bu işlem için yetkiniz yok: {0}. Rolünüz: {1}. Erişim için platform yöneticisine başvurun.
You are not allowed to run {0}. Your role: {1}. Ask a platform Administrator for access.</t>
  </si>
  <si>
    <t>s:DENIED_DEGRADED</t>
  </si>
  <si>
    <t>s:Güvenlik tabloları uygulama dışında değiştirilmiş; bir Yönetici inceleyene kadar herkes yalnızca görüntüleyebilir ({0} yapılamaz).</t>
  </si>
  <si>
    <t>s:The security tables were changed outside the application; until an Administrator reviews them everyone can only view ({0} is not available).</t>
  </si>
  <si>
    <t>s:Güvenlik tabloları uygulama dışında değiştirilmiş; bir Yönetici inceleyene kadar herkes yalnızca görüntüleyebilir ({0} yapılamaz).
The security tables were changed outside the application; until an Administrator reviews them everyone can only view ({0} is not available).</t>
  </si>
  <si>
    <t>s:DENIED_SIGNIN</t>
  </si>
  <si>
    <t>s:{0} için yönetici girişi (Windows kimliği ve yönetici parolası) gereklidir.</t>
  </si>
  <si>
    <t>s:{0} needs the administrator sign-in (Windows identity and administrator password).</t>
  </si>
  <si>
    <t>s:{0} için yönetici girişi (Windows kimliği ve yönetici parolası) gereklidir.
{0} needs the administrator sign-in (Windows identity and administrator password).</t>
  </si>
  <si>
    <t>s:SIGNIN_PROMPT</t>
  </si>
  <si>
    <t>s:{0} için yönetici parolası:</t>
  </si>
  <si>
    <t>s:Administrator password for {0}:</t>
  </si>
  <si>
    <t>s:{0} için yönetici parolası:
Administrator password for {0}:</t>
  </si>
  <si>
    <t>s:SIGNIN_WRONG</t>
  </si>
  <si>
    <t>s:Parola yanlış (deneme {0} / {1}). {1} hatalı denemeden sonra giriş {2} dakika kilitlenir.</t>
  </si>
  <si>
    <t>s:Wrong password (attempt {0} of {1}). After {1} failed attempts the sign-in is locked for {2} minutes.</t>
  </si>
  <si>
    <t>s:Parola yanlış (deneme {0} / {1}). {1} hatalı denemeden sonra giriş {2} dakika kilitlenir.
Wrong password (attempt {0} of {1}). After {1} failed attempts the sign-in is locked for {2} minutes.</t>
  </si>
  <si>
    <t>s:SIGNIN_NOW_LOCKED</t>
  </si>
  <si>
    <t>s:Parola {0} kez yanlış girildi: yönetici girişi {2} dakika kilitlendi. Tüm denemeler kayıt altındadır.</t>
  </si>
  <si>
    <t>s:The password was wrong {0} times: the administrator sign-in is locked for {2} minutes. Every attempt is logged.</t>
  </si>
  <si>
    <t>s:Parola {0} kez yanlış girildi: yönetici girişi {2} dakika kilitlendi. Tüm denemeler kayıt altındadır.
The password was wrong {0} times: the administrator sign-in is locked for {2} minutes. Every attempt is logged.</t>
  </si>
  <si>
    <t>s:SIGNIN_LOCKED</t>
  </si>
  <si>
    <t>s:Yönetici girişi {0} saatine kadar kilitli (çok sayıda hatalı deneme).</t>
  </si>
  <si>
    <t>s:The administrator sign-in is locked until {0} (too many failed attempts).</t>
  </si>
  <si>
    <t>s:Yönetici girişi {0} saatine kadar kilitli (çok sayıda hatalı deneme).
The administrator sign-in is locked until {0} (too many failed attempts).</t>
  </si>
  <si>
    <t>s:PWD_NEW</t>
  </si>
  <si>
    <t>s:{0} için yeni yönetici parolası (en az {1} karakter; oturum adınızı içermemeli). Yalnızca tuzlanmış ve tekrarlı bir özet saklanır; parola unutulursa başka bir Yönetici sıfırlar.</t>
  </si>
  <si>
    <t>s:New administrator password for {0} (at least {1} characters, not containing your logon name). Only a salted, iterated hash is stored; if the password is lost, another Administrator resets it.</t>
  </si>
  <si>
    <t>s:{0} için yeni yönetici parolası (en az {1} karakter; oturum adınızı içermemeli). Yalnızca tuzlanmış ve tekrarlı bir özet saklanır; parola unutulursa başka bir Yönetici sıfırlar.
New administrator password for {0} (at least {1} characters, not containing your logon name). Only a salted, iterated hash is stored; if the password is lost, another Administrator resets it.</t>
  </si>
  <si>
    <t>s:PWD_CONFIRM</t>
  </si>
  <si>
    <t>s:Parolayı tekrar girin:</t>
  </si>
  <si>
    <t>s:Enter the password again:</t>
  </si>
  <si>
    <t>s:Parolayı tekrar girin:
Enter the password again:</t>
  </si>
  <si>
    <t>s:PWD_REJECTED</t>
  </si>
  <si>
    <t>s:Parola kabul edilmedi: {0}. En az {1} karakter kullanın.</t>
  </si>
  <si>
    <t>s:Password not accepted: {0}. Use at least {1} characters.</t>
  </si>
  <si>
    <t>s:Parola kabul edilmedi: {0}. En az {1} karakter kullanın.
Password not accepted: {0}. Use at least {1} characters.</t>
  </si>
  <si>
    <t>s:PWD_RECONFIRM</t>
  </si>
  <si>
    <t>s:Dört göz kontrolünü kapatmak yüksek riskli bir değişikliktir. Onaylamak için yönetici parolanızı tekrar girin:</t>
  </si>
  <si>
    <t>s:Switching four-eyes off is a high-risk change. Enter your administrator password again to confirm:</t>
  </si>
  <si>
    <t>s:Dört göz kontrolünü kapatmak yüksek riskli bir değişikliktir. Onaylamak için yönetici parolanızı tekrar girin:
Switching four-eyes off is a high-risk change. Enter your administrator password again to confirm:</t>
  </si>
  <si>
    <t>s:USERS_MENU</t>
  </si>
  <si>
    <t>s:Kullanıcılar ve roller (etkin Yönetici: {1})
1 Kullanıcı veya rol ekle
2 Rol kaldır
3 Başka bir yöneticinin parolasını sıfırla
4 Kendi parolanı değiştir
5 Komut yetkisini değiştir
6 Güvenlik tablolarını onayla (inceleme)
Seçiminiz (1-6):</t>
  </si>
  <si>
    <t>s:Users and roles (active Administrators: {1}): 1 add a user or role, 2 remove a role, 3 reset another administrator's password, 4 change your own password, 5 change a command permission, 6 accept the security tables after a review. Your choice (1-6).
{0}</t>
  </si>
  <si>
    <t>s:Kullanıcılar ve roller (etkin Yönetici: {1})
1 Kullanıcı veya rol ekle
2 Rol kaldır
3 Başka bir yöneticinin parolasını sıfırla
4 Kendi parolanı değiştir
5 Komut yetkisini değiştir
6 Güvenlik tablolarını onayla (inceleme)
Seçiminiz (1-6):
Users and roles (active Administrators: {1}): 1 add a user or role, 2 remove a role, 3 reset another administrator's password, 4 change your own password, 5 change a command permission, 6 accept the security tables after a review. Your choice (1-6).
{0}</t>
  </si>
  <si>
    <t>s:USERS_ASK_KEY</t>
  </si>
  <si>
    <t>s:Kullanıcı (ALAN\oturum_adı; alan yazılmazsa {0} kullanılır):</t>
  </si>
  <si>
    <t>s:User (DOMAIN\logon; without a domain {0} is used):</t>
  </si>
  <si>
    <t>s:Kullanıcı (ALAN\oturum_adı; alan yazılmazsa {0} kullanılır):
User (DOMAIN\logon; without a domain {0} is used):</t>
  </si>
  <si>
    <t>s:USERS_ASK_NAME</t>
  </si>
  <si>
    <t>s:{0} için görünen ad:</t>
  </si>
  <si>
    <t>s:Display name of {0}:</t>
  </si>
  <si>
    <t>s:{0} için görünen ad:
Display name of {0}:</t>
  </si>
  <si>
    <t>s:USERS_ASK_ROLES</t>
  </si>
  <si>
    <t>s:Roller (virgülle ayırın): Analyst, Preparer, Reviewer, Administrator. Rolü olmayan herkes Viewer'dır.</t>
  </si>
  <si>
    <t>s:Roles (comma separated): Analyst, Preparer, Reviewer, Administrator. Everyone without a role is a Viewer.</t>
  </si>
  <si>
    <t>s:Roller (virgülle ayırın): Analyst, Preparer, Reviewer, Administrator. Rolü olmayan herkes Viewer'dır.
Roles (comma separated): Analyst, Preparer, Reviewer, Administrator. Everyone without a role is a Viewer.</t>
  </si>
  <si>
    <t>s:USERS_ASK_REMOVE</t>
  </si>
  <si>
    <t>s:Kaldırılacak roller (şu an: {0}):</t>
  </si>
  <si>
    <t>s:Roles to remove (now: {0}):</t>
  </si>
  <si>
    <t>s:Kaldırılacak roller (şu an: {0}):
Roles to remove (now: {0}):</t>
  </si>
  <si>
    <t>s:USERS_CONFIRM_REMOVE</t>
  </si>
  <si>
    <t>s:{1} kullanıcısından {0} rolü kaldırılsın mı? Satırlar geçmiş olarak saklanır.</t>
  </si>
  <si>
    <t>s:Remove the role(s) {0} from {1}? The rows are kept as history.</t>
  </si>
  <si>
    <t>s:{1} kullanıcısından {0} rolü kaldırılsın mı? Satırlar geçmiş olarak saklanır.
Remove the role(s) {0} from {1}? The rows are kept as history.</t>
  </si>
  <si>
    <t>s:USERS_ASK_RESET</t>
  </si>
  <si>
    <t>s:Parolası sıfırlanacak Yönetici (ALAN\oturum_adı):</t>
  </si>
  <si>
    <t>s:Administrator whose password is reset (DOMAIN\logon):</t>
  </si>
  <si>
    <t>s:Parolası sıfırlanacak Yönetici (ALAN\oturum_adı):
Administrator whose password is reset (DOMAIN\logon):</t>
  </si>
  <si>
    <t>s:USERS_CONFIRM_RESET</t>
  </si>
  <si>
    <t>s:{0} kullanıcısının yönetici parolası sıfırlansın mı? Bir sonraki girişte yeni parola belirler. İşlem yüksek önem düzeyiyle kaydedilir.</t>
  </si>
  <si>
    <t>s:Reset the administrator password of {0}? The user sets a new one at the next sign-in. This is logged with severity HIGH.</t>
  </si>
  <si>
    <t>s:{0} kullanıcısının yönetici parolası sıfırlansın mı? Bir sonraki girişte yeni parola belirler. İşlem yüksek önem düzeyiyle kaydedilir.
Reset the administrator password of {0}? The user sets a new one at the next sign-in. This is logged with severity HIGH.</t>
  </si>
  <si>
    <t>s:USERS_ASK_PERM</t>
  </si>
  <si>
    <t>s:Komut veya yetki (ör. Cmd_RefreshAll, Edit_Recon):</t>
  </si>
  <si>
    <t>s:Command or permission (e.g. Cmd_RefreshAll, Edit_Recon):</t>
  </si>
  <si>
    <t>s:Komut veya yetki (ör. Cmd_RefreshAll, Edit_Recon):
Command or permission (e.g. Cmd_RefreshAll, Edit_Recon):</t>
  </si>
  <si>
    <t>s:USERS_ASK_PERMVALUE</t>
  </si>
  <si>
    <t>s:{0} için rol ve değer (ör. Reviewer=Y veya Analyst=N):</t>
  </si>
  <si>
    <t>s:Role and value for {0} (e.g. Reviewer=Y or Analyst=N):</t>
  </si>
  <si>
    <t>s:{0} için rol ve değer (ör. Reviewer=Y veya Analyst=N):
Role and value for {0} (e.g. Reviewer=Y or Analyst=N):</t>
  </si>
  <si>
    <t>s:USERS_CONFIRM_ACCEPT</t>
  </si>
  <si>
    <t>s:Güvenlik tabloları uygulama dışında değişmiş: {0}
İnceledikten sonra mevcut tabloları kabul ediyor musunuz? (Hayır: BT çalışma kitabını yedekten geri yükler.)</t>
  </si>
  <si>
    <t>s:The security tables changed outside the application: {0}. After your review, do you accept the current tables? (No: IT restores the workbook from backup.)
{1}</t>
  </si>
  <si>
    <t>s:Güvenlik tabloları uygulama dışında değişmiş: {0}
İnceledikten sonra mevcut tabloları kabul ediyor musunuz? (Hayır: BT çalışma kitabını yedekten geri yükler.)
The security tables changed outside the application: {0}. After your review, do you accept the current tables? (No: IT restores the workbook from backup.)
{1}</t>
  </si>
  <si>
    <t>s:BLOCKED_LOCK</t>
  </si>
  <si>
    <t>s:Uzun süren bir işlem çalışıyor: {0}. Bitmesini bekleyin. {1} saatten eski bir kilidi bir Yönetici kaldırabilir.</t>
  </si>
  <si>
    <t>s:A long command is running: {0}. Wait until it finishes. An Administrator can clear a lock older than {1} hours.</t>
  </si>
  <si>
    <t>s:Uzun süren bir işlem çalışıyor: {0}. Bitmesini bekleyin. {1} saatten eski bir kilidi bir Yönetici kaldırabilir.
A long command is running: {0}. Wait until it finishes. An Administrator can clear a lock older than {1} hours.</t>
  </si>
  <si>
    <t>s:BLOCKED_LOCKFILE</t>
  </si>
  <si>
    <t>s:Kilit dosyası yazılamadı ({0}). Platform klasörüne yazma izniniz olmalı (BT).</t>
  </si>
  <si>
    <t>s:The lock file cannot be written ({0}). You need write access to the platform folder (IT).</t>
  </si>
  <si>
    <t>s:Kilit dosyası yazılamadı ({0}). Platform klasörüne yazma izniniz olmalı (BT).
The lock file cannot be written ({0}). You need write access to the platform folder (IT).</t>
  </si>
  <si>
    <t>s:LOCK_CONFIRM_CLEAR</t>
  </si>
  <si>
    <t>s:Kilit dosyası: {0}
Kaldırılsın mı? İşlem yüksek önem düzeyiyle kaydedilir.</t>
  </si>
  <si>
    <t>s:Lock file: {0}. Clear it? This is logged with severity HIGH.</t>
  </si>
  <si>
    <t>s:Kilit dosyası: {0}
Kaldırılsın mı? İşlem yüksek önem düzeyiyle kaydedilir.
Lock file: {0}. Clear it? This is logged with severity HIGH.</t>
  </si>
  <si>
    <t>s:BANNER_INTEGRITY</t>
  </si>
  <si>
    <t>s:Rol tablosu uygulama dışında değiştirilmiş – bir Yönetici incelemeli. O zamana kadar herkes Görüntüleyici. ({0})</t>
  </si>
  <si>
    <t>s:Role table modified outside the application – Administrator must review. Everyone is a Viewer until then. ({0})</t>
  </si>
  <si>
    <t>s:Rol tablosu uygulama dışında değiştirilmiş – bir Yönetici incelemeli. O zamana kadar herkes Görüntüleyici. ({0})
Role table modified outside the application – Administrator must review. Everyone is a Viewer until then. ({0})</t>
  </si>
  <si>
    <t>s:BANNER_COPY</t>
  </si>
  <si>
    <t>s:Bir KOPYA üzerinde çalışıyorsunuz: {0}. Platformun yeri: {1}. Veri değiştiren komutlar kapalı.</t>
  </si>
  <si>
    <t>s:You are working on a COPY: {0}. The platform lives at {1}. Commands that change data are disabled.</t>
  </si>
  <si>
    <t>s:Bir KOPYA üzerinde çalışıyorsunuz: {0}. Platformun yeri: {1}. Veri değiştiren komutlar kapalı.
You are working on a COPY: {0}. The platform lives at {1}. Commands that change data are disabled.</t>
  </si>
  <si>
    <t>s:BANNER_SETTINGS</t>
  </si>
  <si>
    <t>s:Ayar dosyası bulunamadı veya klasöre ulaşılamıyor: {0}. Bir Yönetici Kurulum'u çalıştırmalı.</t>
  </si>
  <si>
    <t>s:Settings file not found or folder unreachable: {0}. An Administrator must run Setup.</t>
  </si>
  <si>
    <t>s:Ayar dosyası bulunamadı veya klasöre ulaşılamıyor: {0}. Bir Yönetici Kurulum'u çalıştırmalı.
Settings file not found or folder unreachable: {0}. An Administrator must run Setup.</t>
  </si>
  <si>
    <t>s:BANNER_READONLY</t>
  </si>
  <si>
    <t>s:Dosya salt okunur açık (başka bir kullanıcı açmış: {0}). Görüntüleyebilirsiniz; değişiklik yapamazsınız.</t>
  </si>
  <si>
    <t>s:The file is open read-only (another user has it open: {0}). You can look, but not change anything.</t>
  </si>
  <si>
    <t>s:Dosya salt okunur açık (başka bir kullanıcı açmış: {0}). Görüntüleyebilirsiniz; değişiklik yapamazsınız.
The file is open read-only (another user has it open: {0}). You can look, but not change anything.</t>
  </si>
  <si>
    <t>s:BANNER_READONLY_ACCESS</t>
  </si>
  <si>
    <t>s:Dosya salt okunur açık (yalnızca okuma izniniz var). Görüntüleyebilirsiniz; değişiklik yapamazsınız.</t>
  </si>
  <si>
    <t>s:The file is open read-only (you have read access only). You can look, but not change anything.</t>
  </si>
  <si>
    <t>s:Dosya salt okunur açık (yalnızca okuma izniniz var). Görüntüleyebilirsiniz; değişiklik yapamazsınız.
The file is open read-only (you have read access only). You can look, but not change anything.</t>
  </si>
  <si>
    <t>s:BANNER_LOCK</t>
  </si>
  <si>
    <t>s:Uzun süren bir işlem çalışıyor: {0}. Bittiğinde dosyayı yeniden açın.</t>
  </si>
  <si>
    <t>s:A long command is running: {0}. Re-open the file when it has finished.</t>
  </si>
  <si>
    <t>s:Uzun süren bir işlem çalışıyor: {0}. Bittiğinde dosyayı yeniden açın.
A long command is running: {0}. Re-open the file when it has finished.</t>
  </si>
  <si>
    <t>s:BANNER_NOROLE</t>
  </si>
  <si>
    <t>s:Rolünüz yok – salt okunur erişim. Pano ve raporları görebilir, Pano PDF'i alabilirsiniz. Rol için platform yöneticisine başvurun.</t>
  </si>
  <si>
    <t>s:You have no role – read-only access. You can view the dashboard and reports and export the Dashboard PDF. Ask a platform Administrator for a role.</t>
  </si>
  <si>
    <t>s:Rolünüz yok – salt okunur erişim. Pano ve raporları görebilir, Pano PDF'i alabilirsiniz. Rol için platform yöneticisine başvurun.
You have no role – read-only access. You can view the dashboard and reports and export the Dashboard PDF. Ask a platform Administrator for a role.</t>
  </si>
  <si>
    <t>s:SETUP_AUTOLAUNCH</t>
  </si>
  <si>
    <t>s:Kurulum henüz tamamlanmadı. Şimdi başlatılsın mı? (Hayır: daha sonra Giriş sayfasındaki Kurulum düğmesiyle başlatabilirsiniz.)</t>
  </si>
  <si>
    <t>s:Setup is not completed yet. Start it now? (No: start it later with the Setup button on Home.)</t>
  </si>
  <si>
    <t>s:Kurulum henüz tamamlanmadı. Şimdi başlatılsın mı? (Hayır: daha sonra Giriş sayfasındaki Kurulum düğmesiyle başlatabilirsiniz.)
Setup is not completed yet. Start it now? (No: start it later with the Setup button on Home.)</t>
  </si>
  <si>
    <t>s:SETUP_CLAIM</t>
  </si>
  <si>
    <t>s:Bu platformda henüz Yönetici yok. İlk Yönetici siz ({0}) olmak ister misiniz? Bu yalnızca bir kez yapılabilir; şimdi yönetici parolanızı belirlersiniz ve işlem kaydedilir.</t>
  </si>
  <si>
    <t>s:This platform has no Administrator yet. Do you want to become the first Administrator ({0})? This can be done only once; you set your administrator password now, and the claim is logged.</t>
  </si>
  <si>
    <t>s:Bu platformda henüz Yönetici yok. İlk Yönetici siz ({0}) olmak ister misiniz? Bu yalnızca bir kez yapılabilir; şimdi yönetici parolanızı belirlersiniz ve işlem kaydedilir.
This platform has no Administrator yet. Do you want to become the first Administrator ({0})? This can be done only once; you set your administrator password now, and the claim is logged.</t>
  </si>
  <si>
    <t>s:SETUP_ASK_NAME</t>
  </si>
  <si>
    <t>s:Görünen adınız (değişiklik kaydında ve onaylarda görünür):</t>
  </si>
  <si>
    <t>s:Your display name (shown in the changelog and sign-offs):</t>
  </si>
  <si>
    <t>s:Görünen adınız (değişiklik kaydında ve onaylarda görünür):
Your display name (shown in the changelog and sign-offs):</t>
  </si>
  <si>
    <t>s:SETUP_WELCOME</t>
  </si>
  <si>
    <t>s:Kurulum ({0}): 1 Kaynak klasör, 2 Platform klasörleri, 3 Doğrulama, 4 Keşif, 5 Kullanıcılar, 6 Döviz kontrolü, 7 Bitiş. Her adım ne bulduğunu gösterir; İptal ile istediğiniz an çıkabilirsiniz. Başlansın mı?</t>
  </si>
  <si>
    <t>s:Setup ({0}): 1 source folder, 2 platform folders, 3 validation, 4 discovery, 5 users, 6 FX check, 7 finish. Each step shows what it found; Cancel stops at any time. Start?</t>
  </si>
  <si>
    <t>s:Kurulum ({0}): 1 Kaynak klasör, 2 Platform klasörleri, 3 Doğrulama, 4 Keşif, 5 Kullanıcılar, 6 Döviz kontrolü, 7 Bitiş. Her adım ne bulduğunu gösterir; İptal ile istediğiniz an çıkabilirsiniz. Başlansın mı?
Setup ({0}): 1 source folder, 2 platform folders, 3 validation, 4 discovery, 5 users, 6 FX check, 7 finish. Each step shows what it found; Cancel stops at any time. Start?</t>
  </si>
  <si>
    <t>s:SETUP_RERUN</t>
  </si>
  <si>
    <t>s:Kurulum yeniden çalıştırılıyor ({0}). Mevcut değerler öneri olarak gösterilir; her değişiklik eski ve yeni değeriyle kaydedilir. Devam edilsin mi?</t>
  </si>
  <si>
    <t>s:Setup runs again ({0}). The current values are proposed; every change is logged with its old and new value. Continue?</t>
  </si>
  <si>
    <t>s:Kurulum yeniden çalıştırılıyor ({0}). Mevcut değerler öneri olarak gösterilir; her değişiklik eski ve yeni değeriyle kaydedilir. Devam edilsin mi?
Setup runs again ({0}). The current values are proposed; every change is logged with its old and new value. Continue?</t>
  </si>
  <si>
    <t>s:SETUP_MOVE</t>
  </si>
  <si>
    <t>s:Bu dosya kayıtlı platform konumunda değil.
Bu dosya: {0}
Kayıtlı konum: {1}
Platform buraya TAŞINDI mı? (Evet: bu konum yeni platform yeri olarak kaydedilir.)</t>
  </si>
  <si>
    <t>s:This file is not at the registered platform location. Has the platform been MOVED here? (Yes: this location becomes the platform home.)</t>
  </si>
  <si>
    <t>s:Bu dosya kayıtlı platform konumunda değil.
Bu dosya: {0}
Kayıtlı konum: {1}
Platform buraya TAŞINDI mı? (Evet: bu konum yeni platform yeri olarak kaydedilir.)
This file is not at the registered platform location. Has the platform been MOVED here? (Yes: this location becomes the platform home.)</t>
  </si>
  <si>
    <t>s:PICK_SOURCE</t>
  </si>
  <si>
    <t>s:Kaynak klasör (şirket ödeme dosyaları)</t>
  </si>
  <si>
    <t>s:Source folder (company payment files)</t>
  </si>
  <si>
    <t>s:Kaynak klasör (şirket ödeme dosyaları)
Source folder (company payment files)</t>
  </si>
  <si>
    <t>s:PICK_PLATFORM</t>
  </si>
  <si>
    <t>s:Platform klasörü</t>
  </si>
  <si>
    <t>s:Platform folder</t>
  </si>
  <si>
    <t>s:Platform klasörü
Platform folder</t>
  </si>
  <si>
    <t>s:PICK_ARCHIVE</t>
  </si>
  <si>
    <t>s:Arşiv klasörü</t>
  </si>
  <si>
    <t>s:Archive folder</t>
  </si>
  <si>
    <t>s:Arşiv klasörü
Archive folder</t>
  </si>
  <si>
    <t>s:PICK_LOG</t>
  </si>
  <si>
    <t>s:Günlük (log) klasörü</t>
  </si>
  <si>
    <t>s:Log folder</t>
  </si>
  <si>
    <t>s:Günlük (log) klasörü
Log folder</t>
  </si>
  <si>
    <t>s:PICK_EXPORT</t>
  </si>
  <si>
    <t>s:Dışa aktarım klasörü</t>
  </si>
  <si>
    <t>s:Export folder</t>
  </si>
  <si>
    <t>s:Dışa aktarım klasörü
Export folder</t>
  </si>
  <si>
    <t>s:PICK_SOURCECODE</t>
  </si>
  <si>
    <t>s:Kaynak kod klasörü (src)</t>
  </si>
  <si>
    <t>s:Source code folder (src)</t>
  </si>
  <si>
    <t>s:Kaynak kod klasörü (src)
Source code folder (src)</t>
  </si>
  <si>
    <t>s:SETUP_PLATFORM</t>
  </si>
  <si>
    <t>s:Platform klasörleri
Evet: Archive, Log, Export ve src klasörleri çalışma kitabının klasöründe oluşturulur:
{0}
Hayır: her klasörü ayrı seçersiniz.</t>
  </si>
  <si>
    <t>s:Platform folders. Yes: Archive, Log, Export and src are created in the workbook folder shown above. No: you pick each folder.</t>
  </si>
  <si>
    <t>s:Platform klasörleri
Evet: Archive, Log, Export ve src klasörleri çalışma kitabının klasöründe oluşturulur:
{0}
Hayır: her klasörü ayrı seçersiniz.
Platform folders. Yes: Archive, Log, Export and src are created in the workbook folder shown above. No: you pick each folder.</t>
  </si>
  <si>
    <t>s:SETUP_INVALID</t>
  </si>
  <si>
    <t>s:Klasör doğrulaması başarısız (ayrıntılar aşağıda). Klasörleri yeniden seçmek ister misiniz?</t>
  </si>
  <si>
    <t>s:Folder validation failed. Pick the folders again?
{0}</t>
  </si>
  <si>
    <t>s:Klasör doğrulaması başarısız (ayrıntılar aşağıda). Klasörleri yeniden seçmek ister misiniz?
Folder validation failed. Pick the folders again?
{0}</t>
  </si>
  <si>
    <t>s:SETUP_VALID</t>
  </si>
  <si>
    <t>s:Klasörler doğrulandı (ayrıntılar aşağıda).</t>
  </si>
  <si>
    <t>s:Folders validated:
{0}</t>
  </si>
  <si>
    <t>s:Klasörler doğrulandı (ayrıntılar aşağıda).
Folders validated:
{0}</t>
  </si>
  <si>
    <t>s:SETUP_DISCOVERY</t>
  </si>
  <si>
    <t>s:Keşif sonucu (ayrıntılar aşağıda).</t>
  </si>
  <si>
    <t>s:Discovery:
{0}</t>
  </si>
  <si>
    <t>s:Keşif sonucu (ayrıntılar aşağıda).
Discovery:
{0}</t>
  </si>
  <si>
    <t>s:SETUP_ADD_COMPANIES</t>
  </si>
  <si>
    <t>s:Bulunan yeni şirketler DimCompany tablosuna eklensin mi? Ad ve tür boş kalır; sonra DimCompany sayfasında tamamlanır.</t>
  </si>
  <si>
    <t>s:Add the new companies found to DimCompany? Name and type stay empty; complete them on sheet DimCompany afterwards.
{0}</t>
  </si>
  <si>
    <t>s:Bulunan yeni şirketler DimCompany tablosuna eklensin mi? Ad ve tür boş kalır; sonra DimCompany sayfasında tamamlanır.
Add the new companies found to DimCompany? Name and type stay empty; complete them on sheet DimCompany afterwards.
{0}</t>
  </si>
  <si>
    <t>s:SETUP_ASK_ARCHIVESTART</t>
  </si>
  <si>
    <t>s:Arşiv başlangıç dönemi (YYYYMM). Bulunan en eski dönem: {0}.</t>
  </si>
  <si>
    <t>s:Archive start period (YYYYMM). Earliest period found: {0}.</t>
  </si>
  <si>
    <t>s:Arşiv başlangıç dönemi (YYYYMM). Bulunan en eski dönem: {0}.
Archive start period (YYYYMM). Earliest period found: {0}.</t>
  </si>
  <si>
    <t>s:SETUP_ASK_ACTIVE</t>
  </si>
  <si>
    <t>s:Aktif dönem (YYYYMM): kapatılacak ilk ay. Öneri (kapanmamış en eski dönem): {0}.</t>
  </si>
  <si>
    <t>s:Active period (YYYYMM): the first month to close. Proposal (earliest period not closed): {0}.</t>
  </si>
  <si>
    <t>s:Aktif dönem (YYYYMM): kapatılacak ilk ay. Öneri (kapanmamış en eski dönem): {0}.
Active period (YYYYMM): the first month to close. Proposal (earliest period not closed): {0}.</t>
  </si>
  <si>
    <t>s:SETUP_USERS</t>
  </si>
  <si>
    <t>s:Kullanıcılar ve roller (etkin Yönetici: {1}). Eklenecek kullanıcıyı ALAN\oturum_adı olarak yazın; boş bırakıp Tamam ile devam edin.</t>
  </si>
  <si>
    <t>s:Users and roles (active Administrators: {1}). Type a user to add as DOMAIN\logon; leave it empty and press OK to continue.
{0}</t>
  </si>
  <si>
    <t>s:Kullanıcılar ve roller (etkin Yönetici: {1}). Eklenecek kullanıcıyı ALAN\oturum_adı olarak yazın; boş bırakıp Tamam ile devam edin.
Users and roles (active Administrators: {1}). Type a user to add as DOMAIN\logon; leave it empty and press OK to continue.
{0}</t>
  </si>
  <si>
    <t>s:SETUP_ONE_ADMIN</t>
  </si>
  <si>
    <t>s:Yalnızca {0} etkin Yönetici var. Unutulan bir parolayı yalnızca başka bir Yönetici sıfırlayabilir: ikinci bir Yönetici ekleyin.</t>
  </si>
  <si>
    <t>s:Only {0} active Administrator. A lost password can only be reset by another Administrator: add a second Administrator.</t>
  </si>
  <si>
    <t>s:Yalnızca {0} etkin Yönetici var. Unutulan bir parolayı yalnızca başka bir Yönetici sıfırlayabilir: ikinci bir Yönetici ekleyin.
Only {0} active Administrator. A lost password can only be reset by another Administrator: add a second Administrator.</t>
  </si>
  <si>
    <t>s:SETUP_FX_FAIL</t>
  </si>
  <si>
    <t>s:TCMB kur bültenine ulaşılamadı. FXAutoFetch = N yapıldı: kurlar FX sayfasına elle girilir (kaynak: www.tcmb.gov.tr/kurlar). Bağlantı düzelince bir Yönetici FXAutoFetch = Y yapar.</t>
  </si>
  <si>
    <t>s:The CBRT bulletin could not be reached ({0}). FXAutoFetch is set to N: rates are entered by hand on sheet FX (source www.tcmb.gov.tr/kurlar). When the connection works again, an Administrator sets FXAutoFetch = Y.</t>
  </si>
  <si>
    <t>s:TCMB kur bültenine ulaşılamadı. FXAutoFetch = N yapıldı: kurlar FX sayfasına elle girilir (kaynak: www.tcmb.gov.tr/kurlar). Bağlantı düzelince bir Yönetici FXAutoFetch = Y yapar.
The CBRT bulletin could not be reached ({0}). FXAutoFetch is set to N: rates are entered by hand on sheet FX (source www.tcmb.gov.tr/kurlar). When the connection works again, an Administrator sets FXAutoFetch = Y.</t>
  </si>
  <si>
    <t>s:BLOCKED_SETUP</t>
  </si>
  <si>
    <t>s:{0} için önce Kurulum tamamlanmalı (bir Yönetici çalıştırır).</t>
  </si>
  <si>
    <t>s:{0} needs Setup to be completed first (an Administrator runs it).</t>
  </si>
  <si>
    <t>s:{0} için önce Kurulum tamamlanmalı (bir Yönetici çalıştırır).
{0} needs Setup to be completed first (an Administrator runs it).</t>
  </si>
  <si>
    <t>s:BLOCKED_READONLY</t>
  </si>
  <si>
    <t>s:{0} yapılamaz: dosya salt okunur açık (açan: {1}). Dosyayı kapatıp daha sonra yeniden deneyin.</t>
  </si>
  <si>
    <t>s:{0} cannot run: the file is open read-only (open by: {1}). Close it and try again later.</t>
  </si>
  <si>
    <t>s:{0} yapılamaz: dosya salt okunur açık (açan: {1}). Dosyayı kapatıp daha sonra yeniden deneyin.
{0} cannot run: the file is open read-only (open by: {1}). Close it and try again later.</t>
  </si>
  <si>
    <t>s:BLOCKED_COPY</t>
  </si>
  <si>
    <t>s:{0} yapılamaz: bu dosya bir kopya. Platform: {1}</t>
  </si>
  <si>
    <t>s:{0} cannot run: this file is a copy. The platform: {1}</t>
  </si>
  <si>
    <t>s:{0} yapılamaz: bu dosya bir kopya. Platform: {1}
{0} cannot run: this file is a copy. The platform: {1}</t>
  </si>
  <si>
    <t>s:BLOCKED_SETTINGS</t>
  </si>
  <si>
    <t>s:{0} yapılamaz: ayar dosyası yok veya bir klasöre ulaşılamıyor. Bir Yönetici Kurulum'u çalıştırmalı.</t>
  </si>
  <si>
    <t>s:{0} cannot run: the settings file is missing or a folder is unreachable. An Administrator must run Setup.</t>
  </si>
  <si>
    <t>s:{0} yapılamaz: ayar dosyası yok veya bir klasöre ulaşılamıyor. Bir Yönetici Kurulum'u çalıştırmalı.
{0} cannot run: the settings file is missing or a folder is unreachable. An Administrator must run Setup.</t>
  </si>
  <si>
    <t>s:ASK_NOTE_REVIEWER</t>
  </si>
  <si>
    <t>s:Kontrol eden için not (isteğe bağlı)</t>
  </si>
  <si>
    <t>s:Note for the reviewer (optional)</t>
  </si>
  <si>
    <t>s:Kontrol eden için not (isteğe bağlı)
Note for the reviewer (optional)</t>
  </si>
  <si>
    <t>s:CONFIRM_SUBMIT</t>
  </si>
  <si>
    <t>s:{0} dönemi incelemeye gönderilsin mi? Genel durum: {1} ({2} açıklanmış REVIEW kontrolü).
{3}</t>
  </si>
  <si>
    <t>s:Submit {0} for review? Overall status: {1} ({2} explained REVIEW check(s)).</t>
  </si>
  <si>
    <t>s:{0} dönemi incelemeye gönderilsin mi? Genel durum: {1} ({2} açıklanmış REVIEW kontrolü).
{3}
Submit {0} for review? Overall status: {1} ({2} explained REVIEW check(s)).</t>
  </si>
  <si>
    <t>s:FOUR_EYES_ON</t>
  </si>
  <si>
    <t>s:Dönemi başka bir Windows kullanıcısı kapatmalı</t>
  </si>
  <si>
    <t>s:The period must then be closed by a different Windows user</t>
  </si>
  <si>
    <t>s:Dönemi başka bir Windows kullanıcısı kapatmalı
The period must then be closed by a different Windows user</t>
  </si>
  <si>
    <t>s:FOUR_EYES_OFF</t>
  </si>
  <si>
    <t>s:Dört göz kontrolü kapalı (FourEyesRequired = N)</t>
  </si>
  <si>
    <t>s:Four-eyes is waived (FourEyesRequired = N)</t>
  </si>
  <si>
    <t>s:Dört göz kontrolü kapalı (FourEyesRequired = N)
Four-eyes is waived (FourEyesRequired = N)</t>
  </si>
  <si>
    <t>s:ASK_REJECT_REASON</t>
  </si>
  <si>
    <t>s:{0} gönderimini reddetme nedeni (zorunlu):</t>
  </si>
  <si>
    <t>s:Reason for rejecting the submission of {0} (required):</t>
  </si>
  <si>
    <t>s:{0} gönderimini reddetme nedeni (zorunlu):
Reason for rejecting the submission of {0} (required):</t>
  </si>
  <si>
    <t>s:CONFIRM_CLOSE</t>
  </si>
  <si>
    <t>s:CHANGELOG_ASK_VERSION</t>
  </si>
  <si>
    <t>s:Sürüm (ör. 3.0.1):</t>
  </si>
  <si>
    <t>s:Version (e.g. 3.0.1):</t>
  </si>
  <si>
    <t>s:Sürüm (ör. 3.0.1):
Version (e.g. 3.0.1):</t>
  </si>
  <si>
    <t>s:CHANGELOG_ASK_WHAT</t>
  </si>
  <si>
    <t>s:Ne değişti?</t>
  </si>
  <si>
    <t>s:What changed?</t>
  </si>
  <si>
    <t>s:Ne değişti?
What changed?</t>
  </si>
  <si>
    <t>s:CHANGELOG_ASK_WHY</t>
  </si>
  <si>
    <t>s:Neden?</t>
  </si>
  <si>
    <t>s:Why?</t>
  </si>
  <si>
    <t>s:Neden?
Why?</t>
  </si>
  <si>
    <t>s:CHANGELOG_ASK_COMPONENTS</t>
  </si>
  <si>
    <t>s:Etkilenen bileşenler (sayfa, sorgu, modül):</t>
  </si>
  <si>
    <t>s:Components affected (sheet, query, module):</t>
  </si>
  <si>
    <t>s:Etkilenen bileşenler (sayfa, sorgu, modül):
Components affected (sheet, query, module):</t>
  </si>
  <si>
    <t>s:CHANGELOG_ASK_BREAKING</t>
  </si>
  <si>
    <t>s:Geriye dönük uyumsuz değişiklikler (yoksa none):</t>
  </si>
  <si>
    <t>s:Breaking changes (none if there are none):</t>
  </si>
  <si>
    <t>s:Geriye dönük uyumsuz değişiklikler (yoksa none):
Breaking changes (none if there are none):</t>
  </si>
  <si>
    <t>s:CONFIRM_VERIFY_IDS</t>
  </si>
  <si>
    <t>s:Seçili {0} satır {1} tarafından bugün DOĞRULANDI olarak işaretlensin mi? Yalnızca her ColumnID resmi şema referansıyla karşılaştırıldıysa onaylayın.</t>
  </si>
  <si>
    <t>s:Stamp {0} row(s) as VERIFIED by {1} today? Confirm only if each ColumnID was checked against the official schema reference.</t>
  </si>
  <si>
    <t>s:Seçili {0} satır {1} tarafından bugün DOĞRULANDI olarak işaretlensin mi? Yalnızca her ColumnID resmi şema referansıyla karşılaştırıldıysa onaylayın.
Stamp {0} row(s) as VERIFIED by {1} today? Confirm only if each ColumnID was checked against the official schema reference.</t>
  </si>
  <si>
    <t>s:ASK_REOPEN_PERIOD</t>
  </si>
  <si>
    <t>s:ASK_REOPEN_REASON</t>
  </si>
  <si>
    <t>s:{0} dönemini yeniden açma nedeni (zorunlu; ArchiveLog ve SignOff'a yazılır):</t>
  </si>
  <si>
    <t>s:Reason for re-opening {0} (required; stored in ArchiveLog and SignOff):</t>
  </si>
  <si>
    <t>s:{0} dönemini yeniden açma nedeni (zorunlu; ArchiveLog ve SignOff'a yazılır):
Reason for re-opening {0} (required; stored in ArchiveLog and SignOff):</t>
  </si>
  <si>
    <t>s:CONFIRM_REOPEN</t>
  </si>
  <si>
    <t>s:CONFIRM_BACKFILL</t>
  </si>
  <si>
    <t>s:EDIT_REVERTED</t>
  </si>
  <si>
    <t>s:Bu değişiklik geri alındı: {0} tablosunu düzenleme yetkiniz yok (rolünüz: {1}). Deneme kayda geçti.</t>
  </si>
  <si>
    <t>s:This change was reverted: you may not edit {0} (your role: {1}). The attempt was logged.</t>
  </si>
  <si>
    <t>s:Bu değişiklik geri alındı: {0} tablosunu düzenleme yetkiniz yok (rolünüz: {1}). Deneme kayda geçti.
This change was reverted: you may not edit {0} (your role: {1}). The attempt was logged.</t>
  </si>
  <si>
    <t>s:CHK_SETUP</t>
  </si>
  <si>
    <t>s:Kurulum tamamlandı</t>
  </si>
  <si>
    <t>s:Setup completed</t>
  </si>
  <si>
    <t>s:Kurulum tamamlandı
Setup completed</t>
  </si>
  <si>
    <t>s:CHK_COMPANIES</t>
  </si>
  <si>
    <t>s:Şirket bilgileri eksiksiz (ad, tür)</t>
  </si>
  <si>
    <t>s:Company master data complete (name, type)</t>
  </si>
  <si>
    <t>s:Şirket bilgileri eksiksiz (ad, tür)
Company master data complete (name, type)</t>
  </si>
  <si>
    <t>s:CHK_REFRESH</t>
  </si>
  <si>
    <t>s:Veriler güncel (Yenile)</t>
  </si>
  <si>
    <t>s:Data refreshed (Refresh)</t>
  </si>
  <si>
    <t>s:Veriler güncel (Yenile)
Data refreshed (Refresh)</t>
  </si>
  <si>
    <t>s:CHK_FILES</t>
  </si>
  <si>
    <t>s:Beklenen dosyalar teslim edildi</t>
  </si>
  <si>
    <t>s:Expected files delivered</t>
  </si>
  <si>
    <t>s:Beklenen dosyalar teslim edildi
Expected files delivered</t>
  </si>
  <si>
    <t>s:CHK_RECON</t>
  </si>
  <si>
    <t>s:Mutabakat tutarları girildi ve tutuyor</t>
  </si>
  <si>
    <t>s:Reconciliation totals entered and agreeing</t>
  </si>
  <si>
    <t>s:Mutabakat tutarları girildi ve tutuyor
Reconciliation totals entered and agreeing</t>
  </si>
  <si>
    <t>s:CHK_EXPLAIN</t>
  </si>
  <si>
    <t>s:REVIEW kontrolleri açıklandı</t>
  </si>
  <si>
    <t>s:REVIEW checks explained</t>
  </si>
  <si>
    <t>s:REVIEW kontrolleri açıklandı
REVIEW checks explained</t>
  </si>
  <si>
    <t>s:CHK_SUBMIT</t>
  </si>
  <si>
    <t>s:Ay incelemeye gönderildi</t>
  </si>
  <si>
    <t>s:Month submitted for review</t>
  </si>
  <si>
    <t>s:Ay incelemeye gönderildi
Month submitted for review</t>
  </si>
  <si>
    <t>s:CHK_CLOSE</t>
  </si>
  <si>
    <t>s:Ay kapatıldı (başka bir kullanıcı)</t>
  </si>
  <si>
    <t>s:Month closed (by a different user)</t>
  </si>
  <si>
    <t>s:Ay kapatıldı (başka bir kullanıcı)
Month closed (by a different user)</t>
  </si>
  <si>
    <t>s:CHK_ADMINS</t>
  </si>
  <si>
    <t>s:En az iki Yönetici</t>
  </si>
  <si>
    <t>s:At least two Administrators</t>
  </si>
  <si>
    <t>s:En az iki Yönetici
At least two Administrators</t>
  </si>
  <si>
    <t>s:CHK_COLUMNIDS</t>
  </si>
  <si>
    <t>s:ColumnID'ler doğrulandı</t>
  </si>
  <si>
    <t>s:ColumnIDs verified</t>
  </si>
  <si>
    <t>s:ColumnID'ler doğrulandı
ColumnIDs verified</t>
  </si>
  <si>
    <t>s:NEXT_SETUP_ADMIN</t>
  </si>
  <si>
    <t>s:Kurulum tamamlanmadı – Kurulum düğmesine tıklayın.</t>
  </si>
  <si>
    <t>s:Setup not completed – click Setup.</t>
  </si>
  <si>
    <t>s:Kurulum tamamlanmadı – Kurulum düğmesine tıklayın.
Setup not completed – click Setup.</t>
  </si>
  <si>
    <t>s:NEXT_SETUP_USER</t>
  </si>
  <si>
    <t>s:Kurulum tamamlanmadı – bir Yönetici Kurulum'u çalıştırmalı. O zamana kadar salt okunur erişiminiz var.</t>
  </si>
  <si>
    <t>s:Setup not completed – an Administrator must run Setup. You have read-only access until then.</t>
  </si>
  <si>
    <t>s:Kurulum tamamlanmadı – bir Yönetici Kurulum'u çalıştırmalı. O zamana kadar salt okunur erişiminiz var.
Setup not completed – an Administrator must run Setup. You have read-only access until then.</t>
  </si>
  <si>
    <t>s:NEXT_COMPANIES</t>
  </si>
  <si>
    <t>s:{0} şirketin adı veya türü eksik – DimCompany sayfasında tamamlanmalı (Yönetici).</t>
  </si>
  <si>
    <t>s:{0} company row(s) without a name or type – complete them on sheet DimCompany (Administrator).</t>
  </si>
  <si>
    <t>s:{0} şirketin adı veya türü eksik – DimCompany sayfasında tamamlanmalı (Yönetici).
{0} company row(s) without a name or type – complete them on sheet DimCompany (Administrator).</t>
  </si>
  <si>
    <t>s:NEXT_NOCOMPANY</t>
  </si>
  <si>
    <t>s:Henüz şirket yok – Kurulum'u yeniden çalıştırın ya da şirketleri DimCompany sayfasına ekleyin (Yönetici).</t>
  </si>
  <si>
    <t>s:No company yet – run Setup again or add the companies on sheet DimCompany (Administrator).</t>
  </si>
  <si>
    <t>s:Henüz şirket yok – Kurulum'u yeniden çalıştırın ya da şirketleri DimCompany sayfasına ekleyin (Yönetici).
No company yet – run Setup again or add the companies on sheet DimCompany (Administrator).</t>
  </si>
  <si>
    <t>s:NEXT_REFRESH</t>
  </si>
  <si>
    <t>s:Yenileme gerekli – Yenile düğmesine tıklayın.</t>
  </si>
  <si>
    <t>s:Refresh needed – click Refresh.</t>
  </si>
  <si>
    <t>s:Yenileme gerekli – Yenile düğmesine tıklayın.
Refresh needed – click Refresh.</t>
  </si>
  <si>
    <t>s:NEXT_FILES</t>
  </si>
  <si>
    <t>s:Dönem {0}: {1} şirket için dosya eksik.</t>
  </si>
  <si>
    <t>s:Period {0}: files missing for {1} companies.</t>
  </si>
  <si>
    <t>s:Dönem {0}: {1} şirket için dosya eksik.
Period {0}: files missing for {1} companies.</t>
  </si>
  <si>
    <t>s:NEXT_RECON</t>
  </si>
  <si>
    <t>s:Mutabakat: {0} şirket/para birimi toplamı eksik veya tolerans dışında – Recon sayfası.</t>
  </si>
  <si>
    <t>s:Reconciliation: {0} company/currency total(s) missing or outside tolerance – sheet Recon.</t>
  </si>
  <si>
    <t>s:Mutabakat: {0} şirket/para birimi toplamı eksik veya tolerans dışında – Recon sayfası.
Reconciliation: {0} company/currency total(s) missing or outside tolerance – sheet Recon.</t>
  </si>
  <si>
    <t>s:NEXT_EXPLAIN</t>
  </si>
  <si>
    <t>s:{0} REVIEW kontrolü açıklama bekliyor – Kontrol paneli, Explanation sütunu.</t>
  </si>
  <si>
    <t>s:{0} REVIEW check(s) need an explanation – Control panel, column Explanation.</t>
  </si>
  <si>
    <t>s:{0} REVIEW kontrolü açıklama bekliyor – Kontrol paneli, Explanation sütunu.
{0} REVIEW check(s) need an explanation – Control panel, column Explanation.</t>
  </si>
  <si>
    <t>s:NEXT_SUBMIT</t>
  </si>
  <si>
    <t>s:Dönem {0} incelemeye gönderilebilir – İncelemeye gönder.</t>
  </si>
  <si>
    <t>s:Period {0} can be submitted – Submit for review.</t>
  </si>
  <si>
    <t>s:Dönem {0} incelemeye gönderilebilir – İncelemeye gönder.
Period {0} can be submitted – Submit for review.</t>
  </si>
  <si>
    <t>s:NEXT_AWAIT_REVIEW</t>
  </si>
  <si>
    <t>s:Dönem {0}: bir Kontrol edenin incelemesi bekleniyor.</t>
  </si>
  <si>
    <t>s:Period {0}: awaiting review by a Reviewer.</t>
  </si>
  <si>
    <t>s:Dönem {0}: bir Kontrol edenin incelemesi bekleniyor.
Period {0}: awaiting review by a Reviewer.</t>
  </si>
  <si>
    <t>s:NEXT_CLOSE</t>
  </si>
  <si>
    <t>s:Dönem {0} kapatılabilir – Dönemi kapat (hazırlayandan farklı bir kullanıcı).</t>
  </si>
  <si>
    <t>s:Month {0} can be closed – Close period (a user other than the preparer).</t>
  </si>
  <si>
    <t>s:Dönem {0} kapatılabilir – Dönemi kapat (hazırlayandan farklı bir kullanıcı).
Month {0} can be closed – Close period (a user other than the preparer).</t>
  </si>
  <si>
    <t>s:NEXT_ADMINS</t>
  </si>
  <si>
    <t>s:Yalnızca {0} Yönetici var – ikinci bir Yönetici ekleyin (Kullanıcılar ve roller).</t>
  </si>
  <si>
    <t>s:Only {0} Administrator(s) – add a second one (Users and roles).</t>
  </si>
  <si>
    <t>s:Yalnızca {0} Yönetici var – ikinci bir Yönetici ekleyin (Kullanıcılar ve roller).
Only {0} Administrator(s) – add a second one (Users and roles).</t>
  </si>
  <si>
    <t>s:NEXT_COLUMNIDS</t>
  </si>
  <si>
    <t>s:{0} ColumnID doğrulanmadı (danışma niteliğinde; kapanışı engellemez).</t>
  </si>
  <si>
    <t>s:{0} ColumnID(s) not verified (advisory; does not block the close).</t>
  </si>
  <si>
    <t>s:{0} ColumnID doğrulanmadı (danışma niteliğinde; kapanışı engellemez).
{0} ColumnID(s) not verified (advisory; does not block the close).</t>
  </si>
  <si>
    <t>s:NEXT_ALLDONE</t>
  </si>
  <si>
    <t>s:Her şey tamam – yapılacak işlem yok.</t>
  </si>
  <si>
    <t>s:All done – nothing to do.</t>
  </si>
  <si>
    <t>s:Her şey tamam – yapılacak işlem yok.
All done – nothing to do.</t>
  </si>
  <si>
    <t>s:1.0.0</t>
  </si>
  <si>
    <t>s:2026-09-26</t>
  </si>
  <si>
    <t>s:First release of the monthly payments closing workbook: parameter-driven Power Query ingestion of the company payment files (COMP&lt;CompanyID&gt;PAY&lt;MMYYYY&gt;.xlsx), a governed column dictionary with a personal-data whitelist, Turkish-locale standardisation, one active period plus a frozen archive, a star-schema Data Model with 19 DAX measures, a 19-check control panel, reconciliation, archive log, KPI cross-check, dashboard and documentation.</t>
  </si>
  <si>
    <t>s:Replace the manual month-end consolidation of the company payment files with a controlled, repeatable process.</t>
  </si>
  <si>
    <t>s:All sheets; 28 queries; Data Model; DAX_Measures; ControlPanel; Recon; ArchiveLog; Dashboard</t>
  </si>
  <si>
    <t>s:none (first release)</t>
  </si>
  <si>
    <t>s:1.1.0</t>
  </si>
  <si>
    <t>s:Live configuration and fixes: the department's source and archive folders, companies taken from the file names, CBRT forex buying rates 2019-12-02..2026-09-25, archive backfilled 202501-202608, active period 202609. Reporting date moved to the file period (FactPayment[PeriodDate]); when a file carries several headers of one field, the header listed first in ColumnMap wins (AMBIGUOUS MAPPING is INFO); standardisation materialises only the whitelisted columns (about 1 s instead of 18 s per file).</t>
  </si>
  <si>
    <t>s:Go live with the real files; payment dates rarely fall in their file period, so monthly figures must follow the file period; live files carry internal and alias headers of the same field.</t>
  </si>
  <si>
    <t>s:Parameters, DimCompany, FX, ColumnMap, Recon, ArchiveLog, FactPayment, DimDate, fnStandardizeFile, fnConformArchive, STG_Files, DAX_Measures</t>
  </si>
  <si>
    <t>s:Default date relationship FactPayment[PeriodDate] (was PaymentDate); sample sheets removed.</t>
  </si>
  <si>
    <t>s:2.0.0</t>
  </si>
  <si>
    <t>s:2026-09-28</t>
  </si>
  <si>
    <t>s:Excel + VBA edition (.xlsm): a command layer behind the Home buttons with one ActivityLog row per command; chained SHA-256 ActivityLog with an external read-only copy per event; RefreshLog; edit audit of the input tables; 24 checks with stable CheckIDs and a close gate; Submit / Close by two different Windows users with a data fingerprint, a read-only archive and a controls evidence file per month, re-open to Superseded; automatic CBRT fetch stored in tblFXRate; DataView detail view, Matrix sheet and a rebuilt Dashboard (CUBE cards, PivotCharts, timeline); Decision Register, Interface Contract and AdminConfig; source code exported to src/.</t>
  </si>
  <si>
    <t>s:Make the close auditable (who, what, when, result), enforce four-eyes by Windows identity and remove the manual FX maintenance.</t>
  </si>
  <si>
    <t>s:Home, ControlPanel, Dashboard, Matrix, DataView, SignOff, ArchiveLog, RefreshLog, ActivityLog, AdminConfig, DecisionRegister, Interface_Contract; mod_Cmd, mod_Log, mod_Archive, mod_Export, mod_Util; qFX_CBRT, fnFetchCBRT, qLog_External, qView_Lines, fnFileList</t>
  </si>
  <si>
    <t>s:Workbook format .xlsm; parameter DataMode removed; RootFolder and ArchiveFolder renamed; checks addressed by CheckID (tblControl); STG_Refresh columns replaced by SourceLocation, FilesRead and FileList.</t>
  </si>
  <si>
    <t>s:2026-09-29</t>
  </si>
  <si>
    <t>s:Production release. Runs from a shared network drive (UNC) for several users with role-based authorisation: Viewer, Analyst, Preparer, Reviewer and Administrator, permissions held as data, administrator sign-in with a salted and iterated password hash and lockout, segregation of duties at close. Guided Setup (first Administrator, folder pickers, UNC validation, discovery of companies and periods, users, FX check) writes ACP_Settings.ini; Start sheet macro guard; Home banner with the next action and a prioritised checklist; location watchdog, lock file and read-only detection; Backfill (Administrator) freezes the months before go-live in one run; unauthorised edits reverted and logged; BLOCKING / ADVISORY check severity; Decision Register closed with a Backlog; changelog maintained by command. Delivered in zero state.</t>
  </si>
  <si>
    <t>s:Put the platform into production for the department: several users on one shared file, clear responsibilities, no per-user paths, and a clean start without sample data.</t>
  </si>
  <si>
    <t>s:Start, Home, Security (very hidden), Admin_Guide, AdminConfig, Parameters, ControlPanel, DecisionRegister, Changelog, Interface_Contract, Legend; mod_Security, mod_Session, mod_Setup (new), mod_Cmd, mod_Log, mod_Util, mod_Archive, mod_Export, ThisWorkbook, frmPassword; fnFileList, STG_Refresh, qSrc_Files, qFX_CBRT, fnFetchCBRT, DimDate, STG_ActiveFact, STG_Discovery (new)</t>
  </si>
  <si>
    <t>s:Parameters SourceMode, SharePointSiteUrl, SharePointSourcePath, SharePointArchivePath and SharePointLogPath removed; LocalSourceFolder, LocalArchiveFolder and LocalLogFolder renamed SourceFolder, ArchiveFolder and LogFolder; new FXSourceUrl, PlatformFolder, PlatformHomePath, SetupCompletedOn, SetupCompletedBy; STG_Refresh and tblRefreshLog lose SourceMode; names cpSourceMode, envStatus, prmSharePointSiteUrl, prmSharePointSourcePath, prmLocalSourceFolder and lstSourceMode removed; Cmd_ResetForGoLive removed; every command checks permissions (result DENIED); tblSignOff[LogonUser] holds DOMAIN\logon; tblControl gains Severity (Status ADVISORY); tblDecision OwnerRole renamed Owner, Status Deferred added; tblChangelog columns What, Why, Components, BreakingChanges; FXSource values CBRT_XML and Manual.</t>
  </si>
  <si>
    <t>SOURCE</t>
  </si>
  <si>
    <t>~$COMP_lock.xlsx</t>
  </si>
  <si>
    <t>C:\Dev\ACP_Dev\Source\mini\01_payments\Turkey_Hayat\v1\07Cari ay ödeme listeleri\</t>
  </si>
  <si>
    <t>IGNORED</t>
  </si>
  <si>
    <t>Excel lock / temporary file (~$) - never read</t>
  </si>
  <si>
    <t>C:\Dev\ACP_Dev\Source\mini\01_payments\Turkey_BES\</t>
  </si>
  <si>
    <t>C:\Dev\ACP_Dev\Source\mini\01_payments\Gelen\Turkey_BES\</t>
  </si>
  <si>
    <t>C:\Dev\ACP_Dev\Source\mini\01_payments\Turkey_BES\2024\</t>
  </si>
  <si>
    <t>C:\Dev\ACP_Dev\Source\mini\01_payments\Turkey_BES\2025\</t>
  </si>
  <si>
    <t>C:\Dev\ACP_Dev\Source\mini\01_payments\Turkey_BES\2026\</t>
  </si>
  <si>
    <t>C:\Dev\ACP_Dev\Source\mini\01_payments\Turkey_BES\Gelen\</t>
  </si>
  <si>
    <t>C:\Dev\ACP_Dev\Source\mini\01_payments\Elementer\Gelen\</t>
  </si>
  <si>
    <t>C:\Dev\ACP_Dev\Source\mini\01_payments\Turkey_BES\v1\07Cari ay ödeme listeleri\</t>
  </si>
  <si>
    <t>C:\Dev\ACP_Dev\Source\mini\01_payments\Turkey_Hayat\</t>
  </si>
  <si>
    <t>C:\Dev\ACP_Dev\Source\mini\01_payments\Elementer\2026\</t>
  </si>
  <si>
    <t>C:\Dev\ACP_Dev\Source\mini\01_payments\Turkey_Hayat\2025\</t>
  </si>
  <si>
    <t>C:\Dev\ACP_Dev\Source\mini\01_payments\Elementer\2025\</t>
  </si>
  <si>
    <t>C:\Dev\ACP_Dev\Source\mini\01_payments\Turkey_Hayat\2026\</t>
  </si>
  <si>
    <t>C:\Dev\ACP_Dev\Source\mini\01_payments\Elementer\2024\</t>
  </si>
  <si>
    <t>C:\Dev\ACP_Dev\Source\mini\01_payments\Gelen\Turkey_Hayat\</t>
  </si>
  <si>
    <t>C:\Dev\ACP_Dev\Source\mini\01_payments\Elementer\</t>
  </si>
  <si>
    <t>C:\Dev\ACP_Dev\Source\mini\01_payments\Turkey_Hayat\Gelen\</t>
  </si>
  <si>
    <t>COMP08302PAY012026.xlsx</t>
  </si>
  <si>
    <t>MATCHED</t>
  </si>
  <si>
    <t>08302</t>
  </si>
  <si>
    <t>COMP8101PAY012025.xlsx</t>
  </si>
  <si>
    <t>8101</t>
  </si>
  <si>
    <t>COMP8101PAY012026.xlsx</t>
  </si>
  <si>
    <t>COMP8101PAY022025.xlsx</t>
  </si>
  <si>
    <t>COMP8101PAY022026.xlsx</t>
  </si>
  <si>
    <t>COMP8101PAY032025.xlsx</t>
  </si>
  <si>
    <t>COMP8101PAY032026.xlsx</t>
  </si>
  <si>
    <t>COMP8101PAY042025.xlsx</t>
  </si>
  <si>
    <t>COMP8101PAY042026.xlsx</t>
  </si>
  <si>
    <t>COMP8101PAY052025.xlsx</t>
  </si>
  <si>
    <t>COMP8101PAY052026.xlsx</t>
  </si>
  <si>
    <t>COMP8101PAY062025.xlsx</t>
  </si>
  <si>
    <t>COMP8101PAY062026.xlsx</t>
  </si>
  <si>
    <t>COMP8101PAY072025.xlsx</t>
  </si>
  <si>
    <t>COMP8101PAY072026.xlsx</t>
  </si>
  <si>
    <t>COMP8101PAY082025.xlsx</t>
  </si>
  <si>
    <t>COMP8101PAY082026.xlsx</t>
  </si>
  <si>
    <t>COMP8101PAY092024.xlsx</t>
  </si>
  <si>
    <t>COMP8101PAY092025.xlsx</t>
  </si>
  <si>
    <t>COMP8101PAY102024.xlsx</t>
  </si>
  <si>
    <t>COMP8101PAY102025.xlsx</t>
  </si>
  <si>
    <t>COMP8101PAY112024.xlsx</t>
  </si>
  <si>
    <t>COMP8101PAY112025.xlsx</t>
  </si>
  <si>
    <t>COMP8101PAY122024.xlsx</t>
  </si>
  <si>
    <t>COMP8101PAY122025.xlsx</t>
  </si>
  <si>
    <t>COMP8102PAY012025.xlsx</t>
  </si>
  <si>
    <t>8102</t>
  </si>
  <si>
    <t>COMP8102PAY012026.xlsx</t>
  </si>
  <si>
    <t>COMP8102PAY022025.xlsx</t>
  </si>
  <si>
    <t>COMP8102PAY022026.xlsx</t>
  </si>
  <si>
    <t>COMP8102PAY032025.xlsx</t>
  </si>
  <si>
    <t>COMP8102PAY032026.xlsx</t>
  </si>
  <si>
    <t>COMP8102PAY042025.xlsx</t>
  </si>
  <si>
    <t>COMP8102PAY042026.xlsx</t>
  </si>
  <si>
    <t>COMP8102PAY052025.xlsx</t>
  </si>
  <si>
    <t>COMP8102PAY052026.xlsx</t>
  </si>
  <si>
    <t>COMP8102PAY062025.xlsx</t>
  </si>
  <si>
    <t>COMP8102PAY062026.xlsx</t>
  </si>
  <si>
    <t>COMP8102PAY072025.xlsx</t>
  </si>
  <si>
    <t>COMP8102PAY072026.xlsx</t>
  </si>
  <si>
    <t>COMP8102PAY082025.xlsx</t>
  </si>
  <si>
    <t>COMP8102PAY082026.xlsx</t>
  </si>
  <si>
    <t>COMP8102PAY092024.xlsx</t>
  </si>
  <si>
    <t>COMP8102PAY092025.xlsx</t>
  </si>
  <si>
    <t>COMP8102PAY102024.xlsx</t>
  </si>
  <si>
    <t>C:\Dev\ACP_Dev\Source\mini\01_payments\Turkey_Hayat\2024\</t>
  </si>
  <si>
    <t>COMP8102PAY102025.xlsx</t>
  </si>
  <si>
    <t>COMP8102PAY112024.xlsx</t>
  </si>
  <si>
    <t>COMP8102PAY112025.xlsx</t>
  </si>
  <si>
    <t>COMP8102PAY122024.xlsx</t>
  </si>
  <si>
    <t>COMP8102PAY122025.xlsx</t>
  </si>
  <si>
    <t>COMP8201PAY012025.xlsx</t>
  </si>
  <si>
    <t>8201</t>
  </si>
  <si>
    <t>COMP8201PAY012026.xlsx</t>
  </si>
  <si>
    <t>COMP8201PAY022025.xlsx</t>
  </si>
  <si>
    <t>COMP8201PAY022026.xlsx</t>
  </si>
  <si>
    <t>COMP8201PAY032025.xlsx</t>
  </si>
  <si>
    <t>COMP8201PAY032026.xlsx</t>
  </si>
  <si>
    <t>COMP8201PAY042025.xlsx</t>
  </si>
  <si>
    <t>COMP8201PAY042026.xlsx</t>
  </si>
  <si>
    <t>COMP8201PAY052025.xlsx</t>
  </si>
  <si>
    <t>COMP8201PAY052026.xlsx</t>
  </si>
  <si>
    <t>COMP8201PAY062025.xlsx</t>
  </si>
  <si>
    <t>COMP8201PAY062026.xlsx</t>
  </si>
  <si>
    <t>COMP8201PAY072025.xlsx</t>
  </si>
  <si>
    <t>COMP8201PAY072026.xlsx</t>
  </si>
  <si>
    <t>COMP8201PAY082025.xlsx</t>
  </si>
  <si>
    <t>COMP8201PAY082026.xlsx</t>
  </si>
  <si>
    <t>COMP8201PAY092024.xlsx</t>
  </si>
  <si>
    <t>COMP8201PAY092025.xlsx</t>
  </si>
  <si>
    <t>COMP8201PAY102024.xlsx</t>
  </si>
  <si>
    <t>COMP8201PAY102025.xlsx</t>
  </si>
  <si>
    <t>COMP8201PAY112024.xlsx</t>
  </si>
  <si>
    <t>COMP8201PAY112025.xlsx</t>
  </si>
  <si>
    <t>COMP8201PAY122024.xlsx</t>
  </si>
  <si>
    <t>COMP8201PAY122025.xlsx</t>
  </si>
  <si>
    <t>COMP8301PAY012025.xlsx</t>
  </si>
  <si>
    <t>C:\Dev\ACP_Dev\Source\mini\01_payments\Elementer\v1\07Cari ay ödeme listeleri\</t>
  </si>
  <si>
    <t>8301</t>
  </si>
  <si>
    <t>COMP8301PAY012026.xlsx</t>
  </si>
  <si>
    <t>COMP8301PAY022025.xlsx</t>
  </si>
  <si>
    <t>COMP8301PAY022026.xlsx</t>
  </si>
  <si>
    <t>COMP8301PAY032025.xlsx</t>
  </si>
  <si>
    <t>COMP8301PAY032026.xlsx</t>
  </si>
  <si>
    <t>C:\Dev\ACP_Dev\Source\mini\01_payments\Gelen\Elementer\</t>
  </si>
  <si>
    <t>COMP8301PAY042025.xlsx</t>
  </si>
  <si>
    <t>COMP8301PAY042026.xlsx</t>
  </si>
  <si>
    <t>COMP8301PAY052025.xlsx</t>
  </si>
  <si>
    <t>COMP8301PAY052026.xlsx</t>
  </si>
  <si>
    <t>COMP8301PAY062025.xlsx</t>
  </si>
  <si>
    <t>COMP8301PAY062026.xlsx</t>
  </si>
  <si>
    <t>COMP8301PAY072025.xlsx</t>
  </si>
  <si>
    <t>COMP8301PAY072026.xlsx</t>
  </si>
  <si>
    <t>COMP8301PAY082025.xlsx</t>
  </si>
  <si>
    <t>COMP8301PAY082026.xlsx</t>
  </si>
  <si>
    <t>COMP8301PAY092024.xlsx</t>
  </si>
  <si>
    <t>COMP8301PAY092025.xlsx</t>
  </si>
  <si>
    <t>COMP8301PAY102024.xlsx</t>
  </si>
  <si>
    <t>COMP8301PAY102025.xlsx</t>
  </si>
  <si>
    <t>COMP8301PAY112024.xlsx</t>
  </si>
  <si>
    <t>COMP8301PAY112025.xlsx</t>
  </si>
  <si>
    <t>COMP8301PAY122024.xlsx</t>
  </si>
  <si>
    <t>COMP8301PAY122025.xlsx</t>
  </si>
  <si>
    <t>COMP8302PAY012025.xlsx</t>
  </si>
  <si>
    <t>8302</t>
  </si>
  <si>
    <t>COMP8302PAY012026.xlsx</t>
  </si>
  <si>
    <t>COMP8302PAY022025.xlsx</t>
  </si>
  <si>
    <t>COMP8302PAY022026.xlsx</t>
  </si>
  <si>
    <t>COMP8302PAY032025.xlsx</t>
  </si>
  <si>
    <t>COMP8302PAY032026.xlsx</t>
  </si>
  <si>
    <t>COMP8302PAY042025.xlsx</t>
  </si>
  <si>
    <t>COMP8302PAY042026.xlsx</t>
  </si>
  <si>
    <t>COMP8302PAY052025.xlsx</t>
  </si>
  <si>
    <t>COMP8302PAY052026.xlsx</t>
  </si>
  <si>
    <t>COMP8302PAY062025.xlsx</t>
  </si>
  <si>
    <t>COMP8302PAY062026.xlsx</t>
  </si>
  <si>
    <t>COMP8302PAY072025.xlsx</t>
  </si>
  <si>
    <t>COMP8302PAY072026.xlsx</t>
  </si>
  <si>
    <t>COMP8302PAY082025.xlsx</t>
  </si>
  <si>
    <t>COMP8302PAY082026.xlsx</t>
  </si>
  <si>
    <t>COMP8302PAY092024.xlsx</t>
  </si>
  <si>
    <t>COMP8302PAY092025.xlsx</t>
  </si>
  <si>
    <t>COMP8302PAY102024.xlsx</t>
  </si>
  <si>
    <t>COMP8302PAY102025.xlsx</t>
  </si>
  <si>
    <t>COMP8302PAY112024.xlsx</t>
  </si>
  <si>
    <t>COMP8302PAY112025.xlsx</t>
  </si>
  <si>
    <t>COMP8302PAY122024.xlsx</t>
  </si>
  <si>
    <t>COMP8302PAY122025.xlsx</t>
  </si>
  <si>
    <t>Life Ödeme Raporu Ağustos.xlsx</t>
  </si>
  <si>
    <t>UNRECOGNISED</t>
  </si>
  <si>
    <t>Name does not start with 'COMP'</t>
  </si>
  <si>
    <t>Life Ödeme Raporu Ekim.xlsx</t>
  </si>
  <si>
    <t>Life Ödeme Raporu Eylül.xlsx</t>
  </si>
  <si>
    <t>Life Ödeme Raporu Haziran.xlsx</t>
  </si>
  <si>
    <t>Life Ödeme Raporu Kasım.xlsx</t>
  </si>
  <si>
    <t>Life Ödeme Raporu Mayıs.xlsx</t>
  </si>
  <si>
    <t>Life Ödeme Raporu Nisan.xlsx</t>
  </si>
  <si>
    <t>Life Ödeme Raporu Temmuz.xlsx</t>
  </si>
  <si>
    <t>Life Ödeme Raporu Şubat.xlsx</t>
  </si>
  <si>
    <t>NonLife Ödeme Raporu Aralık.xlsx</t>
  </si>
  <si>
    <t>NonLife Ödeme Raporu Ağustos.xlsx</t>
  </si>
  <si>
    <t>NonLife Ödeme Raporu Ekim.xlsx</t>
  </si>
  <si>
    <t>NonLife Ödeme Raporu Eylül.xlsx</t>
  </si>
  <si>
    <t>NonLife Ödeme Raporu Kasım.xlsx</t>
  </si>
  <si>
    <t>NonLife Ödeme Raporu Mart.xlsx</t>
  </si>
  <si>
    <t>NonLife Ödeme Raporu Nisan.xlsx</t>
  </si>
  <si>
    <t>NonLife Ödeme Raporu Temmuz.xlsx</t>
  </si>
  <si>
    <t>Pension Ödeme Raporu Aralık.xlsx</t>
  </si>
  <si>
    <t>Pension Ödeme Raporu Nisan.xlsx</t>
  </si>
  <si>
    <t>Pension Ödeme Raporu Şubat.xlsx</t>
  </si>
  <si>
    <t>Thumbs.db</t>
  </si>
  <si>
    <t>notes.tmp</t>
  </si>
  <si>
    <t>n:202409</t>
  </si>
  <si>
    <t>CBRT ForexBuying bulletin 2026/182 (automatic, 2026-10-01 00:20:44)</t>
  </si>
  <si>
    <t>CBRT ForexBuying bulletin 2026/182 (automatic, 2026-10-01 00:20:45)</t>
  </si>
  <si>
    <t>CBRT ForexBuying bulletin 2026/182 (automatic, 2026-10-01 00:20:46)</t>
  </si>
  <si>
    <t>CBRT ForexBuying bulletin 2026/182 (automatic, 2026-10-01 00:20:47)</t>
  </si>
  <si>
    <t>CBRT ForexBuying bulletin 2026/183 (automatic, 2026-10-01 00:20:49)</t>
  </si>
  <si>
    <t>CBRT ForexBuying bulletin 2026/183 (automatic, 2026-10-01 00:20:51)</t>
  </si>
  <si>
    <t>CBRT ForexBuying bulletin 2026/183 (automatic, 2026-10-01 00:20:53)</t>
  </si>
  <si>
    <t>CBRT ForexBuying bulletin 2026/183 (automatic, 2026-10-01 00:20:55)</t>
  </si>
  <si>
    <t>CBRT ForexBuying bulletin 2026/184 (automatic, 2026-10-01 00:20:57)</t>
  </si>
  <si>
    <t>CBRT ForexBuying bulletin 2026/184 (automatic, 2026-10-01 00:20:59)</t>
  </si>
  <si>
    <t>CBRT ForexBuying bulletin 2026/184 (automatic, 2026-10-01 00:21:01)</t>
  </si>
  <si>
    <t>CBRT ForexBuying bulletin 2026/184 (automatic, 2026-10-01 00:21:02)</t>
  </si>
  <si>
    <t>d:2026-09-28</t>
  </si>
  <si>
    <t>n:58.7026</t>
  </si>
  <si>
    <t>s:CBRT ForexBuying bulletin 2026/182 (automatic, 2026-10-01 00:20:44)</t>
  </si>
  <si>
    <t>n:55.6307</t>
  </si>
  <si>
    <t>s:CBRT ForexBuying bulletin 2026/182 (automatic, 2026-10-01 00:20:45)</t>
  </si>
  <si>
    <t>n:64.7268</t>
  </si>
  <si>
    <t>s:CBRT ForexBuying bulletin 2026/182 (automatic, 2026-10-01 00:20:46)</t>
  </si>
  <si>
    <t>n:48.9008</t>
  </si>
  <si>
    <t>s:CBRT ForexBuying bulletin 2026/182 (automatic, 2026-10-01 00:20:47)</t>
  </si>
  <si>
    <t>n:58.5349</t>
  </si>
  <si>
    <t>s:CBRT ForexBuying bulletin 2026/183 (automatic, 2026-10-01 00:20:49)</t>
  </si>
  <si>
    <t>n:55.5103</t>
  </si>
  <si>
    <t>s:CBRT ForexBuying bulletin 2026/183 (automatic, 2026-10-01 00:20:51)</t>
  </si>
  <si>
    <t>n:64.6329</t>
  </si>
  <si>
    <t>s:CBRT ForexBuying bulletin 2026/183 (automatic, 2026-10-01 00:20:53)</t>
  </si>
  <si>
    <t>n:48.9131</t>
  </si>
  <si>
    <t>s:CBRT ForexBuying bulletin 2026/183 (automatic, 2026-10-01 00:20:55)</t>
  </si>
  <si>
    <t>d:2026-09-30</t>
  </si>
  <si>
    <t>n:58.5636</t>
  </si>
  <si>
    <t>s:CBRT ForexBuying bulletin 2026/184 (automatic, 2026-10-01 00:20:57)</t>
  </si>
  <si>
    <t>n:55.5567</t>
  </si>
  <si>
    <t>s:CBRT ForexBuying bulletin 2026/184 (automatic, 2026-10-01 00:20:59)</t>
  </si>
  <si>
    <t>n:64.8493</t>
  </si>
  <si>
    <t>s:CBRT ForexBuying bulletin 2026/184 (automatic, 2026-10-01 00:21:01)</t>
  </si>
  <si>
    <t>n:48.9303</t>
  </si>
  <si>
    <t>s:CBRT ForexBuying bulletin 2026/184 (automatic, 2026-10-01 00:21:02)</t>
  </si>
  <si>
    <t>2024-09</t>
  </si>
  <si>
    <t>PRD622</t>
  </si>
  <si>
    <t>LIFE_ANNUITY</t>
  </si>
  <si>
    <t>Demo Unit Linked</t>
  </si>
  <si>
    <t>DEATH</t>
  </si>
  <si>
    <t>PRD599</t>
  </si>
  <si>
    <t>Demo Credit Life</t>
  </si>
  <si>
    <t>PRD675</t>
  </si>
  <si>
    <t>LIFE_CI</t>
  </si>
  <si>
    <t>Demo Whole Life</t>
  </si>
  <si>
    <t>PRD593</t>
  </si>
  <si>
    <t>LIFE_DISABILITY</t>
  </si>
  <si>
    <t>Demo Term Life</t>
  </si>
  <si>
    <t>PRD189</t>
  </si>
  <si>
    <t>Demo Group Life</t>
  </si>
  <si>
    <t>SURRENDER</t>
  </si>
  <si>
    <t>LIFE_MATURITY</t>
  </si>
  <si>
    <t>PRD228</t>
  </si>
  <si>
    <t>Demo Endowment</t>
  </si>
  <si>
    <t>LIFE_SURRENDER</t>
  </si>
  <si>
    <t>MATURITY</t>
  </si>
  <si>
    <t>LIFE_DEATH</t>
  </si>
  <si>
    <t>PRD397</t>
  </si>
  <si>
    <t>PEN_PARTIAL</t>
  </si>
  <si>
    <t>Demo Group Pension</t>
  </si>
  <si>
    <t>PRD573</t>
  </si>
  <si>
    <t>PEN_RETIREMENT</t>
  </si>
  <si>
    <t>Demo Individual Pension</t>
  </si>
  <si>
    <t>PEN_EXIT</t>
  </si>
  <si>
    <t>PEN_TRANSFER_OUT</t>
  </si>
  <si>
    <t>PRD534</t>
  </si>
  <si>
    <t>Demo Auto Enrollment</t>
  </si>
  <si>
    <t>PEN_DEATH</t>
  </si>
  <si>
    <t>PRD134</t>
  </si>
  <si>
    <t>HEALTH_INPATIENT</t>
  </si>
  <si>
    <t>Demo Engineering</t>
  </si>
  <si>
    <t>PRD598</t>
  </si>
  <si>
    <t>ENGINEERING_CAR</t>
  </si>
  <si>
    <t>Demo Motor Tpl</t>
  </si>
  <si>
    <t>FIRE_BUILDING</t>
  </si>
  <si>
    <t>PRD642</t>
  </si>
  <si>
    <t>MTPL_BI</t>
  </si>
  <si>
    <t>Demo Marine</t>
  </si>
  <si>
    <t>HEALTH_OUTPATIENT</t>
  </si>
  <si>
    <t>PRD547</t>
  </si>
  <si>
    <t>REFUND_OVERPAY</t>
  </si>
  <si>
    <t>Demo Motor Od</t>
  </si>
  <si>
    <t>PRD299</t>
  </si>
  <si>
    <t>Demo Liability</t>
  </si>
  <si>
    <t>ACCIDENT_PA</t>
  </si>
  <si>
    <t>MTPL_PD</t>
  </si>
  <si>
    <t>FIRE_CONTENTS</t>
  </si>
  <si>
    <t>MARINE_CARGO</t>
  </si>
  <si>
    <t>MOD_GLASS</t>
  </si>
  <si>
    <t>PRD551</t>
  </si>
  <si>
    <t>Demo Accident</t>
  </si>
  <si>
    <t>OTHER_EXGRATIA</t>
  </si>
  <si>
    <t>MOD_COLLISION</t>
  </si>
  <si>
    <t>PRD633</t>
  </si>
  <si>
    <t>Demo Health</t>
  </si>
  <si>
    <t>PRD951</t>
  </si>
  <si>
    <t>Demo Fire</t>
  </si>
  <si>
    <t>MOD_THEFT</t>
  </si>
  <si>
    <t>LIABILITY_GL</t>
  </si>
  <si>
    <t>s:Life</t>
  </si>
  <si>
    <t>s:Pension</t>
  </si>
  <si>
    <t>s:Non-life</t>
  </si>
  <si>
    <t>s:Automatic CBRT fetch is off (FXAutoFetch = N, FXSource = CBRT_XML): rates are maintained by hand on sheet FX; FX_RATES shows any gap.</t>
  </si>
  <si>
    <t>3 Branch</t>
  </si>
  <si>
    <t>InsuredAgeBand</t>
  </si>
  <si>
    <t>ageband</t>
  </si>
  <si>
    <t>PolicyStartDateYG</t>
  </si>
  <si>
    <t>PolicyEndDateYG</t>
  </si>
  <si>
    <t>s:3 Branch</t>
  </si>
  <si>
    <t>s:InsuredAgeBand</t>
  </si>
  <si>
    <t>s:ageband</t>
  </si>
  <si>
    <t>s:PolicyStartDateYG</t>
  </si>
  <si>
    <t>s:PolicyEndDateYG</t>
  </si>
  <si>
    <t>DISABLED</t>
  </si>
  <si>
    <t>Automatic fetch is off (FXAutoFetch = N, FXSource = CBRT_XML); rates are maintained by hand on sheet FX.</t>
  </si>
  <si>
    <t>Individual</t>
  </si>
  <si>
    <t>SB495</t>
  </si>
  <si>
    <t>BR604</t>
  </si>
  <si>
    <t>PTN147</t>
  </si>
  <si>
    <t>Endowment</t>
  </si>
  <si>
    <t>DIGITAL</t>
  </si>
  <si>
    <t>Trabzon</t>
  </si>
  <si>
    <t>65+</t>
  </si>
  <si>
    <t>UB64</t>
  </si>
  <si>
    <t>PTN787</t>
  </si>
  <si>
    <t>BROKER</t>
  </si>
  <si>
    <t>İstanbul</t>
  </si>
  <si>
    <t>35-44</t>
  </si>
  <si>
    <t>Bancassurance</t>
  </si>
  <si>
    <t>SB272</t>
  </si>
  <si>
    <t>BR168</t>
  </si>
  <si>
    <t>PTN528</t>
  </si>
  <si>
    <t>Credit Life</t>
  </si>
  <si>
    <t>DIRECT</t>
  </si>
  <si>
    <t>Bursa</t>
  </si>
  <si>
    <t>25-34</t>
  </si>
  <si>
    <t>UB78</t>
  </si>
  <si>
    <t>BR600</t>
  </si>
  <si>
    <t>PTN894</t>
  </si>
  <si>
    <t>Whole Life</t>
  </si>
  <si>
    <t>AGENCY</t>
  </si>
  <si>
    <t>Şanlıurfa</t>
  </si>
  <si>
    <t>UB60</t>
  </si>
  <si>
    <t>PTN353</t>
  </si>
  <si>
    <t>Antalya</t>
  </si>
  <si>
    <t>BR677</t>
  </si>
  <si>
    <t>PTN401</t>
  </si>
  <si>
    <t>Term Life</t>
  </si>
  <si>
    <t>BANCASSURANCE</t>
  </si>
  <si>
    <t>UB47</t>
  </si>
  <si>
    <t>PTN356</t>
  </si>
  <si>
    <t>Eskişehir</t>
  </si>
  <si>
    <t>Denizli</t>
  </si>
  <si>
    <t>PTN740</t>
  </si>
  <si>
    <t>Erzurum</t>
  </si>
  <si>
    <t>Diyarbakır</t>
  </si>
  <si>
    <t>Adana</t>
  </si>
  <si>
    <t>55-64</t>
  </si>
  <si>
    <t>Konya</t>
  </si>
  <si>
    <t>PTN205</t>
  </si>
  <si>
    <t>Kocaeli</t>
  </si>
  <si>
    <t>Kayseri</t>
  </si>
  <si>
    <t>SB873</t>
  </si>
  <si>
    <t>45-54</t>
  </si>
  <si>
    <t>Gaziantep</t>
  </si>
  <si>
    <t>&lt;25</t>
  </si>
  <si>
    <t>İzmir</t>
  </si>
  <si>
    <t>Malatya</t>
  </si>
  <si>
    <t>Samsun</t>
  </si>
  <si>
    <t>Mersin</t>
  </si>
  <si>
    <t>PTN315</t>
  </si>
  <si>
    <t>Ankara</t>
  </si>
  <si>
    <t>PTN738</t>
  </si>
  <si>
    <t>Van</t>
  </si>
  <si>
    <t>PTN385</t>
  </si>
  <si>
    <t>Auto-enrollment</t>
  </si>
  <si>
    <t>SB614</t>
  </si>
  <si>
    <t>BR315</t>
  </si>
  <si>
    <t>Individual Pension</t>
  </si>
  <si>
    <t>UB45</t>
  </si>
  <si>
    <t>Corporate</t>
  </si>
  <si>
    <t>SB957</t>
  </si>
  <si>
    <t>BR459</t>
  </si>
  <si>
    <t>Group Pension</t>
  </si>
  <si>
    <t>UB99</t>
  </si>
  <si>
    <t>Standard</t>
  </si>
  <si>
    <t>SB117</t>
  </si>
  <si>
    <t>Building</t>
  </si>
  <si>
    <t>SB882</t>
  </si>
  <si>
    <t>BR214</t>
  </si>
  <si>
    <t>Fire and Natural Perils</t>
  </si>
  <si>
    <t>UB34</t>
  </si>
  <si>
    <t>EAR</t>
  </si>
  <si>
    <t>SB853</t>
  </si>
  <si>
    <t>BR289</t>
  </si>
  <si>
    <t>Engineering</t>
  </si>
  <si>
    <t>UB19</t>
  </si>
  <si>
    <t>Machinery Breakdown</t>
  </si>
  <si>
    <t>SB260</t>
  </si>
  <si>
    <t>Inpatient</t>
  </si>
  <si>
    <t>SB578</t>
  </si>
  <si>
    <t>BR929</t>
  </si>
  <si>
    <t>Health</t>
  </si>
  <si>
    <t>UB29</t>
  </si>
  <si>
    <t>Domestic</t>
  </si>
  <si>
    <t>SB525</t>
  </si>
  <si>
    <t>BR590</t>
  </si>
  <si>
    <t>Marine Cargo</t>
  </si>
  <si>
    <t>UB50</t>
  </si>
  <si>
    <t>Contents</t>
  </si>
  <si>
    <t>SB345</t>
  </si>
  <si>
    <t>Property Damage</t>
  </si>
  <si>
    <t>SB638</t>
  </si>
  <si>
    <t>BR763</t>
  </si>
  <si>
    <t>MTPL</t>
  </si>
  <si>
    <t>UB43</t>
  </si>
  <si>
    <t>Import</t>
  </si>
  <si>
    <t>SB711</t>
  </si>
  <si>
    <t>BR278</t>
  </si>
  <si>
    <t>Personal Accident</t>
  </si>
  <si>
    <t>UB98</t>
  </si>
  <si>
    <t>Outpatient</t>
  </si>
  <si>
    <t>SB650</t>
  </si>
  <si>
    <t>Bodily Injury</t>
  </si>
  <si>
    <t>SB448</t>
  </si>
  <si>
    <t>Collision</t>
  </si>
  <si>
    <t>SB177</t>
  </si>
  <si>
    <t>BR883</t>
  </si>
  <si>
    <t>Own Damage</t>
  </si>
  <si>
    <t>UB73</t>
  </si>
  <si>
    <t>Theft</t>
  </si>
  <si>
    <t>SB605</t>
  </si>
  <si>
    <t>Employer</t>
  </si>
  <si>
    <t>SB736</t>
  </si>
  <si>
    <t>BR611</t>
  </si>
  <si>
    <t>General Liability</t>
  </si>
  <si>
    <t>UB71</t>
  </si>
  <si>
    <t>Export</t>
  </si>
  <si>
    <t>SB982</t>
  </si>
  <si>
    <t>Professional</t>
  </si>
  <si>
    <t>SB878</t>
  </si>
  <si>
    <t>Product</t>
  </si>
  <si>
    <t>SB305</t>
  </si>
  <si>
    <t>Glass</t>
  </si>
  <si>
    <t>SB487</t>
  </si>
  <si>
    <t>CAR</t>
  </si>
  <si>
    <t>SB651</t>
  </si>
  <si>
    <t>2024-10</t>
  </si>
  <si>
    <t>2024-11</t>
  </si>
  <si>
    <t>2024-12</t>
  </si>
  <si>
    <t>s:All payment lines respect loss &lt;= notification &lt;= decision &lt;= payment.</t>
  </si>
  <si>
    <t>s:No business key occurs twice (installments sharing a CaseNo are not duplicates).</t>
  </si>
  <si>
    <t>2025-01</t>
  </si>
  <si>
    <t>2025-02</t>
  </si>
  <si>
    <t>2025-03</t>
  </si>
  <si>
    <t>2025-04</t>
  </si>
  <si>
    <t>2025-05</t>
  </si>
  <si>
    <t>2025-06</t>
  </si>
  <si>
    <t>2025-07</t>
  </si>
  <si>
    <t>2025-08</t>
  </si>
  <si>
    <t>2025-09</t>
  </si>
  <si>
    <t>2025-10</t>
  </si>
  <si>
    <t>2025-11</t>
  </si>
  <si>
    <t>2025-12</t>
  </si>
  <si>
    <t>2026-01</t>
  </si>
  <si>
    <t>2026-02</t>
  </si>
  <si>
    <t>2026-03</t>
  </si>
  <si>
    <t>2026-04</t>
  </si>
  <si>
    <t>2026-05</t>
  </si>
  <si>
    <t>2026-06</t>
  </si>
  <si>
    <t>2026-07</t>
  </si>
  <si>
    <t>2026-08</t>
  </si>
  <si>
    <t>s:ColumnMap passes all consistency rules.</t>
  </si>
  <si>
    <t>AN_MSG_SEGMENT</t>
  </si>
  <si>
    <t>Tutar göstergeleri için tam olarak bir segment seçin</t>
  </si>
  <si>
    <t>Select exactly one segment</t>
  </si>
  <si>
    <t>AN_MSG_CURRENCY</t>
  </si>
  <si>
    <t>Orijinal para birimi tutarları için tek bir para birimi seçin (TL karşılıkları etkilenmez)</t>
  </si>
  <si>
    <t>Select one currency for original-currency amounts (TRY figures are not affected)</t>
  </si>
  <si>
    <t>RD_TITLE</t>
  </si>
  <si>
    <t>Referans verileri ve bantlar</t>
  </si>
  <si>
    <t>Reference data and bands</t>
  </si>
  <si>
    <t>RD_NOTE</t>
  </si>
  <si>
    <t>Yönetici tarafından bakımı yapılan eşleme ve bant tabloları; her değişiklik ActivityLog'a yazılır. Eşlenmemiş satırlar için Data Model ölçülerine bakın.</t>
  </si>
  <si>
    <t>Mapping and band tables maintained by the Administrator; every change is written to the ActivityLog. Unmapped lines are measured in the Data Model.</t>
  </si>
  <si>
    <t>RD_COVERAGE</t>
  </si>
  <si>
    <t>Kapsama: eşlenmemiş ödeme satırları Data Model'deki 'Unmapped Lines ...' ölçüleriyle izlenir (0 olmalı)</t>
  </si>
  <si>
    <t>Coverage: unmapped payment lines are tracked by the 'Unmapped Lines ...' measures in the Data Model (must be 0)</t>
  </si>
  <si>
    <t>RD_FIX</t>
  </si>
  <si>
    <t>Eksik kodu ilgili tabloya ekleyin (Yönetici); sonra Yenile.</t>
  </si>
  <si>
    <t>Add the missing code to the table below (Administrator), then Refresh.</t>
  </si>
  <si>
    <t>KC_TITLE</t>
  </si>
  <si>
    <t>KPI kataloğu</t>
  </si>
  <si>
    <t>KPI catalog</t>
  </si>
  <si>
    <t>KC_NOTE</t>
  </si>
  <si>
    <t>Her göstergenin tanımı, kullandığı alanlar, geçerli olduğu segmentler ve veri bağımlılığı. DAX alanı ölçü yazıldıkça doldurulur. Ödenen veriyle desteklenmeyen göstergeler 'NOT AVAILABLE' olarak işaretlidir.</t>
  </si>
  <si>
    <t>Definition, fields, segment applicability and data dependency of every indicator. The measure column is filled as measures are built. Indicators that paid data cannot support are marked NOT AVAILABLE.</t>
  </si>
  <si>
    <t>TH_TITLE</t>
  </si>
  <si>
    <t>Eşik kaydı</t>
  </si>
  <si>
    <t>Threshold register</t>
  </si>
  <si>
    <t>TH_NOTE</t>
  </si>
  <si>
    <t>Durumlar: OK / WATCH / ALERT / INSUFFICIENT DATA (yetersiz veri). DRAFT satırlar onaylı değildir; son veri doğrulamasında ayarlanır. Her eşik için gerekçe, sahip ve onay yazılır.</t>
  </si>
  <si>
    <t>Statuses: OK / WATCH / ALERT / INSUFFICIENT DATA. DRAFT rows are not approved and are tuned on the final validation data. Every threshold carries a rationale, an owner and an approval.</t>
  </si>
  <si>
    <t>Segments (Life, Pension, Non-life; colours are colour-blind safe)</t>
  </si>
  <si>
    <t>Segment</t>
  </si>
  <si>
    <t>SegmentTR</t>
  </si>
  <si>
    <t>SegmentEN</t>
  </si>
  <si>
    <t>SortOrder</t>
  </si>
  <si>
    <t>ColourHex</t>
  </si>
  <si>
    <t>Hayat</t>
  </si>
  <si>
    <t>#0072B2</t>
  </si>
  <si>
    <t>Emeklilik</t>
  </si>
  <si>
    <t>#CC79A7</t>
  </si>
  <si>
    <t>#E69F00</t>
  </si>
  <si>
    <t>Payment nature: reason code (LossCause) to nature</t>
  </si>
  <si>
    <t>ReasonCode</t>
  </si>
  <si>
    <t>PaymentNature</t>
  </si>
  <si>
    <t>NatureTR</t>
  </si>
  <si>
    <t>NatureEN</t>
  </si>
  <si>
    <t>DescriptionTR</t>
  </si>
  <si>
    <t>DescriptionEN</t>
  </si>
  <si>
    <t>CLAIM</t>
  </si>
  <si>
    <t>Hasar tazminatı</t>
  </si>
  <si>
    <t>Claim indemnity</t>
  </si>
  <si>
    <t>Trafik - Bedeni Zarar</t>
  </si>
  <si>
    <t>Motor TPL - bodily injury</t>
  </si>
  <si>
    <t>Trafik - Maddi Hasar</t>
  </si>
  <si>
    <t>Motor TPL - property damage</t>
  </si>
  <si>
    <t>Kasko - Çarpma</t>
  </si>
  <si>
    <t>Own damage - collision</t>
  </si>
  <si>
    <t>Kasko - Hırsızlık</t>
  </si>
  <si>
    <t>Own damage - theft</t>
  </si>
  <si>
    <t>Kasko - Cam Kırılması</t>
  </si>
  <si>
    <t>Own damage - glass breakage</t>
  </si>
  <si>
    <t>Yangın - Bina</t>
  </si>
  <si>
    <t>Fire - building</t>
  </si>
  <si>
    <t>Yangın - Eşya</t>
  </si>
  <si>
    <t>Fire - contents</t>
  </si>
  <si>
    <t>Nakliyat - Emtea</t>
  </si>
  <si>
    <t>Marine - cargo</t>
  </si>
  <si>
    <t>Sağlık - Yatarak Tedavi</t>
  </si>
  <si>
    <t>Health - inpatient</t>
  </si>
  <si>
    <t>Sağlık - Ayakta Tedavi</t>
  </si>
  <si>
    <t>Health - outpatient</t>
  </si>
  <si>
    <t>Ferdi Kaza</t>
  </si>
  <si>
    <t>Personal accident</t>
  </si>
  <si>
    <t>Mühendislik - İnşaat</t>
  </si>
  <si>
    <t>Engineering - contractors all risk</t>
  </si>
  <si>
    <t>Sorumluluk - Genel</t>
  </si>
  <si>
    <t>Liability - general</t>
  </si>
  <si>
    <t>Vefat ödemesi</t>
  </si>
  <si>
    <t>Death benefit</t>
  </si>
  <si>
    <t>Hayat - Vefat</t>
  </si>
  <si>
    <t>Life - death benefit</t>
  </si>
  <si>
    <t>Vade sonu ödemesi</t>
  </si>
  <si>
    <t>Maturity</t>
  </si>
  <si>
    <t>Hayat - Vade Sonu</t>
  </si>
  <si>
    <t>Life - maturity</t>
  </si>
  <si>
    <t>Teslim / iptal ödemesi</t>
  </si>
  <si>
    <t>Surrender</t>
  </si>
  <si>
    <t>Hayat - İptal/İbra</t>
  </si>
  <si>
    <t>Life - surrender</t>
  </si>
  <si>
    <t>ANNUITY</t>
  </si>
  <si>
    <t>Yıllık gelir</t>
  </si>
  <si>
    <t>Annuity</t>
  </si>
  <si>
    <t>Hayat - Yıllık Gelir</t>
  </si>
  <si>
    <t>Life - annuity</t>
  </si>
  <si>
    <t>Hayat - Maluliyet</t>
  </si>
  <si>
    <t>Life - disability</t>
  </si>
  <si>
    <t>Hayat - Kritik Hastalık</t>
  </si>
  <si>
    <t>Life - critical illness</t>
  </si>
  <si>
    <t>RETIREMENT_BENEFIT</t>
  </si>
  <si>
    <t>Emeklilik ödemesi</t>
  </si>
  <si>
    <t>Retirement benefit</t>
  </si>
  <si>
    <t>Emeklilik - Emekli Olma</t>
  </si>
  <si>
    <t>Pension - retirement</t>
  </si>
  <si>
    <t>PARTIAL_WITHDRAWAL</t>
  </si>
  <si>
    <t>Kısmi çekim</t>
  </si>
  <si>
    <t>Partial withdrawal</t>
  </si>
  <si>
    <t>Emeklilik - Kısmi Ödeme</t>
  </si>
  <si>
    <t>Pension - partial withdrawal</t>
  </si>
  <si>
    <t>EXIT</t>
  </si>
  <si>
    <t>Sistemden çıkış</t>
  </si>
  <si>
    <t>Exit</t>
  </si>
  <si>
    <t>Emeklilik - Sistemden Çıkış</t>
  </si>
  <si>
    <t>Pension - system exit</t>
  </si>
  <si>
    <t>TRANSFER_OUT</t>
  </si>
  <si>
    <t>Çıkan transfer</t>
  </si>
  <si>
    <t>Transfer out</t>
  </si>
  <si>
    <t>Emeklilik - Şirket Değişikliği</t>
  </si>
  <si>
    <t>Pension - transfer out</t>
  </si>
  <si>
    <t>Emeklilik - Vefat</t>
  </si>
  <si>
    <t>Pension - death benefit</t>
  </si>
  <si>
    <t>REFUND</t>
  </si>
  <si>
    <t>İade</t>
  </si>
  <si>
    <t>Refund</t>
  </si>
  <si>
    <t>İade - Fazla Ödeme</t>
  </si>
  <si>
    <t>Refund - overpayment</t>
  </si>
  <si>
    <t>OTHER</t>
  </si>
  <si>
    <t>Diğer</t>
  </si>
  <si>
    <t>Other</t>
  </si>
  <si>
    <t>Diğer - Ex Gratia</t>
  </si>
  <si>
    <t>Other - ex gratia</t>
  </si>
  <si>
    <t>Branch hierarchy: parent branch &gt; branch &gt; sub-branch; BranchKey = ParentBranchCode|BranchCode|SubBranchCode</t>
  </si>
  <si>
    <t>BranchName</t>
  </si>
  <si>
    <t>BranchGroup</t>
  </si>
  <si>
    <t>BranchKey</t>
  </si>
  <si>
    <t>Accident</t>
  </si>
  <si>
    <t>Fire</t>
  </si>
  <si>
    <t>Liability</t>
  </si>
  <si>
    <t>Marine</t>
  </si>
  <si>
    <t>Motor</t>
  </si>
  <si>
    <t>Products</t>
  </si>
  <si>
    <t>ACCIDENT |</t>
  </si>
  <si>
    <t>AUTO_ENROLLMENT |</t>
  </si>
  <si>
    <t>CREDIT_LIFE |</t>
  </si>
  <si>
    <t>ENDOWMENT |</t>
  </si>
  <si>
    <t>ENGINEERING |</t>
  </si>
  <si>
    <t>FIRE |</t>
  </si>
  <si>
    <t>GROUP_LIFE |</t>
  </si>
  <si>
    <t>GROUP_PENSION |</t>
  </si>
  <si>
    <t>HEALTH |</t>
  </si>
  <si>
    <t>INDIVIDUAL_PENSION |</t>
  </si>
  <si>
    <t>LIABILITY |</t>
  </si>
  <si>
    <t>MARINE |</t>
  </si>
  <si>
    <t>MOTOR_OD |</t>
  </si>
  <si>
    <t>MOTOR_TPL |</t>
  </si>
  <si>
    <t>TERM_LIFE |</t>
  </si>
  <si>
    <t>UNIT_LINKED |</t>
  </si>
  <si>
    <t>WHOLE_LIFE |</t>
  </si>
  <si>
    <t>Sales channels</t>
  </si>
  <si>
    <t>ChannelTR</t>
  </si>
  <si>
    <t>ChannelEN</t>
  </si>
  <si>
    <t>ChannelGroup</t>
  </si>
  <si>
    <t>Acente</t>
  </si>
  <si>
    <t>Agency</t>
  </si>
  <si>
    <t>Intermediated</t>
  </si>
  <si>
    <t>Broker</t>
  </si>
  <si>
    <t>Bankasürans</t>
  </si>
  <si>
    <t>Partner</t>
  </si>
  <si>
    <t>Doğrudan</t>
  </si>
  <si>
    <t>Direct</t>
  </si>
  <si>
    <t>Dijital</t>
  </si>
  <si>
    <t>Digital</t>
  </si>
  <si>
    <t>Partners</t>
  </si>
  <si>
    <t>PartnerType</t>
  </si>
  <si>
    <t>Demo Partner Banka 2</t>
  </si>
  <si>
    <t>Bank</t>
  </si>
  <si>
    <t>Demo Partner Banka 1</t>
  </si>
  <si>
    <t>Demo Acente 4</t>
  </si>
  <si>
    <t>Demo Partner Banka 3</t>
  </si>
  <si>
    <t>Demo Partner Banka 5</t>
  </si>
  <si>
    <t>Demo Acente 5</t>
  </si>
  <si>
    <t>Demo Acente 7</t>
  </si>
  <si>
    <t>Demo Acente 3</t>
  </si>
  <si>
    <t>Demo Partner Banka 4</t>
  </si>
  <si>
    <t>Demo Acente 1</t>
  </si>
  <si>
    <t>Demo Acente 6</t>
  </si>
  <si>
    <t>Demo Acente 2</t>
  </si>
  <si>
    <t>Provinces with plate code and region</t>
  </si>
  <si>
    <t>Province</t>
  </si>
  <si>
    <t>PlateCode</t>
  </si>
  <si>
    <t>Region</t>
  </si>
  <si>
    <t>Akdeniz</t>
  </si>
  <si>
    <t>Adıyaman</t>
  </si>
  <si>
    <t>Güneydoğu Anadolu</t>
  </si>
  <si>
    <t>Afyonkarahisar</t>
  </si>
  <si>
    <t>Ege</t>
  </si>
  <si>
    <t>Ağrı</t>
  </si>
  <si>
    <t>Doğu Anadolu</t>
  </si>
  <si>
    <t>Amasya</t>
  </si>
  <si>
    <t>Karadeniz</t>
  </si>
  <si>
    <t>İç Anadolu</t>
  </si>
  <si>
    <t>Artvin</t>
  </si>
  <si>
    <t>Aydın</t>
  </si>
  <si>
    <t>Balıkesir</t>
  </si>
  <si>
    <t>Marmara</t>
  </si>
  <si>
    <t>Bilecik</t>
  </si>
  <si>
    <t>Bingöl</t>
  </si>
  <si>
    <t>Bitlis</t>
  </si>
  <si>
    <t>Bolu</t>
  </si>
  <si>
    <t>Burdur</t>
  </si>
  <si>
    <t>Çanakkale</t>
  </si>
  <si>
    <t>Çankırı</t>
  </si>
  <si>
    <t>Çorum</t>
  </si>
  <si>
    <t>Edirne</t>
  </si>
  <si>
    <t>Elazığ</t>
  </si>
  <si>
    <t>Erzincan</t>
  </si>
  <si>
    <t>Giresun</t>
  </si>
  <si>
    <t>Gümüşhane</t>
  </si>
  <si>
    <t>Hakkâri</t>
  </si>
  <si>
    <t>Hatay</t>
  </si>
  <si>
    <t>Isparta</t>
  </si>
  <si>
    <t>Kars</t>
  </si>
  <si>
    <t>Kastamonu</t>
  </si>
  <si>
    <t>Kırklareli</t>
  </si>
  <si>
    <t>Kırşehir</t>
  </si>
  <si>
    <t>Kütahya</t>
  </si>
  <si>
    <t>Manisa</t>
  </si>
  <si>
    <t>Kahramanmaraş</t>
  </si>
  <si>
    <t>Mardin</t>
  </si>
  <si>
    <t>Muğla</t>
  </si>
  <si>
    <t>Muş</t>
  </si>
  <si>
    <t>Nevşehir</t>
  </si>
  <si>
    <t>Niğde</t>
  </si>
  <si>
    <t>Ordu</t>
  </si>
  <si>
    <t>Rize</t>
  </si>
  <si>
    <t>Sakarya</t>
  </si>
  <si>
    <t>Siirt</t>
  </si>
  <si>
    <t>Sinop</t>
  </si>
  <si>
    <t>Sivas</t>
  </si>
  <si>
    <t>Tekirdağ</t>
  </si>
  <si>
    <t>Tokat</t>
  </si>
  <si>
    <t>Tunceli</t>
  </si>
  <si>
    <t>Uşak</t>
  </si>
  <si>
    <t>Yozgat</t>
  </si>
  <si>
    <t>Zonguldak</t>
  </si>
  <si>
    <t>Aksaray</t>
  </si>
  <si>
    <t>Bayburt</t>
  </si>
  <si>
    <t>Karaman</t>
  </si>
  <si>
    <t>Kırıkkale</t>
  </si>
  <si>
    <t>Batman</t>
  </si>
  <si>
    <t>Şırnak</t>
  </si>
  <si>
    <t>Bartın</t>
  </si>
  <si>
    <t>Ardahan</t>
  </si>
  <si>
    <t>Iğdır</t>
  </si>
  <si>
    <t>Yalova</t>
  </si>
  <si>
    <t>Karabük</t>
  </si>
  <si>
    <t>Kilis</t>
  </si>
  <si>
    <t>Osmaniye</t>
  </si>
  <si>
    <t>Düzce</t>
  </si>
  <si>
    <t>Currencies</t>
  </si>
  <si>
    <t>CurrencyTR</t>
  </si>
  <si>
    <t>CurrencyEN</t>
  </si>
  <si>
    <t>IsReporting</t>
  </si>
  <si>
    <t>Türk lirası</t>
  </si>
  <si>
    <t>Turkish lira</t>
  </si>
  <si>
    <t>ABD doları</t>
  </si>
  <si>
    <t>US dollar</t>
  </si>
  <si>
    <t>İngiliz sterlini</t>
  </si>
  <si>
    <t>Pound sterling</t>
  </si>
  <si>
    <t>İsviçre frangı</t>
  </si>
  <si>
    <t>Swiss franc</t>
  </si>
  <si>
    <t>Age bands (the edges are fixed by the ageband DataType of the model)</t>
  </si>
  <si>
    <t>AgeBand</t>
  </si>
  <si>
    <t>FromAge</t>
  </si>
  <si>
    <t>ToAge</t>
  </si>
  <si>
    <t>Lag bands in days (disconnected)</t>
  </si>
  <si>
    <t>LagBand</t>
  </si>
  <si>
    <t>FromDays</t>
  </si>
  <si>
    <t>ToDays</t>
  </si>
  <si>
    <t>0-7 days</t>
  </si>
  <si>
    <t>8-14 days</t>
  </si>
  <si>
    <t>15-30 days</t>
  </si>
  <si>
    <t>31-60 days</t>
  </si>
  <si>
    <t>61-90 days</t>
  </si>
  <si>
    <t>91-180 days</t>
  </si>
  <si>
    <t>181-365 days</t>
  </si>
  <si>
    <t>over 365 days</t>
  </si>
  <si>
    <t>n/a (missing or negative)</t>
  </si>
  <si>
    <t>Amount bands in TRY (disconnected)</t>
  </si>
  <si>
    <t>AmountBand</t>
  </si>
  <si>
    <t>FromTRY</t>
  </si>
  <si>
    <t>ToTRY</t>
  </si>
  <si>
    <t>&lt; 1,000</t>
  </si>
  <si>
    <t>1,000 - 4,999</t>
  </si>
  <si>
    <t>5,000 - 9,999</t>
  </si>
  <si>
    <t>10,000 - 49,999</t>
  </si>
  <si>
    <t>50,000 - 99,999</t>
  </si>
  <si>
    <t>100,000 - 499,999</t>
  </si>
  <si>
    <t>500,000 - 999,999</t>
  </si>
  <si>
    <t>1,000,000 - 4,999,999</t>
  </si>
  <si>
    <t>5,000,000 and above</t>
  </si>
  <si>
    <t>negative or zero (reversal / nil)</t>
  </si>
  <si>
    <t>Development months 0-60 (disconnected)</t>
  </si>
  <si>
    <t>DevMonth</t>
  </si>
  <si>
    <t>DevLabel</t>
  </si>
  <si>
    <t>DM00</t>
  </si>
  <si>
    <t>DM01</t>
  </si>
  <si>
    <t>DM02</t>
  </si>
  <si>
    <t>DM03</t>
  </si>
  <si>
    <t>DM04</t>
  </si>
  <si>
    <t>DM05</t>
  </si>
  <si>
    <t>DM06</t>
  </si>
  <si>
    <t>DM07</t>
  </si>
  <si>
    <t>DM08</t>
  </si>
  <si>
    <t>DM09</t>
  </si>
  <si>
    <t>DM10</t>
  </si>
  <si>
    <t>DM11</t>
  </si>
  <si>
    <t>DM12</t>
  </si>
  <si>
    <t>DM13</t>
  </si>
  <si>
    <t>DM14</t>
  </si>
  <si>
    <t>DM15</t>
  </si>
  <si>
    <t>DM16</t>
  </si>
  <si>
    <t>DM17</t>
  </si>
  <si>
    <t>DM18</t>
  </si>
  <si>
    <t>DM19</t>
  </si>
  <si>
    <t>DM20</t>
  </si>
  <si>
    <t>DM21</t>
  </si>
  <si>
    <t>DM22</t>
  </si>
  <si>
    <t>DM23</t>
  </si>
  <si>
    <t>DM24</t>
  </si>
  <si>
    <t>DM25</t>
  </si>
  <si>
    <t>DM26</t>
  </si>
  <si>
    <t>DM27</t>
  </si>
  <si>
    <t>DM28</t>
  </si>
  <si>
    <t>DM29</t>
  </si>
  <si>
    <t>DM30</t>
  </si>
  <si>
    <t>DM31</t>
  </si>
  <si>
    <t>DM32</t>
  </si>
  <si>
    <t>DM33</t>
  </si>
  <si>
    <t>DM34</t>
  </si>
  <si>
    <t>DM35</t>
  </si>
  <si>
    <t>DM36</t>
  </si>
  <si>
    <t>DM37</t>
  </si>
  <si>
    <t>DM38</t>
  </si>
  <si>
    <t>DM39</t>
  </si>
  <si>
    <t>DM40</t>
  </si>
  <si>
    <t>DM41</t>
  </si>
  <si>
    <t>DM42</t>
  </si>
  <si>
    <t>DM43</t>
  </si>
  <si>
    <t>DM44</t>
  </si>
  <si>
    <t>DM45</t>
  </si>
  <si>
    <t>DM46</t>
  </si>
  <si>
    <t>DM47</t>
  </si>
  <si>
    <t>DM48</t>
  </si>
  <si>
    <t>DM49</t>
  </si>
  <si>
    <t>DM50</t>
  </si>
  <si>
    <t>DM51</t>
  </si>
  <si>
    <t>DM52</t>
  </si>
  <si>
    <t>DM53</t>
  </si>
  <si>
    <t>DM54</t>
  </si>
  <si>
    <t>DM55</t>
  </si>
  <si>
    <t>DM56</t>
  </si>
  <si>
    <t>DM57</t>
  </si>
  <si>
    <t>DM58</t>
  </si>
  <si>
    <t>DM59</t>
  </si>
  <si>
    <t>DM60</t>
  </si>
  <si>
    <t>Policy-age bands in months (disconnected)</t>
  </si>
  <si>
    <t>PolicyAgeBand</t>
  </si>
  <si>
    <t>FromMonths</t>
  </si>
  <si>
    <t>ToMonths</t>
  </si>
  <si>
    <t>0-3 months</t>
  </si>
  <si>
    <t>4-6 months</t>
  </si>
  <si>
    <t>7-12 months</t>
  </si>
  <si>
    <t>13-24 months</t>
  </si>
  <si>
    <t>25-60 months</t>
  </si>
  <si>
    <t>over 60 months</t>
  </si>
  <si>
    <t>before policy start (check)</t>
  </si>
  <si>
    <t>Analytics parameters (read by measures with LOOKUPVALUE)</t>
  </si>
  <si>
    <t>Param</t>
  </si>
  <si>
    <t>Unit</t>
  </si>
  <si>
    <t>TopN</t>
  </si>
  <si>
    <t>count</t>
  </si>
  <si>
    <t>Rows shown in top-N lists and the top-N concentration share</t>
  </si>
  <si>
    <t>Analytics</t>
  </si>
  <si>
    <t>ContestabilityMonths</t>
  </si>
  <si>
    <t>months</t>
  </si>
  <si>
    <t>Policy age at loss below which a life claim is 'early' (contestability window; confirm per product)</t>
  </si>
  <si>
    <t>Actuarial</t>
  </si>
  <si>
    <t>days</t>
  </si>
  <si>
    <t>Operations</t>
  </si>
  <si>
    <t>MinLinesForQuantile</t>
  </si>
  <si>
    <t>lines</t>
  </si>
  <si>
    <t>Minimum lines for a quantile or ratio to be shown; below it INSUFFICIENT DATA</t>
  </si>
  <si>
    <t>MinMonthsForTrend</t>
  </si>
  <si>
    <t>Minimum months of history for YoY, seasonal index and statistical thresholds</t>
  </si>
  <si>
    <t>MinMonthsForForecast</t>
  </si>
  <si>
    <t>Minimum months for FORECAST.ETS (seasonal)</t>
  </si>
  <si>
    <t>RollingShortMonths</t>
  </si>
  <si>
    <t>Short rolling window</t>
  </si>
  <si>
    <t>RollingLongMonths</t>
  </si>
  <si>
    <t>Long rolling window</t>
  </si>
  <si>
    <t>RobustZConstant</t>
  </si>
  <si>
    <t>factor</t>
  </si>
  <si>
    <t>Constant of the robust z-score: 0.6745 x (x - median) / MAD</t>
  </si>
  <si>
    <t>LargeLossTRY</t>
  </si>
  <si>
    <t>Large-loss threshold used by the severity pages (equals OutlierThresholdTRY unless changed)</t>
  </si>
  <si>
    <t>ThresholdID</t>
  </si>
  <si>
    <t>KPI_ID</t>
  </si>
  <si>
    <t>Method</t>
  </si>
  <si>
    <t>WatchLevel</t>
  </si>
  <si>
    <t>AlertLevel</t>
  </si>
  <si>
    <t>MinMonths</t>
  </si>
  <si>
    <t>MinN</t>
  </si>
  <si>
    <t>Persistence</t>
  </si>
  <si>
    <t>ApprovedBy</t>
  </si>
  <si>
    <t>ApprovedOn</t>
  </si>
  <si>
    <t>TH01</t>
  </si>
  <si>
    <t>TI01</t>
  </si>
  <si>
    <t>WATCH: 2 consecutive periods; ALERT: 1</t>
  </si>
  <si>
    <t>DRAFT</t>
  </si>
  <si>
    <t>TH02</t>
  </si>
  <si>
    <t>AV01</t>
  </si>
  <si>
    <t>TH03</t>
  </si>
  <si>
    <t>AV03</t>
  </si>
  <si>
    <t>STAT_PCT</t>
  </si>
  <si>
    <t>P95</t>
  </si>
  <si>
    <t>WATCH: 2 consecutive periods</t>
  </si>
  <si>
    <t>TH04</t>
  </si>
  <si>
    <t>LG06</t>
  </si>
  <si>
    <t>P90</t>
  </si>
  <si>
    <t>P97.5</t>
  </si>
  <si>
    <t>Lag deterioration is a persistent shift, hence the persistence rule</t>
  </si>
  <si>
    <t>TH05</t>
  </si>
  <si>
    <t>LG07</t>
  </si>
  <si>
    <t>FIXED</t>
  </si>
  <si>
    <t>metric=breach share</t>
  </si>
  <si>
    <t>Policy value: owner to confirm with operations (placeholder 20% / 35%)</t>
  </si>
  <si>
    <t>TH06</t>
  </si>
  <si>
    <t>SH01</t>
  </si>
  <si>
    <t>PEER</t>
  </si>
  <si>
    <t>metric=index vs same-segment peer median</t>
  </si>
  <si>
    <t>Peers only within the segment; never across segments</t>
  </si>
  <si>
    <t>TH07</t>
  </si>
  <si>
    <t>CN01</t>
  </si>
  <si>
    <t>metric=HHI of partner share</t>
  </si>
  <si>
    <t>WATCH: 1 period</t>
  </si>
  <si>
    <t>Common concentration reading (2,500 = highly concentrated); owner to confirm</t>
  </si>
  <si>
    <t>TH08</t>
  </si>
  <si>
    <t>AM02</t>
  </si>
  <si>
    <t>CONTROL</t>
  </si>
  <si>
    <t>TH09</t>
  </si>
  <si>
    <t>AM03</t>
  </si>
  <si>
    <t>TH10</t>
  </si>
  <si>
    <t>AM04</t>
  </si>
  <si>
    <t>TH11</t>
  </si>
  <si>
    <t>AM06</t>
  </si>
  <si>
    <t>Family</t>
  </si>
  <si>
    <t>Name_TR</t>
  </si>
  <si>
    <t>Name_EN</t>
  </si>
  <si>
    <t>Definition</t>
  </si>
  <si>
    <t>FieldsUsed</t>
  </si>
  <si>
    <t>Segments</t>
  </si>
  <si>
    <t>ThresholdLink</t>
  </si>
  <si>
    <t>HowToRead</t>
  </si>
  <si>
    <t>TypicalAction</t>
  </si>
  <si>
    <t>Caveats</t>
  </si>
  <si>
    <t>FeedDependency</t>
  </si>
  <si>
    <t>PD01</t>
  </si>
  <si>
    <t>Paid</t>
  </si>
  <si>
    <t>Ödenen tutar (TL)</t>
  </si>
  <si>
    <t>Paid amount (TRY)</t>
  </si>
  <si>
    <t>Ödeme günündeki TCMB kuruyla TL'ye çevrilmiş brüt ödemelerin toplamı / Sum of gross payments converted to TRY at the CBRT rate of the payment date</t>
  </si>
  <si>
    <t>Paid TRY</t>
  </si>
  <si>
    <t>Life;Pension;Non-life</t>
  </si>
  <si>
    <t>Guarded: BLANK unless exactly one segment is in context</t>
  </si>
  <si>
    <t>paid payments</t>
  </si>
  <si>
    <t>3.2.0-draft</t>
  </si>
  <si>
    <t>BUILT</t>
  </si>
  <si>
    <t>PD02</t>
  </si>
  <si>
    <t>Ödenen tutar (orijinal para birimi)</t>
  </si>
  <si>
    <t>Paid amount (original currency)</t>
  </si>
  <si>
    <t>Brüt ödemelerin kendi para biriminde toplamı; farklı para birimleri toplanmaz / Sum of gross payments in their own currency; currencies are never added</t>
  </si>
  <si>
    <t>Paid Original</t>
  </si>
  <si>
    <t>GrossAmount; CurrencyCode</t>
  </si>
  <si>
    <t>original currency</t>
  </si>
  <si>
    <t>Guarded: BLANK unless exactly one segment and one currency are in context</t>
  </si>
  <si>
    <t>PD03</t>
  </si>
  <si>
    <t>Net ödenen tutar (TL)</t>
  </si>
  <si>
    <t>Net paid amount (TRY)</t>
  </si>
  <si>
    <t>Muafiyet ve kesintiler düşüldükten sonra ödenen tutar, TL / Amount paid after deductible and deductions, in TRY</t>
  </si>
  <si>
    <t>PLANNED</t>
  </si>
  <si>
    <t>PD04</t>
  </si>
  <si>
    <t>Muafiyet tutarı (TL)</t>
  </si>
  <si>
    <t>Deductible amount (TRY)</t>
  </si>
  <si>
    <t>Ödeme satırlarındaki muafiyetin ödeme günü kuruyla TL karşılığı / Deductible on payment lines converted at the payment-date rate</t>
  </si>
  <si>
    <t>DeductibleAmount; RateToTRY</t>
  </si>
  <si>
    <t>Life;Non-life</t>
  </si>
  <si>
    <t>PD05</t>
  </si>
  <si>
    <t>Net / brüt oranı</t>
  </si>
  <si>
    <t>Net-to-gross ratio</t>
  </si>
  <si>
    <t>Net ödenen tutarın brüt ödenen tutara oranı / Net paid amount divided by gross paid amount</t>
  </si>
  <si>
    <t>ratio</t>
  </si>
  <si>
    <t>PD06</t>
  </si>
  <si>
    <t>Ödeme tarihine göre ödenen tutar</t>
  </si>
  <si>
    <t>Paid amount by payment date</t>
  </si>
  <si>
    <t>Raporlama dönemi yerine fiili ödeme tarihine göre brüt ödeme (nakit görünümü) / Gross payments by actual payment date instead of reporting period (cash view)</t>
  </si>
  <si>
    <t>CT01</t>
  </si>
  <si>
    <t>Counts</t>
  </si>
  <si>
    <t>Ödeme satırı sayısı</t>
  </si>
  <si>
    <t>Payment lines</t>
  </si>
  <si>
    <t>Dönemdeki ödeme satırlarının sayısı (taksitler ayrı satırdır) / Number of payment lines (instalments are separate lines)</t>
  </si>
  <si>
    <t>Operational count, not segment-guarded</t>
  </si>
  <si>
    <t>CT02</t>
  </si>
  <si>
    <t>Dosya sayısı</t>
  </si>
  <si>
    <t>Cases</t>
  </si>
  <si>
    <t>Ödeme yapılan farklı dosya sayısı (şirket|dosya no) / Distinct paid cases (company|case number)</t>
  </si>
  <si>
    <t>CT03</t>
  </si>
  <si>
    <t>Ödeme yapılan poliçe sayısı</t>
  </si>
  <si>
    <t>Policies with a payment</t>
  </si>
  <si>
    <t>Ödeme yapılan farklı poliçe sayısı / Distinct policies that received a payment</t>
  </si>
  <si>
    <t>CompanyID; PolicyNo</t>
  </si>
  <si>
    <t>CT04</t>
  </si>
  <si>
    <t>Kısmi ödenen dosya</t>
  </si>
  <si>
    <t>Partially paid cases</t>
  </si>
  <si>
    <t>Dönem itibarıyla birden fazla ödeme satırı olan dosya sayısı / Cases with two or more payment lines as of the period</t>
  </si>
  <si>
    <t>CT05</t>
  </si>
  <si>
    <t>Ters kayıt (iade) satırı</t>
  </si>
  <si>
    <t>Reversal lines</t>
  </si>
  <si>
    <t>Tutarı negatif olan satırların sayısı / Number of lines with a negative amount</t>
  </si>
  <si>
    <t>CT06</t>
  </si>
  <si>
    <t>Yeniden açılan dosya</t>
  </si>
  <si>
    <t>Reopened cases</t>
  </si>
  <si>
    <t>Daha önce kapanıp yeniden açılan dosya sayısı / Cases closed and reopened</t>
  </si>
  <si>
    <t>Not derivable from paid lines</t>
  </si>
  <si>
    <t>claim events feed (case history)</t>
  </si>
  <si>
    <t>NOT AVAILABLE</t>
  </si>
  <si>
    <t>Dosya başına ortalama ödeme</t>
  </si>
  <si>
    <t>Mean paid per case</t>
  </si>
  <si>
    <t>Dosya düzeyinde toplam ödemenin ortalaması / Mean of the total paid per case</t>
  </si>
  <si>
    <t>CaseKey; GrossAmountTRY</t>
  </si>
  <si>
    <t>30 cases</t>
  </si>
  <si>
    <t>AV02</t>
  </si>
  <si>
    <t>Dosya başına medyan ödeme</t>
  </si>
  <si>
    <t>Median paid per case</t>
  </si>
  <si>
    <t>Dosya düzeyinde toplam ödemenin medyanı / Median of the total paid per case</t>
  </si>
  <si>
    <t>Dosya başına ödeme: P75 / P90 / P95 / P99</t>
  </si>
  <si>
    <t>Paid per case: P75 / P90 / P95 / P99</t>
  </si>
  <si>
    <t>Dosya düzeyinde ödeme dağılımının yüzdelikleri (PERCENTILE.INC) / Percentiles of the per-case paid distribution (PERCENTILE.INC)</t>
  </si>
  <si>
    <t>30 cases (P99: 100 cases)</t>
  </si>
  <si>
    <t>LG01</t>
  </si>
  <si>
    <t>Lags</t>
  </si>
  <si>
    <t>Hasar - ihbar süresi</t>
  </si>
  <si>
    <t>Loss to notification</t>
  </si>
  <si>
    <t>Hasar tarihi ile ihbar tarihi arasındaki gün / Days between loss date and notification date</t>
  </si>
  <si>
    <t>LossDate; NotificationDate</t>
  </si>
  <si>
    <t>30 lines</t>
  </si>
  <si>
    <t>LG02</t>
  </si>
  <si>
    <t>İhbar - evrak tamamlanma süresi</t>
  </si>
  <si>
    <t>Notification to documents complete</t>
  </si>
  <si>
    <t>İhbar ile evrak tamamlanma arasındaki gün / Days between notification and documents complete</t>
  </si>
  <si>
    <t>LG03</t>
  </si>
  <si>
    <t>Evrak tamamlanma - karar süresi</t>
  </si>
  <si>
    <t>Documents complete to decision</t>
  </si>
  <si>
    <t>Evrak tamamlanma ile ödeme kararı arasındaki gün / Days between documents complete and the payment decision</t>
  </si>
  <si>
    <t>LG04</t>
  </si>
  <si>
    <t>Karar - ödeme süresi</t>
  </si>
  <si>
    <t>Decision to payment</t>
  </si>
  <si>
    <t>Ödeme kararı ile ödeme tarihi arasındaki gün / Days between the payment decision and the payment</t>
  </si>
  <si>
    <t>DecisionDate; PaymentDate</t>
  </si>
  <si>
    <t>LG05</t>
  </si>
  <si>
    <t>İhbar - ödeme süresi</t>
  </si>
  <si>
    <t>Notification to payment</t>
  </si>
  <si>
    <t>İhbar ile ödeme tarihi arasındaki gün (mevcut alan) / Days between notification and payment (existing field)</t>
  </si>
  <si>
    <t>Hasar - ödeme süresi (uçtan uca)</t>
  </si>
  <si>
    <t>Loss to payment (end to end)</t>
  </si>
  <si>
    <t>Hasar tarihi ile ödeme tarihi arasındaki gün / Days between loss date and payment date</t>
  </si>
  <si>
    <t>LossDate; PaymentDate</t>
  </si>
  <si>
    <t>SLA aşım oranı</t>
  </si>
  <si>
    <t>SLA breach share</t>
  </si>
  <si>
    <t>Karar - ödeme süresi parametre değerini aşan dosyaların payı / Share of cases whose decision-to-payment days exceed the parameter value</t>
  </si>
  <si>
    <t>Time</t>
  </si>
  <si>
    <t>Aylık değişim (AA)</t>
  </si>
  <si>
    <t>Month-over-month change</t>
  </si>
  <si>
    <t>Ödenen tutarın bir önceki aya göre değişimi / Change of the paid amount against the previous month</t>
  </si>
  <si>
    <t>TI02</t>
  </si>
  <si>
    <t>Yıllık değişim (YY)</t>
  </si>
  <si>
    <t>Year-over-year change</t>
  </si>
  <si>
    <t>Ödenen tutarın geçen yılın aynı dönemine göre değişimi / Change of the paid amount against the same period last year</t>
  </si>
  <si>
    <t>12 months</t>
  </si>
  <si>
    <t>TI03</t>
  </si>
  <si>
    <t>Yıl başından bugüne (YBB)</t>
  </si>
  <si>
    <t>Year to date</t>
  </si>
  <si>
    <t>Takvim yılı başından döneme kadar ödenen tutar / Paid amount from the start of the calendar year to the period</t>
  </si>
  <si>
    <t>TI04</t>
  </si>
  <si>
    <t>Kayan 3 / 12 ay toplamı</t>
  </si>
  <si>
    <t>Rolling 3 / 12 months</t>
  </si>
  <si>
    <t>Son 3 ve 12 ayın ödenen tutar toplamı / Paid amount over the last 3 and 12 months</t>
  </si>
  <si>
    <t>3 / 12 months</t>
  </si>
  <si>
    <t>TI05</t>
  </si>
  <si>
    <t>Mevsimsellik endeksi</t>
  </si>
  <si>
    <t>Seasonal index</t>
  </si>
  <si>
    <t>Aylık ödemenin ortalanmış hareketli ortalamaya oranı (ay bazında ortalama) / Monthly paid amount divided by its centred moving average, averaged by calendar month</t>
  </si>
  <si>
    <t>index</t>
  </si>
  <si>
    <t>24 months</t>
  </si>
  <si>
    <t>Mix</t>
  </si>
  <si>
    <t>Ödeme niteliği payı</t>
  </si>
  <si>
    <t>Payment nature share</t>
  </si>
  <si>
    <t>Her ödeme niteliğinin segment içindeki ödenen tutar payı / Share of each payment nature in the segment's paid amount</t>
  </si>
  <si>
    <t>LossCause; PaymentNature</t>
  </si>
  <si>
    <t>share</t>
  </si>
  <si>
    <t>SH02</t>
  </si>
  <si>
    <t>Şirket payı (segment içinde)</t>
  </si>
  <si>
    <t>Company share within segment</t>
  </si>
  <si>
    <t>Şirketin ödemesinin aynı segmentteki toplama oranı / Company paid amount divided by the same-segment total</t>
  </si>
  <si>
    <t>CompanyID; GrossAmountTRY</t>
  </si>
  <si>
    <t>Never across segments</t>
  </si>
  <si>
    <t>Concentration</t>
  </si>
  <si>
    <t>Herfindahl-Hirschman endeksi</t>
  </si>
  <si>
    <t>Herfindahl-Hirschman index (HHI)</t>
  </si>
  <si>
    <t>Payların karelerinin toplamı (0-10.000); aracı, ortak, branş yoğunlaşması / Sum of squared shares (0-10,000); partner, channel, branch concentration</t>
  </si>
  <si>
    <t>PartnerCode; SalesChannelCode; BranchKey</t>
  </si>
  <si>
    <t>CN02</t>
  </si>
  <si>
    <t>İlk N payı</t>
  </si>
  <si>
    <t>Top-N share</t>
  </si>
  <si>
    <t>En büyük N dosyanın toplam ödemedeki payı (N parametredir) / Share of the N largest cases in the paid amount (N is a parameter)</t>
  </si>
  <si>
    <t>VB01</t>
  </si>
  <si>
    <t>Bridge</t>
  </si>
  <si>
    <t>Aylık değişim köprüsü</t>
  </si>
  <si>
    <t>Month-over-month variance bridge</t>
  </si>
  <si>
    <t>Değişimin satır sayısı ve satır başına ortalama tutar etkisine ayrıştırılması / Change split into a line-count effect and an average-amount-per-line effect</t>
  </si>
  <si>
    <t>VB02</t>
  </si>
  <si>
    <t>Yıllık değişim köprüsü</t>
  </si>
  <si>
    <t>Year-over-year variance bridge</t>
  </si>
  <si>
    <t>Yıllık değişimin sayı, tutar ve karma etkilerine ayrıştırılması / Year-over-year change split into count, amount and mix effects</t>
  </si>
  <si>
    <t>TR01</t>
  </si>
  <si>
    <t>Triangle</t>
  </si>
  <si>
    <t>Artımlı ödeme üçgeni</t>
  </si>
  <si>
    <t>Incremental paid triangle</t>
  </si>
  <si>
    <t>Hasar ayı x gelişim ayı bazında ödenen tutar / Paid amount by loss month x development month</t>
  </si>
  <si>
    <t>TR02</t>
  </si>
  <si>
    <t>Kümülatif ödeme üçgeni</t>
  </si>
  <si>
    <t>Cumulative paid triangle</t>
  </si>
  <si>
    <t>Artımlı üçgenin gelişim ayı boyunca kümülatifi / Running total of the incremental triangle over development months</t>
  </si>
  <si>
    <t>TR03</t>
  </si>
  <si>
    <t>Gelişim faktörleri</t>
  </si>
  <si>
    <t>Link ratios</t>
  </si>
  <si>
    <t>Ardışık gelişim ayları kümülatif oranları (basit ve hacim ağırlıklı; son 3/6/12) / Ratios of successive cumulative columns (simple and volume-weighted; latest 3/6/12)</t>
  </si>
  <si>
    <t>TR04</t>
  </si>
  <si>
    <t>Göstergesel ödeme projeksiyonu</t>
  </si>
  <si>
    <t>Indicative paid projection</t>
  </si>
  <si>
    <t>Zincir merdiven yöntemiyle ödemelerin göstergesel tamamlanması; rezerv tahmini DEĞİLDİR / Chain-ladder completion of paid amounts; NOT a reserve estimate</t>
  </si>
  <si>
    <t>24 loss months</t>
  </si>
  <si>
    <t>SV01</t>
  </si>
  <si>
    <t>Lorenz eğrisi ve Gini</t>
  </si>
  <si>
    <t>Lorenz curve and Gini</t>
  </si>
  <si>
    <t>Dosya ödemelerinin eşitsizliği / Inequality of per-case payments</t>
  </si>
  <si>
    <t>SV02</t>
  </si>
  <si>
    <t>Büyük hasar payı</t>
  </si>
  <si>
    <t>Large-loss share</t>
  </si>
  <si>
    <t>Parametre eşiğini aşan dosyaların ödeme içindeki payı / Share of paid amount in cases above the large-loss threshold</t>
  </si>
  <si>
    <t>SV03</t>
  </si>
  <si>
    <t>Ortalama aşım ve kuyruk indeksi</t>
  </si>
  <si>
    <t>Mean excess and tail index</t>
  </si>
  <si>
    <t>Eşik üzerindeki ortalama aşım; Pareto kuyruk indeksi (göstergesel) / Mean excess over a threshold; Pareto tail index (indicative)</t>
  </si>
  <si>
    <t>LM01</t>
  </si>
  <si>
    <t>Limits</t>
  </si>
  <si>
    <t>Ödeme / teminat tutarı</t>
  </si>
  <si>
    <t>Paid / cover amount</t>
  </si>
  <si>
    <t>Ödemenin teminat tutarına oranı / Paid amount divided by the cover amount</t>
  </si>
  <si>
    <t>GrossAmount; CoverAmount</t>
  </si>
  <si>
    <t>LM02</t>
  </si>
  <si>
    <t>Ödeme / toplam sigorta bedeli</t>
  </si>
  <si>
    <t>Paid / total sum insured</t>
  </si>
  <si>
    <t>Ödemenin toplam sigorta bedeline oranı / Paid amount divided by the total sum insured</t>
  </si>
  <si>
    <t>GrossAmount; TotalSumInsured</t>
  </si>
  <si>
    <t>LM03</t>
  </si>
  <si>
    <t>İlk muallak doğruluğu</t>
  </si>
  <si>
    <t>Initial-reserve accuracy</t>
  </si>
  <si>
    <t>Dosya başına ödenen / ilk muallak oranı: medyan, sapma, dağılım / Paid divided by initial reserve per case: median, bias, distribution</t>
  </si>
  <si>
    <t>LF01</t>
  </si>
  <si>
    <t>Erken hasar payı</t>
  </si>
  <si>
    <t>Early-claim share</t>
  </si>
  <si>
    <t>Poliçe yaşı itiraz süresi parametresinden kısa olan hasarların payı / Share of claims whose policy age at loss is below the contestability parameter</t>
  </si>
  <si>
    <t>PolicyStartDate; LossDate; AnParam</t>
  </si>
  <si>
    <t>QL01</t>
  </si>
  <si>
    <t>Quality</t>
  </si>
  <si>
    <t>Alan doluluk oranı</t>
  </si>
  <si>
    <t>Field completeness</t>
  </si>
  <si>
    <t>Modele alınan alanların dolu satır oranı / Share of non-blank values per modelled field</t>
  </si>
  <si>
    <t>all modelled fields</t>
  </si>
  <si>
    <t>AM01</t>
  </si>
  <si>
    <t>Anomaly</t>
  </si>
  <si>
    <t>Dayanıklı z-skoru</t>
  </si>
  <si>
    <t>Robust z-score</t>
  </si>
  <si>
    <t>z</t>
  </si>
  <si>
    <t>X-mR kontrol grafiği</t>
  </si>
  <si>
    <t>X-mR control chart</t>
  </si>
  <si>
    <t>CUSUM</t>
  </si>
  <si>
    <t>Benford ilk hane testi</t>
  </si>
  <si>
    <t>Benford first-digit test</t>
  </si>
  <si>
    <t>300 lines</t>
  </si>
  <si>
    <t>AM05</t>
  </si>
  <si>
    <t>Yuvarlak tutar payı</t>
  </si>
  <si>
    <t>Round-amount share</t>
  </si>
  <si>
    <t>Population stability index (PSI)</t>
  </si>
  <si>
    <t>NA01</t>
  </si>
  <si>
    <t>Not available</t>
  </si>
  <si>
    <t>Hasar sıklığı</t>
  </si>
  <si>
    <t>Claim frequency</t>
  </si>
  <si>
    <t>Hasar sayısı / maruziyet / Number of claims divided by exposure</t>
  </si>
  <si>
    <t>rate</t>
  </si>
  <si>
    <t>exposure feed</t>
  </si>
  <si>
    <t>NA02</t>
  </si>
  <si>
    <t>Hasar / prim oranı</t>
  </si>
  <si>
    <t>Loss ratio</t>
  </si>
  <si>
    <t>Hasar / kazanılmış prim / Incurred divided by earned premium</t>
  </si>
  <si>
    <t>premium feed and reserves</t>
  </si>
  <si>
    <t>NA03</t>
  </si>
  <si>
    <t>Rezerv yeterliliği ve IBNR</t>
  </si>
  <si>
    <t>Reserve adequacy and IBNR</t>
  </si>
  <si>
    <t>Muallak ve gerçekleşmiş ama bildirilmemiş hasar / Case reserves and incurred-but-not-reported</t>
  </si>
  <si>
    <t>reserves feed</t>
  </si>
  <si>
    <t>Analyst,Preparer,Reviewer,Administrator</t>
  </si>
  <si>
    <t>Reference maps, bands, parameters: Administrator (signed in); edits logged</t>
  </si>
  <si>
    <t>RefData</t>
  </si>
  <si>
    <t>Thresholds with method, rationale, owner and approval; Administrator (signed in)</t>
  </si>
  <si>
    <t>Threshold_Register</t>
  </si>
  <si>
    <t>Definition of every indicator; Administrator (signed in)</t>
  </si>
  <si>
    <t>KPI_Catalog</t>
  </si>
  <si>
    <t>DimSegment</t>
  </si>
  <si>
    <t>Analytics reference table (WP-1)</t>
  </si>
  <si>
    <t>DimPaymentNature</t>
  </si>
  <si>
    <t>DimBranch</t>
  </si>
  <si>
    <t>DimProduct</t>
  </si>
  <si>
    <t>DimChannel</t>
  </si>
  <si>
    <t>DimPartner</t>
  </si>
  <si>
    <t>DimGeography</t>
  </si>
  <si>
    <t>DimCurrency</t>
  </si>
  <si>
    <t>DimAgeBand</t>
  </si>
  <si>
    <t>BandLag</t>
  </si>
  <si>
    <t>BandAmount</t>
  </si>
  <si>
    <t>BandPolicyAge</t>
  </si>
  <si>
    <t>AnParam</t>
  </si>
  <si>
    <t>tblThreshold</t>
  </si>
  <si>
    <t>Threshold register (WP-1)</t>
  </si>
  <si>
    <t>tblKPI</t>
  </si>
  <si>
    <t>KPI catalog (WP-1)</t>
  </si>
  <si>
    <t>s:RefData</t>
  </si>
  <si>
    <t>s:Analyst,Preparer,Reviewer,Administrator</t>
  </si>
  <si>
    <t>s:Reference maps, bands, parameters: Administrator (signed in); edits logged</t>
  </si>
  <si>
    <t>s:Threshold_Register</t>
  </si>
  <si>
    <t>s:Thresholds with method, rationale, owner and approval; Administrator (signed in)</t>
  </si>
  <si>
    <t>s:KPI_Catalog</t>
  </si>
  <si>
    <t>s:Definition of every indicator; Administrator (signed in)</t>
  </si>
  <si>
    <t>s:DimSegment</t>
  </si>
  <si>
    <t>s:Segment</t>
  </si>
  <si>
    <t>s:Analytics reference table (WP-1)</t>
  </si>
  <si>
    <t>s:DimPaymentNature</t>
  </si>
  <si>
    <t>s:ReasonCode</t>
  </si>
  <si>
    <t>s:DimBranch</t>
  </si>
  <si>
    <t>s:BranchKey</t>
  </si>
  <si>
    <t>s:DimProduct</t>
  </si>
  <si>
    <t>s:DimChannel</t>
  </si>
  <si>
    <t>s:DimPartner</t>
  </si>
  <si>
    <t>s:DimGeography</t>
  </si>
  <si>
    <t>s:Province</t>
  </si>
  <si>
    <t>s:DimCurrency</t>
  </si>
  <si>
    <t>s:DimAgeBand</t>
  </si>
  <si>
    <t>s:AgeBand</t>
  </si>
  <si>
    <t>s:BandLag</t>
  </si>
  <si>
    <t>s:LagBand</t>
  </si>
  <si>
    <t>s:BandAmount</t>
  </si>
  <si>
    <t>s:AmountBand</t>
  </si>
  <si>
    <t>s:DevMonth</t>
  </si>
  <si>
    <t>s:BandPolicyAge</t>
  </si>
  <si>
    <t>s:PolicyAgeBand</t>
  </si>
  <si>
    <t>s:AnParam</t>
  </si>
  <si>
    <t>s:Param</t>
  </si>
  <si>
    <t>s:tblThreshold</t>
  </si>
  <si>
    <t>s:ThresholdID</t>
  </si>
  <si>
    <t>s:Threshold register (WP-1)</t>
  </si>
  <si>
    <t>s:tblKPI</t>
  </si>
  <si>
    <t>s:KPI_ID</t>
  </si>
  <si>
    <t>s:KPI catalog (WP-1)</t>
  </si>
  <si>
    <t>s:AN_MSG_SEGMENT</t>
  </si>
  <si>
    <t>s:Tutar göstergeleri için tam olarak bir segment seçin</t>
  </si>
  <si>
    <t>s:Select exactly one segment</t>
  </si>
  <si>
    <t>s:Tutar göstergeleri için tam olarak bir segment seçin
Select exactly one segment</t>
  </si>
  <si>
    <t>s:AN_MSG_CURRENCY</t>
  </si>
  <si>
    <t>s:Orijinal para birimi tutarları için tek bir para birimi seçin (TL karşılıkları etkilenmez)</t>
  </si>
  <si>
    <t>s:Select one currency for original-currency amounts (TRY figures are not affected)</t>
  </si>
  <si>
    <t>s:Orijinal para birimi tutarları için tek bir para birimi seçin (TL karşılıkları etkilenmez)
Select one currency for original-currency amounts (TRY figures are not affected)</t>
  </si>
  <si>
    <t>s:RD_TITLE</t>
  </si>
  <si>
    <t>s:Referans verileri ve bantlar</t>
  </si>
  <si>
    <t>s:Reference data and bands</t>
  </si>
  <si>
    <t>s:Referans verileri ve bantlar
Reference data and bands</t>
  </si>
  <si>
    <t>s:RD_NOTE</t>
  </si>
  <si>
    <t>s:Yönetici tarafından bakımı yapılan eşleme ve bant tabloları; her değişiklik ActivityLog'a yazılır. Eşlenmemiş satırlar için Data Model ölçülerine bakın.</t>
  </si>
  <si>
    <t>s:Mapping and band tables maintained by the Administrator; every change is written to the ActivityLog. Unmapped lines are measured in the Data Model.</t>
  </si>
  <si>
    <t>s:Yönetici tarafından bakımı yapılan eşleme ve bant tabloları; her değişiklik ActivityLog'a yazılır. Eşlenmemiş satırlar için Data Model ölçülerine bakın.
Mapping and band tables maintained by the Administrator; every change is written to the ActivityLog. Unmapped lines are measured in the Data Model.</t>
  </si>
  <si>
    <t>s:RD_COVERAGE</t>
  </si>
  <si>
    <t>s:Kapsama: eşlenmemiş ödeme satırları Data Model'deki 'Unmapped Lines ...' ölçüleriyle izlenir (0 olmalı)</t>
  </si>
  <si>
    <t>s:Coverage: unmapped payment lines are tracked by the 'Unmapped Lines ...' measures in the Data Model (must be 0)</t>
  </si>
  <si>
    <t>s:Kapsama: eşlenmemiş ödeme satırları Data Model'deki 'Unmapped Lines ...' ölçüleriyle izlenir (0 olmalı)
Coverage: unmapped payment lines are tracked by the 'Unmapped Lines ...' measures in the Data Model (must be 0)</t>
  </si>
  <si>
    <t>s:RD_FIX</t>
  </si>
  <si>
    <t>s:Eksik kodu ilgili tabloya ekleyin (Yönetici); sonra Yenile.</t>
  </si>
  <si>
    <t>s:Add the missing code to the table below (Administrator), then Refresh.</t>
  </si>
  <si>
    <t>s:Eksik kodu ilgili tabloya ekleyin (Yönetici); sonra Yenile.
Add the missing code to the table below (Administrator), then Refresh.</t>
  </si>
  <si>
    <t>s:KC_TITLE</t>
  </si>
  <si>
    <t>s:KPI kataloğu</t>
  </si>
  <si>
    <t>s:KPI catalog</t>
  </si>
  <si>
    <t>s:KPI kataloğu
KPI catalog</t>
  </si>
  <si>
    <t>s:KC_NOTE</t>
  </si>
  <si>
    <t>s:Her göstergenin tanımı, kullandığı alanlar, geçerli olduğu segmentler ve veri bağımlılığı. DAX alanı ölçü yazıldıkça doldurulur. Ödenen veriyle desteklenmeyen göstergeler 'NOT AVAILABLE' olarak işaretlidir.</t>
  </si>
  <si>
    <t>s:Definition, fields, segment applicability and data dependency of every indicator. The measure column is filled as measures are built. Indicators that paid data cannot support are marked NOT AVAILABLE.</t>
  </si>
  <si>
    <t>s:Her göstergenin tanımı, kullandığı alanlar, geçerli olduğu segmentler ve veri bağımlılığı. DAX alanı ölçü yazıldıkça doldurulur. Ödenen veriyle desteklenmeyen göstergeler 'NOT AVAILABLE' olarak işaretlidir.
Definition, fields, segment applicability and data dependency of every indicator. The measure column is filled as measures are built. Indicators that paid data cannot support are marked NOT AVAILABLE.</t>
  </si>
  <si>
    <t>s:TH_TITLE</t>
  </si>
  <si>
    <t>s:Eşik kaydı</t>
  </si>
  <si>
    <t>s:Threshold register</t>
  </si>
  <si>
    <t>s:Eşik kaydı
Threshold register</t>
  </si>
  <si>
    <t>s:TH_NOTE</t>
  </si>
  <si>
    <t>s:Durumlar: OK / WATCH / ALERT / INSUFFICIENT DATA (yetersiz veri). DRAFT satırlar onaylı değildir; son veri doğrulamasında ayarlanır. Her eşik için gerekçe, sahip ve onay yazılır.</t>
  </si>
  <si>
    <t>s:Statuses: OK / WATCH / ALERT / INSUFFICIENT DATA. DRAFT rows are not approved and are tuned on the final validation data. Every threshold carries a rationale, an owner and an approval.</t>
  </si>
  <si>
    <t>s:Durumlar: OK / WATCH / ALERT / INSUFFICIENT DATA (yetersiz veri). DRAFT satırlar onaylı değildir; son veri doğrulamasında ayarlanır. Her eşik için gerekçe, sahip ve onay yazılır.
Statuses: OK / WATCH / ALERT / INSUFFICIENT DATA. DRAFT rows are not approved and are tuned on the final validation data. Every threshold carries a rationale, an owner and an approval.</t>
  </si>
  <si>
    <t>shadow copy of DimSegment for the edit audit (mod_Log) - do not edit</t>
  </si>
  <si>
    <t>s:Hayat</t>
  </si>
  <si>
    <t>s:#0072B2</t>
  </si>
  <si>
    <t>s:Emeklilik</t>
  </si>
  <si>
    <t>s:#CC79A7</t>
  </si>
  <si>
    <t>s:#E69F00</t>
  </si>
  <si>
    <t>shadow copy of DimPaymentNature for the edit audit (mod_Log) - do not edit</t>
  </si>
  <si>
    <t>s:MTPL_BI</t>
  </si>
  <si>
    <t>s:CLAIM</t>
  </si>
  <si>
    <t>s:Hasar tazminatı</t>
  </si>
  <si>
    <t>s:Claim indemnity</t>
  </si>
  <si>
    <t>s:Trafik - Bedeni Zarar</t>
  </si>
  <si>
    <t>s:Motor TPL - bodily injury</t>
  </si>
  <si>
    <t>s:MTPL_PD</t>
  </si>
  <si>
    <t>s:Trafik - Maddi Hasar</t>
  </si>
  <si>
    <t>s:Motor TPL - property damage</t>
  </si>
  <si>
    <t>s:MOD_COLLISION</t>
  </si>
  <si>
    <t>s:Kasko - Çarpma</t>
  </si>
  <si>
    <t>s:Own damage - collision</t>
  </si>
  <si>
    <t>s:MOD_THEFT</t>
  </si>
  <si>
    <t>s:Kasko - Hırsızlık</t>
  </si>
  <si>
    <t>s:Own damage - theft</t>
  </si>
  <si>
    <t>s:MOD_GLASS</t>
  </si>
  <si>
    <t>s:Kasko - Cam Kırılması</t>
  </si>
  <si>
    <t>s:Own damage - glass breakage</t>
  </si>
  <si>
    <t>s:FIRE_BUILDING</t>
  </si>
  <si>
    <t>s:Yangın - Bina</t>
  </si>
  <si>
    <t>s:Fire - building</t>
  </si>
  <si>
    <t>s:FIRE_CONTENTS</t>
  </si>
  <si>
    <t>s:Yangın - Eşya</t>
  </si>
  <si>
    <t>s:Fire - contents</t>
  </si>
  <si>
    <t>s:MARINE_CARGO</t>
  </si>
  <si>
    <t>s:Nakliyat - Emtea</t>
  </si>
  <si>
    <t>s:Marine - cargo</t>
  </si>
  <si>
    <t>s:HEALTH_INPATIENT</t>
  </si>
  <si>
    <t>s:Sağlık - Yatarak Tedavi</t>
  </si>
  <si>
    <t>s:Health - inpatient</t>
  </si>
  <si>
    <t>s:HEALTH_OUTPATIENT</t>
  </si>
  <si>
    <t>s:Sağlık - Ayakta Tedavi</t>
  </si>
  <si>
    <t>s:Health - outpatient</t>
  </si>
  <si>
    <t>s:ACCIDENT_PA</t>
  </si>
  <si>
    <t>s:Ferdi Kaza</t>
  </si>
  <si>
    <t>s:Personal accident</t>
  </si>
  <si>
    <t>s:ENGINEERING_CAR</t>
  </si>
  <si>
    <t>s:Mühendislik - İnşaat</t>
  </si>
  <si>
    <t>s:Engineering - contractors all risk</t>
  </si>
  <si>
    <t>s:LIABILITY_GL</t>
  </si>
  <si>
    <t>s:Sorumluluk - Genel</t>
  </si>
  <si>
    <t>s:Liability - general</t>
  </si>
  <si>
    <t>s:LIFE_DEATH</t>
  </si>
  <si>
    <t>s:DEATH</t>
  </si>
  <si>
    <t>s:Vefat ödemesi</t>
  </si>
  <si>
    <t>s:Death benefit</t>
  </si>
  <si>
    <t>s:Hayat - Vefat</t>
  </si>
  <si>
    <t>s:Life - death benefit</t>
  </si>
  <si>
    <t>s:LIFE_MATURITY</t>
  </si>
  <si>
    <t>s:MATURITY</t>
  </si>
  <si>
    <t>s:Vade sonu ödemesi</t>
  </si>
  <si>
    <t>s:Maturity</t>
  </si>
  <si>
    <t>s:Hayat - Vade Sonu</t>
  </si>
  <si>
    <t>s:Life - maturity</t>
  </si>
  <si>
    <t>s:LIFE_SURRENDER</t>
  </si>
  <si>
    <t>s:SURRENDER</t>
  </si>
  <si>
    <t>s:Teslim / iptal ödemesi</t>
  </si>
  <si>
    <t>s:Surrender</t>
  </si>
  <si>
    <t>s:Hayat - İptal/İbra</t>
  </si>
  <si>
    <t>s:Life - surrender</t>
  </si>
  <si>
    <t>s:LIFE_ANNUITY</t>
  </si>
  <si>
    <t>s:ANNUITY</t>
  </si>
  <si>
    <t>s:Yıllık gelir</t>
  </si>
  <si>
    <t>s:Annuity</t>
  </si>
  <si>
    <t>s:Hayat - Yıllık Gelir</t>
  </si>
  <si>
    <t>s:Life - annuity</t>
  </si>
  <si>
    <t>s:LIFE_DISABILITY</t>
  </si>
  <si>
    <t>s:Hayat - Maluliyet</t>
  </si>
  <si>
    <t>s:Life - disability</t>
  </si>
  <si>
    <t>s:LIFE_CI</t>
  </si>
  <si>
    <t>s:Hayat - Kritik Hastalık</t>
  </si>
  <si>
    <t>s:Life - critical illness</t>
  </si>
  <si>
    <t>s:PEN_RETIREMENT</t>
  </si>
  <si>
    <t>s:RETIREMENT_BENEFIT</t>
  </si>
  <si>
    <t>s:Emeklilik ödemesi</t>
  </si>
  <si>
    <t>s:Retirement benefit</t>
  </si>
  <si>
    <t>s:Emeklilik - Emekli Olma</t>
  </si>
  <si>
    <t>s:Pension - retirement</t>
  </si>
  <si>
    <t>s:PEN_PARTIAL</t>
  </si>
  <si>
    <t>s:PARTIAL_WITHDRAWAL</t>
  </si>
  <si>
    <t>s:Kısmi çekim</t>
  </si>
  <si>
    <t>s:Partial withdrawal</t>
  </si>
  <si>
    <t>s:Emeklilik - Kısmi Ödeme</t>
  </si>
  <si>
    <t>s:Pension - partial withdrawal</t>
  </si>
  <si>
    <t>s:PEN_EXIT</t>
  </si>
  <si>
    <t>s:EXIT</t>
  </si>
  <si>
    <t>s:Sistemden çıkış</t>
  </si>
  <si>
    <t>s:Exit</t>
  </si>
  <si>
    <t>s:Emeklilik - Sistemden Çıkış</t>
  </si>
  <si>
    <t>s:Pension - system exit</t>
  </si>
  <si>
    <t>s:PEN_TRANSFER_OUT</t>
  </si>
  <si>
    <t>s:TRANSFER_OUT</t>
  </si>
  <si>
    <t>s:Çıkan transfer</t>
  </si>
  <si>
    <t>s:Transfer out</t>
  </si>
  <si>
    <t>s:Emeklilik - Şirket Değişikliği</t>
  </si>
  <si>
    <t>s:Pension - transfer out</t>
  </si>
  <si>
    <t>s:PEN_DEATH</t>
  </si>
  <si>
    <t>s:Emeklilik - Vefat</t>
  </si>
  <si>
    <t>s:Pension - death benefit</t>
  </si>
  <si>
    <t>s:REFUND_OVERPAY</t>
  </si>
  <si>
    <t>s:REFUND</t>
  </si>
  <si>
    <t>s:İade</t>
  </si>
  <si>
    <t>s:Refund</t>
  </si>
  <si>
    <t>s:İade - Fazla Ödeme</t>
  </si>
  <si>
    <t>s:Refund - overpayment</t>
  </si>
  <si>
    <t>s:OTHER_EXGRATIA</t>
  </si>
  <si>
    <t>s:OTHER</t>
  </si>
  <si>
    <t>s:Diğer</t>
  </si>
  <si>
    <t>s:Other</t>
  </si>
  <si>
    <t>s:Diğer - Ex Gratia</t>
  </si>
  <si>
    <t>s:Other - ex gratia</t>
  </si>
  <si>
    <t>shadow copy of DimBranch for the edit audit (mod_Log) - do not edit</t>
  </si>
  <si>
    <t>s:UB78</t>
  </si>
  <si>
    <t>s:Credit Life</t>
  </si>
  <si>
    <t>s:BR168</t>
  </si>
  <si>
    <t>s:SB272</t>
  </si>
  <si>
    <t>s:Bancassurance</t>
  </si>
  <si>
    <t>s:UB78|BR168|SB272</t>
  </si>
  <si>
    <t>s:UB64</t>
  </si>
  <si>
    <t>s:Endowment</t>
  </si>
  <si>
    <t>s:BR604</t>
  </si>
  <si>
    <t>s:SB495</t>
  </si>
  <si>
    <t>s:Individual</t>
  </si>
  <si>
    <t>s:UB64|BR604|SB495</t>
  </si>
  <si>
    <t>s:UB47</t>
  </si>
  <si>
    <t>s:Term Life</t>
  </si>
  <si>
    <t>s:BR677</t>
  </si>
  <si>
    <t>s:SB873</t>
  </si>
  <si>
    <t>s:Group</t>
  </si>
  <si>
    <t>s:UB47|BR677|SB873</t>
  </si>
  <si>
    <t>s:UB47|BR677|SB495</t>
  </si>
  <si>
    <t>s:UB60</t>
  </si>
  <si>
    <t>s:Whole Life</t>
  </si>
  <si>
    <t>s:BR600</t>
  </si>
  <si>
    <t>s:UB60|BR600|SB495</t>
  </si>
  <si>
    <t>s:UB98</t>
  </si>
  <si>
    <t>s:Personal Accident</t>
  </si>
  <si>
    <t>s:BR278</t>
  </si>
  <si>
    <t>s:Accident</t>
  </si>
  <si>
    <t>s:UB98|BR278|SB873</t>
  </si>
  <si>
    <t>s:UB98|BR278|SB495</t>
  </si>
  <si>
    <t>s:UB19</t>
  </si>
  <si>
    <t>s:Engineering</t>
  </si>
  <si>
    <t>s:BR289</t>
  </si>
  <si>
    <t>s:SB651</t>
  </si>
  <si>
    <t>s:CAR</t>
  </si>
  <si>
    <t>s:UB19|BR289|SB651</t>
  </si>
  <si>
    <t>s:SB853</t>
  </si>
  <si>
    <t>s:EAR</t>
  </si>
  <si>
    <t>s:UB19|BR289|SB853</t>
  </si>
  <si>
    <t>s:SB260</t>
  </si>
  <si>
    <t>s:Machinery Breakdown</t>
  </si>
  <si>
    <t>s:UB19|BR289|SB260</t>
  </si>
  <si>
    <t>s:UB34</t>
  </si>
  <si>
    <t>s:Fire and Natural Perils</t>
  </si>
  <si>
    <t>s:BR214</t>
  </si>
  <si>
    <t>s:SB882</t>
  </si>
  <si>
    <t>s:Building</t>
  </si>
  <si>
    <t>s:Fire</t>
  </si>
  <si>
    <t>s:UB34|BR214|SB882</t>
  </si>
  <si>
    <t>s:SB345</t>
  </si>
  <si>
    <t>s:Contents</t>
  </si>
  <si>
    <t>s:UB34|BR214|SB345</t>
  </si>
  <si>
    <t>s:UB29</t>
  </si>
  <si>
    <t>s:Health</t>
  </si>
  <si>
    <t>s:BR929</t>
  </si>
  <si>
    <t>s:SB578</t>
  </si>
  <si>
    <t>s:Inpatient</t>
  </si>
  <si>
    <t>s:UB29|BR929|SB578</t>
  </si>
  <si>
    <t>s:SB650</t>
  </si>
  <si>
    <t>s:Outpatient</t>
  </si>
  <si>
    <t>s:UB29|BR929|SB650</t>
  </si>
  <si>
    <t>s:UB71</t>
  </si>
  <si>
    <t>s:General Liability</t>
  </si>
  <si>
    <t>s:BR611</t>
  </si>
  <si>
    <t>s:SB736</t>
  </si>
  <si>
    <t>s:Employer</t>
  </si>
  <si>
    <t>s:Liability</t>
  </si>
  <si>
    <t>s:UB71|BR611|SB736</t>
  </si>
  <si>
    <t>s:SB305</t>
  </si>
  <si>
    <t>s:Product</t>
  </si>
  <si>
    <t>s:UB71|BR611|SB305</t>
  </si>
  <si>
    <t>s:SB878</t>
  </si>
  <si>
    <t>s:Professional</t>
  </si>
  <si>
    <t>s:UB71|BR611|SB878</t>
  </si>
  <si>
    <t>s:UB50</t>
  </si>
  <si>
    <t>s:Marine Cargo</t>
  </si>
  <si>
    <t>s:BR590</t>
  </si>
  <si>
    <t>s:SB525</t>
  </si>
  <si>
    <t>s:Domestic</t>
  </si>
  <si>
    <t>s:Marine</t>
  </si>
  <si>
    <t>s:UB50|BR590|SB525</t>
  </si>
  <si>
    <t>s:SB982</t>
  </si>
  <si>
    <t>s:Export</t>
  </si>
  <si>
    <t>s:UB50|BR590|SB982</t>
  </si>
  <si>
    <t>s:SB711</t>
  </si>
  <si>
    <t>s:Import</t>
  </si>
  <si>
    <t>s:UB50|BR590|SB711</t>
  </si>
  <si>
    <t>s:UB43</t>
  </si>
  <si>
    <t>s:MTPL</t>
  </si>
  <si>
    <t>s:BR763</t>
  </si>
  <si>
    <t>s:SB448</t>
  </si>
  <si>
    <t>s:Bodily Injury</t>
  </si>
  <si>
    <t>s:Motor</t>
  </si>
  <si>
    <t>s:UB43|BR763|SB448</t>
  </si>
  <si>
    <t>s:SB638</t>
  </si>
  <si>
    <t>s:Property Damage</t>
  </si>
  <si>
    <t>s:UB43|BR763|SB638</t>
  </si>
  <si>
    <t>s:UB73</t>
  </si>
  <si>
    <t>s:Own Damage</t>
  </si>
  <si>
    <t>s:BR883</t>
  </si>
  <si>
    <t>s:SB177</t>
  </si>
  <si>
    <t>s:Collision</t>
  </si>
  <si>
    <t>s:UB73|BR883|SB177</t>
  </si>
  <si>
    <t>s:SB487</t>
  </si>
  <si>
    <t>s:Glass</t>
  </si>
  <si>
    <t>s:UB73|BR883|SB487</t>
  </si>
  <si>
    <t>s:SB605</t>
  </si>
  <si>
    <t>s:Theft</t>
  </si>
  <si>
    <t>s:UB73|BR883|SB605</t>
  </si>
  <si>
    <t>s:UB99</t>
  </si>
  <si>
    <t>s:Group Pension</t>
  </si>
  <si>
    <t>s:BR459</t>
  </si>
  <si>
    <t>s:SB957</t>
  </si>
  <si>
    <t>s:Corporate</t>
  </si>
  <si>
    <t>s:UB99|BR459|SB957</t>
  </si>
  <si>
    <t>s:UB45</t>
  </si>
  <si>
    <t>s:Individual Pension</t>
  </si>
  <si>
    <t>s:BR315</t>
  </si>
  <si>
    <t>s:SB614</t>
  </si>
  <si>
    <t>s:Auto-enrollment</t>
  </si>
  <si>
    <t>s:UB45|BR315|SB614</t>
  </si>
  <si>
    <t>s:SB117</t>
  </si>
  <si>
    <t>s:Standard</t>
  </si>
  <si>
    <t>s:UB45|BR315|SB117</t>
  </si>
  <si>
    <t>shadow copy of DimProduct for the edit audit (mod_Log) - do not edit</t>
  </si>
  <si>
    <t>s:PRD551</t>
  </si>
  <si>
    <t>s:Demo Accident</t>
  </si>
  <si>
    <t>s:ACCIDENT |</t>
  </si>
  <si>
    <t>s:PRD534</t>
  </si>
  <si>
    <t>s:Demo Auto Enrollment</t>
  </si>
  <si>
    <t>s:AUTO_ENROLLMENT |</t>
  </si>
  <si>
    <t>s:PRD599</t>
  </si>
  <si>
    <t>s:Demo Credit Life</t>
  </si>
  <si>
    <t>s:CREDIT_LIFE |</t>
  </si>
  <si>
    <t>s:PRD228</t>
  </si>
  <si>
    <t>s:Demo Endowment</t>
  </si>
  <si>
    <t>s:ENDOWMENT |</t>
  </si>
  <si>
    <t>s:PRD134</t>
  </si>
  <si>
    <t>s:Demo Engineering</t>
  </si>
  <si>
    <t>s:ENGINEERING |</t>
  </si>
  <si>
    <t>s:PRD951</t>
  </si>
  <si>
    <t>s:Demo Fire</t>
  </si>
  <si>
    <t>s:FIRE |</t>
  </si>
  <si>
    <t>s:PRD189</t>
  </si>
  <si>
    <t>s:Demo Group Life</t>
  </si>
  <si>
    <t>s:GROUP_LIFE |</t>
  </si>
  <si>
    <t>s:PRD397</t>
  </si>
  <si>
    <t>s:Demo Group Pension</t>
  </si>
  <si>
    <t>s:GROUP_PENSION |</t>
  </si>
  <si>
    <t>s:PRD633</t>
  </si>
  <si>
    <t>s:Demo Health</t>
  </si>
  <si>
    <t>s:HEALTH |</t>
  </si>
  <si>
    <t>s:PRD573</t>
  </si>
  <si>
    <t>s:Demo Individual Pension</t>
  </si>
  <si>
    <t>s:INDIVIDUAL_PENSION |</t>
  </si>
  <si>
    <t>s:PRD299</t>
  </si>
  <si>
    <t>s:Demo Liability</t>
  </si>
  <si>
    <t>s:LIABILITY |</t>
  </si>
  <si>
    <t>s:PRD642</t>
  </si>
  <si>
    <t>s:Demo Marine</t>
  </si>
  <si>
    <t>s:MARINE |</t>
  </si>
  <si>
    <t>s:PRD547</t>
  </si>
  <si>
    <t>s:Demo Motor Od</t>
  </si>
  <si>
    <t>s:MOTOR_OD |</t>
  </si>
  <si>
    <t>s:PRD598</t>
  </si>
  <si>
    <t>s:Demo Motor Tpl</t>
  </si>
  <si>
    <t>s:MOTOR_TPL |</t>
  </si>
  <si>
    <t>s:PRD593</t>
  </si>
  <si>
    <t>s:Demo Term Life</t>
  </si>
  <si>
    <t>s:TERM_LIFE |</t>
  </si>
  <si>
    <t>s:PRD622</t>
  </si>
  <si>
    <t>s:Demo Unit Linked</t>
  </si>
  <si>
    <t>s:UNIT_LINKED |</t>
  </si>
  <si>
    <t>s:PRD675</t>
  </si>
  <si>
    <t>s:Demo Whole Life</t>
  </si>
  <si>
    <t>s:WHOLE_LIFE |</t>
  </si>
  <si>
    <t>shadow copy of DimChannel for the edit audit (mod_Log) - do not edit</t>
  </si>
  <si>
    <t>s:AGENCY</t>
  </si>
  <si>
    <t>s:Acente</t>
  </si>
  <si>
    <t>s:Agency</t>
  </si>
  <si>
    <t>s:Intermediated</t>
  </si>
  <si>
    <t>s:BROKER</t>
  </si>
  <si>
    <t>s:Broker</t>
  </si>
  <si>
    <t>s:BANCASSURANCE</t>
  </si>
  <si>
    <t>s:Bankasürans</t>
  </si>
  <si>
    <t>s:Partner</t>
  </si>
  <si>
    <t>s:DIRECT</t>
  </si>
  <si>
    <t>s:Doğrudan</t>
  </si>
  <si>
    <t>s:Direct</t>
  </si>
  <si>
    <t>s:DIGITAL</t>
  </si>
  <si>
    <t>s:Dijital</t>
  </si>
  <si>
    <t>s:Digital</t>
  </si>
  <si>
    <t>shadow copy of DimPartner for the edit audit (mod_Log) - do not edit</t>
  </si>
  <si>
    <t>s:PTN147</t>
  </si>
  <si>
    <t>s:Demo Partner Banka 2</t>
  </si>
  <si>
    <t>s:Bank</t>
  </si>
  <si>
    <t>s:PTN205</t>
  </si>
  <si>
    <t>s:Demo Partner Banka 1</t>
  </si>
  <si>
    <t>s:PTN315</t>
  </si>
  <si>
    <t>s:Demo Acente 4</t>
  </si>
  <si>
    <t>s:PTN353</t>
  </si>
  <si>
    <t>s:Demo Partner Banka 3</t>
  </si>
  <si>
    <t>s:PTN356</t>
  </si>
  <si>
    <t>s:Demo Partner Banka 5</t>
  </si>
  <si>
    <t>s:PTN385</t>
  </si>
  <si>
    <t>s:Demo Acente 5</t>
  </si>
  <si>
    <t>s:PTN401</t>
  </si>
  <si>
    <t>s:Demo Acente 7</t>
  </si>
  <si>
    <t>s:PTN528</t>
  </si>
  <si>
    <t>s:Demo Acente 3</t>
  </si>
  <si>
    <t>s:PTN738</t>
  </si>
  <si>
    <t>s:Demo Partner Banka 4</t>
  </si>
  <si>
    <t>s:PTN740</t>
  </si>
  <si>
    <t>s:Demo Acente 1</t>
  </si>
  <si>
    <t>s:PTN787</t>
  </si>
  <si>
    <t>s:Demo Acente 6</t>
  </si>
  <si>
    <t>s:PTN894</t>
  </si>
  <si>
    <t>s:Demo Acente 2</t>
  </si>
  <si>
    <t>shadow copy of DimGeography for the edit audit (mod_Log) - do not edit</t>
  </si>
  <si>
    <t>s:Adana</t>
  </si>
  <si>
    <t>s:Akdeniz</t>
  </si>
  <si>
    <t>s:Adıyaman</t>
  </si>
  <si>
    <t>s:Güneydoğu Anadolu</t>
  </si>
  <si>
    <t>s:Afyonkarahisar</t>
  </si>
  <si>
    <t>s:Ege</t>
  </si>
  <si>
    <t>s:Ağrı</t>
  </si>
  <si>
    <t>s:Doğu Anadolu</t>
  </si>
  <si>
    <t>s:Amasya</t>
  </si>
  <si>
    <t>s:Karadeniz</t>
  </si>
  <si>
    <t>s:Ankara</t>
  </si>
  <si>
    <t>s:İç Anadolu</t>
  </si>
  <si>
    <t>s:Antalya</t>
  </si>
  <si>
    <t>s:Artvin</t>
  </si>
  <si>
    <t>s:Aydın</t>
  </si>
  <si>
    <t>s:Balıkesir</t>
  </si>
  <si>
    <t>s:Marmara</t>
  </si>
  <si>
    <t>s:Bilecik</t>
  </si>
  <si>
    <t>s:Bingöl</t>
  </si>
  <si>
    <t>s:Bitlis</t>
  </si>
  <si>
    <t>s:Bolu</t>
  </si>
  <si>
    <t>s:Burdur</t>
  </si>
  <si>
    <t>s:Bursa</t>
  </si>
  <si>
    <t>s:Çanakkale</t>
  </si>
  <si>
    <t>s:Çankırı</t>
  </si>
  <si>
    <t>s:Çorum</t>
  </si>
  <si>
    <t>s:Denizli</t>
  </si>
  <si>
    <t>s:Diyarbakır</t>
  </si>
  <si>
    <t>s:Edirne</t>
  </si>
  <si>
    <t>s:Elazığ</t>
  </si>
  <si>
    <t>s:Erzincan</t>
  </si>
  <si>
    <t>s:Erzurum</t>
  </si>
  <si>
    <t>n:25</t>
  </si>
  <si>
    <t>s:Eskişehir</t>
  </si>
  <si>
    <t>n:26</t>
  </si>
  <si>
    <t>s:Gaziantep</t>
  </si>
  <si>
    <t>n:27</t>
  </si>
  <si>
    <t>s:Giresun</t>
  </si>
  <si>
    <t>n:28</t>
  </si>
  <si>
    <t>s:Gümüşhane</t>
  </si>
  <si>
    <t>n:29</t>
  </si>
  <si>
    <t>s:Hakkâri</t>
  </si>
  <si>
    <t>n:30</t>
  </si>
  <si>
    <t>s:Hatay</t>
  </si>
  <si>
    <t>n:31</t>
  </si>
  <si>
    <t>s:Isparta</t>
  </si>
  <si>
    <t>n:32</t>
  </si>
  <si>
    <t>s:Mersin</t>
  </si>
  <si>
    <t>n:33</t>
  </si>
  <si>
    <t>s:İstanbul</t>
  </si>
  <si>
    <t>n:34</t>
  </si>
  <si>
    <t>s:İzmir</t>
  </si>
  <si>
    <t>n:35</t>
  </si>
  <si>
    <t>s:Kars</t>
  </si>
  <si>
    <t>n:36</t>
  </si>
  <si>
    <t>s:Kastamonu</t>
  </si>
  <si>
    <t>n:37</t>
  </si>
  <si>
    <t>s:Kayseri</t>
  </si>
  <si>
    <t>n:38</t>
  </si>
  <si>
    <t>s:Kırklareli</t>
  </si>
  <si>
    <t>n:39</t>
  </si>
  <si>
    <t>s:Kırşehir</t>
  </si>
  <si>
    <t>n:40</t>
  </si>
  <si>
    <t>s:Kocaeli</t>
  </si>
  <si>
    <t>n:41</t>
  </si>
  <si>
    <t>s:Konya</t>
  </si>
  <si>
    <t>n:42</t>
  </si>
  <si>
    <t>s:Kütahya</t>
  </si>
  <si>
    <t>n:43</t>
  </si>
  <si>
    <t>s:Malatya</t>
  </si>
  <si>
    <t>n:44</t>
  </si>
  <si>
    <t>s:Manisa</t>
  </si>
  <si>
    <t>n:45</t>
  </si>
  <si>
    <t>s:Kahramanmaraş</t>
  </si>
  <si>
    <t>n:46</t>
  </si>
  <si>
    <t>s:Mardin</t>
  </si>
  <si>
    <t>n:47</t>
  </si>
  <si>
    <t>s:Muğla</t>
  </si>
  <si>
    <t>n:48</t>
  </si>
  <si>
    <t>s:Muş</t>
  </si>
  <si>
    <t>n:49</t>
  </si>
  <si>
    <t>s:Nevşehir</t>
  </si>
  <si>
    <t>n:50</t>
  </si>
  <si>
    <t>s:Niğde</t>
  </si>
  <si>
    <t>n:51</t>
  </si>
  <si>
    <t>s:Ordu</t>
  </si>
  <si>
    <t>n:52</t>
  </si>
  <si>
    <t>s:Rize</t>
  </si>
  <si>
    <t>n:53</t>
  </si>
  <si>
    <t>s:Sakarya</t>
  </si>
  <si>
    <t>n:54</t>
  </si>
  <si>
    <t>s:Samsun</t>
  </si>
  <si>
    <t>n:55</t>
  </si>
  <si>
    <t>s:Siirt</t>
  </si>
  <si>
    <t>n:56</t>
  </si>
  <si>
    <t>s:Sinop</t>
  </si>
  <si>
    <t>n:57</t>
  </si>
  <si>
    <t>s:Sivas</t>
  </si>
  <si>
    <t>n:58</t>
  </si>
  <si>
    <t>s:Tekirdağ</t>
  </si>
  <si>
    <t>n:59</t>
  </si>
  <si>
    <t>s:Tokat</t>
  </si>
  <si>
    <t>n:60</t>
  </si>
  <si>
    <t>s:Trabzon</t>
  </si>
  <si>
    <t>n:61</t>
  </si>
  <si>
    <t>s:Tunceli</t>
  </si>
  <si>
    <t>n:62</t>
  </si>
  <si>
    <t>s:Şanlıurfa</t>
  </si>
  <si>
    <t>n:63</t>
  </si>
  <si>
    <t>s:Uşak</t>
  </si>
  <si>
    <t>n:64</t>
  </si>
  <si>
    <t>s:Van</t>
  </si>
  <si>
    <t>n:65</t>
  </si>
  <si>
    <t>s:Yozgat</t>
  </si>
  <si>
    <t>n:66</t>
  </si>
  <si>
    <t>s:Zonguldak</t>
  </si>
  <si>
    <t>n:67</t>
  </si>
  <si>
    <t>s:Aksaray</t>
  </si>
  <si>
    <t>n:68</t>
  </si>
  <si>
    <t>s:Bayburt</t>
  </si>
  <si>
    <t>n:69</t>
  </si>
  <si>
    <t>s:Karaman</t>
  </si>
  <si>
    <t>n:70</t>
  </si>
  <si>
    <t>s:Kırıkkale</t>
  </si>
  <si>
    <t>n:71</t>
  </si>
  <si>
    <t>s:Batman</t>
  </si>
  <si>
    <t>n:72</t>
  </si>
  <si>
    <t>s:Şırnak</t>
  </si>
  <si>
    <t>n:73</t>
  </si>
  <si>
    <t>s:Bartın</t>
  </si>
  <si>
    <t>n:74</t>
  </si>
  <si>
    <t>s:Ardahan</t>
  </si>
  <si>
    <t>n:75</t>
  </si>
  <si>
    <t>s:Iğdır</t>
  </si>
  <si>
    <t>n:76</t>
  </si>
  <si>
    <t>s:Yalova</t>
  </si>
  <si>
    <t>n:77</t>
  </si>
  <si>
    <t>s:Karabük</t>
  </si>
  <si>
    <t>n:78</t>
  </si>
  <si>
    <t>s:Kilis</t>
  </si>
  <si>
    <t>n:79</t>
  </si>
  <si>
    <t>s:Osmaniye</t>
  </si>
  <si>
    <t>n:80</t>
  </si>
  <si>
    <t>s:Düzce</t>
  </si>
  <si>
    <t>n:81</t>
  </si>
  <si>
    <t>shadow copy of DimCurrency for the edit audit (mod_Log) - do not edit</t>
  </si>
  <si>
    <t>s:Türk lirası</t>
  </si>
  <si>
    <t>s:Turkish lira</t>
  </si>
  <si>
    <t>s:ABD doları</t>
  </si>
  <si>
    <t>s:US dollar</t>
  </si>
  <si>
    <t>s:İngiliz sterlini</t>
  </si>
  <si>
    <t>s:Pound sterling</t>
  </si>
  <si>
    <t>s:İsviçre frangı</t>
  </si>
  <si>
    <t>s:Swiss franc</t>
  </si>
  <si>
    <t>shadow copy of DimAgeBand for the edit audit (mod_Log) - do not edit</t>
  </si>
  <si>
    <t>s:&lt;25</t>
  </si>
  <si>
    <t>s:25-34</t>
  </si>
  <si>
    <t>s:35-44</t>
  </si>
  <si>
    <t>s:45-54</t>
  </si>
  <si>
    <t>s:55-64</t>
  </si>
  <si>
    <t>s:65+</t>
  </si>
  <si>
    <t>n:120</t>
  </si>
  <si>
    <t>shadow copy of BandLag for the edit audit (mod_Log) - do not edit</t>
  </si>
  <si>
    <t>s:0-7 days</t>
  </si>
  <si>
    <t>s:8-14 days</t>
  </si>
  <si>
    <t>s:15-30 days</t>
  </si>
  <si>
    <t>s:31-60 days</t>
  </si>
  <si>
    <t>s:61-90 days</t>
  </si>
  <si>
    <t>n:90</t>
  </si>
  <si>
    <t>s:91-180 days</t>
  </si>
  <si>
    <t>n:91</t>
  </si>
  <si>
    <t>n:180</t>
  </si>
  <si>
    <t>s:181-365 days</t>
  </si>
  <si>
    <t>n:181</t>
  </si>
  <si>
    <t>n:365</t>
  </si>
  <si>
    <t>s:over 365 days</t>
  </si>
  <si>
    <t>n:366</t>
  </si>
  <si>
    <t>n:99999</t>
  </si>
  <si>
    <t>s:n/a (missing or negative)</t>
  </si>
  <si>
    <t>n:-99999</t>
  </si>
  <si>
    <t>n:-1</t>
  </si>
  <si>
    <t>shadow copy of BandAmount for the edit audit (mod_Log) - do not edit</t>
  </si>
  <si>
    <t>s:&lt; 1,000</t>
  </si>
  <si>
    <t>n:999.9999</t>
  </si>
  <si>
    <t>s:1,000 - 4,999</t>
  </si>
  <si>
    <t>n:1000</t>
  </si>
  <si>
    <t>n:4999.9999</t>
  </si>
  <si>
    <t>s:5,000 - 9,999</t>
  </si>
  <si>
    <t>n:5000</t>
  </si>
  <si>
    <t>n:9999.9999</t>
  </si>
  <si>
    <t>s:10,000 - 49,999</t>
  </si>
  <si>
    <t>n:10000</t>
  </si>
  <si>
    <t>n:49999.9999</t>
  </si>
  <si>
    <t>s:50,000 - 99,999</t>
  </si>
  <si>
    <t>n:50000</t>
  </si>
  <si>
    <t>n:99999.9999</t>
  </si>
  <si>
    <t>s:100,000 - 499,999</t>
  </si>
  <si>
    <t>n:100000</t>
  </si>
  <si>
    <t>n:499999.9999</t>
  </si>
  <si>
    <t>s:500,000 - 999,999</t>
  </si>
  <si>
    <t>n:500000</t>
  </si>
  <si>
    <t>n:999999.9999</t>
  </si>
  <si>
    <t>s:1,000,000 - 4,999,999</t>
  </si>
  <si>
    <t>n:1000000</t>
  </si>
  <si>
    <t>n:4999999.9999</t>
  </si>
  <si>
    <t>s:5,000,000 and above</t>
  </si>
  <si>
    <t>n:1000000000000</t>
  </si>
  <si>
    <t>s:negative or zero (reversal / nil)</t>
  </si>
  <si>
    <t>n:-1000000000000</t>
  </si>
  <si>
    <t>n:-.0001</t>
  </si>
  <si>
    <t>shadow copy of DevMonth for the edit audit (mod_Log) - do not edit</t>
  </si>
  <si>
    <t>s:DM00</t>
  </si>
  <si>
    <t>s:DM01</t>
  </si>
  <si>
    <t>s:DM02</t>
  </si>
  <si>
    <t>s:DM03</t>
  </si>
  <si>
    <t>s:DM04</t>
  </si>
  <si>
    <t>s:DM05</t>
  </si>
  <si>
    <t>s:DM06</t>
  </si>
  <si>
    <t>s:DM07</t>
  </si>
  <si>
    <t>s:DM08</t>
  </si>
  <si>
    <t>s:DM09</t>
  </si>
  <si>
    <t>s:DM10</t>
  </si>
  <si>
    <t>s:DM11</t>
  </si>
  <si>
    <t>s:DM12</t>
  </si>
  <si>
    <t>s:DM13</t>
  </si>
  <si>
    <t>s:DM14</t>
  </si>
  <si>
    <t>s:DM15</t>
  </si>
  <si>
    <t>s:DM16</t>
  </si>
  <si>
    <t>s:DM17</t>
  </si>
  <si>
    <t>s:DM18</t>
  </si>
  <si>
    <t>s:DM19</t>
  </si>
  <si>
    <t>s:DM20</t>
  </si>
  <si>
    <t>s:DM21</t>
  </si>
  <si>
    <t>s:DM22</t>
  </si>
  <si>
    <t>s:DM23</t>
  </si>
  <si>
    <t>s:DM24</t>
  </si>
  <si>
    <t>s:DM25</t>
  </si>
  <si>
    <t>s:DM26</t>
  </si>
  <si>
    <t>s:DM27</t>
  </si>
  <si>
    <t>s:DM28</t>
  </si>
  <si>
    <t>s:DM29</t>
  </si>
  <si>
    <t>s:DM30</t>
  </si>
  <si>
    <t>s:DM31</t>
  </si>
  <si>
    <t>s:DM32</t>
  </si>
  <si>
    <t>s:DM33</t>
  </si>
  <si>
    <t>s:DM34</t>
  </si>
  <si>
    <t>s:DM35</t>
  </si>
  <si>
    <t>s:DM36</t>
  </si>
  <si>
    <t>s:DM37</t>
  </si>
  <si>
    <t>s:DM38</t>
  </si>
  <si>
    <t>s:DM39</t>
  </si>
  <si>
    <t>s:DM40</t>
  </si>
  <si>
    <t>s:DM41</t>
  </si>
  <si>
    <t>s:DM42</t>
  </si>
  <si>
    <t>s:DM43</t>
  </si>
  <si>
    <t>s:DM44</t>
  </si>
  <si>
    <t>s:DM45</t>
  </si>
  <si>
    <t>s:DM46</t>
  </si>
  <si>
    <t>s:DM47</t>
  </si>
  <si>
    <t>s:DM48</t>
  </si>
  <si>
    <t>s:DM49</t>
  </si>
  <si>
    <t>s:DM50</t>
  </si>
  <si>
    <t>s:DM51</t>
  </si>
  <si>
    <t>s:DM52</t>
  </si>
  <si>
    <t>s:DM53</t>
  </si>
  <si>
    <t>s:DM54</t>
  </si>
  <si>
    <t>s:DM55</t>
  </si>
  <si>
    <t>s:DM56</t>
  </si>
  <si>
    <t>s:DM57</t>
  </si>
  <si>
    <t>s:DM58</t>
  </si>
  <si>
    <t>s:DM59</t>
  </si>
  <si>
    <t>s:DM60</t>
  </si>
  <si>
    <t>shadow copy of BandPolicyAge for the edit audit (mod_Log) - do not edit</t>
  </si>
  <si>
    <t>s:0-3 months</t>
  </si>
  <si>
    <t>s:4-6 months</t>
  </si>
  <si>
    <t>s:7-12 months</t>
  </si>
  <si>
    <t>s:13-24 months</t>
  </si>
  <si>
    <t>s:25-60 months</t>
  </si>
  <si>
    <t>s:over 60 months</t>
  </si>
  <si>
    <t>n:9999</t>
  </si>
  <si>
    <t>s:before policy start (check)</t>
  </si>
  <si>
    <t>n:-9999</t>
  </si>
  <si>
    <t>shadow copy of AnParam for the edit audit (mod_Log) - do not edit</t>
  </si>
  <si>
    <t>s:TopN</t>
  </si>
  <si>
    <t>s:count</t>
  </si>
  <si>
    <t>s:Rows shown in top-N lists and the top-N concentration share</t>
  </si>
  <si>
    <t>s:Analytics</t>
  </si>
  <si>
    <t>s:ContestabilityMonths</t>
  </si>
  <si>
    <t>s:months</t>
  </si>
  <si>
    <t>s:Policy age at loss below which a life claim is 'early' (contestability window; confirm per product)</t>
  </si>
  <si>
    <t>s:Actuarial</t>
  </si>
  <si>
    <t>s:days</t>
  </si>
  <si>
    <t>s:Operations</t>
  </si>
  <si>
    <t>s:MinLinesForQuantile</t>
  </si>
  <si>
    <t>s:lines</t>
  </si>
  <si>
    <t>s:Minimum lines for a quantile or ratio to be shown; below it INSUFFICIENT DATA</t>
  </si>
  <si>
    <t>s:MinMonthsForTrend</t>
  </si>
  <si>
    <t>s:Minimum months of history for YoY, seasonal index and statistical thresholds</t>
  </si>
  <si>
    <t>s:MinMonthsForForecast</t>
  </si>
  <si>
    <t>s:Minimum months for FORECAST.ETS (seasonal)</t>
  </si>
  <si>
    <t>s:RollingShortMonths</t>
  </si>
  <si>
    <t>s:Short rolling window</t>
  </si>
  <si>
    <t>s:RollingLongMonths</t>
  </si>
  <si>
    <t>s:Long rolling window</t>
  </si>
  <si>
    <t>s:RobustZConstant</t>
  </si>
  <si>
    <t>n:.6745</t>
  </si>
  <si>
    <t>s:factor</t>
  </si>
  <si>
    <t>s:Constant of the robust z-score: 0.6745 x (x - median) / MAD</t>
  </si>
  <si>
    <t>s:LargeLossTRY</t>
  </si>
  <si>
    <t>s:Large-loss threshold used by the severity pages (equals OutlierThresholdTRY unless changed)</t>
  </si>
  <si>
    <t>shadow copy of tblThreshold for the edit audit (mod_Log) - do not edit</t>
  </si>
  <si>
    <t>s:TH01</t>
  </si>
  <si>
    <t>s:TI01</t>
  </si>
  <si>
    <t>n:2.5</t>
  </si>
  <si>
    <t>n:3.5</t>
  </si>
  <si>
    <t>s:WATCH: 2 consecutive periods; ALERT: 1</t>
  </si>
  <si>
    <t>s:DRAFT</t>
  </si>
  <si>
    <t>s:TH02</t>
  </si>
  <si>
    <t>s:AV01</t>
  </si>
  <si>
    <t>s:TH03</t>
  </si>
  <si>
    <t>s:AV03</t>
  </si>
  <si>
    <t>s:STAT_PCT</t>
  </si>
  <si>
    <t>n:100</t>
  </si>
  <si>
    <t>s:WATCH: 2 consecutive periods</t>
  </si>
  <si>
    <t>s:TH04</t>
  </si>
  <si>
    <t>s:LG06</t>
  </si>
  <si>
    <t>s:P90</t>
  </si>
  <si>
    <t>s:P97.5</t>
  </si>
  <si>
    <t>s:Lag deterioration is a persistent shift, hence the persistence rule</t>
  </si>
  <si>
    <t>s:TH05</t>
  </si>
  <si>
    <t>s:LG07</t>
  </si>
  <si>
    <t>s:FIXED</t>
  </si>
  <si>
    <t>s:metric=breach share</t>
  </si>
  <si>
    <t>n:.2</t>
  </si>
  <si>
    <t>n:.35</t>
  </si>
  <si>
    <t>s:Policy value: owner to confirm with operations (placeholder 20% / 35%)</t>
  </si>
  <si>
    <t>s:TH06</t>
  </si>
  <si>
    <t>s:SH01</t>
  </si>
  <si>
    <t>s:PEER</t>
  </si>
  <si>
    <t>s:metric=index vs same-segment peer median</t>
  </si>
  <si>
    <t>n:1.5</t>
  </si>
  <si>
    <t>s:Peers only within the segment; never across segments</t>
  </si>
  <si>
    <t>s:TH07</t>
  </si>
  <si>
    <t>s:CN01</t>
  </si>
  <si>
    <t>s:metric=HHI of partner share</t>
  </si>
  <si>
    <t>n:2500</t>
  </si>
  <si>
    <t>n:4000</t>
  </si>
  <si>
    <t>s:WATCH: 1 period</t>
  </si>
  <si>
    <t>s:Common concentration reading (2,500 = highly concentrated); owner to confirm</t>
  </si>
  <si>
    <t>s:TH08</t>
  </si>
  <si>
    <t>s:AM02</t>
  </si>
  <si>
    <t>s:CONTROL</t>
  </si>
  <si>
    <t>s:TH09</t>
  </si>
  <si>
    <t>s:AM03</t>
  </si>
  <si>
    <t>s:TH10</t>
  </si>
  <si>
    <t>s:AM04</t>
  </si>
  <si>
    <t>n:.012</t>
  </si>
  <si>
    <t>n:.015</t>
  </si>
  <si>
    <t>n:300</t>
  </si>
  <si>
    <t>s:TH11</t>
  </si>
  <si>
    <t>s:AM06</t>
  </si>
  <si>
    <t>n:.1</t>
  </si>
  <si>
    <t>n:.25</t>
  </si>
  <si>
    <t>shadow copy of tblKPI for the edit audit (mod_Log) - do not edit</t>
  </si>
  <si>
    <t>s:PD01</t>
  </si>
  <si>
    <t>s:Paid</t>
  </si>
  <si>
    <t>s:Ödenen tutar (TL)</t>
  </si>
  <si>
    <t>s:Paid amount (TRY)</t>
  </si>
  <si>
    <t>s:Ödeme günündeki TCMB kuruyla TL'ye çevrilmiş brüt ödemelerin toplamı / Sum of gross payments converted to TRY at the CBRT rate of the payment date</t>
  </si>
  <si>
    <t>s:Paid TRY</t>
  </si>
  <si>
    <t>s:GrossAmountTRY</t>
  </si>
  <si>
    <t>s:Life;Pension;Non-life</t>
  </si>
  <si>
    <t>s:Guarded: BLANK unless exactly one segment is in context</t>
  </si>
  <si>
    <t>s:paid payments</t>
  </si>
  <si>
    <t>s:3.2.0-draft</t>
  </si>
  <si>
    <t>s:BUILT</t>
  </si>
  <si>
    <t>s:PD02</t>
  </si>
  <si>
    <t>s:Ödenen tutar (orijinal para birimi)</t>
  </si>
  <si>
    <t>s:Paid amount (original currency)</t>
  </si>
  <si>
    <t>s:Brüt ödemelerin kendi para biriminde toplamı; farklı para birimleri toplanmaz / Sum of gross payments in their own currency; currencies are never added</t>
  </si>
  <si>
    <t>s:Paid Original</t>
  </si>
  <si>
    <t>s:GrossAmount; CurrencyCode</t>
  </si>
  <si>
    <t>s:original currency</t>
  </si>
  <si>
    <t>s:Guarded: BLANK unless exactly one segment and one currency are in context</t>
  </si>
  <si>
    <t>s:PD03</t>
  </si>
  <si>
    <t>s:Net ödenen tutar (TL)</t>
  </si>
  <si>
    <t>s:Net paid amount (TRY)</t>
  </si>
  <si>
    <t>s:Muafiyet ve kesintiler düşüldükten sonra ödenen tutar, TL / Amount paid after deductible and deductions, in TRY</t>
  </si>
  <si>
    <t>s:NetAmountTRY</t>
  </si>
  <si>
    <t>s:PLANNED</t>
  </si>
  <si>
    <t>s:PD04</t>
  </si>
  <si>
    <t>s:Muafiyet tutarı (TL)</t>
  </si>
  <si>
    <t>s:Deductible amount (TRY)</t>
  </si>
  <si>
    <t>s:Ödeme satırlarındaki muafiyetin ödeme günü kuruyla TL karşılığı / Deductible on payment lines converted at the payment-date rate</t>
  </si>
  <si>
    <t>s:DeductibleAmount; RateToTRY</t>
  </si>
  <si>
    <t>s:Life;Non-life</t>
  </si>
  <si>
    <t>s:PD05</t>
  </si>
  <si>
    <t>s:Net / brüt oranı</t>
  </si>
  <si>
    <t>s:Net-to-gross ratio</t>
  </si>
  <si>
    <t>s:Net ödenen tutarın brüt ödenen tutara oranı / Net paid amount divided by gross paid amount</t>
  </si>
  <si>
    <t>s:ratio</t>
  </si>
  <si>
    <t>s:PD06</t>
  </si>
  <si>
    <t>s:Ödeme tarihine göre ödenen tutar</t>
  </si>
  <si>
    <t>s:Paid amount by payment date</t>
  </si>
  <si>
    <t>s:Raporlama dönemi yerine fiili ödeme tarihine göre brüt ödeme (nakit görünümü) / Gross payments by actual payment date instead of reporting period (cash view)</t>
  </si>
  <si>
    <t>s:CT01</t>
  </si>
  <si>
    <t>s:Counts</t>
  </si>
  <si>
    <t>s:Ödeme satırı sayısı</t>
  </si>
  <si>
    <t>s:Payment lines</t>
  </si>
  <si>
    <t>s:Dönemdeki ödeme satırlarının sayısı (taksitler ayrı satırdır) / Number of payment lines (instalments are separate lines)</t>
  </si>
  <si>
    <t>s:Payment Lines</t>
  </si>
  <si>
    <t>s:PaymentLineID</t>
  </si>
  <si>
    <t>s:Operational count, not segment-guarded</t>
  </si>
  <si>
    <t>s:CT02</t>
  </si>
  <si>
    <t>s:Dosya sayısı</t>
  </si>
  <si>
    <t>s:Cases</t>
  </si>
  <si>
    <t>s:Ödeme yapılan farklı dosya sayısı (şirket|dosya no) / Distinct paid cases (company|case number)</t>
  </si>
  <si>
    <t>s:CaseKey</t>
  </si>
  <si>
    <t>s:CT03</t>
  </si>
  <si>
    <t>s:Ödeme yapılan poliçe sayısı</t>
  </si>
  <si>
    <t>s:Policies with a payment</t>
  </si>
  <si>
    <t>s:Ödeme yapılan farklı poliçe sayısı / Distinct policies that received a payment</t>
  </si>
  <si>
    <t>s:CompanyID; PolicyNo</t>
  </si>
  <si>
    <t>s:CT04</t>
  </si>
  <si>
    <t>s:Kısmi ödenen dosya</t>
  </si>
  <si>
    <t>s:Partially paid cases</t>
  </si>
  <si>
    <t>s:Dönem itibarıyla birden fazla ödeme satırı olan dosya sayısı / Cases with two or more payment lines as of the period</t>
  </si>
  <si>
    <t>s:CT05</t>
  </si>
  <si>
    <t>s:Ters kayıt (iade) satırı</t>
  </si>
  <si>
    <t>s:Reversal lines</t>
  </si>
  <si>
    <t>s:Tutarı negatif olan satırların sayısı / Number of lines with a negative amount</t>
  </si>
  <si>
    <t>s:CT06</t>
  </si>
  <si>
    <t>s:Yeniden açılan dosya</t>
  </si>
  <si>
    <t>s:Reopened cases</t>
  </si>
  <si>
    <t>s:Daha önce kapanıp yeniden açılan dosya sayısı / Cases closed and reopened</t>
  </si>
  <si>
    <t>s:Not derivable from paid lines</t>
  </si>
  <si>
    <t>s:claim events feed (case history)</t>
  </si>
  <si>
    <t>s:NOT AVAILABLE</t>
  </si>
  <si>
    <t>s:Severity</t>
  </si>
  <si>
    <t>s:Dosya başına ortalama ödeme</t>
  </si>
  <si>
    <t>s:Mean paid per case</t>
  </si>
  <si>
    <t>s:Dosya düzeyinde toplam ödemenin ortalaması / Mean of the total paid per case</t>
  </si>
  <si>
    <t>s:CaseKey; GrossAmountTRY</t>
  </si>
  <si>
    <t>s:30 cases</t>
  </si>
  <si>
    <t>s:AV02</t>
  </si>
  <si>
    <t>s:Dosya başına medyan ödeme</t>
  </si>
  <si>
    <t>s:Median paid per case</t>
  </si>
  <si>
    <t>s:Dosya düzeyinde toplam ödemenin medyanı / Median of the total paid per case</t>
  </si>
  <si>
    <t>s:Dosya başına ödeme: P75 / P90 / P95 / P99</t>
  </si>
  <si>
    <t>s:Paid per case: P75 / P90 / P95 / P99</t>
  </si>
  <si>
    <t>s:Dosya düzeyinde ödeme dağılımının yüzdelikleri (PERCENTILE.INC) / Percentiles of the per-case paid distribution (PERCENTILE.INC)</t>
  </si>
  <si>
    <t>s:30 cases (P99: 100 cases)</t>
  </si>
  <si>
    <t>s:LG01</t>
  </si>
  <si>
    <t>s:Lags</t>
  </si>
  <si>
    <t>s:Hasar - ihbar süresi</t>
  </si>
  <si>
    <t>s:Loss to notification</t>
  </si>
  <si>
    <t>s:Hasar tarihi ile ihbar tarihi arasındaki gün / Days between loss date and notification date</t>
  </si>
  <si>
    <t>s:LossDate; NotificationDate</t>
  </si>
  <si>
    <t>s:30 lines</t>
  </si>
  <si>
    <t>s:LG02</t>
  </si>
  <si>
    <t>s:İhbar - evrak tamamlanma süresi</t>
  </si>
  <si>
    <t>s:Notification to documents complete</t>
  </si>
  <si>
    <t>s:İhbar ile evrak tamamlanma arasındaki gün / Days between notification and documents complete</t>
  </si>
  <si>
    <t>s:LG03</t>
  </si>
  <si>
    <t>s:Evrak tamamlanma - karar süresi</t>
  </si>
  <si>
    <t>s:Documents complete to decision</t>
  </si>
  <si>
    <t>s:Evrak tamamlanma ile ödeme kararı arasındaki gün / Days between documents complete and the payment decision</t>
  </si>
  <si>
    <t>s:LG04</t>
  </si>
  <si>
    <t>s:Karar - ödeme süresi</t>
  </si>
  <si>
    <t>s:Decision to payment</t>
  </si>
  <si>
    <t>s:Ödeme kararı ile ödeme tarihi arasındaki gün / Days between the payment decision and the payment</t>
  </si>
  <si>
    <t>s:DecisionDate; PaymentDate</t>
  </si>
  <si>
    <t>s:LG05</t>
  </si>
  <si>
    <t>s:İhbar - ödeme süresi</t>
  </si>
  <si>
    <t>s:Notification to payment</t>
  </si>
  <si>
    <t>s:İhbar ile ödeme tarihi arasındaki gün (mevcut alan) / Days between notification and payment (existing field)</t>
  </si>
  <si>
    <t>s:Hasar - ödeme süresi (uçtan uca)</t>
  </si>
  <si>
    <t>s:Loss to payment (end to end)</t>
  </si>
  <si>
    <t>s:Hasar tarihi ile ödeme tarihi arasındaki gün / Days between loss date and payment date</t>
  </si>
  <si>
    <t>s:LossDate; PaymentDate</t>
  </si>
  <si>
    <t>s:SLA aşım oranı</t>
  </si>
  <si>
    <t>s:SLA breach share</t>
  </si>
  <si>
    <t>s:Karar - ödeme süresi parametre değerini aşan dosyaların payı / Share of cases whose decision-to-payment days exceed the parameter value</t>
  </si>
  <si>
    <t>s:Time</t>
  </si>
  <si>
    <t>s:Aylık değişim (AA)</t>
  </si>
  <si>
    <t>s:Month-over-month change</t>
  </si>
  <si>
    <t>s:Ödenen tutarın bir önceki aya göre değişimi / Change of the paid amount against the previous month</t>
  </si>
  <si>
    <t>s:TI02</t>
  </si>
  <si>
    <t>s:Yıllık değişim (YY)</t>
  </si>
  <si>
    <t>s:Year-over-year change</t>
  </si>
  <si>
    <t>s:Ödenen tutarın geçen yılın aynı dönemine göre değişimi / Change of the paid amount against the same period last year</t>
  </si>
  <si>
    <t>s:12 months</t>
  </si>
  <si>
    <t>s:TI03</t>
  </si>
  <si>
    <t>s:Yıl başından bugüne (YBB)</t>
  </si>
  <si>
    <t>s:Year to date</t>
  </si>
  <si>
    <t>s:Takvim yılı başından döneme kadar ödenen tutar / Paid amount from the start of the calendar year to the period</t>
  </si>
  <si>
    <t>s:TI04</t>
  </si>
  <si>
    <t>s:Kayan 3 / 12 ay toplamı</t>
  </si>
  <si>
    <t>s:Rolling 3 / 12 months</t>
  </si>
  <si>
    <t>s:Son 3 ve 12 ayın ödenen tutar toplamı / Paid amount over the last 3 and 12 months</t>
  </si>
  <si>
    <t>s:3 / 12 months</t>
  </si>
  <si>
    <t>s:TI05</t>
  </si>
  <si>
    <t>s:Mevsimsellik endeksi</t>
  </si>
  <si>
    <t>s:Seasonal index</t>
  </si>
  <si>
    <t>s:Aylık ödemenin ortalanmış hareketli ortalamaya oranı (ay bazında ortalama) / Monthly paid amount divided by its centred moving average, averaged by calendar month</t>
  </si>
  <si>
    <t>s:index</t>
  </si>
  <si>
    <t>s:24 months</t>
  </si>
  <si>
    <t>s:Mix</t>
  </si>
  <si>
    <t>s:Ödeme niteliği payı</t>
  </si>
  <si>
    <t>s:Payment nature share</t>
  </si>
  <si>
    <t>s:Her ödeme niteliğinin segment içindeki ödenen tutar payı / Share of each payment nature in the segment's paid amount</t>
  </si>
  <si>
    <t>s:LossCause; PaymentNature</t>
  </si>
  <si>
    <t>s:share</t>
  </si>
  <si>
    <t>s:SH02</t>
  </si>
  <si>
    <t>s:Şirket payı (segment içinde)</t>
  </si>
  <si>
    <t>s:Company share within segment</t>
  </si>
  <si>
    <t>s:Şirketin ödemesinin aynı segmentteki toplama oranı / Company paid amount divided by the same-segment total</t>
  </si>
  <si>
    <t>s:CompanyID; GrossAmountTRY</t>
  </si>
  <si>
    <t>s:Never across segments</t>
  </si>
  <si>
    <t>s:Concentration</t>
  </si>
  <si>
    <t>s:Herfindahl-Hirschman endeksi</t>
  </si>
  <si>
    <t>s:Herfindahl-Hirschman index (HHI)</t>
  </si>
  <si>
    <t>s:Payların karelerinin toplamı (0-10.000); aracı, ortak, branş yoğunlaşması / Sum of squared shares (0-10,000); partner, channel, branch concentration</t>
  </si>
  <si>
    <t>s:PartnerCode; SalesChannelCode; BranchKey</t>
  </si>
  <si>
    <t>s:CN02</t>
  </si>
  <si>
    <t>s:İlk N payı</t>
  </si>
  <si>
    <t>s:Top-N share</t>
  </si>
  <si>
    <t>s:En büyük N dosyanın toplam ödemedeki payı (N parametredir) / Share of the N largest cases in the paid amount (N is a parameter)</t>
  </si>
  <si>
    <t>s:VB01</t>
  </si>
  <si>
    <t>s:Bridge</t>
  </si>
  <si>
    <t>s:Aylık değişim köprüsü</t>
  </si>
  <si>
    <t>s:Month-over-month variance bridge</t>
  </si>
  <si>
    <t>s:Değişimin satır sayısı ve satır başına ortalama tutar etkisine ayrıştırılması / Change split into a line-count effect and an average-amount-per-line effect</t>
  </si>
  <si>
    <t>s:VB02</t>
  </si>
  <si>
    <t>s:Yıllık değişim köprüsü</t>
  </si>
  <si>
    <t>s:Year-over-year variance bridge</t>
  </si>
  <si>
    <t>s:Yıllık değişimin sayı, tutar ve karma etkilerine ayrıştırılması / Year-over-year change split into count, amount and mix effects</t>
  </si>
  <si>
    <t>s:TR01</t>
  </si>
  <si>
    <t>s:Triangle</t>
  </si>
  <si>
    <t>s:Artımlı ödeme üçgeni</t>
  </si>
  <si>
    <t>s:Incremental paid triangle</t>
  </si>
  <si>
    <t>s:Hasar ayı x gelişim ayı bazında ödenen tutar / Paid amount by loss month x development month</t>
  </si>
  <si>
    <t>s:TR02</t>
  </si>
  <si>
    <t>s:Kümülatif ödeme üçgeni</t>
  </si>
  <si>
    <t>s:Cumulative paid triangle</t>
  </si>
  <si>
    <t>s:Artımlı üçgenin gelişim ayı boyunca kümülatifi / Running total of the incremental triangle over development months</t>
  </si>
  <si>
    <t>s:TR03</t>
  </si>
  <si>
    <t>s:Gelişim faktörleri</t>
  </si>
  <si>
    <t>s:Link ratios</t>
  </si>
  <si>
    <t>s:Ardışık gelişim ayları kümülatif oranları (basit ve hacim ağırlıklı; son 3/6/12) / Ratios of successive cumulative columns (simple and volume-weighted; latest 3/6/12)</t>
  </si>
  <si>
    <t>s:TR04</t>
  </si>
  <si>
    <t>s:Göstergesel ödeme projeksiyonu</t>
  </si>
  <si>
    <t>s:Indicative paid projection</t>
  </si>
  <si>
    <t>s:Zincir merdiven yöntemiyle ödemelerin göstergesel tamamlanması; rezerv tahmini DEĞİLDİR / Chain-ladder completion of paid amounts; NOT a reserve estimate</t>
  </si>
  <si>
    <t>s:24 loss months</t>
  </si>
  <si>
    <t>s:SV01</t>
  </si>
  <si>
    <t>s:Lorenz eğrisi ve Gini</t>
  </si>
  <si>
    <t>s:Lorenz curve and Gini</t>
  </si>
  <si>
    <t>s:Dosya ödemelerinin eşitsizliği / Inequality of per-case payments</t>
  </si>
  <si>
    <t>s:SV02</t>
  </si>
  <si>
    <t>s:Büyük hasar payı</t>
  </si>
  <si>
    <t>s:Large-loss share</t>
  </si>
  <si>
    <t>s:Parametre eşiğini aşan dosyaların ödeme içindeki payı / Share of paid amount in cases above the large-loss threshold</t>
  </si>
  <si>
    <t>s:SV03</t>
  </si>
  <si>
    <t>s:Ortalama aşım ve kuyruk indeksi</t>
  </si>
  <si>
    <t>s:Mean excess and tail index</t>
  </si>
  <si>
    <t>s:Eşik üzerindeki ortalama aşım; Pareto kuyruk indeksi (göstergesel) / Mean excess over a threshold; Pareto tail index (indicative)</t>
  </si>
  <si>
    <t>s:LM01</t>
  </si>
  <si>
    <t>s:Limits</t>
  </si>
  <si>
    <t>s:Ödeme / teminat tutarı</t>
  </si>
  <si>
    <t>s:Paid / cover amount</t>
  </si>
  <si>
    <t>s:Ödemenin teminat tutarına oranı / Paid amount divided by the cover amount</t>
  </si>
  <si>
    <t>s:GrossAmount; CoverAmount</t>
  </si>
  <si>
    <t>s:LM02</t>
  </si>
  <si>
    <t>s:Ödeme / toplam sigorta bedeli</t>
  </si>
  <si>
    <t>s:Paid / total sum insured</t>
  </si>
  <si>
    <t>s:Ödemenin toplam sigorta bedeline oranı / Paid amount divided by the total sum insured</t>
  </si>
  <si>
    <t>s:GrossAmount; TotalSumInsured</t>
  </si>
  <si>
    <t>s:LM03</t>
  </si>
  <si>
    <t>s:İlk muallak doğruluğu</t>
  </si>
  <si>
    <t>s:Initial-reserve accuracy</t>
  </si>
  <si>
    <t>s:Dosya başına ödenen / ilk muallak oranı: medyan, sapma, dağılım / Paid divided by initial reserve per case: median, bias, distribution</t>
  </si>
  <si>
    <t>s:LF01</t>
  </si>
  <si>
    <t>s:Erken hasar payı</t>
  </si>
  <si>
    <t>s:Early-claim share</t>
  </si>
  <si>
    <t>s:Poliçe yaşı itiraz süresi parametresinden kısa olan hasarların payı / Share of claims whose policy age at loss is below the contestability parameter</t>
  </si>
  <si>
    <t>s:PolicyStartDate; LossDate; AnParam</t>
  </si>
  <si>
    <t>s:QL01</t>
  </si>
  <si>
    <t>s:Quality</t>
  </si>
  <si>
    <t>s:Alan doluluk oranı</t>
  </si>
  <si>
    <t>s:Field completeness</t>
  </si>
  <si>
    <t>s:Modele alınan alanların dolu satır oranı / Share of non-blank values per modelled field</t>
  </si>
  <si>
    <t>s:all modelled fields</t>
  </si>
  <si>
    <t>s:AM01</t>
  </si>
  <si>
    <t>s:Anomaly</t>
  </si>
  <si>
    <t>s:Dayanıklı z-skoru</t>
  </si>
  <si>
    <t>s:Robust z-score</t>
  </si>
  <si>
    <t>s:z</t>
  </si>
  <si>
    <t>s:X-mR kontrol grafiği</t>
  </si>
  <si>
    <t>s:X-mR control chart</t>
  </si>
  <si>
    <t>s:CUSUM</t>
  </si>
  <si>
    <t>s:Benford ilk hane testi</t>
  </si>
  <si>
    <t>s:Benford first-digit test</t>
  </si>
  <si>
    <t>s:300 lines</t>
  </si>
  <si>
    <t>s:AM05</t>
  </si>
  <si>
    <t>s:Yuvarlak tutar payı</t>
  </si>
  <si>
    <t>s:Round-amount share</t>
  </si>
  <si>
    <t>s:Population stability index (PSI)</t>
  </si>
  <si>
    <t>s:NA01</t>
  </si>
  <si>
    <t>s:Not available</t>
  </si>
  <si>
    <t>s:Hasar sıklığı</t>
  </si>
  <si>
    <t>s:Claim frequency</t>
  </si>
  <si>
    <t>s:Hasar sayısı / maruziyet / Number of claims divided by exposure</t>
  </si>
  <si>
    <t>s:rate</t>
  </si>
  <si>
    <t>s:exposure feed</t>
  </si>
  <si>
    <t>s:NA02</t>
  </si>
  <si>
    <t>s:Hasar / prim oranı</t>
  </si>
  <si>
    <t>s:Loss ratio</t>
  </si>
  <si>
    <t>s:Hasar / kazanılmış prim / Incurred divided by earned premium</t>
  </si>
  <si>
    <t>s:premium feed and reserves</t>
  </si>
  <si>
    <t>s:NA03</t>
  </si>
  <si>
    <t>s:Rezerv yeterliliği ve IBNR</t>
  </si>
  <si>
    <t>s:Reserve adequacy and IBNR</t>
  </si>
  <si>
    <t>s:Muallak ve gerçekleşmiş ama bildirilmemiş hasar / Case reserves and incurred-but-not-reported</t>
  </si>
  <si>
    <t>s:reserves feed</t>
  </si>
  <si>
    <t>Atanmamış segment</t>
  </si>
  <si>
    <t>Unassigned segment</t>
  </si>
  <si>
    <t>#7F7F7F</t>
  </si>
  <si>
    <t>Unassigned</t>
  </si>
  <si>
    <t>Minimum cases for the 99th percentile of paid per case; below it INSUFFICIENT DATA</t>
  </si>
  <si>
    <t>MinLinesForP99</t>
  </si>
  <si>
    <t>AN_MSG_UNASSIGNED</t>
  </si>
  <si>
    <t>metric=median end-to-end days; band=own history; measure=[Lag Loss to Payment P50]</t>
  </si>
  <si>
    <t>[Paid TRY] = IF ( [Segment Guard OK], SUM ( FactPayment[GrossAmountTRY] ) )</t>
  </si>
  <si>
    <t>[Paid Original] = IF ( [Segment Guard OK] &amp;&amp; [Currency Guard OK], SUM ( FactPayment[GrossAmount] ) )</t>
  </si>
  <si>
    <t>Paid Net TRY</t>
  </si>
  <si>
    <t>[Paid Net TRY] = IF ( [Segment Guard OK], SUM ( FactPayment[NetAmountTRY] ) )</t>
  </si>
  <si>
    <t>Paid Deductible TRY</t>
  </si>
  <si>
    <t>[Paid Deductible TRY] = IF ( [Segment Guard OK], SUMX ( FactPayment, FactPayment[DeductibleAmount] * FactPayment[RateToTRY] ) )</t>
  </si>
  <si>
    <t>Field is blank for pension payments | Guarded: BLANK unless exactly one segment is in context | DeductibleAmount is blank for part of the lines; the sum covers the lines that carry a value</t>
  </si>
  <si>
    <t>GrossAmountTRY; NetAmountTRY</t>
  </si>
  <si>
    <t>Net to Gross Ratio</t>
  </si>
  <si>
    <t>[Net to Gross Ratio] = DIVIDE ( [Paid Net TRY], [Paid TRY] )</t>
  </si>
  <si>
    <t>DecisionDate; DocsCompleteDate; GrossAmountTRY; LossDate; NotificationDate; PaymentDate</t>
  </si>
  <si>
    <t>Paid TRY by Payment Date; Paid TRY by Loss Date; Paid TRY by Notification Date; Paid TRY by Decision Date; Paid TRY by Documents Complete Date</t>
  </si>
  <si>
    <t>[Paid TRY by Payment Date] = CALCULATE ( [Paid TRY], USERELATIONSHIP ( FactPayment[PaymentDate], DimDate[Date] ) ) || [Paid TRY by Loss Date] = CALCULATE ( [Paid TRY], USERELATIONSHIP ( FactPayment[LossDate], DimDate[Date] ) ) || [Paid TRY by Notification Date] = CALCULATE ( [Paid TRY], USERELATIONSHIP ( FactPayment[NotificationDate], DimDate[Date] ) ) || [Paid TRY by Decision Date] = CALCULATE ( [Paid TRY], USERELATIONSHIP ( FactPayment[DecisionDate], DimDate[Date] ) ) || [Paid TRY by Documents Complete Date] = CALCULATE ( [Paid TRY], USERELATIONSHIP ( FactPayment[DocsCompleteDate], DimDate[Date] ) )</t>
  </si>
  <si>
    <t>Existing 3.0 measure, not segment-guarded; use Paid TRY for analytics pages | Guarded: BLANK unless exactly one segment is in context | Guarded variants by loss, notification, decision and documents-complete date are listed in this row</t>
  </si>
  <si>
    <t>[Payment Lines] = COUNTROWS ( FactPayment )</t>
  </si>
  <si>
    <t>[Cases] = IF ( [Segment Guard OK], [Distinct Cases] )</t>
  </si>
  <si>
    <t>Policies with Payment</t>
  </si>
  <si>
    <t>[Policies with Payment] = IF ( [Segment Guard OK], SUMX ( VALUES ( FactPayment[CompanyID] ), CALCULATE ( DISTINCTCOUNT ( FactPayment[PolicyNo] ) ) ) )</t>
  </si>
  <si>
    <t>Counts policies WITH payments only: it is not a policy count and not an exposure | Guarded: BLANK unless exactly one segment is in context | Policies are counted within a company (policy numbers repeat across companies)</t>
  </si>
  <si>
    <t>Partially Paid Cases; Partially Paid Case Share</t>
  </si>
  <si>
    <t>[Partially Paid Cases] = IF ( [Segment Guard OK], VAR n = [Partial Payment Cases] RETURN IF ( ISBLANK ( n ), 0, n ) ) || [Partially Paid Case Share] = DIVIDE ( [Partially Paid Cases], [Cases] )</t>
  </si>
  <si>
    <t>GrossAmount; GrossAmountTRY</t>
  </si>
  <si>
    <t>Reversal Amount TRY; Reversal Lines; Reversal Line Share</t>
  </si>
  <si>
    <t>[Reversal Amount TRY] = IF ( [Segment Guard OK], CALCULATE ( SUM ( FactPayment[GrossAmountTRY] ), FactPayment[GrossAmountTRY] &lt; 0 ) ) || [Reversal Lines] = VAR n = CALCULATE ( COUNTROWS ( FactPayment ), FactPayment[GrossAmount] &lt; 0 ) RETURN IF ( ISBLANK ( n ), 0, n ) || [Reversal Line Share] = DIVIDE ( [Reversal Lines], [Payment Lines] )</t>
  </si>
  <si>
    <t>Guarded: BLANK unless exactly one segment is in context | Mini data: negative amounts exist only as injected defects; the ground truth has none</t>
  </si>
  <si>
    <t>Mean Paid per Case TRY</t>
  </si>
  <si>
    <t>[Mean Paid per Case TRY] = IF ( [Segment Guard OK] &amp;&amp; [Distinct Cases] &gt;= LOOKUPVALUE ( AnParam[Value], AnParam[Param], "MinLinesForQuantile" ), DIVIDE ( [Paid TRY], [Distinct Cases] ) )</t>
  </si>
  <si>
    <t>Guarded: BLANK unless exactly one segment is in context | Case paid = TRY paid on the case within the filter context (not the lifetime paid of the case); below MinLinesForQuantile cases the value is BLANK (P99: MinLinesForP99)</t>
  </si>
  <si>
    <t>Median Paid per Case TRY</t>
  </si>
  <si>
    <t>[Median Paid per Case TRY] = IF ( [Segment Guard OK] &amp;&amp; [Distinct Cases] &gt;= LOOKUPVALUE ( AnParam[Value], AnParam[Param], "MinLinesForQuantile" ), PERCENTILEX.INC ( VALUES ( FactPayment[CaseKey] ), CALCULATE ( SUM ( FactPayment[GrossAmountTRY] ) ), 0.5 ) )</t>
  </si>
  <si>
    <t>P75 Paid per Case TRY; P90 Paid per Case TRY; P95 Paid per Case TRY; P99 Paid per Case TRY</t>
  </si>
  <si>
    <t>[P75 Paid per Case TRY] = IF ( [Segment Guard OK] &amp;&amp; [Distinct Cases] &gt;= LOOKUPVALUE ( AnParam[Value], AnParam[Param], "MinLinesForQuantile" ), PERCENTILEX.INC ( VALUES ( FactPayment[CaseKey] ), CALCULATE ( SUM ( FactPayment[GrossAmountTRY] ) ), 0.75 ) ) || [P90 Paid per Case TRY] = IF ( [Segment Guard OK] &amp;&amp; [Distinct Cases] &gt;= LOOKUPVALUE ( AnParam[Value], AnParam[Param], "MinLinesForQuantile" ), PERCENTILEX.INC ( VALUES ( FactPayment[CaseKey] ), CALCULATE ( SUM ( FactPayment[GrossAmountTRY] ) ), 0.9 ) ) || [P95 Paid per Case TRY] = IF ( [Segment Guard OK] &amp;&amp; [Distinct Cases] &gt;= LOOKUPVALUE ( AnParam[Value], AnParam[Param], "MinLinesForQuantile" ), PERCENTILEX.INC ( VALUES ( FactPayment[CaseKey] ), CALCULATE ( SUM ( FactPayment[GrossAmountTRY] ) ), 0.95 ) ) || [P99 Paid per Case TRY] = IF ( [Segment Guard OK] &amp;&amp; [Distinct Cases] &gt;= LOOKUPVALUE ( AnParam[Value], AnParam[Param], "MinLinesForP99" ), PERCENTILEX.INC ( VALUES ( FactPayment[CaseKey] ), CALCULATE ( SUM ( FactPayment[GrossAmountTRY] ) ), 0.99 ) )</t>
  </si>
  <si>
    <t>Lag Loss to Notification Lines; Lag Loss to Notification Mean; Lag Loss to Notification P50; Lag Loss to Notification P75; Lag Loss to Notification P90; Lag Loss to Notification P95; Lag Loss to Notification Mean by Notification Date; Lag Loss to Notification P50 by Notification Date; Lag Loss to Notification P90 by Notification Date</t>
  </si>
  <si>
    <t>DocsCompleteDate; NotificationDate</t>
  </si>
  <si>
    <t>Lag Notification to Documents Lines; Lag Notification to Documents Mean; Lag Notification to Documents P50; Lag Notification to Documents P75; Lag Notification to Documents P90; Lag Notification to Documents P95; Lag Notification to Documents Mean by Documents Complete Date; Lag Notification to Documents P50 by Documents Complete Date; Lag Notification to Documents P90 by Documents Complete Date</t>
  </si>
  <si>
    <t>DecisionDate; DocsCompleteDate</t>
  </si>
  <si>
    <t>Lag Documents to Decision Lines; Lag Documents to Decision Mean; Lag Documents to Decision P50; Lag Documents to Decision P75; Lag Documents to Decision P90; Lag Documents to Decision P95; Lag Documents to Decision Mean by Decision Date; Lag Documents to Decision P50 by Decision Date; Lag Documents to Decision P90 by Decision Date</t>
  </si>
  <si>
    <t>Lag Decision to Payment Lines; Lag Decision to Payment Mean; Lag Decision to Payment P50; Lag Decision to Payment P75; Lag Decision to Payment P90; Lag Decision to Payment P95; Lag Decision to Payment Mean by Payment Date; Lag Decision to Payment P50 by Payment Date; Lag Decision to Payment P90 by Payment Date</t>
  </si>
  <si>
    <t>NotificationDate; PaymentDate</t>
  </si>
  <si>
    <t>Lag Notification to Payment Mean; Lag Notification to Payment Lines; Lag Notification to Payment P50; Lag Notification to Payment P75; Lag Notification to Payment P90; Lag Notification to Payment P95; Lag Notification to Payment Mean by Payment Date; Lag Notification to Payment P50 by Payment Date; Lag Notification to Payment P90 by Payment Date</t>
  </si>
  <si>
    <t>Lag Loss to Payment Lines; Lag Loss to Payment Mean; Lag Loss to Payment P50; Lag Loss to Payment P75; Lag Loss to Payment P90; Lag Loss to Payment P95; Lag Loss to Payment Mean by Payment Date; Lag Loss to Payment P50 by Payment Date; Lag Loss to Payment P90 by Payment Date</t>
  </si>
  <si>
    <t>AnParam; DecisionDate; LossDate; PaymentDate</t>
  </si>
  <si>
    <t>Net ödemelerin kendi para biriminde toplamı / Sum of net payments in their own currency</t>
  </si>
  <si>
    <t>PD07</t>
  </si>
  <si>
    <t>CurrencyCode; NetAmount</t>
  </si>
  <si>
    <t>Net paid amount (original currency)</t>
  </si>
  <si>
    <t>Paid Net Original</t>
  </si>
  <si>
    <t>Net ödenen tutar (orijinal para birimi)</t>
  </si>
  <si>
    <t>[Paid Net Original] = IF ( [Segment Guard OK] &amp;&amp; [Currency Guard OK], SUM ( FactPayment[NetAmount] ) )</t>
  </si>
  <si>
    <t>Muafiyetin kendi para biriminde toplamı / Sum of the deductible in its own currency</t>
  </si>
  <si>
    <t>PD08</t>
  </si>
  <si>
    <t>CurrencyCode; DeductibleAmount</t>
  </si>
  <si>
    <t>Deductible (original currency)</t>
  </si>
  <si>
    <t>Paid Deductible Original</t>
  </si>
  <si>
    <t>Muafiyet (orijinal para birimi)</t>
  </si>
  <si>
    <t>[Paid Deductible Original] = IF ( [Segment Guard OK] &amp;&amp; [Currency Guard OK], SUM ( FactPayment[DeductibleAmount] ) )</t>
  </si>
  <si>
    <t>Muafiyet tutarının brüt ödenen tutara oranı / Deductible divided by gross paid</t>
  </si>
  <si>
    <t>PD09</t>
  </si>
  <si>
    <t>DeductibleAmount; GrossAmountTRY; RateToTRY</t>
  </si>
  <si>
    <t>Deductible share of gross</t>
  </si>
  <si>
    <t>Deductible Share of Gross</t>
  </si>
  <si>
    <t>Muafiyetin brüt ödemeye oranı</t>
  </si>
  <si>
    <t>[Deductible Share of Gross] = DIVIDE ( [Paid Deductible TRY], [Paid TRY] )</t>
  </si>
  <si>
    <t>Dosya başına ortalama ödeme satırı (taksit) sayısı / Average number of payment lines (instalments) per case</t>
  </si>
  <si>
    <t>CT07</t>
  </si>
  <si>
    <t>CaseKey; PaymentLineID</t>
  </si>
  <si>
    <t>Payment lines per case</t>
  </si>
  <si>
    <t>Lines per Case</t>
  </si>
  <si>
    <t>Dosya başına ödeme satırı</t>
  </si>
  <si>
    <t>[Lines per Case] = DIVIDE ( [Payment Lines], [Cases] )</t>
  </si>
  <si>
    <t>Tek dosyaya yapılan en yüksek ödeme / Largest TRY paid on a single case</t>
  </si>
  <si>
    <t>AV04</t>
  </si>
  <si>
    <t>Largest case paid</t>
  </si>
  <si>
    <t>Largest Case Paid TRY</t>
  </si>
  <si>
    <t>En yüksek dosya ödemesi</t>
  </si>
  <si>
    <t>[Largest Case Paid TRY] = IF ( [Segment Guard OK] &amp;&amp; [Distinct Cases] &gt;= LOOKUPVALUE ( AnParam[Value], AnParam[Param], "MinLinesForQuantile" ), MAXX ( VALUES ( FactPayment[CaseKey] ), CALCULATE ( SUM ( FactPayment[GrossAmountTRY] ) ) ) )</t>
  </si>
  <si>
    <t>Ödeme satırı başına ortalama tutar / Mean TRY per payment line</t>
  </si>
  <si>
    <t>AV05</t>
  </si>
  <si>
    <t>Mean paid per line</t>
  </si>
  <si>
    <t>Mean Paid per Line TRY</t>
  </si>
  <si>
    <t>Satır başına ortalama ödeme</t>
  </si>
  <si>
    <t>[Mean Paid per Line TRY] = IF ( [Segment Guard OK] &amp;&amp; [Payment Lines] &gt;= LOOKUPVALUE ( AnParam[Value], AnParam[Param], "MinLinesForQuantile" ), DIVIDE ( [Paid TRY], [Payment Lines] ) )</t>
  </si>
  <si>
    <t>Filtre bağlamında satırı olan segment ve para birimi sayısı; tutar ölçüleri tek segment ister / Number of segments and currencies with lines in the filter context; amount measures need one segment</t>
  </si>
  <si>
    <t>GD01</t>
  </si>
  <si>
    <t>DimSegment[Segment]; CurrencyCode</t>
  </si>
  <si>
    <t>Segments and currencies in context</t>
  </si>
  <si>
    <t>Bağlamdaki segment ve para birimi</t>
  </si>
  <si>
    <t>Unassigned segment counts as a segment; a company type missing from the segment list counts as one blank segment</t>
  </si>
  <si>
    <t>Guards</t>
  </si>
  <si>
    <t>Segment ve para birimi korumasının geçip geçmediği / Whether the segment and currency guards pass</t>
  </si>
  <si>
    <t>GD02</t>
  </si>
  <si>
    <t>Guard flags</t>
  </si>
  <si>
    <t>Segment Guard OK; Currency Guard OK</t>
  </si>
  <si>
    <t>Koruma bayrakları</t>
  </si>
  <si>
    <t>[Segment Guard OK] = [Segments In Context] &lt;= 1 || [Currency Guard OK] = [Currencies In Context] &lt;= 1</t>
  </si>
  <si>
    <t>flag</t>
  </si>
  <si>
    <t>Sayfa başlığındaki uyarı metni: segment/para birimi mesajı ve atanmamış segment uyarısı / Page-header banner: segment or currency message and the unassigned-segment warning</t>
  </si>
  <si>
    <t>GD03</t>
  </si>
  <si>
    <t>Context message and page notice</t>
  </si>
  <si>
    <t>Context Message; Page Notice; Segment Warning</t>
  </si>
  <si>
    <t>Bağlam ve sayfa uyarısı</t>
  </si>
  <si>
    <t>[Context Message] = VAR S = [Segments In Context] VAR C = [Currencies In Context] RETURN SWITCH ( TRUE (), S &gt; 1, LOOKUPVALUE ( tblUIText[TR], tblUIText[Key], "AN_MSG_SEGMENT" ) &amp; " / " &amp; LOOKUPVALUE ( tblUIText[EN], tblUIText[Key], "AN_MSG_SEGMENT" ), C &gt; 1, LOOKUPVALUE ( tblUIText[TR], tblUIText[Key], "AN_MSG_CURRENCY" ) &amp; " / " &amp; LOOKUPVALUE ( tblUIText[EN], tblUIText[Key], "AN_MSG_CURRENCY" ), BLANK () ) || [Page Notice] = VAR a = [Context Message] VAR b = [Segment Warning] RETURN IF ( ISBLANK ( a ), b, IF ( ISBLANK ( b ), a, a &amp; " | " &amp; b ) ) || [Segment Warning] = IF ( [Unassigned Lines] &gt; 0, LOOKUPVALUE ( tblUIText[TR], tblUIText[Key], "AN_MSG_UNASSIGNED" ) &amp; " " &amp; FORMAT ( [Unassigned Lines], "#,##0" ) &amp; " / " &amp; LOOKUPVALUE ( tblUIText[EN], tblUIText[Key], "AN_MSG_UNASSIGNED" ) &amp; " " &amp; FORMAT ( [Unassigned Lines], "#,##0" ) )</t>
  </si>
  <si>
    <t>Şirketi şirket listesinde olmayan satırlar 'Atanmamış segment' olarak gösterilir ve uyarı verir / Lines whose company is not in the company list appear as 'Unassigned segment' with a warning</t>
  </si>
  <si>
    <t>GD04</t>
  </si>
  <si>
    <t>CompanyID; DimCompany[CompanyType]</t>
  </si>
  <si>
    <t>Unassigned Lines; Segment Warning</t>
  </si>
  <si>
    <t>[Unassigned Lines] = VAR n = CALCULATE ( COUNTROWS ( FactPayment ), DimSegment[Segment] = "Unassigned" ) RETURN IF ( ISBLANK ( n ), 0, n ) || [Segment Warning] = IF ( [Unassigned Lines] &gt; 0, LOOKUPVALUE ( tblUIText[TR], tblUIText[Key], "AN_MSG_UNASSIGNED" ) &amp; " " &amp; FORMAT ( [Unassigned Lines], "#,##0" ) &amp; " / " &amp; LOOKUPVALUE ( tblUIText[EN], tblUIText[Key], "AN_MSG_UNASSIGNED" ) &amp; " " &amp; FORMAT ( [Unassigned Lines], "#,##0" ) )</t>
  </si>
  <si>
    <t>Mini data: company 08302 (near-miss file name, backlog BL-18), 118 lines</t>
  </si>
  <si>
    <t>Satır/dosya sayısı eşiğin altındaysa INSUFFICIENT DATA / INSUFFICIENT DATA when lines or cases are below the minimum</t>
  </si>
  <si>
    <t>GD05</t>
  </si>
  <si>
    <t>AnParam; CaseKey</t>
  </si>
  <si>
    <t>Data sufficiency</t>
  </si>
  <si>
    <t>Sufficiency Status; Case Sufficiency Status</t>
  </si>
  <si>
    <t>Veri yeterliliği</t>
  </si>
  <si>
    <t>30 lines / cases</t>
  </si>
  <si>
    <t>[Sufficiency Status] = IF ( [Payment Lines] &lt; LOOKUPVALUE ( AnParam[Value], AnParam[Param], "MinLinesForQuantile" ), "INSUFFICIENT DATA", "OK" ) || [Case Sufficiency Status] = IF ( [Distinct Cases] &lt; LOOKUPVALUE ( AnParam[Value], AnParam[Param], "MinLinesForQuantile" ), "INSUFFICIENT DATA", "OK" )</t>
  </si>
  <si>
    <t>Eşlenmemiş satır sayıları (WP-1) / Unmapped line counts per reference map (WP-1)</t>
  </si>
  <si>
    <t>GD06</t>
  </si>
  <si>
    <t>all mapped keys</t>
  </si>
  <si>
    <t>Mapping coverage</t>
  </si>
  <si>
    <t>Unmapped Lines Segment; Unmapped Lines Nature; Unmapped Lines Branch; Unmapped Lines Product; Unmapped Lines Channel; Unmapped Lines Partner; Unmapped Lines Geography; Unmapped Lines Currency; Unmapped Lines AgeBand</t>
  </si>
  <si>
    <t>Eşleme kapsamı</t>
  </si>
  <si>
    <t>[Unmapped Lines Segment] = VAR n = CALCULATE ( COUNTROWS ( FactPayment ), DimSegment[Segment] = BLANK () ) RETURN IF ( ISBLANK ( n ), 0, n ) || [Unmapped Lines Nature] = VAR n = CALCULATE ( COUNTROWS ( FactPayment ), DimPaymentNature[ReasonCode] = BLANK () ) RETURN IF ( ISBLANK ( n ), 0, n ) || [Unmapped Lines Branch] = VAR n = CALCULATE ( COUNTROWS ( FactPayment ), DimBranch[BranchKey] = BLANK () ) RETURN IF ( ISBLANK ( n ), 0, n ) || [Unmapped Lines Product] = VAR n = CALCULATE ( COUNTROWS ( FactPayment ), DimProduct[ProductCode] = BLANK () ) RETURN IF ( ISBLANK ( n ), 0, n ) || [Unmapped Lines Channel] = VAR n = CALCULATE ( COUNTROWS ( FactPayment ), DimChannel[SalesChannelCode] = BLANK () ) RETURN IF ( ISBLANK ( n ), 0, n ) || [Unmapped Lines Partner] = VAR n = CALCULATE ( COUNTROWS ( FactPayment ), DimPartner[PartnerCode] = BLANK () ) RETURN IF ( ISBLANK ( n ), 0, n ) || [Unmapped Lines Geography] = VAR n = CALCULATE ( COUNTROWS ( FactPayment ), DimGeography[Province] = BLANK () ) RETURN IF ( ISBLANK ( n ), 0, n ) || [Unmapped Lines Currency] = VAR n = CALCULATE ( COUNTROWS ( FactPayment ), DimCurrency[CurrencyCode] = BLANK () ) RETURN IF ( ISBLANK ( n ), 0, n ) || [Unmapped Lines AgeBand] = VAR n = CALCULATE ( COUNTROWS ( FactPayment ), DimAgeBand[AgeBand] = BLANK () ) RETURN IF ( ISBLANK ( n ), 0, n )</t>
  </si>
  <si>
    <t>s:AN_MSG_UNASSIGNED</t>
  </si>
  <si>
    <t>s:Unassigned</t>
  </si>
  <si>
    <t>s:Atanmamış segment</t>
  </si>
  <si>
    <t>s:Unassigned segment</t>
  </si>
  <si>
    <t>s:#7F7F7F</t>
  </si>
  <si>
    <t>s:MinLinesForP99</t>
  </si>
  <si>
    <t>s:Minimum cases for the 99th percentile of paid per case; below it INSUFFICIENT DATA</t>
  </si>
  <si>
    <t>s:metric=median end-to-end days; band=own history; measure=[Lag Loss to Payment P50]</t>
  </si>
  <si>
    <t>s:[Paid TRY] = IF ( [Segment Guard OK], SUM ( FactPayment[GrossAmountTRY] ) )</t>
  </si>
  <si>
    <t>s:[Paid Original] = IF ( [Segment Guard OK] &amp;&amp; [Currency Guard OK], SUM ( FactPayment[GrossAmount] ) )</t>
  </si>
  <si>
    <t>s:Paid Net TRY</t>
  </si>
  <si>
    <t>s:[Paid Net TRY] = IF ( [Segment Guard OK], SUM ( FactPayment[NetAmountTRY] ) )</t>
  </si>
  <si>
    <t>s:Paid Deductible TRY</t>
  </si>
  <si>
    <t>s:Field is blank for pension payments | Guarded: BLANK unless exactly one segment is in context | DeductibleAmount is blank for part of the lines; the sum covers the lines that carry a value</t>
  </si>
  <si>
    <t>s:[Paid Deductible TRY] = IF ( [Segment Guard OK], SUMX ( FactPayment, FactPayment[DeductibleAmount] * FactPayment[RateToTRY] ) )</t>
  </si>
  <si>
    <t>s:Net to Gross Ratio</t>
  </si>
  <si>
    <t>s:GrossAmountTRY; NetAmountTRY</t>
  </si>
  <si>
    <t>s:[Net to Gross Ratio] = DIVIDE ( [Paid Net TRY], [Paid TRY] )</t>
  </si>
  <si>
    <t>s:Paid TRY by Payment Date; Paid TRY by Loss Date; Paid TRY by Notification Date; Paid TRY by Decision Date; Paid TRY by Documents Complete Date</t>
  </si>
  <si>
    <t>s:DecisionDate; DocsCompleteDate; GrossAmountTRY; LossDate; NotificationDate; PaymentDate</t>
  </si>
  <si>
    <t>s:Existing 3.0 measure, not segment-guarded; use Paid TRY for analytics pages | Guarded: BLANK unless exactly one segment is in context | Guarded variants by loss, notification, decision and documents-complete date are listed in this row</t>
  </si>
  <si>
    <t>s:[Paid TRY by Payment Date] = CALCULATE ( [Paid TRY], USERELATIONSHIP ( FactPayment[PaymentDate], DimDate[Date] ) ) || [Paid TRY by Loss Date] = CALCULATE ( [Paid TRY], USERELATIONSHIP ( FactPayment[LossDate], DimDate[Date] ) ) || [Paid TRY by Notification Date] = CALCULATE ( [Paid TRY], USERELATIONSHIP ( FactPayment[NotificationDate], DimDate[Date] ) ) || [Paid TRY by Decision Date] = CALCULATE ( [Paid TRY], USERELATIONSHIP ( FactPayment[DecisionDate], DimDate[Date] ) ) || [Paid TRY by Documents Complete Date] = CALCULATE ( [Paid TRY], USERELATIONSHIP ( FactPayment[DocsCompleteDate], DimDate[Date] ) )</t>
  </si>
  <si>
    <t>s:[Payment Lines] = COUNTROWS ( FactPayment )</t>
  </si>
  <si>
    <t>s:[Cases] = IF ( [Segment Guard OK], [Distinct Cases] )</t>
  </si>
  <si>
    <t>s:Policies with Payment</t>
  </si>
  <si>
    <t>s:Counts policies WITH payments only: it is not a policy count and not an exposure | Guarded: BLANK unless exactly one segment is in context | Policies are counted within a company (policy numbers repeat across companies)</t>
  </si>
  <si>
    <t>s:[Policies with Payment] = IF ( [Segment Guard OK], SUMX ( VALUES ( FactPayment[CompanyID] ), CALCULATE ( DISTINCTCOUNT ( FactPayment[PolicyNo] ) ) ) )</t>
  </si>
  <si>
    <t>s:Partially Paid Cases; Partially Paid Case Share</t>
  </si>
  <si>
    <t>s:[Partially Paid Cases] = IF ( [Segment Guard OK], VAR n = [Partial Payment Cases] RETURN IF ( ISBLANK ( n ), 0, n ) ) || [Partially Paid Case Share] = DIVIDE ( [Partially Paid Cases], [Cases] )</t>
  </si>
  <si>
    <t>s:Reversal Amount TRY; Reversal Lines; Reversal Line Share</t>
  </si>
  <si>
    <t>s:GrossAmount; GrossAmountTRY</t>
  </si>
  <si>
    <t>s:Guarded: BLANK unless exactly one segment is in context | Mini data: negative amounts exist only as injected defects; the ground truth has none</t>
  </si>
  <si>
    <t>s:[Reversal Amount TRY] = IF ( [Segment Guard OK], CALCULATE ( SUM ( FactPayment[GrossAmountTRY] ), FactPayment[GrossAmountTRY] &lt; 0 ) ) || [Reversal Lines] = VAR n = CALCULATE ( COUNTROWS ( FactPayment ), FactPayment[GrossAmount] &lt; 0 ) RETURN IF ( ISBLANK ( n ), 0, n ) || [Reversal Line Share] = DIVIDE ( [Reversal Lines], [Payment Lines] )</t>
  </si>
  <si>
    <t>s:Mean Paid per Case TRY</t>
  </si>
  <si>
    <t>s:Guarded: BLANK unless exactly one segment is in context | Case paid = TRY paid on the case within the filter context (not the lifetime paid of the case); below MinLinesForQuantile cases the value is BLANK (P99: MinLinesForP99)</t>
  </si>
  <si>
    <t>s:[Mean Paid per Case TRY] = IF ( [Segment Guard OK] &amp;&amp; [Distinct Cases] &gt;= LOOKUPVALUE ( AnParam[Value], AnParam[Param], "MinLinesForQuantile" ), DIVIDE ( [Paid TRY], [Distinct Cases] ) )</t>
  </si>
  <si>
    <t>s:Median Paid per Case TRY</t>
  </si>
  <si>
    <t>s:[Median Paid per Case TRY] = IF ( [Segment Guard OK] &amp;&amp; [Distinct Cases] &gt;= LOOKUPVALUE ( AnParam[Value], AnParam[Param], "MinLinesForQuantile" ), PERCENTILEX.INC ( VALUES ( FactPayment[CaseKey] ), CALCULATE ( SUM ( FactPayment[GrossAmountTRY] ) ), 0.5 ) )</t>
  </si>
  <si>
    <t>s:P75 Paid per Case TRY; P90 Paid per Case TRY; P95 Paid per Case TRY; P99 Paid per Case TRY</t>
  </si>
  <si>
    <t>s:[P75 Paid per Case TRY] = IF ( [Segment Guard OK] &amp;&amp; [Distinct Cases] &gt;= LOOKUPVALUE ( AnParam[Value], AnParam[Param], "MinLinesForQuantile" ), PERCENTILEX.INC ( VALUES ( FactPayment[CaseKey] ), CALCULATE ( SUM ( FactPayment[GrossAmountTRY] ) ), 0.75 ) ) || [P90 Paid per Case TRY] = IF ( [Segment Guard OK] &amp;&amp; [Distinct Cases] &gt;= LOOKUPVALUE ( AnParam[Value], AnParam[Param], "MinLinesForQuantile" ), PERCENTILEX.INC ( VALUES ( FactPayment[CaseKey] ), CALCULATE ( SUM ( FactPayment[GrossAmountTRY] ) ), 0.9 ) ) || [P95 Paid per Case TRY] = IF ( [Segment Guard OK] &amp;&amp; [Distinct Cases] &gt;= LOOKUPVALUE ( AnParam[Value], AnParam[Param], "MinLinesForQuantile" ), PERCENTILEX.INC ( VALUES ( FactPayment[CaseKey] ), CALCULATE ( SUM ( FactPayment[GrossAmountTRY] ) ), 0.95 ) ) || [P99 Paid per Case TRY] = IF ( [Segment Guard OK] &amp;&amp; [Distinct Cases] &gt;= LOOKUPVALUE ( AnParam[Value], AnParam[Param], "MinLinesForP99" ), PERCENTILEX.INC ( VALUES ( FactPayment[CaseKey] ), CALCULATE ( SUM ( FactPayment[GrossAmountTRY] ) ), 0.99 ) )</t>
  </si>
  <si>
    <t>s:Lag Loss to Notification Lines; Lag Loss to Notification Mean; Lag Loss to Notification P50; Lag Loss to Notification P75; Lag Loss to Notification P90; Lag Loss to Notification P95; Lag Loss to Notification Mean by Notification Date; Lag Loss to Notification P50 by Notification Date; Lag Loss to Notification P90 by Notification Date</t>
  </si>
  <si>
    <t>s:Lag Notification to Documents Lines; Lag Notification to Documents Mean; Lag Notification to Documents P50; Lag Notification to Documents P75; Lag Notification to Documents P90; Lag Notification to Documents P95; Lag Notification to Documents Mean by Documents Complete Date; Lag Notification to Documents P50 by Documents Complete Date; Lag Notification to Documents P90 by Documents Complete Date</t>
  </si>
  <si>
    <t>s:DocsCompleteDate; NotificationDate</t>
  </si>
  <si>
    <t>s:Lag Documents to Decision Lines; Lag Documents to Decision Mean; Lag Documents to Decision P50; Lag Documents to Decision P75; Lag Documents to Decision P90; Lag Documents to Decision P95; Lag Documents to Decision Mean by Decision Date; Lag Documents to Decision P50 by Decision Date; Lag Documents to Decision P90 by Decision Date</t>
  </si>
  <si>
    <t>s:DecisionDate; DocsCompleteDate</t>
  </si>
  <si>
    <t>s:Lag Decision to Payment Lines; Lag Decision to Payment Mean; Lag Decision to Payment P50; Lag Decision to Payment P75; Lag Decision to Payment P90; Lag Decision to Payment P95; Lag Decision to Payment Mean by Payment Date; Lag Decision to Payment P50 by Payment Date; Lag Decision to Payment P90 by Payment Date</t>
  </si>
  <si>
    <t>s:Lag Notification to Payment Mean; Lag Notification to Payment Lines; Lag Notification to Payment P50; Lag Notification to Payment P75; Lag Notification to Payment P90; Lag Notification to Payment P95; Lag Notification to Payment Mean by Payment Date; Lag Notification to Payment P50 by Payment Date; Lag Notification to Payment P90 by Payment Date</t>
  </si>
  <si>
    <t>s:NotificationDate; PaymentDate</t>
  </si>
  <si>
    <t>s:Lag Loss to Payment Lines; Lag Loss to Payment Mean; Lag Loss to Payment P50; Lag Loss to Payment P75; Lag Loss to Payment P90; Lag Loss to Payment P95; Lag Loss to Payment Mean by Payment Date; Lag Loss to Payment P50 by Payment Date; Lag Loss to Payment P90 by Payment Date</t>
  </si>
  <si>
    <t>s:AnParam; DecisionDate; LossDate; PaymentDate</t>
  </si>
  <si>
    <t>s:PD07</t>
  </si>
  <si>
    <t>s:Net ödenen tutar (orijinal para birimi)</t>
  </si>
  <si>
    <t>s:Net paid amount (original currency)</t>
  </si>
  <si>
    <t>s:Net ödemelerin kendi para biriminde toplamı / Sum of net payments in their own currency</t>
  </si>
  <si>
    <t>s:Paid Net Original</t>
  </si>
  <si>
    <t>s:CurrencyCode; NetAmount</t>
  </si>
  <si>
    <t>s:[Paid Net Original] = IF ( [Segment Guard OK] &amp;&amp; [Currency Guard OK], SUM ( FactPayment[NetAmount] ) )</t>
  </si>
  <si>
    <t>s:PD08</t>
  </si>
  <si>
    <t>s:Muafiyet (orijinal para birimi)</t>
  </si>
  <si>
    <t>s:Deductible (original currency)</t>
  </si>
  <si>
    <t>s:Muafiyetin kendi para biriminde toplamı / Sum of the deductible in its own currency</t>
  </si>
  <si>
    <t>s:Paid Deductible Original</t>
  </si>
  <si>
    <t>s:CurrencyCode; DeductibleAmount</t>
  </si>
  <si>
    <t>s:[Paid Deductible Original] = IF ( [Segment Guard OK] &amp;&amp; [Currency Guard OK], SUM ( FactPayment[DeductibleAmount] ) )</t>
  </si>
  <si>
    <t>s:PD09</t>
  </si>
  <si>
    <t>s:Muafiyetin brüt ödemeye oranı</t>
  </si>
  <si>
    <t>s:Deductible share of gross</t>
  </si>
  <si>
    <t>s:Muafiyet tutarının brüt ödenen tutara oranı / Deductible divided by gross paid</t>
  </si>
  <si>
    <t>s:Deductible Share of Gross</t>
  </si>
  <si>
    <t>s:DeductibleAmount; GrossAmountTRY; RateToTRY</t>
  </si>
  <si>
    <t>s:[Deductible Share of Gross] = DIVIDE ( [Paid Deductible TRY], [Paid TRY] )</t>
  </si>
  <si>
    <t>s:CT07</t>
  </si>
  <si>
    <t>s:Dosya başına ödeme satırı</t>
  </si>
  <si>
    <t>s:Payment lines per case</t>
  </si>
  <si>
    <t>s:Dosya başına ortalama ödeme satırı (taksit) sayısı / Average number of payment lines (instalments) per case</t>
  </si>
  <si>
    <t>s:Lines per Case</t>
  </si>
  <si>
    <t>s:CaseKey; PaymentLineID</t>
  </si>
  <si>
    <t>s:[Lines per Case] = DIVIDE ( [Payment Lines], [Cases] )</t>
  </si>
  <si>
    <t>s:AV04</t>
  </si>
  <si>
    <t>s:En yüksek dosya ödemesi</t>
  </si>
  <si>
    <t>s:Largest case paid</t>
  </si>
  <si>
    <t>s:Tek dosyaya yapılan en yüksek ödeme / Largest TRY paid on a single case</t>
  </si>
  <si>
    <t>s:Largest Case Paid TRY</t>
  </si>
  <si>
    <t>s:[Largest Case Paid TRY] = IF ( [Segment Guard OK] &amp;&amp; [Distinct Cases] &gt;= LOOKUPVALUE ( AnParam[Value], AnParam[Param], "MinLinesForQuantile" ), MAXX ( VALUES ( FactPayment[CaseKey] ), CALCULATE ( SUM ( FactPayment[GrossAmountTRY] ) ) ) )</t>
  </si>
  <si>
    <t>s:AV05</t>
  </si>
  <si>
    <t>s:Satır başına ortalama ödeme</t>
  </si>
  <si>
    <t>s:Mean paid per line</t>
  </si>
  <si>
    <t>s:Ödeme satırı başına ortalama tutar / Mean TRY per payment line</t>
  </si>
  <si>
    <t>s:Mean Paid per Line TRY</t>
  </si>
  <si>
    <t>s:[Mean Paid per Line TRY] = IF ( [Segment Guard OK] &amp;&amp; [Payment Lines] &gt;= LOOKUPVALUE ( AnParam[Value], AnParam[Param], "MinLinesForQuantile" ), DIVIDE ( [Paid TRY], [Payment Lines] ) )</t>
  </si>
  <si>
    <t>s:GD01</t>
  </si>
  <si>
    <t>s:Guards</t>
  </si>
  <si>
    <t>s:Bağlamdaki segment ve para birimi</t>
  </si>
  <si>
    <t>s:Segments and currencies in context</t>
  </si>
  <si>
    <t>s:Filtre bağlamında satırı olan segment ve para birimi sayısı; tutar ölçüleri tek segment ister / Number of segments and currencies with lines in the filter context; amount measures need one segment</t>
  </si>
  <si>
    <t>s:DimSegment[Segment]; CurrencyCode</t>
  </si>
  <si>
    <t>s:Unassigned segment counts as a segment; a company type missing from the segment list counts as one blank segment</t>
  </si>
  <si>
    <t>s:GD02</t>
  </si>
  <si>
    <t>s:Koruma bayrakları</t>
  </si>
  <si>
    <t>s:Guard flags</t>
  </si>
  <si>
    <t>s:Segment ve para birimi korumasının geçip geçmediği / Whether the segment and currency guards pass</t>
  </si>
  <si>
    <t>s:Segment Guard OK; Currency Guard OK</t>
  </si>
  <si>
    <t>s:flag</t>
  </si>
  <si>
    <t>s:[Segment Guard OK] = [Segments In Context] &lt;= 1 || [Currency Guard OK] = [Currencies In Context] &lt;= 1</t>
  </si>
  <si>
    <t>s:GD03</t>
  </si>
  <si>
    <t>s:Bağlam ve sayfa uyarısı</t>
  </si>
  <si>
    <t>s:Context message and page notice</t>
  </si>
  <si>
    <t>s:Sayfa başlığındaki uyarı metni: segment/para birimi mesajı ve atanmamış segment uyarısı / Page-header banner: segment or currency message and the unassigned-segment warning</t>
  </si>
  <si>
    <t>s:Context Message; Page Notice; Segment Warning</t>
  </si>
  <si>
    <t>s:[Context Message] = VAR S = [Segments In Context] VAR C = [Currencies In Context] RETURN SWITCH ( TRUE (), S &gt; 1, LOOKUPVALUE ( tblUIText[TR], tblUIText[Key], "AN_MSG_SEGMENT" ) &amp; " / " &amp; LOOKUPVALUE ( tblUIText[EN], tblUIText[Key], "AN_MSG_SEGMENT" ), C &gt; 1, LOOKUPVALUE ( tblUIText[TR], tblUIText[Key], "AN_MSG_CURRENCY" ) &amp; " / " &amp; LOOKUPVALUE ( tblUIText[EN], tblUIText[Key], "AN_MSG_CURRENCY" ), BLANK () ) || [Page Notice] = VAR a = [Context Message] VAR b = [Segment Warning] RETURN IF ( ISBLANK ( a ), b, IF ( ISBLANK ( b ), a, a &amp; " | " &amp; b ) ) || [Segment Warning] = IF ( [Unassigned Lines] &gt; 0, LOOKUPVALUE ( tblUIText[TR], tblUIText[Key], "AN_MSG_UNASSIGNED" ) &amp; " " &amp; FORMAT ( [Unassigned Lines], "#,##0" ) &amp; " / " &amp; LOOKUPVALUE ( tblUIText[EN], tblUIText[Key], "AN_MSG_UNASSIGNED" ) &amp; " " &amp; FORMAT ( [Unassigned Lines], "#,##0" ) )</t>
  </si>
  <si>
    <t>s:GD04</t>
  </si>
  <si>
    <t>s:Şirketi şirket listesinde olmayan satırlar 'Atanmamış segment' olarak gösterilir ve uyarı verir / Lines whose company is not in the company list appear as 'Unassigned segment' with a warning</t>
  </si>
  <si>
    <t>s:Unassigned Lines; Segment Warning</t>
  </si>
  <si>
    <t>s:CompanyID; DimCompany[CompanyType]</t>
  </si>
  <si>
    <t>s:Mini data: company 08302 (near-miss file name, backlog BL-18), 118 lines</t>
  </si>
  <si>
    <t>s:[Unassigned Lines] = VAR n = CALCULATE ( COUNTROWS ( FactPayment ), DimSegment[Segment] = "Unassigned" ) RETURN IF ( ISBLANK ( n ), 0, n ) || [Segment Warning] = IF ( [Unassigned Lines] &gt; 0, LOOKUPVALUE ( tblUIText[TR], tblUIText[Key], "AN_MSG_UNASSIGNED" ) &amp; " " &amp; FORMAT ( [Unassigned Lines], "#,##0" ) &amp; " / " &amp; LOOKUPVALUE ( tblUIText[EN], tblUIText[Key], "AN_MSG_UNASSIGNED" ) &amp; " " &amp; FORMAT ( [Unassigned Lines], "#,##0" ) )</t>
  </si>
  <si>
    <t>s:GD05</t>
  </si>
  <si>
    <t>s:Veri yeterliliği</t>
  </si>
  <si>
    <t>s:Data sufficiency</t>
  </si>
  <si>
    <t>s:Satır/dosya sayısı eşiğin altındaysa INSUFFICIENT DATA / INSUFFICIENT DATA when lines or cases are below the minimum</t>
  </si>
  <si>
    <t>s:Sufficiency Status; Case Sufficiency Status</t>
  </si>
  <si>
    <t>s:AnParam; CaseKey</t>
  </si>
  <si>
    <t>s:30 lines / cases</t>
  </si>
  <si>
    <t>s:[Sufficiency Status] = IF ( [Payment Lines] &lt; LOOKUPVALUE ( AnParam[Value], AnParam[Param], "MinLinesForQuantile" ), "INSUFFICIENT DATA", "OK" ) || [Case Sufficiency Status] = IF ( [Distinct Cases] &lt; LOOKUPVALUE ( AnParam[Value], AnParam[Param], "MinLinesForQuantile" ), "INSUFFICIENT DATA", "OK" )</t>
  </si>
  <si>
    <t>s:GD06</t>
  </si>
  <si>
    <t>s:Eşleme kapsamı</t>
  </si>
  <si>
    <t>s:Mapping coverage</t>
  </si>
  <si>
    <t>s:Eşlenmemiş satır sayıları (WP-1) / Unmapped line counts per reference map (WP-1)</t>
  </si>
  <si>
    <t>s:Unmapped Lines Segment; Unmapped Lines Nature; Unmapped Lines Branch; Unmapped Lines Product; Unmapped Lines Channel; Unmapped Lines Partner; Unmapped Lines Geography; Unmapped Lines Currency; Unmapped Lines AgeBand</t>
  </si>
  <si>
    <t>s:all mapped keys</t>
  </si>
  <si>
    <t>s:[Unmapped Lines Segment] = VAR n = CALCULATE ( COUNTROWS ( FactPayment ), DimSegment[Segment] = BLANK () ) RETURN IF ( ISBLANK ( n ), 0, n ) || [Unmapped Lines Nature] = VAR n = CALCULATE ( COUNTROWS ( FactPayment ), DimPaymentNature[ReasonCode] = BLANK () ) RETURN IF ( ISBLANK ( n ), 0, n ) || [Unmapped Lines Branch] = VAR n = CALCULATE ( COUNTROWS ( FactPayment ), DimBranch[BranchKey] = BLANK () ) RETURN IF ( ISBLANK ( n ), 0, n ) || [Unmapped Lines Product] = VAR n = CALCULATE ( COUNTROWS ( FactPayment ), DimProduct[ProductCode] = BLANK () ) RETURN IF ( ISBLANK ( n ), 0, n ) || [Unmapped Lines Channel] = VAR n = CALCULATE ( COUNTROWS ( FactPayment ), DimChannel[SalesChannelCode] = BLANK () ) RETURN IF ( ISBLANK ( n ), 0, n ) || [Unmapped Lines Partner] = VAR n = CALCULATE ( COUNTROWS ( FactPayment ), DimPartner[PartnerCode] = BLANK () ) RETURN IF ( ISBLANK ( n ), 0, n ) || [Unmapped Lines Geography] = VAR n = CALCULATE ( COUNTROWS ( FactPayment ), DimGeography[Province] = BLANK () ) RETURN IF ( ISBLANK ( n ), 0, n ) || [Unmapped Lines Currency] = VAR n = CALCULATE ( COUNTROWS ( FactPayment ), DimCurrency[CurrencyCode] = BLANK () ) RETURN IF ( ISBLANK ( n ), 0, n ) || [Unmapped Lines AgeBand] = VAR n = CALCULATE ( COUNTROWS ( FactPayment ), DimAgeBand[AgeBand] = BLANK () ) RETURN IF ( ISBLANK ( n ), 0, n )</t>
  </si>
  <si>
    <t>SegmentKey</t>
  </si>
  <si>
    <t>Decision-to-payment days above which a payment line counts as an SLA breach in Life: PLACEHOLDER, to be confirmed by operations</t>
  </si>
  <si>
    <t>SlaDaysDecisionToPayment_Life</t>
  </si>
  <si>
    <t>Loss-to-payment (end to end) days above which a payment line counts as slow in Life: PLACEHOLDER, to be confirmed by operations</t>
  </si>
  <si>
    <t>SlaDaysEndToEnd_Life</t>
  </si>
  <si>
    <t>Decision-to-payment days above which a payment line counts as an SLA breach in Pension: PLACEHOLDER, to be confirmed by operations</t>
  </si>
  <si>
    <t>SlaDaysDecisionToPayment_Pension</t>
  </si>
  <si>
    <t>Loss-to-payment (end to end) days above which a payment line counts as slow in Pension: PLACEHOLDER, to be confirmed by operations</t>
  </si>
  <si>
    <t>SlaDaysEndToEnd_Pension</t>
  </si>
  <si>
    <t>Decision-to-payment days above which a payment line counts as an SLA breach in Non-life: PLACEHOLDER, to be confirmed by operations</t>
  </si>
  <si>
    <t>SlaDaysDecisionToPayment_Non-life</t>
  </si>
  <si>
    <t>Loss-to-payment (end to end) days above which a payment line counts as slow in Non-life: PLACEHOLDER, to be confirmed by operations</t>
  </si>
  <si>
    <t>SlaDaysEndToEnd_Non-life</t>
  </si>
  <si>
    <t>Decision-to-payment days above which a payment line counts as an SLA breach in Unassigned: PLACEHOLDER, to be confirmed by operations</t>
  </si>
  <si>
    <t>SlaDaysDecisionToPayment_Unassigned</t>
  </si>
  <si>
    <t>Loss-to-payment (end to end) days above which a payment line counts as slow in Unassigned: PLACEHOLDER, to be confirmed by operations</t>
  </si>
  <si>
    <t>SlaDaysEndToEnd_Unassigned</t>
  </si>
  <si>
    <t>AN_SLA_PLACEHOLDER</t>
  </si>
  <si>
    <t>SLA days are placeholders, to be confirmed by operations</t>
  </si>
  <si>
    <t>SLA süreleri geçici değerlerdir; operasyon tarafından teyit edilecek</t>
  </si>
  <si>
    <t>[Lag Loss to Notification Lines] = VAR n = COUNTROWS ( FILTER ( FactPayment, NOT ISBLANK ( FactPayment[LossDate] ) &amp;&amp; NOT ISBLANK ( FactPayment[NotificationDate] ) &amp;&amp; FactPayment[NotificationDate] &gt;= FactPayment[LossDate] ) ) RETURN IF ( ISBLANK ( n ), 0, n ) || [Lag Loss to Notification Mean] = IF ( [Segment Guard OK] &amp;&amp; [Lag Loss to Notification Lines] &gt;= LOOKUPVALUE ( AnParam[Value], AnParam[Param], "MinLinesForQuantile" ), AVERAGEX ( FILTER ( FactPayment, NOT ISBLANK ( FactPayment[LossDate] ) &amp;&amp; NOT ISBLANK ( FactPayment[NotificationDate] ) &amp;&amp; FactPayment[NotificationDate] &gt;= FactPayment[LossDate] ), DATEDIFF ( FactPayment[LossDate], FactPayment[NotificationDate], DAY ) ) ) || [Lag Loss to Notification P50] = IF ( [Segment Guard OK] &amp;&amp; [Lag Loss to Notification Lines] &gt;= LOOKUPVALUE ( AnParam[Value], AnParam[Param], "MinLinesForQuantile" ), PERCENTILEX.INC ( FILTER ( FactPayment, NOT ISBLANK ( FactPayment[LossDate] ) &amp;&amp; NOT ISBLANK ( FactPayment[NotificationDate] ) &amp;&amp; FactPayment[NotificationDate] &gt;= FactPayment[LossDate] ), DATEDIFF ( FactPayment[LossDate], FactPayment[NotificationDate], DAY ), 0.5 ) ) || [Lag Loss to Notification P75] = IF ( [Segment Guard OK] &amp;&amp; [Lag Loss to Notification Lines] &gt;= LOOKUPVALUE ( AnParam[Value], AnParam[Param], "MinLinesForQuantile" ), PERCENTILEX.INC ( FILTER ( FactPayment, NOT ISBLANK ( FactPayment[LossDate] ) &amp;&amp; NOT ISBLANK ( FactPayment[NotificationDate] ) &amp;&amp; FactPayment[NotificationDate] &gt;= FactPayment[LossDate] ), DATEDIFF ( FactPayment[LossDate], FactPayment[NotificationDate], DAY ), 0.75 ) ) || [Lag Loss to Notification P90] = IF ( [Segment Guard OK] &amp;&amp; [Lag Loss to Notification Lines] &gt;= LOOKUPVALUE ( AnParam[Value], AnParam[Param], "MinLinesForQuantile" ), PERCENTILEX.INC ( FILTER ( FactPayment, NOT ISBLANK ( FactPayment[LossDate] ) &amp;&amp; NOT ISBLANK ( FactPayment[NotificationDate] ) &amp;&amp; FactPayment[NotificationDate] &gt;= FactPayment[LossDate] ), DATEDIFF ( FactPayment[LossDate], FactPayment[NotificationDate], DAY ), 0.9 ) ) || [Lag Loss to Notification P95] = IF ( [Segment Guard OK] &amp;&amp; [Lag Loss to Notification Lines] &gt;= LOOKUPVALUE ( AnParam[Value], AnParam[Param], "MinLinesForQuantile" ), PERCENTILEX.INC ( FILTER ( FactPayment, NOT ISBLANK ( FactPayment[LossDate] ) &amp;&amp; NOT ISBLANK ( FactPayment[NotificationDate] ) &amp;&amp; FactPayment[NotificationDate] &gt;= FactPayment[LossDate] ), DATEDIFF ( FactPayment[LossDate], FactPayment[NotificationDate], DAY ), 0.95 ) ) || [Lag Loss to Notification Mean by Notification Date] = CALCULATE ( [Lag Loss to Notification Mean], USERELATIONSHIP ( FactPayment[NotificationDate], DimDate[Date] ) ) || [Lag Loss to Notification P50 by Notification Date] = CALCULATE ( [Lag Loss to Notification P50], USERELATIONSHIP ( FactPayment[NotificationDate], DimDate[Date] ) ) || [Lag Loss to Notification P90 by Notification Date] = CALCULATE ( [Lag Loss to Notification P90], USERELATIONSHIP ( FactPayment[NotificationDate], DimDate[Date] ) )</t>
  </si>
  <si>
    <t>Mean, median, P75, P90 and P95 are variants of each stage; lines with a missing or negative lag are excluded and counted | Guarded: BLANK unless exactly one segment is in context | Per payment line (an instalment counts once per line); missing or negative lags are excluded; below MinLinesForQuantile the value is BLANK (INSUFFICIENT DATA); guarded like amounts: BLANK when more than one segment is in context (the Lag ... Lines counts are not guarded)</t>
  </si>
  <si>
    <t>[Lag Notification to Documents Lines] = VAR n = COUNTROWS ( FILTER ( FactPayment, NOT ISBLANK ( FactPayment[NotificationDate] ) &amp;&amp; NOT ISBLANK ( FactPayment[DocsCompleteDate] ) &amp;&amp; FactPayment[DocsCompleteDate] &gt;= FactPayment[NotificationDate] ) ) RETURN IF ( ISBLANK ( n ), 0, n ) || [Lag Notification to Documents Mean] = IF ( [Segment Guard OK] &amp;&amp; [Lag Notification to Documents Lines] &gt;= LOOKUPVALUE ( AnParam[Value], AnParam[Param], "MinLinesForQuantile" ), AVERAGEX ( FILTER ( FactPayment, NOT ISBLANK ( FactPayment[NotificationDate] ) &amp;&amp; NOT ISBLANK ( FactPayment[DocsCompleteDate] ) &amp;&amp; FactPayment[DocsCompleteDate] &gt;= FactPayment[NotificationDate] ), DATEDIFF ( FactPayment[NotificationDate], FactPayment[DocsCompleteDate], DAY ) ) ) || [Lag Notification to Documents P50] = IF ( [Segment Guard OK] &amp;&amp; [Lag Notification to Documents Lines] &gt;= LOOKUPVALUE ( AnParam[Value], AnParam[Param], "MinLinesForQuantile" ), PERCENTILEX.INC ( FILTER ( FactPayment, NOT ISBLANK ( FactPayment[NotificationDate] ) &amp;&amp; NOT ISBLANK ( FactPayment[DocsCompleteDate] ) &amp;&amp; FactPayment[DocsCompleteDate] &gt;= FactPayment[NotificationDate] ), DATEDIFF ( FactPayment[NotificationDate], FactPayment[DocsCompleteDate], DAY ), 0.5 ) ) || [Lag Notification to Documents P75] = IF ( [Segment Guard OK] &amp;&amp; [Lag Notification to Documents Lines] &gt;= LOOKUPVALUE ( AnParam[Value], AnParam[Param], "MinLinesForQuantile" ), PERCENTILEX.INC ( FILTER ( FactPayment, NOT ISBLANK ( FactPayment[NotificationDate] ) &amp;&amp; NOT ISBLANK ( FactPayment[DocsCompleteDate] ) &amp;&amp; FactPayment[DocsCompleteDate] &gt;= FactPayment[NotificationDate] ), DATEDIFF ( FactPayment[NotificationDate], FactPayment[DocsCompleteDate], DAY ), 0.75 ) ) || [Lag Notification to Documents P90] = IF ( [Segment Guard OK] &amp;&amp; [Lag Notification to Documents Lines] &gt;= LOOKUPVALUE ( AnParam[Value], AnParam[Param], "MinLinesForQuantile" ), PERCENTILEX.INC ( FILTER ( FactPayment, NOT ISBLANK ( FactPayment[NotificationDate] ) &amp;&amp; NOT ISBLANK ( FactPayment[DocsCompleteDate] ) &amp;&amp; FactPayment[DocsCompleteDate] &gt;= FactPayment[NotificationDate] ), DATEDIFF ( FactPayment[NotificationDate], FactPayment[DocsCompleteDate], DAY ), 0.9 ) ) || [Lag Notification to Documents P95] = IF ( [Segment Guard OK] &amp;&amp; [Lag Notification to Documents Lines] &gt;= LOOKUPVALUE ( AnParam[Value], AnParam[Param], "MinLinesForQuantile" ), PERCENTILEX.INC ( FILTER ( FactPayment, NOT ISBLANK ( FactPayment[NotificationDate] ) &amp;&amp; NOT ISBLANK ( FactPayment[DocsCompleteDate] ) &amp;&amp; FactPayment[DocsCompleteDate] &gt;= FactPayment[NotificationDate] ), DATEDIFF ( FactPayment[NotificationDate], FactPayment[DocsCompleteDate], DAY ), 0.95 ) ) || [Lag Notification to Documents Mean by Documents Complete Date] = CALCULATE ( [Lag Notification to Documents Mean], USERELATIONSHIP ( FactPayment[DocsCompleteDate], DimDate[Date] ) ) || [Lag Notification to Documents P50 by Documents Complete Date] = CALCULATE ( [Lag Notification to Documents P50], USERELATIONSHIP ( FactPayment[DocsCompleteDate], DimDate[Date] ) ) || [Lag Notification to Documents P90 by Documents Complete Date] = CALCULATE ( [Lag Notification to Documents P90], USERELATIONSHIP ( FactPayment[DocsCompleteDate], DimDate[Date] ) )</t>
  </si>
  <si>
    <t>[Lag Documents to Decision Lines] = VAR n = COUNTROWS ( FILTER ( FactPayment, NOT ISBLANK ( FactPayment[DocsCompleteDate] ) &amp;&amp; NOT ISBLANK ( FactPayment[DecisionDate] ) &amp;&amp; FactPayment[DecisionDate] &gt;= FactPayment[DocsCompleteDate] ) ) RETURN IF ( ISBLANK ( n ), 0, n ) || [Lag Documents to Decision Mean] = IF ( [Segment Guard OK] &amp;&amp; [Lag Documents to Decision Lines] &gt;= LOOKUPVALUE ( AnParam[Value], AnParam[Param], "MinLinesForQuantile" ), AVERAGEX ( FILTER ( FactPayment, NOT ISBLANK ( FactPayment[DocsCompleteDate] ) &amp;&amp; NOT ISBLANK ( FactPayment[DecisionDate] ) &amp;&amp; FactPayment[DecisionDate] &gt;= FactPayment[DocsCompleteDate] ), DATEDIFF ( FactPayment[DocsCompleteDate], FactPayment[DecisionDate], DAY ) ) ) || [Lag Documents to Decision P50] = IF ( [Segment Guard OK] &amp;&amp; [Lag Documents to Decision Lines] &gt;= LOOKUPVALUE ( AnParam[Value], AnParam[Param], "MinLinesForQuantile" ), PERCENTILEX.INC ( FILTER ( FactPayment, NOT ISBLANK ( FactPayment[DocsCompleteDate] ) &amp;&amp; NOT ISBLANK ( FactPayment[DecisionDate] ) &amp;&amp; FactPayment[DecisionDate] &gt;= FactPayment[DocsCompleteDate] ), DATEDIFF ( FactPayment[DocsCompleteDate], FactPayment[DecisionDate], DAY ), 0.5 ) ) || [Lag Documents to Decision P75] = IF ( [Segment Guard OK] &amp;&amp; [Lag Documents to Decision Lines] &gt;= LOOKUPVALUE ( AnParam[Value], AnParam[Param], "MinLinesForQuantile" ), PERCENTILEX.INC ( FILTER ( FactPayment, NOT ISBLANK ( FactPayment[DocsCompleteDate] ) &amp;&amp; NOT ISBLANK ( FactPayment[DecisionDate] ) &amp;&amp; FactPayment[DecisionDate] &gt;= FactPayment[DocsCompleteDate] ), DATEDIFF ( FactPayment[DocsCompleteDate], FactPayment[DecisionDate], DAY ), 0.75 ) ) || [Lag Documents to Decision P90] = IF ( [Segment Guard OK] &amp;&amp; [Lag Documents to Decision Lines] &gt;= LOOKUPVALUE ( AnParam[Value], AnParam[Param], "MinLinesForQuantile" ), PERCENTILEX.INC ( FILTER ( FactPayment, NOT ISBLANK ( FactPayment[DocsCompleteDate] ) &amp;&amp; NOT ISBLANK ( FactPayment[DecisionDate] ) &amp;&amp; FactPayment[DecisionDate] &gt;= FactPayment[DocsCompleteDate] ), DATEDIFF ( FactPayment[DocsCompleteDate], FactPayment[DecisionDate], DAY ), 0.9 ) ) || [Lag Documents to Decision P95] = IF ( [Segment Guard OK] &amp;&amp; [Lag Documents to Decision Lines] &gt;= LOOKUPVALUE ( AnParam[Value], AnParam[Param], "MinLinesForQuantile" ), PERCENTILEX.INC ( FILTER ( FactPayment, NOT ISBLANK ( FactPayment[DocsCompleteDate] ) &amp;&amp; NOT ISBLANK ( FactPayment[DecisionDate] ) &amp;&amp; FactPayment[DecisionDate] &gt;= FactPayment[DocsCompleteDate] ), DATEDIFF ( FactPayment[DocsCompleteDate], FactPayment[DecisionDate], DAY ), 0.95 ) ) || [Lag Documents to Decision Mean by Decision Date] = CALCULATE ( [Lag Documents to Decision Mean], USERELATIONSHIP ( FactPayment[DecisionDate], DimDate[Date] ) ) || [Lag Documents to Decision P50 by Decision Date] = CALCULATE ( [Lag Documents to Decision P50], USERELATIONSHIP ( FactPayment[DecisionDate], DimDate[Date] ) ) || [Lag Documents to Decision P90 by Decision Date] = CALCULATE ( [Lag Documents to Decision P90], USERELATIONSHIP ( FactPayment[DecisionDate], DimDate[Date] ) )</t>
  </si>
  <si>
    <t>[Lag Decision to Payment Lines] = VAR n = COUNTROWS ( FILTER ( FactPayment, NOT ISBLANK ( FactPayment[DecisionDate] ) &amp;&amp; NOT ISBLANK ( FactPayment[PaymentDate] ) &amp;&amp; FactPayment[PaymentDate] &gt;= FactPayment[DecisionDate] ) ) RETURN IF ( ISBLANK ( n ), 0, n ) || [Lag Decision to Payment Mean] = IF ( [Segment Guard OK] &amp;&amp; [Lag Decision to Payment Lines] &gt;= LOOKUPVALUE ( AnParam[Value], AnParam[Param], "MinLinesForQuantile" ), AVERAGEX ( FILTER ( FactPayment, NOT ISBLANK ( FactPayment[DecisionDate] ) &amp;&amp; NOT ISBLANK ( FactPayment[PaymentDate] ) &amp;&amp; FactPayment[PaymentDate] &gt;= FactPayment[DecisionDate] ), DATEDIFF ( FactPayment[DecisionDate], FactPayment[PaymentDate], DAY ) ) ) || [Lag Decision to Payment P50] = IF ( [Segment Guard OK] &amp;&amp; [Lag Decision to Payment Lines] &gt;= LOOKUPVALUE ( AnParam[Value], AnParam[Param], "MinLinesForQuantile" ), PERCENTILEX.INC ( FILTER ( FactPayment, NOT ISBLANK ( FactPayment[DecisionDate] ) &amp;&amp; NOT ISBLANK ( FactPayment[PaymentDate] ) &amp;&amp; FactPayment[PaymentDate] &gt;= FactPayment[DecisionDate] ), DATEDIFF ( FactPayment[DecisionDate], FactPayment[PaymentDate], DAY ), 0.5 ) ) || [Lag Decision to Payment P75] = IF ( [Segment Guard OK] &amp;&amp; [Lag Decision to Payment Lines] &gt;= LOOKUPVALUE ( AnParam[Value], AnParam[Param], "MinLinesForQuantile" ), PERCENTILEX.INC ( FILTER ( FactPayment, NOT ISBLANK ( FactPayment[DecisionDate] ) &amp;&amp; NOT ISBLANK ( FactPayment[PaymentDate] ) &amp;&amp; FactPayment[PaymentDate] &gt;= FactPayment[DecisionDate] ), DATEDIFF ( FactPayment[DecisionDate], FactPayment[PaymentDate], DAY ), 0.75 ) ) || [Lag Decision to Payment P90] = IF ( [Segment Guard OK] &amp;&amp; [Lag Decision to Payment Lines] &gt;= LOOKUPVALUE ( AnParam[Value], AnParam[Param], "MinLinesForQuantile" ), PERCENTILEX.INC ( FILTER ( FactPayment, NOT ISBLANK ( FactPayment[DecisionDate] ) &amp;&amp; NOT ISBLANK ( FactPayment[PaymentDate] ) &amp;&amp; FactPayment[PaymentDate] &gt;= FactPayment[DecisionDate] ), DATEDIFF ( FactPayment[DecisionDate], FactPayment[PaymentDate], DAY ), 0.9 ) ) || [Lag Decision to Payment P95] = IF ( [Segment Guard OK] &amp;&amp; [Lag Decision to Payment Lines] &gt;= LOOKUPVALUE ( AnParam[Value], AnParam[Param], "MinLinesForQuantile" ), PERCENTILEX.INC ( FILTER ( FactPayment, NOT ISBLANK ( FactPayment[DecisionDate] ) &amp;&amp; NOT ISBLANK ( FactPayment[PaymentDate] ) &amp;&amp; FactPayment[PaymentDate] &gt;= FactPayment[DecisionDate] ), DATEDIFF ( FactPayment[DecisionDate], FactPayment[PaymentDate], DAY ), 0.95 ) ) || [Lag Decision to Payment Mean by Payment Date] = CALCULATE ( [Lag Decision to Payment Mean], USERELATIONSHIP ( FactPayment[PaymentDate], DimDate[Date] ) ) || [Lag Decision to Payment P50 by Payment Date] = CALCULATE ( [Lag Decision to Payment P50], USERELATIONSHIP ( FactPayment[PaymentDate], DimDate[Date] ) ) || [Lag Decision to Payment P90 by Payment Date] = CALCULATE ( [Lag Decision to Payment P90], USERELATIONSHIP ( FactPayment[PaymentDate], DimDate[Date] ) )</t>
  </si>
  <si>
    <t>[Lag Notification to Payment Mean] = IF ( [Segment Guard OK] &amp;&amp; [Lag Notification to Payment Lines] &gt;= LOOKUPVALUE ( AnParam[Value], AnParam[Param], "MinLinesForQuantile" ), AVERAGEX ( FILTER ( FactPayment, NOT ISBLANK ( FactPayment[NotificationDate] ) &amp;&amp; NOT ISBLANK ( FactPayment[PaymentDate] ) &amp;&amp; FactPayment[PaymentDate] &gt;= FactPayment[NotificationDate] ), DATEDIFF ( FactPayment[NotificationDate], FactPayment[PaymentDate], DAY ) ) ) || [Lag Notification to Payment Lines] = VAR n = COUNTROWS ( FILTER ( FactPayment, NOT ISBLANK ( FactPayment[NotificationDate] ) &amp;&amp; NOT ISBLANK ( FactPayment[PaymentDate] ) &amp;&amp; FactPayment[PaymentDate] &gt;= FactPayment[NotificationDate] ) ) RETURN IF ( ISBLANK ( n ), 0, n ) || [Lag Notification to Payment P50] = IF ( [Segment Guard OK] &amp;&amp; [Lag Notification to Payment Lines] &gt;= LOOKUPVALUE ( AnParam[Value], AnParam[Param], "MinLinesForQuantile" ), PERCENTILEX.INC ( FILTER ( FactPayment, NOT ISBLANK ( FactPayment[NotificationDate] ) &amp;&amp; NOT ISBLANK ( FactPayment[PaymentDate] ) &amp;&amp; FactPayment[PaymentDate] &gt;= FactPayment[NotificationDate] ), DATEDIFF ( FactPayment[NotificationDate], FactPayment[PaymentDate], DAY ), 0.5 ) ) || [Lag Notification to Payment P75] = IF ( [Segment Guard OK] &amp;&amp; [Lag Notification to Payment Lines] &gt;= LOOKUPVALUE ( AnParam[Value], AnParam[Param], "MinLinesForQuantile" ), PERCENTILEX.INC ( FILTER ( FactPayment, NOT ISBLANK ( FactPayment[NotificationDate] ) &amp;&amp; NOT ISBLANK ( FactPayment[PaymentDate] ) &amp;&amp; FactPayment[PaymentDate] &gt;= FactPayment[NotificationDate] ), DATEDIFF ( FactPayment[NotificationDate], FactPayment[PaymentDate], DAY ), 0.75 ) ) || [Lag Notification to Payment P90] = IF ( [Segment Guard OK] &amp;&amp; [Lag Notification to Payment Lines] &gt;= LOOKUPVALUE ( AnParam[Value], AnParam[Param], "MinLinesForQuantile" ), PERCENTILEX.INC ( FILTER ( FactPayment, NOT ISBLANK ( FactPayment[NotificationDate] ) &amp;&amp; NOT ISBLANK ( FactPayment[PaymentDate] ) &amp;&amp; FactPayment[PaymentDate] &gt;= FactPayment[NotificationDate] ), DATEDIFF ( FactPayment[NotificationDate], FactPayment[PaymentDate], DAY ), 0.9 ) ) || [Lag Notification to Payment P95] = IF ( [Segment Guard OK] &amp;&amp; [Lag Notification to Payment Lines] &gt;= LOOKUPVALUE ( AnParam[Value], AnParam[Param], "MinLinesForQuantile" ), PERCENTILEX.INC ( FILTER ( FactPayment, NOT ISBLANK ( FactPayment[NotificationDate] ) &amp;&amp; NOT ISBLANK ( FactPayment[PaymentDate] ) &amp;&amp; FactPayment[PaymentDate] &gt;= FactPayment[NotificationDate] ), DATEDIFF ( FactPayment[NotificationDate], FactPayment[PaymentDate], DAY ), 0.95 ) ) || [Lag Notification to Payment Mean by Payment Date] = CALCULATE ( [Lag Notification to Payment Mean], USERELATIONSHIP ( FactPayment[PaymentDate], DimDate[Date] ) ) || [Lag Notification to Payment P50 by Payment Date] = CALCULATE ( [Lag Notification to Payment P50], USERELATIONSHIP ( FactPayment[PaymentDate], DimDate[Date] ) ) || [Lag Notification to Payment P90 by Payment Date] = CALCULATE ( [Lag Notification to Payment P90], USERELATIONSHIP ( FactPayment[PaymentDate], DimDate[Date] ) )</t>
  </si>
  <si>
    <t>[Lag Loss to Payment Lines] = VAR n = COUNTROWS ( FILTER ( FactPayment, NOT ISBLANK ( FactPayment[LossDate] ) &amp;&amp; NOT ISBLANK ( FactPayment[PaymentDate] ) &amp;&amp; FactPayment[PaymentDate] &gt;= FactPayment[LossDate] ) ) RETURN IF ( ISBLANK ( n ), 0, n ) || [Lag Loss to Payment Mean] = IF ( [Segment Guard OK] &amp;&amp; [Lag Loss to Payment Lines] &gt;= LOOKUPVALUE ( AnParam[Value], AnParam[Param], "MinLinesForQuantile" ), AVERAGEX ( FILTER ( FactPayment, NOT ISBLANK ( FactPayment[LossDate] ) &amp;&amp; NOT ISBLANK ( FactPayment[PaymentDate] ) &amp;&amp; FactPayment[PaymentDate] &gt;= FactPayment[LossDate] ), DATEDIFF ( FactPayment[LossDate], FactPayment[PaymentDate], DAY ) ) ) || [Lag Loss to Payment P50] = IF ( [Segment Guard OK] &amp;&amp; [Lag Loss to Payment Lines] &gt;= LOOKUPVALUE ( AnParam[Value], AnParam[Param], "MinLinesForQuantile" ), PERCENTILEX.INC ( FILTER ( FactPayment, NOT ISBLANK ( FactPayment[LossDate] ) &amp;&amp; NOT ISBLANK ( FactPayment[PaymentDate] ) &amp;&amp; FactPayment[PaymentDate] &gt;= FactPayment[LossDate] ), DATEDIFF ( FactPayment[LossDate], FactPayment[PaymentDate], DAY ), 0.5 ) ) || [Lag Loss to Payment P75] = IF ( [Segment Guard OK] &amp;&amp; [Lag Loss to Payment Lines] &gt;= LOOKUPVALUE ( AnParam[Value], AnParam[Param], "MinLinesForQuantile" ), PERCENTILEX.INC ( FILTER ( FactPayment, NOT ISBLANK ( FactPayment[LossDate] ) &amp;&amp; NOT ISBLANK ( FactPayment[PaymentDate] ) &amp;&amp; FactPayment[PaymentDate] &gt;= FactPayment[LossDate] ), DATEDIFF ( FactPayment[LossDate], FactPayment[PaymentDate], DAY ), 0.75 ) ) || [Lag Loss to Payment P90] = IF ( [Segment Guard OK] &amp;&amp; [Lag Loss to Payment Lines] &gt;= LOOKUPVALUE ( AnParam[Value], AnParam[Param], "MinLinesForQuantile" ), PERCENTILEX.INC ( FILTER ( FactPayment, NOT ISBLANK ( FactPayment[LossDate] ) &amp;&amp; NOT ISBLANK ( FactPayment[PaymentDate] ) &amp;&amp; FactPayment[PaymentDate] &gt;= FactPayment[LossDate] ), DATEDIFF ( FactPayment[LossDate], FactPayment[PaymentDate], DAY ), 0.9 ) ) || [Lag Loss to Payment P95] = IF ( [Segment Guard OK] &amp;&amp; [Lag Loss to Payment Lines] &gt;= LOOKUPVALUE ( AnParam[Value], AnParam[Param], "MinLinesForQuantile" ), PERCENTILEX.INC ( FILTER ( FactPayment, NOT ISBLANK ( FactPayment[LossDate] ) &amp;&amp; NOT ISBLANK ( FactPayment[PaymentDate] ) &amp;&amp; FactPayment[PaymentDate] &gt;= FactPayment[LossDate] ), DATEDIFF ( FactPayment[LossDate], FactPayment[PaymentDate], DAY ), 0.95 ) ) || [Lag Loss to Payment Mean by Payment Date] = CALCULATE ( [Lag Loss to Payment Mean], USERELATIONSHIP ( FactPayment[PaymentDate], DimDate[Date] ) ) || [Lag Loss to Payment P50 by Payment Date] = CALCULATE ( [Lag Loss to Payment P50], USERELATIONSHIP ( FactPayment[PaymentDate], DimDate[Date] ) ) || [Lag Loss to Payment P90 by Payment Date] = CALCULATE ( [Lag Loss to Payment P90], USERELATIONSHIP ( FactPayment[PaymentDate], DimDate[Date] ) )</t>
  </si>
  <si>
    <t>SLA Note; SLA Breach Lines Decision to Payment; SLA Breach Share Decision to Payment; SLA Breach Lines End to End; SLA Breach Share End to End</t>
  </si>
  <si>
    <t>[SLA Note] = LOOKUPVALUE ( tblUIText[TR], tblUIText[Key], "AN_SLA_PLACEHOLDER" ) &amp; " / " &amp; LOOKUPVALUE ( tblUIText[EN], tblUIText[Key], "AN_SLA_PLACEHOLDER" ) || [SLA Breach Lines Decision to Payment] = VAR sla = LOOKUPVALUE ( AnParam[Value], AnParam[Param], "SlaDaysDecisionToPayment_" &amp; [Active Segment Key] ) RETURN IF ( NOT ISBLANK ( sla ), VAR n = COUNTROWS ( FILTER ( FactPayment, NOT ISBLANK ( FactPayment[DecisionDate] ) &amp;&amp; NOT ISBLANK ( FactPayment[PaymentDate] ) &amp;&amp; FactPayment[PaymentDate] &gt;= FactPayment[DecisionDate] &amp;&amp; DATEDIFF ( FactPayment[DecisionDate], FactPayment[PaymentDate], DAY ) &gt; sla ) ) RETURN IF ( ISBLANK ( n ), 0, n ) ) || [SLA Breach Share Decision to Payment] = IF ( [Segment Guard OK] &amp;&amp; [Lag Decision to Payment Lines] &gt;= LOOKUPVALUE ( AnParam[Value], AnParam[Param], "MinLinesForQuantile" ), DIVIDE ( [SLA Breach Lines Decision to Payment], [Lag Decision to Payment Lines] ) ) || [SLA Breach Lines End to End] = VAR sla = LOOKUPVALUE ( AnParam[Value], AnParam[Param], "SlaDaysEndToEnd_" &amp; [Active Segment Key] ) RETURN IF ( NOT ISBLANK ( sla ), VAR n = COUNTROWS ( FILTER ( FactPayment, NOT ISBLANK ( FactPayment[LossDate] ) &amp;&amp; NOT ISBLANK ( FactPayment[PaymentDate] ) &amp;&amp; FactPayment[PaymentDate] &gt;= FactPayment[LossDate] &amp;&amp; DATEDIFF ( FactPayment[LossDate], FactPayment[PaymentDate], DAY ) &gt; sla ) ) RETURN IF ( ISBLANK ( n ), 0, n ) ) || [SLA Breach Share End to End] = IF ( [Segment Guard OK] &amp;&amp; [Lag Loss to Payment Lines] &gt;= LOOKUPVALUE ( AnParam[Value], AnParam[Param], "MinLinesForQuantile" ), DIVIDE ( [SLA Breach Lines End to End], [Lag Loss to Payment Lines] ) )</t>
  </si>
  <si>
    <t>SLA days are a parameter to be confirmed with operations | Guarded: BLANK unless exactly one segment is in context | Per payment line (an instalment counts once per line); missing or negative lags are excluded; below MinLinesForQuantile the value is BLANK (INSUFFICIENT DATA); guarded like amounts: BLANK when more than one segment is in context (the Lag ... Lines counts are not guarded) | SLA days are placeholders, to be confirmed by operations (AnParam SlaDays..._&lt;segment&gt;); show the SLA Note measure wherever they are used</t>
  </si>
  <si>
    <t>Segments In Context; Currencies In Context; Active Segment Key; Active Segment</t>
  </si>
  <si>
    <t>[Segments In Context] = COUNTROWS ( FILTER ( VALUES ( DimSegment[Segment] ), CALCULATE ( COUNTROWS ( FactPayment ) ) &gt; 0 ) ) || [Currencies In Context] = COUNTROWS ( FILTER ( VALUES ( DimCurrency[CurrencyCode] ), CALCULATE ( COUNTROWS ( FactPayment ) ) &gt; 0 ) ) || [Active Segment Key] = IF ( [Segments In Context] = 1, MAXX ( FILTER ( VALUES ( DimSegment[Segment] ), CALCULATE ( COUNTROWS ( FactPayment ) ) &gt; 0 ), DimSegment[Segment] ) ) || [Active Segment] = IF ( [Segments In Context] = 1, VAR s = [Active Segment Key] RETURN LOOKUPVALUE ( DimSegment[SegmentTR], DimSegment[Segment], s ) &amp; " / " &amp; LOOKUPVALUE ( DimSegment[SegmentEN], DimSegment[Segment], s ) )</t>
  </si>
  <si>
    <t>s:AN_SLA_PLACEHOLDER</t>
  </si>
  <si>
    <t>s:SLA süreleri geçici değerlerdir; operasyon tarafından teyit edilecek</t>
  </si>
  <si>
    <t>s:SLA days are placeholders, to be confirmed by operations</t>
  </si>
  <si>
    <t>s:SLA süreleri geçici değerlerdir; operasyon tarafından teyit edilecek
SLA days are placeholders, to be confirmed by operations</t>
  </si>
  <si>
    <t>s:SlaDaysDecisionToPayment_Life</t>
  </si>
  <si>
    <t>s:Decision-to-payment days above which a payment line counts as an SLA breach in Life: PLACEHOLDER, to be confirmed by operations</t>
  </si>
  <si>
    <t>s:SlaDaysEndToEnd_Life</t>
  </si>
  <si>
    <t>s:Loss-to-payment (end to end) days above which a payment line counts as slow in Life: PLACEHOLDER, to be confirmed by operations</t>
  </si>
  <si>
    <t>s:SlaDaysDecisionToPayment_Pension</t>
  </si>
  <si>
    <t>s:Decision-to-payment days above which a payment line counts as an SLA breach in Pension: PLACEHOLDER, to be confirmed by operations</t>
  </si>
  <si>
    <t>s:SlaDaysEndToEnd_Pension</t>
  </si>
  <si>
    <t>s:Loss-to-payment (end to end) days above which a payment line counts as slow in Pension: PLACEHOLDER, to be confirmed by operations</t>
  </si>
  <si>
    <t>s:SlaDaysDecisionToPayment_Non-life</t>
  </si>
  <si>
    <t>s:Decision-to-payment days above which a payment line counts as an SLA breach in Non-life: PLACEHOLDER, to be confirmed by operations</t>
  </si>
  <si>
    <t>s:SlaDaysEndToEnd_Non-life</t>
  </si>
  <si>
    <t>s:Loss-to-payment (end to end) days above which a payment line counts as slow in Non-life: PLACEHOLDER, to be confirmed by operations</t>
  </si>
  <si>
    <t>s:SlaDaysDecisionToPayment_Unassigned</t>
  </si>
  <si>
    <t>s:Decision-to-payment days above which a payment line counts as an SLA breach in Unassigned: PLACEHOLDER, to be confirmed by operations</t>
  </si>
  <si>
    <t>s:SlaDaysEndToEnd_Unassigned</t>
  </si>
  <si>
    <t>s:Loss-to-payment (end to end) days above which a payment line counts as slow in Unassigned: PLACEHOLDER, to be confirmed by operations</t>
  </si>
  <si>
    <t>s:Mean, median, P75, P90 and P95 are variants of each stage; lines with a missing or negative lag are excluded and counted | Guarded: BLANK unless exactly one segment is in context | Per payment line (an instalment counts once per line); missing or negative lags are excluded; below MinLinesForQuantile the value is BLANK (INSUFFICIENT DATA); guarded like amounts: BLANK when more than one segment is in context (the Lag ... Lines counts are not guarded)</t>
  </si>
  <si>
    <t>s:[Lag Loss to Notification Lines] = VAR n = COUNTROWS ( FILTER ( FactPayment, NOT ISBLANK ( FactPayment[LossDate] ) &amp;&amp; NOT ISBLANK ( FactPayment[NotificationDate] ) &amp;&amp; FactPayment[NotificationDate] &gt;= FactPayment[LossDate] ) ) RETURN IF ( ISBLANK ( n ), 0, n ) || [Lag Loss to Notification Mean] = IF ( [Segment Guard OK] &amp;&amp; [Lag Loss to Notification Lines] &gt;= LOOKUPVALUE ( AnParam[Value], AnParam[Param], "MinLinesForQuantile" ), AVERAGEX ( FILTER ( FactPayment, NOT ISBLANK ( FactPayment[LossDate] ) &amp;&amp; NOT ISBLANK ( FactPayment[NotificationDate] ) &amp;&amp; FactPayment[NotificationDate] &gt;= FactPayment[LossDate] ), DATEDIFF ( FactPayment[LossDate], FactPayment[NotificationDate], DAY ) ) ) || [Lag Loss to Notification P50] = IF ( [Segment Guard OK] &amp;&amp; [Lag Loss to Notification Lines] &gt;= LOOKUPVALUE ( AnParam[Value], AnParam[Param], "MinLinesForQuantile" ), PERCENTILEX.INC ( FILTER ( FactPayment, NOT ISBLANK ( FactPayment[LossDate] ) &amp;&amp; NOT ISBLANK ( FactPayment[NotificationDate] ) &amp;&amp; FactPayment[NotificationDate] &gt;= FactPayment[LossDate] ), DATEDIFF ( FactPayment[LossDate], FactPayment[NotificationDate], DAY ), 0.5 ) ) || [Lag Loss to Notification P75] = IF ( [Segment Guard OK] &amp;&amp; [Lag Loss to Notification Lines] &gt;= LOOKUPVALUE ( AnParam[Value], AnParam[Param], "MinLinesForQuantile" ), PERCENTILEX.INC ( FILTER ( FactPayment, NOT ISBLANK ( FactPayment[LossDate] ) &amp;&amp; NOT ISBLANK ( FactPayment[NotificationDate] ) &amp;&amp; FactPayment[NotificationDate] &gt;= FactPayment[LossDate] ), DATEDIFF ( FactPayment[LossDate], FactPayment[NotificationDate], DAY ), 0.75 ) ) || [Lag Loss to Notification P90] = IF ( [Segment Guard OK] &amp;&amp; [Lag Loss to Notification Lines] &gt;= LOOKUPVALUE ( AnParam[Value], AnParam[Param], "MinLinesForQuantile" ), PERCENTILEX.INC ( FILTER ( FactPayment, NOT ISBLANK ( FactPayment[LossDate] ) &amp;&amp; NOT ISBLANK ( FactPayment[NotificationDate] ) &amp;&amp; FactPayment[NotificationDate] &gt;= FactPayment[LossDate] ), DATEDIFF ( FactPayment[LossDate], FactPayment[NotificationDate], DAY ), 0.9 ) ) || [Lag Loss to Notification P95] = IF ( [Segment Guard OK] &amp;&amp; [Lag Loss to Notification Lines] &gt;= LOOKUPVALUE ( AnParam[Value], AnParam[Param], "MinLinesForQuantile" ), PERCENTILEX.INC ( FILTER ( FactPayment, NOT ISBLANK ( FactPayment[LossDate] ) &amp;&amp; NOT ISBLANK ( FactPayment[NotificationDate] ) &amp;&amp; FactPayment[NotificationDate] &gt;= FactPayment[LossDate] ), DATEDIFF ( FactPayment[LossDate], FactPayment[NotificationDate], DAY ), 0.95 ) ) || [Lag Loss to Notification Mean by Notification Date] = CALCULATE ( [Lag Loss to Notification Mean], USERELATIONSHIP ( FactPayment[NotificationDate], DimDate[Date] ) ) || [Lag Loss to Notification P50 by Notification Date] = CALCULATE ( [Lag Loss to Notification P50], USERELATIONSHIP ( FactPayment[NotificationDate], DimDate[Date] ) ) || [Lag Loss to Notification P90 by Notification Date] = CALCULATE ( [Lag Loss to Notification P90], USERELATIONSHIP ( FactPayment[NotificationDate], DimDate[Date] ) )</t>
  </si>
  <si>
    <t>s:[Lag Notification to Documents Lines] = VAR n = COUNTROWS ( FILTER ( FactPayment, NOT ISBLANK ( FactPayment[NotificationDate] ) &amp;&amp; NOT ISBLANK ( FactPayment[DocsCompleteDate] ) &amp;&amp; FactPayment[DocsCompleteDate] &gt;= FactPayment[NotificationDate] ) ) RETURN IF ( ISBLANK ( n ), 0, n ) || [Lag Notification to Documents Mean] = IF ( [Segment Guard OK] &amp;&amp; [Lag Notification to Documents Lines] &gt;= LOOKUPVALUE ( AnParam[Value], AnParam[Param], "MinLinesForQuantile" ), AVERAGEX ( FILTER ( FactPayment, NOT ISBLANK ( FactPayment[NotificationDate] ) &amp;&amp; NOT ISBLANK ( FactPayment[DocsCompleteDate] ) &amp;&amp; FactPayment[DocsCompleteDate] &gt;= FactPayment[NotificationDate] ), DATEDIFF ( FactPayment[NotificationDate], FactPayment[DocsCompleteDate], DAY ) ) ) || [Lag Notification to Documents P50] = IF ( [Segment Guard OK] &amp;&amp; [Lag Notification to Documents Lines] &gt;= LOOKUPVALUE ( AnParam[Value], AnParam[Param], "MinLinesForQuantile" ), PERCENTILEX.INC ( FILTER ( FactPayment, NOT ISBLANK ( FactPayment[NotificationDate] ) &amp;&amp; NOT ISBLANK ( FactPayment[DocsCompleteDate] ) &amp;&amp; FactPayment[DocsCompleteDate] &gt;= FactPayment[NotificationDate] ), DATEDIFF ( FactPayment[NotificationDate], FactPayment[DocsCompleteDate], DAY ), 0.5 ) ) || [Lag Notification to Documents P75] = IF ( [Segment Guard OK] &amp;&amp; [Lag Notification to Documents Lines] &gt;= LOOKUPVALUE ( AnParam[Value], AnParam[Param], "MinLinesForQuantile" ), PERCENTILEX.INC ( FILTER ( FactPayment, NOT ISBLANK ( FactPayment[NotificationDate] ) &amp;&amp; NOT ISBLANK ( FactPayment[DocsCompleteDate] ) &amp;&amp; FactPayment[DocsCompleteDate] &gt;= FactPayment[NotificationDate] ), DATEDIFF ( FactPayment[NotificationDate], FactPayment[DocsCompleteDate], DAY ), 0.75 ) ) || [Lag Notification to Documents P90] = IF ( [Segment Guard OK] &amp;&amp; [Lag Notification to Documents Lines] &gt;= LOOKUPVALUE ( AnParam[Value], AnParam[Param], "MinLinesForQuantile" ), PERCENTILEX.INC ( FILTER ( FactPayment, NOT ISBLANK ( FactPayment[NotificationDate] ) &amp;&amp; NOT ISBLANK ( FactPayment[DocsCompleteDate] ) &amp;&amp; FactPayment[DocsCompleteDate] &gt;= FactPayment[NotificationDate] ), DATEDIFF ( FactPayment[NotificationDate], FactPayment[DocsCompleteDate], DAY ), 0.9 ) ) || [Lag Notification to Documents P95] = IF ( [Segment Guard OK] &amp;&amp; [Lag Notification to Documents Lines] &gt;= LOOKUPVALUE ( AnParam[Value], AnParam[Param], "MinLinesForQuantile" ), PERCENTILEX.INC ( FILTER ( FactPayment, NOT ISBLANK ( FactPayment[NotificationDate] ) &amp;&amp; NOT ISBLANK ( FactPayment[DocsCompleteDate] ) &amp;&amp; FactPayment[DocsCompleteDate] &gt;= FactPayment[NotificationDate] ), DATEDIFF ( FactPayment[NotificationDate], FactPayment[DocsCompleteDate], DAY ), 0.95 ) ) || [Lag Notification to Documents Mean by Documents Complete Date] = CALCULATE ( [Lag Notification to Documents Mean], USERELATIONSHIP ( FactPayment[DocsCompleteDate], DimDate[Date] ) ) || [Lag Notification to Documents P50 by Documents Complete Date] = CALCULATE ( [Lag Notification to Documents P50], USERELATIONSHIP ( FactPayment[DocsCompleteDate], DimDate[Date] ) ) || [Lag Notification to Documents P90 by Documents Complete Date] = CALCULATE ( [Lag Notification to Documents P90], USERELATIONSHIP ( FactPayment[DocsCompleteDate], DimDate[Date] ) )</t>
  </si>
  <si>
    <t>s:[Lag Documents to Decision Lines] = VAR n = COUNTROWS ( FILTER ( FactPayment, NOT ISBLANK ( FactPayment[DocsCompleteDate] ) &amp;&amp; NOT ISBLANK ( FactPayment[DecisionDate] ) &amp;&amp; FactPayment[DecisionDate] &gt;= FactPayment[DocsCompleteDate] ) ) RETURN IF ( ISBLANK ( n ), 0, n ) || [Lag Documents to Decision Mean] = IF ( [Segment Guard OK] &amp;&amp; [Lag Documents to Decision Lines] &gt;= LOOKUPVALUE ( AnParam[Value], AnParam[Param], "MinLinesForQuantile" ), AVERAGEX ( FILTER ( FactPayment, NOT ISBLANK ( FactPayment[DocsCompleteDate] ) &amp;&amp; NOT ISBLANK ( FactPayment[DecisionDate] ) &amp;&amp; FactPayment[DecisionDate] &gt;= FactPayment[DocsCompleteDate] ), DATEDIFF ( FactPayment[DocsCompleteDate], FactPayment[DecisionDate], DAY ) ) ) || [Lag Documents to Decision P50] = IF ( [Segment Guard OK] &amp;&amp; [Lag Documents to Decision Lines] &gt;= LOOKUPVALUE ( AnParam[Value], AnParam[Param], "MinLinesForQuantile" ), PERCENTILEX.INC ( FILTER ( FactPayment, NOT ISBLANK ( FactPayment[DocsCompleteDate] ) &amp;&amp; NOT ISBLANK ( FactPayment[DecisionDate] ) &amp;&amp; FactPayment[DecisionDate] &gt;= FactPayment[DocsCompleteDate] ), DATEDIFF ( FactPayment[DocsCompleteDate], FactPayment[DecisionDate], DAY ), 0.5 ) ) || [Lag Documents to Decision P75] = IF ( [Segment Guard OK] &amp;&amp; [Lag Documents to Decision Lines] &gt;= LOOKUPVALUE ( AnParam[Value], AnParam[Param], "MinLinesForQuantile" ), PERCENTILEX.INC ( FILTER ( FactPayment, NOT ISBLANK ( FactPayment[DocsCompleteDate] ) &amp;&amp; NOT ISBLANK ( FactPayment[DecisionDate] ) &amp;&amp; FactPayment[DecisionDate] &gt;= FactPayment[DocsCompleteDate] ), DATEDIFF ( FactPayment[DocsCompleteDate], FactPayment[DecisionDate], DAY ), 0.75 ) ) || [Lag Documents to Decision P90] = IF ( [Segment Guard OK] &amp;&amp; [Lag Documents to Decision Lines] &gt;= LOOKUPVALUE ( AnParam[Value], AnParam[Param], "MinLinesForQuantile" ), PERCENTILEX.INC ( FILTER ( FactPayment, NOT ISBLANK ( FactPayment[DocsCompleteDate] ) &amp;&amp; NOT ISBLANK ( FactPayment[DecisionDate] ) &amp;&amp; FactPayment[DecisionDate] &gt;= FactPayment[DocsCompleteDate] ), DATEDIFF ( FactPayment[DocsCompleteDate], FactPayment[DecisionDate], DAY ), 0.9 ) ) || [Lag Documents to Decision P95] = IF ( [Segment Guard OK] &amp;&amp; [Lag Documents to Decision Lines] &gt;= LOOKUPVALUE ( AnParam[Value], AnParam[Param], "MinLinesForQuantile" ), PERCENTILEX.INC ( FILTER ( FactPayment, NOT ISBLANK ( FactPayment[DocsCompleteDate] ) &amp;&amp; NOT ISBLANK ( FactPayment[DecisionDate] ) &amp;&amp; FactPayment[DecisionDate] &gt;= FactPayment[DocsCompleteDate] ), DATEDIFF ( FactPayment[DocsCompleteDate], FactPayment[DecisionDate], DAY ), 0.95 ) ) || [Lag Documents to Decision Mean by Decision Date] = CALCULATE ( [Lag Documents to Decision Mean], USERELATIONSHIP ( FactPayment[DecisionDate], DimDate[Date] ) ) || [Lag Documents to Decision P50 by Decision Date] = CALCULATE ( [Lag Documents to Decision P50], USERELATIONSHIP ( FactPayment[DecisionDate], DimDate[Date] ) ) || [Lag Documents to Decision P90 by Decision Date] = CALCULATE ( [Lag Documents to Decision P90], USERELATIONSHIP ( FactPayment[DecisionDate], DimDate[Date] ) )</t>
  </si>
  <si>
    <t>s:[Lag Decision to Payment Lines] = VAR n = COUNTROWS ( FILTER ( FactPayment, NOT ISBLANK ( FactPayment[DecisionDate] ) &amp;&amp; NOT ISBLANK ( FactPayment[PaymentDate] ) &amp;&amp; FactPayment[PaymentDate] &gt;= FactPayment[DecisionDate] ) ) RETURN IF ( ISBLANK ( n ), 0, n ) || [Lag Decision to Payment Mean] = IF ( [Segment Guard OK] &amp;&amp; [Lag Decision to Payment Lines] &gt;= LOOKUPVALUE ( AnParam[Value], AnParam[Param], "MinLinesForQuantile" ), AVERAGEX ( FILTER ( FactPayment, NOT ISBLANK ( FactPayment[DecisionDate] ) &amp;&amp; NOT ISBLANK ( FactPayment[PaymentDate] ) &amp;&amp; FactPayment[PaymentDate] &gt;= FactPayment[DecisionDate] ), DATEDIFF ( FactPayment[DecisionDate], FactPayment[PaymentDate], DAY ) ) ) || [Lag Decision to Payment P50] = IF ( [Segment Guard OK] &amp;&amp; [Lag Decision to Payment Lines] &gt;= LOOKUPVALUE ( AnParam[Value], AnParam[Param], "MinLinesForQuantile" ), PERCENTILEX.INC ( FILTER ( FactPayment, NOT ISBLANK ( FactPayment[DecisionDate] ) &amp;&amp; NOT ISBLANK ( FactPayment[PaymentDate] ) &amp;&amp; FactPayment[PaymentDate] &gt;= FactPayment[DecisionDate] ), DATEDIFF ( FactPayment[DecisionDate], FactPayment[PaymentDate], DAY ), 0.5 ) ) || [Lag Decision to Payment P75] = IF ( [Segment Guard OK] &amp;&amp; [Lag Decision to Payment Lines] &gt;= LOOKUPVALUE ( AnParam[Value], AnParam[Param], "MinLinesForQuantile" ), PERCENTILEX.INC ( FILTER ( FactPayment, NOT ISBLANK ( FactPayment[DecisionDate] ) &amp;&amp; NOT ISBLANK ( FactPayment[PaymentDate] ) &amp;&amp; FactPayment[PaymentDate] &gt;= FactPayment[DecisionDate] ), DATEDIFF ( FactPayment[DecisionDate], FactPayment[PaymentDate], DAY ), 0.75 ) ) || [Lag Decision to Payment P90] = IF ( [Segment Guard OK] &amp;&amp; [Lag Decision to Payment Lines] &gt;= LOOKUPVALUE ( AnParam[Value], AnParam[Param], "MinLinesForQuantile" ), PERCENTILEX.INC ( FILTER ( FactPayment, NOT ISBLANK ( FactPayment[DecisionDate] ) &amp;&amp; NOT ISBLANK ( FactPayment[PaymentDate] ) &amp;&amp; FactPayment[PaymentDate] &gt;= FactPayment[DecisionDate] ), DATEDIFF ( FactPayment[DecisionDate], FactPayment[PaymentDate], DAY ), 0.9 ) ) || [Lag Decision to Payment P95] = IF ( [Segment Guard OK] &amp;&amp; [Lag Decision to Payment Lines] &gt;= LOOKUPVALUE ( AnParam[Value], AnParam[Param], "MinLinesForQuantile" ), PERCENTILEX.INC ( FILTER ( FactPayment, NOT ISBLANK ( FactPayment[DecisionDate] ) &amp;&amp; NOT ISBLANK ( FactPayment[PaymentDate] ) &amp;&amp; FactPayment[PaymentDate] &gt;= FactPayment[DecisionDate] ), DATEDIFF ( FactPayment[DecisionDate], FactPayment[PaymentDate], DAY ), 0.95 ) ) || [Lag Decision to Payment Mean by Payment Date] = CALCULATE ( [Lag Decision to Payment Mean], USERELATIONSHIP ( FactPayment[PaymentDate], DimDate[Date] ) ) || [Lag Decision to Payment P50 by Payment Date] = CALCULATE ( [Lag Decision to Payment P50], USERELATIONSHIP ( FactPayment[PaymentDate], DimDate[Date] ) ) || [Lag Decision to Payment P90 by Payment Date] = CALCULATE ( [Lag Decision to Payment P90], USERELATIONSHIP ( FactPayment[PaymentDate], DimDate[Date] ) )</t>
  </si>
  <si>
    <t>s:[Lag Notification to Payment Mean] = IF ( [Segment Guard OK] &amp;&amp; [Lag Notification to Payment Lines] &gt;= LOOKUPVALUE ( AnParam[Value], AnParam[Param], "MinLinesForQuantile" ), AVERAGEX ( FILTER ( FactPayment, NOT ISBLANK ( FactPayment[NotificationDate] ) &amp;&amp; NOT ISBLANK ( FactPayment[PaymentDate] ) &amp;&amp; FactPayment[PaymentDate] &gt;= FactPayment[NotificationDate] ), DATEDIFF ( FactPayment[NotificationDate], FactPayment[PaymentDate], DAY ) ) ) || [Lag Notification to Payment Lines] = VAR n = COUNTROWS ( FILTER ( FactPayment, NOT ISBLANK ( FactPayment[NotificationDate] ) &amp;&amp; NOT ISBLANK ( FactPayment[PaymentDate] ) &amp;&amp; FactPayment[PaymentDate] &gt;= FactPayment[NotificationDate] ) ) RETURN IF ( ISBLANK ( n ), 0, n ) || [Lag Notification to Payment P50] = IF ( [Segment Guard OK] &amp;&amp; [Lag Notification to Payment Lines] &gt;= LOOKUPVALUE ( AnParam[Value], AnParam[Param], "MinLinesForQuantile" ), PERCENTILEX.INC ( FILTER ( FactPayment, NOT ISBLANK ( FactPayment[NotificationDate] ) &amp;&amp; NOT ISBLANK ( FactPayment[PaymentDate] ) &amp;&amp; FactPayment[PaymentDate] &gt;= FactPayment[NotificationDate] ), DATEDIFF ( FactPayment[NotificationDate], FactPayment[PaymentDate], DAY ), 0.5 ) ) || [Lag Notification to Payment P75] = IF ( [Segment Guard OK] &amp;&amp; [Lag Notification to Payment Lines] &gt;= LOOKUPVALUE ( AnParam[Value], AnParam[Param], "MinLinesForQuantile" ), PERCENTILEX.INC ( FILTER ( FactPayment, NOT ISBLANK ( FactPayment[NotificationDate] ) &amp;&amp; NOT ISBLANK ( FactPayment[PaymentDate] ) &amp;&amp; FactPayment[PaymentDate] &gt;= FactPayment[NotificationDate] ), DATEDIFF ( FactPayment[NotificationDate], FactPayment[PaymentDate], DAY ), 0.75 ) ) || [Lag Notification to Payment P90] = IF ( [Segment Guard OK] &amp;&amp; [Lag Notification to Payment Lines] &gt;= LOOKUPVALUE ( AnParam[Value], AnParam[Param], "MinLinesForQuantile" ), PERCENTILEX.INC ( FILTER ( FactPayment, NOT ISBLANK ( FactPayment[NotificationDate] ) &amp;&amp; NOT ISBLANK ( FactPayment[PaymentDate] ) &amp;&amp; FactPayment[PaymentDate] &gt;= FactPayment[NotificationDate] ), DATEDIFF ( FactPayment[NotificationDate], FactPayment[PaymentDate], DAY ), 0.9 ) ) || [Lag Notification to Payment P95] = IF ( [Segment Guard OK] &amp;&amp; [Lag Notification to Payment Lines] &gt;= LOOKUPVALUE ( AnParam[Value], AnParam[Param], "MinLinesForQuantile" ), PERCENTILEX.INC ( FILTER ( FactPayment, NOT ISBLANK ( FactPayment[NotificationDate] ) &amp;&amp; NOT ISBLANK ( FactPayment[PaymentDate] ) &amp;&amp; FactPayment[PaymentDate] &gt;= FactPayment[NotificationDate] ), DATEDIFF ( FactPayment[NotificationDate], FactPayment[PaymentDate], DAY ), 0.95 ) ) || [Lag Notification to Payment Mean by Payment Date] = CALCULATE ( [Lag Notification to Payment Mean], USERELATIONSHIP ( FactPayment[PaymentDate], DimDate[Date] ) ) || [Lag Notification to Payment P50 by Payment Date] = CALCULATE ( [Lag Notification to Payment P50], USERELATIONSHIP ( FactPayment[PaymentDate], DimDate[Date] ) ) || [Lag Notification to Payment P90 by Payment Date] = CALCULATE ( [Lag Notification to Payment P90], USERELATIONSHIP ( FactPayment[PaymentDate], DimDate[Date] ) )</t>
  </si>
  <si>
    <t>s:[Lag Loss to Payment Lines] = VAR n = COUNTROWS ( FILTER ( FactPayment, NOT ISBLANK ( FactPayment[LossDate] ) &amp;&amp; NOT ISBLANK ( FactPayment[PaymentDate] ) &amp;&amp; FactPayment[PaymentDate] &gt;= FactPayment[LossDate] ) ) RETURN IF ( ISBLANK ( n ), 0, n ) || [Lag Loss to Payment Mean] = IF ( [Segment Guard OK] &amp;&amp; [Lag Loss to Payment Lines] &gt;= LOOKUPVALUE ( AnParam[Value], AnParam[Param], "MinLinesForQuantile" ), AVERAGEX ( FILTER ( FactPayment, NOT ISBLANK ( FactPayment[LossDate] ) &amp;&amp; NOT ISBLANK ( FactPayment[PaymentDate] ) &amp;&amp; FactPayment[PaymentDate] &gt;= FactPayment[LossDate] ), DATEDIFF ( FactPayment[LossDate], FactPayment[PaymentDate], DAY ) ) ) || [Lag Loss to Payment P50] = IF ( [Segment Guard OK] &amp;&amp; [Lag Loss to Payment Lines] &gt;= LOOKUPVALUE ( AnParam[Value], AnParam[Param], "MinLinesForQuantile" ), PERCENTILEX.INC ( FILTER ( FactPayment, NOT ISBLANK ( FactPayment[LossDate] ) &amp;&amp; NOT ISBLANK ( FactPayment[PaymentDate] ) &amp;&amp; FactPayment[PaymentDate] &gt;= FactPayment[LossDate] ), DATEDIFF ( FactPayment[LossDate], FactPayment[PaymentDate], DAY ), 0.5 ) ) || [Lag Loss to Payment P75] = IF ( [Segment Guard OK] &amp;&amp; [Lag Loss to Payment Lines] &gt;= LOOKUPVALUE ( AnParam[Value], AnParam[Param], "MinLinesForQuantile" ), PERCENTILEX.INC ( FILTER ( FactPayment, NOT ISBLANK ( FactPayment[LossDate] ) &amp;&amp; NOT ISBLANK ( FactPayment[PaymentDate] ) &amp;&amp; FactPayment[PaymentDate] &gt;= FactPayment[LossDate] ), DATEDIFF ( FactPayment[LossDate], FactPayment[PaymentDate], DAY ), 0.75 ) ) || [Lag Loss to Payment P90] = IF ( [Segment Guard OK] &amp;&amp; [Lag Loss to Payment Lines] &gt;= LOOKUPVALUE ( AnParam[Value], AnParam[Param], "MinLinesForQuantile" ), PERCENTILEX.INC ( FILTER ( FactPayment, NOT ISBLANK ( FactPayment[LossDate] ) &amp;&amp; NOT ISBLANK ( FactPayment[PaymentDate] ) &amp;&amp; FactPayment[PaymentDate] &gt;= FactPayment[LossDate] ), DATEDIFF ( FactPayment[LossDate], FactPayment[PaymentDate], DAY ), 0.9 ) ) || [Lag Loss to Payment P95] = IF ( [Segment Guard OK] &amp;&amp; [Lag Loss to Payment Lines] &gt;= LOOKUPVALUE ( AnParam[Value], AnParam[Param], "MinLinesForQuantile" ), PERCENTILEX.INC ( FILTER ( FactPayment, NOT ISBLANK ( FactPayment[LossDate] ) &amp;&amp; NOT ISBLANK ( FactPayment[PaymentDate] ) &amp;&amp; FactPayment[PaymentDate] &gt;= FactPayment[LossDate] ), DATEDIFF ( FactPayment[LossDate], FactPayment[PaymentDate], DAY ), 0.95 ) ) || [Lag Loss to Payment Mean by Payment Date] = CALCULATE ( [Lag Loss to Payment Mean], USERELATIONSHIP ( FactPayment[PaymentDate], DimDate[Date] ) ) || [Lag Loss to Payment P50 by Payment Date] = CALCULATE ( [Lag Loss to Payment P50], USERELATIONSHIP ( FactPayment[PaymentDate], DimDate[Date] ) ) || [Lag Loss to Payment P90 by Payment Date] = CALCULATE ( [Lag Loss to Payment P90], USERELATIONSHIP ( FactPayment[PaymentDate], DimDate[Date] ) )</t>
  </si>
  <si>
    <t>s:SLA Note; SLA Breach Lines Decision to Payment; SLA Breach Share Decision to Payment; SLA Breach Lines End to End; SLA Breach Share End to End</t>
  </si>
  <si>
    <t>s:SLA days are a parameter to be confirmed with operations | Guarded: BLANK unless exactly one segment is in context | Per payment line (an instalment counts once per line); missing or negative lags are excluded; below MinLinesForQuantile the value is BLANK (INSUFFICIENT DATA); guarded like amounts: BLANK when more than one segment is in context (the Lag ... Lines counts are not guarded) | SLA days are placeholders, to be confirmed by operations (AnParam SlaDays..._&lt;segment&gt;); show the SLA Note measure wherever they are used</t>
  </si>
  <si>
    <t>s:[SLA Note] = LOOKUPVALUE ( tblUIText[TR], tblUIText[Key], "AN_SLA_PLACEHOLDER" ) &amp; " / " &amp; LOOKUPVALUE ( tblUIText[EN], tblUIText[Key], "AN_SLA_PLACEHOLDER" ) || [SLA Breach Lines Decision to Payment] = VAR sla = LOOKUPVALUE ( AnParam[Value], AnParam[Param], "SlaDaysDecisionToPayment_" &amp; [Active Segment Key] ) RETURN IF ( NOT ISBLANK ( sla ), VAR n = COUNTROWS ( FILTER ( FactPayment, NOT ISBLANK ( FactPayment[DecisionDate] ) &amp;&amp; NOT ISBLANK ( FactPayment[PaymentDate] ) &amp;&amp; FactPayment[PaymentDate] &gt;= FactPayment[DecisionDate] &amp;&amp; DATEDIFF ( FactPayment[DecisionDate], FactPayment[PaymentDate], DAY ) &gt; sla ) ) RETURN IF ( ISBLANK ( n ), 0, n ) ) || [SLA Breach Share Decision to Payment] = IF ( [Segment Guard OK] &amp;&amp; [Lag Decision to Payment Lines] &gt;= LOOKUPVALUE ( AnParam[Value], AnParam[Param], "MinLinesForQuantile" ), DIVIDE ( [SLA Breach Lines Decision to Payment], [Lag Decision to Payment Lines] ) ) || [SLA Breach Lines End to End] = VAR sla = LOOKUPVALUE ( AnParam[Value], AnParam[Param], "SlaDaysEndToEnd_" &amp; [Active Segment Key] ) RETURN IF ( NOT ISBLANK ( sla ), VAR n = COUNTROWS ( FILTER ( FactPayment, NOT ISBLANK ( FactPayment[LossDate] ) &amp;&amp; NOT ISBLANK ( FactPayment[PaymentDate] ) &amp;&amp; FactPayment[PaymentDate] &gt;= FactPayment[LossDate] &amp;&amp; DATEDIFF ( FactPayment[LossDate], FactPayment[PaymentDate], DAY ) &gt; sla ) ) RETURN IF ( ISBLANK ( n ), 0, n ) ) || [SLA Breach Share End to End] = IF ( [Segment Guard OK] &amp;&amp; [Lag Loss to Payment Lines] &gt;= LOOKUPVALUE ( AnParam[Value], AnParam[Param], "MinLinesForQuantile" ), DIVIDE ( [SLA Breach Lines End to End], [Lag Loss to Payment Lines] ) )</t>
  </si>
  <si>
    <t>s:Segments In Context; Currencies In Context; Active Segment Key; Active Segment</t>
  </si>
  <si>
    <t>s:[Segments In Context] = COUNTROWS ( FILTER ( VALUES ( DimSegment[Segment] ), CALCULATE ( COUNTROWS ( FactPayment ) ) &gt; 0 ) ) || [Currencies In Context] = COUNTROWS ( FILTER ( VALUES ( DimCurrency[CurrencyCode] ), CALCULATE ( COUNTROWS ( FactPayment ) ) &gt; 0 ) ) || [Active Segment Key] = IF ( [Segments In Context] = 1, MAXX ( FILTER ( VALUES ( DimSegment[Segment] ), CALCULATE ( COUNTROWS ( FactPayment ) ) &gt; 0 ), DimSegment[Segment] ) ) || [Active Segment] = IF ( [Segments In Context] = 1, VAR s = [Active Segment Key] RETURN LOOKUPVALUE ( DimSegment[SegmentTR], DimSegment[Segment], s ) &amp; " / " &amp; LOOKUPVALUE ( DimSegment[SegmentEN], DimSegment[Segment], s ) )</t>
  </si>
  <si>
    <t>WorksheetConnection_AdminConfig!tblUIText</t>
  </si>
  <si>
    <t>static reference table: refreshed only by Cmd_RefreshReference (WP-2r)</t>
  </si>
  <si>
    <t>WorksheetConnection_RefData!AnParam</t>
  </si>
  <si>
    <t>WorksheetConnection_RefData!BandAmount</t>
  </si>
  <si>
    <t>WorksheetConnection_RefData!BandLag</t>
  </si>
  <si>
    <t>WorksheetConnection_RefData!BandPolicyAge</t>
  </si>
  <si>
    <t>WorksheetConnection_RefData!DevMonth</t>
  </si>
  <si>
    <t>WorksheetConnection_RefData!DimAgeBand</t>
  </si>
  <si>
    <t>WorksheetConnection_RefData!DimBranch</t>
  </si>
  <si>
    <t>WorksheetConnection_RefData!DimChannel</t>
  </si>
  <si>
    <t>WorksheetConnection_RefData!DimCurrency</t>
  </si>
  <si>
    <t>WorksheetConnection_RefData!DimGeography</t>
  </si>
  <si>
    <t>WorksheetConnection_RefData!DimPartner</t>
  </si>
  <si>
    <t>WorksheetConnection_RefData!DimPaymentNature</t>
  </si>
  <si>
    <t>WorksheetConnection_RefData!DimProduct</t>
  </si>
  <si>
    <t>WorksheetConnection_RefData!DimSegment</t>
  </si>
  <si>
    <t>WorksheetConnection_Threshold_Register!tblThreshold</t>
  </si>
  <si>
    <t>Referans verisini yenile / Refresh reference data</t>
  </si>
  <si>
    <t>Cmd_RefreshReference</t>
  </si>
  <si>
    <t>Takes the static reference tables over into the model (WP-2r)</t>
  </si>
  <si>
    <t>RD_SYNC</t>
  </si>
  <si>
    <t>Reference data in sync; last refreshed:</t>
  </si>
  <si>
    <t>Referans verisi güncel; son yenileme:</t>
  </si>
  <si>
    <t>RD_STALE</t>
  </si>
  <si>
    <t>WARNING: reference tables were edited after the last refresh; the model holds the old values - run 'Refresh reference data' (Administrator)</t>
  </si>
  <si>
    <t>UYARI: referans tabloları son yenilemeden sonra değiştirildi; model eski değerleri tutuyor - 'Referans verisini yenile' komutunu çalıştırın (Yönetici)</t>
  </si>
  <si>
    <t>checksum now</t>
  </si>
  <si>
    <t>at last refresh / by</t>
  </si>
  <si>
    <t>s:WorksheetConnection_AdminConfig!tblUIText</t>
  </si>
  <si>
    <t>s:MANUAL</t>
  </si>
  <si>
    <t>s:static reference table: refreshed only by Cmd_RefreshReference (WP-2r)</t>
  </si>
  <si>
    <t>s:WorksheetConnection_RefData!AnParam</t>
  </si>
  <si>
    <t>s:WorksheetConnection_RefData!BandAmount</t>
  </si>
  <si>
    <t>s:WorksheetConnection_RefData!BandLag</t>
  </si>
  <si>
    <t>s:WorksheetConnection_RefData!BandPolicyAge</t>
  </si>
  <si>
    <t>s:WorksheetConnection_RefData!DevMonth</t>
  </si>
  <si>
    <t>s:WorksheetConnection_RefData!DimAgeBand</t>
  </si>
  <si>
    <t>s:WorksheetConnection_RefData!DimBranch</t>
  </si>
  <si>
    <t>s:WorksheetConnection_RefData!DimChannel</t>
  </si>
  <si>
    <t>s:WorksheetConnection_RefData!DimCurrency</t>
  </si>
  <si>
    <t>s:WorksheetConnection_RefData!DimGeography</t>
  </si>
  <si>
    <t>s:WorksheetConnection_RefData!DimPartner</t>
  </si>
  <si>
    <t>s:WorksheetConnection_RefData!DimPaymentNature</t>
  </si>
  <si>
    <t>s:WorksheetConnection_RefData!DimProduct</t>
  </si>
  <si>
    <t>s:WorksheetConnection_RefData!DimSegment</t>
  </si>
  <si>
    <t>s:WorksheetConnection_Threshold_Register!tblThreshold</t>
  </si>
  <si>
    <t>s:RD_SYNC</t>
  </si>
  <si>
    <t>s:Referans verisi güncel; son yenileme:</t>
  </si>
  <si>
    <t>s:Reference data in sync; last refreshed:</t>
  </si>
  <si>
    <t>s:Referans verisi güncel; son yenileme:
Reference data in sync; last refreshed:</t>
  </si>
  <si>
    <t>s:RD_STALE</t>
  </si>
  <si>
    <t>s:UYARI: referans tabloları son yenilemeden sonra değiştirildi; model eski değerleri tutuyor - 'Referans verisini yenile' komutunu çalıştırın (Yönetici)</t>
  </si>
  <si>
    <t>s:WARNING: reference tables were edited after the last refresh; the model holds the old values - run 'Refresh reference data' (Administrator)</t>
  </si>
  <si>
    <t>s:UYARI: referans tabloları son yenilemeden sonra değiştirildi; model eski değerleri tutuyor - 'Referans verisini yenile' komutunu çalıştırın (Yönetici)
WARNING: reference tables were edited after the last refresh; the model holds the old values - run 'Refresh reference data' (Administrator)</t>
  </si>
  <si>
    <t>AN_NAV_INDEX</t>
  </si>
  <si>
    <t>Index</t>
  </si>
  <si>
    <t>Dizin</t>
  </si>
  <si>
    <t>AN_NAV_LIFE</t>
  </si>
  <si>
    <t>AN_NAV_PENSION</t>
  </si>
  <si>
    <t>AN_NAV_NONLIFE</t>
  </si>
  <si>
    <t>AN_NAV_TREND</t>
  </si>
  <si>
    <t>Trend</t>
  </si>
  <si>
    <t>Eğilim</t>
  </si>
  <si>
    <t>AN_NAV_TRIANGLE</t>
  </si>
  <si>
    <t>AN_NAV_LAGS</t>
  </si>
  <si>
    <t>Süreler</t>
  </si>
  <si>
    <t>AN_NAV_CATALOG</t>
  </si>
  <si>
    <t>AN_NAV_THRESHOLD</t>
  </si>
  <si>
    <t>Thresholds</t>
  </si>
  <si>
    <t>AN_NAV_HOME</t>
  </si>
  <si>
    <t>Ana sayfa</t>
  </si>
  <si>
    <t>AN_LBL_SEGMENT</t>
  </si>
  <si>
    <t>AN_LBL_MONTH</t>
  </si>
  <si>
    <t>Month</t>
  </si>
  <si>
    <t>Ay</t>
  </si>
  <si>
    <t>AN_LBL_READINESS</t>
  </si>
  <si>
    <t>Data readiness</t>
  </si>
  <si>
    <t>Veri durumu</t>
  </si>
  <si>
    <t>AN_LBL_REFRESH</t>
  </si>
  <si>
    <t>Last refresh</t>
  </si>
  <si>
    <t>Son yenileme</t>
  </si>
  <si>
    <t>AN_LBL_DEFS</t>
  </si>
  <si>
    <t>Definitions: KPI catalog</t>
  </si>
  <si>
    <t>Tanımlar: KPI kataloğu</t>
  </si>
  <si>
    <t>AN_LBL_LATEST</t>
  </si>
  <si>
    <t>Latest</t>
  </si>
  <si>
    <t>Son ay</t>
  </si>
  <si>
    <t>AN_LBL_INPUT</t>
  </si>
  <si>
    <t>Yellow cells are selections</t>
  </si>
  <si>
    <t>Sarı hücreler seçimdir</t>
  </si>
  <si>
    <t>AN_READY_OK</t>
  </si>
  <si>
    <t>Sufficient</t>
  </si>
  <si>
    <t>Yeterli</t>
  </si>
  <si>
    <t>AN_READY_MONTHS</t>
  </si>
  <si>
    <t>months of data</t>
  </si>
  <si>
    <t>ay veri</t>
  </si>
  <si>
    <t>AN_READY_LINES</t>
  </si>
  <si>
    <t>lines this month</t>
  </si>
  <si>
    <t>satır bu ay</t>
  </si>
  <si>
    <t>AN_STATUS_LEGEND</t>
  </si>
  <si>
    <t>AN_FOOT_AMOUNTS</t>
  </si>
  <si>
    <t>Amounts are TRY at the CBRT rate of the payment date; segments are never added or compared. Paid data only: no reserves, premium or exposure.</t>
  </si>
  <si>
    <t>Tutarlar ödeme günü TCMB kuruyla TL'dir; segmentler toplanmaz ve karşılaştırılmaz. Yalnızca ödenen veriler: rezerv, prim ve risk tutarı yoktur.</t>
  </si>
  <si>
    <t>AN_EXEC_PURPOSE</t>
  </si>
  <si>
    <t>Is this segment's payment activity normal in the selected month?</t>
  </si>
  <si>
    <t>Bu segmentin seçilen aydaki ödeme faaliyeti olağan mı?</t>
  </si>
  <si>
    <t>AN_T_PAID</t>
  </si>
  <si>
    <t>Paid (TRY m)</t>
  </si>
  <si>
    <t>Ödenen (mn TL)</t>
  </si>
  <si>
    <t>AN_T_CASES</t>
  </si>
  <si>
    <t>AN_T_MEAN</t>
  </si>
  <si>
    <t>Mean per case (TRY k)</t>
  </si>
  <si>
    <t>Dosya başına ort. (bin TL)</t>
  </si>
  <si>
    <t>AN_T_P90</t>
  </si>
  <si>
    <t>P90 per case (TRY k)</t>
  </si>
  <si>
    <t>Dosya başına P90 (bin TL)</t>
  </si>
  <si>
    <t>AN_T_LAG</t>
  </si>
  <si>
    <t>Loss→payment P50 (days)</t>
  </si>
  <si>
    <t>Hasar→ödeme P50 (gün)</t>
  </si>
  <si>
    <t>AN_T_SLA</t>
  </si>
  <si>
    <t>SLA breach, end to end</t>
  </si>
  <si>
    <t>Uçtan uca SLA aşımı</t>
  </si>
  <si>
    <t>AN_T_VSPM</t>
  </si>
  <si>
    <t>vs previous month</t>
  </si>
  <si>
    <t>önceki aya göre</t>
  </si>
  <si>
    <t>AN_T_VSPM_S</t>
  </si>
  <si>
    <t>prev. month</t>
  </si>
  <si>
    <t>önceki ay</t>
  </si>
  <si>
    <t>AN_W_UNITM</t>
  </si>
  <si>
    <t>TRY m</t>
  </si>
  <si>
    <t>mn TL</t>
  </si>
  <si>
    <t>AN_W_DAYS</t>
  </si>
  <si>
    <t>gün</t>
  </si>
  <si>
    <t>AN_W_PP</t>
  </si>
  <si>
    <t>pp</t>
  </si>
  <si>
    <t>puan</t>
  </si>
  <si>
    <t>AN_NO_THRESHOLD</t>
  </si>
  <si>
    <t>no threshold</t>
  </si>
  <si>
    <t>eşik yok</t>
  </si>
  <si>
    <t>AN_SLA_SHORT</t>
  </si>
  <si>
    <t>SLA placeholder</t>
  </si>
  <si>
    <t>SLA geçici değer</t>
  </si>
  <si>
    <t>AN_LBL_REFSYNC</t>
  </si>
  <si>
    <t>Reference data in sync; last refreshed</t>
  </si>
  <si>
    <t>Referans verisi güncel; son yenileme</t>
  </si>
  <si>
    <t>AN_TREND_TITLE</t>
  </si>
  <si>
    <t>AN_MOVERS</t>
  </si>
  <si>
    <t>Top movers by reason code (vs previous month, TRY m)</t>
  </si>
  <si>
    <t>En çok değişen ödeme nedenleri (önceki aya göre, mn TL)</t>
  </si>
  <si>
    <t>AN_COL_REASON</t>
  </si>
  <si>
    <t>Neden</t>
  </si>
  <si>
    <t>AN_COL_PREV</t>
  </si>
  <si>
    <t>Previous</t>
  </si>
  <si>
    <t>Önceki</t>
  </si>
  <si>
    <t>AN_COL_CUR</t>
  </si>
  <si>
    <t>This month</t>
  </si>
  <si>
    <t>Bu ay</t>
  </si>
  <si>
    <t>AN_COL_CHANGE</t>
  </si>
  <si>
    <t>Change</t>
  </si>
  <si>
    <t>Fark</t>
  </si>
  <si>
    <t>AN_ALERTS</t>
  </si>
  <si>
    <t>Open alerts</t>
  </si>
  <si>
    <t>Açık uyarılar</t>
  </si>
  <si>
    <t>AN_NO_ALERTS</t>
  </si>
  <si>
    <t>No open alerts</t>
  </si>
  <si>
    <t>Açık uyarı yok</t>
  </si>
  <si>
    <t>AN_W_PAID</t>
  </si>
  <si>
    <t>paid</t>
  </si>
  <si>
    <t>ödemeleri</t>
  </si>
  <si>
    <t>AN_W_VSPY</t>
  </si>
  <si>
    <t>vs the same month last year</t>
  </si>
  <si>
    <t>geçen yılın aynı ayına göre</t>
  </si>
  <si>
    <t>AN_W_R12</t>
  </si>
  <si>
    <t>last 12 months</t>
  </si>
  <si>
    <t>son 12 ay</t>
  </si>
  <si>
    <t>AN_W_OPEN_ALERTS</t>
  </si>
  <si>
    <t>open alert(s)</t>
  </si>
  <si>
    <t>açık uyarı</t>
  </si>
  <si>
    <t>AN_IDX_TITLE</t>
  </si>
  <si>
    <t>Analytics pages</t>
  </si>
  <si>
    <t>Analitik sayfalar</t>
  </si>
  <si>
    <t>AN_IDX_NOTE</t>
  </si>
  <si>
    <t>Each page answers one question; every figure traces to a definition in the KPI catalog. No page adds segments.</t>
  </si>
  <si>
    <t>Her sayfa tek bir soruyu yanıtlar; her sayı KPI kataloğundaki bir tanıma dayanır. Segmentler hiçbir sayfada toplanmaz.</t>
  </si>
  <si>
    <t>AN_IDX_PAGE</t>
  </si>
  <si>
    <t>Page</t>
  </si>
  <si>
    <t>Sayfa</t>
  </si>
  <si>
    <t>AN_IDX_QUESTION</t>
  </si>
  <si>
    <t>Question answered</t>
  </si>
  <si>
    <t>Yanıtladığı soru</t>
  </si>
  <si>
    <t>AN_IDX_AUDIENCE</t>
  </si>
  <si>
    <t>Audience</t>
  </si>
  <si>
    <t>Kimin için</t>
  </si>
  <si>
    <t>AN_IDX_TIER</t>
  </si>
  <si>
    <t>Tier</t>
  </si>
  <si>
    <t>Kademe</t>
  </si>
  <si>
    <t>AN_IDX_READY</t>
  </si>
  <si>
    <t>AN_IDX_GO</t>
  </si>
  <si>
    <t>Go</t>
  </si>
  <si>
    <t>Git</t>
  </si>
  <si>
    <t>AN_IDX_COVERAGE</t>
  </si>
  <si>
    <t>Data coverage</t>
  </si>
  <si>
    <t>Veri kapsamı</t>
  </si>
  <si>
    <t>AN_IDX_FIRST</t>
  </si>
  <si>
    <t>First month</t>
  </si>
  <si>
    <t>İlk ay</t>
  </si>
  <si>
    <t>AN_IDX_LAST</t>
  </si>
  <si>
    <t>Last month</t>
  </si>
  <si>
    <t>AN_IDX_MONTHS</t>
  </si>
  <si>
    <t>Months</t>
  </si>
  <si>
    <t>Ay sayısı</t>
  </si>
  <si>
    <t>AN_IDX_REF</t>
  </si>
  <si>
    <t>Reference data</t>
  </si>
  <si>
    <t>Referans verisi</t>
  </si>
  <si>
    <t>AN_AUD_EXEC</t>
  </si>
  <si>
    <t>Management, reviewer</t>
  </si>
  <si>
    <t>Yönetici, gözden geçiren</t>
  </si>
  <si>
    <t>AN_AUD_ACT</t>
  </si>
  <si>
    <t>Actuary, analyst</t>
  </si>
  <si>
    <t>Aktüer, analist</t>
  </si>
  <si>
    <t>AN_AUD_ALL</t>
  </si>
  <si>
    <t>Everyone</t>
  </si>
  <si>
    <t>Herkes</t>
  </si>
  <si>
    <t>AN_Q_EXEC</t>
  </si>
  <si>
    <t>Is this segment's payment activity normal this period?</t>
  </si>
  <si>
    <t>Bu segmentin bu ayki ödeme faaliyeti olağan mı?</t>
  </si>
  <si>
    <t>AN_Q_TREND</t>
  </si>
  <si>
    <t>How do payments evolve, seasonally and versus last year?</t>
  </si>
  <si>
    <t>Ödemeler mevsimsel olarak ve geçen yıla göre nasıl gelişiyor?</t>
  </si>
  <si>
    <t>AN_Q_TRIANGLE</t>
  </si>
  <si>
    <t>How do paid amounts develop after loss?</t>
  </si>
  <si>
    <t>Ödenen tutarlar hasardan sonra nasıl gelişiyor?</t>
  </si>
  <si>
    <t>AN_Q_LAGS</t>
  </si>
  <si>
    <t>How fast do cases move?</t>
  </si>
  <si>
    <t>Dosyalar ne kadar hızlı ilerliyor?</t>
  </si>
  <si>
    <t>AN_Q_CATALOG</t>
  </si>
  <si>
    <t>How is each indicator defined?</t>
  </si>
  <si>
    <t>Her gösterge nasıl tanımlanır?</t>
  </si>
  <si>
    <t>AN_Q_THRESHOLD</t>
  </si>
  <si>
    <t>Which threshold, on what rationale?</t>
  </si>
  <si>
    <t>Hangi eşik hangi gerekçeyle?</t>
  </si>
  <si>
    <t>AN_TREND_PURPOSE</t>
  </si>
  <si>
    <t>AN_TR_MONTHLY</t>
  </si>
  <si>
    <t>AN_TR_TABLE</t>
  </si>
  <si>
    <t>Monthly table</t>
  </si>
  <si>
    <t>Aylık tablo</t>
  </si>
  <si>
    <t>AN_TR_PAID</t>
  </si>
  <si>
    <t>Ödenen</t>
  </si>
  <si>
    <t>AN_TR_PY</t>
  </si>
  <si>
    <t>Last year</t>
  </si>
  <si>
    <t>Geçen yıl</t>
  </si>
  <si>
    <t>AN_TR_YOY</t>
  </si>
  <si>
    <t>YoY %</t>
  </si>
  <si>
    <t>Yıllık %</t>
  </si>
  <si>
    <t>AN_TR_MOM</t>
  </si>
  <si>
    <t>Aylık %</t>
  </si>
  <si>
    <t>AN_TR_YTD</t>
  </si>
  <si>
    <t>YTD</t>
  </si>
  <si>
    <t>Yıl başından</t>
  </si>
  <si>
    <t>AN_TR_R3</t>
  </si>
  <si>
    <t>3 months</t>
  </si>
  <si>
    <t>3 ay</t>
  </si>
  <si>
    <t>AN_TR_R12</t>
  </si>
  <si>
    <t>12 ay</t>
  </si>
  <si>
    <t>AN_TR_SI</t>
  </si>
  <si>
    <t>Mevsim endeksi</t>
  </si>
  <si>
    <t>AN_TR_SA</t>
  </si>
  <si>
    <t>Deseasonalised</t>
  </si>
  <si>
    <t>Mevsimsellikten arındırılmış</t>
  </si>
  <si>
    <t>AN_TR_SI_GATE</t>
  </si>
  <si>
    <t>The seasonal index needs at least {0} months; there are {1}: INSUFFICIENT DATA</t>
  </si>
  <si>
    <t>Mevsim endeksi için en az {0} ay gerekir; şu an {1} ay var: INSUFFICIENT DATA</t>
  </si>
  <si>
    <t>AN_TR_FC</t>
  </si>
  <si>
    <t>Forecast (FORECAST.ETS, next {0} months, {1}% interval)</t>
  </si>
  <si>
    <t>Tahmin (FORECAST.ETS, sonraki {0} ay, %{1} güven aralığı)</t>
  </si>
  <si>
    <t>AN_TR_FC_GATE</t>
  </si>
  <si>
    <t>The forecast needs at least 24 monthly points: INSUFFICIENT DATA</t>
  </si>
  <si>
    <t>Tahmin için en az 24 aylık nokta gerekir: INSUFFICIENT DATA</t>
  </si>
  <si>
    <t>AN_TR_FC_NOTE</t>
  </si>
  <si>
    <t>The forecast only extends past payments statistically; it is not a reserve or a budget.</t>
  </si>
  <si>
    <t>Tahmin yalnızca geçmiş ödemelerin istatistiksel uzantısıdır; rezerv veya bütçe değildir.</t>
  </si>
  <si>
    <t>AN_TR_LOWER</t>
  </si>
  <si>
    <t>Lower</t>
  </si>
  <si>
    <t>Alt sınır</t>
  </si>
  <si>
    <t>AN_TR_UPPER</t>
  </si>
  <si>
    <t>Upper</t>
  </si>
  <si>
    <t>Üst sınır</t>
  </si>
  <si>
    <t>AN_TR_ACTUAL</t>
  </si>
  <si>
    <t>Actual</t>
  </si>
  <si>
    <t>Gerçekleşen</t>
  </si>
  <si>
    <t>AN_TR_FORECAST</t>
  </si>
  <si>
    <t>Forecast</t>
  </si>
  <si>
    <t>Tahmin</t>
  </si>
  <si>
    <t>AN_TR_BRIDGE_MOM</t>
  </si>
  <si>
    <t>Month-over-month bridge by payment nature (TRY m)</t>
  </si>
  <si>
    <t>Aylık değişim köprüsü: ödeme türüne göre (mn TL)</t>
  </si>
  <si>
    <t>AN_TR_BRIDGE_YOY</t>
  </si>
  <si>
    <t>Year-over-year bridge by payment nature (TRY m)</t>
  </si>
  <si>
    <t>Yıllık değişim köprüsü: ödeme türüne göre (mn TL)</t>
  </si>
  <si>
    <t>AN_TR_BRIDGE_GATE</t>
  </si>
  <si>
    <t>No data in the comparison month: INSUFFICIENT DATA</t>
  </si>
  <si>
    <t>Karşılaştırma ayında veri yok: INSUFFICIENT DATA</t>
  </si>
  <si>
    <t>AN_TR_PREV_TOTAL</t>
  </si>
  <si>
    <t>Previous month</t>
  </si>
  <si>
    <t>Önceki ay</t>
  </si>
  <si>
    <t>AN_TR_PY_TOTAL</t>
  </si>
  <si>
    <t>Same month last year</t>
  </si>
  <si>
    <t>Geçen yıl aynı ay</t>
  </si>
  <si>
    <t>AN_TR_CUR_TOTAL</t>
  </si>
  <si>
    <t>Selected month</t>
  </si>
  <si>
    <t>Seçilen ay</t>
  </si>
  <si>
    <t>AN_TRI_PURPOSE</t>
  </si>
  <si>
    <t>How do paid amounts develop after the loss month? Indicative paid projection - not a reserve estimate.</t>
  </si>
  <si>
    <t>Ödenen tutarlar hasar ayından sonra nasıl gelişiyor? Gösterge niteliğinde ödenen projeksiyonu - rezerv tahmini değildir.</t>
  </si>
  <si>
    <t>AN_TRI_VIEW</t>
  </si>
  <si>
    <t>View</t>
  </si>
  <si>
    <t>Görünüm</t>
  </si>
  <si>
    <t>AN_TRI_COMPANY</t>
  </si>
  <si>
    <t>Şirket</t>
  </si>
  <si>
    <t>AN_TRI_ALL</t>
  </si>
  <si>
    <t>All</t>
  </si>
  <si>
    <t>Tümü</t>
  </si>
  <si>
    <t>AN_TRI_METHOD</t>
  </si>
  <si>
    <t>Factor method</t>
  </si>
  <si>
    <t>Faktör yöntemi</t>
  </si>
  <si>
    <t>AN_TRI_N</t>
  </si>
  <si>
    <t>Latest n accident months</t>
  </si>
  <si>
    <t>Son n hasar ayı</t>
  </si>
  <si>
    <t>AN_TRI_TAIL</t>
  </si>
  <si>
    <t>Tail factor</t>
  </si>
  <si>
    <t>Kuyruk faktörü</t>
  </si>
  <si>
    <t>AN_TRI_GRID</t>
  </si>
  <si>
    <t>Loss month x development month (TRY k; ratios)</t>
  </si>
  <si>
    <t>Hasar ayı x gelişim ayı (bin TL; oranlar)</t>
  </si>
  <si>
    <t>AN_TRI_LOSSM</t>
  </si>
  <si>
    <t>Loss month</t>
  </si>
  <si>
    <t>Hasar ayı</t>
  </si>
  <si>
    <t>AN_TRI_FLAG</t>
  </si>
  <si>
    <t>Flag</t>
  </si>
  <si>
    <t>Durum</t>
  </si>
  <si>
    <t>AN_TRI_LATEST</t>
  </si>
  <si>
    <t>Latest cumulative</t>
  </si>
  <si>
    <t>Son kümülatif</t>
  </si>
  <si>
    <t>AN_TRI_PROJ</t>
  </si>
  <si>
    <t>Indicative projection</t>
  </si>
  <si>
    <t>Gösterge projeksiyon</t>
  </si>
  <si>
    <t>AN_TRI_PARTIAL_NOTE</t>
  </si>
  <si>
    <t>PARTIAL: loss month before the data start; the first development months were not observed (n/o). Excluded from the factors.</t>
  </si>
  <si>
    <t>PARTIAL: hasar ayı veri başlangıcından önce; ilk gelişim ayları gözlenmedi (n/o). Faktörlere girmez.</t>
  </si>
  <si>
    <t>AN_TRI_FACTORS</t>
  </si>
  <si>
    <t>Development factors</t>
  </si>
  <si>
    <t>AN_TRI_SIMPLE</t>
  </si>
  <si>
    <t>Simple average</t>
  </si>
  <si>
    <t>Basit ortalama</t>
  </si>
  <si>
    <t>AN_TRI_VOLUME</t>
  </si>
  <si>
    <t>Volume weighted</t>
  </si>
  <si>
    <t>Hacim ağırlıklı</t>
  </si>
  <si>
    <t>AN_TRI_SELECTED</t>
  </si>
  <si>
    <t>Selected</t>
  </si>
  <si>
    <t>Seçilen</t>
  </si>
  <si>
    <t>AN_TRI_CDF</t>
  </si>
  <si>
    <t>Cumulative factor</t>
  </si>
  <si>
    <t>Kümülatif faktör</t>
  </si>
  <si>
    <t>AN_TRI_NRATIOS</t>
  </si>
  <si>
    <t>Ratios</t>
  </si>
  <si>
    <t>Oran sayısı</t>
  </si>
  <si>
    <t>AN_TRI_CV</t>
  </si>
  <si>
    <t>Stability (CV)</t>
  </si>
  <si>
    <t>Değişkenlik (CV)</t>
  </si>
  <si>
    <t>AN_TRI_DIAG</t>
  </si>
  <si>
    <t>Calendar month (diagonal) totals, TRY k</t>
  </si>
  <si>
    <t>Takvim ayı (köşegen) toplamları, bin TL</t>
  </si>
  <si>
    <t>AN_TRI_DISCLAIMER</t>
  </si>
  <si>
    <t>Indicative paid projection - not a reserve estimate; no outstanding, IBNR or premium information.</t>
  </si>
  <si>
    <t>Gösterge niteliğinde ödenen projeksiyonu - rezerv tahmini değildir; ödenmemiş hasar, IBNR ve prim bilgisi yoktur.</t>
  </si>
  <si>
    <t>AN_TRI_STAB</t>
  </si>
  <si>
    <t>Factor stability: link ratios by development age</t>
  </si>
  <si>
    <t>Faktör istikrarı: gelişim yaşına göre bağ oranları</t>
  </si>
  <si>
    <t>AN_LAG_PURPOSE</t>
  </si>
  <si>
    <t>How fast do cases move between stages?</t>
  </si>
  <si>
    <t>Dosyalar aşamalar arasında ne kadar hızlı ilerliyor?</t>
  </si>
  <si>
    <t>AN_LAG_STAGE</t>
  </si>
  <si>
    <t>Aşama</t>
  </si>
  <si>
    <t>AN_LAG_N</t>
  </si>
  <si>
    <t>AN_LAG_MEAN</t>
  </si>
  <si>
    <t>Mean</t>
  </si>
  <si>
    <t>Ortalama</t>
  </si>
  <si>
    <t>AN_LAG_SLA</t>
  </si>
  <si>
    <t>SLA breach</t>
  </si>
  <si>
    <t>SLA aşımı</t>
  </si>
  <si>
    <t>AN_LAG_TABLE</t>
  </si>
  <si>
    <t>AN_LAG_ECDF</t>
  </si>
  <si>
    <t>AN_LAG_HIST</t>
  </si>
  <si>
    <t>Distribution of the selected stage (share of lines)</t>
  </si>
  <si>
    <t>Seçilen aşamanın dağılımı (satır payı)</t>
  </si>
  <si>
    <t>AN_LAG_TREND</t>
  </si>
  <si>
    <t>Monthly P50 and P90 of the selected stage (days)</t>
  </si>
  <si>
    <t>Seçilen aşamanın aylık P50 ve P90 değeri (gün)</t>
  </si>
  <si>
    <t>AN_LAG_BANDS</t>
  </si>
  <si>
    <t>AN_LAG_SEL</t>
  </si>
  <si>
    <t>Chart stage</t>
  </si>
  <si>
    <t>Grafik aşaması</t>
  </si>
  <si>
    <t>AN_LAG_ALLM</t>
  </si>
  <si>
    <t>All months</t>
  </si>
  <si>
    <t>Tüm aylar</t>
  </si>
  <si>
    <t>AN_ST_L2N</t>
  </si>
  <si>
    <t>Loss → notification</t>
  </si>
  <si>
    <t>Hasar → ihbar</t>
  </si>
  <si>
    <t>AN_ST_N2D</t>
  </si>
  <si>
    <t>Notification → documents</t>
  </si>
  <si>
    <t>İhbar → evrak</t>
  </si>
  <si>
    <t>AN_ST_D2C</t>
  </si>
  <si>
    <t>Documents → decision</t>
  </si>
  <si>
    <t>Evrak → karar</t>
  </si>
  <si>
    <t>AN_ST_C2P</t>
  </si>
  <si>
    <t>Decision → payment</t>
  </si>
  <si>
    <t>Karar → ödeme</t>
  </si>
  <si>
    <t>AN_ST_N2P</t>
  </si>
  <si>
    <t>Notification → payment</t>
  </si>
  <si>
    <t>İhbar → ödeme</t>
  </si>
  <si>
    <t>AN_ST_L2P</t>
  </si>
  <si>
    <t>Loss → payment</t>
  </si>
  <si>
    <t>Hasar → ödeme</t>
  </si>
  <si>
    <t>Minimum months of history for the seasonal index and the deseasonalised trend (each calendar month needs at least two ratios to the centred moving average)</t>
  </si>
  <si>
    <t>MinMonthsForSeasonalIndex</t>
  </si>
  <si>
    <t>Months forecast by FORECAST.ETS on AN_Trend</t>
  </si>
  <si>
    <t>ForecastHorizonMonths</t>
  </si>
  <si>
    <t>Confidence level of the FORECAST.ETS prediction interval</t>
  </si>
  <si>
    <t>ForecastConfidence</t>
  </si>
  <si>
    <t>Minimum link ratios (accident months) behind a development factor; below it the factor is INSUFFICIENT DATA and the projection stops</t>
  </si>
  <si>
    <t>MinLinkRatios</t>
  </si>
  <si>
    <t>Last development month shown on AN_Triangle; payments later than this are added to the last column</t>
  </si>
  <si>
    <t>TriangleMaxDev</t>
  </si>
  <si>
    <t>robust SD</t>
  </si>
  <si>
    <t>TrendBandWidth</t>
  </si>
  <si>
    <t>GrossAmountTRY; DimDate[Date]</t>
  </si>
  <si>
    <t>[Paid TRY PM] = CALCULATE ( [Paid TRY], DATEADD ( DimDate[Date], -1, MONTH ) ) || [Paid TRY MoM %] = VAR c = [Paid TRY] VAR p = [Paid TRY PM] RETURN IF ( NOT ISBLANK ( c ) &amp;&amp; NOT ISBLANK ( p ), DIVIDE ( c - p, p ) )</t>
  </si>
  <si>
    <t>Guarded: BLANK unless exactly one segment is in context | MoM Change TRY is the released 3.0 measure (not guarded, Dashboard only) | used on AN_Exec_* and AN_Trend</t>
  </si>
  <si>
    <t>Paid TRY MoM %; Paid TRY PM; MoM Change TRY</t>
  </si>
  <si>
    <t>[Paid TRY PY] = CALCULATE ( [Paid TRY], SAMEPERIODLASTYEAR ( DimDate[Date] ) ) || [Paid TRY YoY %] = VAR c = [Paid TRY] VAR p = [Paid TRY PY] RETURN IF ( NOT ISBLANK ( c ) &amp;&amp; NOT ISBLANK ( p ), DIVIDE ( c - p, p ) )</t>
  </si>
  <si>
    <t>Guarded: BLANK unless exactly one segment is in context | needs the same month one year earlier: with 24 months of data only the latest 12 months have a YoY value</t>
  </si>
  <si>
    <t>Paid TRY YoY %; Paid TRY PY</t>
  </si>
  <si>
    <t>[Paid TRY YTD] = TOTALYTD ( [Paid TRY], DimDate[Date] )</t>
  </si>
  <si>
    <t>Guarded: BLANK unless exactly one segment is in context | calendar year</t>
  </si>
  <si>
    <t>Paid TRY YTD</t>
  </si>
  <si>
    <t>GrossAmountTRY; PeriodKey; DimDate[Date]</t>
  </si>
  <si>
    <t>[Paid TRY R3] = VAR d = DATESINPERIOD ( DimDate[Date], MAX ( DimDate[Date] ), -3, MONTH ) VAR k = CALCULATE ( DISTINCTCOUNT ( FactPayment[PeriodKey] ), d ) RETURN IF ( k = 3, CALCULATE ( [Paid TRY], d ) ) || [Paid TRY R6] = VAR d = DATESINPERIOD ( DimDate[Date], MAX ( DimDate[Date] ), -6, MONTH ) VAR k = CALCULATE ( DISTINCTCOUNT ( FactPayment[PeriodKey] ), d ) RETURN IF ( k = 6, CALCULATE ( [Paid TRY], d ) ) || [Paid TRY R12] = VAR d = DATESINPERIOD ( DimDate[Date], MAX ( DimDate[Date] ), -12, MONTH ) VAR k = CALCULATE ( DISTINCTCOUNT ( FactPayment[PeriodKey] ), d ) RETURN IF ( k = 12, CALCULATE ( [Paid TRY], d ) )</t>
  </si>
  <si>
    <t>Guarded: BLANK unless exactly one segment is in context | BLANK unless every month of the window has payments</t>
  </si>
  <si>
    <t>Paid TRY R3; Paid TRY R6; Paid TRY R12</t>
  </si>
  <si>
    <t>Pivots behind the analytics pages (P3 WP-3..5); read by formulas only</t>
  </si>
  <si>
    <t>AN_Calc</t>
  </si>
  <si>
    <t>Analytics pages: formulas and charts; the yellow selection cells are unlocked</t>
  </si>
  <si>
    <t>AN_*</t>
  </si>
  <si>
    <t>AN_Calc: Data Model pivots behind the analytics pages (read by formulas; do not edit). Window: DimDate MonthsFromActive -35..0.</t>
  </si>
  <si>
    <t>Paid TRY PM</t>
  </si>
  <si>
    <t>Paid TRY MoM %</t>
  </si>
  <si>
    <t>Paid TRY PY</t>
  </si>
  <si>
    <t>Paid TRY YoY %</t>
  </si>
  <si>
    <t>Paid TRY R3</t>
  </si>
  <si>
    <t>Paid TRY R6</t>
  </si>
  <si>
    <t>Paid TRY R12</t>
  </si>
  <si>
    <t>P90 Paid per Case TRY</t>
  </si>
  <si>
    <t>Lag Loss to Payment P50</t>
  </si>
  <si>
    <t>SLA Breach Share End to End</t>
  </si>
  <si>
    <t>Partially Paid Case Share</t>
  </si>
  <si>
    <t>month list</t>
  </si>
  <si>
    <t>months ascending</t>
  </si>
  <si>
    <t>calc (hidden)</t>
  </si>
  <si>
    <t>month</t>
  </si>
  <si>
    <t>MoM</t>
  </si>
  <si>
    <t>LagP50</t>
  </si>
  <si>
    <t>SLA</t>
  </si>
  <si>
    <t>PM</t>
  </si>
  <si>
    <t>band</t>
  </si>
  <si>
    <t>median</t>
  </si>
  <si>
    <t>lower</t>
  </si>
  <si>
    <t>upper</t>
  </si>
  <si>
    <t>Segment:</t>
  </si>
  <si>
    <t>Son ay / Latest</t>
  </si>
  <si>
    <t>tile</t>
  </si>
  <si>
    <t>status</t>
  </si>
  <si>
    <t>%</t>
  </si>
  <si>
    <t>s:AN_Calc</t>
  </si>
  <si>
    <t>s:Pivots behind the analytics pages (P3 WP-3..5); read by formulas only</t>
  </si>
  <si>
    <t>s:AN_*</t>
  </si>
  <si>
    <t>s:Analytics pages: formulas and charts; the yellow selection cells are unlocked</t>
  </si>
  <si>
    <t>s:AN_NAV_INDEX</t>
  </si>
  <si>
    <t>s:Dizin</t>
  </si>
  <si>
    <t>s:Index</t>
  </si>
  <si>
    <t>s:Dizin
Index</t>
  </si>
  <si>
    <t>s:AN_NAV_LIFE</t>
  </si>
  <si>
    <t>s:Hayat
Life</t>
  </si>
  <si>
    <t>s:AN_NAV_PENSION</t>
  </si>
  <si>
    <t>s:Emeklilik
Pension</t>
  </si>
  <si>
    <t>s:AN_NAV_NONLIFE</t>
  </si>
  <si>
    <t>s:AN_NAV_TREND</t>
  </si>
  <si>
    <t>s:Eğilim</t>
  </si>
  <si>
    <t>s:Trend</t>
  </si>
  <si>
    <t>s:Eğilim
Trend</t>
  </si>
  <si>
    <t>s:AN_NAV_TRIANGLE</t>
  </si>
  <si>
    <t>s:AN_NAV_LAGS</t>
  </si>
  <si>
    <t>s:Süreler</t>
  </si>
  <si>
    <t>s:Süreler
Lags</t>
  </si>
  <si>
    <t>s:AN_NAV_CATALOG</t>
  </si>
  <si>
    <t>s:AN_NAV_THRESHOLD</t>
  </si>
  <si>
    <t>s:Thresholds</t>
  </si>
  <si>
    <t>s:Eşik kaydı
Thresholds</t>
  </si>
  <si>
    <t>s:AN_NAV_HOME</t>
  </si>
  <si>
    <t>s:Ana sayfa</t>
  </si>
  <si>
    <t>s:Ana sayfa
Home</t>
  </si>
  <si>
    <t>s:AN_LBL_SEGMENT</t>
  </si>
  <si>
    <t>s:Segment
Segment</t>
  </si>
  <si>
    <t>s:AN_LBL_MONTH</t>
  </si>
  <si>
    <t>s:Ay</t>
  </si>
  <si>
    <t>s:Month</t>
  </si>
  <si>
    <t>s:Ay
Month</t>
  </si>
  <si>
    <t>s:AN_LBL_READINESS</t>
  </si>
  <si>
    <t>s:Veri durumu</t>
  </si>
  <si>
    <t>s:Data readiness</t>
  </si>
  <si>
    <t>s:Veri durumu
Data readiness</t>
  </si>
  <si>
    <t>s:AN_LBL_REFRESH</t>
  </si>
  <si>
    <t>s:Son yenileme</t>
  </si>
  <si>
    <t>s:Last refresh</t>
  </si>
  <si>
    <t>s:Son yenileme
Last refresh</t>
  </si>
  <si>
    <t>s:AN_LBL_DEFS</t>
  </si>
  <si>
    <t>s:Tanımlar: KPI kataloğu</t>
  </si>
  <si>
    <t>s:Definitions: KPI catalog</t>
  </si>
  <si>
    <t>s:Tanımlar: KPI kataloğu
Definitions: KPI catalog</t>
  </si>
  <si>
    <t>s:AN_LBL_LATEST</t>
  </si>
  <si>
    <t>s:Son ay</t>
  </si>
  <si>
    <t>s:Latest</t>
  </si>
  <si>
    <t>s:Son ay
Latest</t>
  </si>
  <si>
    <t>s:AN_LBL_INPUT</t>
  </si>
  <si>
    <t>s:Sarı hücreler seçimdir</t>
  </si>
  <si>
    <t>s:Yellow cells are selections</t>
  </si>
  <si>
    <t>s:Sarı hücreler seçimdir
Yellow cells are selections</t>
  </si>
  <si>
    <t>s:AN_READY_OK</t>
  </si>
  <si>
    <t>s:Yeterli</t>
  </si>
  <si>
    <t>s:Sufficient</t>
  </si>
  <si>
    <t>s:Yeterli
Sufficient</t>
  </si>
  <si>
    <t>s:AN_READY_MONTHS</t>
  </si>
  <si>
    <t>s:ay veri</t>
  </si>
  <si>
    <t>s:months of data</t>
  </si>
  <si>
    <t>s:ay veri
months of data</t>
  </si>
  <si>
    <t>s:AN_READY_LINES</t>
  </si>
  <si>
    <t>s:satır bu ay</t>
  </si>
  <si>
    <t>s:lines this month</t>
  </si>
  <si>
    <t>s:satır bu ay
lines this month</t>
  </si>
  <si>
    <t>s:AN_STATUS_LEGEND</t>
  </si>
  <si>
    <t>s:AN_FOOT_AMOUNTS</t>
  </si>
  <si>
    <t>s:Tutarlar ödeme günü TCMB kuruyla TL'dir; segmentler toplanmaz ve karşılaştırılmaz. Yalnızca ödenen veriler: rezerv, prim ve risk tutarı yoktur.</t>
  </si>
  <si>
    <t>s:Amounts are TRY at the CBRT rate of the payment date; segments are never added or compared. Paid data only: no reserves, premium or exposure.</t>
  </si>
  <si>
    <t>s:Tutarlar ödeme günü TCMB kuruyla TL'dir; segmentler toplanmaz ve karşılaştırılmaz. Yalnızca ödenen veriler: rezerv, prim ve risk tutarı yoktur.
Amounts are TRY at the CBRT rate of the payment date; segments are never added or compared. Paid data only: no reserves, premium or exposure.</t>
  </si>
  <si>
    <t>s:AN_EXEC_PURPOSE</t>
  </si>
  <si>
    <t>s:Bu segmentin seçilen aydaki ödeme faaliyeti olağan mı?</t>
  </si>
  <si>
    <t>s:Is this segment's payment activity normal in the selected month?</t>
  </si>
  <si>
    <t>s:Bu segmentin seçilen aydaki ödeme faaliyeti olağan mı?
Is this segment's payment activity normal in the selected month?</t>
  </si>
  <si>
    <t>s:AN_T_PAID</t>
  </si>
  <si>
    <t>s:Ödenen (mn TL)</t>
  </si>
  <si>
    <t>s:Paid (TRY m)</t>
  </si>
  <si>
    <t>s:Ödenen (mn TL)
Paid (TRY m)</t>
  </si>
  <si>
    <t>s:AN_T_CASES</t>
  </si>
  <si>
    <t>s:Dosya sayısı
Cases</t>
  </si>
  <si>
    <t>s:AN_T_MEAN</t>
  </si>
  <si>
    <t>s:Dosya başına ort. (bin TL)</t>
  </si>
  <si>
    <t>s:Mean per case (TRY k)</t>
  </si>
  <si>
    <t>s:Dosya başına ort. (bin TL)
Mean per case (TRY k)</t>
  </si>
  <si>
    <t>s:AN_T_P90</t>
  </si>
  <si>
    <t>s:Dosya başına P90 (bin TL)</t>
  </si>
  <si>
    <t>s:P90 per case (TRY k)</t>
  </si>
  <si>
    <t>s:Dosya başına P90 (bin TL)
P90 per case (TRY k)</t>
  </si>
  <si>
    <t>s:AN_T_LAG</t>
  </si>
  <si>
    <t>s:Hasar→ödeme P50 (gün)</t>
  </si>
  <si>
    <t>s:Loss→payment P50 (days)</t>
  </si>
  <si>
    <t>s:Hasar→ödeme P50 (gün)
Loss→payment P50 (days)</t>
  </si>
  <si>
    <t>s:AN_T_SLA</t>
  </si>
  <si>
    <t>s:Uçtan uca SLA aşımı</t>
  </si>
  <si>
    <t>s:SLA breach, end to end</t>
  </si>
  <si>
    <t>s:Uçtan uca SLA aşımı
SLA breach, end to end</t>
  </si>
  <si>
    <t>s:AN_T_VSPM</t>
  </si>
  <si>
    <t>s:önceki aya göre</t>
  </si>
  <si>
    <t>s:vs previous month</t>
  </si>
  <si>
    <t>s:önceki aya göre
vs previous month</t>
  </si>
  <si>
    <t>s:AN_T_VSPM_S</t>
  </si>
  <si>
    <t>s:önceki ay</t>
  </si>
  <si>
    <t>s:prev. month</t>
  </si>
  <si>
    <t>s:önceki ay
prev. month</t>
  </si>
  <si>
    <t>s:AN_W_UNITM</t>
  </si>
  <si>
    <t>s:mn TL</t>
  </si>
  <si>
    <t>s:TRY m</t>
  </si>
  <si>
    <t>s:mn TL
TRY m</t>
  </si>
  <si>
    <t>s:AN_W_DAYS</t>
  </si>
  <si>
    <t>s:gün</t>
  </si>
  <si>
    <t>s:gün
days</t>
  </si>
  <si>
    <t>s:AN_W_PP</t>
  </si>
  <si>
    <t>s:puan</t>
  </si>
  <si>
    <t>s:pp</t>
  </si>
  <si>
    <t>s:puan
pp</t>
  </si>
  <si>
    <t>s:AN_NO_THRESHOLD</t>
  </si>
  <si>
    <t>s:eşik yok</t>
  </si>
  <si>
    <t>s:no threshold</t>
  </si>
  <si>
    <t>s:eşik yok
no threshold</t>
  </si>
  <si>
    <t>s:AN_SLA_SHORT</t>
  </si>
  <si>
    <t>s:SLA geçici değer</t>
  </si>
  <si>
    <t>s:SLA placeholder</t>
  </si>
  <si>
    <t>s:SLA geçici değer
SLA placeholder</t>
  </si>
  <si>
    <t>s:AN_LBL_REFSYNC</t>
  </si>
  <si>
    <t>s:Referans verisi güncel; son yenileme</t>
  </si>
  <si>
    <t>s:Reference data in sync; last refreshed</t>
  </si>
  <si>
    <t>s:Referans verisi güncel; son yenileme
Reference data in sync; last refreshed</t>
  </si>
  <si>
    <t>s:AN_TREND_TITLE</t>
  </si>
  <si>
    <t>s:AN_MOVERS</t>
  </si>
  <si>
    <t>s:En çok değişen ödeme nedenleri (önceki aya göre, mn TL)</t>
  </si>
  <si>
    <t>s:Top movers by reason code (vs previous month, TRY m)</t>
  </si>
  <si>
    <t>s:En çok değişen ödeme nedenleri (önceki aya göre, mn TL)
Top movers by reason code (vs previous month, TRY m)</t>
  </si>
  <si>
    <t>s:AN_COL_REASON</t>
  </si>
  <si>
    <t>s:Neden</t>
  </si>
  <si>
    <t>s:Reason</t>
  </si>
  <si>
    <t>s:Neden
Reason</t>
  </si>
  <si>
    <t>s:AN_COL_PREV</t>
  </si>
  <si>
    <t>s:Önceki</t>
  </si>
  <si>
    <t>s:Previous</t>
  </si>
  <si>
    <t>s:Önceki
Previous</t>
  </si>
  <si>
    <t>s:AN_COL_CUR</t>
  </si>
  <si>
    <t>s:Bu ay</t>
  </si>
  <si>
    <t>s:This month</t>
  </si>
  <si>
    <t>s:Bu ay
This month</t>
  </si>
  <si>
    <t>s:AN_COL_CHANGE</t>
  </si>
  <si>
    <t>s:Fark</t>
  </si>
  <si>
    <t>s:Change</t>
  </si>
  <si>
    <t>s:Fark
Change</t>
  </si>
  <si>
    <t>s:AN_ALERTS</t>
  </si>
  <si>
    <t>s:Açık uyarılar</t>
  </si>
  <si>
    <t>s:Open alerts</t>
  </si>
  <si>
    <t>s:Açık uyarılar
Open alerts</t>
  </si>
  <si>
    <t>s:AN_NO_ALERTS</t>
  </si>
  <si>
    <t>s:Açık uyarı yok</t>
  </si>
  <si>
    <t>s:No open alerts</t>
  </si>
  <si>
    <t>s:Açık uyarı yok
No open alerts</t>
  </si>
  <si>
    <t>s:AN_W_PAID</t>
  </si>
  <si>
    <t>s:ödemeleri</t>
  </si>
  <si>
    <t>s:paid</t>
  </si>
  <si>
    <t>s:ödemeleri
paid</t>
  </si>
  <si>
    <t>s:AN_W_VSPY</t>
  </si>
  <si>
    <t>s:geçen yılın aynı ayına göre</t>
  </si>
  <si>
    <t>s:vs the same month last year</t>
  </si>
  <si>
    <t>s:geçen yılın aynı ayına göre
vs the same month last year</t>
  </si>
  <si>
    <t>s:AN_W_R12</t>
  </si>
  <si>
    <t>s:son 12 ay</t>
  </si>
  <si>
    <t>s:last 12 months</t>
  </si>
  <si>
    <t>s:son 12 ay
last 12 months</t>
  </si>
  <si>
    <t>s:AN_W_OPEN_ALERTS</t>
  </si>
  <si>
    <t>s:açık uyarı</t>
  </si>
  <si>
    <t>s:open alert(s)</t>
  </si>
  <si>
    <t>s:açık uyarı
open alert(s)</t>
  </si>
  <si>
    <t>s:AN_IDX_TITLE</t>
  </si>
  <si>
    <t>s:Analitik sayfalar</t>
  </si>
  <si>
    <t>s:Analytics pages</t>
  </si>
  <si>
    <t>s:Analitik sayfalar
Analytics pages</t>
  </si>
  <si>
    <t>s:AN_IDX_NOTE</t>
  </si>
  <si>
    <t>s:Her sayfa tek bir soruyu yanıtlar; her sayı KPI kataloğundaki bir tanıma dayanır. Segmentler hiçbir sayfada toplanmaz.</t>
  </si>
  <si>
    <t>s:Each page answers one question; every figure traces to a definition in the KPI catalog. No page adds segments.</t>
  </si>
  <si>
    <t>s:Her sayfa tek bir soruyu yanıtlar; her sayı KPI kataloğundaki bir tanıma dayanır. Segmentler hiçbir sayfada toplanmaz.
Each page answers one question; every figure traces to a definition in the KPI catalog. No page adds segments.</t>
  </si>
  <si>
    <t>s:AN_IDX_PAGE</t>
  </si>
  <si>
    <t>s:Sayfa</t>
  </si>
  <si>
    <t>s:Page</t>
  </si>
  <si>
    <t>s:Sayfa
Page</t>
  </si>
  <si>
    <t>s:AN_IDX_QUESTION</t>
  </si>
  <si>
    <t>s:Yanıtladığı soru</t>
  </si>
  <si>
    <t>s:Question answered</t>
  </si>
  <si>
    <t>s:Yanıtladığı soru
Question answered</t>
  </si>
  <si>
    <t>s:AN_IDX_AUDIENCE</t>
  </si>
  <si>
    <t>s:Kimin için</t>
  </si>
  <si>
    <t>s:Audience</t>
  </si>
  <si>
    <t>s:Kimin için
Audience</t>
  </si>
  <si>
    <t>s:AN_IDX_TIER</t>
  </si>
  <si>
    <t>s:Kademe</t>
  </si>
  <si>
    <t>s:Tier</t>
  </si>
  <si>
    <t>s:Kademe
Tier</t>
  </si>
  <si>
    <t>s:AN_IDX_READY</t>
  </si>
  <si>
    <t>s:AN_IDX_GO</t>
  </si>
  <si>
    <t>s:Git</t>
  </si>
  <si>
    <t>s:Go</t>
  </si>
  <si>
    <t>s:Git
Go</t>
  </si>
  <si>
    <t>s:AN_IDX_COVERAGE</t>
  </si>
  <si>
    <t>s:Veri kapsamı</t>
  </si>
  <si>
    <t>s:Data coverage</t>
  </si>
  <si>
    <t>s:Veri kapsamı
Data coverage</t>
  </si>
  <si>
    <t>s:AN_IDX_FIRST</t>
  </si>
  <si>
    <t>s:İlk ay</t>
  </si>
  <si>
    <t>s:First month</t>
  </si>
  <si>
    <t>s:İlk ay
First month</t>
  </si>
  <si>
    <t>s:AN_IDX_LAST</t>
  </si>
  <si>
    <t>s:Last month</t>
  </si>
  <si>
    <t>s:Son ay
Last month</t>
  </si>
  <si>
    <t>s:AN_IDX_MONTHS</t>
  </si>
  <si>
    <t>s:Ay sayısı</t>
  </si>
  <si>
    <t>s:Months</t>
  </si>
  <si>
    <t>s:Ay sayısı
Months</t>
  </si>
  <si>
    <t>s:AN_IDX_REF</t>
  </si>
  <si>
    <t>s:Referans verisi</t>
  </si>
  <si>
    <t>s:Reference data</t>
  </si>
  <si>
    <t>s:Referans verisi
Reference data</t>
  </si>
  <si>
    <t>s:AN_AUD_EXEC</t>
  </si>
  <si>
    <t>s:Yönetici, gözden geçiren</t>
  </si>
  <si>
    <t>s:Management, reviewer</t>
  </si>
  <si>
    <t>s:Yönetici, gözden geçiren
Management, reviewer</t>
  </si>
  <si>
    <t>s:AN_AUD_ACT</t>
  </si>
  <si>
    <t>s:Aktüer, analist</t>
  </si>
  <si>
    <t>s:Actuary, analyst</t>
  </si>
  <si>
    <t>s:Aktüer, analist
Actuary, analyst</t>
  </si>
  <si>
    <t>s:AN_AUD_ALL</t>
  </si>
  <si>
    <t>s:Herkes</t>
  </si>
  <si>
    <t>s:Everyone</t>
  </si>
  <si>
    <t>s:Herkes
Everyone</t>
  </si>
  <si>
    <t>s:AN_Q_EXEC</t>
  </si>
  <si>
    <t>s:Bu segmentin bu ayki ödeme faaliyeti olağan mı?</t>
  </si>
  <si>
    <t>s:Is this segment's payment activity normal this period?</t>
  </si>
  <si>
    <t>s:Bu segmentin bu ayki ödeme faaliyeti olağan mı?
Is this segment's payment activity normal this period?</t>
  </si>
  <si>
    <t>s:AN_Q_TREND</t>
  </si>
  <si>
    <t>s:Ödemeler mevsimsel olarak ve geçen yıla göre nasıl gelişiyor?</t>
  </si>
  <si>
    <t>s:How do payments evolve, seasonally and versus last year?</t>
  </si>
  <si>
    <t>s:Ödemeler mevsimsel olarak ve geçen yıla göre nasıl gelişiyor?
How do payments evolve, seasonally and versus last year?</t>
  </si>
  <si>
    <t>s:AN_Q_TRIANGLE</t>
  </si>
  <si>
    <t>s:Ödenen tutarlar hasardan sonra nasıl gelişiyor?</t>
  </si>
  <si>
    <t>s:How do paid amounts develop after loss?</t>
  </si>
  <si>
    <t>s:Ödenen tutarlar hasardan sonra nasıl gelişiyor?
How do paid amounts develop after loss?</t>
  </si>
  <si>
    <t>s:AN_Q_LAGS</t>
  </si>
  <si>
    <t>s:Dosyalar ne kadar hızlı ilerliyor?</t>
  </si>
  <si>
    <t>s:How fast do cases move?</t>
  </si>
  <si>
    <t>s:Dosyalar ne kadar hızlı ilerliyor?
How fast do cases move?</t>
  </si>
  <si>
    <t>s:AN_Q_CATALOG</t>
  </si>
  <si>
    <t>s:Her gösterge nasıl tanımlanır?</t>
  </si>
  <si>
    <t>s:How is each indicator defined?</t>
  </si>
  <si>
    <t>s:Her gösterge nasıl tanımlanır?
How is each indicator defined?</t>
  </si>
  <si>
    <t>s:AN_Q_THRESHOLD</t>
  </si>
  <si>
    <t>s:Hangi eşik hangi gerekçeyle?</t>
  </si>
  <si>
    <t>s:Which threshold, on what rationale?</t>
  </si>
  <si>
    <t>s:Hangi eşik hangi gerekçeyle?
Which threshold, on what rationale?</t>
  </si>
  <si>
    <t>s:AN_TREND_PURPOSE</t>
  </si>
  <si>
    <t>s:AN_TR_MONTHLY</t>
  </si>
  <si>
    <t>s:AN_TR_TABLE</t>
  </si>
  <si>
    <t>s:Aylık tablo</t>
  </si>
  <si>
    <t>s:Monthly table</t>
  </si>
  <si>
    <t>s:Aylık tablo
Monthly table</t>
  </si>
  <si>
    <t>s:AN_TR_PAID</t>
  </si>
  <si>
    <t>s:Ödenen</t>
  </si>
  <si>
    <t>s:Ödenen
Paid</t>
  </si>
  <si>
    <t>s:AN_TR_PY</t>
  </si>
  <si>
    <t>s:Geçen yıl</t>
  </si>
  <si>
    <t>s:Last year</t>
  </si>
  <si>
    <t>s:Geçen yıl
Last year</t>
  </si>
  <si>
    <t>s:AN_TR_YOY</t>
  </si>
  <si>
    <t>s:Yıllık %</t>
  </si>
  <si>
    <t>s:YoY %</t>
  </si>
  <si>
    <t>s:Yıllık %
YoY %</t>
  </si>
  <si>
    <t>s:AN_TR_MOM</t>
  </si>
  <si>
    <t>s:Aylık %</t>
  </si>
  <si>
    <t>s:MoM %</t>
  </si>
  <si>
    <t>s:Aylık %
MoM %</t>
  </si>
  <si>
    <t>s:AN_TR_YTD</t>
  </si>
  <si>
    <t>s:Yıl başından</t>
  </si>
  <si>
    <t>s:YTD</t>
  </si>
  <si>
    <t>s:Yıl başından
YTD</t>
  </si>
  <si>
    <t>s:AN_TR_R3</t>
  </si>
  <si>
    <t>s:3 ay</t>
  </si>
  <si>
    <t>s:3 months</t>
  </si>
  <si>
    <t>s:3 ay
3 months</t>
  </si>
  <si>
    <t>s:AN_TR_R12</t>
  </si>
  <si>
    <t>s:12 ay</t>
  </si>
  <si>
    <t>s:12 ay
12 months</t>
  </si>
  <si>
    <t>s:AN_TR_SI</t>
  </si>
  <si>
    <t>s:Mevsim endeksi</t>
  </si>
  <si>
    <t>s:Mevsim endeksi
Seasonal index</t>
  </si>
  <si>
    <t>s:AN_TR_SA</t>
  </si>
  <si>
    <t>s:Mevsimsellikten arındırılmış</t>
  </si>
  <si>
    <t>s:Deseasonalised</t>
  </si>
  <si>
    <t>s:Mevsimsellikten arındırılmış
Deseasonalised</t>
  </si>
  <si>
    <t>s:AN_TR_SI_GATE</t>
  </si>
  <si>
    <t>s:Mevsim endeksi için en az {0} ay gerekir; şu an {1} ay var: INSUFFICIENT DATA</t>
  </si>
  <si>
    <t>s:The seasonal index needs at least {0} months; there are {1}: INSUFFICIENT DATA</t>
  </si>
  <si>
    <t>s:Mevsim endeksi için en az {0} ay gerekir; şu an {1} ay var: INSUFFICIENT DATA
The seasonal index needs at least {0} months; there are {1}: INSUFFICIENT DATA</t>
  </si>
  <si>
    <t>s:AN_TR_FC</t>
  </si>
  <si>
    <t>s:Tahmin (FORECAST.ETS, sonraki {0} ay, %{1} güven aralığı)</t>
  </si>
  <si>
    <t>s:Forecast (FORECAST.ETS, next {0} months, {1}% interval)</t>
  </si>
  <si>
    <t>s:Tahmin (FORECAST.ETS, sonraki {0} ay, %{1} güven aralığı)
Forecast (FORECAST.ETS, next {0} months, {1}% interval)</t>
  </si>
  <si>
    <t>s:AN_TR_FC_GATE</t>
  </si>
  <si>
    <t>s:Tahmin için en az 24 aylık nokta gerekir: INSUFFICIENT DATA</t>
  </si>
  <si>
    <t>s:The forecast needs at least 24 monthly points: INSUFFICIENT DATA</t>
  </si>
  <si>
    <t>s:Tahmin için en az 24 aylık nokta gerekir: INSUFFICIENT DATA
The forecast needs at least 24 monthly points: INSUFFICIENT DATA</t>
  </si>
  <si>
    <t>s:AN_TR_FC_NOTE</t>
  </si>
  <si>
    <t>s:Tahmin yalnızca geçmiş ödemelerin istatistiksel uzantısıdır; rezerv veya bütçe değildir.</t>
  </si>
  <si>
    <t>s:The forecast only extends past payments statistically; it is not a reserve or a budget.</t>
  </si>
  <si>
    <t>s:Tahmin yalnızca geçmiş ödemelerin istatistiksel uzantısıdır; rezerv veya bütçe değildir.
The forecast only extends past payments statistically; it is not a reserve or a budget.</t>
  </si>
  <si>
    <t>s:AN_TR_LOWER</t>
  </si>
  <si>
    <t>s:Alt sınır</t>
  </si>
  <si>
    <t>s:Lower</t>
  </si>
  <si>
    <t>s:Alt sınır
Lower</t>
  </si>
  <si>
    <t>s:AN_TR_UPPER</t>
  </si>
  <si>
    <t>s:Üst sınır</t>
  </si>
  <si>
    <t>s:Upper</t>
  </si>
  <si>
    <t>s:Üst sınır
Upper</t>
  </si>
  <si>
    <t>s:AN_TR_ACTUAL</t>
  </si>
  <si>
    <t>s:Gerçekleşen</t>
  </si>
  <si>
    <t>s:Actual</t>
  </si>
  <si>
    <t>s:Gerçekleşen
Actual</t>
  </si>
  <si>
    <t>s:AN_TR_FORECAST</t>
  </si>
  <si>
    <t>s:Tahmin</t>
  </si>
  <si>
    <t>s:Forecast</t>
  </si>
  <si>
    <t>s:Tahmin
Forecast</t>
  </si>
  <si>
    <t>s:AN_TR_BRIDGE_MOM</t>
  </si>
  <si>
    <t>s:Aylık değişim köprüsü: ödeme türüne göre (mn TL)</t>
  </si>
  <si>
    <t>s:Month-over-month bridge by payment nature (TRY m)</t>
  </si>
  <si>
    <t>s:Aylık değişim köprüsü: ödeme türüne göre (mn TL)
Month-over-month bridge by payment nature (TRY m)</t>
  </si>
  <si>
    <t>s:AN_TR_BRIDGE_YOY</t>
  </si>
  <si>
    <t>s:Yıllık değişim köprüsü: ödeme türüne göre (mn TL)</t>
  </si>
  <si>
    <t>s:Year-over-year bridge by payment nature (TRY m)</t>
  </si>
  <si>
    <t>s:Yıllık değişim köprüsü: ödeme türüne göre (mn TL)
Year-over-year bridge by payment nature (TRY m)</t>
  </si>
  <si>
    <t>s:AN_TR_BRIDGE_GATE</t>
  </si>
  <si>
    <t>s:Karşılaştırma ayında veri yok: INSUFFICIENT DATA</t>
  </si>
  <si>
    <t>s:No data in the comparison month: INSUFFICIENT DATA</t>
  </si>
  <si>
    <t>s:Karşılaştırma ayında veri yok: INSUFFICIENT DATA
No data in the comparison month: INSUFFICIENT DATA</t>
  </si>
  <si>
    <t>s:AN_TR_PREV_TOTAL</t>
  </si>
  <si>
    <t>s:Önceki ay</t>
  </si>
  <si>
    <t>s:Previous month</t>
  </si>
  <si>
    <t>s:Önceki ay
Previous month</t>
  </si>
  <si>
    <t>s:AN_TR_PY_TOTAL</t>
  </si>
  <si>
    <t>s:Geçen yıl aynı ay</t>
  </si>
  <si>
    <t>s:Same month last year</t>
  </si>
  <si>
    <t>s:Geçen yıl aynı ay
Same month last year</t>
  </si>
  <si>
    <t>s:AN_TR_CUR_TOTAL</t>
  </si>
  <si>
    <t>s:Seçilen ay</t>
  </si>
  <si>
    <t>s:Selected month</t>
  </si>
  <si>
    <t>s:Seçilen ay
Selected month</t>
  </si>
  <si>
    <t>s:AN_TRI_PURPOSE</t>
  </si>
  <si>
    <t>s:Ödenen tutarlar hasar ayından sonra nasıl gelişiyor? Gösterge niteliğinde ödenen projeksiyonu - rezerv tahmini değildir.</t>
  </si>
  <si>
    <t>s:How do paid amounts develop after the loss month? Indicative paid projection - not a reserve estimate.</t>
  </si>
  <si>
    <t>s:Ödenen tutarlar hasar ayından sonra nasıl gelişiyor? Gösterge niteliğinde ödenen projeksiyonu - rezerv tahmini değildir.
How do paid amounts develop after the loss month? Indicative paid projection - not a reserve estimate.</t>
  </si>
  <si>
    <t>s:AN_TRI_VIEW</t>
  </si>
  <si>
    <t>s:Görünüm</t>
  </si>
  <si>
    <t>s:View</t>
  </si>
  <si>
    <t>s:Görünüm
View</t>
  </si>
  <si>
    <t>s:AN_TRI_COMPANY</t>
  </si>
  <si>
    <t>s:Şirket</t>
  </si>
  <si>
    <t>s:Company</t>
  </si>
  <si>
    <t>s:Şirket
Company</t>
  </si>
  <si>
    <t>s:AN_TRI_ALL</t>
  </si>
  <si>
    <t>s:Tümü</t>
  </si>
  <si>
    <t>s:All</t>
  </si>
  <si>
    <t>s:Tümü
All</t>
  </si>
  <si>
    <t>s:AN_TRI_METHOD</t>
  </si>
  <si>
    <t>s:Faktör yöntemi</t>
  </si>
  <si>
    <t>s:Factor method</t>
  </si>
  <si>
    <t>s:Faktör yöntemi
Factor method</t>
  </si>
  <si>
    <t>s:AN_TRI_N</t>
  </si>
  <si>
    <t>s:Son n hasar ayı</t>
  </si>
  <si>
    <t>s:Latest n accident months</t>
  </si>
  <si>
    <t>s:Son n hasar ayı
Latest n accident months</t>
  </si>
  <si>
    <t>s:AN_TRI_TAIL</t>
  </si>
  <si>
    <t>s:Kuyruk faktörü</t>
  </si>
  <si>
    <t>s:Tail factor</t>
  </si>
  <si>
    <t>s:Kuyruk faktörü
Tail factor</t>
  </si>
  <si>
    <t>s:AN_TRI_GRID</t>
  </si>
  <si>
    <t>s:Hasar ayı x gelişim ayı (bin TL; oranlar)</t>
  </si>
  <si>
    <t>s:Loss month x development month (TRY k; ratios)</t>
  </si>
  <si>
    <t>s:Hasar ayı x gelişim ayı (bin TL; oranlar)
Loss month x development month (TRY k; ratios)</t>
  </si>
  <si>
    <t>s:AN_TRI_LOSSM</t>
  </si>
  <si>
    <t>s:Hasar ayı</t>
  </si>
  <si>
    <t>s:Loss month</t>
  </si>
  <si>
    <t>s:Hasar ayı
Loss month</t>
  </si>
  <si>
    <t>s:AN_TRI_FLAG</t>
  </si>
  <si>
    <t>s:Durum</t>
  </si>
  <si>
    <t>s:Flag</t>
  </si>
  <si>
    <t>s:Durum
Flag</t>
  </si>
  <si>
    <t>s:AN_TRI_LATEST</t>
  </si>
  <si>
    <t>s:Son kümülatif</t>
  </si>
  <si>
    <t>s:Latest cumulative</t>
  </si>
  <si>
    <t>s:Son kümülatif
Latest cumulative</t>
  </si>
  <si>
    <t>s:AN_TRI_PROJ</t>
  </si>
  <si>
    <t>s:Gösterge projeksiyon</t>
  </si>
  <si>
    <t>s:Indicative projection</t>
  </si>
  <si>
    <t>s:Gösterge projeksiyon
Indicative projection</t>
  </si>
  <si>
    <t>s:AN_TRI_PARTIAL_NOTE</t>
  </si>
  <si>
    <t>s:PARTIAL: hasar ayı veri başlangıcından önce; ilk gelişim ayları gözlenmedi (n/o). Faktörlere girmez.</t>
  </si>
  <si>
    <t>s:PARTIAL: loss month before the data start; the first development months were not observed (n/o). Excluded from the factors.</t>
  </si>
  <si>
    <t>s:PARTIAL: hasar ayı veri başlangıcından önce; ilk gelişim ayları gözlenmedi (n/o). Faktörlere girmez.
PARTIAL: loss month before the data start; the first development months were not observed (n/o). Excluded from the factors.</t>
  </si>
  <si>
    <t>s:AN_TRI_FACTORS</t>
  </si>
  <si>
    <t>s:Development factors</t>
  </si>
  <si>
    <t>s:Gelişim faktörleri
Development factors</t>
  </si>
  <si>
    <t>s:AN_TRI_SIMPLE</t>
  </si>
  <si>
    <t>s:Basit ortalama</t>
  </si>
  <si>
    <t>s:Simple average</t>
  </si>
  <si>
    <t>s:Basit ortalama
Simple average</t>
  </si>
  <si>
    <t>s:AN_TRI_VOLUME</t>
  </si>
  <si>
    <t>s:Hacim ağırlıklı</t>
  </si>
  <si>
    <t>s:Volume weighted</t>
  </si>
  <si>
    <t>s:Hacim ağırlıklı
Volume weighted</t>
  </si>
  <si>
    <t>s:AN_TRI_SELECTED</t>
  </si>
  <si>
    <t>s:Seçilen</t>
  </si>
  <si>
    <t>s:Selected</t>
  </si>
  <si>
    <t>s:Seçilen
Selected</t>
  </si>
  <si>
    <t>s:AN_TRI_CDF</t>
  </si>
  <si>
    <t>s:Kümülatif faktör</t>
  </si>
  <si>
    <t>s:Cumulative factor</t>
  </si>
  <si>
    <t>s:Kümülatif faktör
Cumulative factor</t>
  </si>
  <si>
    <t>s:AN_TRI_NRATIOS</t>
  </si>
  <si>
    <t>s:Oran sayısı</t>
  </si>
  <si>
    <t>s:Ratios</t>
  </si>
  <si>
    <t>s:Oran sayısı
Ratios</t>
  </si>
  <si>
    <t>s:AN_TRI_CV</t>
  </si>
  <si>
    <t>s:Değişkenlik (CV)</t>
  </si>
  <si>
    <t>s:Stability (CV)</t>
  </si>
  <si>
    <t>s:Değişkenlik (CV)
Stability (CV)</t>
  </si>
  <si>
    <t>s:AN_TRI_DIAG</t>
  </si>
  <si>
    <t>s:Takvim ayı (köşegen) toplamları, bin TL</t>
  </si>
  <si>
    <t>s:Calendar month (diagonal) totals, TRY k</t>
  </si>
  <si>
    <t>s:Takvim ayı (köşegen) toplamları, bin TL
Calendar month (diagonal) totals, TRY k</t>
  </si>
  <si>
    <t>s:AN_TRI_DISCLAIMER</t>
  </si>
  <si>
    <t>s:Gösterge niteliğinde ödenen projeksiyonu - rezerv tahmini değildir; ödenmemiş hasar, IBNR ve prim bilgisi yoktur.</t>
  </si>
  <si>
    <t>s:Indicative paid projection - not a reserve estimate; no outstanding, IBNR or premium information.</t>
  </si>
  <si>
    <t>s:Gösterge niteliğinde ödenen projeksiyonu - rezerv tahmini değildir; ödenmemiş hasar, IBNR ve prim bilgisi yoktur.
Indicative paid projection - not a reserve estimate; no outstanding, IBNR or premium information.</t>
  </si>
  <si>
    <t>s:AN_TRI_STAB</t>
  </si>
  <si>
    <t>s:Faktör istikrarı: gelişim yaşına göre bağ oranları</t>
  </si>
  <si>
    <t>s:Factor stability: link ratios by development age</t>
  </si>
  <si>
    <t>s:Faktör istikrarı: gelişim yaşına göre bağ oranları
Factor stability: link ratios by development age</t>
  </si>
  <si>
    <t>s:AN_LAG_PURPOSE</t>
  </si>
  <si>
    <t>s:Dosyalar aşamalar arasında ne kadar hızlı ilerliyor?</t>
  </si>
  <si>
    <t>s:How fast do cases move between stages?</t>
  </si>
  <si>
    <t>s:Dosyalar aşamalar arasında ne kadar hızlı ilerliyor?
How fast do cases move between stages?</t>
  </si>
  <si>
    <t>s:AN_LAG_STAGE</t>
  </si>
  <si>
    <t>s:Aşama</t>
  </si>
  <si>
    <t>s:Stage</t>
  </si>
  <si>
    <t>s:Aşama
Stage</t>
  </si>
  <si>
    <t>s:AN_LAG_N</t>
  </si>
  <si>
    <t>s:AN_LAG_MEAN</t>
  </si>
  <si>
    <t>s:Ortalama</t>
  </si>
  <si>
    <t>s:Mean</t>
  </si>
  <si>
    <t>s:Ortalama
Mean</t>
  </si>
  <si>
    <t>s:AN_LAG_SLA</t>
  </si>
  <si>
    <t>s:SLA aşımı</t>
  </si>
  <si>
    <t>s:SLA breach</t>
  </si>
  <si>
    <t>s:SLA aşımı
SLA breach</t>
  </si>
  <si>
    <t>s:AN_LAG_TABLE</t>
  </si>
  <si>
    <t>s:AN_LAG_ECDF</t>
  </si>
  <si>
    <t>s:AN_LAG_HIST</t>
  </si>
  <si>
    <t>s:Seçilen aşamanın dağılımı (satır payı)</t>
  </si>
  <si>
    <t>s:Distribution of the selected stage (share of lines)</t>
  </si>
  <si>
    <t>s:Seçilen aşamanın dağılımı (satır payı)
Distribution of the selected stage (share of lines)</t>
  </si>
  <si>
    <t>s:AN_LAG_TREND</t>
  </si>
  <si>
    <t>s:Seçilen aşamanın aylık P50 ve P90 değeri (gün)</t>
  </si>
  <si>
    <t>s:Monthly P50 and P90 of the selected stage (days)</t>
  </si>
  <si>
    <t>s:Seçilen aşamanın aylık P50 ve P90 değeri (gün)
Monthly P50 and P90 of the selected stage (days)</t>
  </si>
  <si>
    <t>s:AN_LAG_BANDS</t>
  </si>
  <si>
    <t>s:AN_LAG_SEL</t>
  </si>
  <si>
    <t>s:Grafik aşaması</t>
  </si>
  <si>
    <t>s:Chart stage</t>
  </si>
  <si>
    <t>s:Grafik aşaması
Chart stage</t>
  </si>
  <si>
    <t>s:AN_LAG_ALLM</t>
  </si>
  <si>
    <t>s:Tüm aylar</t>
  </si>
  <si>
    <t>s:All months</t>
  </si>
  <si>
    <t>s:Tüm aylar
All months</t>
  </si>
  <si>
    <t>s:AN_ST_L2N</t>
  </si>
  <si>
    <t>s:Hasar → ihbar</t>
  </si>
  <si>
    <t>s:Loss → notification</t>
  </si>
  <si>
    <t>s:Hasar → ihbar
Loss → notification</t>
  </si>
  <si>
    <t>s:AN_ST_N2D</t>
  </si>
  <si>
    <t>s:İhbar → evrak</t>
  </si>
  <si>
    <t>s:Notification → documents</t>
  </si>
  <si>
    <t>s:İhbar → evrak
Notification → documents</t>
  </si>
  <si>
    <t>s:AN_ST_D2C</t>
  </si>
  <si>
    <t>s:Evrak → karar</t>
  </si>
  <si>
    <t>s:Documents → decision</t>
  </si>
  <si>
    <t>s:Evrak → karar
Documents → decision</t>
  </si>
  <si>
    <t>s:AN_ST_C2P</t>
  </si>
  <si>
    <t>s:Karar → ödeme</t>
  </si>
  <si>
    <t>s:Decision → payment</t>
  </si>
  <si>
    <t>s:Karar → ödeme
Decision → payment</t>
  </si>
  <si>
    <t>s:AN_ST_N2P</t>
  </si>
  <si>
    <t>s:İhbar → ödeme</t>
  </si>
  <si>
    <t>s:Notification → payment</t>
  </si>
  <si>
    <t>s:İhbar → ödeme
Notification → payment</t>
  </si>
  <si>
    <t>s:AN_ST_L2P</t>
  </si>
  <si>
    <t>s:Hasar → ödeme</t>
  </si>
  <si>
    <t>s:Loss → payment</t>
  </si>
  <si>
    <t>s:Hasar → ödeme
Loss → payment</t>
  </si>
  <si>
    <t>s:MinMonthsForSeasonalIndex</t>
  </si>
  <si>
    <t>s:Minimum months of history for the seasonal index and the deseasonalised trend (each calendar month needs at least two ratios to the centred moving average)</t>
  </si>
  <si>
    <t>s:ForecastHorizonMonths</t>
  </si>
  <si>
    <t>s:Months forecast by FORECAST.ETS on AN_Trend</t>
  </si>
  <si>
    <t>s:ForecastConfidence</t>
  </si>
  <si>
    <t>n:.95</t>
  </si>
  <si>
    <t>s:Confidence level of the FORECAST.ETS prediction interval</t>
  </si>
  <si>
    <t>s:MinLinkRatios</t>
  </si>
  <si>
    <t>s:Minimum link ratios (accident months) behind a development factor; below it the factor is INSUFFICIENT DATA and the projection stops</t>
  </si>
  <si>
    <t>s:TriangleMaxDev</t>
  </si>
  <si>
    <t>s:Last development month shown on AN_Triangle; payments later than this are added to the last column</t>
  </si>
  <si>
    <t>s:TrendBandWidth</t>
  </si>
  <si>
    <t>s:robust SD</t>
  </si>
  <si>
    <t>s:Paid TRY MoM %; Paid TRY PM; MoM Change TRY</t>
  </si>
  <si>
    <t>s:GrossAmountTRY; DimDate[Date]</t>
  </si>
  <si>
    <t>s:Guarded: BLANK unless exactly one segment is in context | MoM Change TRY is the released 3.0 measure (not guarded, Dashboard only) | used on AN_Exec_* and AN_Trend</t>
  </si>
  <si>
    <t>s:[Paid TRY PM] = CALCULATE ( [Paid TRY], DATEADD ( DimDate[Date], -1, MONTH ) ) || [Paid TRY MoM %] = VAR c = [Paid TRY] VAR p = [Paid TRY PM] RETURN IF ( NOT ISBLANK ( c ) &amp;&amp; NOT ISBLANK ( p ), DIVIDE ( c - p, p ) )</t>
  </si>
  <si>
    <t>s:Paid TRY YoY %; Paid TRY PY</t>
  </si>
  <si>
    <t>s:Guarded: BLANK unless exactly one segment is in context | needs the same month one year earlier: with 24 months of data only the latest 12 months have a YoY value</t>
  </si>
  <si>
    <t>s:[Paid TRY PY] = CALCULATE ( [Paid TRY], SAMEPERIODLASTYEAR ( DimDate[Date] ) ) || [Paid TRY YoY %] = VAR c = [Paid TRY] VAR p = [Paid TRY PY] RETURN IF ( NOT ISBLANK ( c ) &amp;&amp; NOT ISBLANK ( p ), DIVIDE ( c - p, p ) )</t>
  </si>
  <si>
    <t>s:Paid TRY YTD</t>
  </si>
  <si>
    <t>s:Guarded: BLANK unless exactly one segment is in context | calendar year</t>
  </si>
  <si>
    <t>s:[Paid TRY YTD] = TOTALYTD ( [Paid TRY], DimDate[Date] )</t>
  </si>
  <si>
    <t>s:Paid TRY R3; Paid TRY R6; Paid TRY R12</t>
  </si>
  <si>
    <t>s:GrossAmountTRY; PeriodKey; DimDate[Date]</t>
  </si>
  <si>
    <t>s:Guarded: BLANK unless exactly one segment is in context | BLANK unless every month of the window has payments</t>
  </si>
  <si>
    <t>s:[Paid TRY R3] = VAR d = DATESINPERIOD ( DimDate[Date], MAX ( DimDate[Date] ), -3, MONTH ) VAR k = CALCULATE ( DISTINCTCOUNT ( FactPayment[PeriodKey] ), d ) RETURN IF ( k = 3, CALCULATE ( [Paid TRY], d ) ) || [Paid TRY R6] = VAR d = DATESINPERIOD ( DimDate[Date], MAX ( DimDate[Date] ), -6, MONTH ) VAR k = CALCULATE ( DISTINCTCOUNT ( FactPayment[PeriodKey] ), d ) RETURN IF ( k = 6, CALCULATE ( [Paid TRY], d ) ) || [Paid TRY R12] = VAR d = DATESINPERIOD ( DimDate[Date], MAX ( DimDate[Date] ), -12, MONTH ) VAR k = CALCULATE ( DISTINCTCOUNT ( FactPayment[PeriodKey] ), d ) RETURN IF ( k = 12, CALCULATE ( [Paid TRY], d ) )</t>
  </si>
  <si>
    <t>[Paid TRY] by DimDate[YearMonth]</t>
  </si>
  <si>
    <t>worksheet formula on AN_Trend: ratio of [Paid TRY] to its centred 2x12 moving average, averaged per calendar month and normalised to 12</t>
  </si>
  <si>
    <t>Gated: needs AnParam MinMonthsForSeasonalIndex (36) months, i.e. at least two ratios per calendar month; INSUFFICIENT DATA on the mini data (24 months)</t>
  </si>
  <si>
    <t>(worksheet) AN_Trend seasonal index</t>
  </si>
  <si>
    <t>[Paid TRY] by DimPaymentNature[PaymentNature]</t>
  </si>
  <si>
    <t>worksheet formula on AN_Trend: [Paid TRY] by PaymentNature, previous month and selected month</t>
  </si>
  <si>
    <t>Guarded: BLANK unless exactly one segment is in context | the bars sum exactly to the change; natures beyond the six largest moves are grouped as OTHER</t>
  </si>
  <si>
    <t>(worksheet) AN_Trend MoM bridge</t>
  </si>
  <si>
    <t>worksheet formula on AN_Trend: [Paid TRY] by PaymentNature, same month last year and selected month</t>
  </si>
  <si>
    <t>Guarded: BLANK unless exactly one segment is in context | INSUFFICIENT DATA when the month a year earlier has no data</t>
  </si>
  <si>
    <t>(worksheet) AN_Trend YoY bridge</t>
  </si>
  <si>
    <t>Sonraki 3 ayın aylık ödenen tahmini ve %95 tahmin aralığı / Monthly paid forecast for the next 3 months with a 95% prediction interval</t>
  </si>
  <si>
    <t>FC01</t>
  </si>
  <si>
    <t>Paid forecast (FORECAST.ETS)</t>
  </si>
  <si>
    <t>Ödenen tahmini (FORECAST.ETS)</t>
  </si>
  <si>
    <t>worksheet formula on AN_Trend: FORECAST.ETS and FORECAST.ETS.CONFINT over [Paid TRY] by month</t>
  </si>
  <si>
    <t>Gated: needs 24 monthly points (the mini data has exactly 24) | statistical extension of past payments, not a reserve or a budget</t>
  </si>
  <si>
    <t>(worksheet) AN_Trend forecast</t>
  </si>
  <si>
    <t>PY</t>
  </si>
  <si>
    <t>YoY</t>
  </si>
  <si>
    <t>R3</t>
  </si>
  <si>
    <t>R12</t>
  </si>
  <si>
    <t>R12 avg</t>
  </si>
  <si>
    <t>CMA</t>
  </si>
  <si>
    <t>SI</t>
  </si>
  <si>
    <t>deseas.</t>
  </si>
  <si>
    <t>month no</t>
  </si>
  <si>
    <t>ratios</t>
  </si>
  <si>
    <t>mean ratio</t>
  </si>
  <si>
    <t>fc date</t>
  </si>
  <si>
    <t>forecast</t>
  </si>
  <si>
    <t>MoM bridge</t>
  </si>
  <si>
    <t>YoY bridge</t>
  </si>
  <si>
    <t>Base</t>
  </si>
  <si>
    <t>Artış / Increase</t>
  </si>
  <si>
    <t>Azalış / Decrease</t>
  </si>
  <si>
    <t>Toplam / Total</t>
  </si>
  <si>
    <t>s:(worksheet) AN_Trend seasonal index</t>
  </si>
  <si>
    <t>s:[Paid TRY] by DimDate[YearMonth]</t>
  </si>
  <si>
    <t>s:Gated: needs AnParam MinMonthsForSeasonalIndex (36) months, i.e. at least two ratios per calendar month; INSUFFICIENT DATA on the mini data (24 months)</t>
  </si>
  <si>
    <t>s:worksheet formula on AN_Trend: ratio of [Paid TRY] to its centred 2x12 moving average, averaged per calendar month and normalised to 12</t>
  </si>
  <si>
    <t>s:(worksheet) AN_Trend MoM bridge</t>
  </si>
  <si>
    <t>s:[Paid TRY] by DimPaymentNature[PaymentNature]</t>
  </si>
  <si>
    <t>s:Guarded: BLANK unless exactly one segment is in context | the bars sum exactly to the change; natures beyond the six largest moves are grouped as OTHER</t>
  </si>
  <si>
    <t>s:worksheet formula on AN_Trend: [Paid TRY] by PaymentNature, previous month and selected month</t>
  </si>
  <si>
    <t>s:(worksheet) AN_Trend YoY bridge</t>
  </si>
  <si>
    <t>s:Guarded: BLANK unless exactly one segment is in context | INSUFFICIENT DATA when the month a year earlier has no data</t>
  </si>
  <si>
    <t>s:worksheet formula on AN_Trend: [Paid TRY] by PaymentNature, same month last year and selected month</t>
  </si>
  <si>
    <t>s:FC01</t>
  </si>
  <si>
    <t>s:Ödenen tahmini (FORECAST.ETS)</t>
  </si>
  <si>
    <t>s:Paid forecast (FORECAST.ETS)</t>
  </si>
  <si>
    <t>s:Sonraki 3 ayın aylık ödenen tahmini ve %95 tahmin aralığı / Monthly paid forecast for the next 3 months with a 95% prediction interval</t>
  </si>
  <si>
    <t>s:(worksheet) AN_Trend forecast</t>
  </si>
  <si>
    <t>s:Gated: needs 24 monthly points (the mini data has exactly 24) | statistical extension of past payments, not a reserve or a budget</t>
  </si>
  <si>
    <t>s:worksheet formula on AN_Trend: FORECAST.ETS and FORECAST.ETS.CONFINT over [Paid TRY] by month</t>
  </si>
  <si>
    <t>LossDate; PeriodKey; GrossAmountTRY</t>
  </si>
  <si>
    <t>worksheet formula on AN_Triangle: [Paid TRY] by FactPayment[LossPeriodKey] x FactPayment[DevMonth]</t>
  </si>
  <si>
    <t>Guarded: BLANK unless exactly one segment is in context | development month = reporting period minus loss month | loss months before the data start are PARTIAL</t>
  </si>
  <si>
    <t>(worksheet) AN_Triangle incremental view</t>
  </si>
  <si>
    <t>worksheet formula on AN_Triangle: running sum of TR01 along the development months</t>
  </si>
  <si>
    <t>PARTIAL rows understate the cumulative amount</t>
  </si>
  <si>
    <t>(worksheet) AN_Triangle cumulative view</t>
  </si>
  <si>
    <t>3 link ratios</t>
  </si>
  <si>
    <t>worksheet formula on AN_Triangle: C(d+1)/C(d); simple and volume-weighted averages over the latest n accident months (not PARTIAL)</t>
  </si>
  <si>
    <t>Factors with fewer than MinLinkRatios ratios are INSUFFICIENT DATA</t>
  </si>
  <si>
    <t>(worksheet) AN_Triangle link ratios and factors</t>
  </si>
  <si>
    <t>worksheet formula on AN_Triangle: latest cumulative x product of selected factors x tail factor</t>
  </si>
  <si>
    <t>Indicative paid projection, not a reserve estimate | stops where a factor is INSUFFICIENT DATA</t>
  </si>
  <si>
    <t>(worksheet) AN_Triangle indicative paid projection</t>
  </si>
  <si>
    <t>Her aşama için BandLag bantlarına düşen ödeme satırı sayısı / Payment lines per BandLag band for each stage</t>
  </si>
  <si>
    <t>LG08</t>
  </si>
  <si>
    <t>BandLag; stage dates</t>
  </si>
  <si>
    <t>Lag distribution (bands)</t>
  </si>
  <si>
    <t>Süre dağılımı (bantlar)</t>
  </si>
  <si>
    <t>[Lag Loss to Notification Lines in Band] = IF ( HASONEVALUE ( BandLag[LagBand] ), VAR lo = VALUES ( BandLag[FromDays] ) VAR hi = VALUES ( BandLag[ToDays] ) RETURN IF ( lo &lt; 0, COUNTROWS ( FILTER ( FactPayment, NOT ( NOT ISBLANK ( FactPayment[LossDate] ) &amp;&amp; NOT ISBLANK ( FactPayment[NotificationDate] ) &amp;&amp; FactPayment[NotificationDate] &gt;= FactPayment[LossDate] ) ) ), COUNTROWS ( FILTER ( FactPayment, NOT ISBLANK ( FactPayment[LossDate] ) &amp;&amp; NOT ISBLANK ( FactPayment[NotificationDate] ) &amp;&amp; FactPayment[NotificationDate] &gt;= FactPayment[LossDate] &amp;&amp; DATEDIFF ( FactPayment[LossDate], FactPayment[NotificationDate], DAY ) &gt;= lo &amp;&amp; DATEDIFF ( FactPayment[LossDate], FactPayment[NotificationDate], DAY ) &lt;= hi ) ) ) ) || [Lag Notification to Documents Lines in Band] = IF ( HASONEVALUE ( BandLag[LagBand] ), VAR lo = VALUES ( BandLag[FromDays] ) VAR hi = VALUES ( BandLag[ToDays] ) RETURN IF ( lo &lt; 0, COUNTROWS ( FILTER ( FactPayment, NOT ( NOT ISBLANK ( FactPayment[NotificationDate] ) &amp;&amp; NOT ISBLANK ( FactPayment[DocsCompleteDate] ) &amp;&amp; FactPayment[DocsCompleteDate] &gt;= FactPayment[NotificationDate] ) ) ), COUNTROWS ( FILTER ( FactPayment, NOT ISBLANK ( FactPayment[NotificationDate] ) &amp;&amp; NOT ISBLANK ( FactPayment[DocsCompleteDate] ) &amp;&amp; FactPayment[DocsCompleteDate] &gt;= FactPayment[NotificationDate] &amp;&amp; DATEDIFF ( FactPayment[NotificationDate], FactPayment[DocsCompleteDate], DAY ) &gt;= lo &amp;&amp; DATEDIFF ( FactPayment[NotificationDate], FactPayment[DocsCompleteDate], DAY ) &lt;= hi ) ) ) ) || [Lag Documents to Decision Lines in Band] = IF ( HASONEVALUE ( BandLag[LagBand] ), VAR lo = VALUES ( BandLag[FromDays] ) VAR hi = VALUES ( BandLag[ToDays] ) RETURN IF ( lo &lt; 0, COUNTROWS ( FILTER ( FactPayment, NOT ( NOT ISBLANK ( FactPayment[DocsCompleteDate] ) &amp;&amp; NOT ISBLANK ( FactPayment[DecisionDate] ) &amp;&amp; FactPayment[DecisionDate] &gt;= FactPayment[DocsCompleteDate] ) ) ), COUNTROWS ( FILTER ( FactPayment, NOT ISBLANK ( FactPayment[DocsCompleteDate] ) &amp;&amp; NOT ISBLANK ( FactPayment[DecisionDate] ) &amp;&amp; FactPayment[DecisionDate] &gt;= FactPayment[DocsCompleteDate] &amp;&amp; DATEDIFF ( FactPayment[DocsCompleteDate], FactPayment[DecisionDate], DAY ) &gt;= lo &amp;&amp; DATEDIFF ( FactPayment[DocsCompleteDate], FactPayment[DecisionDate], DAY ) &lt;= hi ) ) ) ) || [Lag Decision to Payment Lines in Band] = IF ( HASONEVALUE ( BandLag[LagBand] ), VAR lo = VALUES ( BandLag[FromDays] ) VAR hi = VALUES ( BandLag[ToDays] ) RETURN IF ( lo &lt; 0, COUNTROWS ( FILTER ( FactPayment, NOT ( NOT ISBLANK ( FactPayment[DecisionDate] ) &amp;&amp; NOT ISBLANK ( FactPayment[PaymentDate] ) &amp;&amp; FactPayment[PaymentDate] &gt;= FactPayment[DecisionDate] ) ) ), COUNTROWS ( FILTER ( FactPayment, NOT ISBLANK ( FactPayment[DecisionDate] ) &amp;&amp; NOT ISBLANK ( FactPayment[PaymentDate] ) &amp;&amp; FactPayment[PaymentDate] &gt;= FactPayment[DecisionDate] &amp;&amp; DATEDIFF ( FactPayment[DecisionDate], FactPayment[PaymentDate], DAY ) &gt;= lo &amp;&amp; DATEDIFF ( FactPayment[DecisionDate], FactPayment[PaymentDate], DAY ) &lt;= hi ) ) ) ) || [Lag Notification to Payment Lines in Band] = IF ( HASONEVALUE ( BandLag[LagBand] ), VAR lo = VALUES ( BandLag[FromDays] ) VAR hi = VALUES ( BandLag[ToDays] ) RETURN IF ( lo &lt; 0, COUNTROWS ( FILTER ( FactPayment, NOT ( NOT ISBLANK ( FactPayment[NotificationDate] ) &amp;&amp; NOT ISBLANK ( FactPayment[PaymentDate] ) &amp;&amp; FactPayment[PaymentDate] &gt;= FactPayment[NotificationDate] ) ) ), COUNTROWS ( FILTER ( FactPayment, NOT ISBLANK ( FactPayment[NotificationDate] ) &amp;&amp; NOT ISBLANK ( FactPayment[PaymentDate] ) &amp;&amp; FactPayment[PaymentDate] &gt;= FactPayment[NotificationDate] &amp;&amp; DATEDIFF ( FactPayment[NotificationDate], FactPayment[PaymentDate], DAY ) &gt;= lo &amp;&amp; DATEDIFF ( FactPayment[NotificationDate], FactPayment[PaymentDate], DAY ) &lt;= hi ) ) ) ) || [Lag Loss to Payment Lines in Band] = IF ( HASONEVALUE ( BandLag[LagBand] ), VAR lo = VALUES ( BandLag[FromDays] ) VAR hi = VALUES ( BandLag[ToDays] ) RETURN IF ( lo &lt; 0, COUNTROWS ( FILTER ( FactPayment, NOT ( NOT ISBLANK ( FactPayment[LossDate] ) &amp;&amp; NOT ISBLANK ( FactPayment[PaymentDate] ) &amp;&amp; FactPayment[PaymentDate] &gt;= FactPayment[LossDate] ) ) ), COUNTROWS ( FILTER ( FactPayment, NOT ISBLANK ( FactPayment[LossDate] ) &amp;&amp; NOT ISBLANK ( FactPayment[PaymentDate] ) &amp;&amp; FactPayment[PaymentDate] &gt;= FactPayment[LossDate] &amp;&amp; DATEDIFF ( FactPayment[LossDate], FactPayment[PaymentDate], DAY ) &gt;= lo &amp;&amp; DATEDIFF ( FactPayment[LossDate], FactPayment[PaymentDate], DAY ) &lt;= hi ) ) ) )</t>
  </si>
  <si>
    <t>Line counts, not segment-guarded | the band with negative limits holds lines with a missing or negative lag</t>
  </si>
  <si>
    <t>Lag Loss to Notification Lines in Band; Lag Notification to Documents Lines in Band; Lag Documents to Decision Lines in Band; Lag Decision to Payment Lines in Band; Lag Notification to Payment Lines in Band; Lag Loss to Payment Lines in Band</t>
  </si>
  <si>
    <t>Lag Loss to Notification Lines</t>
  </si>
  <si>
    <t>Lag Loss to Notification Mean</t>
  </si>
  <si>
    <t>Lag Loss to Notification P50</t>
  </si>
  <si>
    <t>Lag Loss to Notification P75</t>
  </si>
  <si>
    <t>Lag Loss to Notification P90</t>
  </si>
  <si>
    <t>Lag Loss to Notification P95</t>
  </si>
  <si>
    <t>Lag Notification to Documents Lines</t>
  </si>
  <si>
    <t>Lag Notification to Documents Mean</t>
  </si>
  <si>
    <t>Lag Notification to Documents P50</t>
  </si>
  <si>
    <t>Lag Notification to Documents P75</t>
  </si>
  <si>
    <t>Lag Notification to Documents P90</t>
  </si>
  <si>
    <t>Lag Notification to Documents P95</t>
  </si>
  <si>
    <t>Lag Documents to Decision Lines</t>
  </si>
  <si>
    <t>Lag Documents to Decision Mean</t>
  </si>
  <si>
    <t>Lag Documents to Decision P50</t>
  </si>
  <si>
    <t>Lag Documents to Decision P75</t>
  </si>
  <si>
    <t>Lag Documents to Decision P90</t>
  </si>
  <si>
    <t>Lag Documents to Decision P95</t>
  </si>
  <si>
    <t>Lag Decision to Payment Lines</t>
  </si>
  <si>
    <t>Lag Decision to Payment Mean</t>
  </si>
  <si>
    <t>Lag Decision to Payment P50</t>
  </si>
  <si>
    <t>Lag Decision to Payment P75</t>
  </si>
  <si>
    <t>Lag Decision to Payment P90</t>
  </si>
  <si>
    <t>Lag Decision to Payment P95</t>
  </si>
  <si>
    <t>Lag Notification to Payment Lines</t>
  </si>
  <si>
    <t>Lag Notification to Payment Mean</t>
  </si>
  <si>
    <t>Lag Notification to Payment P50</t>
  </si>
  <si>
    <t>Lag Notification to Payment P75</t>
  </si>
  <si>
    <t>Lag Notification to Payment P90</t>
  </si>
  <si>
    <t>Lag Notification to Payment P95</t>
  </si>
  <si>
    <t>Lag Loss to Payment Lines</t>
  </si>
  <si>
    <t>Lag Loss to Payment Mean</t>
  </si>
  <si>
    <t>Lag Loss to Payment P75</t>
  </si>
  <si>
    <t>Lag Loss to Payment P90</t>
  </si>
  <si>
    <t>Lag Loss to Payment P95</t>
  </si>
  <si>
    <t>SLA Breach Share Decision to Payment</t>
  </si>
  <si>
    <t>2023-09</t>
  </si>
  <si>
    <t>2023-10</t>
  </si>
  <si>
    <t>2023-11</t>
  </si>
  <si>
    <t>2023-12</t>
  </si>
  <si>
    <t>2024-01</t>
  </si>
  <si>
    <t>2024-02</t>
  </si>
  <si>
    <t>2024-03</t>
  </si>
  <si>
    <t>2024-04</t>
  </si>
  <si>
    <t>2024-05</t>
  </si>
  <si>
    <t>2024-06</t>
  </si>
  <si>
    <t>2024-07</t>
  </si>
  <si>
    <t>2024-08</t>
  </si>
  <si>
    <t>Lag Loss to Notification Lines in Band</t>
  </si>
  <si>
    <t>Lag Notification to Documents Lines in Band</t>
  </si>
  <si>
    <t>Lag Documents to Decision Lines in Band</t>
  </si>
  <si>
    <t>Lag Decision to Payment Lines in Band</t>
  </si>
  <si>
    <t>Lag Notification to Payment Lines in Band</t>
  </si>
  <si>
    <t>Lag Loss to Payment Lines in Band</t>
  </si>
  <si>
    <t>LossPeriodKey</t>
  </si>
  <si>
    <t>INC</t>
  </si>
  <si>
    <t>CUM</t>
  </si>
  <si>
    <t>CAL</t>
  </si>
  <si>
    <t>LR</t>
  </si>
  <si>
    <t>SEL</t>
  </si>
  <si>
    <t>n</t>
  </si>
  <si>
    <t>simple</t>
  </si>
  <si>
    <t>volume</t>
  </si>
  <si>
    <t>selected</t>
  </si>
  <si>
    <t>CDF</t>
  </si>
  <si>
    <t>CV</t>
  </si>
  <si>
    <t>age</t>
  </si>
  <si>
    <t>latest</t>
  </si>
  <si>
    <t>projection</t>
  </si>
  <si>
    <t>cal month</t>
  </si>
  <si>
    <t>A</t>
  </si>
  <si>
    <t>E</t>
  </si>
  <si>
    <t>A/E</t>
  </si>
  <si>
    <t>A/E dates</t>
  </si>
  <si>
    <t>LR age 0</t>
  </si>
  <si>
    <t>LR age 1</t>
  </si>
  <si>
    <t>LR age 2</t>
  </si>
  <si>
    <t>Tümü / All</t>
  </si>
  <si>
    <t>Kümülatif / Cumulative</t>
  </si>
  <si>
    <t>Hacim ağırlıklı / Volume weighted</t>
  </si>
  <si>
    <t>Σ</t>
  </si>
  <si>
    <t>Tüm aylar / All months</t>
  </si>
  <si>
    <t>Hasar → ödeme / Loss → payment</t>
  </si>
  <si>
    <t>P50</t>
  </si>
  <si>
    <t>P75</t>
  </si>
  <si>
    <t>—</t>
  </si>
  <si>
    <t>bands (sorted)</t>
  </si>
  <si>
    <t>share sel</t>
  </si>
  <si>
    <t>ecdf x</t>
  </si>
  <si>
    <t>ecdf L2N</t>
  </si>
  <si>
    <t>ecdf N2D</t>
  </si>
  <si>
    <t>ecdf D2C</t>
  </si>
  <si>
    <t>ecdf C2P</t>
  </si>
  <si>
    <t>ecdf N2P</t>
  </si>
  <si>
    <t>ecdf L2P</t>
  </si>
  <si>
    <t>trend</t>
  </si>
  <si>
    <t>s:(worksheet) AN_Triangle incremental view</t>
  </si>
  <si>
    <t>s:LossDate; PeriodKey; GrossAmountTRY</t>
  </si>
  <si>
    <t>s:Guarded: BLANK unless exactly one segment is in context | development month = reporting period minus loss month | loss months before the data start are PARTIAL</t>
  </si>
  <si>
    <t>s:worksheet formula on AN_Triangle: [Paid TRY] by FactPayment[LossPeriodKey] x FactPayment[DevMonth]</t>
  </si>
  <si>
    <t>s:(worksheet) AN_Triangle cumulative view</t>
  </si>
  <si>
    <t>s:PARTIAL rows understate the cumulative amount</t>
  </si>
  <si>
    <t>s:worksheet formula on AN_Triangle: running sum of TR01 along the development months</t>
  </si>
  <si>
    <t>s:(worksheet) AN_Triangle link ratios and factors</t>
  </si>
  <si>
    <t>s:Factors with fewer than MinLinkRatios ratios are INSUFFICIENT DATA</t>
  </si>
  <si>
    <t>s:3 link ratios</t>
  </si>
  <si>
    <t>s:worksheet formula on AN_Triangle: C(d+1)/C(d); simple and volume-weighted averages over the latest n accident months (not PARTIAL)</t>
  </si>
  <si>
    <t>s:(worksheet) AN_Triangle indicative paid projection</t>
  </si>
  <si>
    <t>s:Indicative paid projection, not a reserve estimate | stops where a factor is INSUFFICIENT DATA</t>
  </si>
  <si>
    <t>s:worksheet formula on AN_Triangle: latest cumulative x product of selected factors x tail factor</t>
  </si>
  <si>
    <t>s:LG08</t>
  </si>
  <si>
    <t>s:Süre dağılımı (bantlar)</t>
  </si>
  <si>
    <t>s:Lag distribution (bands)</t>
  </si>
  <si>
    <t>s:Her aşama için BandLag bantlarına düşen ödeme satırı sayısı / Payment lines per BandLag band for each stage</t>
  </si>
  <si>
    <t>s:Lag Loss to Notification Lines in Band; Lag Notification to Documents Lines in Band; Lag Documents to Decision Lines in Band; Lag Decision to Payment Lines in Band; Lag Notification to Payment Lines in Band; Lag Loss to Payment Lines in Band</t>
  </si>
  <si>
    <t>s:BandLag; stage dates</t>
  </si>
  <si>
    <t>s:Line counts, not segment-guarded | the band with negative limits holds lines with a missing or negative lag</t>
  </si>
  <si>
    <t>s:[Lag Loss to Notification Lines in Band] = IF ( HASONEVALUE ( BandLag[LagBand] ), VAR lo = VALUES ( BandLag[FromDays] ) VAR hi = VALUES ( BandLag[ToDays] ) RETURN IF ( lo &lt; 0, COUNTROWS ( FILTER ( FactPayment, NOT ( NOT ISBLANK ( FactPayment[LossDate] ) &amp;&amp; NOT ISBLANK ( FactPayment[NotificationDate] ) &amp;&amp; FactPayment[NotificationDate] &gt;= FactPayment[LossDate] ) ) ), COUNTROWS ( FILTER ( FactPayment, NOT ISBLANK ( FactPayment[LossDate] ) &amp;&amp; NOT ISBLANK ( FactPayment[NotificationDate] ) &amp;&amp; FactPayment[NotificationDate] &gt;= FactPayment[LossDate] &amp;&amp; DATEDIFF ( FactPayment[LossDate], FactPayment[NotificationDate], DAY ) &gt;= lo &amp;&amp; DATEDIFF ( FactPayment[LossDate], FactPayment[NotificationDate], DAY ) &lt;= hi ) ) ) ) || [Lag Notification to Documents Lines in Band] = IF ( HASONEVALUE ( BandLag[LagBand] ), VAR lo = VALUES ( BandLag[FromDays] ) VAR hi = VALUES ( BandLag[ToDays] ) RETURN IF ( lo &lt; 0, COUNTROWS ( FILTER ( FactPayment, NOT ( NOT ISBLANK ( FactPayment[NotificationDate] ) &amp;&amp; NOT ISBLANK ( FactPayment[DocsCompleteDate] ) &amp;&amp; FactPayment[DocsCompleteDate] &gt;= FactPayment[NotificationDate] ) ) ), COUNTROWS ( FILTER ( FactPayment, NOT ISBLANK ( FactPayment[NotificationDate] ) &amp;&amp; NOT ISBLANK ( FactPayment[DocsCompleteDate] ) &amp;&amp; FactPayment[DocsCompleteDate] &gt;= FactPayment[NotificationDate] &amp;&amp; DATEDIFF ( FactPayment[NotificationDate], FactPayment[DocsCompleteDate], DAY ) &gt;= lo &amp;&amp; DATEDIFF ( FactPayment[NotificationDate], FactPayment[DocsCompleteDate], DAY ) &lt;= hi ) ) ) ) || [Lag Documents to Decision Lines in Band] = IF ( HASONEVALUE ( BandLag[LagBand] ), VAR lo = VALUES ( BandLag[FromDays] ) VAR hi = VALUES ( BandLag[ToDays] ) RETURN IF ( lo &lt; 0, COUNTROWS ( FILTER ( FactPayment, NOT ( NOT ISBLANK ( FactPayment[DocsCompleteDate] ) &amp;&amp; NOT ISBLANK ( FactPayment[DecisionDate] ) &amp;&amp; FactPayment[DecisionDate] &gt;= FactPayment[DocsCompleteDate] ) ) ), COUNTROWS ( FILTER ( FactPayment, NOT ISBLANK ( FactPayment[DocsCompleteDate] ) &amp;&amp; NOT ISBLANK ( FactPayment[DecisionDate] ) &amp;&amp; FactPayment[DecisionDate] &gt;= FactPayment[DocsCompleteDate] &amp;&amp; DATEDIFF ( FactPayment[DocsCompleteDate], FactPayment[DecisionDate], DAY ) &gt;= lo &amp;&amp; DATEDIFF ( FactPayment[DocsCompleteDate], FactPayment[DecisionDate], DAY ) &lt;= hi ) ) ) ) || [Lag Decision to Payment Lines in Band] = IF ( HASONEVALUE ( BandLag[LagBand] ), VAR lo = VALUES ( BandLag[FromDays] ) VAR hi = VALUES ( BandLag[ToDays] ) RETURN IF ( lo &lt; 0, COUNTROWS ( FILTER ( FactPayment, NOT ( NOT ISBLANK ( FactPayment[DecisionDate] ) &amp;&amp; NOT ISBLANK ( FactPayment[PaymentDate] ) &amp;&amp; FactPayment[PaymentDate] &gt;= FactPayment[DecisionDate] ) ) ), COUNTROWS ( FILTER ( FactPayment, NOT ISBLANK ( FactPayment[DecisionDate] ) &amp;&amp; NOT ISBLANK ( FactPayment[PaymentDate] ) &amp;&amp; FactPayment[PaymentDate] &gt;= FactPayment[DecisionDate] &amp;&amp; DATEDIFF ( FactPayment[DecisionDate], FactPayment[PaymentDate], DAY ) &gt;= lo &amp;&amp; DATEDIFF ( FactPayment[DecisionDate], FactPayment[PaymentDate], DAY ) &lt;= hi ) ) ) ) || [Lag Notification to Payment Lines in Band] = IF ( HASONEVALUE ( BandLag[LagBand] ), VAR lo = VALUES ( BandLag[FromDays] ) VAR hi = VALUES ( BandLag[ToDays] ) RETURN IF ( lo &lt; 0, COUNTROWS ( FILTER ( FactPayment, NOT ( NOT ISBLANK ( FactPayment[NotificationDate] ) &amp;&amp; NOT ISBLANK ( FactPayment[PaymentDate] ) &amp;&amp; FactPayment[PaymentDate] &gt;= FactPayment[NotificationDate] ) ) ), COUNTROWS ( FILTER ( FactPayment, NOT ISBLANK ( FactPayment[NotificationDate] ) &amp;&amp; NOT ISBLANK ( FactPayment[PaymentDate] ) &amp;&amp; FactPayment[PaymentDate] &gt;= FactPayment[NotificationDate] &amp;&amp; DATEDIFF ( FactPayment[NotificationDate], FactPayment[PaymentDate], DAY ) &gt;= lo &amp;&amp; DATEDIFF ( FactPayment[NotificationDate], FactPayment[PaymentDate], DAY ) &lt;= hi ) ) ) ) || [Lag Loss to Payment Lines in Band] = IF ( HASONEVALUE ( BandLag[LagBand] ), VAR lo = VALUES ( BandLag[FromDays] ) VAR hi = VALUES ( BandLag[ToDays] ) RETURN IF ( lo &lt; 0, COUNTROWS ( FILTER ( FactPayment, NOT ( NOT ISBLANK ( FactPayment[LossDate] ) &amp;&amp; NOT ISBLANK ( FactPayment[PaymentDate] ) &amp;&amp; FactPayment[PaymentDate] &gt;= FactPayment[LossDate] ) ) ), COUNTROWS ( FILTER ( FactPayment, NOT ISBLANK ( FactPayment[LossDate] ) &amp;&amp; NOT ISBLANK ( FactPayment[PaymentDate] ) &amp;&amp; FactPayment[PaymentDate] &gt;= FactPayment[LossDate] &amp;&amp; DATEDIFF ( FactPayment[LossDate], FactPayment[PaymentDate], DAY ) &gt;= lo &amp;&amp; DATEDIFF ( FactPayment[LossDate], FactPayment[PaymentDate], DAY ) &lt;= hi ) ) ) )</t>
  </si>
  <si>
    <t>Elementer</t>
  </si>
  <si>
    <t>Üçgen</t>
  </si>
  <si>
    <t>Status: OK; WATCH = watch level breached (with the persistence rule); ALERT = alert level breached; INSUFFICIENT DATA = too little data; (draft) = draft statistical level, counted; * = placeholder fixed level (grey), never counted or ranked. Levels in Threshold_Register (DRAFT).</t>
  </si>
  <si>
    <t>Durum: OK; WATCH = uyarı eşiği aşıldı (kalıcılık kuralıyla); ALERT = alarm eşiği aşıldı; INSUFFICIENT DATA = yetersiz veri; (draft) = taslak istatistiksel eşik, sayılır; * = geçici sabit eşik (gri), uyarı sayılmaz ve sıralanmaz. Eşikler Threshold_Register'da (DRAFT).</t>
  </si>
  <si>
    <t>AN_SEG_Life</t>
  </si>
  <si>
    <t>AN_SEG_Pension</t>
  </si>
  <si>
    <t>AN_SEG_Non-life</t>
  </si>
  <si>
    <t>AN_SEG_Unassigned</t>
  </si>
  <si>
    <t>AN_TAG_UNASSIGNED</t>
  </si>
  <si>
    <t>Unassigned: {0} lines (Index)</t>
  </si>
  <si>
    <t>Atanmamış: {0} satır (Dizin)</t>
  </si>
  <si>
    <t>AN_LAG_CENSOR</t>
  </si>
  <si>
    <t>Per case: the first {0} months after the data start (to {1}) are PARTIAL - the first payment may be unobserved; excluded from the statistics</t>
  </si>
  <si>
    <t>Dosya başına: veri başlangıcından sonraki ilk {0} ay ({1} dahil) PARTIAL - ilk ödeme gözlenmemiş olabilir, istatistiklere girmez</t>
  </si>
  <si>
    <t>AN_TRI_HEADRANGE</t>
  </si>
  <si>
    <t>The headline range uses the stable methods only: volume-weighted latest 6 and 12</t>
  </si>
  <si>
    <t>Başlıktaki aralık yalnızca kararlı yöntemlerden: hacim ağırlıklı son 6 ve son 12</t>
  </si>
  <si>
    <t>AN_EMPTY</t>
  </si>
  <si>
    <t>INSUFFICIENT DATA: {0} months of data, the charts need at least {1}</t>
  </si>
  <si>
    <t>VERİ YETERSİZ: {0} ay veri var, grafikler için en az {1} ay gerekir</t>
  </si>
  <si>
    <t>AN_W_DRAFT</t>
  </si>
  <si>
    <t>draft</t>
  </si>
  <si>
    <t>taslak</t>
  </si>
  <si>
    <t>AN_T_PAID_NOTE</t>
  </si>
  <si>
    <t>TH12 log-z + TH01 MoM rule</t>
  </si>
  <si>
    <t>TH12 log-z + TH01 aylık kural</t>
  </si>
  <si>
    <t>AN_TR_R12CHART</t>
  </si>
  <si>
    <t>Rolling 12-month total (TRY m)</t>
  </si>
  <si>
    <t>Son 12 ay toplamı (mn TL)</t>
  </si>
  <si>
    <t>AN_TR_LOWCONF</t>
  </si>
  <si>
    <t>low confidence ({0} points)</t>
  </si>
  <si>
    <t>düşük güven ({0} nokta)</t>
  </si>
  <si>
    <t>AN_TRI_FURTHER</t>
  </si>
  <si>
    <t>Indicative further payments = projection - latest cumulative (not a reserve)</t>
  </si>
  <si>
    <t>Gösterge ek ödemeler = projeksiyon - son kümülatif (rezerv değildir)</t>
  </si>
  <si>
    <t>AN_TRI_SENS</t>
  </si>
  <si>
    <t>Sensitivity range (volume-weighted latest 6, simple average latest 6, volume-weighted latest 12)</t>
  </si>
  <si>
    <t>Duyarlılık aralığı (hacim ağırlıklı son 6, basit ortalama son 6, hacim ağırlıklı son 12)</t>
  </si>
  <si>
    <t>AN_TRI_SHARE</t>
  </si>
  <si>
    <t>Development share</t>
  </si>
  <si>
    <t>Gelişim payı</t>
  </si>
  <si>
    <t>AN_TRI_STABFLAG</t>
  </si>
  <si>
    <t>Kararlılık</t>
  </si>
  <si>
    <t>AN_TRI_FURTHER_S</t>
  </si>
  <si>
    <t>Indicative further payments (not a reserve)</t>
  </si>
  <si>
    <t>Gösterge ek ödemeler (rezerv değil)</t>
  </si>
  <si>
    <t>AN_TRI_FLAG_CV</t>
  </si>
  <si>
    <t>unstable</t>
  </si>
  <si>
    <t>kararsız</t>
  </si>
  <si>
    <t>AN_TRI_FLAG_SMALL</t>
  </si>
  <si>
    <t>immaterial</t>
  </si>
  <si>
    <t>önemsiz</t>
  </si>
  <si>
    <t>AN_LAG_UNIT</t>
  </si>
  <si>
    <t>Birim</t>
  </si>
  <si>
    <t>AN_LAG_UNIT_LINE</t>
  </si>
  <si>
    <t>line</t>
  </si>
  <si>
    <t>satır</t>
  </si>
  <si>
    <t>AN_LAG_UNIT_CASE</t>
  </si>
  <si>
    <t>case</t>
  </si>
  <si>
    <t>dosya</t>
  </si>
  <si>
    <t>AN_LAG_UNIT_PERSTAGE</t>
  </si>
  <si>
    <t>per stage (Unit column)</t>
  </si>
  <si>
    <t>aşamaya göre (Birim sütunu)</t>
  </si>
  <si>
    <t>AN_LAG_UNIT_DEFAULT</t>
  </si>
  <si>
    <t>Default: case stages per case, payment stages per line</t>
  </si>
  <si>
    <t>Varsayılan: dosya aşamaları dosya başına, ödeme aşamaları satır başına</t>
  </si>
  <si>
    <t>AN_LAG_UNIT_ALL_LINE</t>
  </si>
  <si>
    <t>All per payment line</t>
  </si>
  <si>
    <t>Tümü satır başına</t>
  </si>
  <si>
    <t>AN_LAG_UNIT_ALL_CASE</t>
  </si>
  <si>
    <t>All per case (first payment)</t>
  </si>
  <si>
    <t>Tümü dosya başına (ilk ödeme)</t>
  </si>
  <si>
    <t>AN_LAG_DENSITY</t>
  </si>
  <si>
    <t>Distribution of the selected stage: share per day (band share / band width)</t>
  </si>
  <si>
    <t>Seçilen aşamanın dağılımı: gün başına pay (bant payı / bant genişliği)</t>
  </si>
  <si>
    <t>AN_HOWTO_INDEX</t>
  </si>
  <si>
    <t>How to read: one row per page; green readiness means enough data, otherwise the reason is given.</t>
  </si>
  <si>
    <t>Nasıl okunur: her satır bir sayfa; veri durumu yeşilse sayfa güvenilir veriyle çalışıyor, INSUFFICIENT DATA ise neden yazılı.</t>
  </si>
  <si>
    <t>AN_HOWTO_EXEC</t>
  </si>
  <si>
    <t>How to read: six tiles give the selected month's value, change vs the previous month, a 12-month sparkline and a status against draft levels; the chart band shows the usual range on a log scale.</t>
  </si>
  <si>
    <t>Nasıl okunur: altı kutucuk seçilen ayın değeri, önceki aya değişim, 12 aylık seyir ve durumdur; durum taslak eşiklere göre hesaplanır. Grafik bandı log ölçekte olağan aralığı gösterir.</t>
  </si>
  <si>
    <t>AN_HOWTO_TREND</t>
  </si>
  <si>
    <t>How to read: top left shows monthly paid, last year, the 12-month average and the forecast; the bridges split the change by payment nature; the table gives the 12 months up to the selected month.</t>
  </si>
  <si>
    <t>Nasıl okunur: üst sol grafik aylık ödenen, geçen yıl, 12 aylık ortalama ve tahmin; köprüler değişimi ödeme türlerine ayırır; tablo seçilen aya kadar 12 ay.</t>
  </si>
  <si>
    <t>AN_HOWTO_TRIANGLE</t>
  </si>
  <si>
    <t>How to read: rows are loss months, columns development months; factors come from the latest loss months; the projection only extends paid data and is not a reserve.</t>
  </si>
  <si>
    <t>Nasıl okunur: satırlar hasar ayı, sütunlar gelişim ayı; faktörler son hasar aylarından; projeksiyon yalnızca ödenen verinin uzantısıdır, rezerv değildir.</t>
  </si>
  <si>
    <t>AN_HOWTO_LAGS</t>
  </si>
  <si>
    <t>How to read: days per stage; the unit is the payment line or the case (first payment); SLA values are placeholders.</t>
  </si>
  <si>
    <t>Nasıl okunur: her aşama için gün cinsinden süreler; birim satır ya da dosya (ilk ödeme); SLA değerleri geçicidir.</t>
  </si>
  <si>
    <t>Monthly paid (TRY m), median and normal band (median ± k robust SD on the log scale)</t>
  </si>
  <si>
    <t>Aylık ödenen (mn TL), medyan ve olağan bant (log ölçekte medyan ± k robust sapma)</t>
  </si>
  <si>
    <t>Monthly paid, last year, 12-month average and forecast (TRY m)</t>
  </si>
  <si>
    <t>Aylık ödenen, geçen yıl, 12 aylık ortalama ve tahmin (mn TL)</t>
  </si>
  <si>
    <t>Count</t>
  </si>
  <si>
    <t>Adet</t>
  </si>
  <si>
    <t>Days by stage (unit in the table)</t>
  </si>
  <si>
    <t>Aşamalara göre süre (gün; birim tabloda)</t>
  </si>
  <si>
    <t>Cumulative distribution (share up to the band's upper limit)</t>
  </si>
  <si>
    <t>Kümülatif dağılım (bant üst sınırına kadar olan pay)</t>
  </si>
  <si>
    <t>Lag bands (counts)</t>
  </si>
  <si>
    <t>Süre bantları (adet)</t>
  </si>
  <si>
    <t>Width of the normal band on the executive trend charts: exp(median of ln paid plus or minus this many robust standard deviations, 1.4826 x MAD of ln paid)</t>
  </si>
  <si>
    <t>Month-on-month rule (DRAFT): a fall of 50% or more against the previous month is WATCH</t>
  </si>
  <si>
    <t>MomDropLimit</t>
  </si>
  <si>
    <t>Month-on-month rule (DRAFT): a rise of 100% or more against the previous month is WATCH</t>
  </si>
  <si>
    <t>MomRiseLimit</t>
  </si>
  <si>
    <t>Month-on-month rule and top movers: applied only when the previous month exceeds this share of the trailing-12-month mean (rule) or of the previous month's segment total (movers)</t>
  </si>
  <si>
    <t>MomMaterialityShare</t>
  </si>
  <si>
    <t>Below this many months of data the chart area of a page shows one INSUFFICIENT DATA panel instead of empty charts</t>
  </si>
  <si>
    <t>MinMonthsForCharts</t>
  </si>
  <si>
    <t>Below this many monthly points the forecast is labelled low confidence</t>
  </si>
  <si>
    <t>ForecastConfidentMonths</t>
  </si>
  <si>
    <t>Triangle: a development age whose link ratios have a coefficient of variation above this value is flagged unstable</t>
  </si>
  <si>
    <t>TriStabilityCV</t>
  </si>
  <si>
    <t>Triangle: a development age that adds less than this share of the projected paid is flagged immaterial</t>
  </si>
  <si>
    <t>TriMinDevShare</t>
  </si>
  <si>
    <t>Triangle: a calendar month enters the A/E chart only if its expected development is at least this share of the median monthly expected development</t>
  </si>
  <si>
    <t>TriAEMinShare</t>
  </si>
  <si>
    <t>WATCH when MoM &lt;= AnParam MomDropLimit (-50%) or &gt;= MomRiseLimit (+100%); applied only when the previous month &gt; MomMaterialityShare (1%) x trailing-12-month mean</t>
  </si>
  <si>
    <t>MOM_RULE</t>
  </si>
  <si>
    <t>Large one-month swings are reviewed even when the long-run level looks normal; draft levels, tuned in WP-7</t>
  </si>
  <si>
    <t>z = (ln x - median(ln window)) / (1.4826 x MAD(ln window)); trailing window up to 24 months excluding the current; two-sided</t>
  </si>
  <si>
    <t>STAT_LOGZ</t>
  </si>
  <si>
    <t>Amounts are right-skewed; the log scale makes the robust z symmetric</t>
  </si>
  <si>
    <t>Heavy-tailed percentile of case amounts: log-scale robust z</t>
  </si>
  <si>
    <t>Level of monthly paid on the log scale; complements the month-on-month rule (TH01)</t>
  </si>
  <si>
    <t>TH12</t>
  </si>
  <si>
    <t>paid status parts</t>
  </si>
  <si>
    <t>s:Elementer</t>
  </si>
  <si>
    <t>s:Elementer
Non-life</t>
  </si>
  <si>
    <t>s:Üçgen</t>
  </si>
  <si>
    <t>s:Üçgen
Triangle</t>
  </si>
  <si>
    <t>s:Durum: OK; WATCH = uyarı eşiği aşıldı (kalıcılık kuralıyla); ALERT = alarm eşiği aşıldı; INSUFFICIENT DATA = yetersiz veri; (draft) = taslak istatistiksel eşik, sayılır; * = geçici sabit eşik (gri), uyarı sayılmaz ve sıralanmaz. Eşikler Threshold_Register'da (DRAFT).</t>
  </si>
  <si>
    <t>s:Status: OK; WATCH = watch level breached (with the persistence rule); ALERT = alert level breached; INSUFFICIENT DATA = too little data; (draft) = draft statistical level, counted; * = placeholder fixed level (grey), never counted or ranked. Levels in Threshold_Register (DRAFT).</t>
  </si>
  <si>
    <t>s:Durum: OK; WATCH = uyarı eşiği aşıldı (kalıcılık kuralıyla); ALERT = alarm eşiği aşıldı; INSUFFICIENT DATA = yetersiz veri; (draft) = taslak istatistiksel eşik, sayılır; * = geçici sabit eşik (gri), uyarı sayılmaz ve sıralanmaz. Eşikler Threshold_Register'da (DRAFT).
Status: OK; WATCH = watch level breached (with the persistence rule); ALERT = alert level breached; INSUFFICIENT DATA = too little data; (draft) = draft statistical level, counted; * = placeholder fixed level (grey), never counted or ranked. Levels in Threshold_Register (DRAFT).</t>
  </si>
  <si>
    <t>s:Aylık ödenen (mn TL), medyan ve olağan bant (log ölçekte medyan ± k robust sapma)</t>
  </si>
  <si>
    <t>s:Monthly paid (TRY m), median and normal band (median ± k robust SD on the log scale)</t>
  </si>
  <si>
    <t>s:Aylık ödenen (mn TL), medyan ve olağan bant (log ölçekte medyan ± k robust sapma)
Monthly paid (TRY m), median and normal band (median ± k robust SD on the log scale)</t>
  </si>
  <si>
    <t>s:Aylık ödenen, geçen yıl, 12 aylık ortalama ve tahmin (mn TL)</t>
  </si>
  <si>
    <t>s:Monthly paid, last year, 12-month average and forecast (TRY m)</t>
  </si>
  <si>
    <t>s:Aylık ödenen, geçen yıl, 12 aylık ortalama ve tahmin (mn TL)
Monthly paid, last year, 12-month average and forecast (TRY m)</t>
  </si>
  <si>
    <t>s:Adet</t>
  </si>
  <si>
    <t>s:Count</t>
  </si>
  <si>
    <t>s:Adet
Count</t>
  </si>
  <si>
    <t>s:Aşamalara göre süre (gün; birim tabloda)</t>
  </si>
  <si>
    <t>s:Days by stage (unit in the table)</t>
  </si>
  <si>
    <t>s:Aşamalara göre süre (gün; birim tabloda)
Days by stage (unit in the table)</t>
  </si>
  <si>
    <t>s:Kümülatif dağılım (bant üst sınırına kadar olan pay)</t>
  </si>
  <si>
    <t>s:Cumulative distribution (share up to the band's upper limit)</t>
  </si>
  <si>
    <t>s:Kümülatif dağılım (bant üst sınırına kadar olan pay)
Cumulative distribution (share up to the band's upper limit)</t>
  </si>
  <si>
    <t>s:Süre bantları (adet)</t>
  </si>
  <si>
    <t>s:Lag bands (counts)</t>
  </si>
  <si>
    <t>s:Süre bantları (adet)
Lag bands (counts)</t>
  </si>
  <si>
    <t>s:AN_SEG_Life</t>
  </si>
  <si>
    <t>s:AN_SEG_Pension</t>
  </si>
  <si>
    <t>s:AN_SEG_Non-life</t>
  </si>
  <si>
    <t>s:AN_SEG_Unassigned</t>
  </si>
  <si>
    <t>s:Atanmamış segment
Unassigned segment</t>
  </si>
  <si>
    <t>s:AN_TAG_UNASSIGNED</t>
  </si>
  <si>
    <t>s:Atanmamış: {0} satır (Dizin)</t>
  </si>
  <si>
    <t>s:Unassigned: {0} lines (Index)</t>
  </si>
  <si>
    <t>s:Atanmamış: {0} satır (Dizin)
Unassigned: {0} lines (Index)</t>
  </si>
  <si>
    <t>s:AN_LAG_CENSOR</t>
  </si>
  <si>
    <t>s:Dosya başına: veri başlangıcından sonraki ilk {0} ay ({1} dahil) PARTIAL - ilk ödeme gözlenmemiş olabilir, istatistiklere girmez</t>
  </si>
  <si>
    <t>s:Per case: the first {0} months after the data start (to {1}) are PARTIAL - the first payment may be unobserved; excluded from the statistics</t>
  </si>
  <si>
    <t>s:Dosya başına: veri başlangıcından sonraki ilk {0} ay ({1} dahil) PARTIAL - ilk ödeme gözlenmemiş olabilir, istatistiklere girmez
Per case: the first {0} months after the data start (to {1}) are PARTIAL - the first payment may be unobserved; excluded from the statistics</t>
  </si>
  <si>
    <t>s:AN_TRI_HEADRANGE</t>
  </si>
  <si>
    <t>s:Başlıktaki aralık yalnızca kararlı yöntemlerden: hacim ağırlıklı son 6 ve son 12</t>
  </si>
  <si>
    <t>s:The headline range uses the stable methods only: volume-weighted latest 6 and 12</t>
  </si>
  <si>
    <t>s:Başlıktaki aralık yalnızca kararlı yöntemlerden: hacim ağırlıklı son 6 ve son 12
The headline range uses the stable methods only: volume-weighted latest 6 and 12</t>
  </si>
  <si>
    <t>s:AN_EMPTY</t>
  </si>
  <si>
    <t>s:VERİ YETERSİZ: {0} ay veri var, grafikler için en az {1} ay gerekir</t>
  </si>
  <si>
    <t>s:INSUFFICIENT DATA: {0} months of data, the charts need at least {1}</t>
  </si>
  <si>
    <t>s:VERİ YETERSİZ: {0} ay veri var, grafikler için en az {1} ay gerekir
INSUFFICIENT DATA: {0} months of data, the charts need at least {1}</t>
  </si>
  <si>
    <t>s:AN_W_DRAFT</t>
  </si>
  <si>
    <t>s:taslak</t>
  </si>
  <si>
    <t>s:draft</t>
  </si>
  <si>
    <t>s:taslak
draft</t>
  </si>
  <si>
    <t>s:AN_T_PAID_NOTE</t>
  </si>
  <si>
    <t>s:TH12 log-z + TH01 aylık kural</t>
  </si>
  <si>
    <t>s:TH12 log-z + TH01 MoM rule</t>
  </si>
  <si>
    <t>s:TH12 log-z + TH01 aylık kural
TH12 log-z + TH01 MoM rule</t>
  </si>
  <si>
    <t>s:AN_TR_R12CHART</t>
  </si>
  <si>
    <t>s:Son 12 ay toplamı (mn TL)</t>
  </si>
  <si>
    <t>s:Rolling 12-month total (TRY m)</t>
  </si>
  <si>
    <t>s:Son 12 ay toplamı (mn TL)
Rolling 12-month total (TRY m)</t>
  </si>
  <si>
    <t>s:AN_TR_LOWCONF</t>
  </si>
  <si>
    <t>s:düşük güven ({0} nokta)</t>
  </si>
  <si>
    <t>s:low confidence ({0} points)</t>
  </si>
  <si>
    <t>s:düşük güven ({0} nokta)
low confidence ({0} points)</t>
  </si>
  <si>
    <t>s:AN_TRI_FURTHER</t>
  </si>
  <si>
    <t>s:Gösterge ek ödemeler = projeksiyon - son kümülatif (rezerv değildir)</t>
  </si>
  <si>
    <t>s:Indicative further payments = projection - latest cumulative (not a reserve)</t>
  </si>
  <si>
    <t>s:Gösterge ek ödemeler = projeksiyon - son kümülatif (rezerv değildir)
Indicative further payments = projection - latest cumulative (not a reserve)</t>
  </si>
  <si>
    <t>s:AN_TRI_SENS</t>
  </si>
  <si>
    <t>s:Duyarlılık aralığı (hacim ağırlıklı son 6, basit ortalama son 6, hacim ağırlıklı son 12)</t>
  </si>
  <si>
    <t>s:Sensitivity range (volume-weighted latest 6, simple average latest 6, volume-weighted latest 12)</t>
  </si>
  <si>
    <t>s:Duyarlılık aralığı (hacim ağırlıklı son 6, basit ortalama son 6, hacim ağırlıklı son 12)
Sensitivity range (volume-weighted latest 6, simple average latest 6, volume-weighted latest 12)</t>
  </si>
  <si>
    <t>s:AN_TRI_SHARE</t>
  </si>
  <si>
    <t>s:Gelişim payı</t>
  </si>
  <si>
    <t>s:Development share</t>
  </si>
  <si>
    <t>s:Gelişim payı
Development share</t>
  </si>
  <si>
    <t>s:AN_TRI_STABFLAG</t>
  </si>
  <si>
    <t>s:Kararlılık</t>
  </si>
  <si>
    <t>s:Stability</t>
  </si>
  <si>
    <t>s:Kararlılık
Stability</t>
  </si>
  <si>
    <t>s:AN_TRI_FURTHER_S</t>
  </si>
  <si>
    <t>s:Gösterge ek ödemeler (rezerv değil)</t>
  </si>
  <si>
    <t>s:Indicative further payments (not a reserve)</t>
  </si>
  <si>
    <t>s:Gösterge ek ödemeler (rezerv değil)
Indicative further payments (not a reserve)</t>
  </si>
  <si>
    <t>s:AN_TRI_FLAG_CV</t>
  </si>
  <si>
    <t>s:kararsız</t>
  </si>
  <si>
    <t>s:unstable</t>
  </si>
  <si>
    <t>s:kararsız
unstable</t>
  </si>
  <si>
    <t>s:AN_TRI_FLAG_SMALL</t>
  </si>
  <si>
    <t>s:önemsiz</t>
  </si>
  <si>
    <t>s:immaterial</t>
  </si>
  <si>
    <t>s:önemsiz
immaterial</t>
  </si>
  <si>
    <t>s:AN_LAG_UNIT</t>
  </si>
  <si>
    <t>s:Birim</t>
  </si>
  <si>
    <t>s:Unit</t>
  </si>
  <si>
    <t>s:Birim
Unit</t>
  </si>
  <si>
    <t>s:AN_LAG_UNIT_LINE</t>
  </si>
  <si>
    <t>s:satır</t>
  </si>
  <si>
    <t>s:line</t>
  </si>
  <si>
    <t>s:satır
line</t>
  </si>
  <si>
    <t>s:AN_LAG_UNIT_CASE</t>
  </si>
  <si>
    <t>s:dosya</t>
  </si>
  <si>
    <t>s:case</t>
  </si>
  <si>
    <t>s:dosya
case</t>
  </si>
  <si>
    <t>s:AN_LAG_UNIT_PERSTAGE</t>
  </si>
  <si>
    <t>s:aşamaya göre (Birim sütunu)</t>
  </si>
  <si>
    <t>s:per stage (Unit column)</t>
  </si>
  <si>
    <t>s:aşamaya göre (Birim sütunu)
per stage (Unit column)</t>
  </si>
  <si>
    <t>s:AN_LAG_UNIT_DEFAULT</t>
  </si>
  <si>
    <t>s:Varsayılan: dosya aşamaları dosya başına, ödeme aşamaları satır başına</t>
  </si>
  <si>
    <t>s:Default: case stages per case, payment stages per line</t>
  </si>
  <si>
    <t>s:Varsayılan: dosya aşamaları dosya başına, ödeme aşamaları satır başına
Default: case stages per case, payment stages per line</t>
  </si>
  <si>
    <t>s:AN_LAG_UNIT_ALL_LINE</t>
  </si>
  <si>
    <t>s:Tümü satır başına</t>
  </si>
  <si>
    <t>s:All per payment line</t>
  </si>
  <si>
    <t>s:Tümü satır başına
All per payment line</t>
  </si>
  <si>
    <t>s:AN_LAG_UNIT_ALL_CASE</t>
  </si>
  <si>
    <t>s:Tümü dosya başına (ilk ödeme)</t>
  </si>
  <si>
    <t>s:All per case (first payment)</t>
  </si>
  <si>
    <t>s:Tümü dosya başına (ilk ödeme)
All per case (first payment)</t>
  </si>
  <si>
    <t>s:AN_LAG_DENSITY</t>
  </si>
  <si>
    <t>s:Seçilen aşamanın dağılımı: gün başına pay (bant payı / bant genişliği)</t>
  </si>
  <si>
    <t>s:Distribution of the selected stage: share per day (band share / band width)</t>
  </si>
  <si>
    <t>s:Seçilen aşamanın dağılımı: gün başına pay (bant payı / bant genişliği)
Distribution of the selected stage: share per day (band share / band width)</t>
  </si>
  <si>
    <t>s:AN_HOWTO_INDEX</t>
  </si>
  <si>
    <t>s:Nasıl okunur: her satır bir sayfa; veri durumu yeşilse sayfa güvenilir veriyle çalışıyor, INSUFFICIENT DATA ise neden yazılı.</t>
  </si>
  <si>
    <t>s:How to read: one row per page; green readiness means enough data, otherwise the reason is given.</t>
  </si>
  <si>
    <t>s:Nasıl okunur: her satır bir sayfa; veri durumu yeşilse sayfa güvenilir veriyle çalışıyor, INSUFFICIENT DATA ise neden yazılı.
How to read: one row per page; green readiness means enough data, otherwise the reason is given.</t>
  </si>
  <si>
    <t>s:AN_HOWTO_EXEC</t>
  </si>
  <si>
    <t>s:Nasıl okunur: altı kutucuk seçilen ayın değeri, önceki aya değişim, 12 aylık seyir ve durumdur; durum taslak eşiklere göre hesaplanır. Grafik bandı log ölçekte olağan aralığı gösterir.</t>
  </si>
  <si>
    <t>s:How to read: six tiles give the selected month's value, change vs the previous month, a 12-month sparkline and a status against draft levels; the chart band shows the usual range on a log scale.</t>
  </si>
  <si>
    <t>s:Nasıl okunur: altı kutucuk seçilen ayın değeri, önceki aya değişim, 12 aylık seyir ve durumdur; durum taslak eşiklere göre hesaplanır. Grafik bandı log ölçekte olağan aralığı gösterir.
How to read: six tiles give the selected month's value, change vs the previous month, a 12-month sparkline and a status against draft levels; the chart band shows the usual range on a log scale.</t>
  </si>
  <si>
    <t>s:AN_HOWTO_TREND</t>
  </si>
  <si>
    <t>s:Nasıl okunur: üst sol grafik aylık ödenen, geçen yıl, 12 aylık ortalama ve tahmin; köprüler değişimi ödeme türlerine ayırır; tablo seçilen aya kadar 12 ay.</t>
  </si>
  <si>
    <t>s:How to read: top left shows monthly paid, last year, the 12-month average and the forecast; the bridges split the change by payment nature; the table gives the 12 months up to the selected month.</t>
  </si>
  <si>
    <t>s:Nasıl okunur: üst sol grafik aylık ödenen, geçen yıl, 12 aylık ortalama ve tahmin; köprüler değişimi ödeme türlerine ayırır; tablo seçilen aya kadar 12 ay.
How to read: top left shows monthly paid, last year, the 12-month average and the forecast; the bridges split the change by payment nature; the table gives the 12 months up to the selected month.</t>
  </si>
  <si>
    <t>s:AN_HOWTO_TRIANGLE</t>
  </si>
  <si>
    <t>s:Nasıl okunur: satırlar hasar ayı, sütunlar gelişim ayı; faktörler son hasar aylarından; projeksiyon yalnızca ödenen verinin uzantısıdır, rezerv değildir.</t>
  </si>
  <si>
    <t>s:How to read: rows are loss months, columns development months; factors come from the latest loss months; the projection only extends paid data and is not a reserve.</t>
  </si>
  <si>
    <t>s:Nasıl okunur: satırlar hasar ayı, sütunlar gelişim ayı; faktörler son hasar aylarından; projeksiyon yalnızca ödenen verinin uzantısıdır, rezerv değildir.
How to read: rows are loss months, columns development months; factors come from the latest loss months; the projection only extends paid data and is not a reserve.</t>
  </si>
  <si>
    <t>s:AN_HOWTO_LAGS</t>
  </si>
  <si>
    <t>s:Nasıl okunur: her aşama için gün cinsinden süreler; birim satır ya da dosya (ilk ödeme); SLA değerleri geçicidir.</t>
  </si>
  <si>
    <t>s:How to read: days per stage; the unit is the payment line or the case (first payment); SLA values are placeholders.</t>
  </si>
  <si>
    <t>s:Nasıl okunur: her aşama için gün cinsinden süreler; birim satır ya da dosya (ilk ödeme); SLA değerleri geçicidir.
How to read: days per stage; the unit is the payment line or the case (first payment); SLA values are placeholders.</t>
  </si>
  <si>
    <t>s:Width of the normal band on the executive trend charts: exp(median of ln paid plus or minus this many robust standard deviations, 1.4826 x MAD of ln paid)</t>
  </si>
  <si>
    <t>s:MomDropLimit</t>
  </si>
  <si>
    <t>n:-.5</t>
  </si>
  <si>
    <t>s:Month-on-month rule (DRAFT): a fall of 50% or more against the previous month is WATCH</t>
  </si>
  <si>
    <t>s:MomRiseLimit</t>
  </si>
  <si>
    <t>s:Month-on-month rule (DRAFT): a rise of 100% or more against the previous month is WATCH</t>
  </si>
  <si>
    <t>s:MomMaterialityShare</t>
  </si>
  <si>
    <t>n:.01</t>
  </si>
  <si>
    <t>s:Month-on-month rule and top movers: applied only when the previous month exceeds this share of the trailing-12-month mean (rule) or of the previous month's segment total (movers)</t>
  </si>
  <si>
    <t>s:MinMonthsForCharts</t>
  </si>
  <si>
    <t>s:Below this many months of data the chart area of a page shows one INSUFFICIENT DATA panel instead of empty charts</t>
  </si>
  <si>
    <t>s:ForecastConfidentMonths</t>
  </si>
  <si>
    <t>s:Below this many monthly points the forecast is labelled low confidence</t>
  </si>
  <si>
    <t>s:TriStabilityCV</t>
  </si>
  <si>
    <t>n:.5</t>
  </si>
  <si>
    <t>s:Triangle: a development age whose link ratios have a coefficient of variation above this value is flagged unstable</t>
  </si>
  <si>
    <t>s:TriMinDevShare</t>
  </si>
  <si>
    <t>n:.05</t>
  </si>
  <si>
    <t>s:Triangle: a development age that adds less than this share of the projected paid is flagged immaterial</t>
  </si>
  <si>
    <t>s:TriAEMinShare</t>
  </si>
  <si>
    <t>s:Triangle: a calendar month enters the A/E chart only if its expected development is at least this share of the median monthly expected development</t>
  </si>
  <si>
    <t>s:MOM_RULE</t>
  </si>
  <si>
    <t>s:WATCH when MoM &lt;= AnParam MomDropLimit (-50%) or &gt;= MomRiseLimit (+100%); applied only when the previous month &gt; MomMaterialityShare (1%) x trailing-12-month mean</t>
  </si>
  <si>
    <t>s:Large one-month swings are reviewed even when the long-run level looks normal; draft levels, tuned in WP-7</t>
  </si>
  <si>
    <t>s:STAT_LOGZ</t>
  </si>
  <si>
    <t>s:z = (ln x - median(ln window)) / (1.4826 x MAD(ln window)); trailing window up to 24 months excluding the current; two-sided</t>
  </si>
  <si>
    <t>s:Amounts are right-skewed; the log scale makes the robust z symmetric</t>
  </si>
  <si>
    <t>s:Heavy-tailed percentile of case amounts: log-scale robust z</t>
  </si>
  <si>
    <t>s:TH12</t>
  </si>
  <si>
    <t>s:Level of monthly paid on the log scale; complements the month-on-month rule (TH01)</t>
  </si>
  <si>
    <t>chart month</t>
  </si>
  <si>
    <t>paid m</t>
  </si>
  <si>
    <t>PY m</t>
  </si>
  <si>
    <t>avg12 m</t>
  </si>
  <si>
    <t>fc m</t>
  </si>
  <si>
    <t>lo m</t>
  </si>
  <si>
    <t>hi m</t>
  </si>
  <si>
    <t>R12 m</t>
  </si>
  <si>
    <t>R12 YoY</t>
  </si>
  <si>
    <t>Per-case lag view (AN_Lags): cases whose first loaded payment falls in the first N months of the loaded data are PARTIAL (left-censored) and excluded from the per-case statistics. DRAFT.</t>
  </si>
  <si>
    <t>A case paid before the data start shows a later payment as its first one; about three months covers the usual decision-to-payment lag (P3, polish 2).</t>
  </si>
  <si>
    <t>Integer (months)</t>
  </si>
  <si>
    <t>LagCensorMonths</t>
  </si>
  <si>
    <t>IsFirstPaymentObs</t>
  </si>
  <si>
    <t>1</t>
  </si>
  <si>
    <t>further</t>
  </si>
  <si>
    <t>sensitivity</t>
  </si>
  <si>
    <t>sel n=6 m=1</t>
  </si>
  <si>
    <t>cdf</t>
  </si>
  <si>
    <t>sel n=6 m=2</t>
  </si>
  <si>
    <t>sel n=12 m=1</t>
  </si>
  <si>
    <t>per case</t>
  </si>
  <si>
    <t>Varsayılan: dosya aşamaları dosya başına, ödeme aşamaları satır başına / Default: case stages per case, payment stages per line</t>
  </si>
  <si>
    <t>density</t>
  </si>
  <si>
    <t>band (width)</t>
  </si>
  <si>
    <t>s:LagCensorMonths</t>
  </si>
  <si>
    <t>s:Integer (months)</t>
  </si>
  <si>
    <t>s:Per-case lag view (AN_Lags): cases whose first loaded payment falls in the first N months of the loaded data are PARTIAL (left-censored) and excluded from the per-case statistics. DRAFT.</t>
  </si>
  <si>
    <t>s:A case paid before the data start shows a later payment as its first one; about three months covers the usual decision-to-payment lag (P3, polish 2).</t>
  </si>
  <si>
    <t>IsFirstPayment</t>
  </si>
  <si>
    <t>AN_NAV_SEVERITY</t>
  </si>
  <si>
    <t>Şiddet</t>
  </si>
  <si>
    <t>AN_NAV_LIMITS</t>
  </si>
  <si>
    <t>Limitler</t>
  </si>
  <si>
    <t>AN_Q_SEVERITY</t>
  </si>
  <si>
    <t>How large are the payments and how heavy is the tail?</t>
  </si>
  <si>
    <t>Ödemeler ne kadar büyük ve kuyruk ne kadar ağır?</t>
  </si>
  <si>
    <t>AN_Q_LIMITS</t>
  </si>
  <si>
    <t>How do payments compare with limits and initial reserves?</t>
  </si>
  <si>
    <t>Ödemeler teminat limitleri ve ilk muallaklarla nasıl karşılaştırılır?</t>
  </si>
  <si>
    <t>AN_SEV_PURPOSE</t>
  </si>
  <si>
    <t>How large are the amounts paid per case, how concentrated, and how heavy is the tail?</t>
  </si>
  <si>
    <t>Dosya başına ödenen tutarlar ne kadar büyük, ne kadar yoğunlaşmış ve kuyruk ne kadar ağır?</t>
  </si>
  <si>
    <t>AN_HOWTO_SEVERITY</t>
  </si>
  <si>
    <t>How to read: total paid per case (36-month window); quantile bands, the Lorenz curve and Gini show concentration, mean excess and the tail index show the weight of the tail (indicative).</t>
  </si>
  <si>
    <t>Nasıl okunur: dosya başına toplam ödenen (son 36 ay penceresi); dağılım dilimleri, Lorenz eğrisi ve Gini yoğunlaşmayı, ortalama aşım ve kuyruk endeksi kuyruğun ağırlığını gösterir (gösterge niteliğinde).</t>
  </si>
  <si>
    <t>AN_LIM_PURPOSE</t>
  </si>
  <si>
    <t>Where do the amounts paid stand against the cover amount, the total sum insured and the initial reserve?</t>
  </si>
  <si>
    <t>Ödenen tutarlar teminat tutarına, toplam teminata ve ilk muallaka göre nerede duruyor?</t>
  </si>
  <si>
    <t>AN_HOWTO_LIMITS</t>
  </si>
  <si>
    <t>How to read: paid / limit ratios per case in the original currency; initial-reserve accuracy covers only cases with payments (survivor bias).</t>
  </si>
  <si>
    <t>Nasıl okunur: dosya başına ödenen / teminat oranları orijinal para biriminde; ilk muallak doğruluğu yalnızca ödemesi olan dosyalar içindir (hayatta kalan yanlılığı).</t>
  </si>
  <si>
    <t>AN_SEV_BANDS</t>
  </si>
  <si>
    <t>Paid per case: quantile bands (TRY k)</t>
  </si>
  <si>
    <t>Dosya başına ödenen: dağılım dilimleri (bin TL)</t>
  </si>
  <si>
    <t>AN_SEV_CONC</t>
  </si>
  <si>
    <t>Yoğunlaşma</t>
  </si>
  <si>
    <t>AN_SEV_TAIL</t>
  </si>
  <si>
    <t>Tail (indicative)</t>
  </si>
  <si>
    <t>Kuyruk (gösterge)</t>
  </si>
  <si>
    <t>AN_SEV_N</t>
  </si>
  <si>
    <t>Dosya</t>
  </si>
  <si>
    <t>AN_SEV_MEAN</t>
  </si>
  <si>
    <t>AN_SEV_MAX</t>
  </si>
  <si>
    <t>Largest</t>
  </si>
  <si>
    <t>En büyük</t>
  </si>
  <si>
    <t>AN_SEV_GINI</t>
  </si>
  <si>
    <t>Gini</t>
  </si>
  <si>
    <t>AN_SEV_TOP1</t>
  </si>
  <si>
    <t>Share of the largest 1% of cases</t>
  </si>
  <si>
    <t>En büyük %1 dosyanın payı</t>
  </si>
  <si>
    <t>AN_SEV_TOP10</t>
  </si>
  <si>
    <t>Share of the 10 largest cases</t>
  </si>
  <si>
    <t>En büyük 10 dosyanın payı</t>
  </si>
  <si>
    <t>AN_SEV_HILL</t>
  </si>
  <si>
    <t>Pareto tail index (Hill, largest {0} cases)</t>
  </si>
  <si>
    <t>Pareto kuyruk endeksi (Hill, en büyük {0} dosya)</t>
  </si>
  <si>
    <t>AN_SEV_HILL_NOTE</t>
  </si>
  <si>
    <t>alpha &lt; 2: tail so heavy that the variance is undefined; indicative</t>
  </si>
  <si>
    <t>alfa &lt; 2: varyans tanımsız kadar ağır kuyruk; gösterge niteliğinde</t>
  </si>
  <si>
    <t>AN_SEV_LORENZ</t>
  </si>
  <si>
    <t>Lorenz curve: share of cases - share of paid</t>
  </si>
  <si>
    <t>Lorenz eğrisi: dosyaların payı - ödenenin payı</t>
  </si>
  <si>
    <t>AN_SEV_MEX</t>
  </si>
  <si>
    <t>Mean excess function e(u) (TRY k; a rising slope means a heavy tail)</t>
  </si>
  <si>
    <t>Ortalama aşım fonksiyonu e(u) (bin TL; artan eğim ağır kuyruk)</t>
  </si>
  <si>
    <t>AN_SEV_TREND</t>
  </si>
  <si>
    <t>Paid per case by loss month: median, mean, P90 (TRY k; recent months undeveloped)</t>
  </si>
  <si>
    <t>Hasar ayına göre dosya başına ödenen: medyan, ortalama, P90 (bin TL; son aylar gelişmemiş)</t>
  </si>
  <si>
    <t>AN_SEV_LARGE</t>
  </si>
  <si>
    <t>Large losses (largest cases in the window)</t>
  </si>
  <si>
    <t>Büyük hasarlar (penceredeki en büyük dosyalar)</t>
  </si>
  <si>
    <t>AN_SEV_CASE</t>
  </si>
  <si>
    <t>Case</t>
  </si>
  <si>
    <t>AN_SEV_PAIDK</t>
  </si>
  <si>
    <t>Paid (TRY k)</t>
  </si>
  <si>
    <t>Ödenen (bin TL)</t>
  </si>
  <si>
    <t>AN_SEV_SHARE</t>
  </si>
  <si>
    <t>Share</t>
  </si>
  <si>
    <t>Pay</t>
  </si>
  <si>
    <t>AN_SEV_COVERR</t>
  </si>
  <si>
    <t>Paid / cover</t>
  </si>
  <si>
    <t>Ödenen / teminat</t>
  </si>
  <si>
    <t>AN_LIM_COVER</t>
  </si>
  <si>
    <t>Ödenen / teminat tutarı</t>
  </si>
  <si>
    <t>AN_LIM_SI</t>
  </si>
  <si>
    <t>Ödenen / toplam teminat</t>
  </si>
  <si>
    <t>AN_LIM_IR</t>
  </si>
  <si>
    <t>Paid / initial reserve</t>
  </si>
  <si>
    <t>Ödenen / ilk muallak</t>
  </si>
  <si>
    <t>AN_LIM_N</t>
  </si>
  <si>
    <t>Cases (with a ratio)</t>
  </si>
  <si>
    <t>Dosya (oranlı)</t>
  </si>
  <si>
    <t>AN_LIM_MED</t>
  </si>
  <si>
    <t>Median ratio</t>
  </si>
  <si>
    <t>Medyan oran</t>
  </si>
  <si>
    <t>AN_LIM_FULL</t>
  </si>
  <si>
    <t>Share of cases paid at the full limit (&gt;= {0})</t>
  </si>
  <si>
    <t>Tam limitte ödenen dosya payı (&gt;= {0})</t>
  </si>
  <si>
    <t>AN_LIM_OVER</t>
  </si>
  <si>
    <t>Share of cases paid above the limit (&gt; 1)</t>
  </si>
  <si>
    <t>Limiti aşan dosya payı (&gt; 1)</t>
  </si>
  <si>
    <t>AN_LIM_BIAS</t>
  </si>
  <si>
    <t>Bias: geometric mean ratio - 1</t>
  </si>
  <si>
    <t>Sapma: geometrik ortalama oran - 1</t>
  </si>
  <si>
    <t>AN_LIM_ABOVE</t>
  </si>
  <si>
    <t>Share with paid &gt; initial reserve</t>
  </si>
  <si>
    <t>Ödenen &gt; ilk muallak payı</t>
  </si>
  <si>
    <t>AN_LIM_DED</t>
  </si>
  <si>
    <t>Muafiyetin brüte payı</t>
  </si>
  <si>
    <t>AN_LIM_NG</t>
  </si>
  <si>
    <t>Net / gross</t>
  </si>
  <si>
    <t>Net / brüt</t>
  </si>
  <si>
    <t>AN_LIM_DIST_COVER</t>
  </si>
  <si>
    <t>Distribution of paid / cover amount (share of cases)</t>
  </si>
  <si>
    <t>Ödenen / teminat tutarı dağılımı (dosya payı)</t>
  </si>
  <si>
    <t>AN_LIM_DIST_IR</t>
  </si>
  <si>
    <t>Distribution of paid / initial reserve (share of cases)</t>
  </si>
  <si>
    <t>Ödenen / ilk muallak dağılımı (dosya payı)</t>
  </si>
  <si>
    <t>AN_LIM_SURVIVOR</t>
  </si>
  <si>
    <t>Initial-reserve accuracy covers only cases with payments in the window: cases closed without payment and cases not yet paid are missing, and partially paid cases understate the ratio (survivor bias).</t>
  </si>
  <si>
    <t>İlk muallak doğruluğu yalnızca pencerede ödemesi olan dosyaları kapsar: ödemesiz kapanan ve henüz ödenmemiş dosyalar yoktur, kısmi ödenen dosyalarda oran düşük kalır (hayatta kalan yanlılığı).</t>
  </si>
  <si>
    <t>AN_LIM_CCY</t>
  </si>
  <si>
    <t>Ratios use each case's own currency (paid original / limit original); currencies are never added.</t>
  </si>
  <si>
    <t>Oranlar dosyanın kendi para biriminde hesaplanır (ödenen orijinal / teminat orijinal); farklı para birimleri toplanmaz.</t>
  </si>
  <si>
    <t>AN_W_NA_GATE</t>
  </si>
  <si>
    <t>INSUFFICIENT DATA (at least {0})</t>
  </si>
  <si>
    <t>INSUFFICIENT DATA (en az {0})</t>
  </si>
  <si>
    <t>cases</t>
  </si>
  <si>
    <t>AN_Severity: minimum cases in the window for the Gini, top-N shares, mean excess and the tail index (DRAFT)</t>
  </si>
  <si>
    <t>MinCasesForTail</t>
  </si>
  <si>
    <t>AN_Severity: share of the largest cases used by the Hill tail-index estimate (at least 20 cases) (DRAFT)</t>
  </si>
  <si>
    <t>TailShare</t>
  </si>
  <si>
    <t>AN_Severity: number of cases in the large-loss list</t>
  </si>
  <si>
    <t>LargeLossListN</t>
  </si>
  <si>
    <t>AN_Limits: minimum cases with a cover amount, sum insured or initial reserve for the ratios (DRAFT)</t>
  </si>
  <si>
    <t>MinCasesForLimits</t>
  </si>
  <si>
    <t>AN_Limits: a case counts as paid at the full limit when paid / cover amount is at least this ratio (DRAFT)</t>
  </si>
  <si>
    <t>FullLimitShare</t>
  </si>
  <si>
    <t>per-case filter (linked to the model, MANUAL)</t>
  </si>
  <si>
    <t>not an observed first payment</t>
  </si>
  <si>
    <t>observed first payment (after the left-censored months)</t>
  </si>
  <si>
    <t>WorksheetConnection_AN_Calc!tblObsFlag</t>
  </si>
  <si>
    <t>P3 polish 2: constant per-case filter table (0/1); refreshed only by Cmd_RefreshReference</t>
  </si>
  <si>
    <t>s:WorksheetConnection_AN_Calc!tblObsFlag</t>
  </si>
  <si>
    <t>s:P3 polish 2: constant per-case filter table (0/1); refreshed only by Cmd_RefreshReference</t>
  </si>
  <si>
    <t>s:AN_NAV_SEVERITY</t>
  </si>
  <si>
    <t>s:Şiddet</t>
  </si>
  <si>
    <t>s:Şiddet
Severity</t>
  </si>
  <si>
    <t>s:AN_NAV_LIMITS</t>
  </si>
  <si>
    <t>s:Limitler</t>
  </si>
  <si>
    <t>s:Limitler
Limits</t>
  </si>
  <si>
    <t>s:AN_Q_SEVERITY</t>
  </si>
  <si>
    <t>s:Ödemeler ne kadar büyük ve kuyruk ne kadar ağır?</t>
  </si>
  <si>
    <t>s:How large are the payments and how heavy is the tail?</t>
  </si>
  <si>
    <t>s:Ödemeler ne kadar büyük ve kuyruk ne kadar ağır?
How large are the payments and how heavy is the tail?</t>
  </si>
  <si>
    <t>s:AN_Q_LIMITS</t>
  </si>
  <si>
    <t>s:Ödemeler teminat limitleri ve ilk muallaklarla nasıl karşılaştırılır?</t>
  </si>
  <si>
    <t>s:How do payments compare with limits and initial reserves?</t>
  </si>
  <si>
    <t>s:Ödemeler teminat limitleri ve ilk muallaklarla nasıl karşılaştırılır?
How do payments compare with limits and initial reserves?</t>
  </si>
  <si>
    <t>s:AN_SEV_PURPOSE</t>
  </si>
  <si>
    <t>s:Dosya başına ödenen tutarlar ne kadar büyük, ne kadar yoğunlaşmış ve kuyruk ne kadar ağır?</t>
  </si>
  <si>
    <t>s:How large are the amounts paid per case, how concentrated, and how heavy is the tail?</t>
  </si>
  <si>
    <t>s:Dosya başına ödenen tutarlar ne kadar büyük, ne kadar yoğunlaşmış ve kuyruk ne kadar ağır?
How large are the amounts paid per case, how concentrated, and how heavy is the tail?</t>
  </si>
  <si>
    <t>s:AN_HOWTO_SEVERITY</t>
  </si>
  <si>
    <t>s:Nasıl okunur: dosya başına toplam ödenen (son 36 ay penceresi); dağılım dilimleri, Lorenz eğrisi ve Gini yoğunlaşmayı, ortalama aşım ve kuyruk endeksi kuyruğun ağırlığını gösterir (gösterge niteliğinde).</t>
  </si>
  <si>
    <t>s:How to read: total paid per case (36-month window); quantile bands, the Lorenz curve and Gini show concentration, mean excess and the tail index show the weight of the tail (indicative).</t>
  </si>
  <si>
    <t>s:Nasıl okunur: dosya başına toplam ödenen (son 36 ay penceresi); dağılım dilimleri, Lorenz eğrisi ve Gini yoğunlaşmayı, ortalama aşım ve kuyruk endeksi kuyruğun ağırlığını gösterir (gösterge niteliğinde).
How to read: total paid per case (36-month window); quantile bands, the Lorenz curve and Gini show concentration, mean excess and the tail index show the weight of the tail (indicative).</t>
  </si>
  <si>
    <t>s:AN_LIM_PURPOSE</t>
  </si>
  <si>
    <t>s:Ödenen tutarlar teminat tutarına, toplam teminata ve ilk muallaka göre nerede duruyor?</t>
  </si>
  <si>
    <t>s:Where do the amounts paid stand against the cover amount, the total sum insured and the initial reserve?</t>
  </si>
  <si>
    <t>s:Ödenen tutarlar teminat tutarına, toplam teminata ve ilk muallaka göre nerede duruyor?
Where do the amounts paid stand against the cover amount, the total sum insured and the initial reserve?</t>
  </si>
  <si>
    <t>s:AN_HOWTO_LIMITS</t>
  </si>
  <si>
    <t>s:Nasıl okunur: dosya başına ödenen / teminat oranları orijinal para biriminde; ilk muallak doğruluğu yalnızca ödemesi olan dosyalar içindir (hayatta kalan yanlılığı).</t>
  </si>
  <si>
    <t>s:How to read: paid / limit ratios per case in the original currency; initial-reserve accuracy covers only cases with payments (survivor bias).</t>
  </si>
  <si>
    <t>s:Nasıl okunur: dosya başına ödenen / teminat oranları orijinal para biriminde; ilk muallak doğruluğu yalnızca ödemesi olan dosyalar içindir (hayatta kalan yanlılığı).
How to read: paid / limit ratios per case in the original currency; initial-reserve accuracy covers only cases with payments (survivor bias).</t>
  </si>
  <si>
    <t>s:AN_SEV_BANDS</t>
  </si>
  <si>
    <t>s:Dosya başına ödenen: dağılım dilimleri (bin TL)</t>
  </si>
  <si>
    <t>s:Paid per case: quantile bands (TRY k)</t>
  </si>
  <si>
    <t>s:Dosya başına ödenen: dağılım dilimleri (bin TL)
Paid per case: quantile bands (TRY k)</t>
  </si>
  <si>
    <t>s:AN_SEV_CONC</t>
  </si>
  <si>
    <t>s:Yoğunlaşma</t>
  </si>
  <si>
    <t>s:Yoğunlaşma
Concentration</t>
  </si>
  <si>
    <t>s:AN_SEV_TAIL</t>
  </si>
  <si>
    <t>s:Kuyruk (gösterge)</t>
  </si>
  <si>
    <t>s:Tail (indicative)</t>
  </si>
  <si>
    <t>s:Kuyruk (gösterge)
Tail (indicative)</t>
  </si>
  <si>
    <t>s:AN_SEV_N</t>
  </si>
  <si>
    <t>s:Dosya</t>
  </si>
  <si>
    <t>s:Dosya
Cases</t>
  </si>
  <si>
    <t>s:AN_SEV_MEAN</t>
  </si>
  <si>
    <t>s:AN_SEV_MAX</t>
  </si>
  <si>
    <t>s:En büyük</t>
  </si>
  <si>
    <t>s:Largest</t>
  </si>
  <si>
    <t>s:En büyük
Largest</t>
  </si>
  <si>
    <t>s:AN_SEV_GINI</t>
  </si>
  <si>
    <t>s:Gini</t>
  </si>
  <si>
    <t>s:Gini
Gini</t>
  </si>
  <si>
    <t>s:AN_SEV_TOP1</t>
  </si>
  <si>
    <t>s:En büyük %1 dosyanın payı</t>
  </si>
  <si>
    <t>s:Share of the largest 1% of cases</t>
  </si>
  <si>
    <t>s:En büyük %1 dosyanın payı
Share of the largest 1% of cases</t>
  </si>
  <si>
    <t>s:AN_SEV_TOP10</t>
  </si>
  <si>
    <t>s:En büyük 10 dosyanın payı</t>
  </si>
  <si>
    <t>s:Share of the 10 largest cases</t>
  </si>
  <si>
    <t>s:En büyük 10 dosyanın payı
Share of the 10 largest cases</t>
  </si>
  <si>
    <t>s:AN_SEV_HILL</t>
  </si>
  <si>
    <t>s:Pareto kuyruk endeksi (Hill, en büyük {0} dosya)</t>
  </si>
  <si>
    <t>s:Pareto tail index (Hill, largest {0} cases)</t>
  </si>
  <si>
    <t>s:Pareto kuyruk endeksi (Hill, en büyük {0} dosya)
Pareto tail index (Hill, largest {0} cases)</t>
  </si>
  <si>
    <t>s:AN_SEV_HILL_NOTE</t>
  </si>
  <si>
    <t>s:alfa &lt; 2: varyans tanımsız kadar ağır kuyruk; gösterge niteliğinde</t>
  </si>
  <si>
    <t>s:alpha &lt; 2: tail so heavy that the variance is undefined; indicative</t>
  </si>
  <si>
    <t>s:alfa &lt; 2: varyans tanımsız kadar ağır kuyruk; gösterge niteliğinde
alpha &lt; 2: tail so heavy that the variance is undefined; indicative</t>
  </si>
  <si>
    <t>s:AN_SEV_LORENZ</t>
  </si>
  <si>
    <t>s:Lorenz eğrisi: dosyaların payı - ödenenin payı</t>
  </si>
  <si>
    <t>s:Lorenz curve: share of cases - share of paid</t>
  </si>
  <si>
    <t>s:Lorenz eğrisi: dosyaların payı - ödenenin payı
Lorenz curve: share of cases - share of paid</t>
  </si>
  <si>
    <t>s:AN_SEV_MEX</t>
  </si>
  <si>
    <t>s:Ortalama aşım fonksiyonu e(u) (bin TL; artan eğim ağır kuyruk)</t>
  </si>
  <si>
    <t>s:Mean excess function e(u) (TRY k; a rising slope means a heavy tail)</t>
  </si>
  <si>
    <t>s:Ortalama aşım fonksiyonu e(u) (bin TL; artan eğim ağır kuyruk)
Mean excess function e(u) (TRY k; a rising slope means a heavy tail)</t>
  </si>
  <si>
    <t>s:AN_SEV_TREND</t>
  </si>
  <si>
    <t>s:Hasar ayına göre dosya başına ödenen: medyan, ortalama, P90 (bin TL; son aylar gelişmemiş)</t>
  </si>
  <si>
    <t>s:Paid per case by loss month: median, mean, P90 (TRY k; recent months undeveloped)</t>
  </si>
  <si>
    <t>s:Hasar ayına göre dosya başına ödenen: medyan, ortalama, P90 (bin TL; son aylar gelişmemiş)
Paid per case by loss month: median, mean, P90 (TRY k; recent months undeveloped)</t>
  </si>
  <si>
    <t>s:AN_SEV_LARGE</t>
  </si>
  <si>
    <t>s:Büyük hasarlar (penceredeki en büyük dosyalar)</t>
  </si>
  <si>
    <t>s:Large losses (largest cases in the window)</t>
  </si>
  <si>
    <t>s:Büyük hasarlar (penceredeki en büyük dosyalar)
Large losses (largest cases in the window)</t>
  </si>
  <si>
    <t>s:AN_SEV_CASE</t>
  </si>
  <si>
    <t>s:Case</t>
  </si>
  <si>
    <t>s:Dosya
Case</t>
  </si>
  <si>
    <t>s:AN_SEV_PAIDK</t>
  </si>
  <si>
    <t>s:Ödenen (bin TL)</t>
  </si>
  <si>
    <t>s:Paid (TRY k)</t>
  </si>
  <si>
    <t>s:Ödenen (bin TL)
Paid (TRY k)</t>
  </si>
  <si>
    <t>s:AN_SEV_SHARE</t>
  </si>
  <si>
    <t>s:Pay</t>
  </si>
  <si>
    <t>s:Share</t>
  </si>
  <si>
    <t>s:Pay
Share</t>
  </si>
  <si>
    <t>s:AN_SEV_COVERR</t>
  </si>
  <si>
    <t>s:Ödenen / teminat</t>
  </si>
  <si>
    <t>s:Paid / cover</t>
  </si>
  <si>
    <t>s:Ödenen / teminat
Paid / cover</t>
  </si>
  <si>
    <t>s:AN_LIM_COVER</t>
  </si>
  <si>
    <t>s:Ödenen / teminat tutarı</t>
  </si>
  <si>
    <t>s:Ödenen / teminat tutarı
Paid / cover amount</t>
  </si>
  <si>
    <t>s:AN_LIM_SI</t>
  </si>
  <si>
    <t>s:Ödenen / toplam teminat</t>
  </si>
  <si>
    <t>s:Ödenen / toplam teminat
Paid / total sum insured</t>
  </si>
  <si>
    <t>s:AN_LIM_IR</t>
  </si>
  <si>
    <t>s:Ödenen / ilk muallak</t>
  </si>
  <si>
    <t>s:Paid / initial reserve</t>
  </si>
  <si>
    <t>s:Ödenen / ilk muallak
Paid / initial reserve</t>
  </si>
  <si>
    <t>s:AN_LIM_N</t>
  </si>
  <si>
    <t>s:Dosya (oranlı)</t>
  </si>
  <si>
    <t>s:Cases (with a ratio)</t>
  </si>
  <si>
    <t>s:Dosya (oranlı)
Cases (with a ratio)</t>
  </si>
  <si>
    <t>s:AN_LIM_MED</t>
  </si>
  <si>
    <t>s:Medyan oran</t>
  </si>
  <si>
    <t>s:Median ratio</t>
  </si>
  <si>
    <t>s:Medyan oran
Median ratio</t>
  </si>
  <si>
    <t>s:AN_LIM_FULL</t>
  </si>
  <si>
    <t>s:Tam limitte ödenen dosya payı (&gt;= {0})</t>
  </si>
  <si>
    <t>s:Share of cases paid at the full limit (&gt;= {0})</t>
  </si>
  <si>
    <t>s:Tam limitte ödenen dosya payı (&gt;= {0})
Share of cases paid at the full limit (&gt;= {0})</t>
  </si>
  <si>
    <t>s:AN_LIM_OVER</t>
  </si>
  <si>
    <t>s:Limiti aşan dosya payı (&gt; 1)</t>
  </si>
  <si>
    <t>s:Share of cases paid above the limit (&gt; 1)</t>
  </si>
  <si>
    <t>s:Limiti aşan dosya payı (&gt; 1)
Share of cases paid above the limit (&gt; 1)</t>
  </si>
  <si>
    <t>s:AN_LIM_BIAS</t>
  </si>
  <si>
    <t>s:Sapma: geometrik ortalama oran - 1</t>
  </si>
  <si>
    <t>s:Bias: geometric mean ratio - 1</t>
  </si>
  <si>
    <t>s:Sapma: geometrik ortalama oran - 1
Bias: geometric mean ratio - 1</t>
  </si>
  <si>
    <t>s:AN_LIM_ABOVE</t>
  </si>
  <si>
    <t>s:Ödenen &gt; ilk muallak payı</t>
  </si>
  <si>
    <t>s:Share with paid &gt; initial reserve</t>
  </si>
  <si>
    <t>s:Ödenen &gt; ilk muallak payı
Share with paid &gt; initial reserve</t>
  </si>
  <si>
    <t>s:AN_LIM_DED</t>
  </si>
  <si>
    <t>s:Muafiyetin brüte payı</t>
  </si>
  <si>
    <t>s:Muafiyetin brüte payı
Deductible share of gross</t>
  </si>
  <si>
    <t>s:AN_LIM_NG</t>
  </si>
  <si>
    <t>s:Net / brüt</t>
  </si>
  <si>
    <t>s:Net / gross</t>
  </si>
  <si>
    <t>s:Net / brüt
Net / gross</t>
  </si>
  <si>
    <t>s:AN_LIM_DIST_COVER</t>
  </si>
  <si>
    <t>s:Ödenen / teminat tutarı dağılımı (dosya payı)</t>
  </si>
  <si>
    <t>s:Distribution of paid / cover amount (share of cases)</t>
  </si>
  <si>
    <t>s:Ödenen / teminat tutarı dağılımı (dosya payı)
Distribution of paid / cover amount (share of cases)</t>
  </si>
  <si>
    <t>s:AN_LIM_DIST_IR</t>
  </si>
  <si>
    <t>s:Ödenen / ilk muallak dağılımı (dosya payı)</t>
  </si>
  <si>
    <t>s:Distribution of paid / initial reserve (share of cases)</t>
  </si>
  <si>
    <t>s:Ödenen / ilk muallak dağılımı (dosya payı)
Distribution of paid / initial reserve (share of cases)</t>
  </si>
  <si>
    <t>s:AN_LIM_SURVIVOR</t>
  </si>
  <si>
    <t>s:İlk muallak doğruluğu yalnızca pencerede ödemesi olan dosyaları kapsar: ödemesiz kapanan ve henüz ödenmemiş dosyalar yoktur, kısmi ödenen dosyalarda oran düşük kalır (hayatta kalan yanlılığı).</t>
  </si>
  <si>
    <t>s:Initial-reserve accuracy covers only cases with payments in the window: cases closed without payment and cases not yet paid are missing, and partially paid cases understate the ratio (survivor bias).</t>
  </si>
  <si>
    <t>s:İlk muallak doğruluğu yalnızca pencerede ödemesi olan dosyaları kapsar: ödemesiz kapanan ve henüz ödenmemiş dosyalar yoktur, kısmi ödenen dosyalarda oran düşük kalır (hayatta kalan yanlılığı).
Initial-reserve accuracy covers only cases with payments in the window: cases closed without payment and cases not yet paid are missing, and partially paid cases understate the ratio (survivor bias).</t>
  </si>
  <si>
    <t>s:AN_LIM_CCY</t>
  </si>
  <si>
    <t>s:Oranlar dosyanın kendi para biriminde hesaplanır (ödenen orijinal / teminat orijinal); farklı para birimleri toplanmaz.</t>
  </si>
  <si>
    <t>s:Ratios use each case's own currency (paid original / limit original); currencies are never added.</t>
  </si>
  <si>
    <t>s:Oranlar dosyanın kendi para biriminde hesaplanır (ödenen orijinal / teminat orijinal); farklı para birimleri toplanmaz.
Ratios use each case's own currency (paid original / limit original); currencies are never added.</t>
  </si>
  <si>
    <t>s:AN_W_NA_GATE</t>
  </si>
  <si>
    <t>s:INSUFFICIENT DATA (en az {0})</t>
  </si>
  <si>
    <t>s:INSUFFICIENT DATA (at least {0})</t>
  </si>
  <si>
    <t>s:INSUFFICIENT DATA (en az {0})
INSUFFICIENT DATA (at least {0})</t>
  </si>
  <si>
    <t>s:MinCasesForTail</t>
  </si>
  <si>
    <t>n:200</t>
  </si>
  <si>
    <t>s:cases</t>
  </si>
  <si>
    <t>s:AN_Severity: minimum cases in the window for the Gini, top-N shares, mean excess and the tail index (DRAFT)</t>
  </si>
  <si>
    <t>s:TailShare</t>
  </si>
  <si>
    <t>s:AN_Severity: share of the largest cases used by the Hill tail-index estimate (at least 20 cases) (DRAFT)</t>
  </si>
  <si>
    <t>s:LargeLossListN</t>
  </si>
  <si>
    <t>s:AN_Severity: number of cases in the large-loss list</t>
  </si>
  <si>
    <t>s:MinCasesForLimits</t>
  </si>
  <si>
    <t>s:AN_Limits: minimum cases with a cover amount, sum insured or initial reserve for the ratios (DRAFT)</t>
  </si>
  <si>
    <t>s:FullLimitShare</t>
  </si>
  <si>
    <t>n:.99</t>
  </si>
  <si>
    <t>s:AN_Limits: a case counts as paid at the full limit when paid / cover amount is at least this ratio (DRAFT)</t>
  </si>
  <si>
    <t>[Paid TRY] by FactPayment[CaseKey]</t>
  </si>
  <si>
    <t>MinCasesForTail (200) cases</t>
  </si>
  <si>
    <t>AN_Calc case pivot [Paid TRY] by Segment x CaseKey; worksheet: Gini = 2 sum(i x_(i)) / (n sum x) - (n+1)/n over the ascending case amounts</t>
  </si>
  <si>
    <t>Per case: total paid TRY of the case in the 36-month window (payment period); one segment at a time | gated below MinCasesForTail</t>
  </si>
  <si>
    <t>(worksheet) AN_Severity Lorenz curve and Gini</t>
  </si>
  <si>
    <t>AN_Calc case pivot; worksheet: share of the largest 1% and of the 10 largest cases in the total; the LargeLossListN largest cases</t>
  </si>
  <si>
    <t>Per case: total paid TRY of the case in the 36-month window (payment period); one segment at a time</t>
  </si>
  <si>
    <t>(worksheet) AN_Severity large-loss list and top-N shares</t>
  </si>
  <si>
    <t>see SV02</t>
  </si>
  <si>
    <t>(worksheet) AN_Severity top-N share</t>
  </si>
  <si>
    <t>worksheet: e(u) = mean(x - u | x &gt; u) at the 50th..98th percentiles; Hill alpha = k / sum(ln(x_(i) / x_(k+1))) over the k = max(20, TailShare x n) largest cases</t>
  </si>
  <si>
    <t>Per case: total paid TRY of the case in the 36-month window (payment period); one segment at a time | indicative: the Hill estimate depends on k; paid-to-date amounts of open cases understate the tail</t>
  </si>
  <si>
    <t>(worksheet) AN_Severity mean excess and Hill tail index</t>
  </si>
  <si>
    <t>MinCasesForLimits (30) cases</t>
  </si>
  <si>
    <t>[Cover Amount Case] = IF ( [Segment Guard OK] &amp;&amp; [Currency Guard OK], MAX ( FactPayment[CoverAmount] ) ) || worksheet: Paid Original / Cover Amount Case per case</t>
  </si>
  <si>
    <t>Guarded: BLANK unless exactly one segment is in context | per case in its own currency | full limit: ratio &gt;= FullLimitShare (0.99) | cover amount not in the generator truth: checked page = DAX only</t>
  </si>
  <si>
    <t>Cover Amount Case; (worksheet) AN_Limits paid / cover</t>
  </si>
  <si>
    <t>[Sum Insured Case] = IF ( [Segment Guard OK] &amp;&amp; [Currency Guard OK], MAX ( FactPayment[TotalSumInsured] ) ) || worksheet: Paid Original / Sum Insured Case per case</t>
  </si>
  <si>
    <t>Guarded: BLANK unless exactly one segment is in context | per case in its own currency</t>
  </si>
  <si>
    <t>Sum Insured Case; (worksheet) AN_Limits paid / sum insured</t>
  </si>
  <si>
    <t>GrossAmount; InitialReserve</t>
  </si>
  <si>
    <t>[Initial Reserve Case] = IF ( [Segment Guard OK] &amp;&amp; [Currency Guard OK], MAX ( FactPayment[InitialReserve] ) ) || worksheet: median and geometric-mean bias of Paid Original / Initial Reserve Case</t>
  </si>
  <si>
    <t>Guarded: BLANK unless exactly one segment is in context | survivor bias: only cases with payments in the window; partially paid cases understate the ratio</t>
  </si>
  <si>
    <t>Initial Reserve Case; (worksheet) AN_Limits initial-reserve accuracy</t>
  </si>
  <si>
    <t>Cover Amount Case</t>
  </si>
  <si>
    <t>Sum Insured Case</t>
  </si>
  <si>
    <t>Initial Reserve Case</t>
  </si>
  <si>
    <t>seg / months / n / total / min cases / k</t>
  </si>
  <si>
    <t>paid per case (TRY), ascending</t>
  </si>
  <si>
    <t>P50,P75,P90,P95,P99,max,mean,Gini,top1%,top10,Hill (rows 3..13)</t>
  </si>
  <si>
    <t>Lorenz x</t>
  </si>
  <si>
    <t>Lorenz y</t>
  </si>
  <si>
    <t>equality</t>
  </si>
  <si>
    <t>q</t>
  </si>
  <si>
    <t>u (k)</t>
  </si>
  <si>
    <t>e(u) (k)</t>
  </si>
  <si>
    <t>loss month</t>
  </si>
  <si>
    <t>mean</t>
  </si>
  <si>
    <t>P99</t>
  </si>
  <si>
    <t>large losses</t>
  </si>
  <si>
    <t>paid / cover</t>
  </si>
  <si>
    <t>paid / sum insured</t>
  </si>
  <si>
    <t>paid / initial reserve</t>
  </si>
  <si>
    <t>cover band</t>
  </si>
  <si>
    <t>reserve band</t>
  </si>
  <si>
    <t>&lt; %10</t>
  </si>
  <si>
    <t>%10-25</t>
  </si>
  <si>
    <t>%25-50</t>
  </si>
  <si>
    <t>%50-75</t>
  </si>
  <si>
    <t>%75-90</t>
  </si>
  <si>
    <t>%90-99</t>
  </si>
  <si>
    <t>&gt;= %99</t>
  </si>
  <si>
    <t>&gt; %100</t>
  </si>
  <si>
    <t>&lt; %50</t>
  </si>
  <si>
    <t>%50-80</t>
  </si>
  <si>
    <t>%80-100</t>
  </si>
  <si>
    <t>%100-120</t>
  </si>
  <si>
    <t>%120-200</t>
  </si>
  <si>
    <t>&gt; %200</t>
  </si>
  <si>
    <t>s:(worksheet) AN_Severity top-N share</t>
  </si>
  <si>
    <t>s:[Paid TRY] by FactPayment[CaseKey]</t>
  </si>
  <si>
    <t>s:Per case: total paid TRY of the case in the 36-month window (payment period); one segment at a time</t>
  </si>
  <si>
    <t>s:see SV02</t>
  </si>
  <si>
    <t>s:(worksheet) AN_Severity Lorenz curve and Gini</t>
  </si>
  <si>
    <t>s:Per case: total paid TRY of the case in the 36-month window (payment period); one segment at a time | gated below MinCasesForTail</t>
  </si>
  <si>
    <t>s:MinCasesForTail (200) cases</t>
  </si>
  <si>
    <t>s:AN_Calc case pivot [Paid TRY] by Segment x CaseKey; worksheet: Gini = 2 sum(i x_(i)) / (n sum x) - (n+1)/n over the ascending case amounts</t>
  </si>
  <si>
    <t>s:(worksheet) AN_Severity large-loss list and top-N shares</t>
  </si>
  <si>
    <t>s:AN_Calc case pivot; worksheet: share of the largest 1% and of the 10 largest cases in the total; the LargeLossListN largest cases</t>
  </si>
  <si>
    <t>s:(worksheet) AN_Severity mean excess and Hill tail index</t>
  </si>
  <si>
    <t>s:Per case: total paid TRY of the case in the 36-month window (payment period); one segment at a time | indicative: the Hill estimate depends on k; paid-to-date amounts of open cases understate the tail</t>
  </si>
  <si>
    <t>s:worksheet: e(u) = mean(x - u | x &gt; u) at the 50th..98th percentiles; Hill alpha = k / sum(ln(x_(i) / x_(k+1))) over the k = max(20, TailShare x n) largest cases</t>
  </si>
  <si>
    <t>s:Cover Amount Case; (worksheet) AN_Limits paid / cover</t>
  </si>
  <si>
    <t>s:Guarded: BLANK unless exactly one segment is in context | per case in its own currency | full limit: ratio &gt;= FullLimitShare (0.99) | cover amount not in the generator truth: checked page = DAX only</t>
  </si>
  <si>
    <t>s:MinCasesForLimits (30) cases</t>
  </si>
  <si>
    <t>s:[Cover Amount Case] = IF ( [Segment Guard OK] &amp;&amp; [Currency Guard OK], MAX ( FactPayment[CoverAmount] ) ) || worksheet: Paid Original / Cover Amount Case per case</t>
  </si>
  <si>
    <t>s:Sum Insured Case; (worksheet) AN_Limits paid / sum insured</t>
  </si>
  <si>
    <t>s:Guarded: BLANK unless exactly one segment is in context | per case in its own currency</t>
  </si>
  <si>
    <t>s:[Sum Insured Case] = IF ( [Segment Guard OK] &amp;&amp; [Currency Guard OK], MAX ( FactPayment[TotalSumInsured] ) ) || worksheet: Paid Original / Sum Insured Case per case</t>
  </si>
  <si>
    <t>s:Initial Reserve Case; (worksheet) AN_Limits initial-reserve accuracy</t>
  </si>
  <si>
    <t>s:GrossAmount; InitialReserve</t>
  </si>
  <si>
    <t>s:Guarded: BLANK unless exactly one segment is in context | survivor bias: only cases with payments in the window; partially paid cases understate the ratio</t>
  </si>
  <si>
    <t>s:[Initial Reserve Case] = IF ( [Segment Guard OK] &amp;&amp; [Currency Guard OK], MAX ( FactPayment[InitialReserve] ) ) || worksheet: median and geometric-mean bias of Paid Original / Initial Reserve Case</t>
  </si>
  <si>
    <t>STG_Store - consolidated payments store (v3.2.0): integrity per batch, restatement check, lines of the next close, bulk build</t>
  </si>
  <si>
    <t>Power Query output and command-written records - never typed. At every refresh the store file is checked by its SHA-256 (archStoreStatus, ArchiveLog) and pvtStoreCheck (right) recounts what the Data Model loaded; tblStoreSummary (far right) holds the totals recorded when each batch entered the store. STG_StoreCheck re-reads every batch (rows, CRC-32) only on Verify log. STG_Bulk / STG_BulkFiles are filled only during Backfill / Rebuild store.</t>
  </si>
  <si>
    <t>LoadBatch</t>
  </si>
  <si>
    <t>StoreLine</t>
  </si>
  <si>
    <t>STG_StoreHeader</t>
  </si>
  <si>
    <t>StoreHeader</t>
  </si>
  <si>
    <t>StoreColumns</t>
  </si>
  <si>
    <t>PeriodKey,LoadBatch,CompanyID,SegmentKey,SourceFile,SourceRowNo,CaseNo,PaymentDate,DecisionDate,LossDate,NotificationDate,ProductCode,SubBranchName,SubBranchCode,LossCause,GrossAmount,CurrencyCode,DocsCompleteDate,InitialReserve,CoverAmount,ApprovalDate,NetAmount,ProductName,CaseStatus,CoverCode,InstallmentSeq,BranchCode,NotificationChannel,PartnerCode,RepaymentAmount,LineOfBusinessCode,PlannedPaymentDate,TotalSumInsured,ParentBranchName,SalesChannelCode,DueDate,PolicyNo,Rate,LossProvince,PolicyEndDate,ProductType,InsuredAgeBand,ClaimType,PaymentMethod,PolicyStartDate,LineOfBusinessName,DeductibleAmount,RiskStartDate,RiskEndDate,PaymentVoucherNo,CoinsurerCode,TariffCode,ParentBranchCode,ProductSubCategory,RateToTRY,GrossAmountTRY,NetAmountTRY,CaseKey,LineKey,FXKey,FXRateMissing,DuplicateKeyCount,IsDuplicateKey,DuplicateScope,ChronoViolation,ChronoDetail,PaymentOutsidePeriod,DaysNotificationToPayment,NotifToPayBucket,NotifToPayBucketOrder,IsOutlier,BranchKey,LossPeriodKey,DevMonth,IsFirstPayment,IsFirstPaymentObs,RowHash</t>
  </si>
  <si>
    <t>STG_StoreCheck</t>
  </si>
  <si>
    <t>StoreRows</t>
  </si>
  <si>
    <t>StoreDigest</t>
  </si>
  <si>
    <t>HeaderOK</t>
  </si>
  <si>
    <t>LogState</t>
  </si>
  <si>
    <t>STG_Restatement</t>
  </si>
  <si>
    <t>FileRows</t>
  </si>
  <si>
    <t>FileGross</t>
  </si>
  <si>
    <t>StoredRows</t>
  </si>
  <si>
    <t>StoredGross</t>
  </si>
  <si>
    <t>STG_StoreAppend</t>
  </si>
  <si>
    <t>Line</t>
  </si>
  <si>
    <t>BlockDigest</t>
  </si>
  <si>
    <t>BlockRows</t>
  </si>
  <si>
    <t>STG_BulkFiles</t>
  </si>
  <si>
    <t>FileMode</t>
  </si>
  <si>
    <t>Gate</t>
  </si>
  <si>
    <t>STG_Bulk</t>
  </si>
  <si>
    <t>RecordedOn</t>
  </si>
  <si>
    <t>tblStoreSummary (written by Close / Backfill / Rebuild store)</t>
  </si>
  <si>
    <t>tblStoreSummary</t>
  </si>
  <si>
    <t>LoadBatch,CompanyID,CurrencyCode</t>
  </si>
  <si>
    <t>Command-written only (Close, Backfill, Rebuild store): the stored part of STG_Summary</t>
  </si>
  <si>
    <t>Store integrity staging and pvtStoreCheck (v3.2.0) - Power Query output and one model pivot, shown read-only by Show staging</t>
  </si>
  <si>
    <t>STG_Store</t>
  </si>
  <si>
    <t>Query - STG_StoreHeader</t>
  </si>
  <si>
    <t>Store (v3.2.0)</t>
  </si>
  <si>
    <t>Query - STG_StoreAppend</t>
  </si>
  <si>
    <t>Query - STG_Restatement</t>
  </si>
  <si>
    <t>Query - STG_StoreCheck</t>
  </si>
  <si>
    <t>AUDIT</t>
  </si>
  <si>
    <t>Only Verify log: re-reads every store batch (rows, CRC-32)</t>
  </si>
  <si>
    <t>Query - STG_BulkFiles</t>
  </si>
  <si>
    <t>BULK</t>
  </si>
  <si>
    <t>Only Backfill (bulk build) and Rebuild store; empty while BulkThroughPeriod is 0</t>
  </si>
  <si>
    <t>Query - STG_Bulk</t>
  </si>
  <si>
    <t>Before FactPayment: FactPayment, STG_Summary and STG_StoreAppend read the reviewed active lines from it (v3.2.0)</t>
  </si>
  <si>
    <t>The consolidated payments store in the archive folder (append-only CSV, one batch per closed month). Changed only by Rebuild store.</t>
  </si>
  <si>
    <t>One read per refresh instead of one archive file per month (DECISIONS_P3 P3-79).</t>
  </si>
  <si>
    <t>StoreFileName</t>
  </si>
  <si>
    <t>STORE_PAY.csv</t>
  </si>
  <si>
    <t>Header of the period column in the file of a company with SourceMode CUMULATIVE (one file &lt;prefix&gt;&lt;id&gt;&lt;infix&gt;ALL&lt;ext&gt; with all months).</t>
  </si>
  <si>
    <t>The platform takes the period of each row from this column (P3-88).</t>
  </si>
  <si>
    <t>CumulativePeriodHeader</t>
  </si>
  <si>
    <t>Set by Backfill (SOURCE: company folder) and Rebuild store (INBOX: Archive\Inbox). Not typed.</t>
  </si>
  <si>
    <t>Store</t>
  </si>
  <si>
    <t>One bulk query serves both commands (P3-87).</t>
  </si>
  <si>
    <t>SOURCE / INBOX</t>
  </si>
  <si>
    <t>BulkSource</t>
  </si>
  <si>
    <t>First month of the running bulk chunk. 0 when idle. Not typed.</t>
  </si>
  <si>
    <t>Set by the command for each chunk.</t>
  </si>
  <si>
    <t>BulkFromPeriod</t>
  </si>
  <si>
    <t>Last month of the running bulk chunk. 0 when idle (STG_Bulk empty). Not typed.</t>
  </si>
  <si>
    <t>BulkThroughPeriod</t>
  </si>
  <si>
    <t>Months read per bulk refresh (Backfill, Rebuild store).</t>
  </si>
  <si>
    <t>Bounds the lines held in the workbook at once; each chunk is stored and saved before the next.</t>
  </si>
  <si>
    <t>BulkChunkMonths</t>
  </si>
  <si>
    <t>N (default): Refresh All refreshes DimCompany, DimDate and DimFXRate only when their inputs changed (company list, period, FX rates, their queries). Y: always.</t>
  </si>
  <si>
    <t>Each costs about 15 s of model processing whatever its size (DECISIONS_P3 P3-101).</t>
  </si>
  <si>
    <t>Y / N</t>
  </si>
  <si>
    <t>ForceDimensionRefresh</t>
  </si>
  <si>
    <t>Store Rows</t>
  </si>
  <si>
    <t>Store Gross</t>
  </si>
  <si>
    <t>Store Gross TRY</t>
  </si>
  <si>
    <t>pvtStoreCheck (Data Model)</t>
  </si>
  <si>
    <t>RecordedDigest</t>
  </si>
  <si>
    <t>ChainHash</t>
  </si>
  <si>
    <t>StoreSHA256</t>
  </si>
  <si>
    <t>CurrentStoreRows</t>
  </si>
  <si>
    <t>CurrentDigest</t>
  </si>
  <si>
    <t>ModelRows</t>
  </si>
  <si>
    <t>ModelGross</t>
  </si>
  <si>
    <t>ModelGrossTRY</t>
  </si>
  <si>
    <t>Depo zinciri / Store chain</t>
  </si>
  <si>
    <t>Depo dosyası / Store file</t>
  </si>
  <si>
    <t>DeliveryCheck</t>
  </si>
  <si>
    <t>Every CURRENT ArchiveLog batch reads back exactly: rows, HashTotal and GrossTRY recorded per company and currency (STG_Summary from tblStoreSummary) and loaded by the Data Model (pvtStoreCheck); one batch per closed month; STORE_PAY.csv is byte for byte the file the last write recorded (SHA-256) with the dictionary's header; the ArchiveLog chain (SHA-256 over every sealed row) is unbroken. Every batch's rows and CRC-32 are re-read by Verify log.</t>
  </si>
  <si>
    <t>RESTATEMENT</t>
  </si>
  <si>
    <t>Cumulative files restate no closed month</t>
  </si>
  <si>
    <t>For each company with SourceMode CUMULATIVE, every month already closed in its file has the same rows and GrossAmount (original currency) as the store (STG_Restatement).</t>
  </si>
  <si>
    <t>Archive</t>
  </si>
  <si>
    <t>Show staging &gt; STG_Store &gt; STG_Restatement lists the months and the differences. A person decides: re-open the month (Re-open period) to take the restated lines, or obtain a corrected file from the company. The close stays blocked until the file matches the store.</t>
  </si>
  <si>
    <t>COMPANY_CHANGES</t>
  </si>
  <si>
    <t>No new company and no change of delivery mode</t>
  </si>
  <si>
    <t>Every file of the active delivery belongs to a company in tblDimCompany and arrives in the company's SourceMode (monthly files for FOLDER, one ALL file for CUMULATIVE). Mode-mismatched files are never loaded.</t>
  </si>
  <si>
    <t>Depoyu yeniden kur / Rebuild store</t>
  </si>
  <si>
    <t>Cmd_RebuildStore</t>
  </si>
  <si>
    <t>Exceptional: rebuilds STORE_PAY.csv from Archive\Inbox when the store is damaged or the dictionary changed (typed confirmation REBUILD); the old store is kept in Archive\Superseded</t>
  </si>
  <si>
    <t>Once, at installation: bulk build of the past months of the source folder into the store, without four-eyes (typed confirmation BACKFILL)</t>
  </si>
  <si>
    <t>CONFIRM_REBUILD</t>
  </si>
  <si>
    <t>REBUILD STORE (Administrator)
The {0} current batch(es) of ArchiveLog are read again from the files in Archive\Inbox. Every batch must give the rows and amounts recorded at its close; otherwise nothing changes.
The current {1} moves to Archive\Superseded (never deleted).
Type REBUILD to continue:</t>
  </si>
  <si>
    <t>DEPOYU YENİDEN KUR (Yönetici)
ArchiveLog'daki {0} güncel parti Archive\Inbox klasöründeki dosyalardan yeniden okunacak. Her parti kapanışta kaydedilen satır sayısını ve tutarları vermelidir; vermezse hiçbir şey değişmez.
Mevcut {1} Archive\Superseded klasörüne taşınır (silinmez).
Devam etmek için REBUILD yazın:</t>
  </si>
  <si>
    <t>GEÇMİŞ AYLARI DEPOYA YAZ (Yönetici)
Bulunan dönemler: {0} ... {1} ({2}).
Şimdi depoya yazılacak: {3} ay, yaklaşık {4} dakika. En yeni ay {1} açık kalır ve aktif dönem olur.
Bu aylar bağımsız toplam, dört göz ve REVIEW açıklaması OLMADAN kapanır; kontrolleri ay ay değerlendirilmez (BACKFILL olarak işaretlenir). Depoya yalnızca eklenir, hiçbir satırın üzerine yazılmaz.
Devam etmek için BACKFILL yazın:</t>
  </si>
  <si>
    <t>BACKFILL HISTORY INTO THE STORE (Administrator)
Periods found: {0} ... {1} ({2}).
To store now: {3} month(s), about {4} minute(s). The newest month {1} stays open and becomes the active period.
These months are closed WITHOUT independent totals, four-eyes or REVIEW explanations; their controls are not evaluated month by month (marked BACKFILL). The store is append-only: no line is ever overwritten.
Type BACKFILL to continue:</t>
  </si>
  <si>
    <t>s:StoreFileName</t>
  </si>
  <si>
    <t>s:STORE_PAY.csv</t>
  </si>
  <si>
    <t>s:The consolidated payments store in the archive folder (append-only CSV, one batch per closed month). Changed only by Rebuild store.</t>
  </si>
  <si>
    <t>s:One read per refresh instead of one archive file per month (DECISIONS_P3 P3-79).</t>
  </si>
  <si>
    <t>s:CumulativePeriodHeader</t>
  </si>
  <si>
    <t>s:Header of the period column in the file of a company with SourceMode CUMULATIVE (one file &lt;prefix&gt;&lt;id&gt;&lt;infix&gt;ALL&lt;ext&gt; with all months).</t>
  </si>
  <si>
    <t>s:The platform takes the period of each row from this column (P3-88).</t>
  </si>
  <si>
    <t>s:Store</t>
  </si>
  <si>
    <t>s:BulkSource</t>
  </si>
  <si>
    <t>s:SOURCE</t>
  </si>
  <si>
    <t>s:SOURCE / INBOX</t>
  </si>
  <si>
    <t>s:Set by Backfill (SOURCE: company folder) and Rebuild store (INBOX: Archive\Inbox). Not typed.</t>
  </si>
  <si>
    <t>s:One bulk query serves both commands (P3-87).</t>
  </si>
  <si>
    <t>s:BulkFromPeriod</t>
  </si>
  <si>
    <t>s:First month of the running bulk chunk. 0 when idle. Not typed.</t>
  </si>
  <si>
    <t>s:Set by the command for each chunk.</t>
  </si>
  <si>
    <t>s:BulkThroughPeriod</t>
  </si>
  <si>
    <t>s:Last month of the running bulk chunk. 0 when idle (STG_Bulk empty). Not typed.</t>
  </si>
  <si>
    <t>s:BulkChunkMonths</t>
  </si>
  <si>
    <t>s:Months read per bulk refresh (Backfill, Rebuild store).</t>
  </si>
  <si>
    <t>s:Bounds the lines held in the workbook at once; each chunk is stored and saved before the next.</t>
  </si>
  <si>
    <t>s:ForceDimensionRefresh</t>
  </si>
  <si>
    <t>s:Y / N</t>
  </si>
  <si>
    <t>s:N (default): Refresh All refreshes DimCompany, DimDate and DimFXRate only when their inputs changed (company list, period, FX rates, their queries). Y: always.</t>
  </si>
  <si>
    <t>s:Each costs about 15 s of model processing whatever its size (DECISIONS_P3 P3-101).</t>
  </si>
  <si>
    <t>s:Every CURRENT ArchiveLog batch reads back exactly: rows, HashTotal and GrossTRY recorded per company and currency (STG_Summary from tblStoreSummary) and loaded by the Data Model (pvtStoreCheck); one batch per closed month; STORE_PAY.csv is byte for byte the file the last write recorded (SHA-256) with the dictionary's header; the ArchiveLog chain (SHA-256 over every sealed row) is unbroken. Every batch's rows and CRC-32 are re-read by Verify log.</t>
  </si>
  <si>
    <t>s:RESTATEMENT</t>
  </si>
  <si>
    <t>s:Archive</t>
  </si>
  <si>
    <t>s:Cumulative files restate no closed month</t>
  </si>
  <si>
    <t>s:For each company with SourceMode CUMULATIVE, every month already closed in its file has the same rows and GrossAmount (original currency) as the store (STG_Restatement).</t>
  </si>
  <si>
    <t>s:No cumulative company file to compare.</t>
  </si>
  <si>
    <t>s:Show staging &gt; STG_Store &gt; STG_Restatement lists the months and the differences. A person decides: re-open the month (Re-open period) to take the restated lines, or obtain a corrected file from the company. The close stays blocked until the file matches the store.</t>
  </si>
  <si>
    <t>s:COMPANY_CHANGES</t>
  </si>
  <si>
    <t>s:No new company and no change of delivery mode</t>
  </si>
  <si>
    <t>s:Every file of the active delivery belongs to a company in tblDimCompany and arrives in the company's SourceMode (monthly files for FOLDER, one ALL file for CUMULATIVE). Mode-mismatched files are never loaded.</t>
  </si>
  <si>
    <t>s:Every delivering company is in the company list and delivers in its source mode.</t>
  </si>
  <si>
    <t>s:STG_Store</t>
  </si>
  <si>
    <t>s:Store integrity staging and pvtStoreCheck (v3.2.0) - Power Query output and one model pivot, shown read-only by Show staging</t>
  </si>
  <si>
    <t>s:tblStoreSummary</t>
  </si>
  <si>
    <t>s:LoadBatch,CompanyID,CurrencyCode</t>
  </si>
  <si>
    <t>s:Command-written only (Close, Backfill, Rebuild store): the stored part of STG_Summary</t>
  </si>
  <si>
    <t>s:Before FactPayment: FactPayment, STG_Summary and STG_StoreAppend read the reviewed active lines from it (v3.2.0)</t>
  </si>
  <si>
    <t>s:Query - STG_StoreHeader</t>
  </si>
  <si>
    <t>s:Store (v3.2.0)</t>
  </si>
  <si>
    <t>s:Query - STG_StoreAppend</t>
  </si>
  <si>
    <t>s:Query - STG_Restatement</t>
  </si>
  <si>
    <t>s:Query - STG_StoreCheck</t>
  </si>
  <si>
    <t>s:AUDIT</t>
  </si>
  <si>
    <t>s:Only Verify log: re-reads every store batch (rows, CRC-32)</t>
  </si>
  <si>
    <t>s:Query - STG_BulkFiles</t>
  </si>
  <si>
    <t>s:BULK</t>
  </si>
  <si>
    <t>s:Only Backfill (bulk build) and Rebuild store; empty while BulkThroughPeriod is 0</t>
  </si>
  <si>
    <t>s:Query - STG_Bulk</t>
  </si>
  <si>
    <t>s:GEÇMİŞ AYLARI DEPOYA YAZ (Yönetici)
Bulunan dönemler: {0} ... {1} ({2}).
Şimdi depoya yazılacak: {3} ay, yaklaşık {4} dakika. En yeni ay {1} açık kalır ve aktif dönem olur.
Bu aylar bağımsız toplam, dört göz ve REVIEW açıklaması OLMADAN kapanır; kontrolleri ay ay değerlendirilmez (BACKFILL olarak işaretlenir). Depoya yalnızca eklenir, hiçbir satırın üzerine yazılmaz.
Devam etmek için BACKFILL yazın:</t>
  </si>
  <si>
    <t>s:BACKFILL HISTORY INTO THE STORE (Administrator)
Periods found: {0} ... {1} ({2}).
To store now: {3} month(s), about {4} minute(s). The newest month {1} stays open and becomes the active period.
These months are closed WITHOUT independent totals, four-eyes or REVIEW explanations; their controls are not evaluated month by month (marked BACKFILL). The store is append-only: no line is ever overwritten.
Type BACKFILL to continue:</t>
  </si>
  <si>
    <t>s:GEÇMİŞ AYLARI DEPOYA YAZ (Yönetici)
Bulunan dönemler: {0} ... {1} ({2}).
Şimdi depoya yazılacak: {3} ay, yaklaşık {4} dakika. En yeni ay {1} açık kalır ve aktif dönem olur.
Bu aylar bağımsız toplam, dört göz ve REVIEW açıklaması OLMADAN kapanır; kontrolleri ay ay değerlendirilmez (BACKFILL olarak işaretlenir). Depoya yalnızca eklenir, hiçbir satırın üzerine yazılmaz.
Devam etmek için BACKFILL yazın:
BACKFILL HISTORY INTO THE STORE (Administrator)
Periods found: {0} ... {1} ({2}).
To store now: {3} month(s), about {4} minute(s). The newest month {1} stays open and becomes the active period.
These months are closed WITHOUT independent totals, four-eyes or REVIEW explanations; their controls are not evaluated month by month (marked BACKFILL). The store is append-only: no line is ever overwritten.
Type BACKFILL to continue:</t>
  </si>
  <si>
    <t>s:CONFIRM_REBUILD</t>
  </si>
  <si>
    <t>s:DEPOYU YENİDEN KUR (Yönetici)
ArchiveLog'daki {0} güncel parti Archive\Inbox klasöründeki dosyalardan yeniden okunacak. Her parti kapanışta kaydedilen satır sayısını ve tutarları vermelidir; vermezse hiçbir şey değişmez.
Mevcut {1} Archive\Superseded klasörüne taşınır (silinmez).
Devam etmek için REBUILD yazın:</t>
  </si>
  <si>
    <t>s:REBUILD STORE (Administrator)
The {0} current batch(es) of ArchiveLog are read again from the files in Archive\Inbox. Every batch must give the rows and amounts recorded at its close; otherwise nothing changes.
The current {1} moves to Archive\Superseded (never deleted).
Type REBUILD to continue:</t>
  </si>
  <si>
    <t>s:DEPOYU YENİDEN KUR (Yönetici)
ArchiveLog'daki {0} güncel parti Archive\Inbox klasöründeki dosyalardan yeniden okunacak. Her parti kapanışta kaydedilen satır sayısını ve tutarları vermelidir; vermezse hiçbir şey değişmez.
Mevcut {1} Archive\Superseded klasörüne taşınır (silinmez).
Devam etmek için REBUILD yazın:
REBUILD STORE (Administrator)
The {0} current batch(es) of ArchiveLog are read again from the files in Archive\Inbox. Every batch must give the rows and amounts recorded at its close; otherwise nothing changes.
The current {1} moves to Archive\Superseded (never deleted).
Type REBUILD to continue:</t>
  </si>
  <si>
    <t>shadow copy of tblStoreSummary for the edit audit (mod_Log) - do not edit</t>
  </si>
  <si>
    <t>OK (SHA-256 of 7.0 MB equals the last write, ArchiveLog row 23)</t>
  </si>
  <si>
    <t>AN_NAV_ANOMALY</t>
  </si>
  <si>
    <t>Anomali</t>
  </si>
  <si>
    <t>AN_NAV_WATCHLIST</t>
  </si>
  <si>
    <t>Watchlist</t>
  </si>
  <si>
    <t>İzleme listesi</t>
  </si>
  <si>
    <t>AN_NAV_RAWVIEW</t>
  </si>
  <si>
    <t>Raw view</t>
  </si>
  <si>
    <t>Satırlar</t>
  </si>
  <si>
    <t>AN_Q_ANOMALY</t>
  </si>
  <si>
    <t>Are a company's payments this month statistically unusual against its own history?</t>
  </si>
  <si>
    <t>Bir şirketin bu ayki ödemeleri kendi geçmişine göre istatistiksel olarak olağandışı mı?</t>
  </si>
  <si>
    <t>AN_Q_WATCHLIST</t>
  </si>
  <si>
    <t>What must the reviewer look at this month?</t>
  </si>
  <si>
    <t>İncelemeci bu ay neye bakmalı?</t>
  </si>
  <si>
    <t>AN_AUD_REV</t>
  </si>
  <si>
    <t>Reviewer, actuarial</t>
  </si>
  <si>
    <t>İncelemeci, aktüerya</t>
  </si>
  <si>
    <t>AN_ANO_PURPOSE</t>
  </si>
  <si>
    <t>Every company of the segment, selected month: robust z (median / MAD, log scale) of paid, lines and mean per case, control chart (X-mR) and CUSUM; round-amount and payment-day patterns; Benford first digit; payment-nature mix (PSI).</t>
  </si>
  <si>
    <t>Segmentteki her şirket, seçilen ay: ödenen, satır ve dosya başına ortalama için dayanıklı z (medyan / MAD, log ölçek), kontrol grafiği (X-mR) ve CUSUM; yuvarlak tutar ve ödeme günü örüntüsü; Benford ilk hane; ödeme niteliği karması (PSI).</t>
  </si>
  <si>
    <t>AN_HOWTO_ANOMALY</t>
  </si>
  <si>
    <t>How to read: each cell is the status of one indicator of one company. '(draft)' levels are not approved yet; statuses ending in '*' are placeholders and are never counted or ranked. The charts show the company selected on the right.</t>
  </si>
  <si>
    <t>Nasıl okunur: her hücre bir şirketin bir göstergesinin durumudur. '(draft)' eşikler henüz onaylanmamıştır; '*' işaretli durumlar yer tutucudur, sayılmaz ve sıralanmaz. Grafikler sağdaki şirket seçimini gösterir.</t>
  </si>
  <si>
    <t>AN_WL_PURPOSE</t>
  </si>
  <si>
    <t>Alerts (WATCH / ALERT) of the selected month, ranked by severity score within each segment; at most N rows per segment.</t>
  </si>
  <si>
    <t>Seçilen ayın uyarıları (WATCH / ALERT), her segmentte önem puanına göre sıralı; segment başına en fazla N satır.</t>
  </si>
  <si>
    <t>AN_HOWTO_WATCHLIST</t>
  </si>
  <si>
    <t>How to read: score = ALERT 3, WATCH 1, plus the indicator's strength (|z| / 10, at most 1). Placeholder (*) and INSUFFICIENT DATA statuses are not listed. Segments are never compared with each other; 'Go' opens the anomaly page (select segment and company there).</t>
  </si>
  <si>
    <t>Nasıl okunur: puan = ALERT 3, WATCH 1, artı göstergenin gücü (|z| / 10, en fazla 1). Yer tutucu (*) ve INSUFFICIENT DATA durumları listede yoktur. Segmentler birbiriyle karşılaştırılmaz; 'Git' anomali sayfasını açar (segment ve şirketi orada seçin).</t>
  </si>
  <si>
    <t>AN_IND_ZPAID</t>
  </si>
  <si>
    <t>Paid (z)</t>
  </si>
  <si>
    <t>Ödenen (z)</t>
  </si>
  <si>
    <t>AN_IND_ZLINES</t>
  </si>
  <si>
    <t>Lines (z)</t>
  </si>
  <si>
    <t>Satır (z)</t>
  </si>
  <si>
    <t>AN_IND_ZMEAN</t>
  </si>
  <si>
    <t>Mean per case (z)</t>
  </si>
  <si>
    <t>Dosya başı ort. (z)</t>
  </si>
  <si>
    <t>AN_IND_XMR</t>
  </si>
  <si>
    <t>X-mR (paid)</t>
  </si>
  <si>
    <t>X-mR (ödenen)</t>
  </si>
  <si>
    <t>AN_IND_CUSUM</t>
  </si>
  <si>
    <t>CUSUM (paid)</t>
  </si>
  <si>
    <t>CUSUM (ödenen)</t>
  </si>
  <si>
    <t>AN_IND_ROUND</t>
  </si>
  <si>
    <t>Round amounts</t>
  </si>
  <si>
    <t>Yuvarlak tutar</t>
  </si>
  <si>
    <t>AN_IND_DAYS</t>
  </si>
  <si>
    <t>Weekend / month-end</t>
  </si>
  <si>
    <t>Hafta sonu / ay sonu</t>
  </si>
  <si>
    <t>AN_IND_BENFORD</t>
  </si>
  <si>
    <t>Benford first digit</t>
  </si>
  <si>
    <t>Benford ilk hane</t>
  </si>
  <si>
    <t>AN_IND_PSI</t>
  </si>
  <si>
    <t>Nature mix (PSI)</t>
  </si>
  <si>
    <t>Nitelik karması (PSI)</t>
  </si>
  <si>
    <t>AN_LBL_COMPANY</t>
  </si>
  <si>
    <t>AN_ANO_GRID</t>
  </si>
  <si>
    <t>Status, selected month (upper line) and value (lower line)</t>
  </si>
  <si>
    <t>Durum, seçilen ay (üst satır) ve değer (alt satır)</t>
  </si>
  <si>
    <t>AN_ANO_DETAIL</t>
  </si>
  <si>
    <t>Detail: selected company</t>
  </si>
  <si>
    <t>Ayrıntı: seçilen şirket</t>
  </si>
  <si>
    <t>AN_ANO_XMR_T</t>
  </si>
  <si>
    <t>X-mR: monthly paid (TRY k), centre and 3σ limits (log scale)</t>
  </si>
  <si>
    <t>X-mR: aylık ödenen (bin TL), merkez ve 3σ sınırları (log ölçekte)</t>
  </si>
  <si>
    <t>AN_ANO_CUSUM_T</t>
  </si>
  <si>
    <t>CUSUM: log paid, standardised (S+ / S−, h)</t>
  </si>
  <si>
    <t>CUSUM: log ödenen, standartlaştırılmış (S+ / S−, h)</t>
  </si>
  <si>
    <t>AN_ANO_BENF_T</t>
  </si>
  <si>
    <t>Benford: first-digit share, selected month (observed / expected)</t>
  </si>
  <si>
    <t>Benford: ilk hane payı, seçilen ay (gözlenen / beklenen)</t>
  </si>
  <si>
    <t>AN_ANO_NOTE</t>
  </si>
  <si>
    <t>Levels are DRAFT. The Benford and PSI bands are published fixed values: until the owner approves them their statuses are placeholders (*). A statistical signal is not proof of an error: check the source file and the control panel first.</t>
  </si>
  <si>
    <t>Eşikler taslaktır (DRAFT). Benford ve PSI bantları yayımlanmış sabit değerlerdir: sahibi onaylayana kadar durumları yer tutucudur (*). İstatistiksel sinyal bir hatanın kanıtı değildir: önce kaynak dosyaya ve kontrol paneline bakın.</t>
  </si>
  <si>
    <t>AN_FOOT_ANOMALY</t>
  </si>
  <si>
    <t>Method: robust z = (ln x − median) / (1.4826 × MAD) over up to 24 months before the current one; X-mR centre = mean of log paid, σ = mean moving range / 1.128; CUSUM k = 0.5σ, baseline 12 months; shares floored at the binomial standard error; Benford MAD (Nigrini), PSI (line counts, the 12 months before). No loss, reserve or frequency conclusion is drawn.</t>
  </si>
  <si>
    <t>Yöntem: dayanıklı z = (ln x − medyan) / (1,4826 × MAD), cari aydan önceki en çok 24 ay; X-mR merkez = log ödenen ortalaması, σ = ortalama hareketli aralık / 1,128; CUSUM k = 0,5σ, taban = 12 ay; paylarda alt sınır binom standart hatası; Benford MAD (Nigrini), PSI (satır sayısı, önceki 12 ay). Kayıp, rezerv veya frekans sonucu çıkarılmaz.</t>
  </si>
  <si>
    <t>AN_ANO_N</t>
  </si>
  <si>
    <t>AN_ANO_COMPANIES</t>
  </si>
  <si>
    <t>companies</t>
  </si>
  <si>
    <t>şirket</t>
  </si>
  <si>
    <t>AN_WL_SEG</t>
  </si>
  <si>
    <t>AN_WL_COMP</t>
  </si>
  <si>
    <t>AN_WL_IND</t>
  </si>
  <si>
    <t>Indicator</t>
  </si>
  <si>
    <t>Gösterge</t>
  </si>
  <si>
    <t>AN_WL_VAL</t>
  </si>
  <si>
    <t>Değer</t>
  </si>
  <si>
    <t>AN_WL_STATUS</t>
  </si>
  <si>
    <t>AN_WL_SCORE</t>
  </si>
  <si>
    <t>Score</t>
  </si>
  <si>
    <t>Puan</t>
  </si>
  <si>
    <t>AN_WL_GO</t>
  </si>
  <si>
    <t>AN_WL_NONE</t>
  </si>
  <si>
    <t>No counted alert this month</t>
  </si>
  <si>
    <t>Bu ay sayılan uyarı yok</t>
  </si>
  <si>
    <t>AN_WL_SUMMARY</t>
  </si>
  <si>
    <t>Summary (selected month, company × indicator)</t>
  </si>
  <si>
    <t>Özet (seçilen ay, şirket × gösterge)</t>
  </si>
  <si>
    <t>AN_WL_COUNTS</t>
  </si>
  <si>
    <t>ALERT / WATCH / placeholder * / INSUFFICIENT DATA</t>
  </si>
  <si>
    <t>ALERT / WATCH / yer tutucu * / INSUFFICIENT DATA</t>
  </si>
  <si>
    <t>AN_WL_TOPN</t>
  </si>
  <si>
    <t>At most {0} rows per segment</t>
  </si>
  <si>
    <t>Segment başına en fazla {0} satır</t>
  </si>
  <si>
    <t>BANNER_LOCATION</t>
  </si>
  <si>
    <t>The platform is opened from a web address or a synchronised cloud folder (OneDrive / SharePoint): {0}. It runs only from a local or network (UNC) folder; commands that change data are disabled. Move the file and its folders to the platform folder (Admin Guide, location).</t>
  </si>
  <si>
    <t>Platform bir web adresinden veya eşitlenen bir bulut klasöründen (OneDrive / SharePoint) açıldı: {0}. Platform yalnızca yerel ya da ağ (UNC) klasöründen çalışır; veri değiştiren komutlar kapalı. Dosyayı ve klasörlerini platform klasörüne taşıyın (Yönetim Kılavuzu, konum).</t>
  </si>
  <si>
    <t>BLOCKED_LOCATION</t>
  </si>
  <si>
    <t>{0} cannot run: the platform is opened from a cloud or web location ({1}). Open it from a local or network (UNC) folder.</t>
  </si>
  <si>
    <t>{0} yapılamaz: platform bulut / web konumundan açıldı ({1}). Yerel veya ağ (UNC) klasöründen açın.</t>
  </si>
  <si>
    <t>PWD_FORM_BROKEN</t>
  </si>
  <si>
    <t>The password window is damaged: {0}. Password entry is refused (a password is never typed into an unmasked box). An Administrator re-imports frmPassword.frm and .frx from src\vba (Admin Guide).</t>
  </si>
  <si>
    <t>Parola penceresi bozuk: {0}. Parola girişi reddedildi (parola maskesiz bir kutuya asla yazılmaz). Bir Yönetici frmPassword.frm ve .frx dosyalarını src\vba'dan yeniden almalı (Yönetim Kılavuzu).</t>
  </si>
  <si>
    <t>ASK_SOURCE_REASON</t>
  </si>
  <si>
    <t>OPEN SOURCE FILE
{0}
The source file holds personal data. Reason for opening it (logged):</t>
  </si>
  <si>
    <t>KAYNAK DOSYAYI AÇ
{0}
Kaynak dosya kişisel veri içerir. Açma nedeni (kayda geçer):</t>
  </si>
  <si>
    <t>ASK_MAP_APPROVAL</t>
  </si>
  <si>
    <t>LOCK COLUMN MAP (Administrator)
Who approved the field selection, and when? (e.g. ColumnMap_proposal signed by &lt;name&gt; on &lt;date&gt;)</t>
  </si>
  <si>
    <t>KOLON HARİTASINI KİLİTLE (Yönetici)
Alan seçimini kim, hangi tarihte onayladı? (ör. ColumnMap_proposal, &lt;ad&gt; tarafından &lt;tarih&gt; tarihinde imzalandı)</t>
  </si>
  <si>
    <t>CONFIRM_LOCK_MAP</t>
  </si>
  <si>
    <t>After the lock, changing the model fields means unlocking and rebuilding the store. Type LOCK to lock.</t>
  </si>
  <si>
    <t>Kilitten sonra model alanlarını değiştirmek kilidi kaldırmayı ve depoyu yeniden kurmayı gerektirir. Kilitlemek için LOCK yazın.</t>
  </si>
  <si>
    <t>ASK_MAP_UNLOCK_REASON</t>
  </si>
  <si>
    <t>UNLOCK COLUMN MAP (Administrator)
Why? Backfill, Close and Rebuild store are blocked until the map is locked again; the event is logged with severity HIGH.</t>
  </si>
  <si>
    <t>KOLON HARİTASI KİLİDİNİ KALDIR (Yönetici)
Neden? Kilit yeniden konana kadar Geçmişi dondur, Dönem kapat ve Depoyu yeniden kur engellenir; olay YÜKSEK önemle kaydedilir.</t>
  </si>
  <si>
    <t>AN_Q_RAWVIEW</t>
  </si>
  <si>
    <t>What are the lines of the selected companies and months, and do they reconcile to the recorded totals?</t>
  </si>
  <si>
    <t>Seçilen şirket ve dönemlerin satırları neler, kayıtlı toplamlarla tutuyor mu?</t>
  </si>
  <si>
    <t>AN_AUD_RAW</t>
  </si>
  <si>
    <t>Analyst, Preparer, Reviewer</t>
  </si>
  <si>
    <t>Analist, Hazırlayan, İncelemeci</t>
  </si>
  <si>
    <t>AN_RV_READY</t>
  </si>
  <si>
    <t>Filled by a command; the lines are never saved with the file</t>
  </si>
  <si>
    <t>Komutla doldurulur; satırlar dosyayla kaydedilmez</t>
  </si>
  <si>
    <t>AN_RV_TITLE</t>
  </si>
  <si>
    <t>Raw view: selected companies and months</t>
  </si>
  <si>
    <t>Satırlar: seçilen şirketler ve dönemler</t>
  </si>
  <si>
    <t>AN_RV_PURPOSE</t>
  </si>
  <si>
    <t>Closed months from the store (as closed), the open month from the reviewed active lines; only companies in the company list and the non-personal model fields of the dictionary.</t>
  </si>
  <si>
    <t>Kapanmış aylar depodan (kapanıştaki haliyle), açık ay incelenen aktif satırlardan; yalnızca şirket listesindeki şirketler ve sözlüğün kişisel olmayan model alanları.</t>
  </si>
  <si>
    <t>AN_HOWTO_RAWVIEW</t>
  </si>
  <si>
    <t>How to use: enter the companies (comma-separated; blank = all), the first and last month (YYYYMM), optionally a nature or part of a case key, then press 'Show lines'. The reconciliation compares the lines shown with the recorded lines for each company-month.</t>
  </si>
  <si>
    <t>Nasıl kullanılır: şirketleri (virgülle; boş = hepsi), başlangıç ve bitiş ayını (YYYYAA) girin, gerekirse nitelik veya dosya parçası seçin, 'Satırları göster'e basın. Mutabakat her şirket-ay için gösterilen satırları kayıtlı satırlarla karşılaştırır.</t>
  </si>
  <si>
    <t>AN_RV_COMPANIES</t>
  </si>
  <si>
    <t>Companies</t>
  </si>
  <si>
    <t>Şirketler</t>
  </si>
  <si>
    <t>AN_RV_FROM</t>
  </si>
  <si>
    <t>From</t>
  </si>
  <si>
    <t>Başlangıç</t>
  </si>
  <si>
    <t>AN_RV_TO</t>
  </si>
  <si>
    <t>To</t>
  </si>
  <si>
    <t>Bitiş</t>
  </si>
  <si>
    <t>AN_RV_NATURE</t>
  </si>
  <si>
    <t>Nature</t>
  </si>
  <si>
    <t>Nitelik</t>
  </si>
  <si>
    <t>AN_RV_CASE</t>
  </si>
  <si>
    <t>Case contains</t>
  </si>
  <si>
    <t>Dosya içerir</t>
  </si>
  <si>
    <t>AN_RV_SHOW</t>
  </si>
  <si>
    <t>Show lines</t>
  </si>
  <si>
    <t>AN_RV_EXPORT</t>
  </si>
  <si>
    <t>Export CSV</t>
  </si>
  <si>
    <t>CSV dışa aktar / Export CSV</t>
  </si>
  <si>
    <t>AN_RV_OPEN</t>
  </si>
  <si>
    <t>Open source file</t>
  </si>
  <si>
    <t>Kaynak dosyayı aç / Open source file</t>
  </si>
  <si>
    <t>AN_RV_RECON</t>
  </si>
  <si>
    <t>Reconciliation (company × month)</t>
  </si>
  <si>
    <t>Mutabakat (şirket × ay)</t>
  </si>
  <si>
    <t>AN_RV_PERIOD</t>
  </si>
  <si>
    <t>AN_RV_SHOWN</t>
  </si>
  <si>
    <t>Shown</t>
  </si>
  <si>
    <t>Gösterilen</t>
  </si>
  <si>
    <t>AN_RV_RECORDED</t>
  </si>
  <si>
    <t>Recorded</t>
  </si>
  <si>
    <t>Kayıtlı</t>
  </si>
  <si>
    <t>AN_RV_STATUS</t>
  </si>
  <si>
    <t>AN_RV_LINES</t>
  </si>
  <si>
    <t>Lines (at most RawMaxRows)</t>
  </si>
  <si>
    <t>Satırlar (en çok RawMaxRows)</t>
  </si>
  <si>
    <t>AN_RV_NOTE</t>
  </si>
  <si>
    <t>Show and CSV: Analyst, Preparer, Reviewer; open source file: Preparer, Reviewer (a reason is asked). Every use is written to the activity log; the lines are removed before the file is saved; no PDF.</t>
  </si>
  <si>
    <t>Göster ve CSV: Analist, Hazırlayan, İncelemeci; kaynak dosyayı açma: Hazırlayan, İncelemeci (neden sorulur). Her kullanım etkinlik günlüğüne yazılır; satırlar dosya kaydedilmeden önce silinir; PDF alınmaz.</t>
  </si>
  <si>
    <t>AN_RV_MORE</t>
  </si>
  <si>
    <t>+{0} more company-month(s) (the reconciliation shows the first 12)</t>
  </si>
  <si>
    <t>+{0} şirket-ay daha (mutabakat yalnızca ilk 12'yi gösterir)</t>
  </si>
  <si>
    <t>AN_TAG_REJECTED</t>
  </si>
  <si>
    <t>Not admitted to the store: {0} lines in {1} files (Index)</t>
  </si>
  <si>
    <t>Depoya alınmayacak: {0} satır, {1} dosya (Dizin)</t>
  </si>
  <si>
    <t>AN_MSG_REJECTED</t>
  </si>
  <si>
    <t>Files of the active delivery will not be admitted to the store (STG_Rejected): company not in the list, outside its reporting window, wrong name (leading zero included) or wrong delivery mode. Administrator path: add the company to the list (DimCompany: type, ExpectedFromPeriod, SourceMode) or have the file corrected / renamed, then Refresh. Lines outside the list show in the 'Unassigned' segment and block the close.</t>
  </si>
  <si>
    <t>Aktif teslimde depoya alınmayacak dosyalar var (STG_Rejected): listede olmayan şirket, raporlama aralığı dışı, yanlış ad (baştaki sıfır dahil) veya teslim biçimi uyumsuz. Yönetici yolu: şirketi listeye ekleyin (DimCompany: tip, ExpectedFromPeriod, SourceMode) ya da dosyayı düzelttirin / yeniden adlandırın, sonra Yenile. Liste dışı satırlar 'Atanmamış' segmentte görünür ve kapanışı engeller.</t>
  </si>
  <si>
    <t>Unassigned segment: lines whose company has no segment (type) in the company list - in the active month the lines of a company outside the list (they cannot be closed), or a company whose type was removed later. Lines:</t>
  </si>
  <si>
    <t>Atanmamış segment: şirket listesinde segmenti (tipi) olmayan satırlar - aktif ayda listede olmayan bir şirketin satırları (kapanamaz) veya tipi sonradan silinmiş bir şirket. Satır sayısı:</t>
  </si>
  <si>
    <t>zeros</t>
  </si>
  <si>
    <t>AN_Anomaly: a line amount is 'round' when its |gross amount| (original currency) is a whole multiple of 10^RoundAmountZeros (3 = 1,000) (DRAFT)</t>
  </si>
  <si>
    <t>RoundAmountZeros</t>
  </si>
  <si>
    <t>sigma</t>
  </si>
  <si>
    <t>AN_Anomaly: CUSUM reference value k in standard deviations (the decision interval h is the AlertLevel of TH09) (DRAFT)</t>
  </si>
  <si>
    <t>CusumK</t>
  </si>
  <si>
    <t>AN_Anomaly: trailing months (before the selected one) used for the median / MAD and the X-mR centre and limits</t>
  </si>
  <si>
    <t>AnomalyHistoryMonths</t>
  </si>
  <si>
    <t>rows</t>
  </si>
  <si>
    <t>AN_Watchlist: at most this many alert rows per segment</t>
  </si>
  <si>
    <t>WatchlistTopN</t>
  </si>
  <si>
    <t>Şirketin aylık ödenen, satır ve dosya başı ortalaması için (ln x − medyan) / (1,4826 × MAD), önceki 24 ay / (ln x − median) / (1.4826 × MAD) of the company's monthly paid, lines and mean per case over the 24 months before</t>
  </si>
  <si>
    <t>GrossAmountTRY; CaseKey</t>
  </si>
  <si>
    <t>|z| &gt;= 2.5 iki ay üst üste WATCH, &gt;= 3.5 ALERT / |z| &gt;= 2.5 two months running is WATCH, &gt;= 3.5 ALERT</t>
  </si>
  <si>
    <t>(worksheet) AN_Anomaly anAnom; pvtAN_CM: Paid TRY, Payment Lines, Cases, Mean Paid per Case TRY</t>
  </si>
  <si>
    <t>Teslim dosyasını ve kontrol panelini kontrol edin; şirketle doğrulayın / Check the delivery and the control panel; confirm with the company</t>
  </si>
  <si>
    <t>30 lines; 12 months</t>
  </si>
  <si>
    <t>Taslak eşik; 12 aydan az geçmiş veya 30 satırdan az: INSUFFICIENT DATA / Draft level; under 12 months of history or 30 lines: INSUFFICIENT DATA</t>
  </si>
  <si>
    <t>TH13; TH14; TH15</t>
  </si>
  <si>
    <t>Log aylık ödenen için bireysel değer grafiği: merkez = önceki 24 ayın ortalaması, σ = ortalama hareketli aralık / 1,128 / Individuals chart of log monthly paid: centre = mean of the 24 months before, σ = mean moving range / 1.128</t>
  </si>
  <si>
    <t>3σ dışı ALERT; merkezin bir yanında 8 ay WATCH / Beyond 3σ ALERT; 8 months on one side of the centre WATCH</t>
  </si>
  <si>
    <t>(worksheet) AN_Anomaly</t>
  </si>
  <si>
    <t>Seviye kaymasının nedenini araştırın / Investigate the cause of the level shift</t>
  </si>
  <si>
    <t>Taslak eşik / Draft level</t>
  </si>
  <si>
    <t>Standartlaştırılmış log ödenen için tablo CUSUM; taban 12 ay, izleme 12 ay, k = 0,5σ / Tabular CUSUM of standardised log paid; baseline 12 months, monitoring 12 months, k = 0.5σ</t>
  </si>
  <si>
    <t>max(S+, S−) &gt;= 4 WATCH, &gt;= 5 ALERT / max(S+, S−) &gt;= 4 WATCH, &gt;= 5 ALERT</t>
  </si>
  <si>
    <t>Kalıcı küçük kayma: ürün, süreç veya teslim değişikliğini sorun / Persistent small shift: ask about product, process or delivery changes</t>
  </si>
  <si>
    <t>30 lines; 24 months</t>
  </si>
  <si>
    <t>24 ay gerekir / Needs 24 months</t>
  </si>
  <si>
    <t>Ayın satır tutarlarının ilk hane dağılımı: MAD ve ki-kare (8 sd) / First-digit distribution of the month's line amounts: MAD and chi-square (8 df)</t>
  </si>
  <si>
    <t>GrossAmount (original currency)</t>
  </si>
  <si>
    <t>MAD &lt; 0,012 uyumlu; 0,012-0,015 sınırda; &gt; 0,015 uyumsuz / MAD &lt; 0.012 conforming; 0.012-0.015 marginal; &gt; 0.015 nonconforming</t>
  </si>
  <si>
    <t>(worksheet) AN_Anomaly; pvtAN_Dig (FactPayment[FirstDigit], Payment Lines)</t>
  </si>
  <si>
    <t>Uyumsuzlukta yuvarlak / tekrarlı tutarlara bakın / On nonconformity look for round or repeated amounts</t>
  </si>
  <si>
    <t>Yer tutucu (*) onaylanana kadar; poliçe limitleri ve sabit teminatlar Benford'a uymayabilir / Placeholder (*) until approved; policy limits and fixed benefits need not follow Benford</t>
  </si>
  <si>
    <t>MAD</t>
  </si>
  <si>
    <t>|Brüt tutarı| 10^RoundAmountZeros'un katı olan satırların payı / Share of lines whose |gross amount| is a multiple of 10^RoundAmountZeros</t>
  </si>
  <si>
    <t>Kendi geçmişine göre z &gt;= 2,5 iki ay üst üste WATCH / z &gt;= 2.5 against own history two months running is WATCH</t>
  </si>
  <si>
    <t>Round Amount Lines; Payment Lines</t>
  </si>
  <si>
    <t>Tahmini veya elle girilmiş ödemeleri sorun / Ask about estimated or manually keyed payments</t>
  </si>
  <si>
    <t>[Round Amount Lines] = VAR p = LOOKUPVALUE ( AnParam[Value], AnParam[Param], "RoundAmountZeros" ) VAR z = IF ( ISBLANK ( p ), 3, p ) RETURN CALCULATE ( COUNTROWS ( FactPayment ), FactPayment[AmountZeros] &gt;= z )</t>
  </si>
  <si>
    <t>TH16</t>
  </si>
  <si>
    <t>Ödeme niteliği karmasının (satır sayısı) önceki 12 aya göre kayması / Shift of the payment-nature mix (line counts) against the 12 months before</t>
  </si>
  <si>
    <t>ReasonCode -&gt; PaymentNature</t>
  </si>
  <si>
    <t>&lt; 0,10 kararlı; 0,10-0,25 kayma; &gt; 0,25 büyük kayma / &lt; 0.10 stable; 0.10-0.25 shift; &gt; 0.25 major shift</t>
  </si>
  <si>
    <t>(worksheet) AN_Anomaly; pvtAN_CMN</t>
  </si>
  <si>
    <t>Nitelik eşleme tablosunu ve ürün değişikliklerini kontrol edin / Check the nature map and product changes</t>
  </si>
  <si>
    <t>Popülasyon kararlılık endeksi (PSI)</t>
  </si>
  <si>
    <t>100 lines; 12 months</t>
  </si>
  <si>
    <t>Yer tutucu (*) onaylanana kadar / Placeholder (*) until approved</t>
  </si>
  <si>
    <t>PSI</t>
  </si>
  <si>
    <t>Hafta sonu veya ayın son üç gününde ödenen satırların payı / Share of lines paid on a weekend or in the last three days of the month</t>
  </si>
  <si>
    <t>AM07</t>
  </si>
  <si>
    <t>Payment-day pattern</t>
  </si>
  <si>
    <t>Weekend Payment Lines; Month-End Payment Lines; Payment Lines</t>
  </si>
  <si>
    <t>Kesim (cut-off) ve toplu kayıt uygulamalarını sorun / Ask about cut-off and batch posting practices</t>
  </si>
  <si>
    <t>Ödeme günü örüntüsü</t>
  </si>
  <si>
    <t>[Weekend Payment Lines] = CALCULATE ( COUNTROWS ( FactPayment ), FactPayment[PayDayClass] = "WEEKEND" ) || [Month-End Payment Lines] = CALCULATE ( COUNTROWS ( FactPayment ), FactPayment[PayDayClass] = "MONTH-END" )</t>
  </si>
  <si>
    <t>TH17</t>
  </si>
  <si>
    <t>ALERT 3, WATCH 1, artı gösterge gücü (|z| / 10, en çok 1); yer tutucu ve yetersiz veri hariç / ALERT 3, WATCH 1, plus the indicator's strength (|z| / 10, at most 1); placeholders and insufficient data excluded</t>
  </si>
  <si>
    <t>WL01</t>
  </si>
  <si>
    <t>Segment içinde yüksekten düşüğe / Highest first within each segment</t>
  </si>
  <si>
    <t>Watchlist severity score</t>
  </si>
  <si>
    <t>(worksheet) AN_Watchlist</t>
  </si>
  <si>
    <t>Üstten başlayarak inceleyin / Review from the top</t>
  </si>
  <si>
    <t>İzleme listesi önem puanı</t>
  </si>
  <si>
    <t>Segmentler karşılaştırılmaz / Segments are never compared</t>
  </si>
  <si>
    <t>TH08-TH17</t>
  </si>
  <si>
    <t>score</t>
  </si>
  <si>
    <t>Standard individuals-chart rules (one point beyond 3 sigma; a run of 8 on one side), on the log scale because monthly amounts are right-skewed</t>
  </si>
  <si>
    <t>Individuals chart on ln(monthly paid TRY) of the company: centre = mean of the up to 24 months before the selected month, sigma = mean moving range / 1.128; ALERT beyond AlertLevel (3) sigma; WATCH when the selected month and the 7 months before lie on one side of the centre (run of WatchLevel = 8)</t>
  </si>
  <si>
    <t>WATCH: run of 8 on one side; ALERT: 1 point</t>
  </si>
  <si>
    <t>Detects small persistent shifts that a single-month z-score misses; k = 0.5 and h = 5 are the textbook choice (ARL0 about 465)</t>
  </si>
  <si>
    <t>Tabular CUSUM of standardised ln(monthly paid TRY): baseline = the 12 months M-23..M-12 (mean; sigma = mean moving range / 1.128), monitoring = M-11..M; k = AnParam CusumK (0.5 sigma); WATCH when max(S+, S-) at M &gt;= WatchLevel (4), ALERT &gt;= AlertLevel (5 = h)</t>
  </si>
  <si>
    <t>ALERT: 1 (the CUSUM itself accumulates)</t>
  </si>
  <si>
    <t>Published conformity bands; a placeholder (*) until the owner approves them for this portfolio (payments with policy limits and fixed benefits need not follow Benford)</t>
  </si>
  <si>
    <t>First significant digit of |gross amount| (original currency) of the month's lines: MAD = mean |observed share - log10(1 + 1/d)| over d = 1..9; bands (Nigrini, first digit): &lt; 0.006 close, 0.006-0.012 acceptable, 0.012-0.015 marginal, &gt; 0.015 nonconformity; chi-square (8 df) shown, not used (over-sensitive with many lines)</t>
  </si>
  <si>
    <t>Customary PSI bands (&lt; 0.10 stable, 0.10-0.25 shift, &gt; 0.25 major shift); a placeholder (*) until approved</t>
  </si>
  <si>
    <t>PSI = sum (a - e) ln(a / e) over payment natures; a = share of the month's lines, e = share of the lines of the 12 months before; shares floored at 0.0001</t>
  </si>
  <si>
    <t>Level of the company's monthly paid against its own history; log scale for right-skewed amounts (as TH12 at segment level)</t>
  </si>
  <si>
    <t>Paid TRY of the company in the month; z = (ln x - median(ln h)) / (1.4826 x MAD(ln h)); h = the up to AnomalyHistoryMonths (24) months before the selected month with a positive value; two-sided</t>
  </si>
  <si>
    <t>TH13</t>
  </si>
  <si>
    <t>Volume of the delivery against the company's own history (a missing or doubled file shows here first)</t>
  </si>
  <si>
    <t>Payment lines of the company in the month; z = (ln x - median(ln h)) / (1.4826 x MAD(ln h)); h = the up to AnomalyHistoryMonths (24) months before the selected month with a positive value; two-sided</t>
  </si>
  <si>
    <t>TH14</t>
  </si>
  <si>
    <t>Severity level against the company's own history</t>
  </si>
  <si>
    <t>Mean paid TRY per case of the company in the month; z = (ln x - median(ln h)) / (1.4826 x MAD(ln h)); h = the up to AnomalyHistoryMonths (24) months before the selected month with a positive value; two-sided; n = cases</t>
  </si>
  <si>
    <t>TH15</t>
  </si>
  <si>
    <t>A jump in round amounts can mean estimated or manually keyed payments; compared with the company's own habit, not a fixed share</t>
  </si>
  <si>
    <t>Share of round-amount lines (AnParam RoundAmountZeros); z = (share - median(h)) / max(1.4826 x MAD(h), binomial standard error sqrt(p(1-p)/n) at the median share p and the month's lines n); h = the up to 24 months before; one-sided (more is unusual)</t>
  </si>
  <si>
    <t>STAT_Z</t>
  </si>
  <si>
    <t>Clustering at month end or on non-working days against the company's own pattern (cut-off effects, batch postings)</t>
  </si>
  <si>
    <t>Share of lines paid on a weekend or in the last three days of the month; z = (share - median(h)) / max(1.4826 x MAD(h), binomial standard error sqrt(p(1-p)/n) at the median share p and the month's lines n); h = the up to 24 months before; one-sided (more is unusual)</t>
  </si>
  <si>
    <t>Round Amount Lines</t>
  </si>
  <si>
    <t>Weekend Payment Lines</t>
  </si>
  <si>
    <t>Month-End Payment Lines</t>
  </si>
  <si>
    <t>FirstDigit</t>
  </si>
  <si>
    <t>month keys of pvtAN_CM / pvtAN_Dig / pvtAN_CMN (year x 12 + month)</t>
  </si>
  <si>
    <t>calc (hidden): AB3 segment, AB4 months of the segment, AB5 month, AB6 month key, AB8# companies, AC8# anAnom rows (30 columns)</t>
  </si>
  <si>
    <t>grid order (row numbers of AC8#)</t>
  </si>
  <si>
    <t>detail calc: CA3 company, CA4 row in AC8#, CA5 history months, CA6 alert level (sigma), CA7 months with data; series from CB8</t>
  </si>
  <si>
    <t>key</t>
  </si>
  <si>
    <t>paid k</t>
  </si>
  <si>
    <t>centre</t>
  </si>
  <si>
    <t>UCL</t>
  </si>
  <si>
    <t>LCL</t>
  </si>
  <si>
    <t>cusum key</t>
  </si>
  <si>
    <t>S+</t>
  </si>
  <si>
    <t>S-</t>
  </si>
  <si>
    <t>h</t>
  </si>
  <si>
    <t>digit</t>
  </si>
  <si>
    <t>observed</t>
  </si>
  <si>
    <t>expected</t>
  </si>
  <si>
    <t>calc (hidden): AB2 index readiness, AB5 month, AB6 key, AB8# companies (all segments), AC8# anAnom rows, BH8# alert list</t>
  </si>
  <si>
    <t>all statuses: segment, company, indicator, value, status, strength</t>
  </si>
  <si>
    <t>counted alerts ranked within segment (top N): segment, company, indicator, value, status, score</t>
  </si>
  <si>
    <t>s:Atanmamış segment: şirket listesinde segmenti (tipi) olmayan satırlar - aktif ayda listede olmayan bir şirketin satırları (kapanamaz) veya tipi sonradan silinmiş bir şirket. Satır sayısı:</t>
  </si>
  <si>
    <t>s:Unassigned segment: lines whose company has no segment (type) in the company list - in the active month the lines of a company outside the list (they cannot be closed), or a company whose type was removed later. Lines:</t>
  </si>
  <si>
    <t>s:Atanmamış segment: şirket listesinde segmenti (tipi) olmayan satırlar - aktif ayda listede olmayan bir şirketin satırları (kapanamaz) veya tipi sonradan silinmiş bir şirket. Satır sayısı:
Unassigned segment: lines whose company has no segment (type) in the company list - in the active month the lines of a company outside the list (they cannot be closed), or a company whose type was removed later. Lines:</t>
  </si>
  <si>
    <t>s:AN_NAV_ANOMALY</t>
  </si>
  <si>
    <t>s:Anomali</t>
  </si>
  <si>
    <t>s:Anomali
Anomaly</t>
  </si>
  <si>
    <t>s:AN_NAV_WATCHLIST</t>
  </si>
  <si>
    <t>s:İzleme listesi</t>
  </si>
  <si>
    <t>s:Watchlist</t>
  </si>
  <si>
    <t>s:İzleme listesi
Watchlist</t>
  </si>
  <si>
    <t>s:AN_NAV_RAWVIEW</t>
  </si>
  <si>
    <t>s:Satırlar</t>
  </si>
  <si>
    <t>s:Raw view</t>
  </si>
  <si>
    <t>s:Satırlar
Raw view</t>
  </si>
  <si>
    <t>s:AN_Q_ANOMALY</t>
  </si>
  <si>
    <t>s:Bir şirketin bu ayki ödemeleri kendi geçmişine göre istatistiksel olarak olağandışı mı?</t>
  </si>
  <si>
    <t>s:Are a company's payments this month statistically unusual against its own history?</t>
  </si>
  <si>
    <t>s:Bir şirketin bu ayki ödemeleri kendi geçmişine göre istatistiksel olarak olağandışı mı?
Are a company's payments this month statistically unusual against its own history?</t>
  </si>
  <si>
    <t>s:AN_Q_WATCHLIST</t>
  </si>
  <si>
    <t>s:İncelemeci bu ay neye bakmalı?</t>
  </si>
  <si>
    <t>s:What must the reviewer look at this month?</t>
  </si>
  <si>
    <t>s:İncelemeci bu ay neye bakmalı?
What must the reviewer look at this month?</t>
  </si>
  <si>
    <t>s:AN_AUD_REV</t>
  </si>
  <si>
    <t>s:İncelemeci, aktüerya</t>
  </si>
  <si>
    <t>s:Reviewer, actuarial</t>
  </si>
  <si>
    <t>s:İncelemeci, aktüerya
Reviewer, actuarial</t>
  </si>
  <si>
    <t>s:AN_ANO_PURPOSE</t>
  </si>
  <si>
    <t>s:Segmentteki her şirket, seçilen ay: ödenen, satır ve dosya başına ortalama için dayanıklı z (medyan / MAD, log ölçek), kontrol grafiği (X-mR) ve CUSUM; yuvarlak tutar ve ödeme günü örüntüsü; Benford ilk hane; ödeme niteliği karması (PSI).</t>
  </si>
  <si>
    <t>s:Every company of the segment, selected month: robust z (median / MAD, log scale) of paid, lines and mean per case, control chart (X-mR) and CUSUM; round-amount and payment-day patterns; Benford first digit; payment-nature mix (PSI).</t>
  </si>
  <si>
    <t>s:Segmentteki her şirket, seçilen ay: ödenen, satır ve dosya başına ortalama için dayanıklı z (medyan / MAD, log ölçek), kontrol grafiği (X-mR) ve CUSUM; yuvarlak tutar ve ödeme günü örüntüsü; Benford ilk hane; ödeme niteliği karması (PSI).
Every company of the segment, selected month: robust z (median / MAD, log scale) of paid, lines and mean per case, control chart (X-mR) and CUSUM; round-amount and payment-day patterns; Benford first digit; payment-nature mix (PSI).</t>
  </si>
  <si>
    <t>s:AN_HOWTO_ANOMALY</t>
  </si>
  <si>
    <t>s:Nasıl okunur: her hücre bir şirketin bir göstergesinin durumudur. '(draft)' eşikler henüz onaylanmamıştır; '*' işaretli durumlar yer tutucudur, sayılmaz ve sıralanmaz. Grafikler sağdaki şirket seçimini gösterir.</t>
  </si>
  <si>
    <t>s:How to read: each cell is the status of one indicator of one company. '(draft)' levels are not approved yet; statuses ending in '*' are placeholders and are never counted or ranked. The charts show the company selected on the right.</t>
  </si>
  <si>
    <t>s:Nasıl okunur: her hücre bir şirketin bir göstergesinin durumudur. '(draft)' eşikler henüz onaylanmamıştır; '*' işaretli durumlar yer tutucudur, sayılmaz ve sıralanmaz. Grafikler sağdaki şirket seçimini gösterir.
How to read: each cell is the status of one indicator of one company. '(draft)' levels are not approved yet; statuses ending in '*' are placeholders and are never counted or ranked. The charts show the company selected on the right.</t>
  </si>
  <si>
    <t>s:AN_WL_PURPOSE</t>
  </si>
  <si>
    <t>s:Seçilen ayın uyarıları (WATCH / ALERT), her segmentte önem puanına göre sıralı; segment başına en fazla N satır.</t>
  </si>
  <si>
    <t>s:Alerts (WATCH / ALERT) of the selected month, ranked by severity score within each segment; at most N rows per segment.</t>
  </si>
  <si>
    <t>s:Seçilen ayın uyarıları (WATCH / ALERT), her segmentte önem puanına göre sıralı; segment başına en fazla N satır.
Alerts (WATCH / ALERT) of the selected month, ranked by severity score within each segment; at most N rows per segment.</t>
  </si>
  <si>
    <t>s:AN_HOWTO_WATCHLIST</t>
  </si>
  <si>
    <t>s:Nasıl okunur: puan = ALERT 3, WATCH 1, artı göstergenin gücü (|z| / 10, en fazla 1). Yer tutucu (*) ve INSUFFICIENT DATA durumları listede yoktur. Segmentler birbiriyle karşılaştırılmaz; 'Git' anomali sayfasını açar (segment ve şirketi orada seçin).</t>
  </si>
  <si>
    <t>s:How to read: score = ALERT 3, WATCH 1, plus the indicator's strength (|z| / 10, at most 1). Placeholder (*) and INSUFFICIENT DATA statuses are not listed. Segments are never compared with each other; 'Go' opens the anomaly page (select segment and company there).</t>
  </si>
  <si>
    <t>s:Nasıl okunur: puan = ALERT 3, WATCH 1, artı göstergenin gücü (|z| / 10, en fazla 1). Yer tutucu (*) ve INSUFFICIENT DATA durumları listede yoktur. Segmentler birbiriyle karşılaştırılmaz; 'Git' anomali sayfasını açar (segment ve şirketi orada seçin).
How to read: score = ALERT 3, WATCH 1, plus the indicator's strength (|z| / 10, at most 1). Placeholder (*) and INSUFFICIENT DATA statuses are not listed. Segments are never compared with each other; 'Go' opens the anomaly page (select segment and company there).</t>
  </si>
  <si>
    <t>s:AN_IND_ZPAID</t>
  </si>
  <si>
    <t>s:Ödenen (z)</t>
  </si>
  <si>
    <t>s:Paid (z)</t>
  </si>
  <si>
    <t>s:Ödenen (z)
Paid (z)</t>
  </si>
  <si>
    <t>s:AN_IND_ZLINES</t>
  </si>
  <si>
    <t>s:Satır (z)</t>
  </si>
  <si>
    <t>s:Lines (z)</t>
  </si>
  <si>
    <t>s:Satır (z)
Lines (z)</t>
  </si>
  <si>
    <t>s:AN_IND_ZMEAN</t>
  </si>
  <si>
    <t>s:Dosya başı ort. (z)</t>
  </si>
  <si>
    <t>s:Mean per case (z)</t>
  </si>
  <si>
    <t>s:Dosya başı ort. (z)
Mean per case (z)</t>
  </si>
  <si>
    <t>s:AN_IND_XMR</t>
  </si>
  <si>
    <t>s:X-mR (ödenen)</t>
  </si>
  <si>
    <t>s:X-mR (paid)</t>
  </si>
  <si>
    <t>s:X-mR (ödenen)
X-mR (paid)</t>
  </si>
  <si>
    <t>s:AN_IND_CUSUM</t>
  </si>
  <si>
    <t>s:CUSUM (ödenen)</t>
  </si>
  <si>
    <t>s:CUSUM (paid)</t>
  </si>
  <si>
    <t>s:CUSUM (ödenen)
CUSUM (paid)</t>
  </si>
  <si>
    <t>s:AN_IND_ROUND</t>
  </si>
  <si>
    <t>s:Yuvarlak tutar</t>
  </si>
  <si>
    <t>s:Round amounts</t>
  </si>
  <si>
    <t>s:Yuvarlak tutar
Round amounts</t>
  </si>
  <si>
    <t>s:AN_IND_DAYS</t>
  </si>
  <si>
    <t>s:Hafta sonu / ay sonu</t>
  </si>
  <si>
    <t>s:Weekend / month-end</t>
  </si>
  <si>
    <t>s:Hafta sonu / ay sonu
Weekend / month-end</t>
  </si>
  <si>
    <t>s:AN_IND_BENFORD</t>
  </si>
  <si>
    <t>s:Benford ilk hane</t>
  </si>
  <si>
    <t>s:Benford first digit</t>
  </si>
  <si>
    <t>s:Benford ilk hane
Benford first digit</t>
  </si>
  <si>
    <t>s:AN_IND_PSI</t>
  </si>
  <si>
    <t>s:Nitelik karması (PSI)</t>
  </si>
  <si>
    <t>s:Nature mix (PSI)</t>
  </si>
  <si>
    <t>s:Nitelik karması (PSI)
Nature mix (PSI)</t>
  </si>
  <si>
    <t>s:AN_LBL_COMPANY</t>
  </si>
  <si>
    <t>s:AN_ANO_GRID</t>
  </si>
  <si>
    <t>s:Durum, seçilen ay (üst satır) ve değer (alt satır)</t>
  </si>
  <si>
    <t>s:Status, selected month (upper line) and value (lower line)</t>
  </si>
  <si>
    <t>s:Durum, seçilen ay (üst satır) ve değer (alt satır)
Status, selected month (upper line) and value (lower line)</t>
  </si>
  <si>
    <t>s:AN_ANO_DETAIL</t>
  </si>
  <si>
    <t>s:Ayrıntı: seçilen şirket</t>
  </si>
  <si>
    <t>s:Detail: selected company</t>
  </si>
  <si>
    <t>s:Ayrıntı: seçilen şirket
Detail: selected company</t>
  </si>
  <si>
    <t>s:AN_ANO_XMR_T</t>
  </si>
  <si>
    <t>s:X-mR: aylık ödenen (bin TL), merkez ve 3σ sınırları (log ölçekte)</t>
  </si>
  <si>
    <t>s:X-mR: monthly paid (TRY k), centre and 3σ limits (log scale)</t>
  </si>
  <si>
    <t>s:X-mR: aylık ödenen (bin TL), merkez ve 3σ sınırları (log ölçekte)
X-mR: monthly paid (TRY k), centre and 3σ limits (log scale)</t>
  </si>
  <si>
    <t>s:AN_ANO_CUSUM_T</t>
  </si>
  <si>
    <t>s:CUSUM: log ödenen, standartlaştırılmış (S+ / S−, h)</t>
  </si>
  <si>
    <t>s:CUSUM: log paid, standardised (S+ / S−, h)</t>
  </si>
  <si>
    <t>s:CUSUM: log ödenen, standartlaştırılmış (S+ / S−, h)
CUSUM: log paid, standardised (S+ / S−, h)</t>
  </si>
  <si>
    <t>s:AN_ANO_BENF_T</t>
  </si>
  <si>
    <t>s:Benford: ilk hane payı, seçilen ay (gözlenen / beklenen)</t>
  </si>
  <si>
    <t>s:Benford: first-digit share, selected month (observed / expected)</t>
  </si>
  <si>
    <t>s:Benford: ilk hane payı, seçilen ay (gözlenen / beklenen)
Benford: first-digit share, selected month (observed / expected)</t>
  </si>
  <si>
    <t>s:AN_ANO_NOTE</t>
  </si>
  <si>
    <t>s:Eşikler taslaktır (DRAFT). Benford ve PSI bantları yayımlanmış sabit değerlerdir: sahibi onaylayana kadar durumları yer tutucudur (*). İstatistiksel sinyal bir hatanın kanıtı değildir: önce kaynak dosyaya ve kontrol paneline bakın.</t>
  </si>
  <si>
    <t>s:Levels are DRAFT. The Benford and PSI bands are published fixed values: until the owner approves them their statuses are placeholders (*). A statistical signal is not proof of an error: check the source file and the control panel first.</t>
  </si>
  <si>
    <t>s:Eşikler taslaktır (DRAFT). Benford ve PSI bantları yayımlanmış sabit değerlerdir: sahibi onaylayana kadar durumları yer tutucudur (*). İstatistiksel sinyal bir hatanın kanıtı değildir: önce kaynak dosyaya ve kontrol paneline bakın.
Levels are DRAFT. The Benford and PSI bands are published fixed values: until the owner approves them their statuses are placeholders (*). A statistical signal is not proof of an error: check the source file and the control panel first.</t>
  </si>
  <si>
    <t>s:AN_FOOT_ANOMALY</t>
  </si>
  <si>
    <t>s:Yöntem: dayanıklı z = (ln x − medyan) / (1,4826 × MAD), cari aydan önceki en çok 24 ay; X-mR merkez = log ödenen ortalaması, σ = ortalama hareketli aralık / 1,128; CUSUM k = 0,5σ, taban = 12 ay; paylarda alt sınır binom standart hatası; Benford MAD (Nigrini), PSI (satır sayısı, önceki 12 ay). Kayıp, rezerv veya frekans sonucu çıkarılmaz.</t>
  </si>
  <si>
    <t>s:Method: robust z = (ln x − median) / (1.4826 × MAD) over up to 24 months before the current one; X-mR centre = mean of log paid, σ = mean moving range / 1.128; CUSUM k = 0.5σ, baseline 12 months; shares floored at the binomial standard error; Benford MAD (Nigrini), PSI (line counts, the 12 months before). No loss, reserve or frequency conclusion is drawn.</t>
  </si>
  <si>
    <t>s:Yöntem: dayanıklı z = (ln x − medyan) / (1,4826 × MAD), cari aydan önceki en çok 24 ay; X-mR merkez = log ödenen ortalaması, σ = ortalama hareketli aralık / 1,128; CUSUM k = 0,5σ, taban = 12 ay; paylarda alt sınır binom standart hatası; Benford MAD (Nigrini), PSI (satır sayısı, önceki 12 ay). Kayıp, rezerv veya frekans sonucu çıkarılmaz.
Method: robust z = (ln x − median) / (1.4826 × MAD) over up to 24 months before the current one; X-mR centre = mean of log paid, σ = mean moving range / 1.128; CUSUM k = 0.5σ, baseline 12 months; shares floored at the binomial standard error; Benford MAD (Nigrini), PSI (line counts, the 12 months before). No loss, reserve or frequency conclusion is drawn.</t>
  </si>
  <si>
    <t>s:AN_ANO_N</t>
  </si>
  <si>
    <t>s:satır
lines</t>
  </si>
  <si>
    <t>s:AN_ANO_COMPANIES</t>
  </si>
  <si>
    <t>s:şirket</t>
  </si>
  <si>
    <t>s:companies</t>
  </si>
  <si>
    <t>s:şirket
companies</t>
  </si>
  <si>
    <t>s:AN_WL_SEG</t>
  </si>
  <si>
    <t>s:AN_WL_COMP</t>
  </si>
  <si>
    <t>s:AN_WL_IND</t>
  </si>
  <si>
    <t>s:Gösterge</t>
  </si>
  <si>
    <t>s:Indicator</t>
  </si>
  <si>
    <t>s:Gösterge
Indicator</t>
  </si>
  <si>
    <t>s:AN_WL_VAL</t>
  </si>
  <si>
    <t>s:Değer</t>
  </si>
  <si>
    <t>s:Value</t>
  </si>
  <si>
    <t>s:Değer
Value</t>
  </si>
  <si>
    <t>s:AN_WL_STATUS</t>
  </si>
  <si>
    <t>s:Status</t>
  </si>
  <si>
    <t>s:Durum
Status</t>
  </si>
  <si>
    <t>s:AN_WL_SCORE</t>
  </si>
  <si>
    <t>s:Puan</t>
  </si>
  <si>
    <t>s:Score</t>
  </si>
  <si>
    <t>s:Puan
Score</t>
  </si>
  <si>
    <t>s:AN_WL_GO</t>
  </si>
  <si>
    <t>s:AN_WL_NONE</t>
  </si>
  <si>
    <t>s:Bu ay sayılan uyarı yok</t>
  </si>
  <si>
    <t>s:No counted alert this month</t>
  </si>
  <si>
    <t>s:Bu ay sayılan uyarı yok
No counted alert this month</t>
  </si>
  <si>
    <t>s:AN_WL_SUMMARY</t>
  </si>
  <si>
    <t>s:Özet (seçilen ay, şirket × gösterge)</t>
  </si>
  <si>
    <t>s:Summary (selected month, company × indicator)</t>
  </si>
  <si>
    <t>s:Özet (seçilen ay, şirket × gösterge)
Summary (selected month, company × indicator)</t>
  </si>
  <si>
    <t>s:AN_WL_COUNTS</t>
  </si>
  <si>
    <t>s:ALERT / WATCH / yer tutucu * / INSUFFICIENT DATA</t>
  </si>
  <si>
    <t>s:ALERT / WATCH / placeholder * / INSUFFICIENT DATA</t>
  </si>
  <si>
    <t>s:ALERT / WATCH / yer tutucu * / INSUFFICIENT DATA
ALERT / WATCH / placeholder * / INSUFFICIENT DATA</t>
  </si>
  <si>
    <t>s:AN_WL_TOPN</t>
  </si>
  <si>
    <t>s:Segment başına en fazla {0} satır</t>
  </si>
  <si>
    <t>s:At most {0} rows per segment</t>
  </si>
  <si>
    <t>s:Segment başına en fazla {0} satır
At most {0} rows per segment</t>
  </si>
  <si>
    <t>s:BANNER_LOCATION</t>
  </si>
  <si>
    <t>s:Platform bir web adresinden veya eşitlenen bir bulut klasöründen (OneDrive / SharePoint) açıldı: {0}. Platform yalnızca yerel ya da ağ (UNC) klasöründen çalışır; veri değiştiren komutlar kapalı. Dosyayı ve klasörlerini platform klasörüne taşıyın (Yönetim Kılavuzu, konum).</t>
  </si>
  <si>
    <t>s:The platform is opened from a web address or a synchronised cloud folder (OneDrive / SharePoint): {0}. It runs only from a local or network (UNC) folder; commands that change data are disabled. Move the file and its folders to the platform folder (Admin Guide, location).</t>
  </si>
  <si>
    <t>s:Platform bir web adresinden veya eşitlenen bir bulut klasöründen (OneDrive / SharePoint) açıldı: {0}. Platform yalnızca yerel ya da ağ (UNC) klasöründen çalışır; veri değiştiren komutlar kapalı. Dosyayı ve klasörlerini platform klasörüne taşıyın (Yönetim Kılavuzu, konum).
The platform is opened from a web address or a synchronised cloud folder (OneDrive / SharePoint): {0}. It runs only from a local or network (UNC) folder; commands that change data are disabled. Move the file and its folders to the platform folder (Admin Guide, location).</t>
  </si>
  <si>
    <t>s:BLOCKED_LOCATION</t>
  </si>
  <si>
    <t>s:{0} yapılamaz: platform bulut / web konumundan açıldı ({1}). Yerel veya ağ (UNC) klasöründen açın.</t>
  </si>
  <si>
    <t>s:{0} cannot run: the platform is opened from a cloud or web location ({1}). Open it from a local or network (UNC) folder.</t>
  </si>
  <si>
    <t>s:{0} yapılamaz: platform bulut / web konumundan açıldı ({1}). Yerel veya ağ (UNC) klasöründen açın.
{0} cannot run: the platform is opened from a cloud or web location ({1}). Open it from a local or network (UNC) folder.</t>
  </si>
  <si>
    <t>s:PWD_FORM_BROKEN</t>
  </si>
  <si>
    <t>s:Parola penceresi bozuk: {0}. Parola girişi reddedildi (parola maskesiz bir kutuya asla yazılmaz). Bir Yönetici frmPassword.frm ve .frx dosyalarını src\vba'dan yeniden almalı (Yönetim Kılavuzu).</t>
  </si>
  <si>
    <t>s:The password window is damaged: {0}. Password entry is refused (a password is never typed into an unmasked box). An Administrator re-imports frmPassword.frm and .frx from src\vba (Admin Guide).</t>
  </si>
  <si>
    <t>s:Parola penceresi bozuk: {0}. Parola girişi reddedildi (parola maskesiz bir kutuya asla yazılmaz). Bir Yönetici frmPassword.frm ve .frx dosyalarını src\vba'dan yeniden almalı (Yönetim Kılavuzu).
The password window is damaged: {0}. Password entry is refused (a password is never typed into an unmasked box). An Administrator re-imports frmPassword.frm and .frx from src\vba (Admin Guide).</t>
  </si>
  <si>
    <t>s:ASK_SOURCE_REASON</t>
  </si>
  <si>
    <t>s:KAYNAK DOSYAYI AÇ
{0}
Kaynak dosya kişisel veri içerir. Açma nedeni (kayda geçer):</t>
  </si>
  <si>
    <t>s:OPEN SOURCE FILE
{0}
The source file holds personal data. Reason for opening it (logged):</t>
  </si>
  <si>
    <t>s:KAYNAK DOSYAYI AÇ
{0}
Kaynak dosya kişisel veri içerir. Açma nedeni (kayda geçer):
OPEN SOURCE FILE
{0}
The source file holds personal data. Reason for opening it (logged):</t>
  </si>
  <si>
    <t>s:ASK_MAP_APPROVAL</t>
  </si>
  <si>
    <t>s:KOLON HARİTASINI KİLİTLE (Yönetici)
Alan seçimini kim, hangi tarihte onayladı? (ör. ColumnMap_proposal, &lt;ad&gt; tarafından &lt;tarih&gt; tarihinde imzalandı)</t>
  </si>
  <si>
    <t>s:LOCK COLUMN MAP (Administrator)
Who approved the field selection, and when? (e.g. ColumnMap_proposal signed by &lt;name&gt; on &lt;date&gt;)</t>
  </si>
  <si>
    <t>s:KOLON HARİTASINI KİLİTLE (Yönetici)
Alan seçimini kim, hangi tarihte onayladı? (ör. ColumnMap_proposal, &lt;ad&gt; tarafından &lt;tarih&gt; tarihinde imzalandı)
LOCK COLUMN MAP (Administrator)
Who approved the field selection, and when? (e.g. ColumnMap_proposal signed by &lt;name&gt; on &lt;date&gt;)</t>
  </si>
  <si>
    <t>s:CONFIRM_LOCK_MAP</t>
  </si>
  <si>
    <t>s:Kilitten sonra model alanlarını değiştirmek kilidi kaldırmayı ve depoyu yeniden kurmayı gerektirir. Kilitlemek için LOCK yazın.</t>
  </si>
  <si>
    <t>s:After the lock, changing the model fields means unlocking and rebuilding the store. Type LOCK to lock.</t>
  </si>
  <si>
    <t>s:Kilitten sonra model alanlarını değiştirmek kilidi kaldırmayı ve depoyu yeniden kurmayı gerektirir. Kilitlemek için LOCK yazın.
After the lock, changing the model fields means unlocking and rebuilding the store. Type LOCK to lock.</t>
  </si>
  <si>
    <t>s:ASK_MAP_UNLOCK_REASON</t>
  </si>
  <si>
    <t>s:KOLON HARİTASI KİLİDİNİ KALDIR (Yönetici)
Neden? Kilit yeniden konana kadar Geçmişi dondur, Dönem kapat ve Depoyu yeniden kur engellenir; olay YÜKSEK önemle kaydedilir.</t>
  </si>
  <si>
    <t>s:UNLOCK COLUMN MAP (Administrator)
Why? Backfill, Close and Rebuild store are blocked until the map is locked again; the event is logged with severity HIGH.</t>
  </si>
  <si>
    <t>s:KOLON HARİTASI KİLİDİNİ KALDIR (Yönetici)
Neden? Kilit yeniden konana kadar Geçmişi dondur, Dönem kapat ve Depoyu yeniden kur engellenir; olay YÜKSEK önemle kaydedilir.
UNLOCK COLUMN MAP (Administrator)
Why? Backfill, Close and Rebuild store are blocked until the map is locked again; the event is logged with severity HIGH.</t>
  </si>
  <si>
    <t>s:AN_Q_RAWVIEW</t>
  </si>
  <si>
    <t>s:Seçilen şirket ve dönemlerin satırları neler, kayıtlı toplamlarla tutuyor mu?</t>
  </si>
  <si>
    <t>s:What are the lines of the selected companies and months, and do they reconcile to the recorded totals?</t>
  </si>
  <si>
    <t>s:Seçilen şirket ve dönemlerin satırları neler, kayıtlı toplamlarla tutuyor mu?
What are the lines of the selected companies and months, and do they reconcile to the recorded totals?</t>
  </si>
  <si>
    <t>s:AN_AUD_RAW</t>
  </si>
  <si>
    <t>s:Analist, Hazırlayan, İncelemeci</t>
  </si>
  <si>
    <t>s:Analyst, Preparer, Reviewer</t>
  </si>
  <si>
    <t>s:Analist, Hazırlayan, İncelemeci
Analyst, Preparer, Reviewer</t>
  </si>
  <si>
    <t>s:AN_RV_READY</t>
  </si>
  <si>
    <t>s:Komutla doldurulur; satırlar dosyayla kaydedilmez</t>
  </si>
  <si>
    <t>s:Filled by a command; the lines are never saved with the file</t>
  </si>
  <si>
    <t>s:Komutla doldurulur; satırlar dosyayla kaydedilmez
Filled by a command; the lines are never saved with the file</t>
  </si>
  <si>
    <t>s:AN_RV_TITLE</t>
  </si>
  <si>
    <t>s:Satırlar: seçilen şirketler ve dönemler</t>
  </si>
  <si>
    <t>s:Raw view: selected companies and months</t>
  </si>
  <si>
    <t>s:Satırlar: seçilen şirketler ve dönemler
Raw view: selected companies and months</t>
  </si>
  <si>
    <t>s:AN_RV_PURPOSE</t>
  </si>
  <si>
    <t>s:Kapanmış aylar depodan (kapanıştaki haliyle), açık ay incelenen aktif satırlardan; yalnızca şirket listesindeki şirketler ve sözlüğün kişisel olmayan model alanları.</t>
  </si>
  <si>
    <t>s:Closed months from the store (as closed), the open month from the reviewed active lines; only companies in the company list and the non-personal model fields of the dictionary.</t>
  </si>
  <si>
    <t>s:Kapanmış aylar depodan (kapanıştaki haliyle), açık ay incelenen aktif satırlardan; yalnızca şirket listesindeki şirketler ve sözlüğün kişisel olmayan model alanları.
Closed months from the store (as closed), the open month from the reviewed active lines; only companies in the company list and the non-personal model fields of the dictionary.</t>
  </si>
  <si>
    <t>s:AN_HOWTO_RAWVIEW</t>
  </si>
  <si>
    <t>s:Nasıl kullanılır: şirketleri (virgülle; boş = hepsi), başlangıç ve bitiş ayını (YYYYAA) girin, gerekirse nitelik veya dosya parçası seçin, 'Satırları göster'e basın. Mutabakat her şirket-ay için gösterilen satırları kayıtlı satırlarla karşılaştırır.</t>
  </si>
  <si>
    <t>s:How to use: enter the companies (comma-separated; blank = all), the first and last month (YYYYMM), optionally a nature or part of a case key, then press 'Show lines'. The reconciliation compares the lines shown with the recorded lines for each company-month.</t>
  </si>
  <si>
    <t>s:Nasıl kullanılır: şirketleri (virgülle; boş = hepsi), başlangıç ve bitiş ayını (YYYYAA) girin, gerekirse nitelik veya dosya parçası seçin, 'Satırları göster'e basın. Mutabakat her şirket-ay için gösterilen satırları kayıtlı satırlarla karşılaştırır.
How to use: enter the companies (comma-separated; blank = all), the first and last month (YYYYMM), optionally a nature or part of a case key, then press 'Show lines'. The reconciliation compares the lines shown with the recorded lines for each company-month.</t>
  </si>
  <si>
    <t>s:AN_RV_COMPANIES</t>
  </si>
  <si>
    <t>s:Şirketler</t>
  </si>
  <si>
    <t>s:Companies</t>
  </si>
  <si>
    <t>s:Şirketler
Companies</t>
  </si>
  <si>
    <t>s:AN_RV_FROM</t>
  </si>
  <si>
    <t>s:Başlangıç</t>
  </si>
  <si>
    <t>s:From</t>
  </si>
  <si>
    <t>s:Başlangıç
From</t>
  </si>
  <si>
    <t>s:AN_RV_TO</t>
  </si>
  <si>
    <t>s:Bitiş</t>
  </si>
  <si>
    <t>s:To</t>
  </si>
  <si>
    <t>s:Bitiş
To</t>
  </si>
  <si>
    <t>s:AN_RV_NATURE</t>
  </si>
  <si>
    <t>s:Nitelik</t>
  </si>
  <si>
    <t>s:Nature</t>
  </si>
  <si>
    <t>s:Nitelik
Nature</t>
  </si>
  <si>
    <t>s:AN_RV_CASE</t>
  </si>
  <si>
    <t>s:Dosya içerir</t>
  </si>
  <si>
    <t>s:Case contains</t>
  </si>
  <si>
    <t>s:Dosya içerir
Case contains</t>
  </si>
  <si>
    <t>s:AN_RV_SHOW</t>
  </si>
  <si>
    <t>s:Satırları göster / Show lines</t>
  </si>
  <si>
    <t>s:Show lines</t>
  </si>
  <si>
    <t>s:Satırları göster / Show lines
Show lines</t>
  </si>
  <si>
    <t>s:AN_RV_EXPORT</t>
  </si>
  <si>
    <t>s:CSV dışa aktar / Export CSV</t>
  </si>
  <si>
    <t>s:Export CSV</t>
  </si>
  <si>
    <t>s:CSV dışa aktar / Export CSV
Export CSV</t>
  </si>
  <si>
    <t>s:AN_RV_OPEN</t>
  </si>
  <si>
    <t>s:Kaynak dosyayı aç / Open source file</t>
  </si>
  <si>
    <t>s:Open source file</t>
  </si>
  <si>
    <t>s:Kaynak dosyayı aç / Open source file
Open source file</t>
  </si>
  <si>
    <t>s:AN_RV_RECON</t>
  </si>
  <si>
    <t>s:Mutabakat (şirket × ay)</t>
  </si>
  <si>
    <t>s:Reconciliation (company × month)</t>
  </si>
  <si>
    <t>s:Mutabakat (şirket × ay)
Reconciliation (company × month)</t>
  </si>
  <si>
    <t>s:AN_RV_PERIOD</t>
  </si>
  <si>
    <t>s:AN_RV_SHOWN</t>
  </si>
  <si>
    <t>s:Gösterilen</t>
  </si>
  <si>
    <t>s:Shown</t>
  </si>
  <si>
    <t>s:Gösterilen
Shown</t>
  </si>
  <si>
    <t>s:AN_RV_RECORDED</t>
  </si>
  <si>
    <t>s:Kayıtlı</t>
  </si>
  <si>
    <t>s:Recorded</t>
  </si>
  <si>
    <t>s:Kayıtlı
Recorded</t>
  </si>
  <si>
    <t>s:AN_RV_STATUS</t>
  </si>
  <si>
    <t>s:AN_RV_LINES</t>
  </si>
  <si>
    <t>s:Satırlar (en çok RawMaxRows)</t>
  </si>
  <si>
    <t>s:Lines (at most RawMaxRows)</t>
  </si>
  <si>
    <t>s:Satırlar (en çok RawMaxRows)
Lines (at most RawMaxRows)</t>
  </si>
  <si>
    <t>s:AN_RV_NOTE</t>
  </si>
  <si>
    <t>s:Göster ve CSV: Analist, Hazırlayan, İncelemeci; kaynak dosyayı açma: Hazırlayan, İncelemeci (neden sorulur). Her kullanım etkinlik günlüğüne yazılır; satırlar dosya kaydedilmeden önce silinir; PDF alınmaz.</t>
  </si>
  <si>
    <t>s:Show and CSV: Analyst, Preparer, Reviewer; open source file: Preparer, Reviewer (a reason is asked). Every use is written to the activity log; the lines are removed before the file is saved; no PDF.</t>
  </si>
  <si>
    <t>s:Göster ve CSV: Analist, Hazırlayan, İncelemeci; kaynak dosyayı açma: Hazırlayan, İncelemeci (neden sorulur). Her kullanım etkinlik günlüğüne yazılır; satırlar dosya kaydedilmeden önce silinir; PDF alınmaz.
Show and CSV: Analyst, Preparer, Reviewer; open source file: Preparer, Reviewer (a reason is asked). Every use is written to the activity log; the lines are removed before the file is saved; no PDF.</t>
  </si>
  <si>
    <t>s:AN_RV_MORE</t>
  </si>
  <si>
    <t>s:+{0} şirket-ay daha (mutabakat yalnızca ilk 12'yi gösterir)</t>
  </si>
  <si>
    <t>s:+{0} more company-month(s) (the reconciliation shows the first 12)</t>
  </si>
  <si>
    <t>s:+{0} şirket-ay daha (mutabakat yalnızca ilk 12'yi gösterir)
+{0} more company-month(s) (the reconciliation shows the first 12)</t>
  </si>
  <si>
    <t>s:AN_TAG_REJECTED</t>
  </si>
  <si>
    <t>s:Depoya alınmayacak: {0} satır, {1} dosya (Dizin)</t>
  </si>
  <si>
    <t>s:Not admitted to the store: {0} lines in {1} files (Index)</t>
  </si>
  <si>
    <t>s:Depoya alınmayacak: {0} satır, {1} dosya (Dizin)
Not admitted to the store: {0} lines in {1} files (Index)</t>
  </si>
  <si>
    <t>s:AN_MSG_REJECTED</t>
  </si>
  <si>
    <t>s:Aktif teslimde depoya alınmayacak dosyalar var (STG_Rejected): listede olmayan şirket, raporlama aralığı dışı, yanlış ad (baştaki sıfır dahil) veya teslim biçimi uyumsuz. Yönetici yolu: şirketi listeye ekleyin (DimCompany: tip, ExpectedFromPeriod, SourceMode) ya da dosyayı düzelttirin / yeniden adlandırın, sonra Yenile. Liste dışı satırlar 'Atanmamış' segmentte görünür ve kapanışı engeller.</t>
  </si>
  <si>
    <t>s:Files of the active delivery will not be admitted to the store (STG_Rejected): company not in the list, outside its reporting window, wrong name (leading zero included) or wrong delivery mode. Administrator path: add the company to the list (DimCompany: type, ExpectedFromPeriod, SourceMode) or have the file corrected / renamed, then Refresh. Lines outside the list show in the 'Unassigned' segment and block the close.</t>
  </si>
  <si>
    <t>s:Aktif teslimde depoya alınmayacak dosyalar var (STG_Rejected): listede olmayan şirket, raporlama aralığı dışı, yanlış ad (baştaki sıfır dahil) veya teslim biçimi uyumsuz. Yönetici yolu: şirketi listeye ekleyin (DimCompany: tip, ExpectedFromPeriod, SourceMode) ya da dosyayı düzelttirin / yeniden adlandırın, sonra Yenile. Liste dışı satırlar 'Atanmamış' segmentte görünür ve kapanışı engeller.
Files of the active delivery will not be admitted to the store (STG_Rejected): company not in the list, outside its reporting window, wrong name (leading zero included) or wrong delivery mode. Administrator path: add the company to the list (DimCompany: type, ExpectedFromPeriod, SourceMode) or have the file corrected / renamed, then Refresh. Lines outside the list show in the 'Unassigned' segment and block the close.</t>
  </si>
  <si>
    <t>s:RoundAmountZeros</t>
  </si>
  <si>
    <t>s:zeros</t>
  </si>
  <si>
    <t>s:AN_Anomaly: a line amount is 'round' when its |gross amount| (original currency) is a whole multiple of 10^RoundAmountZeros (3 = 1,000) (DRAFT)</t>
  </si>
  <si>
    <t>s:CusumK</t>
  </si>
  <si>
    <t>s:sigma</t>
  </si>
  <si>
    <t>s:AN_Anomaly: CUSUM reference value k in standard deviations (the decision interval h is the AlertLevel of TH09) (DRAFT)</t>
  </si>
  <si>
    <t>s:AnomalyHistoryMonths</t>
  </si>
  <si>
    <t>s:AN_Anomaly: trailing months (before the selected one) used for the median / MAD and the X-mR centre and limits</t>
  </si>
  <si>
    <t>s:WatchlistTopN</t>
  </si>
  <si>
    <t>s:rows</t>
  </si>
  <si>
    <t>s:AN_Watchlist: at most this many alert rows per segment</t>
  </si>
  <si>
    <t>s:Individuals chart on ln(monthly paid TRY) of the company: centre = mean of the up to 24 months before the selected month, sigma = mean moving range / 1.128; ALERT beyond AlertLevel (3) sigma; WATCH when the selected month and the 7 months before lie on one side of the centre (run of WatchLevel = 8)</t>
  </si>
  <si>
    <t>s:WATCH: run of 8 on one side; ALERT: 1 point</t>
  </si>
  <si>
    <t>s:Standard individuals-chart rules (one point beyond 3 sigma; a run of 8 on one side), on the log scale because monthly amounts are right-skewed</t>
  </si>
  <si>
    <t>s:Tabular CUSUM of standardised ln(monthly paid TRY): baseline = the 12 months M-23..M-12 (mean; sigma = mean moving range / 1.128), monitoring = M-11..M; k = AnParam CusumK (0.5 sigma); WATCH when max(S+, S-) at M &gt;= WatchLevel (4), ALERT &gt;= AlertLevel (5 = h)</t>
  </si>
  <si>
    <t>s:ALERT: 1 (the CUSUM itself accumulates)</t>
  </si>
  <si>
    <t>s:Detects small persistent shifts that a single-month z-score misses; k = 0.5 and h = 5 are the textbook choice (ARL0 about 465)</t>
  </si>
  <si>
    <t>s:First significant digit of |gross amount| (original currency) of the month's lines: MAD = mean |observed share - log10(1 + 1/d)| over d = 1..9; bands (Nigrini, first digit): &lt; 0.006 close, 0.006-0.012 acceptable, 0.012-0.015 marginal, &gt; 0.015 nonconformity; chi-square (8 df) shown, not used (over-sensitive with many lines)</t>
  </si>
  <si>
    <t>s:Published conformity bands; a placeholder (*) until the owner approves them for this portfolio (payments with policy limits and fixed benefits need not follow Benford)</t>
  </si>
  <si>
    <t>s:PSI = sum (a - e) ln(a / e) over payment natures; a = share of the month's lines, e = share of the lines of the 12 months before; shares floored at 0.0001</t>
  </si>
  <si>
    <t>s:Customary PSI bands (&lt; 0.10 stable, 0.10-0.25 shift, &gt; 0.25 major shift); a placeholder (*) until approved</t>
  </si>
  <si>
    <t>s:TH13</t>
  </si>
  <si>
    <t>s:Paid TRY of the company in the month; z = (ln x - median(ln h)) / (1.4826 x MAD(ln h)); h = the up to AnomalyHistoryMonths (24) months before the selected month with a positive value; two-sided</t>
  </si>
  <si>
    <t>s:Level of the company's monthly paid against its own history; log scale for right-skewed amounts (as TH12 at segment level)</t>
  </si>
  <si>
    <t>s:TH14</t>
  </si>
  <si>
    <t>s:Payment lines of the company in the month; z = (ln x - median(ln h)) / (1.4826 x MAD(ln h)); h = the up to AnomalyHistoryMonths (24) months before the selected month with a positive value; two-sided</t>
  </si>
  <si>
    <t>s:Volume of the delivery against the company's own history (a missing or doubled file shows here first)</t>
  </si>
  <si>
    <t>s:TH15</t>
  </si>
  <si>
    <t>s:Mean paid TRY per case of the company in the month; z = (ln x - median(ln h)) / (1.4826 x MAD(ln h)); h = the up to AnomalyHistoryMonths (24) months before the selected month with a positive value; two-sided; n = cases</t>
  </si>
  <si>
    <t>s:Severity level against the company's own history</t>
  </si>
  <si>
    <t>s:TH16</t>
  </si>
  <si>
    <t>s:STAT_Z</t>
  </si>
  <si>
    <t>s:Share of round-amount lines (AnParam RoundAmountZeros); z = (share - median(h)) / max(1.4826 x MAD(h), binomial standard error sqrt(p(1-p)/n) at the median share p and the month's lines n); h = the up to 24 months before; one-sided (more is unusual)</t>
  </si>
  <si>
    <t>s:A jump in round amounts can mean estimated or manually keyed payments; compared with the company's own habit, not a fixed share</t>
  </si>
  <si>
    <t>s:TH17</t>
  </si>
  <si>
    <t>s:AM07</t>
  </si>
  <si>
    <t>s:Share of lines paid on a weekend or in the last three days of the month; z = (share - median(h)) / max(1.4826 x MAD(h), binomial standard error sqrt(p(1-p)/n) at the median share p and the month's lines n); h = the up to 24 months before; one-sided (more is unusual)</t>
  </si>
  <si>
    <t>s:Clustering at month end or on non-working days against the company's own pattern (cut-off effects, batch postings)</t>
  </si>
  <si>
    <t>s:Şirketin aylık ödenen, satır ve dosya başı ortalaması için (ln x − medyan) / (1,4826 × MAD), önceki 24 ay / (ln x − median) / (1.4826 × MAD) of the company's monthly paid, lines and mean per case over the 24 months before</t>
  </si>
  <si>
    <t>s:(worksheet) AN_Anomaly anAnom; pvtAN_CM: Paid TRY, Payment Lines, Cases, Mean Paid per Case TRY</t>
  </si>
  <si>
    <t>s:GrossAmountTRY; CaseKey</t>
  </si>
  <si>
    <t>s:TH13; TH14; TH15</t>
  </si>
  <si>
    <t>s:|z| &gt;= 2.5 iki ay üst üste WATCH, &gt;= 3.5 ALERT / |z| &gt;= 2.5 two months running is WATCH, &gt;= 3.5 ALERT</t>
  </si>
  <si>
    <t>s:Teslim dosyasını ve kontrol panelini kontrol edin; şirketle doğrulayın / Check the delivery and the control panel; confirm with the company</t>
  </si>
  <si>
    <t>s:Taslak eşik; 12 aydan az geçmiş veya 30 satırdan az: INSUFFICIENT DATA / Draft level; under 12 months of history or 30 lines: INSUFFICIENT DATA</t>
  </si>
  <si>
    <t>s:30 lines; 12 months</t>
  </si>
  <si>
    <t>s:Log aylık ödenen için bireysel değer grafiği: merkez = önceki 24 ayın ortalaması, σ = ortalama hareketli aralık / 1,128 / Individuals chart of log monthly paid: centre = mean of the 24 months before, σ = mean moving range / 1.128</t>
  </si>
  <si>
    <t>s:(worksheet) AN_Anomaly</t>
  </si>
  <si>
    <t>s:3σ dışı ALERT; merkezin bir yanında 8 ay WATCH / Beyond 3σ ALERT; 8 months on one side of the centre WATCH</t>
  </si>
  <si>
    <t>s:Seviye kaymasının nedenini araştırın / Investigate the cause of the level shift</t>
  </si>
  <si>
    <t>s:Taslak eşik / Draft level</t>
  </si>
  <si>
    <t>s:Standartlaştırılmış log ödenen için tablo CUSUM; taban 12 ay, izleme 12 ay, k = 0,5σ / Tabular CUSUM of standardised log paid; baseline 12 months, monitoring 12 months, k = 0.5σ</t>
  </si>
  <si>
    <t>s:max(S+, S−) &gt;= 4 WATCH, &gt;= 5 ALERT / max(S+, S−) &gt;= 4 WATCH, &gt;= 5 ALERT</t>
  </si>
  <si>
    <t>s:Kalıcı küçük kayma: ürün, süreç veya teslim değişikliğini sorun / Persistent small shift: ask about product, process or delivery changes</t>
  </si>
  <si>
    <t>s:24 ay gerekir / Needs 24 months</t>
  </si>
  <si>
    <t>s:30 lines; 24 months</t>
  </si>
  <si>
    <t>s:Ayın satır tutarlarının ilk hane dağılımı: MAD ve ki-kare (8 sd) / First-digit distribution of the month's line amounts: MAD and chi-square (8 df)</t>
  </si>
  <si>
    <t>s:(worksheet) AN_Anomaly; pvtAN_Dig (FactPayment[FirstDigit], Payment Lines)</t>
  </si>
  <si>
    <t>s:GrossAmount (original currency)</t>
  </si>
  <si>
    <t>s:MAD</t>
  </si>
  <si>
    <t>s:MAD &lt; 0,012 uyumlu; 0,012-0,015 sınırda; &gt; 0,015 uyumsuz / MAD &lt; 0.012 conforming; 0.012-0.015 marginal; &gt; 0.015 nonconforming</t>
  </si>
  <si>
    <t>s:Uyumsuzlukta yuvarlak / tekrarlı tutarlara bakın / On nonconformity look for round or repeated amounts</t>
  </si>
  <si>
    <t>s:Yer tutucu (*) onaylanana kadar; poliçe limitleri ve sabit teminatlar Benford'a uymayabilir / Placeholder (*) until approved; policy limits and fixed benefits need not follow Benford</t>
  </si>
  <si>
    <t>s:|Brüt tutarı| 10^RoundAmountZeros'un katı olan satırların payı / Share of lines whose |gross amount| is a multiple of 10^RoundAmountZeros</t>
  </si>
  <si>
    <t>s:Round Amount Lines; Payment Lines</t>
  </si>
  <si>
    <t>s:Kendi geçmişine göre z &gt;= 2,5 iki ay üst üste WATCH / z &gt;= 2.5 against own history two months running is WATCH</t>
  </si>
  <si>
    <t>s:Tahmini veya elle girilmiş ödemeleri sorun / Ask about estimated or manually keyed payments</t>
  </si>
  <si>
    <t>s:[Round Amount Lines] = VAR p = LOOKUPVALUE ( AnParam[Value], AnParam[Param], "RoundAmountZeros" ) VAR z = IF ( ISBLANK ( p ), 3, p ) RETURN CALCULATE ( COUNTROWS ( FactPayment ), FactPayment[AmountZeros] &gt;= z )</t>
  </si>
  <si>
    <t>s:Popülasyon kararlılık endeksi (PSI)</t>
  </si>
  <si>
    <t>s:Ödeme niteliği karmasının (satır sayısı) önceki 12 aya göre kayması / Shift of the payment-nature mix (line counts) against the 12 months before</t>
  </si>
  <si>
    <t>s:(worksheet) AN_Anomaly; pvtAN_CMN</t>
  </si>
  <si>
    <t>s:ReasonCode -&gt; PaymentNature</t>
  </si>
  <si>
    <t>s:PSI</t>
  </si>
  <si>
    <t>s:&lt; 0,10 kararlı; 0,10-0,25 kayma; &gt; 0,25 büyük kayma / &lt; 0.10 stable; 0.10-0.25 shift; &gt; 0.25 major shift</t>
  </si>
  <si>
    <t>s:Nitelik eşleme tablosunu ve ürün değişikliklerini kontrol edin / Check the nature map and product changes</t>
  </si>
  <si>
    <t>s:Yer tutucu (*) onaylanana kadar / Placeholder (*) until approved</t>
  </si>
  <si>
    <t>s:100 lines; 12 months</t>
  </si>
  <si>
    <t>s:Ödeme günü örüntüsü</t>
  </si>
  <si>
    <t>s:Payment-day pattern</t>
  </si>
  <si>
    <t>s:Hafta sonu veya ayın son üç gününde ödenen satırların payı / Share of lines paid on a weekend or in the last three days of the month</t>
  </si>
  <si>
    <t>s:Weekend Payment Lines; Month-End Payment Lines; Payment Lines</t>
  </si>
  <si>
    <t>s:Kesim (cut-off) ve toplu kayıt uygulamalarını sorun / Ask about cut-off and batch posting practices</t>
  </si>
  <si>
    <t>s:[Weekend Payment Lines] = CALCULATE ( COUNTROWS ( FactPayment ), FactPayment[PayDayClass] = "WEEKEND" ) || [Month-End Payment Lines] = CALCULATE ( COUNTROWS ( FactPayment ), FactPayment[PayDayClass] = "MONTH-END" )</t>
  </si>
  <si>
    <t>s:WL01</t>
  </si>
  <si>
    <t>s:İzleme listesi önem puanı</t>
  </si>
  <si>
    <t>s:Watchlist severity score</t>
  </si>
  <si>
    <t>s:ALERT 3, WATCH 1, artı gösterge gücü (|z| / 10, en çok 1); yer tutucu ve yetersiz veri hariç / ALERT 3, WATCH 1, plus the indicator's strength (|z| / 10, at most 1); placeholders and insufficient data excluded</t>
  </si>
  <si>
    <t>s:(worksheet) AN_Watchlist</t>
  </si>
  <si>
    <t>s:-</t>
  </si>
  <si>
    <t>s:score</t>
  </si>
  <si>
    <t>s:TH08-TH17</t>
  </si>
  <si>
    <t>s:Segment içinde yüksekten düşüğe / Highest first within each segment</t>
  </si>
  <si>
    <t>s:Üstten başlayarak inceleyin / Review from the top</t>
  </si>
  <si>
    <t>s:Segmentler karşılaştırılmaz / Segments are never compared</t>
  </si>
  <si>
    <t>AN_RawView: the companies of the last Show lines (comma-separated; blank = every listed company).</t>
  </si>
  <si>
    <t>Text (written by Show lines)</t>
  </si>
  <si>
    <t>RawCompanies</t>
  </si>
  <si>
    <t>AN_RawView: first month of the last Show lines (0 = idle).</t>
  </si>
  <si>
    <t>YYYYMM (written by Show lines)</t>
  </si>
  <si>
    <t>RawFromPeriod</t>
  </si>
  <si>
    <t>AN_RawView: last month of the last Show lines (0 = idle).</t>
  </si>
  <si>
    <t>RawToPeriod</t>
  </si>
  <si>
    <t>AN_RawView: payment-nature filter (blank = all).</t>
  </si>
  <si>
    <t>RawNature</t>
  </si>
  <si>
    <t>AN_RawView: case-key filter (blank = all).</t>
  </si>
  <si>
    <t>RawCaseContains</t>
  </si>
  <si>
    <t>AN_RawView: at most this many lines per Show lines (the result says when the limit is reached).</t>
  </si>
  <si>
    <t>RawMaxRows</t>
  </si>
  <si>
    <t>Model</t>
  </si>
  <si>
    <t>Y = the column map is locked: Backfill, Close and Rebuild store run only while tblColumnMap matches ColumnMapSignature.</t>
  </si>
  <si>
    <t>Text: Y / N (written by Lock / Unlock column map)</t>
  </si>
  <si>
    <t>ColumnMapLocked</t>
  </si>
  <si>
    <t>Signature of the model-relevant columns of tblColumnMap (SourceHeader, CanonicalName, DataType, IncludeInModel, PersonalData, Group) at the lock.</t>
  </si>
  <si>
    <t>Text (written by Lock column map)</t>
  </si>
  <si>
    <t>ColumnMapSignature</t>
  </si>
  <si>
    <t>Local time of the lock.</t>
  </si>
  <si>
    <t>ColumnMapLockedOn</t>
  </si>
  <si>
    <t>DOMAIN\logon of the Administrator who locked the map.</t>
  </si>
  <si>
    <t>ColumnMapLockedBy</t>
  </si>
  <si>
    <t>Who approved the field selection and when, as typed at the lock.</t>
  </si>
  <si>
    <t>ColumnMapApproval</t>
  </si>
  <si>
    <t>Query - STG_Rejected</t>
  </si>
  <si>
    <t>Rejected-lines log of the active delivery (v3.2.0, P3-111): files that will not enter the store and why</t>
  </si>
  <si>
    <t>Query - qView_Raw</t>
  </si>
  <si>
    <t>RAWVIEW</t>
  </si>
  <si>
    <t>Only Show lines (AN_RawView); the data is never saved with the workbook</t>
  </si>
  <si>
    <t>STG_Rejected: files of the active delivery that will not enter the store (rejected-lines log, P3-111)</t>
  </si>
  <si>
    <t>Cmd_RawView</t>
  </si>
  <si>
    <t>AN_RawView: lines of several companies x months, whitelisted columns only (P3-109)</t>
  </si>
  <si>
    <t>Satırları CSV aktar / Export lines (CSV)</t>
  </si>
  <si>
    <t>Cmd_RawExport</t>
  </si>
  <si>
    <t>AN_RawView lines as CSV in the Export folder (logged with the file and the row count)</t>
  </si>
  <si>
    <t>Cmd_OpenSourceFile</t>
  </si>
  <si>
    <t>Opens the source file of a raw-view line read-only (inbox copy for a closed month); the source holds personal data: a reason is asked and logged</t>
  </si>
  <si>
    <t>Kolon haritasını kilitle / Lock column map</t>
  </si>
  <si>
    <t>Cmd_LockColumnMap</t>
  </si>
  <si>
    <t>Stores the signature of the approved column map; Backfill, Close and Rebuild store need it (typed confirmation LOCK, approval reference logged)</t>
  </si>
  <si>
    <t>Kolon haritası kilidini kaldır / Unlock column map</t>
  </si>
  <si>
    <t>Cmd_UnlockColumnMap</t>
  </si>
  <si>
    <t>Lifts the lock with a reason (SECURITY event, severity HIGH); a change of the model fields then needs Rebuild store</t>
  </si>
  <si>
    <t>Payment lines (whitelisted columns): Analyst, Preparer, Reviewer only; very hidden for everyone else (P3-109). Must stay above AN_*</t>
  </si>
  <si>
    <t>AN_RawView</t>
  </si>
  <si>
    <t>Kilitli değil: Yönetici onaylı haritayı kilitler (Kolon haritasını kilitle). Değişmiş: onaylı satırları geri yükleyin ya da kilidi kaldırın (neden, YÜKSEK), değiştirin, yeniden kilitleyin ve Depoyu yeniden kur. / Not locked: an Administrator locks the approved map (Lock column map). Changed: restore the approved rows, or unlock (reason, HIGH), change, lock again and Rebuild store. Backfill, Close and Rebuild store refuse to run in both cases, even when this check is explained.</t>
  </si>
  <si>
    <t>COLUMNMAP_LOCK</t>
  </si>
  <si>
    <t>The column map is locked and unchanged</t>
  </si>
  <si>
    <t>The model-relevant columns of tblColumnMap (SourceHeader, CanonicalName, DataType, IncludeInModel, PersonalData, Group) match the signature stored by Lock column map. The store keeps only the fields in the model and is laid out by the dictionary, so the field selection changes only through unlock, edit, lock and Rebuild store (P3-93, P3-113).</t>
  </si>
  <si>
    <t>Ad desene uymuyor veya şirket kodu listedekinden yalnızca baştaki sıfırlarla ayrılıyor: dosyayı yeniden adlandırın (kodlar listede yazıldığı gibi metin olarak karşılaştırılır). Dosya yüklenmez, yeni şirket sayılmaz; STG_Rejected nedenini gösterir. / The name breaks the pattern, or the company ID differs from a listed one only by leading zeros: rename the file (IDs are compared as text, exactly as listed). The file is never loaded and never counts as a new company; STG_Rejected shows the reason.</t>
  </si>
  <si>
    <t>LİSTEDE YOK: şirketi DimCompany'ye ekleyin (tip, ExpectedFromPeriod, SourceMode) veya dosyayı kaldırın; satırları Atanmamış segmentte görünür ve kapanışı engeller. TESLİM BİÇİMİ: SourceMode'u düzeltin veya anlaşılan teslimi isteyin. STG_Rejected tüm reddedilen dosyaları listeler. / NEW COMPANY: add it to DimCompany (type, ExpectedFromPeriod, SourceMode) or remove the file; its lines show in the Unassigned segment and block the close. MODE MISMATCH: correct SourceMode or ask the company for the agreed delivery. STG_Rejected lists every rejected file.</t>
  </si>
  <si>
    <t>nature list</t>
  </si>
  <si>
    <t>reconciliation (all company-months)</t>
  </si>
  <si>
    <t>s:RawCompanies</t>
  </si>
  <si>
    <t>s:Text (written by Show lines)</t>
  </si>
  <si>
    <t>s:AN_RawView: the companies of the last Show lines (comma-separated; blank = every listed company).</t>
  </si>
  <si>
    <t>s:RawFromPeriod</t>
  </si>
  <si>
    <t>s:YYYYMM (written by Show lines)</t>
  </si>
  <si>
    <t>s:AN_RawView: first month of the last Show lines (0 = idle).</t>
  </si>
  <si>
    <t>s:RawToPeriod</t>
  </si>
  <si>
    <t>s:AN_RawView: last month of the last Show lines (0 = idle).</t>
  </si>
  <si>
    <t>s:RawNature</t>
  </si>
  <si>
    <t>s:AN_RawView: payment-nature filter (blank = all).</t>
  </si>
  <si>
    <t>s:RawCaseContains</t>
  </si>
  <si>
    <t>s:AN_RawView: case-key filter (blank = all).</t>
  </si>
  <si>
    <t>s:RawMaxRows</t>
  </si>
  <si>
    <t>s:Whole number</t>
  </si>
  <si>
    <t>s:AN_RawView: at most this many lines per Show lines (the result says when the limit is reached).</t>
  </si>
  <si>
    <t>s:Model</t>
  </si>
  <si>
    <t>s:ColumnMapLocked</t>
  </si>
  <si>
    <t>s:Text: Y / N (written by Lock / Unlock column map)</t>
  </si>
  <si>
    <t>s:Y = the column map is locked: Backfill, Close and Rebuild store run only while tblColumnMap matches ColumnMapSignature.</t>
  </si>
  <si>
    <t>s:ColumnMapSignature</t>
  </si>
  <si>
    <t>s:Text (written by Lock column map)</t>
  </si>
  <si>
    <t>s:Signature of the model-relevant columns of tblColumnMap (SourceHeader, CanonicalName, DataType, IncludeInModel, PersonalData, Group) at the lock.</t>
  </si>
  <si>
    <t>s:ColumnMapLockedOn</t>
  </si>
  <si>
    <t>s:Local time of the lock.</t>
  </si>
  <si>
    <t>s:ColumnMapLockedBy</t>
  </si>
  <si>
    <t>s:DOMAIN\logon of the Administrator who locked the map.</t>
  </si>
  <si>
    <t>s:ColumnMapApproval</t>
  </si>
  <si>
    <t>s:Who approved the field selection and when, as typed at the lock.</t>
  </si>
  <si>
    <t>s:Ad desene uymuyor veya şirket kodu listedekinden yalnızca baştaki sıfırlarla ayrılıyor: dosyayı yeniden adlandırın (kodlar listede yazıldığı gibi metin olarak karşılaştırılır). Dosya yüklenmez, yeni şirket sayılmaz; STG_Rejected nedenini gösterir. / The name breaks the pattern, or the company ID differs from a listed one only by leading zeros: rename the file (IDs are compared as text, exactly as listed). The file is never loaded and never counts as a new company; STG_Rejected shows the reason.</t>
  </si>
  <si>
    <t>s:LİSTEDE YOK: şirketi DimCompany'ye ekleyin (tip, ExpectedFromPeriod, SourceMode) veya dosyayı kaldırın; satırları Atanmamış segmentte görünür ve kapanışı engeller. TESLİM BİÇİMİ: SourceMode'u düzeltin veya anlaşılan teslimi isteyin. STG_Rejected tüm reddedilen dosyaları listeler. / NEW COMPANY: add it to DimCompany (type, ExpectedFromPeriod, SourceMode) or remove the file; its lines show in the Unassigned segment and block the close. MODE MISMATCH: correct SourceMode or ask the company for the agreed delivery. STG_Rejected lists every rejected file.</t>
  </si>
  <si>
    <t>s:COLUMNMAP_LOCK</t>
  </si>
  <si>
    <t>s:The column map is locked and unchanged</t>
  </si>
  <si>
    <t>s:The model-relevant columns of tblColumnMap (SourceHeader, CanonicalName, DataType, IncludeInModel, PersonalData, Group) match the signature stored by Lock column map. The store keeps only the fields in the model and is laid out by the dictionary, so the field selection changes only through unlock, edit, lock and Rebuild store (P3-93, P3-113).</t>
  </si>
  <si>
    <t>s:Kilitli değil: Yönetici onaylı haritayı kilitler (Kolon haritasını kilitle). Değişmiş: onaylı satırları geri yükleyin ya da kilidi kaldırın (neden, YÜKSEK), değiştirin, yeniden kilitleyin ve Depoyu yeniden kur. / Not locked: an Administrator locks the approved map (Lock column map). Changed: restore the approved rows, or unlock (reason, HIGH), change, lock again and Rebuild store. Backfill, Close and Rebuild store refuse to run in both cases, even when this check is explained.</t>
  </si>
  <si>
    <t>s:AN_RawView</t>
  </si>
  <si>
    <t>s:Payment lines (whitelisted columns): Analyst, Preparer, Reviewer only; very hidden for everyone else (P3-109). Must stay above AN_*</t>
  </si>
  <si>
    <t>s:Query - STG_Rejected</t>
  </si>
  <si>
    <t>s:Rejected-lines log of the active delivery (v3.2.0, P3-111): files that will not enter the store and why</t>
  </si>
  <si>
    <t>s:Query - qView_Raw</t>
  </si>
  <si>
    <t>s:RAWVIEW</t>
  </si>
  <si>
    <t>s:Only Show lines (AN_RawView); the data is never saved with the workbook</t>
  </si>
  <si>
    <t>FIREWALL_BLOCKED</t>
  </si>
  <si>
    <t>Refresh stopped by Power Query privacy levels: this machine enforces privacy levels for every file. The platform's queries rely on the workbook's 'ignore privacy levels' setting (Admin Guide 17; IT: allow the per-file setting).</t>
  </si>
  <si>
    <t>Yenileme Power Query gizlilik düzeyleri nedeniyle durdu: bu bilgisayarda gizlilik düzeyleri her dosya için zorunlu tutuluyor. Platformun sorguları çalışma kitabındaki 'gizlilik düzeylerini yoksay' ayarına dayanır (Yönetim Kılavuzu 17; BT: dosya başına ayara izin verin).</t>
  </si>
  <si>
    <t>s:FIREWALL_BLOCKED</t>
  </si>
  <si>
    <t>s:Yenileme Power Query gizlilik düzeyleri nedeniyle durdu: bu bilgisayarda gizlilik düzeyleri her dosya için zorunlu tutuluyor. Platformun sorguları çalışma kitabındaki 'gizlilik düzeylerini yoksay' ayarına dayanır (Yönetim Kılavuzu 17; BT: dosya başına ayara izin verin).</t>
  </si>
  <si>
    <t>s:Refresh stopped by Power Query privacy levels: this machine enforces privacy levels for every file. The platform's queries rely on the workbook's 'ignore privacy levels' setting (Admin Guide 17; IT: allow the per-file setting).</t>
  </si>
  <si>
    <t>s:Yenileme Power Query gizlilik düzeyleri nedeniyle durdu: bu bilgisayarda gizlilik düzeyleri her dosya için zorunlu tutuluyor. Platformun sorguları çalışma kitabındaki 'gizlilik düzeylerini yoksay' ayarına dayanır (Yönetim Kılavuzu 17; BT: dosya başına ayara izin verin).
Refresh stopped by Power Query privacy levels: this machine enforces privacy levels for every file. The platform's queries rely on the workbook's 'ignore privacy levels' setting (Admin Guide 17; IT: allow the per-file setting).</t>
  </si>
  <si>
    <t>1, 2</t>
  </si>
  <si>
    <t>Ayrı ayrı / Separately</t>
  </si>
  <si>
    <t>AN_NAV_BACKTEST</t>
  </si>
  <si>
    <t>Forecast backtest</t>
  </si>
  <si>
    <t>Tahmin testi</t>
  </si>
  <si>
    <t>AN_NAV_DISPERSION</t>
  </si>
  <si>
    <t>Triangle dispersion</t>
  </si>
  <si>
    <t>Üçgen dağılımı</t>
  </si>
  <si>
    <t>AN_NAV_TAILFIT</t>
  </si>
  <si>
    <t>Tail fit</t>
  </si>
  <si>
    <t>Kuyruk uyumu</t>
  </si>
  <si>
    <t>AN_NAV_METHOD</t>
  </si>
  <si>
    <t>Method index</t>
  </si>
  <si>
    <t>Yöntem dizini</t>
  </si>
  <si>
    <t>AN_Q_BACKTEST</t>
  </si>
  <si>
    <t>How accurate was the AN_Trend forecast in the past, and did its interval cover the actual values?</t>
  </si>
  <si>
    <t>AN_Trend tahmini geçmişte ne kadar isabetliydi ve aralığı gerçekleşenleri kapsadı mı?</t>
  </si>
  <si>
    <t>AN_Q_DISPERSION</t>
  </si>
  <si>
    <t>How uncertain are the chain-ladder further payments (Mack-style standard error)?</t>
  </si>
  <si>
    <t>Zincir merdiven ek ödemeleri ne kadar belirsiz (Mack tipi standart hata)?</t>
  </si>
  <si>
    <t>AN_Q_TAILFIT</t>
  </si>
  <si>
    <t>How heavy is the tail of paid per case, and how stable is the estimate across thresholds?</t>
  </si>
  <si>
    <t>Dosya başı ödemelerin kuyruğu ne kadar ağır ve tahmin eşik seçimine göre ne kadar kararlı?</t>
  </si>
  <si>
    <t>AN_IDX_DRAFT</t>
  </si>
  <si>
    <t>DRAFT / indicative</t>
  </si>
  <si>
    <t>TASLAK / gösterge</t>
  </si>
  <si>
    <t>AN_NAV_SHEETMAP</t>
  </si>
  <si>
    <t>Sheet map</t>
  </si>
  <si>
    <t>Sayfa haritası</t>
  </si>
  <si>
    <t>AN_Q_METHOD</t>
  </si>
  <si>
    <t>How is each statistical model computed; what are its parameters, assumptions, limits and validation?</t>
  </si>
  <si>
    <t>Her istatistiksel model nasıl hesaplanır; parametreleri, varsayımları, sınırları ve doğrulaması nedir?</t>
  </si>
  <si>
    <t>AN_Q_SHEETMAP</t>
  </si>
  <si>
    <t>What is each sheet of the workbook for, who sees it and who maintains it?</t>
  </si>
  <si>
    <t>Çalışma kitabındaki her sayfa ne işe yarar, kim görür, kim günceller?</t>
  </si>
  <si>
    <t>AN_READY_CARDS</t>
  </si>
  <si>
    <t>model cards</t>
  </si>
  <si>
    <t>model kartı</t>
  </si>
  <si>
    <t>AN_READY_SHEETS</t>
  </si>
  <si>
    <t>sheets</t>
  </si>
  <si>
    <t>sayfa</t>
  </si>
  <si>
    <t>AN_W_INDICATIVE</t>
  </si>
  <si>
    <t>DRAFT - indicative; not for decisions on its own</t>
  </si>
  <si>
    <t>TASLAK - gösterge niteliğinde; karar için tek başına kullanılmaz</t>
  </si>
  <si>
    <t>AN_W_BACK_INDEX</t>
  </si>
  <si>
    <t>Back to the index</t>
  </si>
  <si>
    <t>Dizine dön</t>
  </si>
  <si>
    <t>AN_W_METHOD_CARD</t>
  </si>
  <si>
    <t>Method card</t>
  </si>
  <si>
    <t>Yöntem kartı</t>
  </si>
  <si>
    <t>AN_BT_TITLE</t>
  </si>
  <si>
    <t>AN_BT_PURPOSE</t>
  </si>
  <si>
    <t>Rolling-origin backtest: at each origin month FORECAST.ETS is fitted on the months up to that origin only and its next 1..H months are compared with the actual values.</t>
  </si>
  <si>
    <t>Kayan başlangıçlı geriye dönük test: her başlangıç ayında FORECAST.ETS yalnızca o aya kadarki aylarla kurulur ve sonraki 1..H ay gerçekleşenlerle karşılaştırılır.</t>
  </si>
  <si>
    <t>AN_HOWTO_BACKTEST</t>
  </si>
  <si>
    <t>How to read: MAPE should be low and lower than the simple benchmarks (naive, seasonal naive); coverage should be close to the confidence level. Few origins = wide uncertainty.</t>
  </si>
  <si>
    <t>Nasıl okunur: MAPE düşük olmalı ve basit kıyaslardan (naif, mevsimsel naif) düşük olmalı; kapsama oranı güven düzeyine yakın olmalı. Az başlangıç = geniş belirsizlik.</t>
  </si>
  <si>
    <t>AN_BT_DISCLAIMER</t>
  </si>
  <si>
    <t>DRAFT - indicative: the test uses at most the 36 months of the analysis window; the forecast is not a budget or a reserve.</t>
  </si>
  <si>
    <t>TASLAK - gösterge niteliğinde: test en fazla 36 aylık analiz penceresindeki aylarla yapılır; tahmin bir bütçe veya rezerv değildir.</t>
  </si>
  <si>
    <t>AN_BT_SUMMARY</t>
  </si>
  <si>
    <t>Accuracy by horizon (all origins)</t>
  </si>
  <si>
    <t>Ufka göre isabet (tüm başlangıçlar)</t>
  </si>
  <si>
    <t>AN_BT_H</t>
  </si>
  <si>
    <t>Horizon (months)</t>
  </si>
  <si>
    <t>Ufuk (ay)</t>
  </si>
  <si>
    <t>AN_BT_MAPE_ETS</t>
  </si>
  <si>
    <t>MAPE - ETS</t>
  </si>
  <si>
    <t>AN_BT_MAPE_NAIVE</t>
  </si>
  <si>
    <t>MAPE - naive (last month)</t>
  </si>
  <si>
    <t>MAPE - naif (son ay)</t>
  </si>
  <si>
    <t>AN_BT_MAPE_SNAIVE</t>
  </si>
  <si>
    <t>MAPE - seasonal naive (12 months before)</t>
  </si>
  <si>
    <t>MAPE - mevsimsel naif (12 ay önce)</t>
  </si>
  <si>
    <t>AN_BT_BIAS</t>
  </si>
  <si>
    <t>Mean percentage error (ETS; + = over-forecast)</t>
  </si>
  <si>
    <t>Ortalama yüzde hata (ETS; + = fazla tahmin)</t>
  </si>
  <si>
    <t>AN_BT_COVER</t>
  </si>
  <si>
    <t>Interval coverage (actual inside the interval)</t>
  </si>
  <si>
    <t>Aralık kapsaması (gerçekleşen aralık içinde)</t>
  </si>
  <si>
    <t>AN_BT_NOMINAL</t>
  </si>
  <si>
    <t>Target (confidence level)</t>
  </si>
  <si>
    <t>Hedef (güven düzeyi)</t>
  </si>
  <si>
    <t>AN_BT_N</t>
  </si>
  <si>
    <t>Origins</t>
  </si>
  <si>
    <t>Başlangıç sayısı</t>
  </si>
  <si>
    <t>AN_BT_ORIGINS</t>
  </si>
  <si>
    <t>Absolute percentage error (APE) and interval by origin month</t>
  </si>
  <si>
    <t>Başlangıç ayına göre mutlak yüzde hata (APE) ve aralık</t>
  </si>
  <si>
    <t>AN_BT_ORIGIN</t>
  </si>
  <si>
    <t>Origin month</t>
  </si>
  <si>
    <t>Başlangıç ayı</t>
  </si>
  <si>
    <t>AN_BT_IN</t>
  </si>
  <si>
    <t>içinde</t>
  </si>
  <si>
    <t>AN_BT_OUT</t>
  </si>
  <si>
    <t>OUT</t>
  </si>
  <si>
    <t>DIŞINDA</t>
  </si>
  <si>
    <t>AN_BT_CHART</t>
  </si>
  <si>
    <t>One-month-ahead forecast and actual (TRY m), with the prediction interval</t>
  </si>
  <si>
    <t>Bir ay sonrası tahmin ve gerçekleşen (mn TL), tahmin aralığıyla</t>
  </si>
  <si>
    <t>AN_BT_ACTUAL</t>
  </si>
  <si>
    <t>AN_BT_FORECAST</t>
  </si>
  <si>
    <t>Forecast (1 month)</t>
  </si>
  <si>
    <t>Tahmin (1 ay)</t>
  </si>
  <si>
    <t>AN_BT_LOWER</t>
  </si>
  <si>
    <t>Lower bound</t>
  </si>
  <si>
    <t>AN_BT_UPPER</t>
  </si>
  <si>
    <t>Upper bound</t>
  </si>
  <si>
    <t>AN_BT_GATE</t>
  </si>
  <si>
    <t>INSUFFICIENT DATA: {0} months of data; the test needs at least {1} training months + {2} horizon months</t>
  </si>
  <si>
    <t>VERİ YETERSİZ: {0} ay veri var; test için en az {1} ay eğitim + {2} ay ufuk gerekir</t>
  </si>
  <si>
    <t>AN_BT_HEAD</t>
  </si>
  <si>
    <t>{0}: one-month MAPE {1} (seasonal naive {2}), interval coverage {3} ({4} origins)</t>
  </si>
  <si>
    <t>{0}: 1 ay ufukta MAPE {1} (mevsimsel naif {2}), aralık kapsaması {3} ({4} başlangıç)</t>
  </si>
  <si>
    <t>AN_DS_TITLE</t>
  </si>
  <si>
    <t>Triangle dispersion (Mack-style)</t>
  </si>
  <si>
    <t>Üçgen dağılımı (Mack tipi)</t>
  </si>
  <si>
    <t>AN_DS_PURPOSE</t>
  </si>
  <si>
    <t>Mack (1993)-style standard error of the chain-ladder further payments for the paid triangle of the selection on AN_Triangle (segment, company); the factors are volume-weighted over every observed loss month.</t>
  </si>
  <si>
    <t>AN_Triangle'daki seçimin (segment, şirket) ödenen üçgeni için zincir merdiven ek ödemelerinin Mack (1993) tipi standart hatası; faktörler tüm gözlenen hasar aylarının hacim ağırlıklı ortalamasıdır.</t>
  </si>
  <si>
    <t>AN_HOWTO_DISPERSION</t>
  </si>
  <si>
    <t>How to read: CV = standard error / further payments; a large CV means the projection of that loss month is uncertain. The total row includes the factor uncertainty shared by the loss months.</t>
  </si>
  <si>
    <t>Nasıl okunur: CV = standart hata / ek ödeme; büyük CV o hasar ayının tahmininin belirsiz olduğunu gösterir. Toplam satır hasar ayları arasındaki ortak faktör belirsizliğini içerir.</t>
  </si>
  <si>
    <t>AN_DS_DISCLAIMER</t>
  </si>
  <si>
    <t>DRAFT - indicative: paid data only; no case reserves, IBNR or tail (tail = 1); the last column ({0}+) accumulates later development. Not a reserve estimate.</t>
  </si>
  <si>
    <t>TASLAK - gösterge niteliğinde: yalnızca ödenen veri; muallak, IBNR ve kuyruk yok (kuyruk = 1); son sütun ({0}+) sonraki gelişimi toplar. Rezerv tahmini değildir.</t>
  </si>
  <si>
    <t>AN_DS_SEL</t>
  </si>
  <si>
    <t>Selection from AN_Triangle</t>
  </si>
  <si>
    <t>Seçim AN_Triangle sayfasından</t>
  </si>
  <si>
    <t>AN_DS_TABLE</t>
  </si>
  <si>
    <t>Further payments and standard error by loss month (TRY m)</t>
  </si>
  <si>
    <t>Hasar ayına göre ek ödeme ve standart hata (mn TL)</t>
  </si>
  <si>
    <t>AN_DS_LATEST</t>
  </si>
  <si>
    <t>AN_DS_ULT</t>
  </si>
  <si>
    <t>Projection</t>
  </si>
  <si>
    <t>Projeksiyon</t>
  </si>
  <si>
    <t>AN_DS_FURTHER</t>
  </si>
  <si>
    <t>Further payments</t>
  </si>
  <si>
    <t>Ek ödeme</t>
  </si>
  <si>
    <t>AN_DS_SE</t>
  </si>
  <si>
    <t>Standard error</t>
  </si>
  <si>
    <t>Standart hata</t>
  </si>
  <si>
    <t>AN_DS_CV</t>
  </si>
  <si>
    <t>AN_DS_TOTAL</t>
  </si>
  <si>
    <t>Total (PARTIAL excluded)</t>
  </si>
  <si>
    <t>Toplam (PARTIAL hariç)</t>
  </si>
  <si>
    <t>AN_DS_FACTORS</t>
  </si>
  <si>
    <t>Factor, sigma and number of ratios by development age</t>
  </si>
  <si>
    <t>Gelişim yaşına göre faktör, sigma ve oran sayısı</t>
  </si>
  <si>
    <t>AN_DS_AGE</t>
  </si>
  <si>
    <t>Age</t>
  </si>
  <si>
    <t>Yaş</t>
  </si>
  <si>
    <t>AN_DS_F</t>
  </si>
  <si>
    <t>Factor f</t>
  </si>
  <si>
    <t>Faktör f</t>
  </si>
  <si>
    <t>AN_DS_SIGMA</t>
  </si>
  <si>
    <t>Sigma</t>
  </si>
  <si>
    <t>AN_DS_N</t>
  </si>
  <si>
    <t>AN_DS_RANGE</t>
  </si>
  <si>
    <t>Approximate 95% range (normal approximation, floored at 0)</t>
  </si>
  <si>
    <t>Yaklaşık %95 aralık (normal yaklaşım, 0 alt sınır)</t>
  </si>
  <si>
    <t>AN_DS_TRI_CMP</t>
  </si>
  <si>
    <t>AN_Triangle further payments with the selected method</t>
  </si>
  <si>
    <t>AN_Triangle seçili yöntemle ek ödeme</t>
  </si>
  <si>
    <t>AN_DS_EXTRAP</t>
  </si>
  <si>
    <t>sigma extrapolated by Mack's rule at the last ages</t>
  </si>
  <si>
    <t>son yaşlarda sigma Mack kuralıyla dışdeğerlendi</t>
  </si>
  <si>
    <t>AN_DS_GATE</t>
  </si>
  <si>
    <t>INSUFFICIENT DATA: {0} loss months that are not PARTIAL (at least {1}) or a missing factor</t>
  </si>
  <si>
    <t>VERİ YETERSİZ: {0} PARTIAL olmayan hasar ayı (en az {1}) veya eksik faktör</t>
  </si>
  <si>
    <t>AN_DS_CHART</t>
  </si>
  <si>
    <t>AN_DS_HEAD</t>
  </si>
  <si>
    <t>{0}: indicative further payments TRY {1} m, standard error TRY {2} m (CV {3}); {4} loss months</t>
  </si>
  <si>
    <t>{0}: gösterge ek ödemeler {1} mn TL, standart hata {2} mn TL (CV {3}); {4} hasar ayı</t>
  </si>
  <si>
    <t>AN_TF_TITLE</t>
  </si>
  <si>
    <t>AN_TF_PURPOSE</t>
  </si>
  <si>
    <t>Upper tail of paid per case (positive) in the analysis window: closed-form tail-index estimators (Hill, moment, Pickands, GPD probability-weighted moments) across thresholds.</t>
  </si>
  <si>
    <t>Analiz penceresindeki dosya başı ödenenlerin (pozitif) üst kuyruğu: kapalı biçimli kuyruk indeksi tahmincileri (Hill, moment, Pickands, GPD olasılık ağırlıklı momentler) eşiğe göre.</t>
  </si>
  <si>
    <t>AN_HOWTO_TAILFIT</t>
  </si>
  <si>
    <t>How to read: ξ &gt; 0 means a heavy (Pareto-type) tail, larger is heavier; where the estimators agree and stay flat over a range of thresholds, that range is reliable. α = 1/ξ.</t>
  </si>
  <si>
    <t>Nasıl okunur: ξ &gt; 0 ağır (Pareto tipi) kuyruk, büyükse daha ağır; tahminciler bir eşik aralığında birbirine yakın ve yatay ise o aralık güvenilir. α = 1/ξ.</t>
  </si>
  <si>
    <t>AN_TF_DISCLAIMER</t>
  </si>
  <si>
    <t>DRAFT - indicative: paid per case is within the window (not the ultimate claim); policy limits cap the tail (AN_Limits). Not for pricing or reserving.</t>
  </si>
  <si>
    <t>TASLAK - gösterge niteliğinde: dosya başı ödenen pencere içindedir (nihai hasar değil); poliçe limitleri kuyruğu keser (AN_Limits). Fiyatlama veya rezerv için değildir.</t>
  </si>
  <si>
    <t>AN_TF_THRESH</t>
  </si>
  <si>
    <t>Threshold (case percentile)</t>
  </si>
  <si>
    <t>Eşik (dosya yüzdeliği)</t>
  </si>
  <si>
    <t>AN_TF_TABLE</t>
  </si>
  <si>
    <t>Estimates at the selected threshold</t>
  </si>
  <si>
    <t>Seçilen eşikte tahminler</t>
  </si>
  <si>
    <t>AN_TF_METHOD</t>
  </si>
  <si>
    <t>Yöntem</t>
  </si>
  <si>
    <t>AN_TF_XI</t>
  </si>
  <si>
    <t>ξ (tail index)</t>
  </si>
  <si>
    <t>ξ (kuyruk indeksi)</t>
  </si>
  <si>
    <t>AN_TF_ALPHA</t>
  </si>
  <si>
    <t>α = 1/ξ</t>
  </si>
  <si>
    <t>AN_TF_SE</t>
  </si>
  <si>
    <t>AN_TF_U</t>
  </si>
  <si>
    <t>Threshold u (TRY k)</t>
  </si>
  <si>
    <t>Eşik u (bin TL)</t>
  </si>
  <si>
    <t>AN_TF_K</t>
  </si>
  <si>
    <t>Cases above the threshold k</t>
  </si>
  <si>
    <t>Eşik üstü dosya k</t>
  </si>
  <si>
    <t>AN_TF_HILL</t>
  </si>
  <si>
    <t>Hill</t>
  </si>
  <si>
    <t>AN_TF_MOM</t>
  </si>
  <si>
    <t>Moment (Dekkers-Einmahl-de Haan)</t>
  </si>
  <si>
    <t>AN_TF_PICK</t>
  </si>
  <si>
    <t>Pickands</t>
  </si>
  <si>
    <t>AN_TF_PWM</t>
  </si>
  <si>
    <t>GPD probability-weighted moments</t>
  </si>
  <si>
    <t>GPD olasılık ağırlıklı momentler</t>
  </si>
  <si>
    <t>AN_TF_QTABLE</t>
  </si>
  <si>
    <t>High percentiles (TRY k): model and observed</t>
  </si>
  <si>
    <t>Yüksek yüzdelikler (bin TL): model ve gözlenen</t>
  </si>
  <si>
    <t>AN_TF_EMP</t>
  </si>
  <si>
    <t>Observed (PERCENTILE.INC)</t>
  </si>
  <si>
    <t>Gözlenen (PERCENTILE.INC)</t>
  </si>
  <si>
    <t>AN_TF_WEISS</t>
  </si>
  <si>
    <t>Hill / Weissman</t>
  </si>
  <si>
    <t>AN_TF_GPDQ</t>
  </si>
  <si>
    <t>GPD (PWM)</t>
  </si>
  <si>
    <t>AN_TF_CHART</t>
  </si>
  <si>
    <t>ξ estimates by threshold (Hill with a ±1.96 standard-error band)</t>
  </si>
  <si>
    <t>Eşiğe göre ξ tahminleri (Hill ±1,96 standart hata bandıyla)</t>
  </si>
  <si>
    <t>AN_TF_SEVCHK</t>
  </si>
  <si>
    <t>AN_Severity Hill α (same k) - consistency</t>
  </si>
  <si>
    <t>AN_Severity Hill α (aynı k ile) - tutarlılık</t>
  </si>
  <si>
    <t>AN_TF_GATE</t>
  </si>
  <si>
    <t>INSUFFICIENT DATA: {0} cases (at least {1}) or {2} cases above the threshold (at least {3})</t>
  </si>
  <si>
    <t>VERİ YETERSİZ: {0} dosya (en az {1}) veya eşik üstünde {2} dosya (en az {3})</t>
  </si>
  <si>
    <t>AN_TF_HEAD</t>
  </si>
  <si>
    <t>{0}: {1} cases; at the P{2} threshold Hill ξ {3} (α {4}), moment ξ {5}, GPD ξ {6}</t>
  </si>
  <si>
    <t>{0}: {1} dosya; P{2} eşiğinde Hill ξ {3} (α {4}), moment ξ {5}, GPD ξ {6}</t>
  </si>
  <si>
    <t>origins</t>
  </si>
  <si>
    <t>AN_Backtest: rolling forecast origins tested (the latest ones whose training window has at least MinMonthsForForecast months) (DRAFT)</t>
  </si>
  <si>
    <t>BacktestOrigins</t>
  </si>
  <si>
    <t>AN_TailFit: default threshold percentile of the cases (the page input overrides it for the session) (DRAFT)</t>
  </si>
  <si>
    <t>TailFitQuantile</t>
  </si>
  <si>
    <t>AN_TailFit: minimum cases above a threshold for an estimate (Pickands needs 4k cases) (DRAFT)</t>
  </si>
  <si>
    <t>TailMinK</t>
  </si>
  <si>
    <t>loss months</t>
  </si>
  <si>
    <t>AN_Dispersion: minimum loss months that are not PARTIAL for the Mack-style standard error (DRAFT)</t>
  </si>
  <si>
    <t>MackMinLossMonths</t>
  </si>
  <si>
    <t>3.2.0</t>
  </si>
  <si>
    <t>Version of this workbook; written into every log event and controls file.</t>
  </si>
  <si>
    <t>3.2</t>
  </si>
  <si>
    <t>Version of the public contract (sheet Interface_Contract). 3.2: the consolidated store replaces the monthly archive files (no 3.0 / 3.1 archive existed in production, BL-51).</t>
  </si>
  <si>
    <t>First month that must be in the store: one CURRENT batch per month up to the month before ActivePeriod (checks ARCHIVE_COMPLETE, COMPLETENESS). Setup proposes the earliest period found in the source folder.</t>
  </si>
  <si>
    <t>The frozen history starts with the first month stored on the platform.</t>
  </si>
  <si>
    <t>Folder of the store: STORE_PAY.csv (every closed month, append-only), Inbox\&lt;LoadBatch&gt;\ (the stored source files), CONTROLS_PAY_&lt;YYYYMM&gt;.xlsx (evidence of each close) and Superseded\. Comes from ACP_Settings.ini.</t>
  </si>
  <si>
    <t>Outside the source folder (Setup checks it); Delete only for ACP-Admins (Admin_Guide, IT request).</t>
  </si>
  <si>
    <t>Only this extension is read (source files) and written (controls files).</t>
  </si>
  <si>
    <t>Not used since 3.2.0: the store replaces the monthly archive files. Kept only so that Re-open can still move an archive file of an older installation to Superseded (removal: backlog 3.2.1).</t>
  </si>
  <si>
    <t>Retired with the per-month archive design (DECISIONS_P3 P3-79, P3-82).</t>
  </si>
  <si>
    <t>Controls evidence written at every close: &lt;prefix&gt;&lt;YYYYMM&gt;&lt;extension&gt; in the archive folder (read-only).</t>
  </si>
  <si>
    <t>Machine-readable evidence of each close next to the store.</t>
  </si>
  <si>
    <t>Documentation (WP-11): built by Build-WP11.ps1; parameter values are live formulas</t>
  </si>
  <si>
    <t>Method_Index</t>
  </si>
  <si>
    <t>Method_Cards</t>
  </si>
  <si>
    <t>Sheet_Map</t>
  </si>
  <si>
    <t>calc (hidden): AB2 readiness, AB3 segment, AB4 n months, AB5 H, AB6 K, AB7 min training, AB8 confidence, AB9..AB11 origins</t>
  </si>
  <si>
    <t>paid TRY</t>
  </si>
  <si>
    <t>origin</t>
  </si>
  <si>
    <t>interval half-width</t>
  </si>
  <si>
    <t>actual</t>
  </si>
  <si>
    <t>naive</t>
  </si>
  <si>
    <t>seasonal naive</t>
  </si>
  <si>
    <t>inside (1/0)</t>
  </si>
  <si>
    <t>APE ETS</t>
  </si>
  <si>
    <t>APE naive</t>
  </si>
  <si>
    <t>APE seasonal naive</t>
  </si>
  <si>
    <t>PE ETS (signed)</t>
  </si>
  <si>
    <t>summary by horizon (CY..)</t>
  </si>
  <si>
    <t>MAPE ETS</t>
  </si>
  <si>
    <t>MAPE naive</t>
  </si>
  <si>
    <t>MAPE seasonal naive</t>
  </si>
  <si>
    <t>bias ETS</t>
  </si>
  <si>
    <t>coverage</t>
  </si>
  <si>
    <t>chart h=1: target month, actual, forecast, lower, upper (TRY m)</t>
  </si>
  <si>
    <t>calc (hidden): Mack (1993) on the cumulative grid of AN_Triangle (BF15#), loss months not PARTIAL, volume-weighted factors over every observed loss month, tail 1</t>
  </si>
  <si>
    <t>E: observed link (rows x ages 0..mx-1)</t>
  </si>
  <si>
    <t>S</t>
  </si>
  <si>
    <t>f</t>
  </si>
  <si>
    <t>sigma2 (n&gt;=2)</t>
  </si>
  <si>
    <t>sigma2 (Mack rule at the last ages)</t>
  </si>
  <si>
    <t>L: cumulative ln f (ages 0..mx)</t>
  </si>
  <si>
    <t>w = sigma2 / f^2</t>
  </si>
  <si>
    <t>not PARTIAL</t>
  </si>
  <si>
    <t>projection U</t>
  </si>
  <si>
    <t>C^(i,k), k = 0..mx-1 (projected from the latest)</t>
  </si>
  <si>
    <t>MSE</t>
  </si>
  <si>
    <t>s.e.</t>
  </si>
  <si>
    <t>total further</t>
  </si>
  <si>
    <t>total MSE</t>
  </si>
  <si>
    <t>total s.e.</t>
  </si>
  <si>
    <t>total CV</t>
  </si>
  <si>
    <t>lower (normal, 0 floor)</t>
  </si>
  <si>
    <t>AN_Triangle further (selected method)</t>
  </si>
  <si>
    <t>loss months in the total</t>
  </si>
  <si>
    <t>chart: loss month, further (TRY m), s.e. (TRY m)</t>
  </si>
  <si>
    <t>calc (hidden): AB3 segment, AB4 months, AB5 n, AB6 min cases, AB7 min k, AB8 p*, AB9 k*, AB10 AN_Severity k, AB11 gate</t>
  </si>
  <si>
    <t>paid per case TRY, positive, descending</t>
  </si>
  <si>
    <t>p</t>
  </si>
  <si>
    <t>k</t>
  </si>
  <si>
    <t>u</t>
  </si>
  <si>
    <t>Hill xi</t>
  </si>
  <si>
    <t>moment xi</t>
  </si>
  <si>
    <t>Pickands xi</t>
  </si>
  <si>
    <t>GPD PWM xi</t>
  </si>
  <si>
    <t>Hill lower</t>
  </si>
  <si>
    <t>Hill upper</t>
  </si>
  <si>
    <t>u*</t>
  </si>
  <si>
    <t>Hill xi*</t>
  </si>
  <si>
    <t>moment xi*</t>
  </si>
  <si>
    <t>Pickands xi*</t>
  </si>
  <si>
    <t>GPD PWM xi*</t>
  </si>
  <si>
    <t>GPD PWM sigma*</t>
  </si>
  <si>
    <t>Hill s.e.</t>
  </si>
  <si>
    <t>Hill alpha at the AN_Severity k</t>
  </si>
  <si>
    <t>AN_Severity alpha (same segment)</t>
  </si>
  <si>
    <t>GPD PWM</t>
  </si>
  <si>
    <t>Yöntem kartları / Model cards</t>
  </si>
  <si>
    <t>Her model için amaç, formüller, parametreler (canlı değer ve hücre bağlantısı), varsayımlar, sınırlar, doğrulama kanıtı ve kaynaklar. Durumlar TASLAK / gösterge niteliğindedir. / For each model: purpose, formulas, parameters (live value and a link to the cell), assumptions, limitations, validation evidence and references. Statuses are DRAFT / indicative. Last verified against build dev_docs_20261005 (see docs/DECISION_INDEX.md).</t>
  </si>
  <si>
    <t>M1</t>
  </si>
  <si>
    <t>M1  Ödenen zincir merdiven / Paid chain ladder</t>
  </si>
  <si>
    <t>Sayfalar / Pages</t>
  </si>
  <si>
    <t>AN_Triangle, AN_Dispersion</t>
  </si>
  <si>
    <t>Durum / Status</t>
  </si>
  <si>
    <t>Indicative paid projection (not a reserve); factors and gates DRAFT</t>
  </si>
  <si>
    <t>Amaç (TR)</t>
  </si>
  <si>
    <t>Hasar ayına göre ödenen gelişim üçgeninden gösterge niteliğinde ek ödeme projeksiyonu ve belirsizliği (Mack tipi).</t>
  </si>
  <si>
    <t>Purpose (EN)</t>
  </si>
  <si>
    <t>Indicative projection of further paid by loss month from the paid development triangle, and its uncertainty (Mack-style).</t>
  </si>
  <si>
    <t>Formüller / Formulas</t>
  </si>
  <si>
    <t>C(i,d) = cumulative paid TRY of loss month i at development month d = reporting period - loss month (0..TriangleMaxDev; the last column accumulates later development). Link ratio r(i,d) = C(i,d+1) / C(i,d) where both cells are observed and C(i,d) &gt; 0. Factor f(d) = sum C(i,d+1) / sum C(i,d) (volume weighted) or mean r(i,d) (simple) over the latest n loss months that are not PARTIAL; fewer than MinLinkRatios ratios = INSUFFICIENT DATA. CDF(d) = product of f(k), k &gt;= d, times the tail factor. Projection = latest cumulative x CDF(age); further payments = projection - latest. AN_Dispersion (Mack 1993): f(d) volume weighted over every observed loss month; sigma2(d) = sum C(i,d) (r(i,d) - f(d))^2 / (n(d) - 1), the last ages by Mack's rule min(sigma4(d-1) / sigma2(d-2), sigma2(d-2), sigma2(d-1)); MSE(i) = U(i)^2 x sum over k &gt;= age(i) of sigma2(k) / f(k)^2 x (1 / C^(i,k) + 1 / S(k)), S(k) = sum of C(j,k) behind f(k); total MSE adds 2 U(i) U(j) sum over k &gt;= max(age) of sigma2(k) / f(k)^2 / S(k).</t>
  </si>
  <si>
    <t>Parametre / Parameter</t>
  </si>
  <si>
    <t>Kaynak / Source</t>
  </si>
  <si>
    <t>Değer / Value (live)</t>
  </si>
  <si>
    <t>Hücre / Cell</t>
  </si>
  <si>
    <t>Last development month on the grid</t>
  </si>
  <si>
    <t>AnParam TriangleMaxDev [Value]</t>
  </si>
  <si>
    <t>Minimum link ratios behind a factor</t>
  </si>
  <si>
    <t>AnParam MinLinkRatios [Value]</t>
  </si>
  <si>
    <t>Stability flag: CV of the link ratios above</t>
  </si>
  <si>
    <t>AnParam TriStabilityCV [Value]</t>
  </si>
  <si>
    <t>Stability flag: development share below</t>
  </si>
  <si>
    <t>AnParam TriMinDevShare [Value]</t>
  </si>
  <si>
    <t>Calendar A/E: minimum expected share</t>
  </si>
  <si>
    <t>AnParam TriAEMinShare [Value]</t>
  </si>
  <si>
    <t>AN_Dispersion: minimum loss months (not PARTIAL)</t>
  </si>
  <si>
    <t>AnParam MackMinLossMonths [Value]</t>
  </si>
  <si>
    <t>Tail factor (AN_Triangle input)</t>
  </si>
  <si>
    <t>AN_Triangle'!$X$8</t>
  </si>
  <si>
    <t>Varsayımlar / Assumptions</t>
  </si>
  <si>
    <t>The development pattern is the same for every loss month; loss months are independent; the variance of C(i,d+1) given C(i,d) is proportional to C(i,d) (Mack); amounts are TRY at the payment-date rate; the development month is counted from the reporting period.</t>
  </si>
  <si>
    <t>Sınırlar / Limitations</t>
  </si>
  <si>
    <t>Paid only: no case reserves, IBNR, exposure or premium. Loss months before the data start are PARTIAL and excluded. Development beyond TriangleMaxDev is not modelled (tail factor input on AN_Triangle, default 1.000). First link ratios on tiny first-month cumulatives are unstable (BL-39). AN_Dispersion uses all observed loss months, so its total can differ from the AN_Triangle projection with the latest-n factors (both shown). The normal-approximation range is indicative.</t>
  </si>
  <si>
    <t>Doğrulama / Validation</t>
  </si>
  <si>
    <t>Ground truth (P3-52): the TRY triangle by segment x loss month x development month (576 cells) and the expected paid triangle of the clean company-months (867 cells) match. T1 recomputes the volume-weighted factors from the cumulative grid. The Mack standard errors are recomputed by tools/verify_docpages.py with an implementation checked on the Taylor and Ashe (1983) triangle against the totals published by Mack (1993) (wp/DOCS/pages_check.md).</t>
  </si>
  <si>
    <t>Mack total CV (AN_Triangle selection) / Mack toplam CV</t>
  </si>
  <si>
    <t>Mack total further / s.e. (TRY m)</t>
  </si>
  <si>
    <t>Kaynaklar / References</t>
  </si>
  <si>
    <t>Mack, T. (1993). Distribution-free calculation of the standard error of chain ladder reserve estimates. ASTIN Bulletin 23(2), 213-225.
Taylor, G.C. and Ashe, F.R. (1983). Second moments of estimates of outstanding claims. Journal of Econometrics 23, 37-61.
Friedland, J. (2010). Estimating Unpaid Claims Using Basic Techniques. Casualty Actuarial Society.</t>
  </si>
  <si>
    <t>M2</t>
  </si>
  <si>
    <t>M2  ETS tahmini / ETS forecast</t>
  </si>
  <si>
    <t>AN_Trend, AN_Backtest</t>
  </si>
  <si>
    <t>Statistical extension of past payments (not a budget or a reserve); backtest DRAFT</t>
  </si>
  <si>
    <t>Aylık ödenenin birkaç ay ilerisi için istatistiksel uzantısı ve tahmin aralığı; geçmişteki isabeti AN_Backtest ölçer.</t>
  </si>
  <si>
    <t>Statistical extension of monthly paid a few months ahead with a prediction interval; AN_Backtest measures its past accuracy.</t>
  </si>
  <si>
    <t>FORECAST.ETS(target, values, month index 1..n, seasonality 1 = detected, data completion 1): Excel's additive exponential smoothing (AAA version of ETS); FORECAST.ETS.CONFINT at ForecastConfidence; the lower limit is floored at 0. Gate: MinMonthsForForecast monthly points; below ForecastConfidentMonths the forecast is labelled low confidence. Backtest (AN_Backtest): origins o = the latest BacktestOrigins months with o + H &lt;= n and o &gt;= MinMonthsForForecast; for h = 1..H the model is fitted on months 1..o; APE = |y(o+h) - F(o,h)| / y(o+h); MAPE = mean APE; bias = mean (F - y) / y; coverage = share of y inside [max(0, F - CI), F + CI]; benchmarks naive F = y(o) and seasonal naive F = y(o+h-12).</t>
  </si>
  <si>
    <t>Forecast horizon (months)</t>
  </si>
  <si>
    <t>AnParam ForecastHorizonMonths [Value]</t>
  </si>
  <si>
    <t>Confidence of the prediction interval</t>
  </si>
  <si>
    <t>AnParam ForecastConfidence [Value]</t>
  </si>
  <si>
    <t>Minimum monthly points</t>
  </si>
  <si>
    <t>AnParam MinMonthsForForecast [Value]</t>
  </si>
  <si>
    <t>Below this the forecast is low confidence</t>
  </si>
  <si>
    <t>AnParam ForecastConfidentMonths [Value]</t>
  </si>
  <si>
    <t>AN_Backtest: origins tested</t>
  </si>
  <si>
    <t>AnParam BacktestOrigins [Value]</t>
  </si>
  <si>
    <t>Monthly paid has a level, trend and seasonal structure that continues; the months of the analysis window are representative.</t>
  </si>
  <si>
    <t>At most 36 monthly points (analysis window); seasonality needs about two years to estimate; Excel's interval assumes the model is right, so coverage below the target means the interval is too narrow; Excel's ETS cannot be reproduced exactly outside Excel (P3-42), so its values are tested by their errors, not recomputed.</t>
  </si>
  <si>
    <t>T1: forecast finite and inside its interval. AN_Backtest: MAPE, bias and coverage by horizon against naive and seasonal-naive benchmarks (live below); tools/verify_docpages.py recomputes every APE, MAPE, coverage and benchmark from the exported series and forecasts.</t>
  </si>
  <si>
    <t>Backtest (segment on AN_Backtest): MAPE h=1 ETS / seasonal naive</t>
  </si>
  <si>
    <t>Backtest interval coverage h=1 (target)</t>
  </si>
  <si>
    <t>Hyndman, R.J. and Athanasopoulos, G. (2021). Forecasting: Principles and Practice, 3rd ed., OTexts: chapter 8 (ETS) and section 5.10 (time-series cross-validation).
Tashman, L.J. (2000). Out-of-sample tests of forecasting accuracy. International Journal of Forecasting 16, 437-450.
Microsoft: FORECAST.ETS and FORECAST.ETS.CONFINT functions.</t>
  </si>
  <si>
    <t>M3</t>
  </si>
  <si>
    <t>M3  Log-z durum motoru / Log-z status engine</t>
  </si>
  <si>
    <t>AN_Exec_Life, AN_Exec_Pension, AN_Exec_NonLife, AN_Anomaly</t>
  </si>
  <si>
    <t>Levels DRAFT (not approved); WATCH / ALERT carry (draft)</t>
  </si>
  <si>
    <t>Bir ayın tutarı kendi geçmişine göre olağan dışı mı? Tutarlar sağa çarpık olduğundan log ölçekte sağlam z.</t>
  </si>
  <si>
    <t>Is a month's amount unusual against its own history? A robust z on the log scale, because amounts are right-skewed.</t>
  </si>
  <si>
    <t>z = (ln x - median(ln h)) / (1.4826 x MAD(ln h)); h = the trailing months before the selected one (up to 23 on the executive pages, AnomalyHistoryMonths on AN_Anomaly), current month excluded, non-positive months ignored; 1.4826 = 1 / 0.6745 makes the MAD a consistent estimate of the standard deviation under normality. Two-sided. WATCH: |z| &gt;= WatchLevel in the selected month and the month before (persistence 'WATCH: 2 consecutive'); ALERT: |z| &gt;= AlertLevel. INSUFFICIENT DATA when fewer than MinMonths history months or n &lt; MinN. Normal band on the executive charts: exp(median ln h +/- TrendBandWidth x 1.4826 x MAD ln h).</t>
  </si>
  <si>
    <t>TH12 monthly paid: WATCH |z|</t>
  </si>
  <si>
    <t>tblThreshold TH12 [WatchLevel]</t>
  </si>
  <si>
    <t>TH12 monthly paid: ALERT |z|</t>
  </si>
  <si>
    <t>tblThreshold TH12 [AlertLevel]</t>
  </si>
  <si>
    <t>TH02 mean per case: WATCH |z|</t>
  </si>
  <si>
    <t>tblThreshold TH02 [WatchLevel]</t>
  </si>
  <si>
    <t>TH03 P90 per case: minimum cases</t>
  </si>
  <si>
    <t>tblThreshold TH03 [MinN]</t>
  </si>
  <si>
    <t>TH13 company paid: minimum history months</t>
  </si>
  <si>
    <t>tblThreshold TH13 [MinMonths]</t>
  </si>
  <si>
    <t>Normal band width (robust SD)</t>
  </si>
  <si>
    <t>AnParam TrendBandWidth [Value]</t>
  </si>
  <si>
    <t>Log amounts of the history are roughly symmetric and exchangeable; past outliers are few (the median and MAD resist them).</t>
  </si>
  <si>
    <t>A trend or seasonality in the history widens the MAD and lowers the sensitivity; the persistence rule delays a WATCH by one month; every level is DRAFT until the owner approves it (BL-61).</t>
  </si>
  <si>
    <t>T1 (page = DAX) for every tile value; the status statistics on DRAFT levels are not validated (BL-35); the planted-signal scorecard waits for the final validation data (BL-17).</t>
  </si>
  <si>
    <t>Rousseeuw, P.J. and Croux, C. (1993). Alternatives to the median absolute deviation. JASA 88, 1273-1283.
Iglewicz, B. and Hoaglin, D.C. (1993). How to Detect and Handle Outliers. ASQC Quality Press.</t>
  </si>
  <si>
    <t>M4</t>
  </si>
  <si>
    <t>M4  X-mR ve CUSUM / X-mR and CUSUM</t>
  </si>
  <si>
    <t>AN_Anomaly</t>
  </si>
  <si>
    <t>Levels DRAFT (TH08, TH09)</t>
  </si>
  <si>
    <t>Şirketin aylık ödenen düzeyinde ani sıçramalar (X-mR) ve küçük kalıcı kaymalar (CUSUM).</t>
  </si>
  <si>
    <t>Sudden jumps (X-mR) and small persistent shifts (CUSUM) in a company's monthly paid level.</t>
  </si>
  <si>
    <t>Individuals chart on ln(paid): centre = mean of ln h, sigma = mean moving range / 1.128 (d2 for n = 2); ALERT beyond 3 sigma; WATCH when the month and the 7 before lie on one side of the centre. Tabular CUSUM on z(t) = (ln paid - baseline mean) / baseline sigma, baseline M-23..M-12, monitoring M-11..M: S+(t) = max(0, S+(t-1) + z(t) - k), S-(t) = max(0, S-(t-1) - z(t) - k), k = CusumK; WATCH max(S+, S-) &gt;= 4, ALERT &gt;= 5 (h).</t>
  </si>
  <si>
    <t>TH08 X-mR: ALERT beyond (sigma)</t>
  </si>
  <si>
    <t>tblThreshold TH08 [AlertLevel]</t>
  </si>
  <si>
    <t>TH09 CUSUM: WATCH at</t>
  </si>
  <si>
    <t>tblThreshold TH09 [WatchLevel]</t>
  </si>
  <si>
    <t>TH09 CUSUM: ALERT at (h)</t>
  </si>
  <si>
    <t>tblThreshold TH09 [AlertLevel]</t>
  </si>
  <si>
    <t>CUSUM reference value k</t>
  </si>
  <si>
    <t>AnParam CusumK [Value]</t>
  </si>
  <si>
    <t>History months</t>
  </si>
  <si>
    <t>AnParam AnomalyHistoryMonths [Value]</t>
  </si>
  <si>
    <t>Monthly observations are independent and the baseline months are in control.</t>
  </si>
  <si>
    <t>Autocorrelation and seasonality raise the false-alarm rate; 24 months of history are needed; levels are DRAFT.</t>
  </si>
  <si>
    <t>Test-AnPages T3A recomputes the indicator values of the page; the in-control average run length of a two-sided CUSUM with k = 0.5, h = 5 is about 465 months (Montgomery).</t>
  </si>
  <si>
    <t>Montgomery, D.C. (2019). Introduction to Statistical Quality Control, 8th ed., Wiley: chapters 6 and 9.
Page, E.S. (1954). Continuous inspection schemes. Biometrika 41, 100-115.</t>
  </si>
  <si>
    <t>M5</t>
  </si>
  <si>
    <t>M5  Benford ilk basamak / Benford first digit</t>
  </si>
  <si>
    <t>Bands are published FIXED values: placeholder (*) until approved; never counted or ranked</t>
  </si>
  <si>
    <t>Satır tutarlarının ilk basamak dağılımı Benford yasasından sapıyor mu (veri kalitesi ve uydurma tutar işareti)?</t>
  </si>
  <si>
    <t>Does the first-digit distribution of the line amounts depart from Benford's law (a data-quality and fabrication signal)?</t>
  </si>
  <si>
    <t>First significant digit d of |gross amount| (original currency; digits are scale free, so currencies are pooled); expected share log10(1 + 1/d); MAD = mean over d = 1..9 of |observed share - expected share|; bands &lt; 0.006 close, 0.006-0.012 acceptable, 0.012-0.015 marginal, &gt; 0.015 nonconformity; chi-square (8 degrees of freedom) shown, not used. At least MinN lines.</t>
  </si>
  <si>
    <t>TH10 Benford MAD: WATCH (placeholder)</t>
  </si>
  <si>
    <t>tblThreshold TH10 [WatchLevel]</t>
  </si>
  <si>
    <t>TH10 Benford MAD: ALERT (placeholder)</t>
  </si>
  <si>
    <t>tblThreshold TH10 [AlertLevel]</t>
  </si>
  <si>
    <t>TH10 minimum lines</t>
  </si>
  <si>
    <t>tblThreshold TH10 [MinN]</t>
  </si>
  <si>
    <t>TH10 status</t>
  </si>
  <si>
    <t>tblThreshold TH10 [Status]</t>
  </si>
  <si>
    <t>Amounts span several orders of magnitude and arise from multiplicative processes.</t>
  </si>
  <si>
    <t>Policy limits, fixed benefits, instalments and annuities need not follow Benford; the bands are placeholders until the owner approves them for this portfolio (BL-61).</t>
  </si>
  <si>
    <t>Digit counts per company-month (pvtAN_Dig) recomputed by T3A; the bands are the published values, not tuned.</t>
  </si>
  <si>
    <t>Nigrini, M.J. (2012). Benford's Law: Applications for Forensic Accounting, Auditing, and Fraud Detection. Wiley.
Benford, F. (1938). The law of anomalous numbers. Proceedings of the American Philosophical Society 78, 551-572.</t>
  </si>
  <si>
    <t>M6</t>
  </si>
  <si>
    <t>M6  PSI (popülasyon kararlılığı) / PSI (population stability)</t>
  </si>
  <si>
    <t>Bands are customary FIXED values: placeholder (*) until approved</t>
  </si>
  <si>
    <t>Şirketin ödeme türü karması önceki 12 aya göre kaydı mı?</t>
  </si>
  <si>
    <t>Did the company's payment-nature mix shift against the 12 months before?</t>
  </si>
  <si>
    <t>PSI = sum over payment natures of (a - e) ln(a / e); a = share of the month's lines, e = share of the lines of the 12 months before; shares floored at 0.0001; &lt; 0.10 stable, 0.10-0.25 shift, &gt; 0.25 major shift.</t>
  </si>
  <si>
    <t>TH11 PSI: WATCH (placeholder)</t>
  </si>
  <si>
    <t>tblThreshold TH11 [WatchLevel]</t>
  </si>
  <si>
    <t>TH11 PSI: ALERT (placeholder)</t>
  </si>
  <si>
    <t>tblThreshold TH11 [AlertLevel]</t>
  </si>
  <si>
    <t>TH11 minimum lines</t>
  </si>
  <si>
    <t>tblThreshold TH11 [MinN]</t>
  </si>
  <si>
    <t>TH11 status</t>
  </si>
  <si>
    <t>tblThreshold TH11 [Status]</t>
  </si>
  <si>
    <t>Payment-nature codes are stable over time and the reference year is representative.</t>
  </si>
  <si>
    <t>Many small categories and new codes inflate PSI (the floor limits it); the bands come from credit scoring and are placeholders (BL-61).</t>
  </si>
  <si>
    <t>Nature counts per company-month (pvtAN_CMN) recomputed by T3A.</t>
  </si>
  <si>
    <t>Siddiqi, N. (2017). Intelligent Credit Scoring, 2nd ed. Wiley.
Yurdakul, B. (2018). Statistical Properties of Population Stability Index. PhD dissertation, Western Michigan University.</t>
  </si>
  <si>
    <t>M7</t>
  </si>
  <si>
    <t>M7  Lorenz eğrisi ve Gini / Lorenz curve and Gini</t>
  </si>
  <si>
    <t>AN_Severity</t>
  </si>
  <si>
    <t>Descriptive; gated by MinCasesForTail</t>
  </si>
  <si>
    <t>Ödenenin dosyalar arasında ne kadar yoğunlaştığı.</t>
  </si>
  <si>
    <t>How concentrated paid is across cases.</t>
  </si>
  <si>
    <t>x(1) &lt;= ... &lt;= x(n): paid TRY per case with positive paid in the window. Gini = 2 sum(i x(i)) / (n sum x) - (n + 1) / n. Lorenz curve at 101 points (share of cases, share of paid). Top 1% share (at least one case) and top-10 share.</t>
  </si>
  <si>
    <t>Minimum cases for Gini and shares</t>
  </si>
  <si>
    <t>AnParam MinCasesForTail [Value]</t>
  </si>
  <si>
    <t>Rows in top-N lists</t>
  </si>
  <si>
    <t>AnParam TopN [Value]</t>
  </si>
  <si>
    <t>Per-case paid in the 36-month window; cases with zero or negative paid (reversals) are not severity observations (P3-105).</t>
  </si>
  <si>
    <t>Cases are truncated by the window (paid before or after it is not seen); recent cases are undeveloped; multi-currency cases are converted at the payment-date rate.</t>
  </si>
  <si>
    <t>Ground truth paid per case 8,483 / 8,483 (P3-104); T3S recomputes the statistics of the page.</t>
  </si>
  <si>
    <t>Kleiber, C. and Kotz, S. (2003). Statistical Size Distributions in Economics and Actuarial Sciences. Wiley.
Gini, C. (1912). Variabilità e mutabilità.</t>
  </si>
  <si>
    <t>M8</t>
  </si>
  <si>
    <t>M8  Ortalama aşım ve kuyruk indeksi / Mean excess and tail index</t>
  </si>
  <si>
    <t>AN_Severity, AN_TailFit</t>
  </si>
  <si>
    <t>Indicative; thresholds DRAFT</t>
  </si>
  <si>
    <t>Büyük dosyaların kuyruğu ne kadar ağır ve tahmin eşik seçimine ne kadar duyarlı?</t>
  </si>
  <si>
    <t>How heavy is the tail of the large cases, and how sensitive is the estimate to the threshold?</t>
  </si>
  <si>
    <t>Mean excess e(u) = mean(x - u | x &gt; u) at the 50th..98th percentiles (a rising line suggests a heavy tail). x(1) &gt;= x(2) &gt;= ... (descending); k cases above u = x(k+1). Hill: xi = (1/k) sum ln x(i) - ln x(k+1), alpha = 1/xi, standard error xi / sqrt(k); AN_Severity uses k = max(20, round(TailShare x n)). Moment (Dekkers, Einmahl, de Haan): M1 = Hill, M2 = (1/k) sum (ln x(i) - ln x(k+1))^2, xi = M1 + 1 - 0.5 / (1 - M1^2 / M2). Pickands: xi = ln((x(k) - x(2k)) / (x(2k) - x(4k))) / ln 2. GPD by probability-weighted moments (Hosking and Wallis) on the excesses y = x - u: a0 = mean y, a1 = (1/k) sum (1 - p(j)) y(j), p(j) = (j - 0.35) / k on ascending y; xi = 2 - a0 / (a0 - 2 a1), sigma = 2 a0 a1 / (a0 - 2 a1). High percentile q: Hill / Weissman u (k / (n (1 - q)))^xi; GPD u + sigma / xi ((k / (n (1 - q)))^xi - 1).</t>
  </si>
  <si>
    <t>AN_Severity Hill: share of the largest cases</t>
  </si>
  <si>
    <t>AnParam TailShare [Value]</t>
  </si>
  <si>
    <t>Minimum cases</t>
  </si>
  <si>
    <t>AN_TailFit default threshold percentile</t>
  </si>
  <si>
    <t>AnParam TailFitQuantile [Value]</t>
  </si>
  <si>
    <t>AN_TailFit minimum cases above the threshold</t>
  </si>
  <si>
    <t>AnParam TailMinK [Value]</t>
  </si>
  <si>
    <t>Above the threshold the tail is regularly varying (Pareto type) and the cases are independent and identically distributed.</t>
  </si>
  <si>
    <t>The threshold choice drives the estimate (see the stability chart); per-case paid is within the window, not the ultimate claim; policy limits cap the tail (AN_Limits); small k gives a large variance; Pickands is the most variable.</t>
  </si>
  <si>
    <t>tools/verify_docpages.py recomputes every estimator and quantile of AN_TailFit from the exported case amounts; the Hill alpha of AN_TailFit at the AN_Severity k equals AN_Severity's (shown on the page).</t>
  </si>
  <si>
    <t>Tail fit (segment on AN_TailFit): Hill / moment / GPD xi</t>
  </si>
  <si>
    <t>Hill alpha at the AN_Severity k: AN_TailFit / AN_Severity</t>
  </si>
  <si>
    <t>Hill, B.M. (1975). A simple general approach to inference about the tail of a distribution. Annals of Statistics 3, 1163-1174.
Dekkers, A.L.M., Einmahl, J.H.J. and de Haan, L. (1989). A moment estimator for the index of an extreme-value distribution. Annals of Statistics 17, 1833-1855.
Pickands, J. (1975). Statistical inference using extreme order statistics. Annals of Statistics 3, 119-131.
Hosking, J.R.M. and Wallis, J.R. (1987). Parameter and quantile estimation for the generalized Pareto distribution. Technometrics 29, 339-349.
Weissman, I. (1978). Estimation of parameters and large quantiles based on the k largest observations. JASA 73, 812-815.
Embrechts, P., Klüppelberg, C. and Mikosch, T. (1997). Modelling Extremal Events. Springer.</t>
  </si>
  <si>
    <t>M9</t>
  </si>
  <si>
    <t>M9  Gecikme yüzdelikleri (P90 tanımı) / Lag percentiles (the P90 definition)</t>
  </si>
  <si>
    <t>AN_Lags, AN_Exec_*, AN_Severity, AN_Trend</t>
  </si>
  <si>
    <t>In force (P3-105: one percentile definition); SLA values placeholders</t>
  </si>
  <si>
    <t>Süreç aşamalarının gün cinsinden süresi ve dosya başı ödenen yüzdelikleri tek bir tanımla.</t>
  </si>
  <si>
    <t>Duration of the process stages in days, and the percentiles of paid per case, under one definition.</t>
  </si>
  <si>
    <t>Percentile p of n sorted values = PERCENTILE.INC (DAX PERCENTILEX.INC): position (n - 1) p + 1 with linear interpolation between the neighbouring order statistics (Hyndman and Fan definition 7). P90 = p 0.9. Lags: days between the stage dates per payment line; a line with a missing date or a negative lag is excluded; per case: the first payment of the case (IsFirstPaymentObs), excluding the first LagCensorMonths months of the data (left-censoring). Per-case paid quantiles: over the cases with positive paid in the filter context (P3-105). Gates: MinLinesForQuantile (30); P99 MinLinesForP99 (100). SLA breach share = lines above the segment SLA (placeholders).</t>
  </si>
  <si>
    <t>Minimum lines or cases for a quantile</t>
  </si>
  <si>
    <t>AnParam MinLinesForQuantile [Value]</t>
  </si>
  <si>
    <t>Minimum cases for P99</t>
  </si>
  <si>
    <t>AnParam MinLinesForP99 [Value]</t>
  </si>
  <si>
    <t>Per-case lags: censored first months</t>
  </si>
  <si>
    <t>tblParameters LagCensorMonths [Value]</t>
  </si>
  <si>
    <t>SLA end to end (Life; placeholder)</t>
  </si>
  <si>
    <t>AnParam SlaDaysEndToEnd_Life [Value]</t>
  </si>
  <si>
    <t>SLA decision to payment (Life; placeholder)</t>
  </si>
  <si>
    <t>AnParam SlaDaysDecisionToPayment_Life [Value]</t>
  </si>
  <si>
    <t>Payment lines carry correct stage dates; the per-case view represents the cases first paid after the censoring months.</t>
  </si>
  <si>
    <t>Paid lines only: open cases without a payment are not seen; the first months after the data start are left-censored; SLA values are placeholders to be confirmed by operations (BL-30).</t>
  </si>
  <si>
    <t>The generator's expected notification-to-payment mean, P50 and P90 match at line grain (P3-21, P3-25); ground-truth band checks (P3-52, P3-67).</t>
  </si>
  <si>
    <t>Hyndman, R.J. and Fan, Y. (1996). Sample quantiles in statistical packages. The American Statistician 50, 361-365.
Microsoft: PERCENTILE.INC and PERCENTILEX.INC functions.</t>
  </si>
  <si>
    <t>Yöntem dizini / Method index</t>
  </si>
  <si>
    <t>Analiz sayfalarının istatistiksel modelleri; her satır kartına bağlanır. Parametre değerleri canlıdır (tablodaki güncel değer). / The statistical models of the analytics pages; each row links to its card. Parameter values are live (the current value in its table). All statuses DRAFT / indicative unless stated. Last verified against build dev_docs_20261005.</t>
  </si>
  <si>
    <t>Pages</t>
  </si>
  <si>
    <t>KeyParameter</t>
  </si>
  <si>
    <t>Card</t>
  </si>
  <si>
    <t>Ödenen zincir merdiven / Paid chain ladder</t>
  </si>
  <si>
    <t>ETS tahmini / ETS forecast</t>
  </si>
  <si>
    <t>Log-z durum motoru / Log-z status engine</t>
  </si>
  <si>
    <t>X-mR ve CUSUM / X-mR and CUSUM</t>
  </si>
  <si>
    <t>Benford ilk basamak / Benford first digit</t>
  </si>
  <si>
    <t>PSI (popülasyon kararlılığı) / PSI (population stability)</t>
  </si>
  <si>
    <t>Lorenz eğrisi ve Gini / Lorenz curve and Gini</t>
  </si>
  <si>
    <t>Ortalama aşım ve kuyruk indeksi / Mean excess and tail index</t>
  </si>
  <si>
    <t>Gecikme yüzdelikleri (P90 tanımı) / Lag percentiles (the P90 definition)</t>
  </si>
  <si>
    <t>Ek sayfalar (TASLAK): AN_Backtest (M2 doğrulaması), AN_Dispersion (M1 belirsizliği), AN_TailFit (M8 eşik kararlılığı); yalnızca mevcut AN_Calc pivotları ve AN_Triangle ızgarası üzerinde çalışma sayfası formülleri. / Extra pages (DRAFT): AN_Backtest (validation of M2), AN_Dispersion (uncertainty of M1), AN_TailFit (threshold stability of M8); worksheet formulas on the existing AN_Calc pivots and the AN_Triangle grid only. Method notes: docs/METHOD_NOTES.md; decisions: docs/DECISION_INDEX.md.</t>
  </si>
  <si>
    <t>Sayfa haritası / Sheet map</t>
  </si>
  <si>
    <t>Her sayfanın amacı, kimin gördüğü (tblSheetPolicy, ilk eşleşen satır: canlı), sahibi ve nasıl güncellendiği. / Purpose of every sheet, who sees it (tblSheetPolicy, first matching row: live), owner and how it is refreshed. Folder map of the repository: FOLDER_MAP.md. Last verified against build dev_docs_20261005.</t>
  </si>
  <si>
    <t>Sheet</t>
  </si>
  <si>
    <t>RefreshRole</t>
  </si>
  <si>
    <t>Macro guard: the only sheet of the saved file; how to enable macros (TR / EN)</t>
  </si>
  <si>
    <t>Platform build</t>
  </si>
  <si>
    <t>none (static)</t>
  </si>
  <si>
    <t>Banner (user, roles, next action), checklist and the command buttons of the user's roles</t>
  </si>
  <si>
    <t>formulas</t>
  </si>
  <si>
    <t>Documentation</t>
  </si>
  <si>
    <t>The monthly procedure on one page (Preparer, Reviewer)</t>
  </si>
  <si>
    <t>Administrator (from docs/Closing_Manual.md)</t>
  </si>
  <si>
    <t>Closing</t>
  </si>
  <si>
    <t>27 checks (tblControl), close gate, close-out values (tblCloseOut), company and completeness matrices</t>
  </si>
  <si>
    <t>Preparer (Explanation column)</t>
  </si>
  <si>
    <t>formulas after Refresh</t>
  </si>
  <si>
    <t>Reporting</t>
  </si>
  <si>
    <t>3.0 KPI cards (cube cells), PivotCharts, status band</t>
  </si>
  <si>
    <t>Data Model (Refresh)</t>
  </si>
  <si>
    <t>Company x month heat map (pvtMatrix)</t>
  </si>
  <si>
    <t>AN_Index</t>
  </si>
  <si>
    <t>Analytics entry page: data coverage, the rejected-lines warning, one row per page with its readiness</t>
  </si>
  <si>
    <t>formulas on AN_Calc pivots</t>
  </si>
  <si>
    <t>AN_Exec_Life</t>
  </si>
  <si>
    <t>Executive page, Life: tiles with DRAFT statuses, trend with normal band, top movers</t>
  </si>
  <si>
    <t>AN_Exec_Pension</t>
  </si>
  <si>
    <t>Executive page, Pension</t>
  </si>
  <si>
    <t>AN_Exec_NonLife</t>
  </si>
  <si>
    <t>Executive page, Non-life (Elementer)</t>
  </si>
  <si>
    <t>AN_Trend</t>
  </si>
  <si>
    <t>Monthly paid, seasonal index, FORECAST.ETS forecast, MoM / YoY bridges, 12-month table</t>
  </si>
  <si>
    <t>AN_Triangle</t>
  </si>
  <si>
    <t>Paid development triangle, link ratios, chain-ladder indicative projection, calendar A/E, stability</t>
  </si>
  <si>
    <t>AN_Lags</t>
  </si>
  <si>
    <t>Lag statistics per stage (per line / per case), bands, ECDF, monthly P50 / P90</t>
  </si>
  <si>
    <t>Paid per case: quantiles, Lorenz / Gini, top shares, mean excess, Hill tail index, severity by loss month</t>
  </si>
  <si>
    <t>AN_Limits</t>
  </si>
  <si>
    <t>Paid / cover amount, paid / sum insured, full-limit share, initial-reserve accuracy</t>
  </si>
  <si>
    <t>Company x indicator status grid (robust z, X-mR, CUSUM, shares, Benford, PSI) and the detail of one company</t>
  </si>
  <si>
    <t>AN_Watchlist</t>
  </si>
  <si>
    <t>Counted WATCH / ALERT of every company in the selected month, ranked within each segment</t>
  </si>
  <si>
    <t>AN_Backtest</t>
  </si>
  <si>
    <t>Rolling-origin backtest of the AN_Trend forecast: MAPE by horizon against naive benchmarks, interval coverage (DRAFT)</t>
  </si>
  <si>
    <t>AN_Dispersion</t>
  </si>
  <si>
    <t>Mack-style standard error of the chain-ladder further payments for the AN_Triangle selection (DRAFT, indicative)</t>
  </si>
  <si>
    <t>formulas on the AN_Triangle grid</t>
  </si>
  <si>
    <t>AN_TailFit</t>
  </si>
  <si>
    <t>Tail index of paid per case by threshold: Hill, moment, Pickands, GPD probability-weighted moments (DRAFT)</t>
  </si>
  <si>
    <t>Lines of several companies x months from the store and the active month (whitelisted columns), reconciliation, CSV export; lines never saved</t>
  </si>
  <si>
    <t>Show lines (RAWVIEW)</t>
  </si>
  <si>
    <t>Lines of one company and month (qView_Lines)</t>
  </si>
  <si>
    <t>Show lines (VIEW)</t>
  </si>
  <si>
    <t>KPIs of the active month recomputed with worksheet formulas (model check of the Dashboard)</t>
  </si>
  <si>
    <t>Configuration</t>
  </si>
  <si>
    <t>tblParameters: periods, locations (written by VBA), file recognition, policy, store, analytics, column-map lock</t>
  </si>
  <si>
    <t>none (input)</t>
  </si>
  <si>
    <t>Column dictionary tblColumnMap and its health block; locked by Lock column map</t>
  </si>
  <si>
    <t>tblDimCompany (companies, window, SourceMode) and tblNilReturn (nil returns)</t>
  </si>
  <si>
    <t>Administrator (companies), Preparer (nil returns)</t>
  </si>
  <si>
    <t>Reference maps, bands and AnParam; status line of the reference-data stamp</t>
  </si>
  <si>
    <t>Refresh reference data (MANUAL)</t>
  </si>
  <si>
    <t>tblThreshold: method, levels, persistence, owner and approval of every status rule (DRAFT)</t>
  </si>
  <si>
    <t>tblKPI: definition, measures, caveats and status of every indicator</t>
  </si>
  <si>
    <t>Method index: one row per statistical model with its pages, status, key parameters (live) and a link to its card</t>
  </si>
  <si>
    <t>formulas (parameter values)</t>
  </si>
  <si>
    <t>Model cards: purpose, formulas, parameters linked to their cells, assumptions, limitations, validation evidence, references</t>
  </si>
  <si>
    <t>This map: every sheet with its purpose, audience (from tblSheetPolicy), owner and refresh role</t>
  </si>
  <si>
    <t>formulas (audience)</t>
  </si>
  <si>
    <t>tblCurrencyAlias and tblFXRate (CBRT rates; Refresh appends fetched bulletins)</t>
  </si>
  <si>
    <t>Refresh (FXFETCH appends rates)</t>
  </si>
  <si>
    <t>tblRecon: independent totals per company x currency and their reconciliation</t>
  </si>
  <si>
    <t>One row per stored batch (LoadBatch): recorded and current rows, totals, digest, chain hash, state</t>
  </si>
  <si>
    <t>Commands (Close / Backfill / Re-open / Rebuild store); Notes: Reviewer</t>
  </si>
  <si>
    <t>Four-eyes trail: SUBMITTED, REJECTED, CLOSED, REOPENED, BACKFILL</t>
  </si>
  <si>
    <t>Commands only</t>
  </si>
  <si>
    <t>none (written by commands)</t>
  </si>
  <si>
    <t>tblDecision (3.0 register) with summary and Backlog</t>
  </si>
  <si>
    <t>tblContract: every table, name, parameter, command, file and model object other tools may rely on</t>
  </si>
  <si>
    <t>Platform build (src/contract)</t>
  </si>
  <si>
    <t>How the platform works (from docs/Technical_Guide.md)</t>
  </si>
  <si>
    <t>Installation, users, store, recovery, IT request (from docs/Admin_Guide.md)</t>
  </si>
  <si>
    <t>Colours, statuses, roles and conventions</t>
  </si>
  <si>
    <t>tblChangelog: written only by Add changelog entry</t>
  </si>
  <si>
    <t>Administrator (command)</t>
  </si>
  <si>
    <t>none (written by command)</t>
  </si>
  <si>
    <t>Star schema: tables, columns and relationships of the Data Model</t>
  </si>
  <si>
    <t>The 3.0 measures, copy-paste ready (the analytics measures are in KPI_Catalog)</t>
  </si>
  <si>
    <t>How to rebuild the Data Model reports and the AN_Calc pivots (from docs/PivotGuide.md)</t>
  </si>
  <si>
    <t>tblSheetPolicy, tblAuditScope, tblKPICaveat, tblRefreshPlan, tblUIText, drop-down lists</t>
  </si>
  <si>
    <t>Audit</t>
  </si>
  <si>
    <t>tblRefreshLog: one row per complete Refresh</t>
  </si>
  <si>
    <t>Refresh (appended)</t>
  </si>
  <si>
    <t>Staging</t>
  </si>
  <si>
    <t>What the last refresh read (period, folder, files)</t>
  </si>
  <si>
    <t>Power Query</t>
  </si>
  <si>
    <t>Refresh (STAGING)</t>
  </si>
  <si>
    <t>Every source file with its recognition result; STG_Rejected (files that will not enter the store)</t>
  </si>
  <si>
    <t>The reviewed lines of the active month, enriched; the store line of each (StoreLine)</t>
  </si>
  <si>
    <t>Totals per period x company x currency: stored batches (tblStoreSummary) + the active month</t>
  </si>
  <si>
    <t>Store header, append preview, restatement check, bulk tables, store check (Verify log) and tblStoreSummary; pvtStoreCheck</t>
  </si>
  <si>
    <t>Power Query and commands</t>
  </si>
  <si>
    <t>Refresh (STAGING); BULK, AUDIT on demand</t>
  </si>
  <si>
    <t>Data-quality issues of the active month</t>
  </si>
  <si>
    <t>CBRT fetch result per day</t>
  </si>
  <si>
    <t>Refresh (FXFETCH)</t>
  </si>
  <si>
    <t>Workbook ActivityLog against the external log folder</t>
  </si>
  <si>
    <t>Files found by Setup in the source folder</t>
  </si>
  <si>
    <t>Setup (SETUP)</t>
  </si>
  <si>
    <t>Pivots behind the Dashboard charts</t>
  </si>
  <si>
    <t>Chained audit log (workbook copy; the Log folder is authoritative)</t>
  </si>
  <si>
    <t>Commands only (mod_Log)</t>
  </si>
  <si>
    <t>tblUserRole, tblCommandPermission, tblAdminCredential, session cells</t>
  </si>
  <si>
    <t>Users and roles / Setup only</t>
  </si>
  <si>
    <t>Data Model pivots behind the analytics pages (read by formulas only)</t>
  </si>
  <si>
    <t>Shadow copies of the audited tables (edit audit)</t>
  </si>
  <si>
    <t>s:First month that must be in the store: one CURRENT batch per month up to the month before ActivePeriod (checks ARCHIVE_COMPLETE, COMPLETENESS). Setup proposes the earliest period found in the source folder.</t>
  </si>
  <si>
    <t>s:The frozen history starts with the first month stored on the platform.</t>
  </si>
  <si>
    <t>s:Folder of the store: STORE_PAY.csv (every closed month, append-only), Inbox\&lt;LoadBatch&gt;\ (the stored source files), CONTROLS_PAY_&lt;YYYYMM&gt;.xlsx (evidence of each close) and Superseded\. Comes from ACP_Settings.ini.</t>
  </si>
  <si>
    <t>s:Outside the source folder (Setup checks it); Delete only for ACP-Admins (Admin_Guide, IT request).</t>
  </si>
  <si>
    <t>s:Only this extension is read (source files) and written (controls files).</t>
  </si>
  <si>
    <t>s:Not used since 3.2.0: the store replaces the monthly archive files. Kept only so that Re-open can still move an archive file of an older installation to Superseded (removal: backlog 3.2.1).</t>
  </si>
  <si>
    <t>s:Retired with the per-month archive design (DECISIONS_P3 P3-79, P3-82).</t>
  </si>
  <si>
    <t>s:Controls evidence written at every close: &lt;prefix&gt;&lt;YYYYMM&gt;&lt;extension&gt; in the archive folder (read-only).</t>
  </si>
  <si>
    <t>s:Machine-readable evidence of each close next to the store.</t>
  </si>
  <si>
    <t>s:3.2.0</t>
  </si>
  <si>
    <t>s:Version of this workbook; written into every log event and controls file.</t>
  </si>
  <si>
    <t>s:3.2</t>
  </si>
  <si>
    <t>s:Version of the public contract (sheet Interface_Contract). 3.2: the consolidated store replaces the monthly archive files (no 3.0 / 3.1 archive existed in production, BL-51).</t>
  </si>
  <si>
    <t>s:Method_Index</t>
  </si>
  <si>
    <t>s:Documentation (WP-11): built by Build-WP11.ps1; parameter values are live formulas</t>
  </si>
  <si>
    <t>s:Method_Cards</t>
  </si>
  <si>
    <t>s:Sheet_Map</t>
  </si>
  <si>
    <t>s:AN_NAV_BACKTEST</t>
  </si>
  <si>
    <t>s:Tahmin testi</t>
  </si>
  <si>
    <t>s:Forecast backtest</t>
  </si>
  <si>
    <t>s:Tahmin testi
Forecast backtest</t>
  </si>
  <si>
    <t>s:AN_NAV_DISPERSION</t>
  </si>
  <si>
    <t>s:Üçgen dağılımı</t>
  </si>
  <si>
    <t>s:Triangle dispersion</t>
  </si>
  <si>
    <t>s:Üçgen dağılımı
Triangle dispersion</t>
  </si>
  <si>
    <t>s:AN_NAV_TAILFIT</t>
  </si>
  <si>
    <t>s:Kuyruk uyumu</t>
  </si>
  <si>
    <t>s:Tail fit</t>
  </si>
  <si>
    <t>s:Kuyruk uyumu
Tail fit</t>
  </si>
  <si>
    <t>s:AN_NAV_METHOD</t>
  </si>
  <si>
    <t>s:Yöntem dizini</t>
  </si>
  <si>
    <t>s:Method index</t>
  </si>
  <si>
    <t>s:Yöntem dizini
Method index</t>
  </si>
  <si>
    <t>s:AN_Q_BACKTEST</t>
  </si>
  <si>
    <t>s:AN_Trend tahmini geçmişte ne kadar isabetliydi ve aralığı gerçekleşenleri kapsadı mı?</t>
  </si>
  <si>
    <t>s:How accurate was the AN_Trend forecast in the past, and did its interval cover the actual values?</t>
  </si>
  <si>
    <t>s:AN_Trend tahmini geçmişte ne kadar isabetliydi ve aralığı gerçekleşenleri kapsadı mı?
How accurate was the AN_Trend forecast in the past, and did its interval cover the actual values?</t>
  </si>
  <si>
    <t>s:AN_Q_DISPERSION</t>
  </si>
  <si>
    <t>s:Zincir merdiven ek ödemeleri ne kadar belirsiz (Mack tipi standart hata)?</t>
  </si>
  <si>
    <t>s:How uncertain are the chain-ladder further payments (Mack-style standard error)?</t>
  </si>
  <si>
    <t>s:Zincir merdiven ek ödemeleri ne kadar belirsiz (Mack tipi standart hata)?
How uncertain are the chain-ladder further payments (Mack-style standard error)?</t>
  </si>
  <si>
    <t>s:AN_Q_TAILFIT</t>
  </si>
  <si>
    <t>s:Dosya başı ödemelerin kuyruğu ne kadar ağır ve tahmin eşik seçimine göre ne kadar kararlı?</t>
  </si>
  <si>
    <t>s:How heavy is the tail of paid per case, and how stable is the estimate across thresholds?</t>
  </si>
  <si>
    <t>s:Dosya başı ödemelerin kuyruğu ne kadar ağır ve tahmin eşik seçimine göre ne kadar kararlı?
How heavy is the tail of paid per case, and how stable is the estimate across thresholds?</t>
  </si>
  <si>
    <t>s:AN_IDX_DRAFT</t>
  </si>
  <si>
    <t>s:TASLAK / gösterge</t>
  </si>
  <si>
    <t>s:DRAFT / indicative</t>
  </si>
  <si>
    <t>s:TASLAK / gösterge
DRAFT / indicative</t>
  </si>
  <si>
    <t>s:AN_NAV_SHEETMAP</t>
  </si>
  <si>
    <t>s:Sayfa haritası</t>
  </si>
  <si>
    <t>s:Sheet map</t>
  </si>
  <si>
    <t>s:Sayfa haritası
Sheet map</t>
  </si>
  <si>
    <t>s:AN_Q_METHOD</t>
  </si>
  <si>
    <t>s:Her istatistiksel model nasıl hesaplanır; parametreleri, varsayımları, sınırları ve doğrulaması nedir?</t>
  </si>
  <si>
    <t>s:How is each statistical model computed; what are its parameters, assumptions, limits and validation?</t>
  </si>
  <si>
    <t>s:Her istatistiksel model nasıl hesaplanır; parametreleri, varsayımları, sınırları ve doğrulaması nedir?
How is each statistical model computed; what are its parameters, assumptions, limits and validation?</t>
  </si>
  <si>
    <t>s:AN_Q_SHEETMAP</t>
  </si>
  <si>
    <t>s:Çalışma kitabındaki her sayfa ne işe yarar, kim görür, kim günceller?</t>
  </si>
  <si>
    <t>s:What is each sheet of the workbook for, who sees it and who maintains it?</t>
  </si>
  <si>
    <t>s:Çalışma kitabındaki her sayfa ne işe yarar, kim görür, kim günceller?
What is each sheet of the workbook for, who sees it and who maintains it?</t>
  </si>
  <si>
    <t>s:AN_READY_CARDS</t>
  </si>
  <si>
    <t>s:model kartı</t>
  </si>
  <si>
    <t>s:model cards</t>
  </si>
  <si>
    <t>s:model kartı
model cards</t>
  </si>
  <si>
    <t>s:AN_READY_SHEETS</t>
  </si>
  <si>
    <t>s:sayfa</t>
  </si>
  <si>
    <t>s:sheets</t>
  </si>
  <si>
    <t>s:sayfa
sheets</t>
  </si>
  <si>
    <t>s:AN_W_INDICATIVE</t>
  </si>
  <si>
    <t>s:TASLAK - gösterge niteliğinde; karar için tek başına kullanılmaz</t>
  </si>
  <si>
    <t>s:DRAFT - indicative; not for decisions on its own</t>
  </si>
  <si>
    <t>s:TASLAK - gösterge niteliğinde; karar için tek başına kullanılmaz
DRAFT - indicative; not for decisions on its own</t>
  </si>
  <si>
    <t>s:AN_W_BACK_INDEX</t>
  </si>
  <si>
    <t>s:Dizine dön</t>
  </si>
  <si>
    <t>s:Back to the index</t>
  </si>
  <si>
    <t>s:Dizine dön
Back to the index</t>
  </si>
  <si>
    <t>s:AN_W_METHOD_CARD</t>
  </si>
  <si>
    <t>s:Yöntem kartı</t>
  </si>
  <si>
    <t>s:Method card</t>
  </si>
  <si>
    <t>s:Yöntem kartı
Method card</t>
  </si>
  <si>
    <t>s:AN_BT_TITLE</t>
  </si>
  <si>
    <t>s:AN_BT_PURPOSE</t>
  </si>
  <si>
    <t>s:Kayan başlangıçlı geriye dönük test: her başlangıç ayında FORECAST.ETS yalnızca o aya kadarki aylarla kurulur ve sonraki 1..H ay gerçekleşenlerle karşılaştırılır.</t>
  </si>
  <si>
    <t>s:Rolling-origin backtest: at each origin month FORECAST.ETS is fitted on the months up to that origin only and its next 1..H months are compared with the actual values.</t>
  </si>
  <si>
    <t>s:Kayan başlangıçlı geriye dönük test: her başlangıç ayında FORECAST.ETS yalnızca o aya kadarki aylarla kurulur ve sonraki 1..H ay gerçekleşenlerle karşılaştırılır.
Rolling-origin backtest: at each origin month FORECAST.ETS is fitted on the months up to that origin only and its next 1..H months are compared with the actual values.</t>
  </si>
  <si>
    <t>s:AN_HOWTO_BACKTEST</t>
  </si>
  <si>
    <t>s:Nasıl okunur: MAPE düşük olmalı ve basit kıyaslardan (naif, mevsimsel naif) düşük olmalı; kapsama oranı güven düzeyine yakın olmalı. Az başlangıç = geniş belirsizlik.</t>
  </si>
  <si>
    <t>s:How to read: MAPE should be low and lower than the simple benchmarks (naive, seasonal naive); coverage should be close to the confidence level. Few origins = wide uncertainty.</t>
  </si>
  <si>
    <t>s:Nasıl okunur: MAPE düşük olmalı ve basit kıyaslardan (naif, mevsimsel naif) düşük olmalı; kapsama oranı güven düzeyine yakın olmalı. Az başlangıç = geniş belirsizlik.
How to read: MAPE should be low and lower than the simple benchmarks (naive, seasonal naive); coverage should be close to the confidence level. Few origins = wide uncertainty.</t>
  </si>
  <si>
    <t>s:AN_BT_DISCLAIMER</t>
  </si>
  <si>
    <t>s:TASLAK - gösterge niteliğinde: test en fazla 36 aylık analiz penceresindeki aylarla yapılır; tahmin bir bütçe veya rezerv değildir.</t>
  </si>
  <si>
    <t>s:DRAFT - indicative: the test uses at most the 36 months of the analysis window; the forecast is not a budget or a reserve.</t>
  </si>
  <si>
    <t>s:TASLAK - gösterge niteliğinde: test en fazla 36 aylık analiz penceresindeki aylarla yapılır; tahmin bir bütçe veya rezerv değildir.
DRAFT - indicative: the test uses at most the 36 months of the analysis window; the forecast is not a budget or a reserve.</t>
  </si>
  <si>
    <t>s:AN_BT_SUMMARY</t>
  </si>
  <si>
    <t>s:Ufka göre isabet (tüm başlangıçlar)</t>
  </si>
  <si>
    <t>s:Accuracy by horizon (all origins)</t>
  </si>
  <si>
    <t>s:Ufka göre isabet (tüm başlangıçlar)
Accuracy by horizon (all origins)</t>
  </si>
  <si>
    <t>s:AN_BT_H</t>
  </si>
  <si>
    <t>s:Ufuk (ay)</t>
  </si>
  <si>
    <t>s:Horizon (months)</t>
  </si>
  <si>
    <t>s:Ufuk (ay)
Horizon (months)</t>
  </si>
  <si>
    <t>s:AN_BT_MAPE_ETS</t>
  </si>
  <si>
    <t>s:MAPE - ETS</t>
  </si>
  <si>
    <t>s:MAPE - ETS
MAPE - ETS</t>
  </si>
  <si>
    <t>s:AN_BT_MAPE_NAIVE</t>
  </si>
  <si>
    <t>s:MAPE - naif (son ay)</t>
  </si>
  <si>
    <t>s:MAPE - naive (last month)</t>
  </si>
  <si>
    <t>s:MAPE - naif (son ay)
MAPE - naive (last month)</t>
  </si>
  <si>
    <t>s:AN_BT_MAPE_SNAIVE</t>
  </si>
  <si>
    <t>s:MAPE - mevsimsel naif (12 ay önce)</t>
  </si>
  <si>
    <t>s:MAPE - seasonal naive (12 months before)</t>
  </si>
  <si>
    <t>s:MAPE - mevsimsel naif (12 ay önce)
MAPE - seasonal naive (12 months before)</t>
  </si>
  <si>
    <t>s:AN_BT_BIAS</t>
  </si>
  <si>
    <t>s:Ortalama yüzde hata (ETS; + = fazla tahmin)</t>
  </si>
  <si>
    <t>s:Mean percentage error (ETS; + = over-forecast)</t>
  </si>
  <si>
    <t>s:Ortalama yüzde hata (ETS; + = fazla tahmin)
Mean percentage error (ETS; + = over-forecast)</t>
  </si>
  <si>
    <t>s:AN_BT_COVER</t>
  </si>
  <si>
    <t>s:Aralık kapsaması (gerçekleşen aralık içinde)</t>
  </si>
  <si>
    <t>s:Interval coverage (actual inside the interval)</t>
  </si>
  <si>
    <t>s:Aralık kapsaması (gerçekleşen aralık içinde)
Interval coverage (actual inside the interval)</t>
  </si>
  <si>
    <t>s:AN_BT_NOMINAL</t>
  </si>
  <si>
    <t>s:Hedef (güven düzeyi)</t>
  </si>
  <si>
    <t>s:Target (confidence level)</t>
  </si>
  <si>
    <t>s:Hedef (güven düzeyi)
Target (confidence level)</t>
  </si>
  <si>
    <t>s:AN_BT_N</t>
  </si>
  <si>
    <t>s:Başlangıç sayısı</t>
  </si>
  <si>
    <t>s:Origins</t>
  </si>
  <si>
    <t>s:Başlangıç sayısı
Origins</t>
  </si>
  <si>
    <t>s:AN_BT_ORIGINS</t>
  </si>
  <si>
    <t>s:Başlangıç ayına göre mutlak yüzde hata (APE) ve aralık</t>
  </si>
  <si>
    <t>s:Absolute percentage error (APE) and interval by origin month</t>
  </si>
  <si>
    <t>s:Başlangıç ayına göre mutlak yüzde hata (APE) ve aralık
Absolute percentage error (APE) and interval by origin month</t>
  </si>
  <si>
    <t>s:AN_BT_ORIGIN</t>
  </si>
  <si>
    <t>s:Başlangıç ayı</t>
  </si>
  <si>
    <t>s:Origin month</t>
  </si>
  <si>
    <t>s:Başlangıç ayı
Origin month</t>
  </si>
  <si>
    <t>s:AN_BT_IN</t>
  </si>
  <si>
    <t>s:içinde</t>
  </si>
  <si>
    <t>s:in</t>
  </si>
  <si>
    <t>s:içinde
in</t>
  </si>
  <si>
    <t>s:AN_BT_OUT</t>
  </si>
  <si>
    <t>s:DIŞINDA</t>
  </si>
  <si>
    <t>s:OUT</t>
  </si>
  <si>
    <t>s:DIŞINDA
OUT</t>
  </si>
  <si>
    <t>s:AN_BT_CHART</t>
  </si>
  <si>
    <t>s:Bir ay sonrası tahmin ve gerçekleşen (mn TL), tahmin aralığıyla</t>
  </si>
  <si>
    <t>s:One-month-ahead forecast and actual (TRY m), with the prediction interval</t>
  </si>
  <si>
    <t>s:Bir ay sonrası tahmin ve gerçekleşen (mn TL), tahmin aralığıyla
One-month-ahead forecast and actual (TRY m), with the prediction interval</t>
  </si>
  <si>
    <t>s:AN_BT_ACTUAL</t>
  </si>
  <si>
    <t>s:AN_BT_FORECAST</t>
  </si>
  <si>
    <t>s:Tahmin (1 ay)</t>
  </si>
  <si>
    <t>s:Forecast (1 month)</t>
  </si>
  <si>
    <t>s:Tahmin (1 ay)
Forecast (1 month)</t>
  </si>
  <si>
    <t>s:AN_BT_LOWER</t>
  </si>
  <si>
    <t>s:Lower bound</t>
  </si>
  <si>
    <t>s:Alt sınır
Lower bound</t>
  </si>
  <si>
    <t>s:AN_BT_UPPER</t>
  </si>
  <si>
    <t>s:Upper bound</t>
  </si>
  <si>
    <t>s:Üst sınır
Upper bound</t>
  </si>
  <si>
    <t>s:AN_BT_GATE</t>
  </si>
  <si>
    <t>s:VERİ YETERSİZ: {0} ay veri var; test için en az {1} ay eğitim + {2} ay ufuk gerekir</t>
  </si>
  <si>
    <t>s:INSUFFICIENT DATA: {0} months of data; the test needs at least {1} training months + {2} horizon months</t>
  </si>
  <si>
    <t>s:VERİ YETERSİZ: {0} ay veri var; test için en az {1} ay eğitim + {2} ay ufuk gerekir
INSUFFICIENT DATA: {0} months of data; the test needs at least {1} training months + {2} horizon months</t>
  </si>
  <si>
    <t>s:AN_BT_HEAD</t>
  </si>
  <si>
    <t>s:{0}: 1 ay ufukta MAPE {1} (mevsimsel naif {2}), aralık kapsaması {3} ({4} başlangıç)</t>
  </si>
  <si>
    <t>s:{0}: one-month MAPE {1} (seasonal naive {2}), interval coverage {3} ({4} origins)</t>
  </si>
  <si>
    <t>s:{0}: 1 ay ufukta MAPE {1} (mevsimsel naif {2}), aralık kapsaması {3} ({4} başlangıç)
{0}: one-month MAPE {1} (seasonal naive {2}), interval coverage {3} ({4} origins)</t>
  </si>
  <si>
    <t>s:AN_DS_TITLE</t>
  </si>
  <si>
    <t>s:Üçgen dağılımı (Mack tipi)</t>
  </si>
  <si>
    <t>s:Triangle dispersion (Mack-style)</t>
  </si>
  <si>
    <t>s:Üçgen dağılımı (Mack tipi)
Triangle dispersion (Mack-style)</t>
  </si>
  <si>
    <t>s:AN_DS_PURPOSE</t>
  </si>
  <si>
    <t>s:AN_Triangle'daki seçimin (segment, şirket) ödenen üçgeni için zincir merdiven ek ödemelerinin Mack (1993) tipi standart hatası; faktörler tüm gözlenen hasar aylarının hacim ağırlıklı ortalamasıdır.</t>
  </si>
  <si>
    <t>s:Mack (1993)-style standard error of the chain-ladder further payments for the paid triangle of the selection on AN_Triangle (segment, company); the factors are volume-weighted over every observed loss month.</t>
  </si>
  <si>
    <t>s:AN_Triangle'daki seçimin (segment, şirket) ödenen üçgeni için zincir merdiven ek ödemelerinin Mack (1993) tipi standart hatası; faktörler tüm gözlenen hasar aylarının hacim ağırlıklı ortalamasıdır.
Mack (1993)-style standard error of the chain-ladder further payments for the paid triangle of the selection on AN_Triangle (segment, company); the factors are volume-weighted over every observed loss month.</t>
  </si>
  <si>
    <t>s:AN_HOWTO_DISPERSION</t>
  </si>
  <si>
    <t>s:Nasıl okunur: CV = standart hata / ek ödeme; büyük CV o hasar ayının tahmininin belirsiz olduğunu gösterir. Toplam satır hasar ayları arasındaki ortak faktör belirsizliğini içerir.</t>
  </si>
  <si>
    <t>s:How to read: CV = standard error / further payments; a large CV means the projection of that loss month is uncertain. The total row includes the factor uncertainty shared by the loss months.</t>
  </si>
  <si>
    <t>s:Nasıl okunur: CV = standart hata / ek ödeme; büyük CV o hasar ayının tahmininin belirsiz olduğunu gösterir. Toplam satır hasar ayları arasındaki ortak faktör belirsizliğini içerir.
How to read: CV = standard error / further payments; a large CV means the projection of that loss month is uncertain. The total row includes the factor uncertainty shared by the loss months.</t>
  </si>
  <si>
    <t>s:AN_DS_DISCLAIMER</t>
  </si>
  <si>
    <t>s:TASLAK - gösterge niteliğinde: yalnızca ödenen veri; muallak, IBNR ve kuyruk yok (kuyruk = 1); son sütun ({0}+) sonraki gelişimi toplar. Rezerv tahmini değildir.</t>
  </si>
  <si>
    <t>s:DRAFT - indicative: paid data only; no case reserves, IBNR or tail (tail = 1); the last column ({0}+) accumulates later development. Not a reserve estimate.</t>
  </si>
  <si>
    <t>s:TASLAK - gösterge niteliğinde: yalnızca ödenen veri; muallak, IBNR ve kuyruk yok (kuyruk = 1); son sütun ({0}+) sonraki gelişimi toplar. Rezerv tahmini değildir.
DRAFT - indicative: paid data only; no case reserves, IBNR or tail (tail = 1); the last column ({0}+) accumulates later development. Not a reserve estimate.</t>
  </si>
  <si>
    <t>s:AN_DS_SEL</t>
  </si>
  <si>
    <t>s:Seçim AN_Triangle sayfasından</t>
  </si>
  <si>
    <t>s:Selection from AN_Triangle</t>
  </si>
  <si>
    <t>s:Seçim AN_Triangle sayfasından
Selection from AN_Triangle</t>
  </si>
  <si>
    <t>s:AN_DS_TABLE</t>
  </si>
  <si>
    <t>s:Hasar ayına göre ek ödeme ve standart hata (mn TL)</t>
  </si>
  <si>
    <t>s:Further payments and standard error by loss month (TRY m)</t>
  </si>
  <si>
    <t>s:Hasar ayına göre ek ödeme ve standart hata (mn TL)
Further payments and standard error by loss month (TRY m)</t>
  </si>
  <si>
    <t>s:AN_DS_LATEST</t>
  </si>
  <si>
    <t>s:AN_DS_ULT</t>
  </si>
  <si>
    <t>s:Projeksiyon</t>
  </si>
  <si>
    <t>s:Projection</t>
  </si>
  <si>
    <t>s:Projeksiyon
Projection</t>
  </si>
  <si>
    <t>s:AN_DS_FURTHER</t>
  </si>
  <si>
    <t>s:Ek ödeme</t>
  </si>
  <si>
    <t>s:Further payments</t>
  </si>
  <si>
    <t>s:Ek ödeme
Further payments</t>
  </si>
  <si>
    <t>s:AN_DS_SE</t>
  </si>
  <si>
    <t>s:Standart hata</t>
  </si>
  <si>
    <t>s:Standard error</t>
  </si>
  <si>
    <t>s:Standart hata
Standard error</t>
  </si>
  <si>
    <t>s:AN_DS_CV</t>
  </si>
  <si>
    <t>s:CV</t>
  </si>
  <si>
    <t>s:CV
CV</t>
  </si>
  <si>
    <t>s:AN_DS_TOTAL</t>
  </si>
  <si>
    <t>s:Toplam (PARTIAL hariç)</t>
  </si>
  <si>
    <t>s:Total (PARTIAL excluded)</t>
  </si>
  <si>
    <t>s:Toplam (PARTIAL hariç)
Total (PARTIAL excluded)</t>
  </si>
  <si>
    <t>s:AN_DS_FACTORS</t>
  </si>
  <si>
    <t>s:Gelişim yaşına göre faktör, sigma ve oran sayısı</t>
  </si>
  <si>
    <t>s:Factor, sigma and number of ratios by development age</t>
  </si>
  <si>
    <t>s:Gelişim yaşına göre faktör, sigma ve oran sayısı
Factor, sigma and number of ratios by development age</t>
  </si>
  <si>
    <t>s:AN_DS_AGE</t>
  </si>
  <si>
    <t>s:Yaş</t>
  </si>
  <si>
    <t>s:Age</t>
  </si>
  <si>
    <t>s:Yaş
Age</t>
  </si>
  <si>
    <t>s:AN_DS_F</t>
  </si>
  <si>
    <t>s:Faktör f</t>
  </si>
  <si>
    <t>s:Factor f</t>
  </si>
  <si>
    <t>s:Faktör f
Factor f</t>
  </si>
  <si>
    <t>s:AN_DS_SIGMA</t>
  </si>
  <si>
    <t>s:Sigma</t>
  </si>
  <si>
    <t>s:Sigma
Sigma</t>
  </si>
  <si>
    <t>s:AN_DS_N</t>
  </si>
  <si>
    <t>s:AN_DS_RANGE</t>
  </si>
  <si>
    <t>s:Yaklaşık %95 aralık (normal yaklaşım, 0 alt sınır)</t>
  </si>
  <si>
    <t>s:Approximate 95% range (normal approximation, floored at 0)</t>
  </si>
  <si>
    <t>s:Yaklaşık %95 aralık (normal yaklaşım, 0 alt sınır)
Approximate 95% range (normal approximation, floored at 0)</t>
  </si>
  <si>
    <t>s:AN_DS_TRI_CMP</t>
  </si>
  <si>
    <t>s:AN_Triangle seçili yöntemle ek ödeme</t>
  </si>
  <si>
    <t>s:AN_Triangle further payments with the selected method</t>
  </si>
  <si>
    <t>s:AN_Triangle seçili yöntemle ek ödeme
AN_Triangle further payments with the selected method</t>
  </si>
  <si>
    <t>s:AN_DS_EXTRAP</t>
  </si>
  <si>
    <t>s:son yaşlarda sigma Mack kuralıyla dışdeğerlendi</t>
  </si>
  <si>
    <t>s:sigma extrapolated by Mack's rule at the last ages</t>
  </si>
  <si>
    <t>s:son yaşlarda sigma Mack kuralıyla dışdeğerlendi
sigma extrapolated by Mack's rule at the last ages</t>
  </si>
  <si>
    <t>s:AN_DS_GATE</t>
  </si>
  <si>
    <t>s:VERİ YETERSİZ: {0} PARTIAL olmayan hasar ayı (en az {1}) veya eksik faktör</t>
  </si>
  <si>
    <t>s:INSUFFICIENT DATA: {0} loss months that are not PARTIAL (at least {1}) or a missing factor</t>
  </si>
  <si>
    <t>s:VERİ YETERSİZ: {0} PARTIAL olmayan hasar ayı (en az {1}) veya eksik faktör
INSUFFICIENT DATA: {0} loss months that are not PARTIAL (at least {1}) or a missing factor</t>
  </si>
  <si>
    <t>s:AN_DS_CHART</t>
  </si>
  <si>
    <t>s:AN_DS_HEAD</t>
  </si>
  <si>
    <t>s:{0}: gösterge ek ödemeler {1} mn TL, standart hata {2} mn TL (CV {3}); {4} hasar ayı</t>
  </si>
  <si>
    <t>s:{0}: indicative further payments TRY {1} m, standard error TRY {2} m (CV {3}); {4} loss months</t>
  </si>
  <si>
    <t>s:{0}: gösterge ek ödemeler {1} mn TL, standart hata {2} mn TL (CV {3}); {4} hasar ayı
{0}: indicative further payments TRY {1} m, standard error TRY {2} m (CV {3}); {4} loss months</t>
  </si>
  <si>
    <t>s:AN_TF_TITLE</t>
  </si>
  <si>
    <t>s:AN_TF_PURPOSE</t>
  </si>
  <si>
    <t>s:Analiz penceresindeki dosya başı ödenenlerin (pozitif) üst kuyruğu: kapalı biçimli kuyruk indeksi tahmincileri (Hill, moment, Pickands, GPD olasılık ağırlıklı momentler) eşiğe göre.</t>
  </si>
  <si>
    <t>s:Upper tail of paid per case (positive) in the analysis window: closed-form tail-index estimators (Hill, moment, Pickands, GPD probability-weighted moments) across thresholds.</t>
  </si>
  <si>
    <t>s:Analiz penceresindeki dosya başı ödenenlerin (pozitif) üst kuyruğu: kapalı biçimli kuyruk indeksi tahmincileri (Hill, moment, Pickands, GPD olasılık ağırlıklı momentler) eşiğe göre.
Upper tail of paid per case (positive) in the analysis window: closed-form tail-index estimators (Hill, moment, Pickands, GPD probability-weighted moments) across thresholds.</t>
  </si>
  <si>
    <t>s:AN_HOWTO_TAILFIT</t>
  </si>
  <si>
    <t>s:Nasıl okunur: ξ &gt; 0 ağır (Pareto tipi) kuyruk, büyükse daha ağır; tahminciler bir eşik aralığında birbirine yakın ve yatay ise o aralık güvenilir. α = 1/ξ.</t>
  </si>
  <si>
    <t>s:How to read: ξ &gt; 0 means a heavy (Pareto-type) tail, larger is heavier; where the estimators agree and stay flat over a range of thresholds, that range is reliable. α = 1/ξ.</t>
  </si>
  <si>
    <t>s:Nasıl okunur: ξ &gt; 0 ağır (Pareto tipi) kuyruk, büyükse daha ağır; tahminciler bir eşik aralığında birbirine yakın ve yatay ise o aralık güvenilir. α = 1/ξ.
How to read: ξ &gt; 0 means a heavy (Pareto-type) tail, larger is heavier; where the estimators agree and stay flat over a range of thresholds, that range is reliable. α = 1/ξ.</t>
  </si>
  <si>
    <t>s:AN_TF_DISCLAIMER</t>
  </si>
  <si>
    <t>s:TASLAK - gösterge niteliğinde: dosya başı ödenen pencere içindedir (nihai hasar değil); poliçe limitleri kuyruğu keser (AN_Limits). Fiyatlama veya rezerv için değildir.</t>
  </si>
  <si>
    <t>s:DRAFT - indicative: paid per case is within the window (not the ultimate claim); policy limits cap the tail (AN_Limits). Not for pricing or reserving.</t>
  </si>
  <si>
    <t>s:TASLAK - gösterge niteliğinde: dosya başı ödenen pencere içindedir (nihai hasar değil); poliçe limitleri kuyruğu keser (AN_Limits). Fiyatlama veya rezerv için değildir.
DRAFT - indicative: paid per case is within the window (not the ultimate claim); policy limits cap the tail (AN_Limits). Not for pricing or reserving.</t>
  </si>
  <si>
    <t>s:AN_TF_THRESH</t>
  </si>
  <si>
    <t>s:Eşik (dosya yüzdeliği)</t>
  </si>
  <si>
    <t>s:Threshold (case percentile)</t>
  </si>
  <si>
    <t>s:Eşik (dosya yüzdeliği)
Threshold (case percentile)</t>
  </si>
  <si>
    <t>s:AN_TF_TABLE</t>
  </si>
  <si>
    <t>s:Seçilen eşikte tahminler</t>
  </si>
  <si>
    <t>s:Estimates at the selected threshold</t>
  </si>
  <si>
    <t>s:Seçilen eşikte tahminler
Estimates at the selected threshold</t>
  </si>
  <si>
    <t>s:AN_TF_METHOD</t>
  </si>
  <si>
    <t>s:Yöntem</t>
  </si>
  <si>
    <t>s:Method</t>
  </si>
  <si>
    <t>s:Yöntem
Method</t>
  </si>
  <si>
    <t>s:AN_TF_XI</t>
  </si>
  <si>
    <t>s:ξ (kuyruk indeksi)</t>
  </si>
  <si>
    <t>s:ξ (tail index)</t>
  </si>
  <si>
    <t>s:ξ (kuyruk indeksi)
ξ (tail index)</t>
  </si>
  <si>
    <t>s:AN_TF_ALPHA</t>
  </si>
  <si>
    <t>s:α = 1/ξ</t>
  </si>
  <si>
    <t>s:α = 1/ξ
α = 1/ξ</t>
  </si>
  <si>
    <t>s:AN_TF_SE</t>
  </si>
  <si>
    <t>s:AN_TF_U</t>
  </si>
  <si>
    <t>s:Eşik u (bin TL)</t>
  </si>
  <si>
    <t>s:Threshold u (TRY k)</t>
  </si>
  <si>
    <t>s:Eşik u (bin TL)
Threshold u (TRY k)</t>
  </si>
  <si>
    <t>s:AN_TF_K</t>
  </si>
  <si>
    <t>s:Eşik üstü dosya k</t>
  </si>
  <si>
    <t>s:Cases above the threshold k</t>
  </si>
  <si>
    <t>s:Eşik üstü dosya k
Cases above the threshold k</t>
  </si>
  <si>
    <t>s:AN_TF_HILL</t>
  </si>
  <si>
    <t>s:Hill</t>
  </si>
  <si>
    <t>s:Hill
Hill</t>
  </si>
  <si>
    <t>s:AN_TF_MOM</t>
  </si>
  <si>
    <t>s:Moment (Dekkers-Einmahl-de Haan)</t>
  </si>
  <si>
    <t>s:Moment (Dekkers-Einmahl-de Haan)
Moment (Dekkers-Einmahl-de Haan)</t>
  </si>
  <si>
    <t>s:AN_TF_PICK</t>
  </si>
  <si>
    <t>s:Pickands</t>
  </si>
  <si>
    <t>s:Pickands
Pickands</t>
  </si>
  <si>
    <t>s:AN_TF_PWM</t>
  </si>
  <si>
    <t>s:GPD olasılık ağırlıklı momentler</t>
  </si>
  <si>
    <t>s:GPD probability-weighted moments</t>
  </si>
  <si>
    <t>s:GPD olasılık ağırlıklı momentler
GPD probability-weighted moments</t>
  </si>
  <si>
    <t>s:AN_TF_QTABLE</t>
  </si>
  <si>
    <t>s:Yüksek yüzdelikler (bin TL): model ve gözlenen</t>
  </si>
  <si>
    <t>s:High percentiles (TRY k): model and observed</t>
  </si>
  <si>
    <t>s:Yüksek yüzdelikler (bin TL): model ve gözlenen
High percentiles (TRY k): model and observed</t>
  </si>
  <si>
    <t>s:AN_TF_EMP</t>
  </si>
  <si>
    <t>s:Gözlenen (PERCENTILE.INC)</t>
  </si>
  <si>
    <t>s:Observed (PERCENTILE.INC)</t>
  </si>
  <si>
    <t>s:Gözlenen (PERCENTILE.INC)
Observed (PERCENTILE.INC)</t>
  </si>
  <si>
    <t>s:AN_TF_WEISS</t>
  </si>
  <si>
    <t>s:Hill / Weissman</t>
  </si>
  <si>
    <t>s:Hill / Weissman
Hill / Weissman</t>
  </si>
  <si>
    <t>s:AN_TF_GPDQ</t>
  </si>
  <si>
    <t>s:GPD (PWM)</t>
  </si>
  <si>
    <t>s:GPD (PWM)
GPD (PWM)</t>
  </si>
  <si>
    <t>s:AN_TF_CHART</t>
  </si>
  <si>
    <t>s:Eşiğe göre ξ tahminleri (Hill ±1,96 standart hata bandıyla)</t>
  </si>
  <si>
    <t>s:ξ estimates by threshold (Hill with a ±1.96 standard-error band)</t>
  </si>
  <si>
    <t>s:Eşiğe göre ξ tahminleri (Hill ±1,96 standart hata bandıyla)
ξ estimates by threshold (Hill with a ±1.96 standard-error band)</t>
  </si>
  <si>
    <t>s:AN_TF_SEVCHK</t>
  </si>
  <si>
    <t>s:AN_Severity Hill α (aynı k ile) - tutarlılık</t>
  </si>
  <si>
    <t>s:AN_Severity Hill α (same k) - consistency</t>
  </si>
  <si>
    <t>s:AN_Severity Hill α (aynı k ile) - tutarlılık
AN_Severity Hill α (same k) - consistency</t>
  </si>
  <si>
    <t>s:AN_TF_GATE</t>
  </si>
  <si>
    <t>s:VERİ YETERSİZ: {0} dosya (en az {1}) veya eşik üstünde {2} dosya (en az {3})</t>
  </si>
  <si>
    <t>s:INSUFFICIENT DATA: {0} cases (at least {1}) or {2} cases above the threshold (at least {3})</t>
  </si>
  <si>
    <t>s:VERİ YETERSİZ: {0} dosya (en az {1}) veya eşik üstünde {2} dosya (en az {3})
INSUFFICIENT DATA: {0} cases (at least {1}) or {2} cases above the threshold (at least {3})</t>
  </si>
  <si>
    <t>s:AN_TF_HEAD</t>
  </si>
  <si>
    <t>s:{0}: {1} dosya; P{2} eşiğinde Hill ξ {3} (α {4}), moment ξ {5}, GPD ξ {6}</t>
  </si>
  <si>
    <t>s:{0}: {1} cases; at the P{2} threshold Hill ξ {3} (α {4}), moment ξ {5}, GPD ξ {6}</t>
  </si>
  <si>
    <t>s:{0}: {1} dosya; P{2} eşiğinde Hill ξ {3} (α {4}), moment ξ {5}, GPD ξ {6}
{0}: {1} cases; at the P{2} threshold Hill ξ {3} (α {4}), moment ξ {5}, GPD ξ {6}</t>
  </si>
  <si>
    <t>s:BacktestOrigins</t>
  </si>
  <si>
    <t>s:origins</t>
  </si>
  <si>
    <t>s:AN_Backtest: rolling forecast origins tested (the latest ones whose training window has at least MinMonthsForForecast months) (DRAFT)</t>
  </si>
  <si>
    <t>s:TailFitQuantile</t>
  </si>
  <si>
    <t>n:.9</t>
  </si>
  <si>
    <t>s:AN_TailFit: default threshold percentile of the cases (the page input overrides it for the session) (DRAFT)</t>
  </si>
  <si>
    <t>s:TailMinK</t>
  </si>
  <si>
    <t>s:AN_TailFit: minimum cases above a threshold for an estimate (Pickands needs 4k cases) (DRAFT)</t>
  </si>
  <si>
    <t>s:MackMinLossMonths</t>
  </si>
  <si>
    <t>s:loss months</t>
  </si>
  <si>
    <t>s:AN_Dispersion: minimum loss months that are not PARTIAL for the Mack-style standard error (DRAFT)</t>
  </si>
  <si>
    <t>Close {0}?
Prepared by {1}; you close as {2}.
The month is appended to the store (it cannot change afterwards) and the active period moves to the next open month.</t>
  </si>
  <si>
    <t>{0} dönemi kapatılsın mı?
Hazırlayan: {1}; kapatan: {2}.
Ay depoya eklenir (sonradan değiştirilemez) ve aktif dönem bir sonraki açık aya geçer.</t>
  </si>
  <si>
    <t>Month to re-open (YYYYMM). This is exceptional: its stored batch is marked SUPERSEDED (never deleted) and the month must be closed again.</t>
  </si>
  <si>
    <t>Yeniden açılacak ay (YYYYMM). İstisnai bir işlemdir: depodaki partisi SUPERSEDED olarak işaretlenir (silinmez) ve ay yeniden kapatılmalıdır.</t>
  </si>
  <si>
    <t>Every month since ArchiveStartPeriod is stored as one CURRENT batch: by Close period (Cmd_ClosePeriod) or, at installation, by Backfill history. Never type ArchiveLog rows; a gap is handled with Backfill (before the first close) or the re-open procedure (Technical_Guide, period management).</t>
  </si>
  <si>
    <t>ArchiveLog: IntegrityStatus per batch; archChainStatus (X3) and archStoreStatus (AD3) name the difference. The store file, the chain and the model totals must equal what was recorded at each write. Never edit STORE_PAY.csv or ArchiveLog to make them match: an Administrator runs Verify log and follows the store runbook (rebuild from the inbox, or restore the workbook and the Archive folder of the same day).</t>
  </si>
  <si>
    <t>Close period rolls ActivePeriod forward automatically. To change a closed month use Re-open (Cmd_ReopenPeriod), which marks its stored batch SUPERSEDED; never set ActivePeriod back by hand.</t>
  </si>
  <si>
    <t>ActivePeriod has no CURRENT ArchiveLog batch (the month is not already stored).</t>
  </si>
  <si>
    <t>A stored month does not match its record (ARCHIVE_INTEGRITY).</t>
  </si>
  <si>
    <t>• The company files of the month are in the source folder (any sub-folder): COMP&lt;ID&gt;PAY&lt;MMYYYY&gt;.xlsx, or one COMP&lt;ID&gt;PAYALL.xlsx for a company that delivers a cumulative file.</t>
  </si>
  <si>
    <t>• Only one person edits the file at a time. If the banner says the file is open read-only, wait until the other user has closed it. A red banner: stop and call an Administrator.</t>
  </si>
  <si>
    <t>2. Home &gt; Refresh. Wait for the message (a few minutes). Never use Data &gt; Refresh All: it is not logged and keeps the close blocked.</t>
  </si>
  <si>
    <t>5. KPI_Check, Dashboard and the executive pages: sanity-check the month. The Dashboard line "Model check" must say OK; WATCH / ALERT on the pages are DRAFT signals to look into, not close conditions.</t>
  </si>
  <si>
    <t>7. Open the workbook and read the ControlPanel, the explanations, the Dashboard and AN_Watchlist. Then either:</t>
  </si>
  <si>
    <t xml:space="preserve">   • Home &gt; Close period. It appends the month to the store as one batch, copies the month's files to the inbox, writes the controls evidence (read-only), records the sign-off and the sealed ArchiveLog row, moves ActivePeriod to the next month and refreshes. The user who submitted the month cannot close it, whatever roles that user holds.</t>
  </si>
  <si>
    <t>8. After the close, ARCHIVE_COMPLETE, ARCHIVE_INTEGRITY and ACTIVE_OPEN must be OK and the close message must say "integrity OK". FILES_EXPECTED stays REVIEW until next month's files arrive; that is expected.</t>
  </si>
  <si>
    <t>• A closed month must change: an Administrator uses Re-open, with a reason. The stored batch is kept and marked SUPERSEDED; the re-close appends a new batch.</t>
  </si>
  <si>
    <t>• A message says DENIED: your role does not allow that command. BLOCKED or ERROR: it names the cause (docs/guides/MESSAGE_CATALOGUE.md), or ask an Administrator.</t>
  </si>
  <si>
    <t>Technical guide - Actuarial Closing Platform 3.2</t>
  </si>
  <si>
    <t>Audience: platform administrators, auditors, IT, and anyone who changes the workbook. The monthly procedure is on Closing_Manual (one page) and in the role guides (docs/guides); installation, users, the store and recovery are in Admin_Guide. Every table, name, command and file is listed in Interface_Contract; every sheet in Sheet_Map; every statistical model in Method_Index and Method_Cards; every decision in docs/DECISION_INDEX.md.</t>
  </si>
  <si>
    <t>• What it does. Every month it finds the companies' payment files in one source folder on a shared network drive and standardises them through a governed column dictionary, removing personal data on the way. It checks completeness, reconciliation and data quality, lets a Preparer submit the month and a different user close it, and appends each closed month to one consolidated, append-only payments store (STORE_PAY.csv). It serves a star-schema Data Model, the 3.0 dashboard and the analytics pages.</t>
  </si>
  <si>
    <t>• Two delivery modes. A FOLDER company delivers one file per month (COMP&lt;CompanyID&gt;PAY&lt;MMYYYY&gt;.xlsx); a CUMULATIVE company delivers one file with every month (COMP&lt;CompanyID&gt;PAYALL.xlsx) and the platform takes the open month's rows from it.</t>
  </si>
  <si>
    <t xml:space="preserve">  • ControlPanel: can the month be closed? 27 checks, each OK, REVIEW or ADVISORY, plus the close gate.</t>
  </si>
  <si>
    <t xml:space="preserve">  • Dashboard and the AN_ pages: what was paid, how it develops, what is unusual.</t>
  </si>
  <si>
    <t xml:space="preserve">  • DataView and AN_RawView: the lines behind the numbers.</t>
  </si>
  <si>
    <t>• Delivery. A release is delivered in zero state: no company, no period, no location, no user and no log event; the CBRT rates and the column dictionary are kept. An Administrator initialises an installation with Setup (section 3).</t>
  </si>
  <si>
    <t>Ingestion, standardisation, enrichment and the store lines   |   Power Query (M)   |   61 queries; source in src/pq</t>
  </si>
  <si>
    <t>Measures   |   DAX   |   Data Model: 153 measures (KPI_Catalog, DAX_Measures)</t>
  </si>
  <si>
    <t>Statuses, findings, close gate, banner, checklist, analytics pages   |   worksheet formulas   |   ControlPanel, Recon, ArchiveLog, KPI_Check, Home, AN_*</t>
  </si>
  <si>
    <t>Orchestration only: session, permissions, refresh order, store writes, sign-off, logs, exports   |   VBA   |   mod_Session, mod_Security, mod_Setup, mod_Cmd, mod_Store, mod_ColumnMap, mod_Log, mod_Archive, mod_Export, mod_Util, frmPassword, ThisWorkbook (src/vba)</t>
  </si>
  <si>
    <t>VBA never computes a business number. It copies values that Power Query, DAX or formulas have already computed: the store lines are serialised by Power Query (STG_ActiveFact[StoreLine]) and VBA writes the bytes after checking their rows and totals against tblCloseOut.</t>
  </si>
  <si>
    <t>• Source: fnFileList("Source") &gt; qSrc_Files &gt; qSrc_Active &gt; fnSourceStd (FOLDER files through fnStandardizeFile and tblColumnMap; CUMULATIVE files through fnCumulativeSplit) &gt; qStd_Active.</t>
  </si>
  <si>
    <t>• Active month: qStd_Active &gt; fnEnrichLines (FX from cfgFXPublished, derived line columns as of this month against the stored keys) &gt; STG_ActiveFact (refreshed before FactPayment).</t>
  </si>
  <si>
    <t>• Store: qStore_File &gt; fnStoreRead (CURRENT batches of ArchiveLog only).</t>
  </si>
  <si>
    <t>• FactPayment = store rows + cfgActiveFact; it feeds the Data Model. STG_Summary = tblStoreSummary (recorded at each write) + cfgActiveFact; it never reads the store.</t>
  </si>
  <si>
    <t>• Writes: STG_StoreAppend (the lines a close appends), STG_Bulk / STG_BulkFiles (Backfill and Rebuild store, refresh role BULK), STG_StoreCheck (per-batch rows and CRC-32, refresh role AUDIT: Verify log and Rebuild store only).</t>
  </si>
  <si>
    <t>• STG_Discovery (Setup only) runs the file-name parser over the source folder; STG_Rejected lists the files of the active delivery that will not enter the store.</t>
  </si>
  <si>
    <t>• cfg* queries are the only ones that read Excel.CurrentWorkbook (parameters, dictionary, companies, FX, ArchiveLog, active lines).</t>
  </si>
  <si>
    <t>• fn* queries hold reusable logic; fnFileList is the one file-system implementation.</t>
  </si>
  <si>
    <t>• Porting the model to Power BI means replacing the cfg* queries and pointing qStore_File at the store.</t>
  </si>
  <si>
    <t>The sheet Sheet_Map lists every sheet with its purpose, audience (read live from tblSheetPolicy), owner and refresh role; docs/SHEET_MAP.md is the same list for readers of the repository. Groups:</t>
  </si>
  <si>
    <t>Group   |   Sheets</t>
  </si>
  <si>
    <t>Platform   |   Start (macro guard), Home</t>
  </si>
  <si>
    <t>Closing   |   ControlPanel, Recon, ArchiveLog, SignOff, DataView, KPI_Check</t>
  </si>
  <si>
    <t>Reporting   |   Dashboard, Matrix, Dash_Pivots (hidden)</t>
  </si>
  <si>
    <t>Analytics   |   AN_Index, AN_Exec_Life / Pension / NonLife, AN_Trend, AN_Triangle, AN_Lags, AN_Severity, AN_Limits, AN_Anomaly, AN_Watchlist, AN_Backtest, AN_Dispersion, AN_TailFit, AN_RawView, AN_Calc (hidden)</t>
  </si>
  <si>
    <t>Configuration   |   Parameters, ColumnMap, DimCompany, RefData, Threshold_Register, FX, AdminConfig</t>
  </si>
  <si>
    <t>Documentation   |   Closing_Manual, KPI_Catalog, Method_Index, Method_Cards, Sheet_Map, DecisionRegister, Interface_Contract, Technical_Guide, Admin_Guide, Legend, Changelog, DataModel, DAX_Measures, PivotGuide</t>
  </si>
  <si>
    <t>Staging and audit   |   RefreshLog, STG_* (hidden; Show staging), ActivityLog, Security, _sh_* (very hidden)</t>
  </si>
  <si>
    <t>Sheet policy. Visibility and protection come from tblSheetPolicy; the first row whose SheetName pattern matches a sheet applies. VisibleTo lists the roles that see a sheet (everyone else: very hidden). EditPermission lists the permissions that open the sheet for typing; everyone else gets it protected. Column rights inside protected sheets come from tblAuditScope ColumnPermissions. The policy is re-applied at every open, after a sign-in and by Hide staging. AN_RawView has its own row above AN_* (Analyst, Preparer, Reviewer only).</t>
  </si>
  <si>
    <t>Layout. One platform folder on a shared network drive holds the workbook, ACP_Settings.ini, and the folders Archive (the store, the inbox, controls files, Superseded), Log, Export and src. The source folder is separate; the companies deliver their files there. The platform runs only from a local or network (UNC) folder, never from a web address or a OneDrive / SharePoint synchronised folder (section 15).</t>
  </si>
  <si>
    <t>• A mapped drive letter (Z:\...) is converted to its UNC path, so every user sees the same text. A change of the resolved values is logged (SYSTEM SETTINGS_APPLIED).</t>
  </si>
  <si>
    <t>Setup (Cmd_Setup). A documented dialog sequence (Admin_Guide, section 3): first Administrator and password; source folder; platform folders; validation (exists, reachable, writable, mapped drive to UNC, Archive / Log / Export outside the source folder, not a synchronised or web location); discovery (STG_Discovery proposes the companies with ExpectedFromPeriod and SourceMode, ArchiveStartPeriod = earliest period, ActivePeriod = earliest period not stored; zero-padded twins of a listed company are named as near-misses, never proposed); users and roles; FX check; finish (ACP_Settings.ini, PLATFORM_INITIALISED or SETUP_UPDATED, Refresh, banner). Every change is logged with its old and new value.</t>
  </si>
  <si>
    <t>Macro guard. The saved file shows only the Start sheet; every other sheet is very hidden while the file is written and restored right after. With macros disabled a user sees only the Start sheet with the instructions.</t>
  </si>
  <si>
    <t>Session_Open, in this order; no step can stop the file from opening - problems go to the banner:</t>
  </si>
  <si>
    <t>2. the raw view is emptied;</t>
  </si>
  <si>
    <t>3. the workbook's Power Query setting "ignore privacy levels" (FastCombine) is switched back on if it was off (logged PRIVACY_LEVELS);</t>
  </si>
  <si>
    <t>4. the user is identified (Windows logon and the domain of the logon token); ACP_Settings.ini is read, resolved and written into tblParameters; location (web or synchronised folder), copy, missing settings, unreachable folders, read-only file and a foreign lock file are detected;</t>
  </si>
  <si>
    <t>5. the ActivityLog chain is verified, then the security tables (section 5); external log copies that could not be written earlier are written;</t>
  </si>
  <si>
    <t>6. visibility, protection and buttons are applied for the user's roles; the session cells (ses*) are written;</t>
  </si>
  <si>
    <t>7. Home opens; for an Administrator (or the first user of a platform without users) Setup offers itself once.</t>
  </si>
  <si>
    <t>Code   |   Colour   |   Text (English part)</t>
  </si>
  <si>
    <t>INTEGRITY   |   red   |   Role table modified outside the application - Administrator must review</t>
  </si>
  <si>
    <t>LOCATION   |   red   |   The platform is opened from a web address or a synchronised cloud folder ... commands that change data are disabled</t>
  </si>
  <si>
    <t>COPY   |   red   |   You are working on a COPY ... commands are disabled</t>
  </si>
  <si>
    <t>SETTINGS   |   red   |   Settings file not found or folder unreachable: &lt;path&gt;</t>
  </si>
  <si>
    <t>READONLY   |   amber   |   The file is open read-only (another user has it open: &lt;name&gt;)</t>
  </si>
  <si>
    <t>LOCK   |   amber   |   A long command is running: &lt;command&gt; by &lt;user&gt;</t>
  </si>
  <si>
    <t>(Setup)   |   amber   |   Setup not completed</t>
  </si>
  <si>
    <t>(role)   |   blue   |   You have no role - read-only</t>
  </si>
  <si>
    <t>The full bilingual texts are in docs/guides/MESSAGE_CATALOGUE.md (generated from tblUIText).</t>
  </si>
  <si>
    <t>Identity. The Windows logon and the domain of the logon token - DOMAIN\logon. Environment variables are logged but never trusted. There are no shared role passwords.</t>
  </si>
  <si>
    <t>Viewer   |   read what is visible (Dashboard, analytics pages); export the Dashboard / page PDF. Default for every unlisted user</t>
  </si>
  <si>
    <t>Analyst   |   Viewer + DataView and AN_RawView (show and export lines)</t>
  </si>
  <si>
    <t>Preparer   |   Analyst + Refresh, reconciliation, nil returns, check explanations, Submit for review, open a source file from the raw view (with a reason)</t>
  </si>
  <si>
    <t>Reviewer   |   Analyst + Refresh, Reject submission, Close period, closing pack, archive notes, open a source file (with a reason)</t>
  </si>
  <si>
    <t>Administrator   |   Setup, users and roles, sign-in, re-open, Backfill, Rebuild store, Lock / Unlock column map, Refresh reference data, ColumnID verification, source export, Verify log, changelog, staging sheets, lock clearing, Refresh, and the administrator tables</t>
  </si>
  <si>
    <t>tblCommandPermission holds Command x Role = Y / N, plus Elevation (needs the sign-in), StateChanging (blocked in read-only, copied, wrongly located or unconfigured sessions), NeedsSetup and UsesLock. Edit_* rows are the rights to type in a table. RequirePermission is the first step of every Cmd_*; a denied attempt is logged as SECURITY with the result DENIED.</t>
  </si>
  <si>
    <t>Administrator sign-in (Cmd_AdminLogin). Windows identity plus the administrator's own password, typed in the masked window frmPassword (if the window is missing or damaged, sign-in is refused; it never falls back to an unmasked box). Only PBKDF2-HMAC-SHA256 (600,000 iterations, 16-byte random salt) is stored. Five wrong passwords lock the sign-in for 30 minutes; a sign-in lasts 30 minutes and is renewed by every administrator action. There is no master password.</t>
  </si>
  <si>
    <t>Segregation of duties. The user who submitted a period can never close it. FourEyesRequired = N is an Administrator waiver (password again, severity HIGH; FOUR_EYES stays REVIEW).</t>
  </si>
  <si>
    <t>Integrity of the security tables. Every change of tblUserRole, tblCommandPermission or the credential identities goes through Cmd_ManageUsers or Setup and logs a SECURITY event with the SHA-256 checksum of the tables. At open the tables are compared with the last signed event; a difference (or a broken ActivityLog chain) degrades everyone to Viewer with the red INTEGRITY banner until an Administrator of the last signed state reviews and accepts (Cmd_ManageUsers ACCEPT) or IT restores from backup.</t>
  </si>
  <si>
    <t>• Refresh (Cmd_RefreshAll). Reads ACP_Settings.ini into tblParameters (stops on a copy, a wrong location or missing settings), unprotects the sheets, refreshes the FXFETCH connection and appends new CBRT rates, then the MODEL and STAGING connections in tblRefreshPlan order with manual calculation: DimCompany, DimDate and DimFXRate only when the SHA-256 signature of their inputs changed (or ForceDimensionRefresh = Y); STG_ActiveFact before FactPayment; the Data Model pivots are re-queried once against the complete model. Then one full calculation, the store and ArchiveLog chain checks (archStoreStatus, archChainStatus), the ActivityLog chain, a RefreshLog row when every connection succeeded, and re-protection. It holds ACP.lock while it runs. A failure with the Power Query privacy message reports FIREWALL_BLOCKED. The result ends with the reference-data status.</t>
  </si>
  <si>
    <t>• Close period (Cmd_ClosePeriod, Reviewer). Blocked unless the latest sign-off is SUBMITTED, the closing user is not the submitting user (unless waived), the fingerprint is unchanged, the gate is OPEN and the column map is locked and unchanged. It then checks that the lines to append (STG_StoreAppend) equal tblCloseOut in rows and totals and that every line passed the whitelist gate, appends them to the store as batch &lt;period&gt;-&lt;n&gt; (copy, append, size check, atomic swap), copies the month's source files to Archive\Inbox\&lt;LoadBatch&gt;\ (read-only), records the batch totals in tblStoreSummary and the SHA-256 of the store, writes SignOff CLOSED, the controls file (read-only), the ArchiveLog row sealed into the chain, clears the explanations, moves ActivePeriod to the next month, refreshes and reports the integrity of the new batch.</t>
  </si>
  <si>
    <t>Show / Export lines (DataView)   |   Cmd_ViewCompanyMonth / Cmd_ExportCompanyMonth(company, period)   |   Analyst, Preparer, Reviewer   |   no   |   One company-month from the store or the active month</t>
  </si>
  <si>
    <t>Show lines / Export CSV / Open source file (AN_RawView)   |   Cmd_RawView / Cmd_RawExport / Cmd_OpenSourceFile(reason)   |   Analyst, Preparer, Reviewer (open: Preparer, Reviewer)   |   no   |   Section 13</t>
  </si>
  <si>
    <t>PDF (Dashboard, AN_ pages)   |   Cmd_ExportDashboardPDF   |   everyone   |   no   |   The page as PDF (never AN_RawView)</t>
  </si>
  <si>
    <t>Rebuild store   |   Cmd_RebuildStore(confirmText)   |   Administrator   |   yes   |   Section 8; exceptional</t>
  </si>
  <si>
    <t>Lock / Unlock column map   |   Cmd_LockColumnMap(approval, confirmText) / Cmd_UnlockColumnMap(reason)   |   Administrator   |   yes   |   Section 12</t>
  </si>
  <si>
    <t>Refresh reference data   |   Cmd_RefreshReference   |   Administrator   |   no   |   Section 14</t>
  </si>
  <si>
    <t>Verify selected ColumnIDs   |   Cmd_VerifyColumnIDs(columnIds)   |   Administrator   |   no   |   Stamps VerifiedBy / VerifiedOn</t>
  </si>
  <si>
    <t>Verify log   |   Cmd_VerifyLog   |   Administrator   |   no   |   ActivityLog chain and every store batch (rows, CRC-32)</t>
  </si>
  <si>
    <t>Add changelog entry   |   Cmd_AddChangelogEntry(...)   |   Administrator   |   yes   |   The only way to add to tblChangelog</t>
  </si>
  <si>
    <t>Calling commands without dialogs. Every Cmd_* writes exactly one ActivityLog row, including when it fails or is denied; its result starts with OK, WARNING, BLOCKED, DENIED, CANCELLED or ERROR. A front end or a scheduler calls Application.Run "Api_SetSilent", True, then Application.Run "Cmd_...", arguments, and reads Application.Run("Api_LastResult"). Excel can reject a COM call while it finishes asynchronous calculations (0x800AC472 / 0x8001010A): the caller waits and retries.</t>
  </si>
  <si>
    <t>8. Period management and the store</t>
  </si>
  <si>
    <t>• The store. &lt;ArchiveFolder&gt;\STORE_PAY.csv holds the payment lines of every closed month: UTF-8 without BOM, comma, RFC 4180 quoting, CRLF, one header row (the current dictionary's layout, STG_StoreHeader); platform columns (PeriodKey, LoadBatch, CompanyID, SegmentKey, SourceFile, SourceRowNo), the whitelisted model fields, the frozen FX columns (RateToTRY, GrossAmountTRY, NetAmountTRY), the frozen derived line columns (CaseKey, duplicate and chronology flags, IsFirstPayment, ...) and a RowHash. Personal data never reaches it. Only the platform writes it, always copy-and-swap; it is read-only between writes.</t>
  </si>
  <si>
    <t>• Batches. Each close appends one batch, LoadBatch &lt;period&gt;-&lt;n&gt; (n = 1 for the first close of the period, 2 after a re-open and re-close). ArchiveLog holds one row per batch: RecordedRows, RecordedHashTotal (sum of GrossAmount across currencies - a control total), RecordedGrossTRY, RecordedDigest (CRC-32 of the batch's lines), StoreSHA256 (the whole store after the write) and ChainHash (SHA-256 over the previous ChainHash and the batch's immutable fields).</t>
  </si>
  <si>
    <t>• Frozen at close. The derived line columns are computed once, as of the close, with the parameters in force then; later parameter changes affect new months only unless the store is rebuilt (P3-81). Later changes of source files or of tblFXRate never change a stored month.</t>
  </si>
  <si>
    <t>• Integrity at every refresh. One SHA-256 of the store file against the last recorded StoreSHA256 (archStoreStatus), the ArchiveLog chain (archChainStatus), and the model's rows and totals per period (pvtStoreCheck) against the recorded values. Any difference turns IntegrityStatus REVIEW and ARCHIVE_INTEGRITY a failed BLOCKING check. Verify log localises a difference: it re-reads every batch (rows and CRC-32, STG_StoreCheck).</t>
  </si>
  <si>
    <t>• Inbox. At close and in the bulk build the month's whitelisted source files are copied to &lt;ArchiveFolder&gt;\Inbox\&lt;LoadBatch&gt;\ (read-only, never deleted). A CUMULATIVE company's ALL file is copied into every batch it delivered. Rebuild store reads only the inbox.</t>
  </si>
  <si>
    <t>• Completeness. ARCHIVE_COMPLETE: one CURRENT batch per month from ArchiveStartPeriod to the month before ActivePeriod. COMPLETENESS: every expected company has data or a nil return in every closed month.</t>
  </si>
  <si>
    <t>• Re-open (Administrator, exceptional). Cmd_ReopenPeriod needs a stored month and a reason. The batch stays in the store (append-only) and its ArchiveLog row becomes SUPERSEDED; the controls file moves to Archive\Superseded\ with a time stamp; SignOff REOPENED; ActivePeriod = that month. The re-close appends batch &lt;period&gt;-2.</t>
  </si>
  <si>
    <t>• Backfill (Administrator, once at installation). Cmd_Backfill bulk-builds the store from the source folder: STG_Bulk reads BulkChunkMonths months per refresh (default 12), computes the store rows month by month with the cross-month flags as of each month, appends one batch per month, copies the files to the inbox, writes one ArchiveLog row and one SignOff row (BACKFILL, FourEyes NOT APPLIED) per month and saves after each chunk. The newest month stays open and is closed normally. Files that fail the whitelist gate are listed and never stored. Restartable: stored months are skipped. Typed confirmation BACKFILL.</t>
  </si>
  <si>
    <t>• Rebuild store (Administrator, exceptional). Cmd_RebuildStore (typed REBUILD, column map locked) re-reads every CURRENT batch from the inbox with the current dictionary layout, writes a new store, moves the old one to Archive\Superseded\, re-records the digests (with a note when a digest changed) and seals the chain again. Needed after a model field was added or removed (the header then differs and ARCHIVE_INTEGRITY is REVIEW) and as the recovery path when the store file is damaged (docs/guides/STORE_RUNBOOK.md).</t>
  </si>
  <si>
    <t>ArchiveLog chain   |   Has any stored batch or the store file changed since it was written?   |   ArchiveLog (ChainHash, StoreSHA256), Verify log</t>
  </si>
  <si>
    <t>Chained checksum. Checksum = lowercase hex SHA-256 (Windows CNG) of the UTF-8 text EventNo|TimestampUTC|LogonUser|EnvUser|ExcelUser|Machine|EventType|Command|Parameters|Result|DurationSec|PlatformVersion|Algorithm|PrevChecksum. Every event is also written as one read-only CSV in LogFolder; LOG_INTEGRITY compares the two.</t>
  </si>
  <si>
    <t>Edit audit. Workbook_SheetChange compares every table in tblAuditScope with its very hidden shadow copy; allowed changes are logged, changes the user may not make are reverted and logged as SECURITY EDIT_DENIED.</t>
  </si>
  <si>
    <t>• Automatic fetch (FXAutoFetch = Y): at every Refresh, qFX_CBRT reads the daily bulletins after the last stored rate; Refresh appends the OK rates to tblFXRate, so each bulletin is downloaded once. The rate is FXRateType (ForexBuying) / Unit.</t>
  </si>
  <si>
    <t>• In the store. The active month is enriched with the published rate at the payment date (cfgFXPublished: carried forward at most FXMaxCarryForwardDays); the rate and the TRY amounts are frozen in the store at close.</t>
  </si>
  <si>
    <t>• Manual mode. FXAutoFetch = N; rates are typed on sheet FX (Admin_Guide, section 8). Only dates leave the workbook.</t>
  </si>
  <si>
    <t>Every check is a row of tblControl with a stable CheckID, a Result count, a Threshold (0), a Severity and a Status: OK, REVIEW (BLOCKING or REVIEW check failed) or ADVISORY (amber, never blocks). The Finding is built from the data; the Action says where to look and what to do (bilingual for the 3.2 checks). What to do when each check fails, by role: docs/guides/CONTROLS.md.</t>
  </si>
  <si>
    <t>4   |   FILES_NEARMISS   |   BLOCKING   |   No near-miss file name in the active delivery (including zero-padded company IDs)</t>
  </si>
  <si>
    <t>8   |   DUP_KEYS   |   BLOCKING   |   No duplicate payment keys (this and earlier stored months)</t>
  </si>
  <si>
    <t>15   |   ARCHIVE_COMPLETE   |   BLOCKING   |   One CURRENT stored batch per closed month</t>
  </si>
  <si>
    <t>16   |   ARCHIVE_INTEGRITY   |   BLOCKING   |   Store file, ArchiveLog chain and model totals unchanged since each write</t>
  </si>
  <si>
    <t>17   |   ACTIVE_OPEN   |   BLOCKING   |   Active period not already stored</t>
  </si>
  <si>
    <t>19   |   DICTIONARY   |   BLOCKING   |   Column dictionary consistent</t>
  </si>
  <si>
    <t>22   |   POLICY_OPEN   |   BLOCKING   |   No decision Open</t>
  </si>
  <si>
    <t>25   |   RESTATEMENT   |   BLOCKING   |   A CUMULATIVE file restates no stored month</t>
  </si>
  <si>
    <t>26   |   COMPANY_CHANGES   |   REVIEW   |   No new company and no change of delivery mode (explainable)</t>
  </si>
  <si>
    <t>27   |   COLUMNMAP_LOCK   |   BLOCKING   |   The column map is locked and unchanged (Close, Backfill and Rebuild store also refuse to run otherwise, even when explained)</t>
  </si>
  <si>
    <t>Adding a check. Add a row to tblControl (new CheckID, Result formula, Threshold 0, Severity, Finding, Action); add it to Interface_Contract and to docs/guides/CONTROLS.md; if a dashboard KPI depends on it, add a caveat row to tblKPICaveat; record it with Add changelog entry.</t>
  </si>
  <si>
    <t>12. Column dictionary (ColumnMap) and the lock</t>
  </si>
  <si>
    <t>• One row per source header spelling; matching ignores case, Turkish letters, spaces and punctuation. A field enters the model only if every row of its CanonicalName says IncludeInModel = Y and PersonalData = N (fail-safe). Groups: 1 Core, 2 Analytical, 3 Branch, 4 Personal data (blocked), 5 Not modelled.</t>
  </si>
  <si>
    <t>• New company or new layout: Refresh; STG_DQ lists every UNMAPPED HEADER; an Administrator classifies it (Admin_Guide).</t>
  </si>
  <si>
    <t>• Lock. The store is laid out by the dictionary, so the model-relevant columns (SourceHeader, CanonicalName, DataType, IncludeInModel, PersonalData, Group) are locked by a SHA-256 signature (Lock column map). COLUMNMAP_LOCK is BLOCKING and Close, Backfill and Rebuild store refuse to run while the map is unlocked or changed. Changing the model fields = unlock (reason, HIGH), edit, Refresh, lock, Rebuild store (Admin_Guide, section 15). ColumnID, notes and the verification stamps are outside the signature.</t>
  </si>
  <si>
    <t>13. Data Model, dashboard and analytics pages</t>
  </si>
  <si>
    <t>• Star schema. FactPayment (store + active month; one row per payment line) with DimDate, DimCompany, DimFXRate and the reference tables (DimSegment, DimPaymentNature, DimBranch, DimProduct, DimChannel, DimPartner, DimGeography, DimCurrency, DimAgeBand, bands, DevMonth, AnParam, tblThreshold, tblUIText, tblObsFlag). The default date relationship is the reporting period (FactPayment[PeriodDate]); payment, loss, notification, decision and documents-complete dates are inactive relationships used by the "by ... Date" measures. Segment = FactPayment[SegmentKey] (company type, or Unassigned).</t>
  </si>
  <si>
    <t>• 3.0 dashboard. KPI cards (cube cells bound to slicers), four PivotCharts on Dash_Pivots, the Matrix heat map. No new cube cell is added anywhere (BL-22).</t>
  </si>
  <si>
    <t>• Analytics pages. No pivots and no cube cells on the pages: long, flat Data Model pivots on the hidden sheet AN_Calc (36-month analysis window relative to the active period), read by worksheet formulas, dynamic arrays and LAMBDA names. Statuses come from tblThreshold (all DRAFT; FIXED levels not approved are placeholders "*" that are never counted). Text with numbers is Turkish (anNum, anPct). Methods: Method_Cards. Reading guide: PivotGuide and docs/guides/ANALYST_VIEWER.md.</t>
  </si>
  <si>
    <t>• Extra method pages (DRAFT). AN_Backtest (rolling-origin backtest of the AN_Trend forecast), AN_Dispersion (Mack-style standard error on the AN_Triangle selection), AN_TailFit (tail index by threshold) - worksheet formulas on the existing pivots and the triangle grid only.</t>
  </si>
  <si>
    <t>• Raw view. AN_RawView lists lines of several companies x months from the store (CURRENT batches) and the active month, whitelisted columns only, reconciles them to tblStoreSummary, exports CSV; the lines are removed before every save and are never exported as PDF.</t>
  </si>
  <si>
    <t>14. Refresh cost and the reference data</t>
  </si>
  <si>
    <t>• The 16 static reference tables are worksheet tables linked into the model with refresh role MANUAL: Refresh All does not process them. After an Administrator edits one of them, Refresh reference data (Cmd_RefreshReference) loads them; RefData row 3 turns red when a checksum of the tables differs from the one stored at the last reference refresh.</t>
  </si>
  <si>
    <t>• Measured worst case at 120 months of data (every dimension refreshed in one run): 316.9 s, accepted for 3.2.0 (BL-63); a normal refresh with unchanged dimensions about 250 s; 36 months about 130-180 s. Page interaction at most 0.6 s.</t>
  </si>
  <si>
    <t>15. Protection, location and privacy</t>
  </si>
  <si>
    <t>• Sheet protection is a deterrent; the edit audit is the control. The protection key is random per installation (secSheetKey).</t>
  </si>
  <si>
    <t>• VBA project locked for viewing by the owner after the source export (Admin_Guide, section 11).</t>
  </si>
  <si>
    <t>• Location guard. A web address or a OneDrive / SharePoint synchronised folder (workbook or Source, Archive, Log, Export) gives the red LOCATION banner and every state-changing command is refused: two synchronised copies of the store, the logs or the lock file would diverge.</t>
  </si>
  <si>
    <t>• Power Query privacy. The queries combine workbook parameters with file reads in one step, so they rely on the workbook's "ignore privacy levels" setting (re-set at open). A machine policy that enforces privacy levels for every file stops the refresh (FIREWALL_BLOCKED); IT must allow the per-file setting (docs/guides/GO_LIVE_CHECKLIST.md, item 1). A redesign that survives the enforcement is backlog 3.3 (BL-65).</t>
  </si>
  <si>
    <t>• Personal data never reaches a sheet, the Data Model, the store, the raw view or an export.</t>
  </si>
  <si>
    <t>16. Concurrency, copies and the lock file</t>
  </si>
  <si>
    <t>• One writer. Excel lets one user edit the file; a second user opens it read-only (amber banner), and commands that change data are blocked.</t>
  </si>
  <si>
    <t>• ACP.lock (workbook folder) is written by the long state-changing commands (Refresh, Close, Re-open, Setup, Backfill, Rebuild store, Lock / Unlock column map, Refresh reference data) and removed at their end. An Administrator clears a lock older than 2 hours (Cmd_ClearLock, severity HIGH).</t>
  </si>
  <si>
    <t>• Copies. A workbook opened anywhere other than PlatformHomePath shows the red COPY banner.</t>
  </si>
  <si>
    <t>17. Troubleshooting</t>
  </si>
  <si>
    <t>The per-control actions are in docs/guides/CONTROLS.md, the messages in docs/guides/MESSAGE_CATALOGUE.md, store problems in docs/guides/STORE_RUNBOOK.md. The most frequent symptoms:</t>
  </si>
  <si>
    <t>Red banner LOCATION   |   Opened from a web address or a synchronised folder   |   Open the platform from the agreed network share (Admin_Guide, section 17)</t>
  </si>
  <si>
    <t>Refresh says FIREWALL_BLOCKED   |   A machine policy enforces privacy levels per file   |   IT allows the per-file setting (GO_LIVE_CHECKLIST item 1)</t>
  </si>
  <si>
    <t>Close BLOCKED: column map   |   COLUMNMAP_LOCK not OK   |   Administrator: restore the approved map or unlock, change, lock, Rebuild store</t>
  </si>
  <si>
    <t>ARCHIVE_INTEGRITY REVIEW   |   Store file, chain or model totals differ   |   Do not edit the store; Administrator runs Verify log; STORE_RUNBOOK</t>
  </si>
  <si>
    <t>RESTATEMENT REVIEW   |   A cumulative file changed a stored month   |   Re-open the month or have the company correct the file (CUMULATIVE_COMPANY.md)</t>
  </si>
  <si>
    <t>A file is missing from the month   |   It is in STG_Rejected (not listed, outside window, near-miss, mode mismatch)   |   Admin_Guide, section 14</t>
  </si>
  <si>
    <t>Close BLOCKED: data changed after the submission   |   Refresh or source change after Submit   |   The Preparer submits again</t>
  </si>
  <si>
    <t>Close BLOCKED: segregation of duties   |   The submitting user tried to close   |   A different Reviewer closes</t>
  </si>
  <si>
    <t>RefData row 3 is red   |   A reference table was edited   |   Administrator: Refresh reference data</t>
  </si>
  <si>
    <t>18. Extending the platform</t>
  </si>
  <si>
    <t>• New company. Setup discovery proposes it, or an Administrator adds a DimCompany row (CompanyID exactly as in the file name, type, ExpectedFromPeriod, SourceMode) &gt; Refresh &gt; classify its UNMAPPED HEADERs &gt; Refresh.</t>
  </si>
  <si>
    <t>• New model field. Unlock column map, ColumnMap rows with IncludeInModel = Y, PersonalData = N and a DataType, Refresh, lock, Rebuild store (the stored months get the new column from the inbox files).</t>
  </si>
  <si>
    <t>• New check. Section 11. New page. Reuse the AN_Calc pivots; record its refresh cost (the 120-month worst case is the budget). New command. Pattern Log_Begin &gt; Guard &gt; Do_Name &gt; Log_End; a tblCommandPermission row (accepted by an Administrator); Interface_Contract; a button.</t>
  </si>
  <si>
    <t>• Changes are recorded with Add changelog entry.</t>
  </si>
  <si>
    <t>19. Build and source</t>
  </si>
  <si>
    <t>• src/pq, src/vba and src/contract hold the source; the workbook is changed only by Excel through COM (never by a file library such as openpyxl, which would strip the Data Model, pivots and connections).</t>
  </si>
  <si>
    <t>• Builds: tools/build/Build-Release.ps1 (3.0.0), tools/build/Build-Store.ps1 (3.2 store), tools/build/analytics/Build-WP*.ps1 (analytics pages, WP-11 documentation), tools/build/Build-ZeroState.ps1 (zero-state template). Every folder comes from tools/config/paths.json. Tests: tools/build/analytics/Test-AnPages.ps1 (T1), tools/dev/Test-Harden.ps1 and Test-Store.ps1 (governance, store), tools/verify_*.py (ground truth), tools/check_docs.py (documentation). Repository map: FOLDER_MAP.md.</t>
  </si>
  <si>
    <t>20. Known limitations</t>
  </si>
  <si>
    <t>Open items with owners and release targets are in docs/BACKLOG.md (triaged into 3.2.1, 3.3, 4.0 and won't-do). Items that need people or infrastructure outside the workbook are in docs/HANDOVER_3.2.0.md and docs/guides/GO_LIVE_CHECKLIST.md.</t>
  </si>
  <si>
    <t>Every report of the platform reads the Data Model (ThisWorkbookDataModel). The pivots, slicers, timeline and CUBE formulas were built by Excel itself through the build scripts in tools/build (3.0 dashboard) and tools/build/analytics (AN_Calc). Use this page to rebuild or extend them by hand. Measure definitions: DAX_Measures (3.0) and KPI_Catalog (analytics). Tables and relationships: DataModel and Technical_Guide section 13.</t>
  </si>
  <si>
    <t>• Amounts in TRY come from the measures. Never sum GrossAmount across currencies except as the store hash total (RecordedHashTotal).</t>
  </si>
  <si>
    <t>• A measure used in a pivot with several row fields must return BLANK, not 0, where there is nothing: a measure that is 0 everywhere makes the pivot list every combination of its row fields (P3-106).</t>
  </si>
  <si>
    <t>• Never call Refresh or RefreshTable on a single Data Model pivot: it reprocesses the whole model (537 s measured). Refresh All re-queries every model pivot once against the complete model (P3-98).</t>
  </si>
  <si>
    <t>• Do not add CUBE formulas or linked pictures: cube cells stalled the first sign-in after a cold open (P3-16), linked pictures kept Excel busy for minutes after a pivot refresh (P3-57).</t>
  </si>
  <si>
    <t>Analytics pivots (hidden sheet AN_Calc)</t>
  </si>
  <si>
    <t>Long, flat Data Model pivots (tabular, labels repeated, no subtotals, no grand totals) that the AN_ pages read with formulas through named column ranges an&lt;PREFIX&gt;_&lt;column&gt;. "Window" = page filter DimDate[MonthsFromActive] -35..0 (the 36-month analysis window relative to the active period). Rebuilt by the analytics builds (New-AnPivot in tools/build/analytics/AnLib.ps1); the named ranges are re-pointed at every build.</t>
  </si>
  <si>
    <t>Pivot (cell)   |   Rows   |   Values   |   Filter   |   Names   |   Read by</t>
  </si>
  <si>
    <t>pvtAN_SegMonth (A5)   |   Segment, YearMonth   |   Paid TRY, PM, MoM, PY, YoY, YTD, R3, R6, R12, Cases, Lines, Mean / P90 per case, Lag P50, partial share, net   |   window   |   anSM_*   |   executive pages, AN_Trend, AN_Backtest, month lists</t>
  </si>
  <si>
    <t>pvtAN_SegMonthNature (V5)   |   Segment, YearMonth, PaymentNature, ReasonCode   |   Paid TRY, Cases   |   window   |   anNAT_*   |   movers, bridges</t>
  </si>
  <si>
    <t>pvtAN_Lag (AD5), pvtAN_LagAll (BT5)   |   Segment (, YearMonth)   |   lag lines, mean, P50-P95 per stage   |   window   |   anLAG_*, anLAGALL_*   |   AN_Lags</t>
  </si>
  <si>
    <t>pvtAN_LagBand (DI5)   |   Segment, LagBand   |   lines per stage and band   |   window   |   anBAND_*   |   AN_Lags</t>
  </si>
  <si>
    <t>pvtAN_Tri (DT5)   |   Segment, CompanyID, LossPeriodKey, DevMonth   |   Paid TRY, Payment Lines   |   none (all loss months)   |   anTRI_*   |   AN_Triangle, AN_Dispersion</t>
  </si>
  <si>
    <t>pvtAN_LagC (GA5), pvtAN_LagAllC (HR5), pvtAN_LagBandC (JH5)   |   as the lag pivots   |   per case (first payment)   |   window, tblObsFlag[Flag] = 1   |   anLAGC_*, anLAGALLC_*, anBANDC_*   |   AN_Lags (per case)</t>
  </si>
  <si>
    <t>pvtAN_Case (JS5)   |   Segment, CaseKey   |   Paid TRY, Paid Original, cover, sum insured, initial reserve, net, deductible   |   window   |   anCASE_*   |   AN_Severity, AN_Limits, AN_TailFit</t>
  </si>
  <si>
    <t>pvtAN_Acc (KE5)   |   Segment, LossPeriodKey   |   Cases, mean, median, P90 per case   |   window   |   anACC_*   |   AN_Severity, AN_Trend</t>
  </si>
  <si>
    <t>pvtAN_Dig (KY5)   |   Segment, CompanyID, YearMonth, FirstDigit   |   Payment Lines   |   window   |   anDIG_*   |   AN_Anomaly (Benford)</t>
  </si>
  <si>
    <t>pvtAN_CMN (LF5)   |   Segment, CompanyID, YearMonth, PaymentNature   |   Payment Lines   |   window   |   anCMN_*   |   AN_Anomaly (PSI)</t>
  </si>
  <si>
    <t>pvtAN_CM (NA5)   |   Segment, CompanyID, YearMonth   |   Paid TRY, Lines, Cases, Mean, round / weekend / month-end lines   |   window   |   anCM_*   |   AN_Anomaly, AN_Watchlist</t>
  </si>
  <si>
    <t>• pvtAN_CM is built field by field with the pivot updating (New-AnPivot -Live): with all fields added under ManualUpdate it stayed empty (P3-107).</t>
  </si>
  <si>
    <t>• The per-case pivots filter on tblObsFlag[Flag] = 1, a two-row table related from FactPayment[IsFirstPaymentObs], so the filter can be set even before any case is observed (P3-74).</t>
  </si>
  <si>
    <t>• The three WP-11 pages (AN_Backtest, AN_Dispersion, AN_TailFit) add no pivot: they read anSM_*, anCASE_* and the AN_Triangle grid.</t>
  </si>
  <si>
    <t>Store check pivot (STG_Store)</t>
  </si>
  <si>
    <t>pvtStoreCheck: rows PeriodKey; values the three unguarded store-check measures (rows, GrossAmount, GrossAmountTRY) of FactPayment. ArchiveLog[ModelRows / ModelGross / ModelGrossTRY] read it, so ARCHIVE_INTEGRITY also compares what the model loaded with what was recorded at each write (P3-83).</t>
  </si>
  <si>
    <t>Administrator guide - Actuarial Closing Platform 3.2</t>
  </si>
  <si>
    <t>For the platform Administrators of the Actuarial Closing department and for IT. How the platform works inside: Technical_Guide. The monthly procedure: Closing_Manual and the role guides (docs/guides). Store recovery: docs/guides/STORE_RUNBOOK.md. IT prerequisites and the go-live checklist: docs/guides/IT_PREREQUISITES.md, docs/guides/GO_LIVE_CHECKLIST.md.</t>
  </si>
  <si>
    <t>• Maintains the administrator tables: Parameters, ColumnMap, DimCompany, FX, currency aliases, RefData, Threshold_Register, KPI_Catalog, DecisionRegister and AdminConfig. Editing them needs the administrator sign-in; after an edit of RefData or Threshold_Register run Refresh reference data.</t>
  </si>
  <si>
    <t>• Owns the store: Backfill at installation, the column-map lock, Rebuild store, Verify log.</t>
  </si>
  <si>
    <t>• Handles exceptions: re-open of a closed month, manual FX, stale lock files, security reviews, store recovery.</t>
  </si>
  <si>
    <t>5. Privacy levels. The workbook uses "Ignore the privacy levels" (Data &gt; Get Data &gt; Query Options &gt; Current Workbook) and the platform re-sets it at every open; only dates leave the workbook, to the CBRT (D34). A machine policy that enforces privacy levels for every file stops the refresh: check it first (GO_LIVE_CHECKLIST, item 1).</t>
  </si>
  <si>
    <t>3. Platform folders. Yes = Archive (the store, its inbox and the controls files), Log, Export and src are created in the workbook folder (stored as .\Archive etc.). No = pick each folder.</t>
  </si>
  <si>
    <t>4. Validation. Each folder must exist and be reachable; Archive, Log, Export and src must be writable (a probe file is written and deleted), the source folder readable, and the workbook folder writable (for ACP_Settings.ini and ACP.lock). Archive, Log and Export must not lie inside the source folder, and no folder may be a web address or a OneDrive / SharePoint synchronised folder (section 17). A local path (C:\...) is accepted with a warning, because other users cannot reach it. On a failure you can pick the folders again.</t>
  </si>
  <si>
    <t>5. Discovery. The file-name parser lists every file of the source folder (sheet STG_Discovery). Setup proposes the new companies (added to DimCompany with ExpectedFromPeriod = the first period found and SourceMode FOLDER, or CUMULATIVE for a company that delivers one ALL file; enter their name and type afterwards on sheet DimCompany), ArchiveStartPeriod (the earliest period found) and ActivePeriod (the earliest period not yet stored). Near-miss files (they break the name pattern, or their company ID differs from a listed one only by leading zeros) and unrecognised files are listed; fix or move them. A zero-padded twin is never proposed as a company.</t>
  </si>
  <si>
    <t>8. Finish. ACP_Settings.ini is written next to the workbook, the genesis event PLATFORM_INITIALISED (or SETUP_UPDATED) is logged, the first Refresh runs and the Home banner shows the next action. Then lock the approved column map (section 15) and, if the source folder holds several past months, store them with Backfill history (section 10).</t>
  </si>
  <si>
    <t>1. Ask the users to close the file. Copy the whole platform folder (workbook, ACP_Settings.ini, Archive with STORE_PAY.csv, Inbox and the controls files, Log, Export, src) to the new share. Relative paths (.\Archive) keep working. Compare the SHA-256 of STORE_PAY.csv before and after the copy.</t>
  </si>
  <si>
    <t>• Re-open a closed month. Home &gt; Re-open period, month (YYYYMM) and reason. The month's batch stays in the store (append-only) and its ArchiveLog row becomes SUPERSEDED; the controls file moves to Archive\Superseded (never deleted); ActivePeriod becomes that month. The month is then prepared and closed again by a Preparer and a Reviewer, which appends batch &lt;period&gt;-2. Only the CURRENT batch of a month is read.</t>
  </si>
  <si>
    <t>• Adding a company. Setup proposes new companies from the file names; otherwise add a DimCompany row (CompanyID exactly as in the file name, name, type, ExpectedFromPeriod, SourceMode). Refresh, classify its new headers (below) and ask the Preparer to add its Recon rows. A company that delivers one cumulative file: docs/guides/CUMULATIVE_COMPANY.md.</t>
  </si>
  <si>
    <t>• Classifying a new header. Refresh; STG_DQ lists every UNMAPPED HEADER (Show staging). Sign in and unlock the column map (section 15); on ColumnMap add one row per header: SourceHeader (exact spelling), CanonicalName (an existing field, or a new one), ColumnID (from the schema reference), DataType, IncludeInModel, PersonalData (ask the Data Protection Officer when in doubt; blank means personal), Group, Notes. Refresh; MAPPING_DQ must be OK; lock the map again (and Rebuild store if a model field was added). Verify the ColumnIDs with Verify selected ColumnIDs once they are checked against the schema reference.</t>
  </si>
  <si>
    <t>• Past months (backfill). When the source folder holds months before go-live, Setup proposes the earliest one as ArchiveStartPeriod and ActivePeriod. Rather than closing each of them with four-eyes, lock the column map, sign in and run Home &gt; Backfill history once: every month before the newest one is stored as found by the bulk build (BulkChunkMonths months per refresh, default 12; one batch, one ArchiveLog row and one SignOff BACKFILL row per month, files copied to the inbox, the workbook saved after each chunk; about 25 minutes for 119 months at rehearsal volume, P3-102). Type BACKFILL to confirm. Files that fail the whitelist gate are listed in the result and never stored. The newest month stays open and is closed normally by a Preparer and a Reviewer. If the run stops, fix the cause and run it again: stored months are skipped (D61, P3-87, P3-95).</t>
  </si>
  <si>
    <t>• IT backs up the platform folder daily. The Log folder is the authoritative audit trail; the Archive folder holds the store (STORE_PAY.csv), the inbox (the stored source files) and the controls files.</t>
  </si>
  <si>
    <t>• Restore = the workbook and ACP_Settings.ini of the same day together with the Archive folder of the same day (the ArchiveLog chain in the workbook must match the store), and the Log folder. After a restore, events written after the backup remain in the Log folder and show as INFO ("not in this workbook").</t>
  </si>
  <si>
    <t>• If only the store file is damaged or lost, the inbox is enough to rebuild it: docs/guides/STORE_RUNBOOK.md.</t>
  </si>
  <si>
    <t>Deferred decisions of the 3.0 register (A1, A3, A4, A6 - data owners; D36 - IT) are on sheet DecisionRegister, Backlog. Every open item of 3.2 with its owner and release target is in docs/BACKLOG.md; every decision with its status in docs/DECISION_INDEX.md. Record outcomes with Add changelog entry.</t>
  </si>
  <si>
    <t>14. Files that do not enter the store (3.2.0)</t>
  </si>
  <si>
    <t>Only companies in the company list (DimCompany), inside their reporting window, in their source mode and with a correctly named file reach the store (DECISIONS_P3 P3-86, P3-91, P3-92, P3-110). Every file of the active delivery that will not get in is listed in the rejected-lines log STG_Rejected (Show staging &gt; STG_Files, right of the file list) with its rule and what to do; the analytics pages show "Not admitted to the store: n lines in m files", AN_Index explains it.</t>
  </si>
  <si>
    <t>Rule   |   Meaning   |   Administrator path</t>
  </si>
  <si>
    <t>NOT LISTED   |   the company is not in DimCompany; its lines are loaded for review (segment *Unassigned*) and block the close   |   add the company (DimCompany: CompanyID exactly as in the file name, name, type, ExpectedFromPeriod, SourceMode) and Refresh, or have the file removed</t>
  </si>
  <si>
    <t>OUTSIDE WINDOW   |   the month is outside ExpectedFromPeriod..ExpectedToPeriod   |   correct the window, or remove the file</t>
  </si>
  <si>
    <t>NEAR-MISS   |   the name breaks the pattern, or the company ID differs from a listed one only by leading zeros (COMP08302… while 8302 is listed)   |   have the file renamed; never add the zero-padded ID as a new company</t>
  </si>
  <si>
    <t>MODE MISMATCH   |   a monthly file of a CUMULATIVE company, or an ALL file of a FOLDER company   |   correct SourceMode, or ask for the agreed delivery</t>
  </si>
  <si>
    <t>Company IDs are text and are compared exactly as listed. An ID that really starts with a zero is allowed when it is listed that way (the CompanyID cells are text); Setup never proposes a zero-padded twin of a listed or discovered company. The *Unassigned* segment therefore holds only lines of companies outside the list (active month, not closable) or of a stored company whose type was later removed.</t>
  </si>
  <si>
    <t>15. Changing the column map (3.2.0)</t>
  </si>
  <si>
    <t>The store keeps only the dictionary fields that are in the model and is laid out by the dictionary, so the map is locked (check COLUMNMAP_LOCK, BLOCKING; Backfill, Close and Rebuild store refuse to run while it is not locked or has changed). To change it:</t>
  </si>
  <si>
    <t>1. Sign in. Home &gt; Unlock column map (column J), reason (SECURITY event, severity HIGH).</t>
  </si>
  <si>
    <t>2. Edit tblColumnMap (sheet ColumnMap). Refresh; MAPPING_DQ must be OK and STG_DQ must show no DICTIONARY INCONSISTENT.</t>
  </si>
  <si>
    <t>3. Home &gt; Lock column map: who approved the change and when, then type LOCK.</t>
  </si>
  <si>
    <t>4. If a model field was added or removed: Home &gt; Rebuild store (typed REBUILD): every stored month is re-read from Archive\Inbox with the new layout; the old store moves to Archive\Superseded. Refresh; ARCHIVE_INTEGRITY must be OK.</t>
  </si>
  <si>
    <t>A change of ColumnID, notes or verification stamps does not affect the lock.</t>
  </si>
  <si>
    <t>16. A second Administrator</t>
  </si>
  <si>
    <t>Keep at least two active Administrators (the last one cannot be removed, and only another Administrator can reset a forgotten password).</t>
  </si>
  <si>
    <t>1. The first Administrator signs in, Home &gt; Users and roles &gt; 1, enters the colleague's DOMAIN\logon, display name and the role Administrator.</t>
  </si>
  <si>
    <t>2. The new Administrator opens the platform with macros enabled and signs in (Administrator sign-in): having no password yet, they set their own (at least 12 characters) and sign in with it from then on.</t>
  </si>
  <si>
    <t>3. Check: Users and roles shows both as active Administrators; the ActivityLog holds the SECURITY events of the addition and of the first sign-in.</t>
  </si>
  <si>
    <t>4. Each keeps the password in a password manager; a password reset (Users and roles &gt; 3) is done by the other.</t>
  </si>
  <si>
    <t>17. Location of the platform (3.2.0)</t>
  </si>
  <si>
    <t>The platform runs only from a local or network (UNC) folder. Opened from a web address (SharePoint / OneDrive in the browser, AutoSave) or from a folder that OneDrive / SharePoint synchronises - the workbook or any of its Source, Archive, Log and Export folders - the red banner says so and every command that changes data is refused: two synchronised copies of the store, the logs or the lock file would diverge. Move the platform folder to the share agreed with IT (section 7) and open it from there.</t>
  </si>
  <si>
    <t>Power Query privacy levels. The platform's queries combine the workbook (folders, parameters) with the files they read; the workbook therefore stores "ignore privacy levels" and the platform re-sets it at every open. If a machine policy enforces privacy levels for every file (Excel &gt; Data &gt; Get Data &gt; Query Options &gt; Privacy: *Always combine data according to your Privacy Level settings for each source*), Refresh stops with FIREWALL_BLOCKED: IT sets the option to *Combine data according to each file's Privacy Level settings* for the platform users. The two-minute check before go-live is item 1 of docs/guides/GO_LIVE_CHECKLIST.md; a redesign that survives the enforcement is planned for 3.3 (BL-65).</t>
  </si>
  <si>
    <t>18. Password window and raw view (3.2.0)</t>
  </si>
  <si>
    <t>• Password window. Sign-in uses the masked window frmPassword. If it is missing or damaged (for example re-imported without its .frx), sign-in is refused with a message and a SECURITY event; it never falls back to an unmasked box. Repair: in the VBA editor remove frmPassword, File &gt; Import File &gt; src\vba\frmPassword.frm (frmPassword.frx must be next to it), save.</t>
  </si>
  <si>
    <t>• Raw view (AN_RawView). Analysts, Preparers and Reviewers list the lines of several companies and months (whitelisted, non-personal columns only), reconcile them to the recorded batch totals and export them as CSV; Preparers and Reviewers may open a line's source file (its inbox copy for a closed month) after giving a reason. Every use is one ActivityLog row; the lines are removed before the file is saved and are never exported as PDF. Viewers and Administrators do not see the sheet.</t>
  </si>
  <si>
    <t>STORE_PAY.csv + ArchiveLog chain</t>
  </si>
  <si>
    <t>Every closed month is one batch (LoadBatch &lt;period&gt;-&lt;n&gt;) appended to &lt;ArchiveFolder&gt;\STORE_PAY.csv; only the platform writes it (Close, Backfill, Rebuild store), copy-and-swap, read-only between writes. New in 3.2 (replaces the monthly archive files).</t>
  </si>
  <si>
    <t>First month that must be in the store (one CURRENT batch per month).</t>
  </si>
  <si>
    <t>Store folder: STORE_PAY.csv, Inbox\&lt;LoadBatch&gt;\, controls files, Superseded\. Written by VBA. Renamed from LocalArchiveFolder in 3.0.</t>
  </si>
  <si>
    <t>deprecated</t>
  </si>
  <si>
    <t>Not used since 3.2 (no monthly archive file); kept only so that Re-open can move an archive file of an older installation. Removal: backlog 3.2.1.</t>
  </si>
  <si>
    <t>Written into every log event and controls file (3.2.0).</t>
  </si>
  <si>
    <t>Version of this contract (3.2).</t>
  </si>
  <si>
    <t>AN_Lags per-case view: first months of the data excluded (left-censoring). New in 3.2.</t>
  </si>
  <si>
    <t>File name of the store in ArchiveFolder (STORE_PAY.csv). New in 3.2.</t>
  </si>
  <si>
    <t>Header of the period column in the ALL file of a CUMULATIVE company. New in 3.2.</t>
  </si>
  <si>
    <t>text: SOURCE | INBOX</t>
  </si>
  <si>
    <t>Written by Backfill (SOURCE) and Rebuild store (INBOX). New in 3.2.</t>
  </si>
  <si>
    <t>First month of the running bulk chunk (0 when idle). New in 3.2.</t>
  </si>
  <si>
    <t>Last month of the running bulk chunk (0 when idle). New in 3.2.</t>
  </si>
  <si>
    <t>Months read per bulk refresh (Backfill, Rebuild store), default 12. New in 3.2.</t>
  </si>
  <si>
    <t>Y = Refresh All always refreshes DimCompany, DimDate and DimFXRate (default N: only when their inputs changed). New in 3.2.</t>
  </si>
  <si>
    <t>RawCompanies / RawFromPeriod / RawToPeriod / RawNature / RawCaseContains</t>
  </si>
  <si>
    <t>text / integer</t>
  </si>
  <si>
    <t>Written by Cmd_RawView (AN_RawView selection). New in 3.2.</t>
  </si>
  <si>
    <t>AN_RawView: maximum lines per Show lines (100,000). New in 3.2.</t>
  </si>
  <si>
    <t>ColumnMapLocked / ColumnMapSignature / ColumnMapLockedOn / ColumnMapLockedBy / ColumnMapApproval</t>
  </si>
  <si>
    <t>Column-map lock, written only by Cmd_LockColumnMap / Cmd_UnlockColumnMap; read by check COLUMNMAP_LOCK and by Close, Backfill, Rebuild store. New in 3.2.</t>
  </si>
  <si>
    <t>CompanyID, CompanyName, CompanyType, ExpectedFromPeriod, ExpectedToPeriod, Notes, SourceMode</t>
  </si>
  <si>
    <t>Companies and expected reporting window; CompanyID is text, compared exactly (P3-110); SourceMode FOLDER (default) or CUMULATIVE (3.2). Proposed by Setup.</t>
  </si>
  <si>
    <t>PeriodKey, ArchiveFile, ArchivedOn, ArchivedBy, PreparedBy, RecordedRows, RecordedHashTotal, RecordedGrossTRY, StatusAtClose, ReviewAtClose, ControlsFile, ArchiveState, SupersededOn, SupersededBy, SupersedeReason, Notes, CurrentRows, CurrentHashTotal, CurrentGrossTRY, ArchiveFiles, IntegrityStatus, LoadBatch, RecordedDigest, ChainHash, StoreSHA256, CurrentStoreRows, CurrentDigest, ModelRows, ModelGross, ModelGrossTRY</t>
  </si>
  <si>
    <t>One row per stored batch; written by Close, Backfill, Re-open, Rebuild store; ArchiveState CURRENT | SUPERSEDED; ChainHash = SHA-256 over the previous ChainHash and the batch's immutable fields; StoreSHA256 = SHA-256 of the store after the write (3.2). ArchiveFile names the batch (no file since 3.2).</t>
  </si>
  <si>
    <t>The 27 checks (3.2 adds RESTATEMENT, COMPANY_CHANGES, COLUMNMAP_LOCK); CheckID is the stable key; Severity BLOCKING | REVIEW | ADVISORY.</t>
  </si>
  <si>
    <t>One row of close-out values copied into ArchiveLog at close (ArchiveFile names the batch).</t>
  </si>
  <si>
    <t>Refresh order and role (FXFETCH, MODEL, STAGING, VIEW, SETUP, MANUAL, AUDIT, BULK, RAWVIEW).</t>
  </si>
  <si>
    <t>LoadBatch, PeriodKey, CompanyID, CurrencyCode, LineCount, DistinctCases, SourceFiles, GrossAmount, NetAmount, GrossAmountTRY, NetAmountTRY, FXRateMissingLines, ChronoViolationLines, DuplicateKeyLines, PaymentOutsidePeriodLines, RecordedOn</t>
  </si>
  <si>
    <t>Totals per batch x company x currency recorded when the batch enters the store (sheet STG_Store); the stored part of STG_Summary. New in 3.2.</t>
  </si>
  <si>
    <t>ThresholdID, KPI_ID, Segment, Company, Method, Parameters, WatchLevel, AlertLevel, MinMonths, MinN, Persistence, Rationale, Owner, ApprovedBy, ApprovedOn, Status</t>
  </si>
  <si>
    <t>Status rules of the analytics pages (DRAFT until approved). New in 3.2.</t>
  </si>
  <si>
    <t>Param, Value, Unit, Description, Owner</t>
  </si>
  <si>
    <t>Parameters of the analytics pages (sheet RefData). New in 3.2.</t>
  </si>
  <si>
    <t>KPI_ID, Family, Name_TR, Name_EN, Definition, Measure, FieldsUsed, Segments, Unit, ThresholdLink, HowToRead, TypicalAction, Caveats, FeedDependency, MinN, Owner, Version, Status, DAX</t>
  </si>
  <si>
    <t>KPI catalog (sheet KPI_Catalog). New in 3.2.</t>
  </si>
  <si>
    <t>tblMethod / tblSheetMap</t>
  </si>
  <si>
    <t>ID, Model, Pages, Status, KeyParameter, Card, Page / Sheet, Group, Purpose, Audience, Visibility, Owner, RefreshRole, Go</t>
  </si>
  <si>
    <t>Method index and sheet map (documentation sheets, Build-WP11). New in 3.2.</t>
  </si>
  <si>
    <t>FileName, FolderPath, DateModified, MatchStatus, Reason, CompanyID, PeriodKey, IsActivePeriod, FilesForCompanyPeriod, FileMode, DeliveryCheck</t>
  </si>
  <si>
    <t>Every file in the source folder with its recognition result; MatchStatus MATCHED | NEAR-MISS | MODE-MISMATCH | ... (3.2).</t>
  </si>
  <si>
    <t>FactPayment columns of the active period + the derived line columns, LoadBatch, StoreLine</t>
  </si>
  <si>
    <t>The reviewed lines of the active month, enriched against the stored keys; StoreLine is the exact store line written at close (3.2).</t>
  </si>
  <si>
    <t>Totals of the whole history: tblStoreSummary (CURRENT batches) + the active month (3.2: no store read).</t>
  </si>
  <si>
    <t>What Setup finds in the source folder (file-name parser).</t>
  </si>
  <si>
    <t>STG_Rejected</t>
  </si>
  <si>
    <t>FileName, CompanyID, PeriodKey, Rule, Lines, Reason, Action</t>
  </si>
  <si>
    <t>Rejected-lines log: files of the active delivery that will not enter the store (NOT LISTED, OUTSIDE WINDOW, NEAR-MISS, MODE MISMATCH). New in 3.2.</t>
  </si>
  <si>
    <t>STG_StoreHeader / STG_StoreAppend / STG_Restatement</t>
  </si>
  <si>
    <t>see sheet STG_Store</t>
  </si>
  <si>
    <t>Store header of the current dictionary; the lines a close will append; restatement check of CUMULATIVE files. New in 3.2.</t>
  </si>
  <si>
    <t>PeriodKey, LoadBatch, StoreRows, StoreDigest, HeaderOK, LogState</t>
  </si>
  <si>
    <t>Per-batch rows and CRC-32 re-read from the store; refreshed only by Verify log and Rebuild store (role AUDIT). New in 3.2.</t>
  </si>
  <si>
    <t>STG_BulkFiles / STG_Bulk</t>
  </si>
  <si>
    <t>Bulk build of Backfill and Rebuild store (role BULK). New in 3.2.</t>
  </si>
  <si>
    <t>qView_Raw</t>
  </si>
  <si>
    <t>PeriodKey, CompanyID, DataSource, LoadBatch, SourceFile, SourceRowNo, PaymentNature, CaseKey, amounts, flags + whitelisted model fields</t>
  </si>
  <si>
    <t>AN_RawView lines (store and active month); never saved with the workbook. New in 3.2.</t>
  </si>
  <si>
    <t>archChainStatus / archChainCheckedAt / archStoreStatus</t>
  </si>
  <si>
    <t>ArchiveLog chain and store-file SHA-256 verification, written by VBA at every refresh; read by ARCHIVE_INTEGRITY. New in 3.2.</t>
  </si>
  <si>
    <t>rdChecksum / rdChecksumAtRefresh / rdRefreshedOn / rdRefreshedBy</t>
  </si>
  <si>
    <t>Reference-data stamp (RefData row 3). New in 3.2.</t>
  </si>
  <si>
    <t>rfSig_DimCompany / rfSig_DimDate / rfSig_DimFXRate</t>
  </si>
  <si>
    <t>Input signatures of the small dimensions (refreshed only when changed). New in 3.2.</t>
  </si>
  <si>
    <t>an* (anNum, anSgn, anPct, anPctS, anMK, anPar, anThr, anSt, anZlog, anZsh, anAnom, anRank, ...)</t>
  </si>
  <si>
    <t>LAMBDA</t>
  </si>
  <si>
    <t>Worksheet LAMBDA names of the analytics pages (Turkish number text, status engine). New in 3.2.</t>
  </si>
  <si>
    <t>an&lt;PIVOT&gt;_&lt;column&gt; (anSM_*, anCASE_*, anTRI_*, ...)</t>
  </si>
  <si>
    <t>Columns of the AN_Calc helper pivots read by the pages. New in 3.2.</t>
  </si>
  <si>
    <t>Reviewer who did not submit the period: appends the month to the store (after checking rows and totals against tblCloseOut), copies its files to the inbox, controls file, SignOff CLOSED, ArchiveLog row with chain hash, ActivePeriod + 1, refresh (3.2).</t>
  </si>
  <si>
    <t>Administrator, exceptional: marks the batch SUPERSEDED (the store stays append-only), moves the controls file to Superseded, SignOff REOPENED, ActivePeriod = period.</t>
  </si>
  <si>
    <t>Administrator, once at installation: bulk-builds the store from the source folder, BulkChunkMonths months per refresh; restartable (3.2).</t>
  </si>
  <si>
    <t>Administrator: re-verifies the ActivityLog chain and re-reads every store batch (rows, CRC-32).</t>
  </si>
  <si>
    <t>Administrator: refreshes the static reference tables (MANUAL role) and re-stamps RefData. New in 3.2.</t>
  </si>
  <si>
    <t>(confirmText)</t>
  </si>
  <si>
    <t>Administrator, exceptional (typed REBUILD): rewrites the store from Archive\Inbox with the current dictionary layout; the old store moves to Superseded. New in 3.2.</t>
  </si>
  <si>
    <t>Cmd_LockColumnMap / Cmd_UnlockColumnMap</t>
  </si>
  <si>
    <t>(approval, confirmText) / (reason)</t>
  </si>
  <si>
    <t>Administrator: lock the approved column map (typed LOCK) / unlock with a reason (severity HIGH). New in 3.2.</t>
  </si>
  <si>
    <t>Cmd_RawView / Cmd_RawExport / Cmd_OpenSourceFile</t>
  </si>
  <si>
    <t>(companies, from, to, nature, case) / () / (reason, row)</t>
  </si>
  <si>
    <t>Analyst, Preparer, Reviewer: AN_RawView lines and CSV export; Preparer, Reviewer: open a line's source file with a reason. New in 3.2.</t>
  </si>
  <si>
    <t>&lt;ArchiveFilePrefix&gt;&lt;YYYYMM&gt;&lt;FileExtension&gt;</t>
  </si>
  <si>
    <t>Removed in 3.2: the store replaces the monthly archive files (no production archive existed, BL-51).</t>
  </si>
  <si>
    <t>&lt;ArchiveFolder&gt;\&lt;StoreFileName&gt;; UTF-8 without BOM, CRLF, RFC 4180, header = STG_StoreHeader; platform columns, model fields, frozen FX and derived columns, RowHash</t>
  </si>
  <si>
    <t>csv</t>
  </si>
  <si>
    <t>Append-only payments store, read-only between writes; integrity: ArchiveLog chain + StoreSHA256 + per-batch CRC-32 (Verify log). New in 3.2.</t>
  </si>
  <si>
    <t>Inbox</t>
  </si>
  <si>
    <t>&lt;ArchiveFolder&gt;\Inbox\&lt;LoadBatch&gt;\&lt;source file&gt;</t>
  </si>
  <si>
    <t>Read-only copies of the stored source files; the only input of Rebuild store; never deleted. New in 3.2.</t>
  </si>
  <si>
    <t>grain: one payment line (store CURRENT batches + the reviewed active month)</t>
  </si>
  <si>
    <t>Breaking 3.2</t>
  </si>
  <si>
    <t>Archive file (ARCHIVE_PAY_&lt;YYYYMM&gt;.xlsx)</t>
  </si>
  <si>
    <t>STORE_PAY.csv + Inbox</t>
  </si>
  <si>
    <t>file</t>
  </si>
  <si>
    <t>Closed months live in the store; fnConformArchive and qStd_Archive are retired.</t>
  </si>
  <si>
    <t>RESTATEMENT, COMPANY_CHANGES, COLUMNMAP_LOCK</t>
  </si>
  <si>
    <t>Three checks added (27 in total).</t>
  </si>
  <si>
    <t>Cmd_ClosePeriod, Cmd_Backfill, Cmd_RebuildStore</t>
  </si>
  <si>
    <t>Refuse to run while the column map is unlocked or changed (BLOCKED).</t>
  </si>
  <si>
    <t>Company IDs</t>
  </si>
  <si>
    <t>convention</t>
  </si>
  <si>
    <t>Compared exactly as listed; a zero-padded twin is a NEAR-MISS, never a new company.</t>
  </si>
  <si>
    <t>PaymentVoucherNo, CaseNo, PaymentLineID, LineKey, ArchiveFile</t>
  </si>
  <si>
    <t>model columns</t>
  </si>
  <si>
    <t>No longer loaded into the Data Model (still in the store and the raw view where they are dictionary fields).</t>
  </si>
  <si>
    <t>Interface contract (tblContract) - version 3.2</t>
  </si>
  <si>
    <t>The public interface of the platform: conventions, parameters, tables, named cells, commands, files and the Data Model that other tools (a desktop front end, Power BI, audit scripts) may rely on. Renaming or removing an item is a breaking change; the 3.2 and 3.0 breaking changes are listed at the end. Exported by Cmd_ExportSourceCode to src/contract/interface_contract.csv. Last verified against build dev_docs_20261005.</t>
  </si>
  <si>
    <t>s:Every month since ArchiveStartPeriod is stored as one CURRENT batch: by Close period (Cmd_ClosePeriod) or, at installation, by Backfill history. Never type ArchiveLog rows; a gap is handled with Backfill (before the first close) or the re-open procedure (Technical_Guide, period management).</t>
  </si>
  <si>
    <t>s:ArchiveLog: IntegrityStatus per batch; archChainStatus (X3) and archStoreStatus (AD3) name the difference. The store file, the chain and the model totals must equal what was recorded at each write. Never edit STORE_PAY.csv or ArchiveLog to make them match: an Administrator runs Verify log and follows the store runbook (rebuild from the inbox, or restore the workbook and the Archive folder of the same day).</t>
  </si>
  <si>
    <t>s:ActivePeriod has no CURRENT ArchiveLog batch (the month is not already stored).</t>
  </si>
  <si>
    <t>s:Close period rolls ActivePeriod forward automatically. To change a closed month use Re-open (Cmd_ReopenPeriod), which marks its stored batch SUPERSEDED; never set ActivePeriod back by hand.</t>
  </si>
  <si>
    <t>s:A stored month does not match its record (ARCHIVE_INTEGRITY).</t>
  </si>
  <si>
    <t>s:{0} dönemi kapatılsın mı?
Hazırlayan: {1}; kapatan: {2}.
Ay depoya eklenir (sonradan değiştirilemez) ve aktif dönem bir sonraki açık aya geçer.</t>
  </si>
  <si>
    <t>s:Close {0}?
Prepared by {1}; you close as {2}.
The month is appended to the store (it cannot change afterwards) and the active period moves to the next open month.</t>
  </si>
  <si>
    <t>s:{0} dönemi kapatılsın mı?
Hazırlayan: {1}; kapatan: {2}.
Ay depoya eklenir (sonradan değiştirilemez) ve aktif dönem bir sonraki açık aya geçer.
Close {0}?
Prepared by {1}; you close as {2}.
The month is appended to the store (it cannot change afterwards) and the active period moves to the next open month.</t>
  </si>
  <si>
    <t>s:Yeniden açılacak ay (YYYYMM). İstisnai bir işlemdir: depodaki partisi SUPERSEDED olarak işaretlenir (silinmez) ve ay yeniden kapatılmalıdır.</t>
  </si>
  <si>
    <t>s:Month to re-open (YYYYMM). This is exceptional: its stored batch is marked SUPERSEDED (never deleted) and the month must be closed again.</t>
  </si>
  <si>
    <t>s:Yeniden açılacak ay (YYYYMM). İstisnai bir işlemdir: depodaki partisi SUPERSEDED olarak işaretlenir (silinmez) ve ay yeniden kapatılmalıdır.
Month to re-open (YYYYMM). This is exceptional: its stored batch is marked SUPERSEDED (never deleted) and the month must be closed again.</t>
  </si>
  <si>
    <t>Carry ten years of monthly payments in one workbook within an accepted refresh time; give the actuarial team defensible paid-only indicators with documented methods and DRAFT thresholds; make the installation safe on corporate machines.</t>
  </si>
  <si>
    <t>Contract 3.2: archive files ARCHIVE_PAY_&lt;YYYYMM&gt;.xlsx removed (ArchiveFilePrefix deprecated); Close, Backfill and Rebuild store need the locked column map; company IDs compared exactly; PaymentVoucherNo, CaseNo, PaymentLineID, LineKey, ArchiveFile no longer in the Data Model. No upgrade path from 3.0.0 with closed months (none exist).</t>
  </si>
  <si>
    <t>2026-10-05</t>
  </si>
  <si>
    <t>Consolidated append-only payments store replaces the monthly archive files (batches, integrity chain, inbox, Rebuild store); cumulative source mode with the RESTATEMENT block; near-miss and rejected-lines handling; analytics layer for Life, Pension and Non-life (15 pages on the Data Model: executive pages, trend and forecast, paid triangle, lags, severity, limits, anomaly and watchlist, raw view, backtest, dispersion, tail fit; KPI catalog, threshold register, model cards); hardening (location guard, column-map lock, privacy-level guard, password-form check); role guides, sheet map and interface contract 3.2. 3.2.0-RC1 (2026-10-05): AN_Watchlist error values at 120 months fixed (BL-75), dead archive-file code removed (BL-67).</t>
  </si>
  <si>
    <t>Store and Archive folder, STG_* queries, FactPayment, tblArchiveLog, tblControl (27 checks), AN_* pages and AN_Calc, KPI_Catalog, Threshold_Register, RefData, Method_Index, Method_Cards, Sheet_Map, Interface_Contract, mod_Store, mod_ColumnMap, mod_Cmd, mod_Archive, mod_Session, mod_Security</t>
  </si>
  <si>
    <t>s:2026-10-05</t>
  </si>
  <si>
    <t>s:Consolidated append-only payments store replaces the monthly archive files (batches, integrity chain, inbox, Rebuild store); cumulative source mode with the RESTATEMENT block; near-miss and rejected-lines handling; analytics layer for Life, Pension and Non-life (15 pages on the Data Model: executive pages, trend and forecast, paid triangle, lags, severity, limits, anomaly and watchlist, raw view, backtest, dispersion, tail fit; KPI catalog, threshold register, model cards); hardening (location guard, column-map lock, privacy-level guard, password-form check); role guides, sheet map and interface contract 3.2. 3.2.0-RC1 (2026-10-05): AN_Watchlist error values at 120 months fixed (BL-75), dead archive-file code removed (BL-67).</t>
  </si>
  <si>
    <t>s:Carry ten years of monthly payments in one workbook within an accepted refresh time; give the actuarial team defensible paid-only indicators with documented methods and DRAFT thresholds; make the installation safe on corporate machines.</t>
  </si>
  <si>
    <t>s:Store and Archive folder, STG_* queries, FactPayment, tblArchiveLog, tblControl (27 checks), AN_* pages and AN_Calc, KPI_Catalog, Threshold_Register, RefData, Method_Index, Method_Cards, Sheet_Map, Interface_Contract, mod_Store, mod_ColumnMap, mod_Cmd, mod_Archive, mod_Session, mod_Security</t>
  </si>
  <si>
    <t>s:Contract 3.2: archive files ARCHIVE_PAY_&lt;YYYYMM&gt;.xlsx removed (ArchiveFilePrefix deprecated); Close, Backfill and Rebuild store need the locked column map; company IDs compared exactly; PaymentVoucherNo, CaseNo, PaymentLineID, LineKey, ArchiveFile no longer in the Data Model. No upgrade path from 3.0.0 with closed months (none exist).</t>
  </si>
  <si>
    <t>{0} yeniden açılsın mı? Depodaki partisi SUPERSEDED olarak işaretlenir (silinmez), kontrol dosyası Superseded klasörüne TAŞINIR ve aktif dönem {0} olur.</t>
  </si>
  <si>
    <t>Re-open {0}? Its stored batch is marked SUPERSEDED (never deleted), its controls file is MOVED to Superseded and the active period becomes {0}.</t>
  </si>
  <si>
    <t>GATE_HARD_REVIEW</t>
  </si>
  <si>
    <t>{0} in REVIEW: these checks can never be explained away; the cause must be resolved (Administrator)</t>
  </si>
  <si>
    <t>{0} REVIEW durumunda: bu kontroller açıklama ile geçilemez; nedeni giderilmeli (Yönetici)</t>
  </si>
  <si>
    <t>s:{0} yeniden açılsın mı? Depodaki partisi SUPERSEDED olarak işaretlenir (silinmez), kontrol dosyası Superseded klasörüne TAŞINIR ve aktif dönem {0} olur.</t>
  </si>
  <si>
    <t>s:Re-open {0}? Its stored batch is marked SUPERSEDED (never deleted), its controls file is MOVED to Superseded and the active period becomes {0}.</t>
  </si>
  <si>
    <t>s:{0} yeniden açılsın mı? Depodaki partisi SUPERSEDED olarak işaretlenir (silinmez), kontrol dosyası Superseded klasörüne TAŞINIR ve aktif dönem {0} olur.
Re-open {0}? Its stored batch is marked SUPERSEDED (never deleted), its controls file is MOVED to Superseded and the active period becomes {0}.</t>
  </si>
  <si>
    <t>s:GATE_HARD_REVIEW</t>
  </si>
  <si>
    <t>s:{0} REVIEW durumunda: bu kontroller açıklama ile geçilemez; nedeni giderilmeli (Yönetici)</t>
  </si>
  <si>
    <t>s:{0} in REVIEW: these checks can never be explained away; the cause must be resolved (Administrator)</t>
  </si>
  <si>
    <t>s:{0} REVIEW durumunda: bu kontroller açıklama ile geçilemez; nedeni giderilmeli (Yönetici)
{0} in REVIEW: these checks can never be explained away; the cause must be resolved (Administrator)</t>
  </si>
  <si>
    <t>Last verified against build: dev_rc1_20261005 (release candidate 3.2.0-RC1, store design), 2026-10-05. Step-by-step role guides: docs/guides (PREPARER, REVIEWER).</t>
  </si>
  <si>
    <t>• A cumulative file changed a closed month (RESTATEMENT): the close is blocked and no explanation opens it; the Administrator re-opens that month or the company corrects its file (docs/guides/CUMULATIVE_COMPANY.md).</t>
  </si>
  <si>
    <t>Last verified against build: dev_rc1_20261005 (development copy, release candidate 3.2.0-RC1, store design), 2026-10-05.</t>
  </si>
  <si>
    <t>Last verified against build: dev_rc1_20261005 (release candidate 3.2.0-RC1), 2026-10-05.</t>
  </si>
  <si>
    <t>3. ControlPanel: STG_CURRENT must be OK first. Work every REVIEW from the top: the Finding says what is wrong, the Action says where to look (docs/guides/CONTROLS.md, by check). Fix it at the source (ask for a corrected or renamed file, record a nil return; a new header or company is handled by an Administrator), then Refresh again. A file that will not enter the store is listed with its reason in STG_Rejected; it must leave the delivery folder (the Administrator moves it out, or corrects the company list) before the close.</t>
  </si>
  <si>
    <t>4. A REVIEW you accept instead of fixing: write what, why and who approved it in column Explanation. Your Windows name, the time and the period are stamped next to it. ADVISORY items (amber) never block. RESTATEMENT, ARCHIVE_INTEGRITY, COLUMNMAP_LOCK, LOG_INTEGRITY, PRIVACY and FILES_UNEXPECTED can never be explained away: while one of them is REVIEW the close gate stays BLOCKED whatever the explanation (3.2.0-RC1); call an Administrator.</t>
  </si>
  <si>
    <t>• Close gate (cpCloseGate). OPEN when STG_CURRENT is OK and every BLOCKING check is OK or explained for the active period. Six checks can never be explained away (3.2.0-RC1, DECISIONS_P3 P3-138): while RESTATEMENT, ARCHIVE_INTEGRITY, COLUMNMAP_LOCK, LOG_INTEGRITY, PRIVACY or FILES_UNEXPECTED is REVIEW the gate stays BLOCKED with the bilingual message GATE_HARD_REVIEW, whatever the explanation. ADVISORY checks never block.</t>
  </si>
  <si>
    <t>OPEN... or BLOCKED: reason. Read by Cmd_SubmitForReview and Cmd_ClosePeriod. BLOCKED while RESTATEMENT, ARCHIVE_INTEGRITY, COLUMNMAP_LOCK, LOG_INTEGRITY, PRIVACY or FILES_UNEXPECTED is REVIEW, whatever the explanation (3.2.0-RC1).</t>
  </si>
  <si>
    <t>Every check resolves to OK, REVIEW or ADVISORY. The month can be submitted and closed when the close gate is OPEN: every BLOCKING check OK, or every REVIEW explained for this period in column Explanation. ADVISORY items (amber) never block and are listed in the closing pack. Work top-down, STG_CURRENT first. Never accepted as explained: RESTATEMENT, ARCHIVE_INTEGRITY, COLUMNMAP_LOCK, LOG_INTEGRITY, PRIVACY, FILES_UNEXPECTED (resolve the cause).</t>
  </si>
  <si>
    <t>OK (0 batch(es))</t>
  </si>
  <si>
    <t>release build</t>
  </si>
  <si>
    <t>NOT INITIALISED</t>
  </si>
  <si>
    <t>zEVme8LjYiUUv74XD36y1JlibCfZfIV4</t>
  </si>
  <si>
    <t>2026-09</t>
  </si>
  <si>
    <t>2026-10</t>
  </si>
  <si>
    <t>2026-11</t>
  </si>
  <si>
    <t>2026-12</t>
  </si>
  <si>
    <t>2027-01</t>
  </si>
  <si>
    <t>2027-02</t>
  </si>
  <si>
    <t>2027-03</t>
  </si>
  <si>
    <t>2027-04</t>
  </si>
  <si>
    <t>2027-05</t>
  </si>
  <si>
    <t>2027-06</t>
  </si>
  <si>
    <t>2027-07</t>
  </si>
  <si>
    <t>2027-08</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</si>
  <si>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</si>
  <si>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</si>
  <si>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</si>
  <si>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</si>
  <si>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</si>
  <si>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</si>
  <si>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</si>
  <si>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</si>
  <si>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</si>
  <si>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</si>
  <si>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</si>
  <si>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</si>
  <si>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</si>
  <si>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</si>
  <si>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</si>
  <si>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</si>
  <si>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</si>
  <si>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</si>
  <si>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</si>
  <si>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</si>
  <si>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</si>
  <si>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</si>
  <si>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</si>
  <si>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</si>
  <si>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</si>
  <si>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</si>
  <si>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</si>
  <si>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</si>
  <si>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</si>
  <si>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</si>
  <si>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</si>
  <si>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</si>
  <si>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</si>
  <si>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</si>
  <si>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</si>
  <si>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</si>
  <si>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</si>
  <si>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</si>
  <si>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</si>
  <si>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</si>
  <si>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</si>
  <si>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</si>
  <si>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</si>
  <si>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</si>
  <si>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</si>
  <si>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</si>
  <si>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</si>
  <si>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</si>
  <si>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</si>
  <si>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</si>
  <si>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</si>
  <si>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</si>
  <si>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</si>
  <si>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</si>
  <si>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</si>
  <si>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</si>
  <si>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</si>
  <si>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</si>
  <si>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</si>
  <si>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</si>
  <si>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</si>
  <si>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</si>
  <si>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</si>
  <si>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</si>
  <si>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</si>
  <si>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</si>
  <si>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</si>
  <si>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</si>
  <si>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</si>
  <si>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</si>
  <si>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</si>
  <si>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</si>
  <si>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</si>
  <si>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</si>
  <si>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</si>
  <si>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</si>
  <si>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</si>
  <si>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</si>
  <si>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</si>
  <si>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</si>
  <si>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</si>
  <si>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</si>
  <si>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</si>
  <si>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</si>
  <si>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</si>
  <si>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</si>
  <si>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</si>
  <si>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</si>
  <si>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</si>
  <si>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</si>
  <si>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</si>
  <si>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</si>
  <si>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</si>
  <si>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</si>
  <si>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</si>
  <si>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</si>
  <si>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</si>
  <si>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</si>
  <si>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</si>
  <si>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</si>
  <si>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</si>
  <si>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</si>
  <si>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</si>
  <si>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</si>
  <si>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</si>
  <si>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</si>
  <si>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</si>
  <si>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</si>
  <si>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</si>
  <si>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</si>
  <si>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</si>
  <si>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</si>
  <si>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</si>
  <si>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</si>
  <si>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</si>
  <si>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</si>
  <si>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</si>
  <si>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</si>
  <si>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</si>
  <si>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</si>
  <si>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</si>
  <si>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</si>
  <si>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</si>
  <si>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</si>
  <si>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</si>
  <si>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</si>
  <si>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</si>
  <si>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</si>
  <si>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</si>
  <si>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</si>
  <si>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</si>
  <si>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</si>
  <si>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</si>
  <si>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</si>
  <si>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</si>
  <si>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</si>
  <si>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</si>
  <si>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</si>
  <si>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</si>
  <si>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</si>
  <si>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</si>
  <si>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</si>
  <si>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</si>
  <si>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</si>
  <si>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</si>
  <si>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</si>
  <si>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</si>
  <si>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</si>
  <si>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</si>
  <si>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</si>
  <si>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</si>
  <si>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</si>
  <si>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</si>
  <si>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</si>
  <si>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</si>
  <si>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</si>
  <si>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</si>
  <si>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</si>
  <si>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</si>
  <si>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</si>
  <si>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</si>
  <si>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</si>
  <si>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</si>
  <si>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</si>
  <si>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</si>
  <si>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</si>
  <si>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</si>
  <si>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</si>
  <si>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</si>
  <si>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</si>
  <si>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</si>
  <si>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</si>
  <si>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</si>
  <si>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</si>
  <si>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</si>
  <si>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</si>
  <si>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</si>
  <si>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</si>
  <si>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</si>
  <si>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</si>
  <si>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</si>
  <si>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</si>
  <si>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</si>
  <si>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</si>
  <si>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</si>
  <si>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</si>
  <si>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</si>
  <si>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</si>
  <si>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</si>
  <si>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</si>
  <si>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</si>
  <si>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</si>
  <si>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</si>
  <si>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</si>
  <si>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</si>
  <si>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</si>
  <si>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</si>
  <si>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</si>
  <si>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</si>
  <si>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</si>
  <si>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</si>
  <si>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</si>
  <si>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</si>
  <si>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</si>
  <si>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</si>
  <si>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</si>
  <si>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</si>
  <si>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</si>
  <si>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</si>
  <si>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</si>
  <si>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</si>
  <si>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</si>
  <si>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</si>
  <si>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</si>
  <si>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</si>
  <si>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</si>
  <si>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</si>
  <si>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</si>
  <si>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</si>
  <si>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</si>
  <si>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</si>
  <si>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</si>
  <si>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</si>
  <si>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</si>
  <si>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</si>
  <si>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</si>
  <si>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</si>
  <si>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</si>
  <si>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</si>
  <si>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</si>
  <si>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</si>
  <si>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</si>
  <si>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</si>
  <si>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</si>
  <si>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</si>
  <si>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</si>
  <si>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</si>
  <si>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</si>
  <si>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</si>
  <si>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</si>
  <si>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</si>
  <si>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</si>
  <si>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</si>
  <si>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</si>
  <si>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</si>
  <si>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</si>
  <si>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</si>
  <si>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</si>
  <si>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</si>
  <si>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</si>
  <si>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</si>
  <si>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</si>
  <si>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</si>
  <si>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</si>
  <si>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</si>
  <si>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</si>
  <si>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</si>
  <si>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</si>
  <si>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</si>
  <si>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</si>
  <si>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</si>
  <si>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</si>
  <si>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</si>
  <si>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</si>
  <si>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</si>
  <si>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</si>
  <si>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</si>
  <si>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</si>
  <si>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</si>
  <si>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</si>
  <si>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</si>
  <si>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</si>
  <si>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</si>
  <si>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</si>
  <si>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</si>
  <si>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</si>
  <si>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</si>
  <si>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</si>
  <si>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</si>
  <si>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</si>
  <si>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</si>
  <si>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</si>
  <si>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</si>
  <si>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</si>
  <si>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2027-09</t>
  </si>
  <si>
    <t>2027-10</t>
  </si>
  <si>
    <t>2027-11</t>
  </si>
  <si>
    <t>2027-12</t>
  </si>
  <si>
    <t>2028-01</t>
  </si>
  <si>
    <t>2028-02</t>
  </si>
  <si>
    <t>2028-03</t>
  </si>
  <si>
    <t>2028-04</t>
  </si>
  <si>
    <t>2028-05</t>
  </si>
  <si>
    <t>2028-06</t>
  </si>
  <si>
    <t>2028-07</t>
  </si>
  <si>
    <t>2028-08</t>
  </si>
  <si>
    <t>2028-09</t>
  </si>
  <si>
    <t>2028-10</t>
  </si>
  <si>
    <t>2028-11</t>
  </si>
  <si>
    <t>2028-12</t>
  </si>
  <si>
    <t>2029-01</t>
  </si>
  <si>
    <t>2029-02</t>
  </si>
  <si>
    <t>2029-03</t>
  </si>
  <si>
    <t>2029-04</t>
  </si>
  <si>
    <t>2029-05</t>
  </si>
  <si>
    <t>2029-06</t>
  </si>
  <si>
    <t>2029-07</t>
  </si>
  <si>
    <t>2029-08</t>
  </si>
  <si>
    <t>2029-09</t>
  </si>
  <si>
    <t>2029-10</t>
  </si>
  <si>
    <t>2029-11</t>
  </si>
  <si>
    <t>2029-12</t>
  </si>
  <si>
    <t>2030-01</t>
  </si>
  <si>
    <t>2030-02</t>
  </si>
  <si>
    <t>2030-03</t>
  </si>
  <si>
    <t>2030-04</t>
  </si>
  <si>
    <t>2030-05</t>
  </si>
  <si>
    <t>2030-06</t>
  </si>
  <si>
    <t>2030-07</t>
  </si>
  <si>
    <t>2030-08</t>
  </si>
  <si>
    <t>2030-09</t>
  </si>
  <si>
    <t>2030-10</t>
  </si>
  <si>
    <t>2030-11</t>
  </si>
  <si>
    <t>2030-12</t>
  </si>
  <si>
    <t>s:No data yet - complete Setup (Home).</t>
  </si>
  <si>
    <t>s:All 0 expected companies delivered a file or a nil return for 0.</t>
  </si>
  <si>
    <t>s:Each company file for 0 exists exactly once in the source location.</t>
  </si>
  <si>
    <t>s:No payment lines loaded for 0 yet - nothing to reconcile (see FILES_EXPECTED and MAPPING_DQ).</t>
  </si>
  <si>
    <t>s:All payment dates fall in 0 and all dates lie inside 2000-2030.</t>
  </si>
  <si>
    <t>s:No mapping or conversion issue (0 INFO item(s) for awareness).</t>
  </si>
  <si>
    <t>s:No payment line of 0 reaches 5,000,000 TRY.</t>
  </si>
  <si>
    <t>s:No closed month is due yet (ArchiveStartPeriod = active period).</t>
  </si>
  <si>
    <t>s:No closed month logged yet - nothing to compare.</t>
  </si>
  <si>
    <t>s:0 is an open month (not in the archive).</t>
  </si>
  <si>
    <t>s:Every expected company has data or a nil return in every closed month since 202409.</t>
  </si>
  <si>
    <t>s:ActivityLog chain intact and every workbook event has its identical external copy (0 external file(s)).</t>
  </si>
  <si>
    <t>s:Kolon haritası kilitli değil / The column map is not locked: Backfill, Close and Rebuild store are blocked.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</si>
</sst>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yyyy\-mm\-dd"/>
    <numFmt numFmtId="165" formatCode="#,##0.0000"/>
    <numFmt numFmtId="166" formatCode="#,##0.00;\(#,##0.00\);&quot;-&quot;"/>
    <numFmt numFmtId="167" formatCode="yyyy\-mm\-dd\ hh:mm"/>
    <numFmt numFmtId="168" formatCode="0.0%"/>
    <numFmt numFmtId="169" formatCode="#,##0.0"/>
    <numFmt numFmtId="170" formatCode="yyyy\-mm\-dd\ hh:mm:ss"/>
    <numFmt numFmtId="171" formatCode="\+0.0%;\-0.0%;0.0%"/>
    <numFmt numFmtId="173" formatCode="#,##0.0%;\-#,##0.0%;#,##0.0%"/>
    <numFmt numFmtId="174" formatCode="#,##0.0,,"/>
    <numFmt numFmtId="175" formatCode="\+0.0%;\-0.0%"/>
    <numFmt numFmtId="176" formatCode="0.000"/>
    <numFmt numFmtId="177" formatCode="#,##0,"/>
    <numFmt numFmtId="178" formatCode="0.0"/>
  </numFmts>
  <fonts count="84">
    <font>
      <sz val="10"/>
      <color theme="1"/>
      <name val="Arial"/>
      <family val="2"/>
    </font>
    <font>
      <b/>
      <sz val="16"/>
      <color rgb="FF1F3864"/>
      <name val="Arial"/>
    </font>
    <font>
      <i/>
      <sz val="10"/>
      <color rgb="FF595959"/>
      <name val="Arial"/>
    </font>
    <font>
      <b/>
      <sz val="11"/>
      <color rgb="FFFFFFFF"/>
      <name val="Arial"/>
    </font>
    <font>
      <b/>
      <sz val="10"/>
      <color rgb="FFFFFFFF"/>
      <name val="Arial"/>
    </font>
    <font>
      <sz val="10"/>
      <color rgb="FF0000FF"/>
      <name val="Arial"/>
    </font>
    <font>
      <b/>
      <sz val="10"/>
      <color rgb="FF000000"/>
      <name val="Arial"/>
    </font>
    <font>
      <sz val="10"/>
      <color rgb="FF000000"/>
      <name val="Arial"/>
    </font>
    <font>
      <sz val="10"/>
      <color rgb="FF008000"/>
      <name val="Arial"/>
    </font>
    <font>
      <b/>
      <sz val="14"/>
      <color rgb="FF1F3864"/>
      <name val="Arial"/>
    </font>
    <font>
      <sz val="10"/>
      <color rgb="FF1F3864"/>
      <name val="Arial"/>
    </font>
    <font>
      <b/>
      <sz val="10"/>
      <color rgb="FF1F3864"/>
      <name val="Arial"/>
    </font>
    <font>
      <b/>
      <sz val="10"/>
      <color rgb="FF008000"/>
      <name val="Arial"/>
    </font>
    <font>
      <b/>
      <sz val="10"/>
      <color rgb="FF595959"/>
      <name val="Arial"/>
    </font>
    <font>
      <b/>
      <sz val="11"/>
      <color rgb="FF1F3864"/>
      <name val="Arial"/>
    </font>
    <font>
      <i/>
      <sz val="10"/>
      <color rgb="FF000000"/>
      <name val="Arial"/>
    </font>
    <font>
      <sz val="10"/>
      <color theme="1"/>
      <name val="Arial"/>
    </font>
    <font>
      <sz val="8"/>
      <name val="Arial"/>
      <family val="2"/>
    </font>
    <font>
      <i/>
      <sz val="10"/>
      <color theme="1"/>
      <name val="Arial"/>
      <family val="2"/>
    </font>
    <font>
      <b/>
      <sz val="10"/>
      <color theme="1"/>
      <name val="Arial"/>
      <family val="2"/>
    </font>
    <font>
      <b/>
      <sz val="10"/>
      <color rgb="FF000000"/>
      <name val="Arial"/>
      <family val="2"/>
    </font>
    <font>
      <sz val="10"/>
      <color rgb="FF000000"/>
      <name val="Arial"/>
      <family val="2"/>
    </font>
    <font>
      <sz val="10"/>
      <color rgb="FF0000FF"/>
      <name val="Arial"/>
      <family val="2"/>
    </font>
    <font>
      <b/>
      <sz val="10"/>
      <color rgb="FFFFFFFF"/>
      <name val="Arial"/>
      <family val="2"/>
    </font>
    <font>
      <b/>
      <sz val="16"/>
      <color rgb="FF1F3864"/>
      <name val="Arial"/>
      <family val="2"/>
    </font>
    <font>
      <i/>
      <sz val="10"/>
      <color rgb="FF595959"/>
      <name val="Arial"/>
      <family val="2"/>
    </font>
    <font>
      <b/>
      <sz val="11"/>
      <color theme="1"/>
      <name val="Arial"/>
      <family val="2"/>
    </font>
    <font>
      <b/>
      <sz val="11"/>
      <color rgb="FFFFFFFF"/>
      <name val="Arial"/>
      <family val="2"/>
    </font>
    <font>
      <sz val="10"/>
      <color rgb="FF008000"/>
      <name val="Arial"/>
      <family val="2"/>
    </font>
    <font>
      <b/>
      <sz val="20"/>
      <color theme="1"/>
      <name val="Arial"/>
      <family val="2"/>
    </font>
    <font>
      <sz val="10"/>
      <color rgb="FF595959"/>
      <name val="Arial"/>
      <family val="2"/>
    </font>
    <font>
      <i/>
      <sz val="8"/>
      <color rgb="FF595959"/>
      <name val="Arial"/>
      <family val="2"/>
    </font>
    <font>
      <b/>
      <sz val="18"/>
      <color theme="1"/>
      <name val="Arial"/>
      <family val="2"/>
    </font>
    <font>
      <i/>
      <sz val="8"/>
      <color rgb="FF9C0006"/>
      <name val="Arial"/>
      <family val="2"/>
    </font>
    <font>
      <b/>
      <sz val="14"/>
      <color theme="1"/>
      <name val="Arial"/>
      <family val="2"/>
    </font>
    <font>
      <sz val="9"/>
      <color theme="1"/>
      <name val="Arial"/>
      <family val="2"/>
    </font>
    <font>
      <b/>
      <sz val="20"/>
      <color rgb="FF1F3864"/>
      <name val="Arial"/>
      <family val="2"/>
    </font>
    <font>
      <sz val="9"/>
      <color rgb="FF595959"/>
      <name val="Arial"/>
      <family val="2"/>
    </font>
    <font>
      <sz val="10"/>
      <color rgb="FF006100"/>
      <name val="Arial"/>
      <family val="2"/>
    </font>
    <font>
      <sz val="10"/>
      <color rgb="FF9C0006"/>
      <name val="Arial"/>
      <family val="2"/>
    </font>
    <font>
      <sz val="10"/>
      <color rgb="FF9C6500"/>
      <name val="Arial"/>
      <family val="2"/>
    </font>
    <font>
      <sz val="10"/>
      <color rgb="FF1F4E79"/>
      <name val="Arial"/>
      <family val="2"/>
    </font>
    <font>
      <b/>
      <sz val="11"/>
      <color rgb="FF9C6500"/>
      <name val="Arial"/>
      <family val="2"/>
    </font>
    <font>
      <b/>
      <sz val="10"/>
      <color rgb="FF9C6500"/>
      <name val="Arial"/>
      <family val="2"/>
    </font>
    <font>
      <sz val="11"/>
      <color theme="1"/>
      <name val="Arial"/>
      <family val="2"/>
    </font>
    <font>
      <i/>
      <sz val="11"/>
      <color rgb="FF595959"/>
      <name val="Arial"/>
      <family val="2"/>
    </font>
    <font>
      <b/>
      <sz val="13"/>
      <color rgb="FF9C0006"/>
      <name val="Arial"/>
      <family val="2"/>
    </font>
    <font>
      <b/>
      <sz val="18"/>
      <color rgb="FF1F3864"/>
      <name val="Arial"/>
      <family val="2"/>
    </font>
    <font>
      <u/>
      <sz val="10"/>
      <color theme="10"/>
      <name val="Arial"/>
      <family val="2"/>
    </font>
    <font>
      <b/>
      <sz val="10"/>
      <color theme="10"/>
      <name val="Arial"/>
      <family val="2"/>
    </font>
    <font>
      <b/>
      <sz val="10"/>
      <color rgb="FF1F3864"/>
      <name val="Arial"/>
      <family val="2"/>
    </font>
    <font>
      <sz val="8"/>
      <color rgb="FF595959"/>
      <name val="Arial"/>
      <family val="2"/>
    </font>
    <font>
      <b/>
      <sz val="14"/>
      <color rgb="FF1F3864"/>
      <name val="Arial"/>
      <family val="2"/>
    </font>
    <font>
      <b/>
      <sz val="11"/>
      <color rgb="FF808080"/>
      <name val="Arial"/>
      <family val="2"/>
    </font>
    <font>
      <u/>
      <sz val="8"/>
      <color rgb="FF0070C0"/>
      <name val="Arial"/>
      <family val="2"/>
    </font>
    <font>
      <b/>
      <sz val="9"/>
      <color theme="1"/>
      <name val="Arial"/>
      <family val="2"/>
    </font>
    <font>
      <b/>
      <sz val="8"/>
      <color rgb="FF1F3864"/>
      <name val="Arial"/>
      <family val="2"/>
    </font>
    <font>
      <b/>
      <sz val="8"/>
      <color theme="1"/>
      <name val="Arial"/>
      <family val="2"/>
    </font>
    <font>
      <sz val="8"/>
      <color theme="1"/>
      <name val="Arial"/>
      <family val="2"/>
    </font>
    <font>
      <b/>
      <sz val="8"/>
      <color rgb="FF9C0006"/>
      <name val="Arial"/>
      <family val="2"/>
    </font>
    <font>
      <b/>
      <sz val="8"/>
      <color rgb="FF0000FF"/>
      <name val="Arial"/>
      <family val="2"/>
    </font>
    <font>
      <b/>
      <sz val="8"/>
      <color rgb="FFFFFFFF"/>
      <name val="Arial"/>
      <family val="2"/>
    </font>
    <font>
      <sz val="7"/>
      <color theme="1"/>
      <name val="Arial"/>
      <family val="2"/>
    </font>
    <font>
      <sz val="7"/>
      <color rgb="FF595959"/>
      <name val="Arial"/>
      <family val="2"/>
    </font>
    <font>
      <b/>
      <sz val="7"/>
      <color theme="1"/>
      <name val="Arial"/>
      <family val="2"/>
    </font>
    <font>
      <b/>
      <sz val="9"/>
      <color rgb="FF0000FF"/>
      <name val="Arial"/>
      <family val="2"/>
    </font>
    <font>
      <i/>
      <sz val="7"/>
      <color rgb="FF595959"/>
      <name val="Arial"/>
      <family val="2"/>
    </font>
    <font>
      <sz val="6"/>
      <color rgb="FF595959"/>
      <name val="Arial"/>
      <family val="2"/>
    </font>
    <font>
      <sz val="7"/>
      <color rgb="FF9C6500"/>
      <name val="Arial"/>
      <family val="2"/>
    </font>
    <font>
      <b/>
      <sz val="6"/>
      <color theme="1"/>
      <name val="Arial"/>
      <family val="2"/>
    </font>
    <font>
      <sz val="6"/>
      <color theme="1"/>
      <name val="Arial"/>
      <family val="2"/>
    </font>
    <font>
      <i/>
      <sz val="7"/>
      <color rgb="FF9C6500"/>
      <name val="Arial"/>
      <family val="2"/>
    </font>
    <font>
      <b/>
      <sz val="12"/>
      <color theme="1"/>
      <name val="Arial"/>
      <family val="2"/>
    </font>
    <font>
      <b/>
      <sz val="6.5"/>
      <color theme="1"/>
      <name val="Arial"/>
      <family val="2"/>
    </font>
    <font>
      <sz val="6.5"/>
      <color rgb="FF9C6500"/>
      <name val="Arial"/>
      <family val="2"/>
    </font>
    <font>
      <b/>
      <sz val="7"/>
      <color rgb="FFFFFFFF"/>
      <name val="Arial"/>
      <family val="2"/>
    </font>
    <font>
      <u/>
      <sz val="7"/>
      <color rgb="FF0070C0"/>
      <name val="Arial"/>
      <family val="2"/>
    </font>
    <font>
      <i/>
      <sz val="8"/>
      <color theme="1"/>
      <name val="Arial"/>
      <family val="2"/>
    </font>
    <font>
      <sz val="6.5"/>
      <color rgb="FF595959"/>
      <name val="Arial"/>
      <family val="2"/>
    </font>
    <font>
      <i/>
      <sz val="7"/>
      <color theme="1"/>
      <name val="Arial"/>
      <family val="2"/>
    </font>
    <font>
      <sz val="6"/>
      <color rgb="FF9C6500"/>
      <name val="Arial"/>
      <family val="2"/>
    </font>
    <font>
      <sz val="6.5"/>
      <color theme="1"/>
      <name val="Arial"/>
      <family val="2"/>
    </font>
    <font>
      <b/>
      <sz val="7.5"/>
      <color theme="1"/>
      <name val="Arial"/>
      <family val="2"/>
    </font>
    <font>
      <sz val="7"/>
      <color rgb="FFFFFFFF"/>
      <name val="Arial"/>
      <family val="2"/>
    </font>
  </fonts>
  <fills count="18">
    <fill>
      <patternFill patternType="none"/>
    </fill>
    <fill>
      <patternFill patternType="gray125"/>
    </fill>
    <fill>
      <patternFill patternType="solid">
        <fgColor rgb="FF1F3864"/>
      </patternFill>
    </fill>
    <fill>
      <patternFill patternType="solid">
        <fgColor rgb="FFFFF59D"/>
      </patternFill>
    </fill>
    <fill>
      <patternFill patternType="solid">
        <fgColor rgb="FFEAF0FA"/>
      </patternFill>
    </fill>
    <fill>
      <patternFill patternType="solid">
        <fgColor rgb="FFFFF59D"/>
        <bgColor indexed="64"/>
      </patternFill>
    </fill>
    <fill>
      <patternFill patternType="solid">
        <fgColor rgb="FF1F3864"/>
        <bgColor indexed="64"/>
      </patternFill>
    </fill>
    <fill>
      <patternFill patternType="solid">
        <fgColor rgb="FFF2F2F2"/>
        <bgColor indexed="64"/>
      </patternFill>
    </fill>
    <fill>
      <patternFill patternType="solid">
        <fgColor rgb="FFE4DFEC"/>
        <bgColor indexed="64"/>
      </patternFill>
    </fill>
    <fill>
      <patternFill patternType="solid">
        <fgColor rgb="FFF8CBAD"/>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DDEBF7"/>
        <bgColor indexed="64"/>
      </patternFill>
    </fill>
    <fill>
      <patternFill patternType="solid">
        <fgColor rgb="FF0080B4"/>
        <bgColor indexed="64"/>
      </patternFill>
    </fill>
    <fill>
      <patternFill patternType="solid">
        <fgColor rgb="FFCC7999"/>
        <bgColor indexed="64"/>
      </patternFill>
    </fill>
    <fill>
      <patternFill patternType="solid">
        <fgColor rgb="FFE69F00"/>
        <bgColor indexed="64"/>
      </patternFill>
    </fill>
    <fill>
      <patternFill patternType="solid">
        <fgColor rgb="FFF8F8F8"/>
        <bgColor indexed="64"/>
      </patternFill>
    </fill>
  </fills>
  <borders count="19">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bottom style="thin">
        <color rgb="FF1F3864"/>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top style="thin">
        <color rgb="FFD9D9D9"/>
      </top>
      <bottom/>
      <diagonal/>
    </border>
    <border>
      <left/>
      <right/>
      <top style="thin">
        <color rgb="FFD9D9D9"/>
      </top>
      <bottom style="thin">
        <color rgb="FFD9D9D9"/>
      </bottom>
      <diagonal/>
    </border>
    <border>
      <left/>
      <right/>
      <top/>
      <bottom style="thin">
        <color rgb="FFD9D9D9"/>
      </bottom>
      <diagonal/>
    </border>
  </borders>
  <cellStyleXfs count="2">
    <xf numFmtId="0" fontId="0" fillId="0" borderId="0"/>
    <xf numFmtId="0" fontId="48" fillId="0" borderId="0" applyNumberFormat="0" applyFill="0" applyBorder="0" applyAlignment="0" applyProtection="0"/>
  </cellStyleXfs>
  <cellXfs count="399">
    <xf numFmtId="0" fontId="0" fillId="0" borderId="0" xfId="0"/>
    <xf numFmtId="0" fontId="16" fillId="0" borderId="0" xfId="0" applyFont="1"/>
    <xf numFmtId="0" fontId="3" fillId="2" borderId="0" xfId="0" applyFont="1" applyFill="1"/>
    <xf numFmtId="0" fontId="16" fillId="2" borderId="0" xfId="0" applyFont="1" applyFill="1"/>
    <xf numFmtId="0" fontId="7" fillId="0" borderId="0" xfId="0" applyFont="1" applyAlignment="1">
      <alignment vertical="top" wrapText="1"/>
    </xf>
    <xf numFmtId="0" fontId="4" fillId="2" borderId="1" xfId="0" applyFont="1" applyFill="1" applyBorder="1" applyAlignment="1">
      <alignment vertical="center" wrapText="1"/>
    </xf>
    <xf numFmtId="0" fontId="6" fillId="0" borderId="1" xfId="0" applyFont="1" applyBorder="1" applyAlignment="1">
      <alignment vertical="top" wrapText="1"/>
    </xf>
    <xf numFmtId="0" fontId="7" fillId="0" borderId="1" xfId="0" applyFont="1" applyBorder="1" applyAlignment="1">
      <alignment vertical="top" wrapText="1"/>
    </xf>
    <xf numFmtId="0" fontId="6" fillId="0" borderId="0" xfId="0" applyFont="1" applyAlignment="1">
      <alignment vertical="top" wrapText="1"/>
    </xf>
    <xf numFmtId="0" fontId="1" fillId="0" borderId="0" xfId="0" applyFont="1"/>
    <xf numFmtId="0" fontId="2" fillId="0" borderId="0" xfId="0" applyFont="1"/>
    <xf numFmtId="0" fontId="7" fillId="0" borderId="1" xfId="0" applyFont="1" applyBorder="1" applyAlignment="1">
      <alignment vertical="top"/>
    </xf>
    <xf numFmtId="1" fontId="8" fillId="0" borderId="1" xfId="0" applyNumberFormat="1" applyFont="1" applyBorder="1" applyAlignment="1">
      <alignment vertical="top"/>
    </xf>
    <xf numFmtId="0" fontId="6" fillId="0" borderId="0" xfId="0" applyFont="1" applyAlignment="1">
      <alignment vertical="top"/>
    </xf>
    <xf numFmtId="0" fontId="2" fillId="0" borderId="0" xfId="0" applyFont="1" applyAlignment="1">
      <alignment vertical="top" wrapText="1"/>
    </xf>
    <xf numFmtId="1" fontId="7" fillId="0" borderId="1" xfId="0" applyNumberFormat="1" applyFont="1" applyBorder="1" applyAlignment="1">
      <alignment vertical="top"/>
    </xf>
    <xf numFmtId="0" fontId="8" fillId="0" borderId="1" xfId="0" applyFont="1" applyBorder="1" applyAlignment="1">
      <alignment vertical="top"/>
    </xf>
    <xf numFmtId="3" fontId="7" fillId="0" borderId="1" xfId="0" applyNumberFormat="1" applyFont="1" applyBorder="1" applyAlignment="1">
      <alignment vertical="top"/>
    </xf>
    <xf numFmtId="3" fontId="8" fillId="0" borderId="1" xfId="0" applyNumberFormat="1" applyFont="1" applyBorder="1" applyAlignment="1">
      <alignment vertical="top"/>
    </xf>
    <xf numFmtId="166" fontId="8" fillId="0" borderId="1" xfId="0" applyNumberFormat="1" applyFont="1" applyBorder="1" applyAlignment="1">
      <alignment vertical="top"/>
    </xf>
    <xf numFmtId="0" fontId="6" fillId="0" borderId="1" xfId="0" applyFont="1" applyBorder="1" applyAlignment="1">
      <alignment vertical="top"/>
    </xf>
    <xf numFmtId="166" fontId="7" fillId="0" borderId="1" xfId="0" applyNumberFormat="1" applyFont="1" applyBorder="1" applyAlignment="1">
      <alignment vertical="top"/>
    </xf>
    <xf numFmtId="168" fontId="7" fillId="0" borderId="1" xfId="0" applyNumberFormat="1" applyFont="1" applyBorder="1" applyAlignment="1">
      <alignment vertical="top"/>
    </xf>
    <xf numFmtId="169" fontId="8" fillId="0" borderId="1" xfId="0" applyNumberFormat="1" applyFont="1" applyBorder="1" applyAlignment="1">
      <alignment vertical="top"/>
    </xf>
    <xf numFmtId="168" fontId="8" fillId="0" borderId="1" xfId="0" applyNumberFormat="1" applyFont="1" applyBorder="1" applyAlignment="1">
      <alignment vertical="top"/>
    </xf>
    <xf numFmtId="166" fontId="6" fillId="0" borderId="1" xfId="0" applyNumberFormat="1" applyFont="1" applyBorder="1" applyAlignment="1">
      <alignment vertical="top"/>
    </xf>
    <xf numFmtId="168" fontId="6" fillId="0" borderId="1" xfId="0" applyNumberFormat="1" applyFont="1" applyBorder="1" applyAlignment="1">
      <alignment vertical="top"/>
    </xf>
    <xf numFmtId="3" fontId="6" fillId="0" borderId="1" xfId="0" applyNumberFormat="1" applyFont="1" applyBorder="1" applyAlignment="1">
      <alignment vertical="top"/>
    </xf>
    <xf numFmtId="164" fontId="7" fillId="0" borderId="1" xfId="0" applyNumberFormat="1" applyFont="1" applyBorder="1" applyAlignment="1">
      <alignment vertical="top"/>
    </xf>
    <xf numFmtId="0" fontId="9" fillId="0" borderId="0" xfId="0" applyFont="1"/>
    <xf numFmtId="0" fontId="3" fillId="2" borderId="1" xfId="0" applyFont="1" applyFill="1" applyBorder="1" applyAlignment="1">
      <alignment horizontal="center"/>
    </xf>
    <xf numFmtId="0" fontId="7" fillId="4" borderId="1" xfId="0" applyFont="1" applyFill="1" applyBorder="1"/>
    <xf numFmtId="0" fontId="10" fillId="0" borderId="0" xfId="0" applyFont="1" applyAlignment="1">
      <alignment horizontal="center"/>
    </xf>
    <xf numFmtId="0" fontId="11" fillId="0" borderId="0" xfId="0" applyFont="1" applyAlignment="1">
      <alignment horizontal="center"/>
    </xf>
    <xf numFmtId="0" fontId="11" fillId="0" borderId="0" xfId="0" applyFont="1" applyAlignment="1">
      <alignment vertical="top"/>
    </xf>
    <xf numFmtId="0" fontId="12" fillId="0" borderId="1" xfId="0" applyFont="1" applyBorder="1" applyAlignment="1">
      <alignment vertical="top" wrapText="1"/>
    </xf>
    <xf numFmtId="0" fontId="13" fillId="0" borderId="1" xfId="0" applyFont="1" applyBorder="1" applyAlignment="1">
      <alignment vertical="top" wrapText="1"/>
    </xf>
    <xf numFmtId="0" fontId="14" fillId="0" borderId="0" xfId="0" applyFont="1" applyAlignment="1">
      <alignment vertical="top" wrapText="1"/>
    </xf>
    <xf numFmtId="14" fontId="0" fillId="0" borderId="0" xfId="0" applyNumberFormat="1"/>
    <xf numFmtId="167" fontId="0" fillId="0" borderId="0" xfId="0" applyNumberFormat="1"/>
    <xf numFmtId="1" fontId="0" fillId="0" borderId="0" xfId="0" applyNumberFormat="1"/>
    <xf numFmtId="165" fontId="0" fillId="0" borderId="0" xfId="0" applyNumberFormat="1"/>
    <xf numFmtId="166" fontId="0" fillId="0" borderId="0" xfId="0" applyNumberFormat="1"/>
    <xf numFmtId="164" fontId="0" fillId="0" borderId="0" xfId="0" applyNumberFormat="1"/>
    <xf numFmtId="0" fontId="0" fillId="0" borderId="0" xfId="0" pivotButton="1"/>
    <xf numFmtId="4" fontId="0" fillId="0" borderId="0" xfId="0" applyNumberFormat="1"/>
    <xf numFmtId="3" fontId="0" fillId="0" borderId="0" xfId="0" applyNumberFormat="1"/>
    <xf numFmtId="0" fontId="19" fillId="0" borderId="0" xfId="0" applyFont="1"/>
    <xf numFmtId="49" fontId="22" fillId="5" borderId="0" xfId="0" applyNumberFormat="1" applyFont="1" applyFill="1" applyProtection="1">
      <protection locked="0"/>
    </xf>
    <xf numFmtId="49" fontId="22" fillId="5" borderId="0" xfId="0" applyNumberFormat="1" applyFont="1" applyFill="1" applyAlignment="1" applyProtection="1">
      <alignment vertical="top" wrapText="1"/>
      <protection locked="0"/>
    </xf>
    <xf numFmtId="0" fontId="23" fillId="6" borderId="0" xfId="0" applyFont="1" applyFill="1" applyAlignment="1">
      <alignment vertical="center" wrapText="1"/>
    </xf>
    <xf numFmtId="0" fontId="23" fillId="6" borderId="1" xfId="0" applyFont="1" applyFill="1" applyBorder="1" applyAlignment="1">
      <alignment vertical="center" wrapText="1"/>
    </xf>
    <xf numFmtId="0" fontId="0" fillId="0" borderId="0" xfId="0" applyAlignment="1">
      <alignment wrapText="1"/>
    </xf>
    <xf numFmtId="0" fontId="24" fillId="0" borderId="0" xfId="0" applyFont="1"/>
    <xf numFmtId="0" fontId="25" fillId="0" borderId="0" xfId="0" applyFont="1"/>
    <xf numFmtId="170" fontId="0" fillId="0" borderId="0" xfId="0" applyNumberFormat="1"/>
    <xf numFmtId="49" fontId="0" fillId="0" borderId="0" xfId="0" applyNumberFormat="1" applyAlignment="1">
      <alignment vertical="top" wrapText="1"/>
    </xf>
    <xf numFmtId="22" fontId="0" fillId="0" borderId="0" xfId="0" applyNumberFormat="1"/>
    <xf numFmtId="0" fontId="27" fillId="6" borderId="0" xfId="0" applyFont="1" applyFill="1"/>
    <xf numFmtId="0" fontId="23" fillId="6" borderId="0" xfId="0" applyFont="1" applyFill="1" applyAlignment="1">
      <alignment wrapText="1"/>
    </xf>
    <xf numFmtId="0" fontId="0" fillId="0" borderId="0" xfId="0" applyAlignment="1">
      <alignment vertical="top" wrapText="1"/>
    </xf>
    <xf numFmtId="1" fontId="19" fillId="8" borderId="0" xfId="0" applyNumberFormat="1" applyFont="1" applyFill="1"/>
    <xf numFmtId="0" fontId="0" fillId="0" borderId="0" xfId="0" applyAlignment="1">
      <alignment vertical="top"/>
    </xf>
    <xf numFmtId="0" fontId="19" fillId="0" borderId="0" xfId="0" applyFont="1" applyAlignment="1">
      <alignment vertical="top"/>
    </xf>
    <xf numFmtId="1" fontId="28" fillId="0" borderId="0" xfId="0" applyNumberFormat="1" applyFont="1" applyAlignment="1">
      <alignment horizontal="left" vertical="top"/>
    </xf>
    <xf numFmtId="0" fontId="29" fillId="0" borderId="0" xfId="0" applyFont="1" applyAlignment="1">
      <alignment vertical="top"/>
    </xf>
    <xf numFmtId="0" fontId="28" fillId="0" borderId="0" xfId="0" applyFont="1" applyAlignment="1">
      <alignment horizontal="left" vertical="top"/>
    </xf>
    <xf numFmtId="4" fontId="28" fillId="0" borderId="0" xfId="0" applyNumberFormat="1" applyFont="1" applyAlignment="1">
      <alignment horizontal="left" vertical="top"/>
    </xf>
    <xf numFmtId="10" fontId="28" fillId="0" borderId="0" xfId="0" applyNumberFormat="1" applyFont="1" applyAlignment="1">
      <alignment horizontal="left" vertical="top"/>
    </xf>
    <xf numFmtId="0" fontId="18" fillId="0" borderId="0" xfId="0" applyFont="1" applyAlignment="1">
      <alignment vertical="top"/>
    </xf>
    <xf numFmtId="170" fontId="28" fillId="0" borderId="0" xfId="0" applyNumberFormat="1" applyFont="1" applyAlignment="1">
      <alignment horizontal="left" vertical="top"/>
    </xf>
    <xf numFmtId="164" fontId="28" fillId="0" borderId="0" xfId="0" applyNumberFormat="1" applyFont="1" applyAlignment="1">
      <alignment horizontal="left" vertical="top"/>
    </xf>
    <xf numFmtId="1" fontId="22" fillId="5" borderId="0" xfId="0" applyNumberFormat="1" applyFont="1" applyFill="1" applyProtection="1">
      <protection locked="0"/>
    </xf>
    <xf numFmtId="0" fontId="30" fillId="0" borderId="0" xfId="0" applyFont="1"/>
    <xf numFmtId="0" fontId="19" fillId="0" borderId="0" xfId="0" applyFont="1" applyAlignment="1">
      <alignment horizontal="left"/>
    </xf>
    <xf numFmtId="0" fontId="31" fillId="0" borderId="0" xfId="0" applyFont="1"/>
    <xf numFmtId="0" fontId="19" fillId="0" borderId="0" xfId="0" applyFont="1" applyAlignment="1">
      <alignment horizontal="center"/>
    </xf>
    <xf numFmtId="0" fontId="36" fillId="0" borderId="0" xfId="0" applyFont="1"/>
    <xf numFmtId="49" fontId="27" fillId="6" borderId="0" xfId="0" applyNumberFormat="1" applyFont="1" applyFill="1" applyAlignment="1">
      <alignment vertical="top" wrapText="1"/>
    </xf>
    <xf numFmtId="49" fontId="24" fillId="0" borderId="0" xfId="0" applyNumberFormat="1" applyFont="1" applyAlignment="1">
      <alignment vertical="top"/>
    </xf>
    <xf numFmtId="49" fontId="19" fillId="0" borderId="0" xfId="0" applyNumberFormat="1" applyFont="1" applyAlignment="1">
      <alignment vertical="top" wrapText="1"/>
    </xf>
    <xf numFmtId="49" fontId="19" fillId="8" borderId="0" xfId="0" applyNumberFormat="1" applyFont="1" applyFill="1" applyAlignment="1">
      <alignment vertical="top" wrapText="1"/>
    </xf>
    <xf numFmtId="0" fontId="7" fillId="0" borderId="0" xfId="0" applyFont="1" applyAlignment="1">
      <alignment vertical="top"/>
    </xf>
    <xf numFmtId="0" fontId="0" fillId="0" borderId="0" xfId="0" quotePrefix="1"/>
    <xf numFmtId="49" fontId="0" fillId="0" borderId="0" xfId="0" applyNumberFormat="1"/>
    <xf numFmtId="0" fontId="19" fillId="0" borderId="0" xfId="0" applyFont="1" applyAlignment="1">
      <alignment wrapText="1"/>
    </xf>
    <xf numFmtId="0" fontId="27" fillId="6" borderId="0" xfId="0" applyFont="1" applyFill="1" applyAlignment="1">
      <alignment vertical="top" wrapText="1"/>
    </xf>
    <xf numFmtId="0" fontId="19" fillId="0" borderId="0" xfId="0" applyFont="1" applyAlignment="1">
      <alignment vertical="top" wrapText="1"/>
    </xf>
    <xf numFmtId="49" fontId="25" fillId="0" borderId="0" xfId="0" applyNumberFormat="1" applyFont="1" applyAlignment="1">
      <alignment vertical="top" wrapText="1"/>
    </xf>
    <xf numFmtId="49" fontId="0" fillId="9" borderId="0" xfId="0" applyNumberFormat="1" applyFill="1" applyAlignment="1">
      <alignment vertical="top" wrapText="1"/>
    </xf>
    <xf numFmtId="49" fontId="38" fillId="10" borderId="0" xfId="0" applyNumberFormat="1" applyFont="1" applyFill="1" applyAlignment="1">
      <alignment vertical="top" wrapText="1"/>
    </xf>
    <xf numFmtId="49" fontId="39" fillId="11" borderId="0" xfId="0" applyNumberFormat="1" applyFont="1" applyFill="1" applyAlignment="1">
      <alignment vertical="top" wrapText="1"/>
    </xf>
    <xf numFmtId="49" fontId="40" fillId="12" borderId="0" xfId="0" applyNumberFormat="1" applyFont="1" applyFill="1" applyAlignment="1">
      <alignment vertical="top" wrapText="1"/>
    </xf>
    <xf numFmtId="49" fontId="41" fillId="13" borderId="0" xfId="0" applyNumberFormat="1" applyFont="1" applyFill="1" applyAlignment="1">
      <alignment vertical="top" wrapText="1"/>
    </xf>
    <xf numFmtId="49" fontId="23" fillId="6" borderId="0" xfId="0" applyNumberFormat="1" applyFont="1" applyFill="1" applyAlignment="1">
      <alignment vertical="top" wrapText="1"/>
    </xf>
    <xf numFmtId="0" fontId="39" fillId="11" borderId="0" xfId="0" applyFont="1" applyFill="1" applyAlignment="1">
      <alignment vertical="top" wrapText="1"/>
    </xf>
    <xf numFmtId="0" fontId="40" fillId="12" borderId="0" xfId="0" applyFont="1" applyFill="1" applyAlignment="1">
      <alignment vertical="top" wrapText="1"/>
    </xf>
    <xf numFmtId="0" fontId="41" fillId="13" borderId="0" xfId="0" applyFont="1" applyFill="1" applyAlignment="1">
      <alignment vertical="top" wrapText="1"/>
    </xf>
    <xf numFmtId="0" fontId="38" fillId="10" borderId="0" xfId="0" applyFont="1" applyFill="1" applyAlignment="1">
      <alignment vertical="top" wrapText="1"/>
    </xf>
    <xf numFmtId="0" fontId="42" fillId="0" borderId="0" xfId="0" applyFont="1"/>
    <xf numFmtId="0" fontId="21" fillId="0" borderId="0" xfId="0" applyFont="1" applyAlignment="1">
      <alignment vertical="top"/>
    </xf>
    <xf numFmtId="0" fontId="43" fillId="0" borderId="0" xfId="0" applyFont="1"/>
    <xf numFmtId="0" fontId="44" fillId="0" borderId="0" xfId="0" applyFont="1"/>
    <xf numFmtId="0" fontId="45" fillId="0" borderId="0" xfId="0" applyFont="1" applyAlignment="1">
      <alignment horizontal="left"/>
    </xf>
    <xf numFmtId="0" fontId="46" fillId="11" borderId="0" xfId="0" applyFont="1" applyFill="1"/>
    <xf numFmtId="0" fontId="44" fillId="0" borderId="0" xfId="0" applyFont="1" applyAlignment="1">
      <alignment wrapText="1"/>
    </xf>
    <xf numFmtId="0" fontId="47" fillId="0" borderId="0" xfId="0" applyFont="1"/>
    <xf numFmtId="0" fontId="49" fillId="0" borderId="0" xfId="1" applyFont="1" applyAlignment="1">
      <alignment horizontal="center"/>
    </xf>
    <xf numFmtId="0" fontId="50" fillId="0" borderId="0" xfId="0" applyFont="1"/>
    <xf numFmtId="0" fontId="50" fillId="0" borderId="12" xfId="0" applyFont="1" applyBorder="1"/>
    <xf numFmtId="49" fontId="18" fillId="0" borderId="0" xfId="0" applyNumberFormat="1" applyFont="1" applyAlignment="1">
      <alignment horizontal="left" vertical="top" wrapText="1" indent="2"/>
    </xf>
    <xf numFmtId="0" fontId="0" fillId="0" borderId="0" xfId="0" quotePrefix="1" applyAlignment="1">
      <alignment wrapText="1"/>
    </xf>
    <xf numFmtId="49" fontId="0" fillId="0" borderId="0" xfId="0" quotePrefix="1" applyNumberFormat="1"/>
    <xf numFmtId="169" fontId="0" fillId="0" borderId="0" xfId="0" applyNumberFormat="1"/>
    <xf numFmtId="0" fontId="24" fillId="0" borderId="0" xfId="0" applyFont="1" applyAlignment="1">
      <alignment wrapText="1"/>
    </xf>
    <xf numFmtId="0" fontId="25" fillId="0" borderId="0" xfId="0" applyFont="1" applyAlignment="1">
      <alignment wrapText="1"/>
    </xf>
    <xf numFmtId="0" fontId="18" fillId="0" borderId="0" xfId="0" applyFont="1" applyAlignment="1">
      <alignment wrapText="1"/>
    </xf>
    <xf numFmtId="0" fontId="27" fillId="6" borderId="0" xfId="0" applyFont="1" applyFill="1" applyAlignment="1">
      <alignment wrapText="1"/>
    </xf>
    <xf numFmtId="0" fontId="51" fillId="0" borderId="0" xfId="0" applyFont="1"/>
    <xf numFmtId="49" fontId="0" fillId="0" borderId="0" xfId="0" quotePrefix="1" applyNumberFormat="1" applyAlignment="1">
      <alignment wrapText="1"/>
    </xf>
    <xf numFmtId="22" fontId="51" fillId="0" borderId="0" xfId="0" applyNumberFormat="1" applyFont="1"/>
    <xf numFmtId="173" fontId="0" fillId="0" borderId="0" xfId="0" applyNumberFormat="1"/>
    <xf numFmtId="0" fontId="35" fillId="0" borderId="0" xfId="0" applyFont="1"/>
    <xf numFmtId="0" fontId="52" fillId="0" borderId="0" xfId="0" applyFont="1"/>
    <xf numFmtId="0" fontId="53" fillId="0" borderId="0" xfId="0" applyFont="1"/>
    <xf numFmtId="0" fontId="54" fillId="0" borderId="0" xfId="1" applyFont="1"/>
    <xf numFmtId="0" fontId="55" fillId="0" borderId="0" xfId="0" applyFont="1"/>
    <xf numFmtId="0" fontId="56" fillId="0" borderId="0" xfId="0" applyFont="1"/>
    <xf numFmtId="0" fontId="57" fillId="0" borderId="0" xfId="0" applyFont="1"/>
    <xf numFmtId="0" fontId="57" fillId="0" borderId="0" xfId="0" applyFont="1" applyAlignment="1">
      <alignment horizontal="right"/>
    </xf>
    <xf numFmtId="0" fontId="58" fillId="0" borderId="0" xfId="0" applyFont="1"/>
    <xf numFmtId="0" fontId="60" fillId="5" borderId="0" xfId="0" applyFont="1" applyFill="1" applyAlignment="1" applyProtection="1">
      <alignment horizontal="left"/>
      <protection locked="0"/>
    </xf>
    <xf numFmtId="0" fontId="64" fillId="8" borderId="0" xfId="0" applyFont="1" applyFill="1" applyAlignment="1">
      <alignment vertical="center" wrapText="1"/>
    </xf>
    <xf numFmtId="0" fontId="64" fillId="8" borderId="0" xfId="0" applyFont="1" applyFill="1"/>
    <xf numFmtId="0" fontId="62" fillId="0" borderId="0" xfId="0" applyFont="1"/>
    <xf numFmtId="0" fontId="58" fillId="0" borderId="0" xfId="0" applyFont="1" applyAlignment="1">
      <alignment horizontal="left"/>
    </xf>
    <xf numFmtId="0" fontId="54" fillId="0" borderId="0" xfId="1" applyFont="1" applyBorder="1" applyAlignment="1">
      <alignment vertical="top"/>
    </xf>
    <xf numFmtId="0" fontId="57" fillId="0" borderId="17" xfId="0" applyFont="1" applyBorder="1" applyAlignment="1">
      <alignment vertical="top" wrapText="1"/>
    </xf>
    <xf numFmtId="0" fontId="58" fillId="0" borderId="17" xfId="0" applyFont="1" applyBorder="1" applyAlignment="1">
      <alignment vertical="top"/>
    </xf>
    <xf numFmtId="0" fontId="54" fillId="0" borderId="17" xfId="1" applyFont="1" applyBorder="1" applyAlignment="1">
      <alignment vertical="top"/>
    </xf>
    <xf numFmtId="0" fontId="57" fillId="0" borderId="16" xfId="0" applyFont="1" applyBorder="1" applyAlignment="1">
      <alignment vertical="top" wrapText="1"/>
    </xf>
    <xf numFmtId="0" fontId="58" fillId="0" borderId="16" xfId="0" applyFont="1" applyBorder="1" applyAlignment="1">
      <alignment vertical="top"/>
    </xf>
    <xf numFmtId="0" fontId="54" fillId="0" borderId="16" xfId="1" applyFont="1" applyBorder="1" applyAlignment="1">
      <alignment vertical="top"/>
    </xf>
    <xf numFmtId="0" fontId="65" fillId="5" borderId="0" xfId="0" applyFont="1" applyFill="1" applyProtection="1">
      <protection locked="0"/>
    </xf>
    <xf numFmtId="0" fontId="60" fillId="5" borderId="0" xfId="0" applyFont="1" applyFill="1" applyProtection="1">
      <protection locked="0"/>
    </xf>
    <xf numFmtId="0" fontId="64" fillId="8" borderId="0" xfId="0" applyFont="1" applyFill="1" applyAlignment="1">
      <alignment wrapText="1"/>
    </xf>
    <xf numFmtId="49" fontId="58" fillId="0" borderId="0" xfId="0" applyNumberFormat="1" applyFont="1"/>
    <xf numFmtId="174" fontId="58" fillId="0" borderId="0" xfId="0" applyNumberFormat="1" applyFont="1"/>
    <xf numFmtId="175" fontId="58" fillId="0" borderId="0" xfId="0" applyNumberFormat="1" applyFont="1"/>
    <xf numFmtId="3" fontId="58" fillId="0" borderId="0" xfId="0" applyNumberFormat="1" applyFont="1"/>
    <xf numFmtId="49" fontId="57" fillId="0" borderId="0" xfId="0" applyNumberFormat="1" applyFont="1"/>
    <xf numFmtId="174" fontId="57" fillId="0" borderId="0" xfId="0" applyNumberFormat="1" applyFont="1"/>
    <xf numFmtId="175" fontId="57" fillId="0" borderId="0" xfId="0" applyNumberFormat="1" applyFont="1"/>
    <xf numFmtId="3" fontId="57" fillId="0" borderId="0" xfId="0" applyNumberFormat="1" applyFont="1"/>
    <xf numFmtId="2" fontId="62" fillId="0" borderId="0" xfId="0" applyNumberFormat="1" applyFont="1"/>
    <xf numFmtId="0" fontId="63" fillId="0" borderId="0" xfId="0" applyFont="1"/>
    <xf numFmtId="14" fontId="35" fillId="0" borderId="0" xfId="0" applyNumberFormat="1" applyFont="1"/>
    <xf numFmtId="176" fontId="60" fillId="5" borderId="0" xfId="0" applyNumberFormat="1" applyFont="1" applyFill="1" applyAlignment="1" applyProtection="1">
      <alignment vertical="center" shrinkToFit="1"/>
      <protection locked="0"/>
    </xf>
    <xf numFmtId="0" fontId="64" fillId="8" borderId="0" xfId="0" applyFont="1" applyFill="1" applyAlignment="1">
      <alignment horizontal="center" wrapText="1"/>
    </xf>
    <xf numFmtId="177" fontId="62" fillId="0" borderId="0" xfId="0" applyNumberFormat="1" applyFont="1" applyAlignment="1">
      <alignment horizontal="right"/>
    </xf>
    <xf numFmtId="0" fontId="66" fillId="0" borderId="0" xfId="0" applyFont="1"/>
    <xf numFmtId="1" fontId="62" fillId="17" borderId="0" xfId="0" applyNumberFormat="1" applyFont="1" applyFill="1" applyAlignment="1">
      <alignment horizontal="right"/>
    </xf>
    <xf numFmtId="176" fontId="62" fillId="17" borderId="0" xfId="0" applyNumberFormat="1" applyFont="1" applyFill="1" applyAlignment="1">
      <alignment horizontal="right"/>
    </xf>
    <xf numFmtId="2" fontId="62" fillId="17" borderId="0" xfId="0" applyNumberFormat="1" applyFont="1" applyFill="1" applyAlignment="1">
      <alignment horizontal="right"/>
    </xf>
    <xf numFmtId="0" fontId="35" fillId="0" borderId="0" xfId="0" applyFont="1" applyAlignment="1">
      <alignment horizontal="right"/>
    </xf>
    <xf numFmtId="177" fontId="64" fillId="0" borderId="0" xfId="0" applyNumberFormat="1" applyFont="1"/>
    <xf numFmtId="0" fontId="67" fillId="0" borderId="0" xfId="0" applyFont="1"/>
    <xf numFmtId="3" fontId="62" fillId="0" borderId="0" xfId="0" applyNumberFormat="1" applyFont="1" applyAlignment="1">
      <alignment horizontal="right"/>
    </xf>
    <xf numFmtId="178" fontId="62" fillId="0" borderId="0" xfId="0" applyNumberFormat="1" applyFont="1" applyAlignment="1">
      <alignment horizontal="right"/>
    </xf>
    <xf numFmtId="168" fontId="62" fillId="0" borderId="0" xfId="0" applyNumberFormat="1" applyFont="1" applyAlignment="1">
      <alignment horizontal="right"/>
    </xf>
    <xf numFmtId="0" fontId="69" fillId="8" borderId="0" xfId="0" applyFont="1" applyFill="1" applyAlignment="1">
      <alignment horizontal="center" wrapText="1"/>
    </xf>
    <xf numFmtId="3" fontId="62" fillId="0" borderId="0" xfId="0" applyNumberFormat="1" applyFont="1"/>
    <xf numFmtId="0" fontId="57" fillId="0" borderId="0" xfId="0" applyFont="1" applyAlignment="1">
      <alignment horizontal="left"/>
    </xf>
    <xf numFmtId="0" fontId="59" fillId="0" borderId="0" xfId="0" applyFont="1"/>
    <xf numFmtId="0" fontId="70" fillId="0" borderId="0" xfId="0" applyFont="1" applyAlignment="1">
      <alignment wrapText="1"/>
    </xf>
    <xf numFmtId="0" fontId="58" fillId="0" borderId="0" xfId="0" applyFont="1" applyAlignment="1">
      <alignment horizontal="right"/>
    </xf>
    <xf numFmtId="176" fontId="64" fillId="17" borderId="0" xfId="0" applyNumberFormat="1" applyFont="1" applyFill="1" applyAlignment="1">
      <alignment horizontal="right" shrinkToFit="1"/>
    </xf>
    <xf numFmtId="176" fontId="62" fillId="17" borderId="0" xfId="0" applyNumberFormat="1" applyFont="1" applyFill="1" applyAlignment="1">
      <alignment horizontal="right" shrinkToFit="1"/>
    </xf>
    <xf numFmtId="168" fontId="62" fillId="17" borderId="0" xfId="0" applyNumberFormat="1" applyFont="1" applyFill="1" applyAlignment="1">
      <alignment horizontal="right"/>
    </xf>
    <xf numFmtId="0" fontId="62" fillId="17" borderId="0" xfId="0" applyFont="1" applyFill="1" applyAlignment="1">
      <alignment horizontal="right"/>
    </xf>
    <xf numFmtId="0" fontId="64" fillId="8" borderId="0" xfId="0" applyFont="1" applyFill="1" applyAlignment="1">
      <alignment horizontal="center"/>
    </xf>
    <xf numFmtId="0" fontId="70" fillId="0" borderId="0" xfId="0" applyFont="1" applyAlignment="1">
      <alignment shrinkToFit="1"/>
    </xf>
    <xf numFmtId="0" fontId="69" fillId="8" borderId="0" xfId="0" applyFont="1" applyFill="1" applyAlignment="1">
      <alignment wrapText="1"/>
    </xf>
    <xf numFmtId="0" fontId="62" fillId="0" borderId="0" xfId="0" applyFont="1" applyAlignment="1">
      <alignment horizontal="right"/>
    </xf>
    <xf numFmtId="0" fontId="72" fillId="0" borderId="0" xfId="0" applyFont="1"/>
    <xf numFmtId="0" fontId="4" fillId="2" borderId="0" xfId="0" applyFont="1" applyFill="1" applyAlignment="1">
      <alignment vertical="center" wrapText="1"/>
    </xf>
    <xf numFmtId="0" fontId="73" fillId="8" borderId="0" xfId="0" applyFont="1" applyFill="1" applyAlignment="1">
      <alignment horizontal="center" vertical="center" wrapText="1"/>
    </xf>
    <xf numFmtId="0" fontId="75" fillId="6" borderId="0" xfId="0" applyFont="1" applyFill="1" applyAlignment="1">
      <alignment wrapText="1"/>
    </xf>
    <xf numFmtId="0" fontId="62" fillId="0" borderId="0" xfId="0" applyFont="1" applyAlignment="1">
      <alignment vertical="center"/>
    </xf>
    <xf numFmtId="0" fontId="62" fillId="0" borderId="0" xfId="0" applyFont="1" applyAlignment="1">
      <alignment horizontal="right" vertical="center"/>
    </xf>
    <xf numFmtId="0" fontId="77" fillId="0" borderId="0" xfId="0" applyFont="1" applyAlignment="1">
      <alignment horizontal="right"/>
    </xf>
    <xf numFmtId="0" fontId="56" fillId="0" borderId="0" xfId="1" applyFont="1"/>
    <xf numFmtId="0" fontId="64" fillId="0" borderId="0" xfId="0" applyFont="1" applyAlignment="1">
      <alignment horizontal="right" wrapText="1"/>
    </xf>
    <xf numFmtId="0" fontId="79" fillId="0" borderId="0" xfId="0" applyFont="1"/>
    <xf numFmtId="49" fontId="60" fillId="5" borderId="0" xfId="0" applyNumberFormat="1" applyFont="1" applyFill="1" applyAlignment="1" applyProtection="1">
      <alignment horizontal="left"/>
      <protection locked="0"/>
    </xf>
    <xf numFmtId="0" fontId="61" fillId="6" borderId="0" xfId="0" applyFont="1" applyFill="1"/>
    <xf numFmtId="0" fontId="0" fillId="6" borderId="0" xfId="0" applyFill="1"/>
    <xf numFmtId="0" fontId="61" fillId="6" borderId="0" xfId="0" applyFont="1" applyFill="1" applyAlignment="1">
      <alignment wrapText="1"/>
    </xf>
    <xf numFmtId="0" fontId="64" fillId="0" borderId="0" xfId="0" applyFont="1" applyAlignment="1">
      <alignment wrapText="1"/>
    </xf>
    <xf numFmtId="0" fontId="58" fillId="0" borderId="0" xfId="0" applyFont="1" applyAlignment="1">
      <alignment vertical="top" wrapText="1"/>
    </xf>
    <xf numFmtId="0" fontId="55" fillId="8" borderId="0" xfId="0" applyFont="1" applyFill="1" applyAlignment="1">
      <alignment horizontal="center"/>
    </xf>
    <xf numFmtId="0" fontId="57" fillId="7" borderId="0" xfId="0" applyFont="1" applyFill="1" applyAlignment="1">
      <alignment horizontal="right"/>
    </xf>
    <xf numFmtId="0" fontId="73" fillId="8" borderId="0" xfId="0" applyFont="1" applyFill="1" applyAlignment="1">
      <alignment horizontal="center" wrapText="1"/>
    </xf>
    <xf numFmtId="0" fontId="82" fillId="8" borderId="0" xfId="0" applyFont="1" applyFill="1" applyAlignment="1">
      <alignment horizontal="right"/>
    </xf>
    <xf numFmtId="0" fontId="57" fillId="0" borderId="0" xfId="0" applyFont="1" applyAlignment="1">
      <alignment horizontal="right" wrapText="1"/>
    </xf>
    <xf numFmtId="0" fontId="55" fillId="0" borderId="0" xfId="0" applyFont="1" applyAlignment="1">
      <alignment vertical="top"/>
    </xf>
    <xf numFmtId="0" fontId="57" fillId="8" borderId="0" xfId="0" applyFont="1" applyFill="1"/>
    <xf numFmtId="0" fontId="83" fillId="0" borderId="0" xfId="0" applyFont="1"/>
    <xf numFmtId="0" fontId="61" fillId="6" borderId="0" xfId="0" applyFont="1" applyFill="1" applyAlignment="1">
      <alignment vertical="center" wrapText="1"/>
    </xf>
    <xf numFmtId="49" fontId="58" fillId="0" borderId="0" xfId="0" applyNumberFormat="1" applyFont="1" applyAlignment="1">
      <alignment vertical="top" wrapText="1"/>
    </xf>
    <xf numFmtId="0" fontId="54" fillId="0" borderId="0" xfId="1" applyFont="1" applyAlignment="1">
      <alignment vertical="top" wrapText="1"/>
    </xf>
    <xf numFmtId="0" fontId="54" fillId="0" borderId="0" xfId="0" applyFont="1" applyAlignment="1">
      <alignment vertical="top" wrapText="1"/>
    </xf>
    <xf numFmtId="0" fontId="57" fillId="0" borderId="0" xfId="0" applyFont="1" applyAlignment="1">
      <alignment vertical="top" wrapText="1"/>
    </xf>
    <xf numFmtId="0" fontId="58" fillId="0" borderId="0" xfId="0" applyFont="1" applyAlignment="1">
      <alignment vertical="top"/>
    </xf>
    <xf numFmtId="49" fontId="0" fillId="7" borderId="0" xfId="0" applyNumberFormat="1" applyFill="1" applyAlignment="1">
      <alignment vertical="top" wrapText="1"/>
    </xf>
    <xf numFmtId="0" fontId="26" fillId="0" borderId="0" xfId="0" applyFont="1" applyAlignment="1">
      <alignment horizontal="left" vertical="center" wrapText="1" indent="1"/>
    </xf>
    <xf numFmtId="0" fontId="37" fillId="0" borderId="0" xfId="0" applyFont="1" applyAlignment="1">
      <alignment vertical="top" wrapText="1"/>
    </xf>
    <xf numFmtId="0" fontId="0" fillId="0" borderId="0" xfId="0" applyAlignment="1">
      <alignment vertical="center" wrapText="1"/>
    </xf>
    <xf numFmtId="0" fontId="23" fillId="6" borderId="4" xfId="0" applyFont="1" applyFill="1" applyBorder="1" applyAlignment="1">
      <alignment horizontal="center"/>
    </xf>
    <xf numFmtId="0" fontId="23" fillId="6" borderId="5" xfId="0" applyFont="1" applyFill="1" applyBorder="1" applyAlignment="1">
      <alignment horizontal="center"/>
    </xf>
    <xf numFmtId="169" fontId="32" fillId="0" borderId="6" xfId="0" applyNumberFormat="1" applyFont="1" applyBorder="1" applyAlignment="1">
      <alignment horizontal="center"/>
    </xf>
    <xf numFmtId="169" fontId="32" fillId="0" borderId="7" xfId="0" applyNumberFormat="1" applyFont="1" applyBorder="1" applyAlignment="1">
      <alignment horizontal="center"/>
    </xf>
    <xf numFmtId="0" fontId="33" fillId="0" borderId="8" xfId="0" applyFont="1" applyBorder="1" applyAlignment="1">
      <alignment vertical="top" wrapText="1"/>
    </xf>
    <xf numFmtId="0" fontId="33" fillId="0" borderId="9" xfId="0" applyFont="1" applyBorder="1" applyAlignment="1">
      <alignment vertical="top" wrapText="1"/>
    </xf>
    <xf numFmtId="0" fontId="23" fillId="6" borderId="10" xfId="0" applyFont="1" applyFill="1" applyBorder="1" applyAlignment="1">
      <alignment horizontal="center"/>
    </xf>
    <xf numFmtId="0" fontId="34" fillId="0" borderId="6" xfId="0" applyFont="1" applyBorder="1" applyAlignment="1">
      <alignment horizontal="center"/>
    </xf>
    <xf numFmtId="0" fontId="34" fillId="0" borderId="0" xfId="0" applyFont="1" applyAlignment="1">
      <alignment horizontal="center"/>
    </xf>
    <xf numFmtId="0" fontId="34" fillId="0" borderId="7" xfId="0" applyFont="1" applyBorder="1" applyAlignment="1">
      <alignment horizontal="center"/>
    </xf>
    <xf numFmtId="0" fontId="35" fillId="0" borderId="8" xfId="0" applyFont="1" applyBorder="1" applyAlignment="1">
      <alignment horizontal="center" wrapText="1"/>
    </xf>
    <xf numFmtId="0" fontId="35" fillId="0" borderId="11" xfId="0" applyFont="1" applyBorder="1" applyAlignment="1">
      <alignment horizontal="center" wrapText="1"/>
    </xf>
    <xf numFmtId="0" fontId="35" fillId="0" borderId="9" xfId="0" applyFont="1" applyBorder="1" applyAlignment="1">
      <alignment horizontal="center" wrapText="1"/>
    </xf>
    <xf numFmtId="3" fontId="32" fillId="0" borderId="6" xfId="0" applyNumberFormat="1" applyFont="1" applyBorder="1" applyAlignment="1">
      <alignment horizontal="center"/>
    </xf>
    <xf numFmtId="3" fontId="32" fillId="0" borderId="7" xfId="0" applyNumberFormat="1" applyFont="1" applyBorder="1" applyAlignment="1">
      <alignment horizontal="center"/>
    </xf>
    <xf numFmtId="171" fontId="32" fillId="0" borderId="6" xfId="0" applyNumberFormat="1" applyFont="1" applyBorder="1" applyAlignment="1">
      <alignment horizontal="center"/>
    </xf>
    <xf numFmtId="171" fontId="32" fillId="0" borderId="7" xfId="0" applyNumberFormat="1" applyFont="1" applyBorder="1" applyAlignment="1">
      <alignment horizontal="center"/>
    </xf>
    <xf numFmtId="0" fontId="58" fillId="0" borderId="17" xfId="0" applyFont="1" applyBorder="1" applyAlignment="1">
      <alignment vertical="top" wrapText="1"/>
    </xf>
    <xf numFmtId="0" fontId="51" fillId="0" borderId="0" xfId="0" applyFont="1" applyAlignment="1">
      <alignment wrapText="1"/>
    </xf>
    <xf numFmtId="0" fontId="0" fillId="0" borderId="0" xfId="0" applyAlignment="1">
      <alignment wrapText="1"/>
    </xf>
    <xf numFmtId="0" fontId="58" fillId="0" borderId="16" xfId="0" applyFont="1" applyBorder="1" applyAlignment="1">
      <alignment vertical="top" wrapText="1"/>
    </xf>
    <xf numFmtId="0" fontId="58" fillId="0" borderId="0" xfId="0" applyFont="1" applyAlignment="1">
      <alignment vertical="top" wrapText="1"/>
    </xf>
    <xf numFmtId="0" fontId="31" fillId="0" borderId="0" xfId="0" applyFont="1" applyAlignment="1">
      <alignment wrapText="1"/>
    </xf>
    <xf numFmtId="0" fontId="59" fillId="0" borderId="0" xfId="0" applyFont="1" applyAlignment="1">
      <alignment wrapText="1"/>
    </xf>
    <xf numFmtId="0" fontId="61" fillId="6" borderId="0" xfId="0" applyFont="1" applyFill="1"/>
    <xf numFmtId="0" fontId="0" fillId="6" borderId="0" xfId="0" applyFill="1"/>
    <xf numFmtId="0" fontId="31" fillId="0" borderId="0" xfId="0" applyFont="1" applyAlignment="1">
      <alignment vertical="top" wrapText="1"/>
    </xf>
    <xf numFmtId="0" fontId="58" fillId="0" borderId="0" xfId="0" applyFont="1"/>
    <xf numFmtId="0" fontId="35" fillId="0" borderId="0" xfId="0" applyFont="1"/>
    <xf numFmtId="0" fontId="61" fillId="14" borderId="4" xfId="0" applyFont="1" applyFill="1" applyBorder="1" applyAlignment="1">
      <alignment horizontal="center" wrapText="1"/>
    </xf>
    <xf numFmtId="0" fontId="61" fillId="14" borderId="10" xfId="0" applyFont="1" applyFill="1" applyBorder="1" applyAlignment="1">
      <alignment horizontal="center" wrapText="1"/>
    </xf>
    <xf numFmtId="0" fontId="61" fillId="14" borderId="5" xfId="0" applyFont="1" applyFill="1" applyBorder="1" applyAlignment="1">
      <alignment horizontal="center" wrapText="1"/>
    </xf>
    <xf numFmtId="0" fontId="32" fillId="0" borderId="6" xfId="0" applyFont="1" applyBorder="1" applyAlignment="1">
      <alignment horizontal="center"/>
    </xf>
    <xf numFmtId="0" fontId="32" fillId="0" borderId="0" xfId="0" applyFont="1" applyAlignment="1">
      <alignment horizontal="center"/>
    </xf>
    <xf numFmtId="0" fontId="32" fillId="0" borderId="7" xfId="0" applyFont="1" applyBorder="1" applyAlignment="1">
      <alignment horizontal="center"/>
    </xf>
    <xf numFmtId="0" fontId="63" fillId="0" borderId="6" xfId="0" applyFont="1" applyBorder="1" applyAlignment="1">
      <alignment horizontal="center" wrapText="1"/>
    </xf>
    <xf numFmtId="0" fontId="63" fillId="0" borderId="0" xfId="0" applyFont="1" applyAlignment="1">
      <alignment horizontal="center" wrapText="1"/>
    </xf>
    <xf numFmtId="0" fontId="63" fillId="0" borderId="7" xfId="0" applyFont="1" applyBorder="1" applyAlignment="1">
      <alignment horizontal="center" wrapText="1"/>
    </xf>
    <xf numFmtId="0" fontId="63" fillId="0" borderId="8" xfId="0" applyFont="1" applyBorder="1" applyAlignment="1">
      <alignment horizontal="center" wrapText="1"/>
    </xf>
    <xf numFmtId="0" fontId="63" fillId="0" borderId="11" xfId="0" applyFont="1" applyBorder="1" applyAlignment="1">
      <alignment horizontal="center" wrapText="1"/>
    </xf>
    <xf numFmtId="0" fontId="63" fillId="0" borderId="9" xfId="0" applyFont="1" applyBorder="1" applyAlignment="1">
      <alignment horizontal="center" wrapText="1"/>
    </xf>
    <xf numFmtId="0" fontId="35" fillId="0" borderId="6" xfId="0" applyFont="1" applyBorder="1"/>
    <xf numFmtId="0" fontId="35" fillId="0" borderId="7" xfId="0" applyFont="1" applyBorder="1"/>
    <xf numFmtId="0" fontId="55" fillId="0" borderId="6" xfId="0" applyFont="1" applyBorder="1" applyAlignment="1">
      <alignment horizontal="center"/>
    </xf>
    <xf numFmtId="0" fontId="55" fillId="0" borderId="0" xfId="0" applyFont="1" applyAlignment="1">
      <alignment horizontal="center"/>
    </xf>
    <xf numFmtId="0" fontId="55" fillId="0" borderId="7" xfId="0" applyFont="1" applyBorder="1" applyAlignment="1">
      <alignment horizontal="center"/>
    </xf>
    <xf numFmtId="0" fontId="56" fillId="0" borderId="0" xfId="0" applyFont="1" applyAlignment="1">
      <alignment wrapText="1"/>
    </xf>
    <xf numFmtId="0" fontId="35" fillId="0" borderId="0" xfId="0" applyFont="1" applyAlignment="1">
      <alignment wrapText="1"/>
    </xf>
    <xf numFmtId="0" fontId="63" fillId="0" borderId="0" xfId="0" applyFont="1" applyAlignment="1">
      <alignment wrapText="1"/>
    </xf>
    <xf numFmtId="0" fontId="56" fillId="15" borderId="4" xfId="0" applyFont="1" applyFill="1" applyBorder="1" applyAlignment="1">
      <alignment horizontal="center" wrapText="1"/>
    </xf>
    <xf numFmtId="0" fontId="56" fillId="15" borderId="10" xfId="0" applyFont="1" applyFill="1" applyBorder="1" applyAlignment="1">
      <alignment horizontal="center" wrapText="1"/>
    </xf>
    <xf numFmtId="0" fontId="56" fillId="15" borderId="5" xfId="0" applyFont="1" applyFill="1" applyBorder="1" applyAlignment="1">
      <alignment horizontal="center" wrapText="1"/>
    </xf>
    <xf numFmtId="0" fontId="56" fillId="16" borderId="4" xfId="0" applyFont="1" applyFill="1" applyBorder="1" applyAlignment="1">
      <alignment horizontal="center" wrapText="1"/>
    </xf>
    <xf numFmtId="0" fontId="56" fillId="16" borderId="10" xfId="0" applyFont="1" applyFill="1" applyBorder="1" applyAlignment="1">
      <alignment horizontal="center" wrapText="1"/>
    </xf>
    <xf numFmtId="0" fontId="56" fillId="16" borderId="5" xfId="0" applyFont="1" applyFill="1" applyBorder="1" applyAlignment="1">
      <alignment horizontal="center" wrapText="1"/>
    </xf>
    <xf numFmtId="0" fontId="35" fillId="0" borderId="0" xfId="0" applyFont="1" applyAlignment="1">
      <alignment vertical="top" wrapText="1"/>
    </xf>
    <xf numFmtId="0" fontId="63" fillId="0" borderId="0" xfId="0" applyFont="1" applyAlignment="1">
      <alignment vertical="top" wrapText="1"/>
    </xf>
    <xf numFmtId="0" fontId="65" fillId="5" borderId="0" xfId="0" applyFont="1" applyFill="1" applyProtection="1">
      <protection locked="0"/>
    </xf>
    <xf numFmtId="0" fontId="63" fillId="0" borderId="0" xfId="0" applyFont="1"/>
    <xf numFmtId="0" fontId="56" fillId="0" borderId="0" xfId="0" applyFont="1"/>
    <xf numFmtId="0" fontId="62" fillId="0" borderId="0" xfId="0" applyFont="1" applyAlignment="1">
      <alignment wrapText="1"/>
    </xf>
    <xf numFmtId="0" fontId="64" fillId="17" borderId="0" xfId="0" applyFont="1" applyFill="1" applyAlignment="1">
      <alignment shrinkToFit="1"/>
    </xf>
    <xf numFmtId="0" fontId="57" fillId="0" borderId="0" xfId="0" applyFont="1" applyAlignment="1">
      <alignment horizontal="right" vertical="center" wrapText="1"/>
    </xf>
    <xf numFmtId="0" fontId="35" fillId="0" borderId="0" xfId="0" applyFont="1" applyAlignment="1">
      <alignment horizontal="right" vertical="center" wrapText="1"/>
    </xf>
    <xf numFmtId="0" fontId="60" fillId="5" borderId="0" xfId="0" applyFont="1" applyFill="1" applyAlignment="1" applyProtection="1">
      <alignment vertical="center" shrinkToFit="1"/>
      <protection locked="0"/>
    </xf>
    <xf numFmtId="0" fontId="65" fillId="5" borderId="0" xfId="0" applyFont="1" applyFill="1" applyAlignment="1" applyProtection="1">
      <alignment vertical="center" shrinkToFit="1"/>
      <protection locked="0"/>
    </xf>
    <xf numFmtId="0" fontId="67" fillId="0" borderId="0" xfId="0" applyFont="1" applyAlignment="1">
      <alignment vertical="top" wrapText="1"/>
    </xf>
    <xf numFmtId="0" fontId="59" fillId="12" borderId="0" xfId="0" applyFont="1" applyFill="1" applyAlignment="1">
      <alignment wrapText="1"/>
    </xf>
    <xf numFmtId="0" fontId="68" fillId="0" borderId="0" xfId="0" applyFont="1" applyAlignment="1">
      <alignment vertical="top" wrapText="1"/>
    </xf>
    <xf numFmtId="0" fontId="60" fillId="5" borderId="0" xfId="0" applyFont="1" applyFill="1" applyProtection="1">
      <protection locked="0"/>
    </xf>
    <xf numFmtId="0" fontId="71" fillId="0" borderId="0" xfId="0" applyFont="1"/>
    <xf numFmtId="0" fontId="57" fillId="0" borderId="0" xfId="0" applyFont="1" applyAlignment="1">
      <alignment horizontal="right" vertical="center"/>
    </xf>
    <xf numFmtId="0" fontId="69" fillId="8" borderId="0" xfId="0" applyFont="1" applyFill="1" applyAlignment="1">
      <alignment wrapText="1"/>
    </xf>
    <xf numFmtId="0" fontId="35" fillId="8" borderId="0" xfId="0" applyFont="1" applyFill="1" applyAlignment="1">
      <alignment wrapText="1"/>
    </xf>
    <xf numFmtId="0" fontId="57" fillId="0" borderId="0" xfId="0" applyFont="1" applyAlignment="1">
      <alignment horizontal="right"/>
    </xf>
    <xf numFmtId="0" fontId="62" fillId="0" borderId="0" xfId="0" applyFont="1"/>
    <xf numFmtId="0" fontId="64" fillId="8" borderId="0" xfId="0" applyFont="1" applyFill="1" applyAlignment="1">
      <alignment horizontal="center" vertical="center" wrapText="1"/>
    </xf>
    <xf numFmtId="0" fontId="66" fillId="0" borderId="16" xfId="0" applyFont="1" applyBorder="1"/>
    <xf numFmtId="0" fontId="80" fillId="0" borderId="0" xfId="0" applyFont="1" applyAlignment="1">
      <alignment vertical="top" wrapText="1"/>
    </xf>
    <xf numFmtId="0" fontId="73" fillId="0" borderId="16" xfId="0" applyFont="1" applyBorder="1" applyAlignment="1">
      <alignment horizontal="center" vertical="center" wrapText="1"/>
    </xf>
    <xf numFmtId="0" fontId="67" fillId="0" borderId="18" xfId="0" applyFont="1" applyBorder="1" applyAlignment="1">
      <alignment horizontal="center"/>
    </xf>
    <xf numFmtId="0" fontId="57" fillId="0" borderId="16" xfId="0" applyFont="1" applyBorder="1" applyAlignment="1">
      <alignment vertical="center"/>
    </xf>
    <xf numFmtId="0" fontId="57" fillId="0" borderId="18" xfId="0" applyFont="1" applyBorder="1" applyAlignment="1">
      <alignment vertical="center"/>
    </xf>
    <xf numFmtId="0" fontId="73" fillId="0" borderId="0" xfId="0" applyFont="1" applyAlignment="1">
      <alignment horizontal="center" vertical="center" wrapText="1"/>
    </xf>
    <xf numFmtId="0" fontId="57" fillId="0" borderId="0" xfId="0" applyFont="1" applyAlignment="1">
      <alignment vertical="center"/>
    </xf>
    <xf numFmtId="0" fontId="73" fillId="8" borderId="0" xfId="0" applyFont="1" applyFill="1" applyAlignment="1">
      <alignment horizontal="center" vertical="center" wrapText="1"/>
    </xf>
    <xf numFmtId="0" fontId="78" fillId="0" borderId="0" xfId="0" applyFont="1" applyAlignment="1">
      <alignment vertical="top" wrapText="1"/>
    </xf>
    <xf numFmtId="0" fontId="62" fillId="0" borderId="0" xfId="0" applyFont="1" applyAlignment="1">
      <alignment vertical="center"/>
    </xf>
    <xf numFmtId="0" fontId="76" fillId="0" borderId="0" xfId="0" applyFont="1" applyAlignment="1">
      <alignment vertical="center"/>
    </xf>
    <xf numFmtId="0" fontId="75" fillId="6" borderId="0" xfId="0" applyFont="1" applyFill="1" applyAlignment="1">
      <alignment wrapText="1"/>
    </xf>
    <xf numFmtId="0" fontId="73" fillId="8" borderId="0" xfId="0" applyFont="1" applyFill="1" applyAlignment="1">
      <alignment horizontal="center" wrapText="1"/>
    </xf>
    <xf numFmtId="0" fontId="81" fillId="0" borderId="0" xfId="0" applyFont="1" applyAlignment="1">
      <alignment vertical="top" wrapText="1"/>
    </xf>
    <xf numFmtId="0" fontId="70" fillId="0" borderId="0" xfId="0" applyFont="1" applyAlignment="1">
      <alignment vertical="top" wrapText="1"/>
    </xf>
    <xf numFmtId="0" fontId="62" fillId="7" borderId="0" xfId="0" applyFont="1" applyFill="1" applyAlignment="1">
      <alignment wrapText="1"/>
    </xf>
    <xf numFmtId="0" fontId="59" fillId="12" borderId="0" xfId="0" applyFont="1" applyFill="1" applyAlignment="1">
      <alignment vertical="top" wrapText="1"/>
    </xf>
    <xf numFmtId="0" fontId="64" fillId="8" borderId="0" xfId="0" applyFont="1" applyFill="1"/>
    <xf numFmtId="0" fontId="82" fillId="8" borderId="0" xfId="0" applyFont="1" applyFill="1"/>
    <xf numFmtId="0" fontId="35" fillId="0" borderId="0" xfId="0" applyFont="1" applyAlignment="1">
      <alignment horizontal="right"/>
    </xf>
    <xf numFmtId="0" fontId="55" fillId="0" borderId="0" xfId="0" applyFont="1"/>
    <xf numFmtId="0" fontId="58" fillId="0" borderId="0" xfId="0" applyFont="1" applyAlignment="1">
      <alignment horizontal="right"/>
    </xf>
    <xf numFmtId="49" fontId="60" fillId="5" borderId="0" xfId="0" applyNumberFormat="1" applyFont="1" applyFill="1" applyAlignment="1" applyProtection="1">
      <alignment horizontal="left"/>
      <protection locked="0"/>
    </xf>
    <xf numFmtId="0" fontId="74" fillId="0" borderId="0" xfId="0" applyFont="1" applyAlignment="1">
      <alignment vertical="top" wrapText="1"/>
    </xf>
    <xf numFmtId="0" fontId="2" fillId="0" borderId="0" xfId="0" applyFont="1" applyAlignment="1">
      <alignment vertical="top" wrapText="1"/>
    </xf>
    <xf numFmtId="0" fontId="16" fillId="0" borderId="0" xfId="0" applyFont="1"/>
    <xf numFmtId="0" fontId="51" fillId="0" borderId="0" xfId="0" applyFont="1" applyAlignment="1">
      <alignment vertical="top" wrapText="1"/>
    </xf>
    <xf numFmtId="0" fontId="54" fillId="0" borderId="0" xfId="0" applyFont="1"/>
    <xf numFmtId="0" fontId="27" fillId="6" borderId="0" xfId="0" applyFont="1" applyFill="1"/>
    <xf numFmtId="0" fontId="77" fillId="0" borderId="0" xfId="0" applyFont="1"/>
    <xf numFmtId="0" fontId="58" fillId="0" borderId="0" xfId="0" quotePrefix="1" applyFont="1"/>
    <xf numFmtId="0" fontId="54" fillId="0" borderId="0" xfId="1" applyFont="1"/>
    <xf numFmtId="0" fontId="7" fillId="0" borderId="1" xfId="0" applyFont="1" applyBorder="1" applyAlignment="1">
      <alignment vertical="top" wrapText="1"/>
    </xf>
    <xf numFmtId="0" fontId="16" fillId="0" borderId="1" xfId="0" applyFont="1" applyBorder="1"/>
    <xf numFmtId="0" fontId="4" fillId="2" borderId="1" xfId="0" applyFont="1" applyFill="1" applyBorder="1" applyAlignment="1">
      <alignment vertical="center" wrapText="1"/>
    </xf>
    <xf numFmtId="0" fontId="16" fillId="0" borderId="2" xfId="0" applyFont="1" applyBorder="1"/>
    <xf numFmtId="0" fontId="16" fillId="0" borderId="3" xfId="0" applyFont="1" applyBorder="1"/>
    <xf numFmtId="0" fontId="15" fillId="0" borderId="0" xfId="0" applyFont="1" applyAlignment="1">
      <alignment vertical="top" wrapText="1"/>
    </xf>
    <xf numFmtId="49" fontId="20" fillId="0" borderId="1" xfId="0" applyNumberFormat="1" applyFont="1" applyBorder="1" applyAlignment="1" applyProtection="1">
      <alignment vertical="top"/>
    </xf>
    <xf numFmtId="49" fontId="21" fillId="0" borderId="1" xfId="0" applyNumberFormat="1" applyFont="1" applyBorder="1" applyAlignment="1" applyProtection="1">
      <alignment vertical="top"/>
    </xf>
    <xf numFmtId="0" fontId="22" fillId="5" borderId="1" xfId="0" applyFont="1" applyFill="1" applyBorder="1" applyAlignment="1" applyProtection="1">
      <alignment vertical="top"/>
    </xf>
    <xf numFmtId="49" fontId="25" fillId="0" borderId="1" xfId="0" quotePrefix="1" applyNumberFormat="1" applyFont="1" applyBorder="1" applyAlignment="1" applyProtection="1">
      <alignment vertical="top"/>
    </xf>
    <xf numFmtId="49" fontId="22" fillId="5" borderId="1" xfId="0" applyNumberFormat="1" applyFont="1" applyFill="1" applyBorder="1" applyAlignment="1" applyProtection="1">
      <alignment vertical="top"/>
    </xf>
    <xf numFmtId="49" fontId="21" fillId="0" borderId="0" xfId="0" applyNumberFormat="1" applyFont="1" applyAlignment="1" applyProtection="1">
      <alignment vertical="top"/>
    </xf>
    <xf numFmtId="0" fontId="22" fillId="5" borderId="0" xfId="0" applyFont="1" applyFill="1" applyAlignment="1" applyProtection="1">
      <alignment vertical="top"/>
    </xf>
    <xf numFmtId="49" fontId="22" fillId="5" borderId="0" xfId="0" applyNumberFormat="1" applyFont="1" applyFill="1" applyAlignment="1" applyProtection="1">
      <alignment vertical="top"/>
    </xf>
    <xf numFmtId="164" fontId="22" fillId="5" borderId="0" xfId="0" applyNumberFormat="1" applyFont="1" applyFill="1" applyAlignment="1" applyProtection="1">
      <alignment vertical="top"/>
    </xf>
    <xf numFmtId="0" fontId="22" fillId="5" borderId="0" xfId="0" quotePrefix="1" applyFont="1" applyFill="1" applyAlignment="1" applyProtection="1">
      <alignment vertical="top"/>
    </xf>
    <xf numFmtId="0" fontId="5" fillId="3" borderId="1" xfId="0" applyFont="1" applyFill="1" applyBorder="1" applyAlignment="1" applyProtection="1">
      <alignment vertical="top"/>
    </xf>
    <xf numFmtId="0" fontId="5" fillId="3" borderId="1" xfId="0" applyFont="1" applyFill="1" applyBorder="1" applyAlignment="1" applyProtection="1">
      <alignment vertical="top" wrapText="1"/>
    </xf>
    <xf numFmtId="0" fontId="21" fillId="7" borderId="0" xfId="0" applyFont="1" applyFill="1" applyAlignment="1" applyProtection="1">
      <alignment vertical="top" wrapText="1"/>
    </xf>
    <xf numFmtId="164" fontId="21" fillId="7" borderId="0" xfId="0" applyNumberFormat="1" applyFont="1" applyFill="1" applyAlignment="1" applyProtection="1">
      <alignment vertical="top" wrapText="1"/>
    </xf>
    <xf numFmtId="0" fontId="5" fillId="3" borderId="1" xfId="0" quotePrefix="1" applyFont="1" applyFill="1" applyBorder="1" applyAlignment="1" applyProtection="1">
      <alignment vertical="top"/>
    </xf>
    <xf numFmtId="49" fontId="22" fillId="5" borderId="13" xfId="0" quotePrefix="1" applyNumberFormat="1" applyFont="1" applyFill="1" applyBorder="1" applyAlignment="1" applyProtection="1">
      <alignment vertical="top"/>
    </xf>
    <xf numFmtId="0" fontId="22" fillId="5" borderId="14" xfId="0" applyFont="1" applyFill="1" applyBorder="1" applyAlignment="1" applyProtection="1">
      <alignment vertical="top"/>
    </xf>
    <xf numFmtId="1" fontId="22" fillId="5" borderId="14" xfId="0" applyNumberFormat="1" applyFont="1" applyFill="1" applyBorder="1" applyAlignment="1" applyProtection="1">
      <alignment vertical="top"/>
    </xf>
    <xf numFmtId="0" fontId="22" fillId="5" borderId="15" xfId="0" quotePrefix="1" applyFont="1" applyFill="1" applyBorder="1" applyAlignment="1" applyProtection="1">
      <alignment vertical="top"/>
    </xf>
    <xf numFmtId="0" fontId="22" fillId="5" borderId="14" xfId="0" quotePrefix="1" applyFont="1" applyFill="1" applyBorder="1" applyAlignment="1" applyProtection="1">
      <alignment vertical="top"/>
    </xf>
    <xf numFmtId="0" fontId="22" fillId="5" borderId="0" xfId="0" applyFont="1" applyFill="1" applyProtection="1"/>
    <xf numFmtId="49" fontId="22" fillId="5" borderId="0" xfId="0" applyNumberFormat="1" applyFont="1" applyFill="1" applyProtection="1"/>
    <xf numFmtId="164" fontId="22" fillId="5" borderId="0" xfId="0" applyNumberFormat="1" applyFont="1" applyFill="1" applyProtection="1"/>
    <xf numFmtId="164" fontId="5" fillId="3" borderId="1" xfId="0" applyNumberFormat="1" applyFont="1" applyFill="1" applyBorder="1" applyAlignment="1" applyProtection="1">
      <alignment vertical="top"/>
    </xf>
    <xf numFmtId="165" fontId="5" fillId="3" borderId="1" xfId="0" applyNumberFormat="1" applyFont="1" applyFill="1" applyBorder="1" applyAlignment="1" applyProtection="1">
      <alignment vertical="top"/>
    </xf>
    <xf numFmtId="164" fontId="5" fillId="3" borderId="13" xfId="0" applyNumberFormat="1" applyFont="1" applyFill="1" applyBorder="1" applyAlignment="1" applyProtection="1">
      <alignment vertical="top"/>
    </xf>
    <xf numFmtId="0" fontId="5" fillId="3" borderId="14" xfId="0" quotePrefix="1" applyFont="1" applyFill="1" applyBorder="1" applyAlignment="1" applyProtection="1">
      <alignment vertical="top"/>
    </xf>
    <xf numFmtId="165" fontId="5" fillId="3" borderId="14" xfId="0" applyNumberFormat="1" applyFont="1" applyFill="1" applyBorder="1" applyAlignment="1" applyProtection="1">
      <alignment vertical="top"/>
    </xf>
    <xf numFmtId="0" fontId="5" fillId="3" borderId="15" xfId="0" quotePrefix="1" applyFont="1" applyFill="1" applyBorder="1" applyAlignment="1" applyProtection="1">
      <alignment vertical="top"/>
    </xf>
    <xf numFmtId="1" fontId="5" fillId="3" borderId="1" xfId="0" applyNumberFormat="1" applyFont="1" applyFill="1" applyBorder="1" applyAlignment="1" applyProtection="1">
      <alignment vertical="top"/>
    </xf>
    <xf numFmtId="49" fontId="5" fillId="3" borderId="1" xfId="0" applyNumberFormat="1" applyFont="1" applyFill="1" applyBorder="1" applyAlignment="1" applyProtection="1">
      <alignment vertical="top"/>
    </xf>
    <xf numFmtId="166" fontId="5" fillId="3" borderId="1" xfId="0" applyNumberFormat="1" applyFont="1" applyFill="1" applyBorder="1" applyAlignment="1" applyProtection="1">
      <alignment vertical="top"/>
    </xf>
    <xf numFmtId="166" fontId="8" fillId="0" borderId="1" xfId="0" applyNumberFormat="1" applyFont="1" applyBorder="1" applyAlignment="1" applyProtection="1">
      <alignment vertical="top"/>
    </xf>
    <xf numFmtId="166" fontId="7" fillId="0" borderId="1" xfId="0" applyNumberFormat="1" applyFont="1" applyBorder="1" applyAlignment="1" applyProtection="1">
      <alignment vertical="top"/>
    </xf>
    <xf numFmtId="0" fontId="7" fillId="0" borderId="1" xfId="0" applyFont="1" applyBorder="1" applyAlignment="1" applyProtection="1">
      <alignment vertical="top"/>
    </xf>
    <xf numFmtId="49" fontId="22" fillId="5" borderId="0" xfId="0" applyNumberFormat="1" applyFont="1" applyFill="1" applyAlignment="1" applyProtection="1">
      <alignment vertical="top" wrapText="1"/>
    </xf>
    <xf numFmtId="164" fontId="22" fillId="5" borderId="0" xfId="0" applyNumberFormat="1" applyFont="1" applyFill="1" applyAlignment="1" applyProtection="1">
      <alignment vertical="top" wrapText="1"/>
    </xf>
    <xf numFmtId="49" fontId="22" fillId="5" borderId="0" xfId="0" quotePrefix="1" applyNumberFormat="1" applyFont="1" applyFill="1" applyAlignment="1" applyProtection="1">
      <alignment vertical="top" wrapText="1"/>
    </xf>
    <xf numFmtId="0" fontId="0" fillId="0" borderId="0" xfId="0" applyAlignment="1" applyProtection="1">
      <alignment vertical="top" wrapText="1"/>
    </xf>
    <xf numFmtId="3" fontId="0" fillId="0" borderId="0" xfId="0" applyNumberFormat="1" applyAlignment="1" applyProtection="1">
      <alignment horizontal="center" vertical="top" wrapText="1"/>
    </xf>
    <xf numFmtId="0" fontId="0" fillId="0" borderId="0" xfId="0" applyAlignment="1" applyProtection="1">
      <alignment horizontal="center" vertical="top" wrapText="1"/>
    </xf>
    <xf numFmtId="0" fontId="19" fillId="0" borderId="0" xfId="0" applyFont="1" applyAlignment="1" applyProtection="1">
      <alignment horizontal="center" vertical="top" wrapText="1"/>
    </xf>
    <xf numFmtId="0" fontId="22" fillId="5" borderId="0" xfId="0" applyFont="1" applyFill="1" applyAlignment="1" applyProtection="1">
      <alignment vertical="top" wrapText="1"/>
    </xf>
    <xf numFmtId="0" fontId="0" fillId="7" borderId="0" xfId="0" applyFill="1" applyAlignment="1" applyProtection="1">
      <alignment vertical="top" wrapText="1"/>
    </xf>
    <xf numFmtId="0" fontId="0" fillId="7" borderId="0" xfId="0" quotePrefix="1" applyFill="1" applyAlignment="1" applyProtection="1">
      <alignment vertical="top" wrapText="1"/>
    </xf>
    <xf numFmtId="1" fontId="21" fillId="0" borderId="1" xfId="0" applyNumberFormat="1" applyFont="1" applyBorder="1" applyAlignment="1" applyProtection="1">
      <alignment vertical="top"/>
    </xf>
    <xf numFmtId="0" fontId="21" fillId="0" borderId="1" xfId="0" quotePrefix="1" applyFont="1" applyBorder="1" applyAlignment="1" applyProtection="1">
      <alignment vertical="top"/>
    </xf>
    <xf numFmtId="167" fontId="21" fillId="0" borderId="1" xfId="0" applyNumberFormat="1" applyFont="1" applyBorder="1" applyAlignment="1" applyProtection="1">
      <alignment vertical="top"/>
    </xf>
    <xf numFmtId="3" fontId="21" fillId="0" borderId="1" xfId="0" applyNumberFormat="1" applyFont="1" applyBorder="1" applyAlignment="1" applyProtection="1">
      <alignment vertical="top"/>
    </xf>
    <xf numFmtId="166" fontId="21" fillId="0" borderId="1" xfId="0" applyNumberFormat="1" applyFont="1" applyBorder="1" applyAlignment="1" applyProtection="1">
      <alignment vertical="top"/>
    </xf>
    <xf numFmtId="0" fontId="21" fillId="0" borderId="1" xfId="0" applyFont="1" applyBorder="1" applyAlignment="1" applyProtection="1">
      <alignment vertical="top"/>
    </xf>
    <xf numFmtId="0" fontId="22" fillId="5" borderId="1" xfId="0" quotePrefix="1" applyFont="1" applyFill="1" applyBorder="1" applyAlignment="1" applyProtection="1">
      <alignment vertical="top" wrapText="1"/>
    </xf>
    <xf numFmtId="3" fontId="8" fillId="0" borderId="1" xfId="0" applyNumberFormat="1" applyFont="1" applyBorder="1" applyAlignment="1" applyProtection="1">
      <alignment vertical="top"/>
    </xf>
    <xf numFmtId="49" fontId="7" fillId="0" borderId="0" xfId="0" quotePrefix="1" applyNumberFormat="1" applyFont="1" applyAlignment="1" applyProtection="1">
      <alignment vertical="top"/>
    </xf>
    <xf numFmtId="0" fontId="7" fillId="0" borderId="0" xfId="0" applyFont="1" applyAlignment="1" applyProtection="1">
      <alignment vertical="top"/>
    </xf>
    <xf numFmtId="166" fontId="7" fillId="0" borderId="0" xfId="0" applyNumberFormat="1" applyFont="1" applyAlignment="1" applyProtection="1">
      <alignment vertical="top"/>
    </xf>
    <xf numFmtId="0" fontId="0" fillId="0" borderId="0" xfId="0" applyProtection="1"/>
    <xf numFmtId="0" fontId="0" fillId="0" borderId="0" xfId="0" quotePrefix="1" applyProtection="1"/>
    <xf numFmtId="167" fontId="0" fillId="0" borderId="0" xfId="0" applyNumberFormat="1" applyProtection="1"/>
    <xf numFmtId="4" fontId="0" fillId="0" borderId="0" xfId="0" applyNumberFormat="1" applyProtection="1"/>
    <xf numFmtId="170" fontId="0" fillId="0" borderId="0" xfId="0" applyNumberFormat="1" applyProtection="1"/>
    <xf numFmtId="49" fontId="0" fillId="0" borderId="0" xfId="0" applyNumberFormat="1" applyProtection="1"/>
    <xf numFmtId="49" fontId="22" fillId="5" borderId="0" xfId="0" applyNumberFormat="1" applyFont="1" applyFill="1" applyAlignment="1" applyProtection="1">
      <alignment wrapText="1"/>
    </xf>
    <xf numFmtId="49" fontId="0" fillId="0" borderId="0" xfId="0" applyNumberFormat="1" applyAlignment="1" applyProtection="1">
      <alignment vertical="top" wrapText="1"/>
    </xf>
    <xf numFmtId="0" fontId="22" fillId="5" borderId="0" xfId="0" applyFont="1" applyFill="1" applyAlignment="1" applyProtection="1">
      <alignment wrapText="1"/>
    </xf>
  </cellXfs>
  <cellStyles count="2">
    <cellStyle name="Hyperlink" xfId="1" builtinId="8"/>
    <cellStyle name="Normal" xfId="0" builtinId="0" customBuiltin="1"/>
  </cellStyles>
  <dxfs count="1289">
    <dxf>
      <numFmt numFmtId="27" formatCode="m/d/yyyy\ h:mm"/>
    </dxf>
    <dxf>
      <font>
        <b/>
        <color rgb="FF1F4E79"/>
        <name val="Arial"/>
      </font>
      <fill>
        <patternFill patternType="solid">
          <fgColor rgb="FFDDEBF7"/>
          <bgColor rgb="FFDDEBF7"/>
        </patternFill>
      </fill>
    </dxf>
    <dxf>
      <font>
        <b/>
        <color rgb="FF9C0006"/>
        <name val="Arial"/>
      </font>
      <fill>
        <patternFill patternType="solid">
          <fgColor rgb="FFFFC7CE"/>
          <bgColor rgb="FFFFC7CE"/>
        </patternFill>
      </fill>
    </dxf>
    <dxf>
      <font>
        <b/>
        <color rgb="FF9C0006"/>
        <name val="Arial"/>
      </font>
      <fill>
        <patternFill patternType="solid">
          <fgColor rgb="FFFFC7CE"/>
          <bgColor rgb="FFFFC7CE"/>
        </patternFill>
      </fill>
    </dxf>
    <dxf>
      <font>
        <b/>
        <color rgb="FF006100"/>
        <name val="Arial"/>
      </font>
      <fill>
        <patternFill patternType="solid">
          <fgColor rgb="FFC6EFCE"/>
          <bgColor rgb="FFC6EFCE"/>
        </patternFill>
      </fill>
    </dxf>
    <dxf>
      <font>
        <b/>
        <color rgb="FF006100"/>
        <name val="Arial"/>
      </font>
      <fill>
        <patternFill patternType="solid">
          <fgColor rgb="FFC6EFCE"/>
          <bgColor rgb="FFC6EFCE"/>
        </patternFill>
      </fill>
    </dxf>
    <dxf>
      <font>
        <b/>
        <color rgb="FF9C0006"/>
        <name val="Arial"/>
      </font>
      <fill>
        <patternFill patternType="solid">
          <fgColor rgb="FFFFC7CE"/>
          <bgColor rgb="FFFFC7CE"/>
        </patternFill>
      </fill>
    </dxf>
    <dxf>
      <fill>
        <patternFill>
          <bgColor rgb="FFF2F2F2"/>
        </patternFill>
      </fill>
    </dxf>
    <dxf>
      <fill>
        <patternFill>
          <bgColor rgb="FFF2F2F2"/>
        </patternFill>
      </fill>
    </dxf>
    <dxf>
      <font>
        <color rgb="FF006100"/>
      </font>
      <fill>
        <patternFill>
          <bgColor rgb="FFC6EFCE"/>
        </patternFill>
      </fill>
    </dxf>
    <dxf>
      <font>
        <color rgb="FF9C6500"/>
      </font>
      <fill>
        <patternFill>
          <bgColor rgb="FFFFEB9C"/>
        </patternFill>
      </fill>
    </dxf>
    <dxf>
      <fill>
        <patternFill>
          <bgColor rgb="FFF2F2F2"/>
        </patternFill>
      </fill>
    </dxf>
    <dxf>
      <font>
        <b/>
        <color rgb="FF1F4E79"/>
        <name val="Arial"/>
      </font>
      <fill>
        <patternFill patternType="solid">
          <fgColor rgb="FFDDEBF7"/>
          <bgColor rgb="FFDDEBF7"/>
        </patternFill>
      </fill>
    </dxf>
    <dxf>
      <font>
        <b/>
        <color rgb="FF9C0006"/>
        <name val="Arial"/>
      </font>
      <fill>
        <patternFill patternType="solid">
          <fgColor rgb="FFFFC7CE"/>
          <bgColor rgb="FFFFC7CE"/>
        </patternFill>
      </fill>
    </dxf>
    <dxf>
      <font>
        <b/>
        <color rgb="FF9C0006"/>
        <name val="Arial"/>
      </font>
      <fill>
        <patternFill patternType="solid">
          <fgColor rgb="FFFFC7CE"/>
          <bgColor rgb="FFFFC7CE"/>
        </patternFill>
      </fill>
    </dxf>
    <dxf>
      <font>
        <b/>
        <color rgb="FF006100"/>
        <name val="Arial"/>
      </font>
      <fill>
        <patternFill patternType="solid">
          <fgColor rgb="FFC6EFCE"/>
          <bgColor rgb="FFC6EFCE"/>
        </patternFill>
      </fill>
    </dxf>
    <dxf>
      <font>
        <b/>
        <color rgb="FF1F4E79"/>
        <name val="Arial"/>
      </font>
      <fill>
        <patternFill patternType="solid">
          <fgColor rgb="FFDDEBF7"/>
          <bgColor rgb="FFDDEBF7"/>
        </patternFill>
      </fill>
    </dxf>
    <dxf>
      <font>
        <b/>
        <color rgb="FF9C0006"/>
        <name val="Arial"/>
      </font>
      <fill>
        <patternFill patternType="solid">
          <fgColor rgb="FFFFC7CE"/>
          <bgColor rgb="FFFFC7CE"/>
        </patternFill>
      </fill>
    </dxf>
    <dxf>
      <font>
        <b/>
        <color rgb="FF9C0006"/>
        <name val="Arial"/>
      </font>
      <fill>
        <patternFill patternType="solid">
          <fgColor rgb="FFFFC7CE"/>
          <bgColor rgb="FFFFC7CE"/>
        </patternFill>
      </fill>
    </dxf>
    <dxf>
      <font>
        <b/>
        <color rgb="FF006100"/>
        <name val="Arial"/>
      </font>
      <fill>
        <patternFill patternType="solid">
          <fgColor rgb="FFC6EFCE"/>
          <bgColor rgb="FFC6EFCE"/>
        </patternFill>
      </fill>
    </dxf>
    <dxf>
      <font>
        <color rgb="FF9C0006"/>
      </font>
      <fill>
        <patternFill>
          <bgColor rgb="FFFFC7CE"/>
        </patternFill>
      </fill>
    </dxf>
    <dxf>
      <font>
        <b/>
        <color rgb="FF1F4E79"/>
        <name val="Arial"/>
      </font>
      <fill>
        <patternFill patternType="solid">
          <fgColor rgb="FFDDEBF7"/>
          <bgColor rgb="FFDDEBF7"/>
        </patternFill>
      </fill>
    </dxf>
    <dxf>
      <font>
        <b/>
        <color rgb="FF9C0006"/>
        <name val="Arial"/>
      </font>
      <fill>
        <patternFill patternType="solid">
          <fgColor rgb="FFFFC7CE"/>
          <bgColor rgb="FFFFC7CE"/>
        </patternFill>
      </fill>
    </dxf>
    <dxf>
      <font>
        <b/>
        <color rgb="FF9C0006"/>
        <name val="Arial"/>
      </font>
      <fill>
        <patternFill patternType="solid">
          <fgColor rgb="FFFFC7CE"/>
          <bgColor rgb="FFFFC7CE"/>
        </patternFill>
      </fill>
    </dxf>
    <dxf>
      <font>
        <b/>
        <color rgb="FF006100"/>
        <name val="Arial"/>
      </font>
      <fill>
        <patternFill patternType="solid">
          <fgColor rgb="FFC6EFCE"/>
          <bgColor rgb="FFC6EFCE"/>
        </patternFill>
      </fill>
    </dxf>
    <dxf>
      <font>
        <b/>
        <color rgb="FF9C0006"/>
        <name val="Arial"/>
      </font>
      <fill>
        <patternFill patternType="solid">
          <fgColor rgb="FFFFC7CE"/>
          <bgColor rgb="FFFFC7CE"/>
        </patternFill>
      </fill>
    </dxf>
    <dxf>
      <font>
        <b/>
        <color rgb="FF9C0006"/>
        <name val="Arial"/>
      </font>
      <fill>
        <patternFill patternType="solid">
          <fgColor rgb="FFFFC7CE"/>
          <bgColor rgb="FFFFC7CE"/>
        </patternFill>
      </fill>
    </dxf>
    <dxf>
      <font>
        <b/>
        <color rgb="FF9C0006"/>
        <name val="Arial"/>
      </font>
    </dxf>
    <dxf>
      <fill>
        <patternFill>
          <bgColor rgb="FFF8CBAD"/>
        </patternFill>
      </fill>
    </dxf>
    <dxf>
      <font>
        <b/>
        <color rgb="FF1F4E79"/>
        <name val="Arial"/>
      </font>
      <fill>
        <patternFill patternType="solid">
          <fgColor rgb="FFDDEBF7"/>
          <bgColor rgb="FFDDEBF7"/>
        </patternFill>
      </fill>
    </dxf>
    <dxf>
      <font>
        <b/>
        <color rgb="FF9C0006"/>
        <name val="Arial"/>
      </font>
      <fill>
        <patternFill patternType="solid">
          <fgColor rgb="FFFFC7CE"/>
          <bgColor rgb="FFFFC7CE"/>
        </patternFill>
      </fill>
    </dxf>
    <dxf>
      <font>
        <b/>
        <color rgb="FF9C0006"/>
        <name val="Arial"/>
      </font>
      <fill>
        <patternFill patternType="solid">
          <fgColor rgb="FFFFC7CE"/>
          <bgColor rgb="FFFFC7CE"/>
        </patternFill>
      </fill>
    </dxf>
    <dxf>
      <font>
        <b/>
        <color rgb="FF006100"/>
        <name val="Arial"/>
      </font>
      <fill>
        <patternFill patternType="solid">
          <fgColor rgb="FFC6EFCE"/>
          <bgColor rgb="FFC6EFCE"/>
        </patternFill>
      </fill>
    </dxf>
    <dxf>
      <font>
        <color rgb="FF9C0006"/>
      </font>
      <fill>
        <patternFill>
          <bgColor rgb="FFFFC7CE"/>
        </patternFill>
      </fill>
    </dxf>
    <dxf>
      <font>
        <color rgb="FF595959"/>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b/>
        <i val="0"/>
        <color rgb="FF9C0006"/>
      </font>
    </dxf>
    <dxf>
      <font>
        <b/>
        <i val="0"/>
        <color rgb="FF9C0006"/>
      </font>
    </dxf>
    <dxf>
      <font>
        <b/>
        <i val="0"/>
        <color rgb="FF9C0006"/>
      </font>
    </dxf>
    <dxf>
      <font>
        <b/>
        <i val="0"/>
        <color rgb="FF9C0006"/>
      </font>
    </dxf>
    <dxf>
      <font>
        <color rgb="FF595959"/>
      </font>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b/>
        <i val="0"/>
        <color rgb="FF9C0006"/>
      </font>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b/>
        <i val="0"/>
        <color rgb="FF9C0006"/>
      </font>
    </dxf>
    <dxf>
      <font>
        <b/>
        <i val="0"/>
        <color rgb="FF9C0006"/>
      </font>
    </dxf>
    <dxf>
      <font>
        <b/>
        <i val="0"/>
        <color rgb="FF9C0006"/>
      </font>
    </dxf>
    <dxf>
      <font>
        <color rgb="FF595959"/>
      </font>
    </dxf>
    <dxf>
      <font>
        <b/>
        <i val="0"/>
        <color rgb="FF9C0006"/>
      </font>
    </dxf>
    <dxf>
      <font>
        <color rgb="FF9C0006"/>
      </font>
    </dxf>
    <dxf>
      <font>
        <b/>
        <i val="0"/>
        <color rgb="FF9C6500"/>
      </font>
      <fill>
        <patternFill>
          <bgColor rgb="FFFFEB9C"/>
        </patternFill>
      </fill>
    </dxf>
    <dxf>
      <font>
        <b val="0"/>
        <i/>
        <color rgb="FF808080"/>
      </font>
    </dxf>
    <dxf>
      <font>
        <color rgb="FFA6A6A6"/>
      </font>
      <fill>
        <patternFill>
          <bgColor rgb="FFF2F2F2"/>
        </patternFill>
      </fill>
    </dxf>
    <dxf>
      <numFmt numFmtId="176" formatCode="0.000"/>
    </dxf>
    <dxf>
      <font>
        <b/>
        <i val="0"/>
        <color rgb="FF9C0006"/>
      </font>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b/>
        <i val="0"/>
        <color rgb="FF9C0006"/>
      </font>
    </dxf>
    <dxf>
      <font>
        <b/>
        <i val="0"/>
        <color rgb="FF9C6500"/>
      </font>
    </dxf>
    <dxf>
      <font>
        <b/>
        <i val="0"/>
        <color rgb="FF9C0006"/>
      </font>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b/>
        <i val="0"/>
        <color rgb="FF9C0006"/>
      </font>
    </dxf>
    <dxf>
      <font>
        <b/>
        <i val="0"/>
        <color rgb="FF9C6500"/>
      </font>
    </dxf>
    <dxf>
      <font>
        <b/>
        <i val="0"/>
        <color rgb="FF9C0006"/>
      </font>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b/>
        <i val="0"/>
        <color rgb="FF9C0006"/>
      </font>
    </dxf>
    <dxf>
      <font>
        <b/>
        <i val="0"/>
        <color rgb="FF9C6500"/>
      </font>
    </dxf>
    <dxf>
      <font>
        <b/>
        <i val="0"/>
        <color rgb="FF9C0006"/>
      </font>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b/>
        <i val="0"/>
        <color rgb="FF9C0006"/>
      </font>
    </dxf>
    <dxf>
      <font>
        <color rgb="FF595959"/>
      </font>
      <fill>
        <patternFill>
          <bgColor rgb="FFF2F2F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b val="0"/>
        <i/>
        <color rgb="FFA6A6A6"/>
      </font>
      <fill>
        <patternFill>
          <bgColor rgb="FFF2F2F2"/>
        </patternFill>
      </fill>
    </dxf>
    <dxf>
      <font>
        <color rgb="FF9C0006"/>
      </font>
      <fill>
        <patternFill>
          <bgColor rgb="FFFFC7CE"/>
        </patternFill>
      </fill>
    </dxf>
    <dxf>
      <font>
        <color rgb="FF006100"/>
      </font>
      <fill>
        <patternFill>
          <bgColor rgb="FFC6EFCE"/>
        </patternFill>
      </fill>
    </dxf>
    <dxf>
      <font>
        <color rgb="FF1F4E79"/>
      </font>
      <fill>
        <patternFill>
          <bgColor rgb="FFDDEBF7"/>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1F4E79"/>
      </font>
      <fill>
        <patternFill>
          <bgColor rgb="FFDDEBF7"/>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595959"/>
      </font>
    </dxf>
    <dxf>
      <font>
        <color rgb="FF1F4E79"/>
      </font>
      <fill>
        <patternFill>
          <bgColor rgb="FFDDEBF7"/>
        </patternFill>
      </fill>
    </dxf>
    <dxf>
      <font>
        <color rgb="FF9C0006"/>
      </font>
      <fill>
        <patternFill>
          <bgColor rgb="FFFFC7CE"/>
        </patternFill>
      </fill>
    </dxf>
    <dxf>
      <font>
        <color rgb="FF006100"/>
      </font>
      <fill>
        <patternFill>
          <bgColor rgb="FFC6EFCE"/>
        </patternFill>
      </fill>
    </dxf>
    <dxf>
      <font>
        <color rgb="FF1F4E79"/>
      </font>
      <fill>
        <patternFill>
          <bgColor rgb="FFDDEBF7"/>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1F4E79"/>
      </font>
      <fill>
        <patternFill>
          <bgColor rgb="FFDDEBF7"/>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1F4E79"/>
      </font>
      <fill>
        <patternFill>
          <bgColor rgb="FFDDEBF7"/>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1F4E79"/>
      </font>
      <fill>
        <patternFill>
          <bgColor rgb="FFDDEBF7"/>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1F4E79"/>
      </font>
      <fill>
        <patternFill>
          <bgColor rgb="FFDDEBF7"/>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1F4E79"/>
      </font>
      <fill>
        <patternFill>
          <bgColor rgb="FFDDEBF7"/>
        </patternFill>
      </fill>
    </dxf>
    <dxf>
      <font>
        <color rgb="FF9C6500"/>
      </font>
      <fill>
        <patternFill>
          <bgColor rgb="FFFFEB9C"/>
        </patternFill>
      </fill>
    </dxf>
    <dxf>
      <font>
        <color rgb="FF006100"/>
      </font>
      <fill>
        <patternFill>
          <bgColor rgb="FFC6EFCE"/>
        </patternFill>
      </fill>
    </dxf>
    <dxf>
      <numFmt numFmtId="1" formatCode="0"/>
    </dxf>
    <dxf>
      <numFmt numFmtId="166" formatCode="#,##0.00;\(#,##0.00\);&quot;-&quot;"/>
    </dxf>
    <dxf>
      <numFmt numFmtId="166" formatCode="#,##0.00;\(#,##0.00\);&quot;-&quot;"/>
    </dxf>
    <dxf>
      <numFmt numFmtId="166" formatCode="#,##0.00;\(#,##0.00\);&quot;-&quot;"/>
    </dxf>
    <dxf>
      <numFmt numFmtId="166" formatCode="#,##0.00;\(#,##0.00\);&quot;-&quot;"/>
    </dxf>
    <dxf>
      <numFmt numFmtId="1" formatCode="0"/>
    </dxf>
    <dxf>
      <numFmt numFmtId="1" formatCode="0"/>
    </dxf>
    <dxf>
      <numFmt numFmtId="167" formatCode="yyyy\-mm\-dd\ hh:mm"/>
    </dxf>
    <dxf>
      <numFmt numFmtId="1" formatCode="0"/>
    </dxf>
    <dxf>
      <numFmt numFmtId="167" formatCode="yyyy\-mm\-dd\ hh:mm"/>
    </dxf>
    <dxf>
      <numFmt numFmtId="166" formatCode="#,##0.00;\(#,##0.00\);&quot;-&quot;"/>
    </dxf>
    <dxf>
      <numFmt numFmtId="166" formatCode="#,##0.00;\(#,##0.00\);&quot;-&quot;"/>
    </dxf>
    <dxf>
      <numFmt numFmtId="165" formatCode="#,##0.0000"/>
    </dxf>
    <dxf>
      <numFmt numFmtId="19" formatCode="m/d/yyyy"/>
    </dxf>
    <dxf>
      <numFmt numFmtId="19" formatCode="m/d/yyyy"/>
    </dxf>
    <dxf>
      <numFmt numFmtId="19" formatCode="m/d/yyyy"/>
    </dxf>
    <dxf>
      <numFmt numFmtId="19" formatCode="m/d/yyyy"/>
    </dxf>
    <dxf>
      <numFmt numFmtId="19" formatCode="m/d/yyyy"/>
    </dxf>
    <dxf>
      <numFmt numFmtId="19" formatCode="m/d/yyyy"/>
    </dxf>
    <dxf>
      <numFmt numFmtId="166" formatCode="#,##0.00;\(#,##0.00\);&quot;-&quot;"/>
    </dxf>
    <dxf>
      <numFmt numFmtId="19" formatCode="m/d/yyyy"/>
    </dxf>
    <dxf>
      <numFmt numFmtId="19" formatCode="m/d/yyyy"/>
    </dxf>
    <dxf>
      <numFmt numFmtId="166" formatCode="#,##0.00;\(#,##0.00\);&quot;-&quot;"/>
    </dxf>
    <dxf>
      <numFmt numFmtId="164" formatCode="yyyy\-mm\-dd"/>
    </dxf>
    <dxf>
      <numFmt numFmtId="164" formatCode="yyyy\-mm\-dd"/>
    </dxf>
    <dxf>
      <numFmt numFmtId="164" formatCode="yyyy\-mm\-dd"/>
    </dxf>
    <dxf>
      <numFmt numFmtId="164" formatCode="yyyy\-mm\-dd"/>
    </dxf>
    <dxf>
      <numFmt numFmtId="19" formatCode="m/d/yyyy"/>
    </dxf>
    <dxf>
      <numFmt numFmtId="1" formatCode="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numFmt numFmtId="170" formatCode="yyyy\-mm\-dd\ hh:mm:ss"/>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numFmt numFmtId="30" formatCode="@"/>
      <protection locked="1" hidden="0"/>
    </dxf>
    <dxf>
      <font>
        <b val="0"/>
        <i val="0"/>
        <strike val="0"/>
        <condense val="0"/>
        <extend val="0"/>
        <outline val="0"/>
        <shadow val="0"/>
        <u val="none"/>
        <vertAlign val="baseline"/>
        <sz val="10"/>
        <color theme="1"/>
        <name val="Arial"/>
        <family val="2"/>
        <scheme val="none"/>
      </font>
      <numFmt numFmtId="30" formatCode="@"/>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numFmt numFmtId="30" formatCode="@"/>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textRotation="0" wrapText="1" indent="0" justifyLastLine="0" shrinkToFit="0" readingOrder="0"/>
      <protection locked="1" hidden="0"/>
    </dxf>
    <dxf>
      <alignment horizontal="general" vertical="top" textRotation="0" wrapText="1" indent="0" justifyLastLine="0" shrinkToFit="0" readingOrder="0"/>
      <protection locked="1" hidden="0"/>
    </dxf>
    <dxf>
      <numFmt numFmtId="30" formatCode="@"/>
      <alignment horizontal="general" vertical="top" textRotation="0" wrapText="1" indent="0" justifyLastLine="0" shrinkToFit="0" readingOrder="0"/>
      <protection locked="1" hidden="0"/>
    </dxf>
    <dxf>
      <numFmt numFmtId="30" formatCode="@"/>
      <alignment horizontal="general" vertical="top" textRotation="0" wrapText="1" indent="0" justifyLastLine="0" shrinkToFit="0" readingOrder="0"/>
      <protection locked="1" hidden="0"/>
    </dxf>
    <dxf>
      <numFmt numFmtId="30" formatCode="@"/>
      <alignment horizontal="general" vertical="top" textRotation="0" wrapText="1" indent="0" justifyLastLine="0" shrinkToFit="0" readingOrder="0"/>
      <protection locked="1" hidden="0"/>
    </dxf>
    <dxf>
      <numFmt numFmtId="30" formatCode="@"/>
      <alignment horizontal="general" vertical="top" textRotation="0" wrapText="1" indent="0" justifyLastLine="0" shrinkToFit="0" readingOrder="0"/>
      <protection locked="1" hidden="0"/>
    </dxf>
    <dxf>
      <numFmt numFmtId="30" formatCode="@"/>
      <alignment horizontal="general" vertical="top" textRotation="0" wrapText="1" indent="0" justifyLastLine="0" shrinkToFit="0" readingOrder="0"/>
      <protection locked="1" hidden="0"/>
    </dxf>
    <dxf>
      <numFmt numFmtId="30" formatCode="@"/>
      <alignment horizontal="general" vertical="top" textRotation="0" wrapText="1" indent="0" justifyLastLine="0" shrinkToFit="0" readingOrder="0"/>
      <protection locked="1" hidden="0"/>
    </dxf>
    <dxf>
      <numFmt numFmtId="30" formatCode="@"/>
      <alignment horizontal="general" vertical="top" textRotation="0" wrapText="1" indent="0" justifyLastLine="0" shrinkToFit="0" readingOrder="0"/>
      <protection locked="1" hidden="0"/>
    </dxf>
    <dxf>
      <alignment horizontal="general" vertical="bottom" textRotation="0" wrapText="0" indent="0" justifyLastLine="0" shrinkToFit="0" readingOrder="0"/>
      <protection locked="1" hidden="0"/>
    </dxf>
    <dxf>
      <alignment horizontal="general" vertical="bottom" textRotation="0" wrapText="0" indent="0" justifyLastLine="0" shrinkToFit="0" readingOrder="0"/>
      <protection locked="1" hidden="0"/>
    </dxf>
    <dxf>
      <font>
        <color rgb="FF0000FF"/>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color rgb="FF0000FF"/>
      </font>
      <numFmt numFmtId="30" formatCode="@"/>
      <fill>
        <patternFill patternType="solid">
          <fgColor indexed="64"/>
          <bgColor rgb="FFFFF59D"/>
        </patternFill>
      </fill>
      <alignment horizontal="general" vertical="bottom" textRotation="0" wrapText="0" indent="0" justifyLastLine="0" shrinkToFit="0" readingOrder="0"/>
      <protection locked="1" hidden="0"/>
    </dxf>
    <dxf>
      <numFmt numFmtId="30" formatCode="@"/>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numFmt numFmtId="170" formatCode="yyyy\-mm\-dd\ hh:mm:ss"/>
      <protection locked="1" hidden="0"/>
    </dxf>
    <dxf>
      <font>
        <b val="0"/>
        <i val="0"/>
        <strike val="0"/>
        <condense val="0"/>
        <extend val="0"/>
        <outline val="0"/>
        <shadow val="0"/>
        <u val="none"/>
        <vertAlign val="baseline"/>
        <sz val="10"/>
        <color theme="1"/>
        <name val="Arial"/>
        <family val="2"/>
        <scheme val="none"/>
      </font>
      <numFmt numFmtId="4" formatCode="#,##0.00"/>
      <protection locked="1" hidden="0"/>
    </dxf>
    <dxf>
      <font>
        <b val="0"/>
        <i val="0"/>
        <strike val="0"/>
        <condense val="0"/>
        <extend val="0"/>
        <outline val="0"/>
        <shadow val="0"/>
        <u val="none"/>
        <vertAlign val="baseline"/>
        <sz val="10"/>
        <color theme="1"/>
        <name val="Arial"/>
        <family val="2"/>
        <scheme val="none"/>
      </font>
      <numFmt numFmtId="4" formatCode="#,##0.00"/>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numFmt numFmtId="167" formatCode="yyyy\-mm\-dd\ hh:mm"/>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b val="0"/>
        <i val="0"/>
        <strike val="0"/>
        <condense val="0"/>
        <extend val="0"/>
        <outline val="0"/>
        <shadow val="0"/>
        <u val="none"/>
        <vertAlign val="baseline"/>
        <sz val="10"/>
        <color theme="1"/>
        <name val="Arial"/>
        <family val="2"/>
        <scheme val="none"/>
      </font>
      <protection locked="1" hidden="0"/>
    </dxf>
    <dxf>
      <font>
        <color rgb="FF0000FF"/>
      </font>
      <fill>
        <patternFill patternType="solid">
          <fgColor indexed="64"/>
          <bgColor rgb="FFFFF59D"/>
        </patternFill>
      </fill>
      <protection locked="1" hidden="0"/>
    </dxf>
    <dxf>
      <protection locked="1" hidden="0"/>
    </dxf>
    <dxf>
      <numFmt numFmtId="166" formatCode="#,##0.00;\(#,##0.00\);&quot;-&quot;"/>
      <protection locked="1" hidden="0"/>
    </dxf>
    <dxf>
      <numFmt numFmtId="166" formatCode="#,##0.00;\(#,##0.00\);&quot;-&quot;"/>
      <protection locked="1" hidden="0"/>
    </dxf>
    <dxf>
      <numFmt numFmtId="0" formatCode="General"/>
      <protection locked="1" hidden="0"/>
    </dxf>
    <dxf>
      <numFmt numFmtId="0" formatCode="General"/>
      <protection locked="1" hidden="0"/>
    </dxf>
    <dxf>
      <numFmt numFmtId="0" formatCode="General"/>
      <protection locked="1" hidden="0"/>
    </dxf>
    <dxf>
      <numFmt numFmtId="30" formatCode="@"/>
      <protection locked="1" hidden="0"/>
    </dxf>
    <dxf>
      <numFmt numFmtId="30" formatCode="@"/>
      <protection locked="1" hidden="0"/>
    </dxf>
    <dxf>
      <numFmt numFmtId="30" formatCode="@"/>
      <protection locked="1" hidden="0"/>
    </dxf>
    <dxf>
      <numFmt numFmtId="30" formatCode="@"/>
      <protection locked="1" hidden="0"/>
    </dxf>
    <dxf>
      <protection locked="1" hidden="0"/>
    </dxf>
    <dxf>
      <protection locked="1" hidden="0"/>
    </dxf>
    <dxf>
      <protection locked="1" hidden="0"/>
    </dxf>
    <dxf>
      <protection locked="1" hidden="0"/>
    </dxf>
    <dxf>
      <border outline="0">
        <left style="thin">
          <color rgb="FFBFBFBF"/>
        </left>
      </border>
      <protection locked="1" hidden="0"/>
    </dxf>
    <dxf>
      <font>
        <b val="0"/>
        <i val="0"/>
        <strike val="0"/>
        <condense val="0"/>
        <extend val="0"/>
        <outline val="0"/>
        <shadow val="0"/>
        <u val="none"/>
        <vertAlign val="baseline"/>
        <sz val="10"/>
        <color rgb="FF000000"/>
        <name val="Arial"/>
        <scheme val="none"/>
      </font>
      <fill>
        <patternFill patternType="none">
          <fgColor indexed="64"/>
          <bgColor rgb="FFFFF59D"/>
        </patternFill>
      </fill>
      <alignment horizontal="general" vertical="top" textRotation="0" wrapText="0" indent="0" justifyLastLine="0" shrinkToFit="0" readingOrder="0"/>
      <border diagonalUp="0" diagonalDown="0" outline="0">
        <left/>
        <right style="thin">
          <color rgb="FFBFBFBF"/>
        </right>
        <top style="thin">
          <color rgb="FFBFBFBF"/>
        </top>
        <bottom style="thin">
          <color rgb="FFBFBFBF"/>
        </bottom>
      </border>
      <protection locked="1" hidden="0"/>
    </dxf>
    <dxf>
      <font>
        <b val="0"/>
        <i val="0"/>
        <strike val="0"/>
        <condense val="0"/>
        <extend val="0"/>
        <outline val="0"/>
        <shadow val="0"/>
        <u val="none"/>
        <vertAlign val="baseline"/>
        <sz val="10"/>
        <color rgb="FF000000"/>
        <name val="Arial"/>
        <scheme val="none"/>
      </font>
      <fill>
        <patternFill patternType="none">
          <fgColor indexed="64"/>
          <bgColor rgb="FFFFF59D"/>
        </patternFill>
      </fill>
      <alignment horizontal="general" vertical="top" textRotation="0" wrapText="0" indent="0" justifyLastLine="0" shrinkToFit="0" readingOrder="0"/>
      <border diagonalUp="0" diagonalDown="0" outline="0">
        <left style="thin">
          <color rgb="FFBFBFBF"/>
        </left>
        <right/>
        <top style="thin">
          <color rgb="FFBFBFBF"/>
        </top>
        <bottom style="thin">
          <color rgb="FFBFBFBF"/>
        </bottom>
      </border>
      <protection locked="1" hidden="0"/>
    </dxf>
    <dxf>
      <font>
        <b val="0"/>
        <i val="0"/>
        <strike val="0"/>
        <condense val="0"/>
        <extend val="0"/>
        <outline val="0"/>
        <shadow val="0"/>
        <u val="none"/>
        <vertAlign val="baseline"/>
        <sz val="10"/>
        <color rgb="FF000000"/>
        <name val="Arial"/>
        <scheme val="none"/>
      </font>
      <numFmt numFmtId="167" formatCode="yyyy\-mm\-dd\ hh:mm"/>
      <fill>
        <patternFill patternType="none">
          <fgColor indexed="64"/>
          <bgColor rgb="FFFFF59D"/>
        </patternFill>
      </fill>
      <alignment horizontal="general" vertical="top" textRotation="0" wrapText="0" indent="0" justifyLastLine="0" shrinkToFit="0" readingOrder="0"/>
      <border diagonalUp="0" diagonalDown="0" outline="0">
        <left/>
        <right/>
        <top style="thin">
          <color rgb="FFBFBFBF"/>
        </top>
        <bottom style="thin">
          <color rgb="FFBFBFBF"/>
        </bottom>
      </border>
      <protection locked="1" hidden="0"/>
    </dxf>
    <dxf>
      <font>
        <b val="0"/>
        <i val="0"/>
        <strike val="0"/>
        <condense val="0"/>
        <extend val="0"/>
        <outline val="0"/>
        <shadow val="0"/>
        <u val="none"/>
        <vertAlign val="baseline"/>
        <sz val="10"/>
        <color rgb="FF000000"/>
        <name val="Arial"/>
        <scheme val="none"/>
      </font>
      <fill>
        <patternFill patternType="none">
          <fgColor indexed="64"/>
          <bgColor rgb="FFFFF59D"/>
        </patternFill>
      </fill>
      <alignment horizontal="general" vertical="top" textRotation="0" wrapText="0" indent="0" justifyLastLine="0" shrinkToFit="0" readingOrder="0"/>
      <border diagonalUp="0" diagonalDown="0" outline="0">
        <left/>
        <right style="thin">
          <color rgb="FFBFBFBF"/>
        </right>
        <top style="thin">
          <color rgb="FFBFBFBF"/>
        </top>
        <bottom style="thin">
          <color rgb="FFBFBFBF"/>
        </bottom>
      </border>
      <protection locked="1" hidden="0"/>
    </dxf>
    <dxf>
      <font>
        <b val="0"/>
        <i val="0"/>
        <strike val="0"/>
        <condense val="0"/>
        <extend val="0"/>
        <outline val="0"/>
        <shadow val="0"/>
        <u val="none"/>
        <vertAlign val="baseline"/>
        <sz val="10"/>
        <color rgb="FF000000"/>
        <name val="Arial"/>
        <scheme val="none"/>
      </font>
      <fill>
        <patternFill patternType="none">
          <fgColor indexed="64"/>
          <bgColor rgb="FFFFF59D"/>
        </patternFill>
      </fill>
      <alignment horizontal="general" vertical="top" textRotation="0" wrapText="0" indent="0" justifyLastLine="0" shrinkToFit="0" readingOrder="0"/>
      <border diagonalUp="0" diagonalDown="0" outline="0">
        <left/>
        <right/>
        <top style="thin">
          <color rgb="FFBFBFBF"/>
        </top>
        <bottom style="thin">
          <color rgb="FFBFBFBF"/>
        </bottom>
      </border>
      <protection locked="1" hidden="0"/>
    </dxf>
    <dxf>
      <font>
        <b val="0"/>
        <i val="0"/>
        <strike val="0"/>
        <condense val="0"/>
        <extend val="0"/>
        <outline val="0"/>
        <shadow val="0"/>
        <u val="none"/>
        <vertAlign val="baseline"/>
        <sz val="10"/>
        <color rgb="FF000000"/>
        <name val="Arial"/>
        <scheme val="none"/>
      </font>
      <fill>
        <patternFill patternType="none">
          <fgColor indexed="64"/>
          <bgColor rgb="FFFFF59D"/>
        </patternFill>
      </fill>
      <alignment horizontal="general" vertical="top" textRotation="0" wrapText="0" indent="0" justifyLastLine="0" shrinkToFit="0" readingOrder="0"/>
      <border diagonalUp="0" diagonalDown="0" outline="0">
        <left/>
        <right/>
        <top style="thin">
          <color rgb="FFBFBFBF"/>
        </top>
        <bottom style="thin">
          <color rgb="FFBFBFBF"/>
        </bottom>
      </border>
      <protection locked="1" hidden="0"/>
    </dxf>
    <dxf>
      <font>
        <color rgb="FF000000"/>
      </font>
      <fill>
        <patternFill patternType="none">
          <fgColor indexed="64"/>
          <bgColor rgb="FFFFF59D"/>
        </patternFill>
      </fill>
      <protection locked="1" hidden="0"/>
    </dxf>
    <dxf>
      <font>
        <color rgb="FF000000"/>
      </font>
      <fill>
        <patternFill patternType="none">
          <fgColor indexed="64"/>
          <bgColor rgb="FFFFF59D"/>
        </patternFill>
      </fill>
      <protection locked="1" hidden="0"/>
    </dxf>
    <dxf>
      <font>
        <color rgb="FF000000"/>
      </font>
      <fill>
        <patternFill patternType="none">
          <fgColor indexed="64"/>
          <bgColor rgb="FFFFF59D"/>
        </patternFill>
      </fill>
      <protection locked="1" hidden="0"/>
    </dxf>
    <dxf>
      <font>
        <color rgb="FF000000"/>
      </font>
      <fill>
        <patternFill patternType="none">
          <fgColor indexed="64"/>
          <bgColor rgb="FFFFF59D"/>
        </patternFill>
      </fill>
      <protection locked="1" hidden="0"/>
    </dxf>
    <dxf>
      <font>
        <b val="0"/>
        <i val="0"/>
        <strike val="0"/>
        <condense val="0"/>
        <extend val="0"/>
        <outline val="0"/>
        <shadow val="0"/>
        <u val="none"/>
        <vertAlign val="baseline"/>
        <sz val="10"/>
        <color rgb="FF000000"/>
        <name val="Arial"/>
        <scheme val="none"/>
      </font>
      <fill>
        <patternFill patternType="none">
          <fgColor indexed="64"/>
          <bgColor rgb="FFFFF59D"/>
        </patternFill>
      </fill>
      <alignment horizontal="general" vertical="top" textRotation="0" wrapText="0" indent="0" justifyLastLine="0" shrinkToFit="0" readingOrder="0"/>
      <border diagonalUp="0" diagonalDown="0" outline="0">
        <left/>
        <right/>
        <top style="thin">
          <color rgb="FFBFBFBF"/>
        </top>
        <bottom style="thin">
          <color rgb="FFBFBFBF"/>
        </bottom>
      </border>
      <protection locked="1" hidden="0"/>
    </dxf>
    <dxf>
      <font>
        <color rgb="FF000000"/>
      </font>
      <fill>
        <patternFill patternType="none">
          <fgColor indexed="64"/>
          <bgColor rgb="FFFFF59D"/>
        </patternFill>
      </fill>
      <border outline="0">
        <left style="thin">
          <color rgb="FFBFBFBF"/>
        </left>
      </border>
      <protection locked="1" hidden="0"/>
    </dxf>
    <dxf>
      <font>
        <color rgb="FF000000"/>
      </font>
      <numFmt numFmtId="167" formatCode="yyyy\-mm\-dd\ hh:mm"/>
      <fill>
        <patternFill patternType="none">
          <fgColor indexed="64"/>
          <bgColor rgb="FFFFF59D"/>
        </patternFill>
      </fill>
      <protection locked="1" hidden="0"/>
    </dxf>
    <dxf>
      <font>
        <color rgb="FF000000"/>
      </font>
      <fill>
        <patternFill patternType="none">
          <fgColor indexed="64"/>
          <bgColor rgb="FFFFF59D"/>
        </patternFill>
      </fill>
      <border outline="0">
        <right style="thin">
          <color rgb="FFBFBFBF"/>
        </right>
      </border>
      <protection locked="1" hidden="0"/>
    </dxf>
    <dxf>
      <font>
        <color rgb="FF000000"/>
      </font>
      <fill>
        <patternFill patternType="none">
          <fgColor indexed="64"/>
          <bgColor rgb="FFFFF59D"/>
        </patternFill>
      </fill>
      <protection locked="1" hidden="0"/>
    </dxf>
    <dxf>
      <font>
        <b val="0"/>
        <i val="0"/>
        <strike val="0"/>
        <condense val="0"/>
        <extend val="0"/>
        <outline val="0"/>
        <shadow val="0"/>
        <u val="none"/>
        <vertAlign val="baseline"/>
        <sz val="10"/>
        <color rgb="FF0000FF"/>
        <name val="Arial"/>
        <family val="2"/>
        <scheme val="none"/>
      </font>
      <fill>
        <patternFill patternType="solid">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fill>
        <patternFill patternType="solid">
          <fgColor indexed="64"/>
          <bgColor rgb="FFF2F2F2"/>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fill>
        <patternFill patternType="solid">
          <fgColor indexed="64"/>
          <bgColor rgb="FFF2F2F2"/>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fill>
        <patternFill patternType="solid">
          <fgColor indexed="64"/>
          <bgColor rgb="FFF2F2F2"/>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protection locked="1" hidden="0"/>
    </dxf>
    <dxf>
      <font>
        <b/>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3" formatCode="#,##0"/>
      <alignment horizontal="center"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fill>
        <patternFill patternType="none">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none">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none">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164" formatCode="yyyy\-mm\-dd"/>
      <fill>
        <patternFill patternType="solid">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solid">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none">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none">
          <fgColor indexed="64"/>
          <bgColor rgb="FFFFF59D"/>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FF"/>
        <name val="Arial"/>
        <family val="2"/>
        <scheme val="none"/>
      </font>
      <numFmt numFmtId="30" formatCode="@"/>
      <fill>
        <patternFill patternType="none">
          <fgColor indexed="64"/>
          <bgColor rgb="FFFFF59D"/>
        </patternFill>
      </fill>
      <alignment horizontal="general" vertical="top" textRotation="0" wrapText="1" indent="0" justifyLastLine="0" shrinkToFit="0" readingOrder="0"/>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outline="0">
        <left style="thin">
          <color rgb="FFBFBFBF"/>
        </left>
      </border>
      <protection locked="1" hidden="0"/>
    </dxf>
    <dxf>
      <numFmt numFmtId="30" formatCode="@"/>
      <protection locked="1" hidden="0"/>
    </dxf>
    <dxf>
      <border outline="0">
        <right style="thin">
          <color rgb="FFBFBFBF"/>
        </right>
      </border>
      <protection locked="1" hidden="0"/>
    </dxf>
    <dxf>
      <protection locked="1" hidden="0"/>
    </dxf>
    <dxf>
      <border outline="0">
        <left style="thin">
          <color rgb="FFBFBFBF"/>
        </left>
      </border>
      <protection locked="1" hidden="0"/>
    </dxf>
    <dxf>
      <border outline="0">
        <left style="thin">
          <color rgb="FFBFBFBF"/>
        </left>
        <right style="thin">
          <color rgb="FFBFBFBF"/>
        </right>
      </border>
      <protection locked="1" hidden="0"/>
    </dxf>
    <dxf>
      <border outline="0">
        <left style="thin">
          <color rgb="FFBFBFBF"/>
        </left>
        <right style="thin">
          <color rgb="FFBFBFBF"/>
        </right>
      </border>
      <protection locked="1" hidden="0"/>
    </dxf>
    <dxf>
      <border outline="0">
        <right style="thin">
          <color rgb="FFBFBFBF"/>
        </right>
      </border>
      <protection locked="1" hidden="0"/>
    </dxf>
    <dxf>
      <protection locked="1" hidden="0"/>
    </dxf>
    <dxf>
      <border outline="0">
        <left style="thin">
          <color rgb="FFBFBFBF"/>
        </left>
      </border>
      <protection locked="1" hidden="0"/>
    </dxf>
    <dxf>
      <border outline="0">
        <left style="thin">
          <color rgb="FFBFBFBF"/>
        </left>
        <right style="thin">
          <color rgb="FFBFBFBF"/>
        </right>
      </border>
      <protection locked="1" hidden="0"/>
    </dxf>
    <dxf>
      <border outline="0">
        <right style="thin">
          <color rgb="FFBFBFBF"/>
        </right>
      </border>
      <protection locked="1" hidden="0"/>
    </dxf>
    <dxf>
      <font>
        <color rgb="FF0000FF"/>
      </font>
      <fill>
        <patternFill patternType="solid">
          <fgColor indexed="64"/>
          <bgColor rgb="FFFFF59D"/>
        </patternFill>
      </fill>
      <protection locked="1" hidden="0"/>
    </dxf>
    <dxf>
      <font>
        <color rgb="FF0000FF"/>
      </font>
      <numFmt numFmtId="164" formatCode="yyyy\-mm\-dd"/>
      <fill>
        <patternFill patternType="solid">
          <fgColor indexed="64"/>
          <bgColor rgb="FFFFF59D"/>
        </patternFill>
      </fill>
      <protection locked="1" hidden="0"/>
    </dxf>
    <dxf>
      <font>
        <color rgb="FF0000FF"/>
      </font>
      <fill>
        <patternFill patternType="solid">
          <fgColor indexed="64"/>
          <bgColor rgb="FFFFF59D"/>
        </patternFill>
      </fill>
      <protection locked="1" hidden="0"/>
    </dxf>
    <dxf>
      <font>
        <color rgb="FF0000FF"/>
      </font>
      <fill>
        <patternFill patternType="solid">
          <fgColor indexed="64"/>
          <bgColor rgb="FFFFF59D"/>
        </patternFill>
      </fill>
      <protection locked="1" hidden="0"/>
    </dxf>
    <dxf>
      <font>
        <color rgb="FF0000FF"/>
      </font>
      <numFmt numFmtId="30" formatCode="@"/>
      <fill>
        <patternFill patternType="solid">
          <fgColor indexed="64"/>
          <bgColor rgb="FFFFF59D"/>
        </patternFill>
      </fill>
      <protection locked="1" hidden="0"/>
    </dxf>
    <dxf>
      <font>
        <color rgb="FF0000FF"/>
      </font>
      <fill>
        <patternFill patternType="solid">
          <fgColor indexed="64"/>
          <bgColor rgb="FFFFF59D"/>
        </patternFill>
      </fill>
      <protection locked="1" hidden="0"/>
    </dxf>
    <dxf>
      <font>
        <color rgb="FF0000FF"/>
      </font>
      <fill>
        <patternFill>
          <fgColor indexed="64"/>
          <bgColor rgb="FFFFF59D"/>
        </patternFill>
      </fill>
      <protection locked="1" hidden="0"/>
    </dxf>
    <dxf>
      <font>
        <color rgb="FF0000FF"/>
      </font>
      <fill>
        <patternFill patternType="solid">
          <fgColor indexed="64"/>
          <bgColor rgb="FFFFF59D"/>
        </patternFill>
      </fill>
      <border outline="0">
        <left/>
        <right style="thin">
          <color rgb="FFBFBFBF"/>
        </right>
      </border>
      <protection locked="1" hidden="0"/>
    </dxf>
    <dxf>
      <font>
        <color rgb="FF0000FF"/>
      </font>
      <fill>
        <patternFill>
          <fgColor indexed="64"/>
          <bgColor rgb="FFFFF59D"/>
        </patternFill>
      </fill>
      <border outline="0">
        <left style="thin">
          <color rgb="FFBFBFBF"/>
        </left>
        <right style="thin">
          <color rgb="FFBFBFBF"/>
        </right>
      </border>
      <protection locked="1" hidden="0"/>
    </dxf>
    <dxf>
      <font>
        <color rgb="FF0000FF"/>
      </font>
      <fill>
        <patternFill>
          <fgColor indexed="64"/>
          <bgColor rgb="FFFFF59D"/>
        </patternFill>
      </fill>
      <border outline="0">
        <left style="thin">
          <color rgb="FFBFBFBF"/>
        </left>
        <right style="thin">
          <color rgb="FFBFBFBF"/>
        </right>
      </border>
      <protection locked="1" hidden="0"/>
    </dxf>
    <dxf>
      <font>
        <color rgb="FF0000FF"/>
      </font>
      <fill>
        <patternFill>
          <fgColor indexed="64"/>
          <bgColor rgb="FFFFF59D"/>
        </patternFill>
      </fill>
      <border outline="0">
        <left style="thin">
          <color rgb="FFBFBFBF"/>
        </left>
        <right style="thin">
          <color rgb="FFBFBFBF"/>
        </right>
      </border>
      <protection locked="1" hidden="0"/>
    </dxf>
    <dxf>
      <font>
        <color rgb="FF0000FF"/>
      </font>
      <fill>
        <patternFill>
          <fgColor indexed="64"/>
          <bgColor rgb="FFFFF59D"/>
        </patternFill>
      </fill>
      <border outline="0">
        <left style="thin">
          <color rgb="FFBFBFBF"/>
        </left>
        <right style="thin">
          <color rgb="FFBFBFBF"/>
        </right>
      </border>
      <protection locked="1" hidden="0"/>
    </dxf>
    <dxf>
      <font>
        <color rgb="FF0000FF"/>
      </font>
      <fill>
        <patternFill>
          <fgColor indexed="64"/>
          <bgColor rgb="FFFFF59D"/>
        </patternFill>
      </fill>
      <border outline="0">
        <left style="thin">
          <color rgb="FFBFBFBF"/>
        </left>
        <right style="thin">
          <color rgb="FFBFBFBF"/>
        </right>
      </border>
      <protection locked="1" hidden="0"/>
    </dxf>
    <dxf>
      <font>
        <color rgb="FF0000FF"/>
      </font>
      <numFmt numFmtId="30" formatCode="@"/>
      <fill>
        <patternFill>
          <fgColor indexed="64"/>
          <bgColor rgb="FFFFF59D"/>
        </patternFill>
      </fill>
      <border outline="0">
        <right style="thin">
          <color rgb="FFBFBFBF"/>
        </right>
      </border>
      <protection locked="1" hidden="0"/>
    </dxf>
    <dxf>
      <protection locked="1" hidden="0"/>
    </dxf>
    <dxf>
      <font>
        <b val="0"/>
        <i val="0"/>
        <strike val="0"/>
        <condense val="0"/>
        <extend val="0"/>
        <outline val="0"/>
        <shadow val="0"/>
        <u val="none"/>
        <vertAlign val="baseline"/>
        <sz val="10"/>
        <color rgb="FF000000"/>
        <name val="Arial"/>
        <scheme val="none"/>
      </font>
      <numFmt numFmtId="164" formatCode="yyyy\-mm\-dd"/>
      <fill>
        <patternFill patternType="solid">
          <fgColor indexed="64"/>
          <bgColor rgb="FFF2F2F2"/>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rgb="FF000000"/>
        <name val="Arial"/>
        <scheme val="none"/>
      </font>
      <fill>
        <patternFill patternType="solid">
          <fgColor indexed="64"/>
          <bgColor rgb="FFF2F2F2"/>
        </patternFill>
      </fill>
      <alignment horizontal="general" vertical="top" textRotation="0" wrapText="1" indent="0" justifyLastLine="0" shrinkToFit="0" readingOrder="0"/>
      <border outline="0">
        <left style="thin">
          <color rgb="FFBFBFBF"/>
        </left>
      </border>
      <protection locked="1" hidden="0"/>
    </dxf>
    <dxf>
      <border outline="0">
        <left style="thin">
          <color rgb="FFBFBFBF"/>
        </left>
      </border>
      <protection locked="1" hidden="0"/>
    </dxf>
    <dxf>
      <border outline="0">
        <left style="thin">
          <color rgb="FFBFBFBF"/>
        </left>
        <right style="thin">
          <color rgb="FFBFBFBF"/>
        </right>
      </border>
      <protection locked="1" hidden="0"/>
    </dxf>
    <dxf>
      <border outline="0">
        <left style="thin">
          <color rgb="FFBFBFBF"/>
        </left>
        <right style="thin">
          <color rgb="FFBFBFBF"/>
        </right>
      </border>
      <protection locked="1" hidden="0"/>
    </dxf>
    <dxf>
      <border outline="0">
        <left style="thin">
          <color rgb="FFBFBFBF"/>
        </left>
        <right style="thin">
          <color rgb="FFBFBFBF"/>
        </right>
      </border>
      <protection locked="1" hidden="0"/>
    </dxf>
    <dxf>
      <border outline="0">
        <left style="thin">
          <color rgb="FFBFBFBF"/>
        </left>
        <right style="thin">
          <color rgb="FFBFBFBF"/>
        </right>
      </border>
      <protection locked="1" hidden="0"/>
    </dxf>
    <dxf>
      <border outline="0">
        <left style="thin">
          <color rgb="FFBFBFBF"/>
        </left>
        <right style="thin">
          <color rgb="FFBFBFBF"/>
        </right>
      </border>
      <protection locked="1" hidden="0"/>
    </dxf>
    <dxf>
      <border outline="0">
        <left style="thin">
          <color rgb="FFBFBFBF"/>
        </left>
        <right style="thin">
          <color rgb="FFBFBFBF"/>
        </right>
      </border>
      <protection locked="1" hidden="0"/>
    </dxf>
    <dxf>
      <border outline="0">
        <right style="thin">
          <color rgb="FFBFBFBF"/>
        </right>
      </border>
      <protection locked="1" hidden="0"/>
    </dxf>
    <dxf>
      <font>
        <color rgb="FF000000"/>
      </font>
      <fill>
        <patternFill patternType="none">
          <fgColor indexed="64"/>
        </patternFill>
      </fill>
      <alignment horizontal="general" vertical="top" textRotation="0" wrapText="0" indent="0" justifyLastLine="0" shrinkToFit="0" readingOrder="0"/>
      <protection locked="1" hidden="0"/>
    </dxf>
    <dxf>
      <font>
        <color rgb="FF000000"/>
      </font>
      <numFmt numFmtId="30" formatCode="@"/>
      <fill>
        <patternFill patternType="none">
          <fgColor indexed="64"/>
        </patternFill>
      </fill>
      <alignment horizontal="general" vertical="top" textRotation="0" wrapText="0" indent="0" justifyLastLine="0" shrinkToFit="0" readingOrder="0"/>
      <protection locked="1" hidden="0"/>
    </dxf>
    <dxf>
      <font>
        <color rgb="FF000000"/>
      </font>
      <numFmt numFmtId="30" formatCode="@"/>
      <fill>
        <patternFill patternType="none">
          <fgColor indexed="64"/>
        </patternFill>
      </fill>
      <alignment horizontal="general" vertical="top" textRotation="0" wrapText="0" indent="0" justifyLastLine="0" shrinkToFit="0" readingOrder="0"/>
      <protection locked="1" hidden="0"/>
    </dxf>
    <dxf>
      <font>
        <color rgb="FF000000"/>
      </font>
      <numFmt numFmtId="30" formatCode="@"/>
      <fill>
        <patternFill patternType="none">
          <fgColor indexed="64"/>
        </patternFill>
      </fill>
      <alignment horizontal="general" vertical="top" textRotation="0" wrapText="0" indent="0" justifyLastLine="0" shrinkToFit="0" readingOrder="0"/>
      <protection locked="1" hidden="0"/>
    </dxf>
    <dxf>
      <font>
        <color rgb="FF0000FF"/>
      </font>
      <numFmt numFmtId="0" formatCode="General"/>
      <fill>
        <patternFill patternType="solid">
          <fgColor indexed="64"/>
          <bgColor rgb="FFFFF59D"/>
        </patternFill>
      </fill>
      <alignment horizontal="general" vertical="top" textRotation="0" wrapText="0" indent="0" justifyLastLine="0" shrinkToFit="0" readingOrder="0"/>
      <protection locked="1" hidden="0"/>
    </dxf>
    <dxf>
      <font>
        <color rgb="FF000000"/>
      </font>
      <numFmt numFmtId="30" formatCode="@"/>
      <fill>
        <patternFill patternType="none">
          <fgColor indexed="64"/>
        </patternFill>
      </fill>
      <alignment horizontal="general" vertical="top" textRotation="0" wrapText="0" indent="0" justifyLastLine="0" shrinkToFit="0" readingOrder="0"/>
      <protection locked="1" hidden="0"/>
    </dxf>
    <dxf>
      <font>
        <color rgb="FF000000"/>
      </font>
      <numFmt numFmtId="30" formatCode="@"/>
      <fill>
        <patternFill patternType="none">
          <fgColor indexed="64"/>
        </patternFill>
      </fill>
      <alignment horizontal="general" vertical="top"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164" formatCode="yyyy\-mm\-dd"/>
    </dxf>
    <dxf>
      <font>
        <b val="0"/>
        <i val="0"/>
        <strike val="0"/>
        <condense val="0"/>
        <extend val="0"/>
        <outline val="0"/>
        <shadow val="0"/>
        <u val="none"/>
        <vertAlign val="baseline"/>
        <sz val="10"/>
        <color theme="1"/>
        <name val="Arial"/>
        <family val="2"/>
        <scheme val="none"/>
      </font>
      <numFmt numFmtId="164" formatCode="yyyy\-mm\-dd"/>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numFmt numFmtId="30" formatCode="@"/>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numFmt numFmtId="0" formatCode="General"/>
    </dxf>
    <dxf>
      <numFmt numFmtId="0" formatCode="General"/>
    </dxf>
    <dxf>
      <numFmt numFmtId="0" formatCode="General"/>
    </dxf>
    <dxf>
      <numFmt numFmtId="180" formatCode="m/d/yyyy"/>
    </dxf>
    <dxf>
      <font>
        <b val="0"/>
        <i val="0"/>
        <strike val="0"/>
        <condense val="0"/>
        <extend val="0"/>
        <outline val="0"/>
        <shadow val="0"/>
        <u val="none"/>
        <vertAlign val="baseline"/>
        <sz val="10"/>
        <color theme="1"/>
        <name val="Arial"/>
        <family val="2"/>
        <scheme val="none"/>
      </font>
    </dxf>
    <dxf>
      <numFmt numFmtId="0" formatCode="General"/>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0" formatCode="General"/>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4" formatCode="#,##0.00"/>
    </dxf>
    <dxf>
      <font>
        <b val="0"/>
        <i val="0"/>
        <strike val="0"/>
        <condense val="0"/>
        <extend val="0"/>
        <outline val="0"/>
        <shadow val="0"/>
        <u val="none"/>
        <vertAlign val="baseline"/>
        <sz val="10"/>
        <color theme="1"/>
        <name val="Arial"/>
        <family val="2"/>
        <scheme val="none"/>
      </font>
      <numFmt numFmtId="4" formatCode="#,##0.0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170" formatCode="yyyy\-mm\-dd\ hh:mm:ss"/>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color rgb="FFFFFFFF"/>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color rgb="FFFFFFFF"/>
      </font>
      <fill>
        <patternFill patternType="solid">
          <fgColor indexed="64"/>
          <bgColor rgb="FF1F3864"/>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color rgb="FFFFFFFF"/>
      </font>
      <fill>
        <patternFill patternType="solid">
          <fgColor indexed="64"/>
          <bgColor rgb="FF1F3864"/>
        </patternFill>
      </fill>
      <alignment horizontal="general" vertical="center" textRotation="0" wrapText="1" indent="0" justifyLastLine="0" shrinkToFit="0" readingOrder="0"/>
    </dxf>
    <dxf>
      <font>
        <b val="0"/>
        <i val="0"/>
        <strike val="0"/>
        <condense val="0"/>
        <extend val="0"/>
        <outline val="0"/>
        <shadow val="0"/>
        <u/>
        <vertAlign val="baseline"/>
        <sz val="8"/>
        <color rgb="FF0070C0"/>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8"/>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val="0"/>
        <i val="0"/>
        <strike val="0"/>
        <condense val="0"/>
        <extend val="0"/>
        <outline val="0"/>
        <shadow val="0"/>
        <u/>
        <vertAlign val="baseline"/>
        <sz val="8"/>
        <color rgb="FF0070C0"/>
        <name val="Arial"/>
        <family val="2"/>
        <scheme val="none"/>
      </font>
      <numFmt numFmtId="0" formatCode="General"/>
      <alignment horizontal="general" vertical="top" textRotation="0" wrapText="1" indent="0" justifyLastLine="0" shrinkToFit="0" readingOrder="0"/>
    </dxf>
    <dxf>
      <font>
        <b val="0"/>
        <i val="0"/>
        <strike val="0"/>
        <condense val="0"/>
        <extend val="0"/>
        <outline val="0"/>
        <shadow val="0"/>
        <u/>
        <vertAlign val="baseline"/>
        <sz val="8"/>
        <color rgb="FF0070C0"/>
        <name val="Arial"/>
        <family val="2"/>
        <scheme val="none"/>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numFmt numFmtId="30" formatCode="@"/>
      <alignment horizontal="general" vertical="top" textRotation="0" wrapText="1" indent="0" justifyLastLine="0" shrinkToFit="0" readingOrder="0"/>
    </dxf>
    <dxf>
      <font>
        <b val="0"/>
        <i val="0"/>
        <strike val="0"/>
        <condense val="0"/>
        <extend val="0"/>
        <outline val="0"/>
        <shadow val="0"/>
        <u val="none"/>
        <vertAlign val="baseline"/>
        <sz val="8"/>
        <color theme="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8"/>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color rgb="FFFFFFFF"/>
      </font>
      <fill>
        <patternFill patternType="solid">
          <fgColor indexed="64"/>
          <bgColor rgb="FF1F3864"/>
        </patternFill>
      </fill>
      <alignment horizontal="general" vertical="center" textRotation="0" wrapText="1" indent="0" justifyLastLine="0" shrinkToFit="0" readingOrder="0"/>
    </dxf>
    <dxf>
      <font>
        <color rgb="FFFFFFFF"/>
      </font>
      <fill>
        <patternFill patternType="solid">
          <fgColor indexed="64"/>
          <bgColor rgb="FF1F3864"/>
        </patternFill>
      </fill>
      <alignment horizontal="general" vertical="center"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80" formatCode="m/d/yyyy"/>
    </dxf>
    <dxf>
      <numFmt numFmtId="180" formatCode="m/d/yyyy"/>
    </dxf>
    <dxf>
      <numFmt numFmtId="180" formatCode="m/d/yyyy"/>
    </dxf>
    <dxf>
      <numFmt numFmtId="180" formatCode="m/d/yyyy"/>
    </dxf>
    <dxf>
      <numFmt numFmtId="0" formatCode="General"/>
    </dxf>
    <dxf>
      <numFmt numFmtId="0" formatCode="General"/>
    </dxf>
    <dxf>
      <numFmt numFmtId="0" formatCode="General"/>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numFmt numFmtId="4" formatCode="#,##0.00"/>
    </dxf>
    <dxf>
      <font>
        <b val="0"/>
        <i val="0"/>
        <strike val="0"/>
        <condense val="0"/>
        <extend val="0"/>
        <outline val="0"/>
        <shadow val="0"/>
        <u val="none"/>
        <vertAlign val="baseline"/>
        <sz val="10"/>
        <color theme="1"/>
        <name val="Arial"/>
        <family val="2"/>
        <scheme val="none"/>
      </font>
      <numFmt numFmtId="4" formatCode="#,##0.00"/>
    </dxf>
    <dxf>
      <font>
        <b val="0"/>
        <i val="0"/>
        <strike val="0"/>
        <condense val="0"/>
        <extend val="0"/>
        <outline val="0"/>
        <shadow val="0"/>
        <u val="none"/>
        <vertAlign val="baseline"/>
        <sz val="10"/>
        <color theme="1"/>
        <name val="Arial"/>
        <family val="2"/>
        <scheme val="none"/>
      </font>
      <numFmt numFmtId="3" formatCode="#,##0"/>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val="0"/>
        <i val="0"/>
        <strike val="0"/>
        <condense val="0"/>
        <extend val="0"/>
        <outline val="0"/>
        <shadow val="0"/>
        <u val="none"/>
        <vertAlign val="baseline"/>
        <sz val="10"/>
        <color theme="1"/>
        <name val="Arial"/>
        <family val="2"/>
        <scheme val="none"/>
      </font>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
      <font>
        <b/>
        <i val="0"/>
        <strike val="0"/>
        <condense val="0"/>
        <extend val="0"/>
        <outline val="0"/>
        <shadow val="0"/>
        <u val="none"/>
        <vertAlign val="baseline"/>
        <sz val="10"/>
        <color rgb="FFFFFFFF"/>
        <name val="Arial"/>
        <family val="2"/>
        <scheme val="none"/>
      </font>
      <fill>
        <patternFill patternType="solid">
          <fgColor indexed="64"/>
          <bgColor rgb="FF1F3864"/>
        </patternFill>
      </fill>
      <alignment horizontal="general"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volatileDependencies.xml><?xml version="1.0" encoding="utf-8"?>
<volTypes xmlns="http://schemas.openxmlformats.org/spreadsheetml/2006/main">
  <volType type="olapFunctions">
    <main first="ThisWorkbookDataModel">
      <tp t="e">
        <v>#N/A</v>
        <stp>1</stp>
        <tr r="C13" s="6"/>
        <tr r="C13" s="6"/>
        <tr r="C13" s="6"/>
        <tr r="C13" s="6"/>
        <tr r="G13" s="6"/>
        <tr r="G13" s="6"/>
        <tr r="G13" s="6"/>
        <tr r="G13" s="6"/>
        <tr r="I13" s="6"/>
        <tr r="I13" s="6"/>
        <tr r="I13" s="6"/>
        <tr r="I13" s="6"/>
        <tr r="D16" s="6"/>
        <tr r="D16" s="6"/>
        <tr r="D16" s="6"/>
        <tr r="A13" s="6"/>
        <tr r="A13" s="6"/>
        <tr r="A13" s="6"/>
        <tr r="A13" s="6"/>
        <tr r="E13" s="6"/>
        <tr r="E13" s="6"/>
        <tr r="E13" s="6"/>
        <tr r="E13" s="6"/>
        <tr r="K13" s="6"/>
        <tr r="K13" s="6"/>
        <tr r="K13" s="6"/>
        <tr r="K13" s="6"/>
        <tr r="K14" s="6"/>
        <tr r="K14" s="6"/>
        <tr r="K14" s="6"/>
        <tr r="K14" s="6"/>
      </tp>
    </main>
  </volType>
</volTypes>
</file>

<file path=xl/_rels/workbook.xml.rels><?xml version="1.0" encoding="UTF-8" standalone="yes"?>
<Relationships xmlns="http://schemas.openxmlformats.org/package/2006/relationships"><Relationship Id="rId117" Type="http://schemas.openxmlformats.org/officeDocument/2006/relationships/pivotCacheDefinition" Target="pivotCache/pivotCacheDefinition23.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pivotCacheDefinition" Target="pivotCache/pivotCacheDefinition13.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pivotCacheDefinition" Target="pivotCache/pivotCacheDefinition8.xml"/><Relationship Id="rId123" Type="http://schemas.microsoft.com/office/2007/relationships/slicerCache" Target="slicerCaches/slicerCache5.xml"/><Relationship Id="rId128" Type="http://schemas.openxmlformats.org/officeDocument/2006/relationships/connections" Target="connection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pivotCacheDefinition" Target="pivotCache/pivotCacheDefinition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pivotCacheDefinition" Target="pivotCache/pivotCacheDefinition19.xml"/><Relationship Id="rId118" Type="http://schemas.openxmlformats.org/officeDocument/2006/relationships/pivotCacheDefinition" Target="pivotCache/pivotCacheDefinition24.xml"/><Relationship Id="rId134" Type="http://schemas.openxmlformats.org/officeDocument/2006/relationships/customXml" Target="../customXml/item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pivotCacheDefinition" Target="pivotCache/pivotCacheDefinition9.xml"/><Relationship Id="rId108" Type="http://schemas.openxmlformats.org/officeDocument/2006/relationships/pivotCacheDefinition" Target="pivotCache/pivotCacheDefinition14.xml"/><Relationship Id="rId124" Type="http://schemas.microsoft.com/office/2007/relationships/slicerCache" Target="slicerCaches/slicerCache6.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pivotCacheDefinition" Target="pivotCache/pivotCacheDefinition2.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pivotCacheDefinition" Target="pivotCache/pivotCacheDefinition20.xml"/><Relationship Id="rId119" Type="http://schemas.microsoft.com/office/2007/relationships/slicerCache" Target="slicerCaches/slicerCache1.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5" Type="http://schemas.openxmlformats.org/officeDocument/2006/relationships/volatileDependencies" Target="volatileDependenci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pivotCacheDefinition" Target="pivotCache/pivotCacheDefinition15.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pivotCacheDefinition" Target="pivotCache/pivotCacheDefinition3.xml"/><Relationship Id="rId104" Type="http://schemas.openxmlformats.org/officeDocument/2006/relationships/pivotCacheDefinition" Target="pivotCache/pivotCacheDefinition10.xml"/><Relationship Id="rId120" Type="http://schemas.microsoft.com/office/2007/relationships/slicerCache" Target="slicerCaches/slicerCache2.xml"/><Relationship Id="rId125" Type="http://schemas.openxmlformats.org/officeDocument/2006/relationships/pivotCacheDefinition" Target="pivotCache/pivotCacheDefinition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pivotCacheDefinition" Target="pivotCache/pivotCacheDefinition16.xml"/><Relationship Id="rId115" Type="http://schemas.openxmlformats.org/officeDocument/2006/relationships/pivotCacheDefinition" Target="pivotCache/pivotCacheDefinition21.xml"/><Relationship Id="rId131" Type="http://schemas.openxmlformats.org/officeDocument/2006/relationships/sheetMetadata" Target="metadata.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pivotCacheDefinition" Target="pivotCache/pivotCacheDefinition6.xml"/><Relationship Id="rId105" Type="http://schemas.openxmlformats.org/officeDocument/2006/relationships/pivotCacheDefinition" Target="pivotCache/pivotCacheDefinition11.xml"/><Relationship Id="rId126" Type="http://schemas.microsoft.com/office/2011/relationships/timelineCache" Target="timelineCaches/timelineCach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pivotCacheDefinition" Target="pivotCache/pivotCacheDefinition4.xml"/><Relationship Id="rId121" Type="http://schemas.microsoft.com/office/2007/relationships/slicerCache" Target="slicerCaches/slicerCache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pivotCacheDefinition" Target="pivotCache/pivotCacheDefinition2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pivotCacheDefinition" Target="pivotCache/pivotCacheDefinition17.xml"/><Relationship Id="rId132" Type="http://schemas.openxmlformats.org/officeDocument/2006/relationships/powerPivotData" Target="model/item.data"/><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pivotCacheDefinition" Target="pivotCache/pivotCacheDefinition12.xml"/><Relationship Id="rId12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pivotCacheDefinition" Target="pivotCache/pivotCacheDefinition5.xml"/><Relationship Id="rId101" Type="http://schemas.openxmlformats.org/officeDocument/2006/relationships/pivotCacheDefinition" Target="pivotCache/pivotCacheDefinition7.xml"/><Relationship Id="rId122" Type="http://schemas.microsoft.com/office/2007/relationships/slicerCache" Target="slicerCaches/slicerCache4.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pivotCacheDefinition" Target="pivotCache/pivotCacheDefinition18.xml"/><Relationship Id="rId133"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[Actuarial_Closing_Platform.xlsm]Dash_Pivots!pvtTrend</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Total payments TRY by month (timeline filters)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dLbls>
          <c:showLegendKey val="0"/>
          <c:showVal val="0"/>
          <c:showCatName val="0"/>
          <c:showSerName val="0"/>
          <c:showPercent val="0"/>
          <c:showBubbleSize val="0"/>
        </c:dLbls>
        <c:marker val="1"/>
        <c:smooth val="0"/>
        <c:axId val="1301276271"/>
        <c:axId val="656528335"/>
      </c:lineChart>
      <c:catAx>
        <c:axId val="13012762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528335"/>
        <c:crosses val="autoZero"/>
        <c:auto val="1"/>
        <c:lblAlgn val="ctr"/>
        <c:lblOffset val="100"/>
        <c:noMultiLvlLbl val="0"/>
      </c:catAx>
      <c:valAx>
        <c:axId val="6565283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1276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[Actuarial_Closing_Platform.xlsm]Dash_Pivots!pvtCompanyShare</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Company share of total payments (TRY)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
        <c:idx val="12"/>
        <c:spPr>
          <a:solidFill>
            <a:schemeClr val="accent1"/>
          </a:solidFill>
          <a:ln w="19050">
            <a:solidFill>
              <a:schemeClr val="lt1"/>
            </a:solidFill>
          </a:ln>
          <a:effectLst/>
        </c:spPr>
      </c:pivotFmt>
      <c:pivotFmt>
        <c:idx val="13"/>
        <c:spPr>
          <a:solidFill>
            <a:schemeClr val="accent1"/>
          </a:solidFill>
          <a:ln w="19050">
            <a:solidFill>
              <a:schemeClr val="lt1"/>
            </a:solidFill>
          </a:ln>
          <a:effectLst/>
        </c:spPr>
      </c:pivotFmt>
      <c:pivotFmt>
        <c:idx val="14"/>
        <c:spPr>
          <a:solidFill>
            <a:schemeClr val="accent1"/>
          </a:solidFill>
          <a:ln w="19050">
            <a:solidFill>
              <a:schemeClr val="lt1"/>
            </a:solidFill>
          </a:ln>
          <a:effectLst/>
        </c:spPr>
      </c:pivotFmt>
    </c:pivotFmts>
    <c:plotArea>
      <c:layout/>
      <c:pieChart>
        <c:varyColors val="1"/>
        <c:dLbls>
          <c:showLegendKey val="0"/>
          <c:showVal val="0"/>
          <c:showCatName val="0"/>
          <c:showSerName val="0"/>
          <c:showPercent val="0"/>
          <c:showBubbleSize val="0"/>
          <c:showLeaderLines val="0"/>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[Actuarial_Closing_Platform.xlsm]Dash_Pivots!pvtCurrencyMix</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Total payments TRY by original currency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dLbls>
          <c:showLegendKey val="0"/>
          <c:showVal val="0"/>
          <c:showCatName val="0"/>
          <c:showSerName val="0"/>
          <c:showPercent val="0"/>
          <c:showBubbleSize val="0"/>
        </c:dLbls>
        <c:gapWidth val="219"/>
        <c:overlap val="-27"/>
        <c:axId val="1301270239"/>
        <c:axId val="656420815"/>
      </c:barChart>
      <c:catAx>
        <c:axId val="130127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420815"/>
        <c:crosses val="autoZero"/>
        <c:auto val="1"/>
        <c:lblAlgn val="ctr"/>
        <c:lblOffset val="100"/>
        <c:noMultiLvlLbl val="0"/>
      </c:catAx>
      <c:valAx>
        <c:axId val="65642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12702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[Actuarial_Closing_Platform.xlsm]Dash_Pivots!pvtDaysDistribution</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Payment lines by days from notification to payment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dLbls>
          <c:showLegendKey val="0"/>
          <c:showVal val="0"/>
          <c:showCatName val="0"/>
          <c:showSerName val="0"/>
          <c:showPercent val="0"/>
          <c:showBubbleSize val="0"/>
        </c:dLbls>
        <c:gapWidth val="219"/>
        <c:overlap val="-27"/>
        <c:axId val="1301282303"/>
        <c:axId val="656433295"/>
      </c:barChart>
      <c:catAx>
        <c:axId val="1301282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6433295"/>
        <c:crosses val="autoZero"/>
        <c:auto val="1"/>
        <c:lblAlgn val="ctr"/>
        <c:lblOffset val="100"/>
        <c:noMultiLvlLbl val="0"/>
      </c:catAx>
      <c:valAx>
        <c:axId val="65643329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12823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AN_Exec_Life!$AQ$14</c:f>
          <c:strCache>
            <c:ptCount val="1"/>
            <c:pt idx="0">
              <c:v>Aylık ödenen (mn TL), medyan ve olağan bant (log ölçekte medyan ± k robust sapma) / Monthly paid (TRY m), median and normal band (median ± k robust SD on the log scale)</c:v>
            </c:pt>
          </c:strCache>
        </c:strRef>
      </c:tx>
      <c:overlay val="0"/>
      <c:txPr>
        <a:bodyPr/>
        <a:lstStyle/>
        <a:p>
          <a:pPr>
            <a:defRPr sz="900" b="1"/>
          </a:pPr>
          <a:endParaRPr lang="en-US"/>
        </a:p>
      </c:txPr>
    </c:title>
    <c:autoTitleDeleted val="0"/>
    <c:plotArea>
      <c:layout/>
      <c:lineChart>
        <c:grouping val="standard"/>
        <c:varyColors val="0"/>
        <c:ser>
          <c:idx val="3"/>
          <c:order val="3"/>
          <c:tx>
            <c:v>Üst / Upper</c:v>
          </c:tx>
          <c:spPr>
            <a:ln w="19050">
              <a:solidFill>
                <a:srgbClr val="969696"/>
              </a:solidFill>
              <a:prstDash val="lgDash"/>
            </a:ln>
          </c:spPr>
          <c:marker>
            <c:symbol val="none"/>
          </c:marker>
          <c:cat>
            <c:strRef>
              <c:f>[0]!exLife_X</c:f>
            </c:strRef>
          </c:cat>
          <c:val>
            <c:numRef>
              <c:f>[0]!exLife_Hi</c:f>
              <c:numCache>
                <c:formatCode>General</c:formatCode>
                <c:ptCount val="1"/>
                <c:pt idx="0">
                  <c:v>0</c:v>
                </c:pt>
              </c:numCache>
            </c:numRef>
          </c:val>
          <c:smooth val="0"/>
          <c:extLst>
            <c:ext xmlns:c16="http://schemas.microsoft.com/office/drawing/2014/chart" uri="{C3380CC4-5D6E-409C-BE32-E72D297353CC}">
              <c16:uniqueId val="{0000000A-E4D9-4DCC-9FAC-B5306FC8BBBF}"/>
            </c:ext>
          </c:extLst>
        </c:ser>
        <c:ser>
          <c:idx val="2"/>
          <c:order val="2"/>
          <c:tx>
            <c:v>Alt / Lower</c:v>
          </c:tx>
          <c:spPr>
            <a:ln w="19050">
              <a:solidFill>
                <a:srgbClr val="969696"/>
              </a:solidFill>
              <a:prstDash val="lgDash"/>
            </a:ln>
          </c:spPr>
          <c:marker>
            <c:symbol val="none"/>
          </c:marker>
          <c:cat>
            <c:strRef>
              <c:f>[0]!exLife_X</c:f>
            </c:strRef>
          </c:cat>
          <c:val>
            <c:numRef>
              <c:f>[0]!exLife_Lo</c:f>
              <c:numCache>
                <c:formatCode>General</c:formatCode>
                <c:ptCount val="1"/>
                <c:pt idx="0">
                  <c:v>0</c:v>
                </c:pt>
              </c:numCache>
            </c:numRef>
          </c:val>
          <c:smooth val="0"/>
          <c:extLst>
            <c:ext xmlns:c16="http://schemas.microsoft.com/office/drawing/2014/chart" uri="{C3380CC4-5D6E-409C-BE32-E72D297353CC}">
              <c16:uniqueId val="{00000009-E4D9-4DCC-9FAC-B5306FC8BBBF}"/>
            </c:ext>
          </c:extLst>
        </c:ser>
        <c:ser>
          <c:idx val="1"/>
          <c:order val="1"/>
          <c:tx>
            <c:v>Medyan / Median</c:v>
          </c:tx>
          <c:spPr>
            <a:ln w="15875">
              <a:solidFill>
                <a:srgbClr val="606060"/>
              </a:solidFill>
              <a:prstDash val="dash"/>
            </a:ln>
          </c:spPr>
          <c:marker>
            <c:symbol val="none"/>
          </c:marker>
          <c:cat>
            <c:strRef>
              <c:f>[0]!exLife_X</c:f>
            </c:strRef>
          </c:cat>
          <c:val>
            <c:numRef>
              <c:f>[0]!exLife_Med</c:f>
              <c:numCache>
                <c:formatCode>General</c:formatCode>
                <c:ptCount val="1"/>
                <c:pt idx="0">
                  <c:v>0</c:v>
                </c:pt>
              </c:numCache>
            </c:numRef>
          </c:val>
          <c:smooth val="0"/>
          <c:extLst>
            <c:ext xmlns:c16="http://schemas.microsoft.com/office/drawing/2014/chart" uri="{C3380CC4-5D6E-409C-BE32-E72D297353CC}">
              <c16:uniqueId val="{00000008-E4D9-4DCC-9FAC-B5306FC8BBBF}"/>
            </c:ext>
          </c:extLst>
        </c:ser>
        <c:ser>
          <c:idx val="0"/>
          <c:order val="0"/>
          <c:tx>
            <c:v>Ödenen / Paid</c:v>
          </c:tx>
          <c:spPr>
            <a:ln w="28575">
              <a:solidFill>
                <a:srgbClr val="0080B4"/>
              </a:solidFill>
            </a:ln>
          </c:spPr>
          <c:marker>
            <c:symbol val="none"/>
          </c:marker>
          <c:cat>
            <c:strRef>
              <c:f>[0]!exLife_X</c:f>
            </c:strRef>
          </c:cat>
          <c:val>
            <c:numRef>
              <c:f>[0]!exLife_Paid</c:f>
              <c:numCache>
                <c:formatCode>General</c:formatCode>
                <c:ptCount val="1"/>
                <c:pt idx="0">
                  <c:v>0</c:v>
                </c:pt>
              </c:numCache>
            </c:numRef>
          </c:val>
          <c:smooth val="0"/>
          <c:extLst>
            <c:ext xmlns:c16="http://schemas.microsoft.com/office/drawing/2014/chart" uri="{C3380CC4-5D6E-409C-BE32-E72D297353CC}">
              <c16:uniqueId val="{00000007-E4D9-4DCC-9FAC-B5306FC8BBBF}"/>
            </c:ext>
          </c:extLst>
        </c:ser>
        <c:dLbls>
          <c:showLegendKey val="0"/>
          <c:showVal val="0"/>
          <c:showCatName val="0"/>
          <c:showSerName val="0"/>
          <c:showPercent val="0"/>
          <c:showBubbleSize val="0"/>
        </c:dLbls>
        <c:smooth val="0"/>
        <c:axId val="1676085951"/>
        <c:axId val="1495442671"/>
      </c:lineChart>
      <c:catAx>
        <c:axId val="1676085951"/>
        <c:scaling>
          <c:orientation val="minMax"/>
        </c:scaling>
        <c:delete val="0"/>
        <c:axPos val="b"/>
        <c:numFmt formatCode="General" sourceLinked="1"/>
        <c:majorTickMark val="out"/>
        <c:minorTickMark val="none"/>
        <c:tickLblPos val="nextTo"/>
        <c:txPr>
          <a:bodyPr/>
          <a:lstStyle/>
          <a:p>
            <a:pPr>
              <a:defRPr sz="800"/>
            </a:pPr>
            <a:endParaRPr lang="en-US"/>
          </a:p>
        </c:txPr>
        <c:crossAx val="1495442671"/>
        <c:crosses val="autoZero"/>
        <c:auto val="1"/>
        <c:lblAlgn val="ctr"/>
        <c:lblOffset val="100"/>
        <c:noMultiLvlLbl val="0"/>
      </c:catAx>
      <c:valAx>
        <c:axId val="1495442671"/>
        <c:scaling>
          <c:orientation val="minMax"/>
        </c:scaling>
        <c:delete val="0"/>
        <c:axPos val="l"/>
        <c:majorGridlines>
          <c:spPr>
            <a:ln>
              <a:solidFill>
                <a:srgbClr val="E6E6E6"/>
              </a:solidFill>
            </a:ln>
          </c:spPr>
        </c:majorGridlines>
        <c:numFmt formatCode="#,##0.0,," sourceLinked="0"/>
        <c:majorTickMark val="out"/>
        <c:minorTickMark val="none"/>
        <c:tickLblPos val="nextTo"/>
        <c:txPr>
          <a:bodyPr/>
          <a:lstStyle/>
          <a:p>
            <a:pPr>
              <a:defRPr sz="800"/>
            </a:pPr>
            <a:endParaRPr lang="en-US"/>
          </a:p>
        </c:txPr>
        <c:crossAx val="1676085951"/>
        <c:crosses val="autoZero"/>
        <c:crossBetween val="between"/>
      </c:valAx>
    </c:plotArea>
    <c:legend>
      <c:legendPos val="b"/>
      <c:overlay val="0"/>
      <c:txPr>
        <a:bodyPr/>
        <a:lstStyle/>
        <a:p>
          <a:pPr>
            <a:defRPr sz="8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AN_Exec_Pension!$AQ$14</c:f>
          <c:strCache>
            <c:ptCount val="1"/>
            <c:pt idx="0">
              <c:v>Aylık ödenen (mn TL), medyan ve olağan bant (log ölçekte medyan ± k robust sapma) / Monthly paid (TRY m), median and normal band (median ± k robust SD on the log scale)</c:v>
            </c:pt>
          </c:strCache>
        </c:strRef>
      </c:tx>
      <c:overlay val="0"/>
      <c:txPr>
        <a:bodyPr/>
        <a:lstStyle/>
        <a:p>
          <a:pPr>
            <a:defRPr sz="900" b="1"/>
          </a:pPr>
          <a:endParaRPr lang="en-US"/>
        </a:p>
      </c:txPr>
    </c:title>
    <c:autoTitleDeleted val="0"/>
    <c:plotArea>
      <c:layout/>
      <c:lineChart>
        <c:grouping val="standard"/>
        <c:varyColors val="0"/>
        <c:ser>
          <c:idx val="3"/>
          <c:order val="3"/>
          <c:tx>
            <c:v>Üst / Upper</c:v>
          </c:tx>
          <c:spPr>
            <a:ln w="19050">
              <a:solidFill>
                <a:srgbClr val="969696"/>
              </a:solidFill>
              <a:prstDash val="lgDash"/>
            </a:ln>
          </c:spPr>
          <c:marker>
            <c:symbol val="none"/>
          </c:marker>
          <c:cat>
            <c:strRef>
              <c:f>[0]!exPension_X</c:f>
            </c:strRef>
          </c:cat>
          <c:val>
            <c:numRef>
              <c:f>[0]!exPension_Hi</c:f>
              <c:numCache>
                <c:formatCode>General</c:formatCode>
                <c:ptCount val="1"/>
                <c:pt idx="0">
                  <c:v>0</c:v>
                </c:pt>
              </c:numCache>
            </c:numRef>
          </c:val>
          <c:smooth val="0"/>
          <c:extLst>
            <c:ext xmlns:c16="http://schemas.microsoft.com/office/drawing/2014/chart" uri="{C3380CC4-5D6E-409C-BE32-E72D297353CC}">
              <c16:uniqueId val="{0000000A-2CC9-42EF-8755-B8FAF98810B7}"/>
            </c:ext>
          </c:extLst>
        </c:ser>
        <c:ser>
          <c:idx val="2"/>
          <c:order val="2"/>
          <c:tx>
            <c:v>Alt / Lower</c:v>
          </c:tx>
          <c:spPr>
            <a:ln w="19050">
              <a:solidFill>
                <a:srgbClr val="969696"/>
              </a:solidFill>
              <a:prstDash val="lgDash"/>
            </a:ln>
          </c:spPr>
          <c:marker>
            <c:symbol val="none"/>
          </c:marker>
          <c:cat>
            <c:strRef>
              <c:f>[0]!exPension_X</c:f>
            </c:strRef>
          </c:cat>
          <c:val>
            <c:numRef>
              <c:f>[0]!exPension_Lo</c:f>
              <c:numCache>
                <c:formatCode>General</c:formatCode>
                <c:ptCount val="1"/>
                <c:pt idx="0">
                  <c:v>0</c:v>
                </c:pt>
              </c:numCache>
            </c:numRef>
          </c:val>
          <c:smooth val="0"/>
          <c:extLst>
            <c:ext xmlns:c16="http://schemas.microsoft.com/office/drawing/2014/chart" uri="{C3380CC4-5D6E-409C-BE32-E72D297353CC}">
              <c16:uniqueId val="{00000009-2CC9-42EF-8755-B8FAF98810B7}"/>
            </c:ext>
          </c:extLst>
        </c:ser>
        <c:ser>
          <c:idx val="1"/>
          <c:order val="1"/>
          <c:tx>
            <c:v>Medyan / Median</c:v>
          </c:tx>
          <c:spPr>
            <a:ln w="15875">
              <a:solidFill>
                <a:srgbClr val="606060"/>
              </a:solidFill>
              <a:prstDash val="dash"/>
            </a:ln>
          </c:spPr>
          <c:marker>
            <c:symbol val="none"/>
          </c:marker>
          <c:cat>
            <c:strRef>
              <c:f>[0]!exPension_X</c:f>
            </c:strRef>
          </c:cat>
          <c:val>
            <c:numRef>
              <c:f>[0]!exPension_Med</c:f>
              <c:numCache>
                <c:formatCode>General</c:formatCode>
                <c:ptCount val="1"/>
                <c:pt idx="0">
                  <c:v>0</c:v>
                </c:pt>
              </c:numCache>
            </c:numRef>
          </c:val>
          <c:smooth val="0"/>
          <c:extLst>
            <c:ext xmlns:c16="http://schemas.microsoft.com/office/drawing/2014/chart" uri="{C3380CC4-5D6E-409C-BE32-E72D297353CC}">
              <c16:uniqueId val="{00000008-2CC9-42EF-8755-B8FAF98810B7}"/>
            </c:ext>
          </c:extLst>
        </c:ser>
        <c:ser>
          <c:idx val="0"/>
          <c:order val="0"/>
          <c:tx>
            <c:v>Ödenen / Paid</c:v>
          </c:tx>
          <c:spPr>
            <a:ln w="28575">
              <a:solidFill>
                <a:srgbClr val="CC7999"/>
              </a:solidFill>
            </a:ln>
          </c:spPr>
          <c:marker>
            <c:symbol val="none"/>
          </c:marker>
          <c:cat>
            <c:strRef>
              <c:f>[0]!exPension_X</c:f>
            </c:strRef>
          </c:cat>
          <c:val>
            <c:numRef>
              <c:f>[0]!exPension_Paid</c:f>
              <c:numCache>
                <c:formatCode>General</c:formatCode>
                <c:ptCount val="1"/>
                <c:pt idx="0">
                  <c:v>0</c:v>
                </c:pt>
              </c:numCache>
            </c:numRef>
          </c:val>
          <c:smooth val="0"/>
          <c:extLst>
            <c:ext xmlns:c16="http://schemas.microsoft.com/office/drawing/2014/chart" uri="{C3380CC4-5D6E-409C-BE32-E72D297353CC}">
              <c16:uniqueId val="{00000007-2CC9-42EF-8755-B8FAF98810B7}"/>
            </c:ext>
          </c:extLst>
        </c:ser>
        <c:dLbls>
          <c:showLegendKey val="0"/>
          <c:showVal val="0"/>
          <c:showCatName val="0"/>
          <c:showSerName val="0"/>
          <c:showPercent val="0"/>
          <c:showBubbleSize val="0"/>
        </c:dLbls>
        <c:smooth val="0"/>
        <c:axId val="1676087343"/>
        <c:axId val="1495434991"/>
      </c:lineChart>
      <c:catAx>
        <c:axId val="1676087343"/>
        <c:scaling>
          <c:orientation val="minMax"/>
        </c:scaling>
        <c:delete val="0"/>
        <c:axPos val="b"/>
        <c:numFmt formatCode="General" sourceLinked="1"/>
        <c:majorTickMark val="out"/>
        <c:minorTickMark val="none"/>
        <c:tickLblPos val="nextTo"/>
        <c:txPr>
          <a:bodyPr/>
          <a:lstStyle/>
          <a:p>
            <a:pPr>
              <a:defRPr sz="800"/>
            </a:pPr>
            <a:endParaRPr lang="en-US"/>
          </a:p>
        </c:txPr>
        <c:crossAx val="1495434991"/>
        <c:crosses val="autoZero"/>
        <c:auto val="1"/>
        <c:lblAlgn val="ctr"/>
        <c:lblOffset val="100"/>
        <c:noMultiLvlLbl val="0"/>
      </c:catAx>
      <c:valAx>
        <c:axId val="1495434991"/>
        <c:scaling>
          <c:orientation val="minMax"/>
        </c:scaling>
        <c:delete val="0"/>
        <c:axPos val="l"/>
        <c:majorGridlines>
          <c:spPr>
            <a:ln>
              <a:solidFill>
                <a:srgbClr val="E6E6E6"/>
              </a:solidFill>
            </a:ln>
          </c:spPr>
        </c:majorGridlines>
        <c:numFmt formatCode="#,##0.0,," sourceLinked="0"/>
        <c:majorTickMark val="out"/>
        <c:minorTickMark val="none"/>
        <c:tickLblPos val="nextTo"/>
        <c:txPr>
          <a:bodyPr/>
          <a:lstStyle/>
          <a:p>
            <a:pPr>
              <a:defRPr sz="800"/>
            </a:pPr>
            <a:endParaRPr lang="en-US"/>
          </a:p>
        </c:txPr>
        <c:crossAx val="1676087343"/>
        <c:crosses val="autoZero"/>
        <c:crossBetween val="between"/>
      </c:valAx>
    </c:plotArea>
    <c:legend>
      <c:legendPos val="b"/>
      <c:overlay val="0"/>
      <c:txPr>
        <a:bodyPr/>
        <a:lstStyle/>
        <a:p>
          <a:pPr>
            <a:defRPr sz="8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AN_Exec_NonLife!$AQ$14</c:f>
          <c:strCache>
            <c:ptCount val="1"/>
            <c:pt idx="0">
              <c:v>Aylık ödenen (mn TL), medyan ve olağan bant (log ölçekte medyan ± k robust sapma) / Monthly paid (TRY m), median and normal band (median ± k robust SD on the log scale)</c:v>
            </c:pt>
          </c:strCache>
        </c:strRef>
      </c:tx>
      <c:overlay val="0"/>
      <c:txPr>
        <a:bodyPr/>
        <a:lstStyle/>
        <a:p>
          <a:pPr>
            <a:defRPr sz="900" b="1"/>
          </a:pPr>
          <a:endParaRPr lang="en-US"/>
        </a:p>
      </c:txPr>
    </c:title>
    <c:autoTitleDeleted val="0"/>
    <c:plotArea>
      <c:layout/>
      <c:lineChart>
        <c:grouping val="standard"/>
        <c:varyColors val="0"/>
        <c:ser>
          <c:idx val="3"/>
          <c:order val="3"/>
          <c:tx>
            <c:v>Üst / Upper</c:v>
          </c:tx>
          <c:spPr>
            <a:ln w="19050">
              <a:solidFill>
                <a:srgbClr val="969696"/>
              </a:solidFill>
              <a:prstDash val="lgDash"/>
            </a:ln>
          </c:spPr>
          <c:marker>
            <c:symbol val="none"/>
          </c:marker>
          <c:cat>
            <c:strRef>
              <c:f>[0]!exNonlife_X</c:f>
            </c:strRef>
          </c:cat>
          <c:val>
            <c:numRef>
              <c:f>[0]!exNonlife_Hi</c:f>
              <c:numCache>
                <c:formatCode>General</c:formatCode>
                <c:ptCount val="1"/>
                <c:pt idx="0">
                  <c:v>0</c:v>
                </c:pt>
              </c:numCache>
            </c:numRef>
          </c:val>
          <c:smooth val="0"/>
          <c:extLst>
            <c:ext xmlns:c16="http://schemas.microsoft.com/office/drawing/2014/chart" uri="{C3380CC4-5D6E-409C-BE32-E72D297353CC}">
              <c16:uniqueId val="{0000000A-3C77-4226-8541-3F6FB6695CD8}"/>
            </c:ext>
          </c:extLst>
        </c:ser>
        <c:ser>
          <c:idx val="2"/>
          <c:order val="2"/>
          <c:tx>
            <c:v>Alt / Lower</c:v>
          </c:tx>
          <c:spPr>
            <a:ln w="19050">
              <a:solidFill>
                <a:srgbClr val="969696"/>
              </a:solidFill>
              <a:prstDash val="lgDash"/>
            </a:ln>
          </c:spPr>
          <c:marker>
            <c:symbol val="none"/>
          </c:marker>
          <c:cat>
            <c:strRef>
              <c:f>[0]!exNonlife_X</c:f>
            </c:strRef>
          </c:cat>
          <c:val>
            <c:numRef>
              <c:f>[0]!exNonlife_Lo</c:f>
              <c:numCache>
                <c:formatCode>General</c:formatCode>
                <c:ptCount val="1"/>
                <c:pt idx="0">
                  <c:v>0</c:v>
                </c:pt>
              </c:numCache>
            </c:numRef>
          </c:val>
          <c:smooth val="0"/>
          <c:extLst>
            <c:ext xmlns:c16="http://schemas.microsoft.com/office/drawing/2014/chart" uri="{C3380CC4-5D6E-409C-BE32-E72D297353CC}">
              <c16:uniqueId val="{00000009-3C77-4226-8541-3F6FB6695CD8}"/>
            </c:ext>
          </c:extLst>
        </c:ser>
        <c:ser>
          <c:idx val="1"/>
          <c:order val="1"/>
          <c:tx>
            <c:v>Medyan / Median</c:v>
          </c:tx>
          <c:spPr>
            <a:ln w="15875">
              <a:solidFill>
                <a:srgbClr val="606060"/>
              </a:solidFill>
              <a:prstDash val="dash"/>
            </a:ln>
          </c:spPr>
          <c:marker>
            <c:symbol val="none"/>
          </c:marker>
          <c:cat>
            <c:strRef>
              <c:f>[0]!exNonlife_X</c:f>
            </c:strRef>
          </c:cat>
          <c:val>
            <c:numRef>
              <c:f>[0]!exNonlife_Med</c:f>
              <c:numCache>
                <c:formatCode>General</c:formatCode>
                <c:ptCount val="1"/>
                <c:pt idx="0">
                  <c:v>0</c:v>
                </c:pt>
              </c:numCache>
            </c:numRef>
          </c:val>
          <c:smooth val="0"/>
          <c:extLst>
            <c:ext xmlns:c16="http://schemas.microsoft.com/office/drawing/2014/chart" uri="{C3380CC4-5D6E-409C-BE32-E72D297353CC}">
              <c16:uniqueId val="{00000008-3C77-4226-8541-3F6FB6695CD8}"/>
            </c:ext>
          </c:extLst>
        </c:ser>
        <c:ser>
          <c:idx val="0"/>
          <c:order val="0"/>
          <c:tx>
            <c:v>Ödenen / Paid</c:v>
          </c:tx>
          <c:spPr>
            <a:ln w="28575">
              <a:solidFill>
                <a:srgbClr val="E69F00"/>
              </a:solidFill>
            </a:ln>
          </c:spPr>
          <c:marker>
            <c:symbol val="none"/>
          </c:marker>
          <c:cat>
            <c:strRef>
              <c:f>[0]!exNonlife_X</c:f>
            </c:strRef>
          </c:cat>
          <c:val>
            <c:numRef>
              <c:f>[0]!exNonlife_Paid</c:f>
              <c:numCache>
                <c:formatCode>General</c:formatCode>
                <c:ptCount val="1"/>
                <c:pt idx="0">
                  <c:v>0</c:v>
                </c:pt>
              </c:numCache>
            </c:numRef>
          </c:val>
          <c:smooth val="0"/>
          <c:extLst>
            <c:ext xmlns:c16="http://schemas.microsoft.com/office/drawing/2014/chart" uri="{C3380CC4-5D6E-409C-BE32-E72D297353CC}">
              <c16:uniqueId val="{00000007-3C77-4226-8541-3F6FB6695CD8}"/>
            </c:ext>
          </c:extLst>
        </c:ser>
        <c:dLbls>
          <c:showLegendKey val="0"/>
          <c:showVal val="0"/>
          <c:showCatName val="0"/>
          <c:showSerName val="0"/>
          <c:showPercent val="0"/>
          <c:showBubbleSize val="0"/>
        </c:dLbls>
        <c:smooth val="0"/>
        <c:axId val="1676072959"/>
        <c:axId val="1495424431"/>
      </c:lineChart>
      <c:catAx>
        <c:axId val="1676072959"/>
        <c:scaling>
          <c:orientation val="minMax"/>
        </c:scaling>
        <c:delete val="0"/>
        <c:axPos val="b"/>
        <c:numFmt formatCode="General" sourceLinked="1"/>
        <c:majorTickMark val="out"/>
        <c:minorTickMark val="none"/>
        <c:tickLblPos val="nextTo"/>
        <c:txPr>
          <a:bodyPr/>
          <a:lstStyle/>
          <a:p>
            <a:pPr>
              <a:defRPr sz="800"/>
            </a:pPr>
            <a:endParaRPr lang="en-US"/>
          </a:p>
        </c:txPr>
        <c:crossAx val="1495424431"/>
        <c:crosses val="autoZero"/>
        <c:auto val="1"/>
        <c:lblAlgn val="ctr"/>
        <c:lblOffset val="100"/>
        <c:noMultiLvlLbl val="0"/>
      </c:catAx>
      <c:valAx>
        <c:axId val="1495424431"/>
        <c:scaling>
          <c:orientation val="minMax"/>
        </c:scaling>
        <c:delete val="0"/>
        <c:axPos val="l"/>
        <c:majorGridlines>
          <c:spPr>
            <a:ln>
              <a:solidFill>
                <a:srgbClr val="E6E6E6"/>
              </a:solidFill>
            </a:ln>
          </c:spPr>
        </c:majorGridlines>
        <c:numFmt formatCode="#,##0.0,," sourceLinked="0"/>
        <c:majorTickMark val="out"/>
        <c:minorTickMark val="none"/>
        <c:tickLblPos val="nextTo"/>
        <c:txPr>
          <a:bodyPr/>
          <a:lstStyle/>
          <a:p>
            <a:pPr>
              <a:defRPr sz="800"/>
            </a:pPr>
            <a:endParaRPr lang="en-US"/>
          </a:p>
        </c:txPr>
        <c:crossAx val="1676072959"/>
        <c:crosses val="autoZero"/>
        <c:crossBetween val="between"/>
      </c:valAx>
    </c:plotArea>
    <c:legend>
      <c:legendPos val="b"/>
      <c:overlay val="0"/>
      <c:txPr>
        <a:bodyPr/>
        <a:lstStyle/>
        <a:p>
          <a:pPr>
            <a:defRPr sz="8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AN_Trend!$BR$8</c:f>
          <c:strCache>
            <c:ptCount val="1"/>
            <c:pt idx="0">
              <c:v>Aylık ödenen, geçen yıl, 12 aylık ortalama ve tahmin (mn TL) / Monthly paid, last year, 12-month average and forecast (TRY m)
Tahmin için en az 24 aylık nokta gerekir: INSUFFICIENT DATA / The forecast needs at least 24 monthly points: INSUFFICIENT DATA</c:v>
            </c:pt>
          </c:strCache>
        </c:strRef>
      </c:tx>
      <c:overlay val="0"/>
      <c:txPr>
        <a:bodyPr/>
        <a:lstStyle/>
        <a:p>
          <a:pPr>
            <a:defRPr sz="900" b="1"/>
          </a:pPr>
          <a:endParaRPr lang="en-US"/>
        </a:p>
      </c:txPr>
    </c:title>
    <c:autoTitleDeleted val="0"/>
    <c:plotArea>
      <c:layout/>
      <c:lineChart>
        <c:grouping val="standard"/>
        <c:varyColors val="0"/>
        <c:ser>
          <c:idx val="5"/>
          <c:order val="5"/>
          <c:tx>
            <c:v>Üst sınır / Upper</c:v>
          </c:tx>
          <c:spPr>
            <a:ln w="15875" cap="rnd">
              <a:solidFill>
                <a:srgbClr val="B2B2B2"/>
              </a:solidFill>
              <a:prstDash val="dot"/>
            </a:ln>
          </c:spPr>
          <c:marker>
            <c:symbol val="none"/>
          </c:marker>
          <c:cat>
            <c:strRef>
              <c:f>[0]!tr_C_X</c:f>
            </c:strRef>
          </c:cat>
          <c:val>
            <c:numRef>
              <c:f>[0]!tr_C_HI</c:f>
              <c:numCache>
                <c:formatCode>General</c:formatCode>
                <c:ptCount val="1"/>
                <c:pt idx="0">
                  <c:v>#N/A</c:v>
                </c:pt>
              </c:numCache>
            </c:numRef>
          </c:val>
          <c:smooth val="0"/>
          <c:extLst>
            <c:ext xmlns:c16="http://schemas.microsoft.com/office/drawing/2014/chart" uri="{C3380CC4-5D6E-409C-BE32-E72D297353CC}">
              <c16:uniqueId val="{0000000C-E8AC-41FD-9EC1-509976521394}"/>
            </c:ext>
          </c:extLst>
        </c:ser>
        <c:ser>
          <c:idx val="4"/>
          <c:order val="4"/>
          <c:tx>
            <c:v>Tahmin aralığı / Forecast interval</c:v>
          </c:tx>
          <c:spPr>
            <a:ln w="15875" cap="rnd">
              <a:solidFill>
                <a:srgbClr val="B2B2B2"/>
              </a:solidFill>
              <a:prstDash val="dot"/>
            </a:ln>
          </c:spPr>
          <c:marker>
            <c:symbol val="none"/>
          </c:marker>
          <c:cat>
            <c:strRef>
              <c:f>[0]!tr_C_X</c:f>
            </c:strRef>
          </c:cat>
          <c:val>
            <c:numRef>
              <c:f>[0]!tr_C_LO</c:f>
              <c:numCache>
                <c:formatCode>General</c:formatCode>
                <c:ptCount val="1"/>
                <c:pt idx="0">
                  <c:v>#N/A</c:v>
                </c:pt>
              </c:numCache>
            </c:numRef>
          </c:val>
          <c:smooth val="0"/>
          <c:extLst>
            <c:ext xmlns:c16="http://schemas.microsoft.com/office/drawing/2014/chart" uri="{C3380CC4-5D6E-409C-BE32-E72D297353CC}">
              <c16:uniqueId val="{0000000B-E8AC-41FD-9EC1-509976521394}"/>
            </c:ext>
          </c:extLst>
        </c:ser>
        <c:ser>
          <c:idx val="3"/>
          <c:order val="3"/>
          <c:tx>
            <c:v>Tahmin / Forecast</c:v>
          </c:tx>
          <c:spPr>
            <a:ln w="28575">
              <a:solidFill>
                <a:srgbClr val="003366"/>
              </a:solidFill>
              <a:prstDash val="dash"/>
            </a:ln>
          </c:spPr>
          <c:marker>
            <c:symbol val="none"/>
          </c:marker>
          <c:cat>
            <c:strRef>
              <c:f>[0]!tr_C_X</c:f>
            </c:strRef>
          </c:cat>
          <c:val>
            <c:numRef>
              <c:f>[0]!tr_C_FC</c:f>
              <c:numCache>
                <c:formatCode>General</c:formatCode>
                <c:ptCount val="1"/>
                <c:pt idx="0">
                  <c:v>#N/A</c:v>
                </c:pt>
              </c:numCache>
            </c:numRef>
          </c:val>
          <c:smooth val="0"/>
          <c:extLst>
            <c:ext xmlns:c16="http://schemas.microsoft.com/office/drawing/2014/chart" uri="{C3380CC4-5D6E-409C-BE32-E72D297353CC}">
              <c16:uniqueId val="{0000000A-E8AC-41FD-9EC1-509976521394}"/>
            </c:ext>
          </c:extLst>
        </c:ser>
        <c:ser>
          <c:idx val="2"/>
          <c:order val="2"/>
          <c:tx>
            <c:v>12 ay ortalaması / 12-month average</c:v>
          </c:tx>
          <c:spPr>
            <a:ln w="25400">
              <a:solidFill>
                <a:srgbClr val="404040"/>
              </a:solidFill>
            </a:ln>
          </c:spPr>
          <c:marker>
            <c:symbol val="none"/>
          </c:marker>
          <c:cat>
            <c:strRef>
              <c:f>[0]!tr_C_X</c:f>
            </c:strRef>
          </c:cat>
          <c:val>
            <c:numRef>
              <c:f>[0]!tr_C_Avg</c:f>
              <c:numCache>
                <c:formatCode>General</c:formatCode>
                <c:ptCount val="1"/>
                <c:pt idx="0">
                  <c:v>#N/A</c:v>
                </c:pt>
              </c:numCache>
            </c:numRef>
          </c:val>
          <c:smooth val="0"/>
          <c:extLst>
            <c:ext xmlns:c16="http://schemas.microsoft.com/office/drawing/2014/chart" uri="{C3380CC4-5D6E-409C-BE32-E72D297353CC}">
              <c16:uniqueId val="{00000009-E8AC-41FD-9EC1-509976521394}"/>
            </c:ext>
          </c:extLst>
        </c:ser>
        <c:ser>
          <c:idx val="1"/>
          <c:order val="1"/>
          <c:tx>
            <c:v>Geçen yıl / Last year</c:v>
          </c:tx>
          <c:spPr>
            <a:ln w="19050">
              <a:solidFill>
                <a:srgbClr val="969696"/>
              </a:solidFill>
              <a:prstDash val="dash"/>
            </a:ln>
          </c:spPr>
          <c:marker>
            <c:symbol val="none"/>
          </c:marker>
          <c:cat>
            <c:strRef>
              <c:f>[0]!tr_C_X</c:f>
            </c:strRef>
          </c:cat>
          <c:val>
            <c:numRef>
              <c:f>[0]!tr_C_PY</c:f>
              <c:numCache>
                <c:formatCode>General</c:formatCode>
                <c:ptCount val="1"/>
                <c:pt idx="0">
                  <c:v>#N/A</c:v>
                </c:pt>
              </c:numCache>
            </c:numRef>
          </c:val>
          <c:smooth val="0"/>
          <c:extLst>
            <c:ext xmlns:c16="http://schemas.microsoft.com/office/drawing/2014/chart" uri="{C3380CC4-5D6E-409C-BE32-E72D297353CC}">
              <c16:uniqueId val="{00000008-E8AC-41FD-9EC1-509976521394}"/>
            </c:ext>
          </c:extLst>
        </c:ser>
        <c:ser>
          <c:idx val="0"/>
          <c:order val="0"/>
          <c:tx>
            <c:v>Ödenen / Paid</c:v>
          </c:tx>
          <c:spPr>
            <a:ln w="28575">
              <a:solidFill>
                <a:srgbClr val="1F3864"/>
              </a:solidFill>
            </a:ln>
          </c:spPr>
          <c:marker>
            <c:symbol val="none"/>
          </c:marker>
          <c:cat>
            <c:strRef>
              <c:f>[0]!tr_C_X</c:f>
            </c:strRef>
          </c:cat>
          <c:val>
            <c:numRef>
              <c:f>[0]!tr_C_Paid</c:f>
              <c:numCache>
                <c:formatCode>General</c:formatCode>
                <c:ptCount val="1"/>
                <c:pt idx="0">
                  <c:v>#N/A</c:v>
                </c:pt>
              </c:numCache>
            </c:numRef>
          </c:val>
          <c:smooth val="0"/>
          <c:extLst>
            <c:ext xmlns:c16="http://schemas.microsoft.com/office/drawing/2014/chart" uri="{C3380CC4-5D6E-409C-BE32-E72D297353CC}">
              <c16:uniqueId val="{00000007-E8AC-41FD-9EC1-509976521394}"/>
            </c:ext>
          </c:extLst>
        </c:ser>
        <c:dLbls>
          <c:showLegendKey val="0"/>
          <c:showVal val="0"/>
          <c:showCatName val="0"/>
          <c:showSerName val="0"/>
          <c:showPercent val="0"/>
          <c:showBubbleSize val="0"/>
        </c:dLbls>
        <c:smooth val="0"/>
        <c:axId val="1127981711"/>
        <c:axId val="916288239"/>
      </c:lineChart>
      <c:catAx>
        <c:axId val="1127981711"/>
        <c:scaling>
          <c:orientation val="minMax"/>
        </c:scaling>
        <c:delete val="0"/>
        <c:axPos val="b"/>
        <c:numFmt formatCode="General" sourceLinked="1"/>
        <c:majorTickMark val="out"/>
        <c:minorTickMark val="none"/>
        <c:tickLblPos val="low"/>
        <c:txPr>
          <a:bodyPr rot="-5400000" vert="horz"/>
          <a:lstStyle/>
          <a:p>
            <a:pPr>
              <a:defRPr sz="800"/>
            </a:pPr>
            <a:endParaRPr lang="en-US"/>
          </a:p>
        </c:txPr>
        <c:crossAx val="916288239"/>
        <c:crosses val="autoZero"/>
        <c:auto val="1"/>
        <c:lblAlgn val="ctr"/>
        <c:lblOffset val="100"/>
        <c:tickLblSkip val="3"/>
        <c:tickMarkSkip val="1"/>
        <c:noMultiLvlLbl val="0"/>
      </c:catAx>
      <c:valAx>
        <c:axId val="916288239"/>
        <c:scaling>
          <c:orientation val="minMax"/>
        </c:scaling>
        <c:delete val="0"/>
        <c:axPos val="l"/>
        <c:majorGridlines>
          <c:spPr>
            <a:ln>
              <a:solidFill>
                <a:srgbClr val="E6E6E6"/>
              </a:solidFill>
            </a:ln>
          </c:spPr>
        </c:majorGridlines>
        <c:numFmt formatCode="#,##0.0" sourceLinked="0"/>
        <c:majorTickMark val="out"/>
        <c:minorTickMark val="none"/>
        <c:tickLblPos val="nextTo"/>
        <c:txPr>
          <a:bodyPr/>
          <a:lstStyle/>
          <a:p>
            <a:pPr>
              <a:defRPr sz="800"/>
            </a:pPr>
            <a:endParaRPr lang="en-US"/>
          </a:p>
        </c:txPr>
        <c:crossAx val="1127981711"/>
        <c:crosses val="autoZero"/>
        <c:crossBetween val="between"/>
      </c:valAx>
    </c:plotArea>
    <c:legend>
      <c:legendPos val="r"/>
      <c:legendEntry>
        <c:idx val="5"/>
        <c:delete val="1"/>
      </c:legendEntry>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AN_Trend!$BR$9</c:f>
          <c:strCache>
            <c:ptCount val="1"/>
            <c:pt idx="0">
              <c:v>Son 12 ay toplamı (mn TL) / Rolling 12-month total (TRY m)</c:v>
            </c:pt>
          </c:strCache>
        </c:strRef>
      </c:tx>
      <c:overlay val="0"/>
      <c:txPr>
        <a:bodyPr/>
        <a:lstStyle/>
        <a:p>
          <a:pPr>
            <a:defRPr sz="900" b="1"/>
          </a:pPr>
          <a:endParaRPr lang="en-US"/>
        </a:p>
      </c:txPr>
    </c:title>
    <c:autoTitleDeleted val="0"/>
    <c:plotArea>
      <c:layout/>
      <c:lineChart>
        <c:grouping val="standard"/>
        <c:varyColors val="0"/>
        <c:ser>
          <c:idx val="0"/>
          <c:order val="0"/>
          <c:tx>
            <c:v>Son 12 ay toplamı / Rolling 12 months (mn TL)</c:v>
          </c:tx>
          <c:spPr>
            <a:ln w="28575">
              <a:solidFill>
                <a:srgbClr val="1F3864"/>
              </a:solidFill>
            </a:ln>
          </c:spPr>
          <c:marker>
            <c:symbol val="none"/>
          </c:marker>
          <c:cat>
            <c:strRef>
              <c:f>[0]!tr_H_X</c:f>
            </c:strRef>
          </c:cat>
          <c:val>
            <c:numRef>
              <c:f>[0]!tr_H_R12</c:f>
              <c:numCache>
                <c:formatCode>General</c:formatCode>
                <c:ptCount val="1"/>
                <c:pt idx="0">
                  <c:v>#N/A</c:v>
                </c:pt>
              </c:numCache>
            </c:numRef>
          </c:val>
          <c:smooth val="0"/>
          <c:extLst>
            <c:ext xmlns:c16="http://schemas.microsoft.com/office/drawing/2014/chart" uri="{C3380CC4-5D6E-409C-BE32-E72D297353CC}">
              <c16:uniqueId val="{00000007-277F-49B3-8131-B97C6D6617D7}"/>
            </c:ext>
          </c:extLst>
        </c:ser>
        <c:dLbls>
          <c:showLegendKey val="0"/>
          <c:showVal val="0"/>
          <c:showCatName val="0"/>
          <c:showSerName val="0"/>
          <c:showPercent val="0"/>
          <c:showBubbleSize val="0"/>
        </c:dLbls>
        <c:smooth val="0"/>
        <c:axId val="1127982639"/>
        <c:axId val="916276719"/>
      </c:lineChart>
      <c:catAx>
        <c:axId val="1127982639"/>
        <c:scaling>
          <c:orientation val="minMax"/>
        </c:scaling>
        <c:delete val="0"/>
        <c:axPos val="b"/>
        <c:numFmt formatCode="General" sourceLinked="1"/>
        <c:majorTickMark val="out"/>
        <c:minorTickMark val="none"/>
        <c:tickLblPos val="low"/>
        <c:txPr>
          <a:bodyPr rot="-5400000" vert="horz"/>
          <a:lstStyle/>
          <a:p>
            <a:pPr>
              <a:defRPr sz="800"/>
            </a:pPr>
            <a:endParaRPr lang="en-US"/>
          </a:p>
        </c:txPr>
        <c:crossAx val="916276719"/>
        <c:crosses val="autoZero"/>
        <c:auto val="1"/>
        <c:lblAlgn val="ctr"/>
        <c:lblOffset val="100"/>
        <c:tickLblSkip val="3"/>
        <c:tickMarkSkip val="1"/>
        <c:noMultiLvlLbl val="0"/>
      </c:catAx>
      <c:valAx>
        <c:axId val="916276719"/>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800"/>
            </a:pPr>
            <a:endParaRPr lang="en-US"/>
          </a:p>
        </c:txPr>
        <c:crossAx val="1127982639"/>
        <c:crosses val="autoZero"/>
        <c:crossBetween val="between"/>
      </c:valAx>
    </c:plotArea>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AN_Trend!$BR$10</c:f>
          <c:strCache>
            <c:ptCount val="1"/>
            <c:pt idx="0">
              <c:v>Karşılaştırma ayında veri yok: INSUFFICIENT DATA / No data in the comparison month: INSUFFICIENT DATA</c:v>
            </c:pt>
          </c:strCache>
        </c:strRef>
      </c:tx>
      <c:overlay val="0"/>
      <c:txPr>
        <a:bodyPr/>
        <a:lstStyle/>
        <a:p>
          <a:pPr>
            <a:defRPr sz="900" b="1"/>
          </a:pPr>
          <a:endParaRPr lang="en-US"/>
        </a:p>
      </c:txPr>
    </c:title>
    <c:autoTitleDeleted val="0"/>
    <c:plotArea>
      <c:layout/>
      <c:barChart>
        <c:barDir val="col"/>
        <c:grouping val="stacked"/>
        <c:varyColors val="0"/>
        <c:ser>
          <c:idx val="0"/>
          <c:order val="0"/>
          <c:tx>
            <c:strRef>
              <c:f>AN_Trend!$BT$7</c:f>
              <c:strCache>
                <c:ptCount val="1"/>
                <c:pt idx="0">
                  <c:v>Base</c:v>
                </c:pt>
              </c:strCache>
            </c:strRef>
          </c:tx>
          <c:spPr>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a:noFill/>
                </a14:hiddenLine>
              </a:ext>
            </a:extLst>
          </c:spPr>
          <c:invertIfNegative val="0"/>
          <c:cat>
            <c:strRef>
              <c:f>AN_Trend!$BS$8:$BS$15</c:f>
              <c:strCache>
                <c:ptCount val="8"/>
                <c:pt idx="0">
                  <c:v> </c:v>
                </c:pt>
                <c:pt idx="1">
                  <c:v> </c:v>
                </c:pt>
                <c:pt idx="2">
                  <c:v> </c:v>
                </c:pt>
                <c:pt idx="3">
                  <c:v> </c:v>
                </c:pt>
                <c:pt idx="4">
                  <c:v> </c:v>
                </c:pt>
                <c:pt idx="5">
                  <c:v> </c:v>
                </c:pt>
                <c:pt idx="6">
                  <c:v> </c:v>
                </c:pt>
                <c:pt idx="7">
                  <c:v> </c:v>
                </c:pt>
              </c:strCache>
            </c:strRef>
          </c:cat>
          <c:val>
            <c:numRef>
              <c:f>AN_Trend!$BT$8:$BT$15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7-92EA-4E37-A055-F476DE25C376}"/>
            </c:ext>
          </c:extLst>
        </c:ser>
        <c:ser>
          <c:idx val="1"/>
          <c:order val="1"/>
          <c:tx>
            <c:strRef>
              <c:f>AN_Trend!$BU$7</c:f>
              <c:strCache>
                <c:ptCount val="1"/>
                <c:pt idx="0">
                  <c:v>Artış / Increase</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AN_Trend!$BS$8:$BS$15</c:f>
              <c:strCache>
                <c:ptCount val="8"/>
                <c:pt idx="0">
                  <c:v> </c:v>
                </c:pt>
                <c:pt idx="1">
                  <c:v> </c:v>
                </c:pt>
                <c:pt idx="2">
                  <c:v> </c:v>
                </c:pt>
                <c:pt idx="3">
                  <c:v> </c:v>
                </c:pt>
                <c:pt idx="4">
                  <c:v> </c:v>
                </c:pt>
                <c:pt idx="5">
                  <c:v> </c:v>
                </c:pt>
                <c:pt idx="6">
                  <c:v> </c:v>
                </c:pt>
                <c:pt idx="7">
                  <c:v> </c:v>
                </c:pt>
              </c:strCache>
            </c:strRef>
          </c:cat>
          <c:val>
            <c:numRef>
              <c:f>AN_Trend!$BU$8:$BU$15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8-92EA-4E37-A055-F476DE25C376}"/>
            </c:ext>
          </c:extLst>
        </c:ser>
        <c:ser>
          <c:idx val="2"/>
          <c:order val="2"/>
          <c:tx>
            <c:strRef>
              <c:f>AN_Trend!$BV$7</c:f>
              <c:strCache>
                <c:ptCount val="1"/>
                <c:pt idx="0">
                  <c:v>Azalış / Decrease</c:v>
                </c:pt>
              </c:strCache>
            </c:strRef>
          </c:tx>
          <c:spPr>
            <a:solidFill>
              <a:srgbClr val="DC143C"/>
            </a:solidFill>
          </c:spPr>
          <c:invertIfNegative val="0"/>
          <c:dLbls>
            <c:numFmt formatCode="\-#,##0.0;;;" sourceLinked="0"/>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AN_Trend!$BS$8:$BS$15</c:f>
              <c:strCache>
                <c:ptCount val="8"/>
                <c:pt idx="0">
                  <c:v> </c:v>
                </c:pt>
                <c:pt idx="1">
                  <c:v> </c:v>
                </c:pt>
                <c:pt idx="2">
                  <c:v> </c:v>
                </c:pt>
                <c:pt idx="3">
                  <c:v> </c:v>
                </c:pt>
                <c:pt idx="4">
                  <c:v> </c:v>
                </c:pt>
                <c:pt idx="5">
                  <c:v> </c:v>
                </c:pt>
                <c:pt idx="6">
                  <c:v> </c:v>
                </c:pt>
                <c:pt idx="7">
                  <c:v> </c:v>
                </c:pt>
              </c:strCache>
            </c:strRef>
          </c:cat>
          <c:val>
            <c:numRef>
              <c:f>AN_Trend!$BV$8:$BV$15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9-92EA-4E37-A055-F476DE25C376}"/>
            </c:ext>
          </c:extLst>
        </c:ser>
        <c:ser>
          <c:idx val="3"/>
          <c:order val="3"/>
          <c:tx>
            <c:strRef>
              <c:f>AN_Trend!$BW$7</c:f>
              <c:strCache>
                <c:ptCount val="1"/>
                <c:pt idx="0">
                  <c:v>Toplam / Total</c:v>
                </c:pt>
              </c:strCache>
            </c:strRef>
          </c:tx>
          <c:spPr>
            <a:solidFill>
              <a:srgbClr val="1F3864"/>
            </a:solidFill>
          </c:spPr>
          <c:invertIfNegative val="0"/>
          <c:dLbls>
            <c:numFmt formatCode="#,##0.0;;;" sourceLinked="0"/>
            <c:spPr>
              <a:noFill/>
              <a:ln>
                <a:noFill/>
              </a:ln>
              <a:effectLst/>
            </c:spPr>
            <c:txPr>
              <a:bodyPr wrap="square" lIns="38100" tIns="19050" rIns="38100" bIns="19050" anchor="ctr">
                <a:spAutoFit/>
              </a:bodyPr>
              <a:lstStyle/>
              <a:p>
                <a:pPr>
                  <a:defRPr sz="700">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AN_Trend!$BS$8:$BS$15</c:f>
              <c:strCache>
                <c:ptCount val="8"/>
                <c:pt idx="0">
                  <c:v> </c:v>
                </c:pt>
                <c:pt idx="1">
                  <c:v> </c:v>
                </c:pt>
                <c:pt idx="2">
                  <c:v> </c:v>
                </c:pt>
                <c:pt idx="3">
                  <c:v> </c:v>
                </c:pt>
                <c:pt idx="4">
                  <c:v> </c:v>
                </c:pt>
                <c:pt idx="5">
                  <c:v> </c:v>
                </c:pt>
                <c:pt idx="6">
                  <c:v> </c:v>
                </c:pt>
                <c:pt idx="7">
                  <c:v> </c:v>
                </c:pt>
              </c:strCache>
            </c:strRef>
          </c:cat>
          <c:val>
            <c:numRef>
              <c:f>AN_Trend!$BW$8:$BW$15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A-92EA-4E37-A055-F476DE25C376}"/>
            </c:ext>
          </c:extLst>
        </c:ser>
        <c:dLbls>
          <c:showLegendKey val="0"/>
          <c:showVal val="0"/>
          <c:showCatName val="0"/>
          <c:showSerName val="0"/>
          <c:showPercent val="0"/>
          <c:showBubbleSize val="0"/>
        </c:dLbls>
        <c:gapWidth val="40"/>
        <c:overlap val="100"/>
        <c:axId val="1192863055"/>
        <c:axId val="916281039"/>
      </c:barChart>
      <c:catAx>
        <c:axId val="1192863055"/>
        <c:scaling>
          <c:orientation val="minMax"/>
        </c:scaling>
        <c:delete val="0"/>
        <c:axPos val="b"/>
        <c:numFmt formatCode="General" sourceLinked="1"/>
        <c:majorTickMark val="out"/>
        <c:minorTickMark val="none"/>
        <c:tickLblPos val="nextTo"/>
        <c:txPr>
          <a:bodyPr/>
          <a:lstStyle/>
          <a:p>
            <a:pPr>
              <a:defRPr sz="700"/>
            </a:pPr>
            <a:endParaRPr lang="en-US"/>
          </a:p>
        </c:txPr>
        <c:crossAx val="916281039"/>
        <c:crosses val="autoZero"/>
        <c:auto val="1"/>
        <c:lblAlgn val="ctr"/>
        <c:lblOffset val="100"/>
        <c:noMultiLvlLbl val="0"/>
      </c:catAx>
      <c:valAx>
        <c:axId val="916281039"/>
        <c:scaling>
          <c:orientation val="minMax"/>
        </c:scaling>
        <c:delete val="0"/>
        <c:axPos val="l"/>
        <c:majorGridlines>
          <c:spPr>
            <a:ln>
              <a:solidFill>
                <a:srgbClr val="E6E6E6"/>
              </a:solidFill>
            </a:ln>
          </c:spPr>
        </c:majorGridlines>
        <c:numFmt formatCode="#,##0.0" sourceLinked="0"/>
        <c:majorTickMark val="out"/>
        <c:minorTickMark val="none"/>
        <c:tickLblPos val="nextTo"/>
        <c:txPr>
          <a:bodyPr/>
          <a:lstStyle/>
          <a:p>
            <a:pPr>
              <a:defRPr sz="800"/>
            </a:pPr>
            <a:endParaRPr lang="en-US"/>
          </a:p>
        </c:txPr>
        <c:crossAx val="1192863055"/>
        <c:crosses val="autoZero"/>
        <c:crossBetween val="between"/>
      </c:valAx>
    </c:plotArea>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AN_Trend!$BR$11</c:f>
          <c:strCache>
            <c:ptCount val="1"/>
            <c:pt idx="0">
              <c:v>Yıllık değişim köprüsü: ödeme türüne göre (mn TL) / Year-over-year bridge by payment nature (TRY m): Karşılaştırma ayında veri yok: INSUFFICIENT DATA / No data in the comparison month: INSUFFICIENT DATA</c:v>
            </c:pt>
          </c:strCache>
        </c:strRef>
      </c:tx>
      <c:overlay val="0"/>
      <c:txPr>
        <a:bodyPr/>
        <a:lstStyle/>
        <a:p>
          <a:pPr>
            <a:defRPr sz="900" b="1"/>
          </a:pPr>
          <a:endParaRPr lang="en-US"/>
        </a:p>
      </c:txPr>
    </c:title>
    <c:autoTitleDeleted val="0"/>
    <c:plotArea>
      <c:layout/>
      <c:barChart>
        <c:barDir val="col"/>
        <c:grouping val="stacked"/>
        <c:varyColors val="0"/>
        <c:ser>
          <c:idx val="0"/>
          <c:order val="0"/>
          <c:tx>
            <c:strRef>
              <c:f>AN_Trend!$CA$7</c:f>
              <c:strCache>
                <c:ptCount val="1"/>
                <c:pt idx="0">
                  <c:v>Base</c:v>
                </c:pt>
              </c:strCache>
            </c:strRef>
          </c:tx>
          <c:spPr>
            <a:noFill/>
            <a:ln>
              <a:noFill/>
            </a:ln>
            <a:effectLst/>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a:noFill/>
                </a14:hiddenLine>
              </a:ext>
            </a:extLst>
          </c:spPr>
          <c:invertIfNegative val="0"/>
          <c:cat>
            <c:strRef>
              <c:f>AN_Trend!$BZ$8:$BZ$15</c:f>
              <c:strCache>
                <c:ptCount val="8"/>
                <c:pt idx="0">
                  <c:v> </c:v>
                </c:pt>
                <c:pt idx="1">
                  <c:v> </c:v>
                </c:pt>
                <c:pt idx="2">
                  <c:v> </c:v>
                </c:pt>
                <c:pt idx="3">
                  <c:v> </c:v>
                </c:pt>
                <c:pt idx="4">
                  <c:v> </c:v>
                </c:pt>
                <c:pt idx="5">
                  <c:v> </c:v>
                </c:pt>
                <c:pt idx="6">
                  <c:v> </c:v>
                </c:pt>
                <c:pt idx="7">
                  <c:v> </c:v>
                </c:pt>
              </c:strCache>
            </c:strRef>
          </c:cat>
          <c:val>
            <c:numRef>
              <c:f>AN_Trend!$CA$8:$CA$15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7-8E2D-4359-AC79-632872E175B7}"/>
            </c:ext>
          </c:extLst>
        </c:ser>
        <c:ser>
          <c:idx val="1"/>
          <c:order val="1"/>
          <c:tx>
            <c:strRef>
              <c:f>AN_Trend!$CB$7</c:f>
              <c:strCache>
                <c:ptCount val="1"/>
                <c:pt idx="0">
                  <c:v>Artış / Increase</c:v>
                </c:pt>
              </c:strCache>
            </c:strRef>
          </c:tx>
          <c:spPr>
            <a:solidFill>
              <a:srgbClr val="00B050"/>
            </a:solidFill>
          </c:spPr>
          <c:invertIfNegative val="0"/>
          <c:dLbls>
            <c:numFmt formatCode="\+#,##0.0;;;" sourceLinked="0"/>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AN_Trend!$BZ$8:$BZ$15</c:f>
              <c:strCache>
                <c:ptCount val="8"/>
                <c:pt idx="0">
                  <c:v> </c:v>
                </c:pt>
                <c:pt idx="1">
                  <c:v> </c:v>
                </c:pt>
                <c:pt idx="2">
                  <c:v> </c:v>
                </c:pt>
                <c:pt idx="3">
                  <c:v> </c:v>
                </c:pt>
                <c:pt idx="4">
                  <c:v> </c:v>
                </c:pt>
                <c:pt idx="5">
                  <c:v> </c:v>
                </c:pt>
                <c:pt idx="6">
                  <c:v> </c:v>
                </c:pt>
                <c:pt idx="7">
                  <c:v> </c:v>
                </c:pt>
              </c:strCache>
            </c:strRef>
          </c:cat>
          <c:val>
            <c:numRef>
              <c:f>AN_Trend!$CB$8:$CB$15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8-8E2D-4359-AC79-632872E175B7}"/>
            </c:ext>
          </c:extLst>
        </c:ser>
        <c:ser>
          <c:idx val="2"/>
          <c:order val="2"/>
          <c:tx>
            <c:strRef>
              <c:f>AN_Trend!$CC$7</c:f>
              <c:strCache>
                <c:ptCount val="1"/>
                <c:pt idx="0">
                  <c:v>Azalış / Decrease</c:v>
                </c:pt>
              </c:strCache>
            </c:strRef>
          </c:tx>
          <c:spPr>
            <a:solidFill>
              <a:srgbClr val="DC143C"/>
            </a:solidFill>
          </c:spPr>
          <c:invertIfNegative val="0"/>
          <c:dLbls>
            <c:numFmt formatCode="\-#,##0.0;;;" sourceLinked="0"/>
            <c:spPr>
              <a:noFill/>
              <a:ln>
                <a:noFill/>
              </a:ln>
              <a:effectLst/>
            </c:spPr>
            <c:txPr>
              <a:bodyPr wrap="square" lIns="38100" tIns="19050" rIns="38100" bIns="19050" anchor="ctr">
                <a:spAutoFit/>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AN_Trend!$BZ$8:$BZ$15</c:f>
              <c:strCache>
                <c:ptCount val="8"/>
                <c:pt idx="0">
                  <c:v> </c:v>
                </c:pt>
                <c:pt idx="1">
                  <c:v> </c:v>
                </c:pt>
                <c:pt idx="2">
                  <c:v> </c:v>
                </c:pt>
                <c:pt idx="3">
                  <c:v> </c:v>
                </c:pt>
                <c:pt idx="4">
                  <c:v> </c:v>
                </c:pt>
                <c:pt idx="5">
                  <c:v> </c:v>
                </c:pt>
                <c:pt idx="6">
                  <c:v> </c:v>
                </c:pt>
                <c:pt idx="7">
                  <c:v> </c:v>
                </c:pt>
              </c:strCache>
            </c:strRef>
          </c:cat>
          <c:val>
            <c:numRef>
              <c:f>AN_Trend!$CC$8:$CC$15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9-8E2D-4359-AC79-632872E175B7}"/>
            </c:ext>
          </c:extLst>
        </c:ser>
        <c:ser>
          <c:idx val="3"/>
          <c:order val="3"/>
          <c:tx>
            <c:strRef>
              <c:f>AN_Trend!$CD$7</c:f>
              <c:strCache>
                <c:ptCount val="1"/>
                <c:pt idx="0">
                  <c:v>Toplam / Total</c:v>
                </c:pt>
              </c:strCache>
            </c:strRef>
          </c:tx>
          <c:spPr>
            <a:solidFill>
              <a:srgbClr val="1F3864"/>
            </a:solidFill>
          </c:spPr>
          <c:invertIfNegative val="0"/>
          <c:dLbls>
            <c:numFmt formatCode="#,##0.0;;;" sourceLinked="0"/>
            <c:spPr>
              <a:noFill/>
              <a:ln>
                <a:noFill/>
              </a:ln>
              <a:effectLst/>
            </c:spPr>
            <c:txPr>
              <a:bodyPr wrap="square" lIns="38100" tIns="19050" rIns="38100" bIns="19050" anchor="ctr">
                <a:spAutoFit/>
              </a:bodyPr>
              <a:lstStyle/>
              <a:p>
                <a:pPr>
                  <a:defRPr sz="700">
                    <a:solidFill>
                      <a:srgbClr val="FFFFFF"/>
                    </a:solidFil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AN_Trend!$BZ$8:$BZ$15</c:f>
              <c:strCache>
                <c:ptCount val="8"/>
                <c:pt idx="0">
                  <c:v> </c:v>
                </c:pt>
                <c:pt idx="1">
                  <c:v> </c:v>
                </c:pt>
                <c:pt idx="2">
                  <c:v> </c:v>
                </c:pt>
                <c:pt idx="3">
                  <c:v> </c:v>
                </c:pt>
                <c:pt idx="4">
                  <c:v> </c:v>
                </c:pt>
                <c:pt idx="5">
                  <c:v> </c:v>
                </c:pt>
                <c:pt idx="6">
                  <c:v> </c:v>
                </c:pt>
                <c:pt idx="7">
                  <c:v> </c:v>
                </c:pt>
              </c:strCache>
            </c:strRef>
          </c:cat>
          <c:val>
            <c:numRef>
              <c:f>AN_Trend!$CD$8:$CD$15</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A-8E2D-4359-AC79-632872E175B7}"/>
            </c:ext>
          </c:extLst>
        </c:ser>
        <c:dLbls>
          <c:showLegendKey val="0"/>
          <c:showVal val="0"/>
          <c:showCatName val="0"/>
          <c:showSerName val="0"/>
          <c:showPercent val="0"/>
          <c:showBubbleSize val="0"/>
        </c:dLbls>
        <c:gapWidth val="40"/>
        <c:overlap val="100"/>
        <c:axId val="1192874655"/>
        <c:axId val="916276239"/>
      </c:barChart>
      <c:catAx>
        <c:axId val="1192874655"/>
        <c:scaling>
          <c:orientation val="minMax"/>
        </c:scaling>
        <c:delete val="0"/>
        <c:axPos val="b"/>
        <c:numFmt formatCode="General" sourceLinked="1"/>
        <c:majorTickMark val="out"/>
        <c:minorTickMark val="none"/>
        <c:tickLblPos val="nextTo"/>
        <c:txPr>
          <a:bodyPr/>
          <a:lstStyle/>
          <a:p>
            <a:pPr>
              <a:defRPr sz="700"/>
            </a:pPr>
            <a:endParaRPr lang="en-US"/>
          </a:p>
        </c:txPr>
        <c:crossAx val="916276239"/>
        <c:crosses val="autoZero"/>
        <c:auto val="1"/>
        <c:lblAlgn val="ctr"/>
        <c:lblOffset val="100"/>
        <c:noMultiLvlLbl val="0"/>
      </c:catAx>
      <c:valAx>
        <c:axId val="916276239"/>
        <c:scaling>
          <c:orientation val="minMax"/>
        </c:scaling>
        <c:delete val="0"/>
        <c:axPos val="l"/>
        <c:majorGridlines>
          <c:spPr>
            <a:ln>
              <a:solidFill>
                <a:srgbClr val="E6E6E6"/>
              </a:solidFill>
            </a:ln>
          </c:spPr>
        </c:majorGridlines>
        <c:numFmt formatCode="#,##0.0" sourceLinked="0"/>
        <c:majorTickMark val="out"/>
        <c:minorTickMark val="none"/>
        <c:tickLblPos val="nextTo"/>
        <c:txPr>
          <a:bodyPr/>
          <a:lstStyle/>
          <a:p>
            <a:pPr>
              <a:defRPr sz="800"/>
            </a:pPr>
            <a:endParaRPr lang="en-US"/>
          </a:p>
        </c:txPr>
        <c:crossAx val="1192874655"/>
        <c:crosses val="autoZero"/>
        <c:crossBetween val="between"/>
      </c:valAx>
    </c:plotArea>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AN_Calc!$FB$1</c:f>
              <c:numCache>
                <c:formatCode>General</c:formatCode>
                <c:ptCount val="1"/>
                <c:pt idx="0">
                  <c:v>1</c:v>
                </c:pt>
              </c:numCache>
            </c:numRef>
          </c:val>
          <c:extLst>
            <c:ext xmlns:c16="http://schemas.microsoft.com/office/drawing/2014/chart" uri="{C3380CC4-5D6E-409C-BE32-E72D297353CC}">
              <c16:uniqueId val="{00000007-04D4-4BA1-842A-5BFD960413AA}"/>
            </c:ext>
          </c:extLst>
        </c:ser>
        <c:dLbls>
          <c:showLegendKey val="0"/>
          <c:showVal val="0"/>
          <c:showCatName val="0"/>
          <c:showSerName val="0"/>
          <c:showPercent val="0"/>
          <c:showBubbleSize val="0"/>
        </c:dLbls>
        <c:gapWidth val="0"/>
        <c:axId val="2045037039"/>
        <c:axId val="916282479"/>
      </c:barChart>
      <c:catAx>
        <c:axId val="2045037039"/>
        <c:scaling>
          <c:orientation val="minMax"/>
        </c:scaling>
        <c:delete val="1"/>
        <c:axPos val="b"/>
        <c:numFmt formatCode="General" sourceLinked="1"/>
        <c:majorTickMark val="out"/>
        <c:minorTickMark val="none"/>
        <c:tickLblPos val="nextTo"/>
        <c:crossAx val="916282479"/>
        <c:crosses val="autoZero"/>
        <c:auto val="1"/>
        <c:lblAlgn val="ctr"/>
        <c:lblOffset val="100"/>
        <c:noMultiLvlLbl val="0"/>
      </c:catAx>
      <c:valAx>
        <c:axId val="916282479"/>
        <c:scaling>
          <c:orientation val="minMax"/>
          <c:max val="1"/>
          <c:min val="0"/>
        </c:scaling>
        <c:delete val="1"/>
        <c:axPos val="l"/>
        <c:numFmt formatCode="General" sourceLinked="1"/>
        <c:majorTickMark val="out"/>
        <c:minorTickMark val="none"/>
        <c:tickLblPos val="nextTo"/>
        <c:crossAx val="2045037039"/>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AN_Calc!$FB$1</c:f>
              <c:numCache>
                <c:formatCode>General</c:formatCode>
                <c:ptCount val="1"/>
                <c:pt idx="0">
                  <c:v>1</c:v>
                </c:pt>
              </c:numCache>
            </c:numRef>
          </c:val>
          <c:extLst>
            <c:ext xmlns:c16="http://schemas.microsoft.com/office/drawing/2014/chart" uri="{C3380CC4-5D6E-409C-BE32-E72D297353CC}">
              <c16:uniqueId val="{00000007-2DA2-4F2F-BAD2-93E15500C762}"/>
            </c:ext>
          </c:extLst>
        </c:ser>
        <c:dLbls>
          <c:showLegendKey val="0"/>
          <c:showVal val="0"/>
          <c:showCatName val="0"/>
          <c:showSerName val="0"/>
          <c:showPercent val="0"/>
          <c:showBubbleSize val="0"/>
        </c:dLbls>
        <c:gapWidth val="0"/>
        <c:axId val="2045034255"/>
        <c:axId val="916192239"/>
      </c:barChart>
      <c:catAx>
        <c:axId val="2045034255"/>
        <c:scaling>
          <c:orientation val="minMax"/>
        </c:scaling>
        <c:delete val="1"/>
        <c:axPos val="b"/>
        <c:numFmt formatCode="General" sourceLinked="1"/>
        <c:majorTickMark val="out"/>
        <c:minorTickMark val="none"/>
        <c:tickLblPos val="nextTo"/>
        <c:crossAx val="916192239"/>
        <c:crosses val="autoZero"/>
        <c:auto val="1"/>
        <c:lblAlgn val="ctr"/>
        <c:lblOffset val="100"/>
        <c:noMultiLvlLbl val="0"/>
      </c:catAx>
      <c:valAx>
        <c:axId val="916192239"/>
        <c:scaling>
          <c:orientation val="minMax"/>
          <c:max val="1"/>
          <c:min val="0"/>
        </c:scaling>
        <c:delete val="1"/>
        <c:axPos val="l"/>
        <c:numFmt formatCode="General" sourceLinked="1"/>
        <c:majorTickMark val="out"/>
        <c:minorTickMark val="none"/>
        <c:tickLblPos val="nextTo"/>
        <c:crossAx val="2045034255"/>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AN_Calc!$FB$1</c:f>
              <c:numCache>
                <c:formatCode>General</c:formatCode>
                <c:ptCount val="1"/>
                <c:pt idx="0">
                  <c:v>1</c:v>
                </c:pt>
              </c:numCache>
            </c:numRef>
          </c:val>
          <c:extLst>
            <c:ext xmlns:c16="http://schemas.microsoft.com/office/drawing/2014/chart" uri="{C3380CC4-5D6E-409C-BE32-E72D297353CC}">
              <c16:uniqueId val="{00000007-41A0-4B23-BFDA-408DFDC86C65}"/>
            </c:ext>
          </c:extLst>
        </c:ser>
        <c:dLbls>
          <c:showLegendKey val="0"/>
          <c:showVal val="0"/>
          <c:showCatName val="0"/>
          <c:showSerName val="0"/>
          <c:showPercent val="0"/>
          <c:showBubbleSize val="0"/>
        </c:dLbls>
        <c:gapWidth val="0"/>
        <c:axId val="2045054671"/>
        <c:axId val="916192719"/>
      </c:barChart>
      <c:catAx>
        <c:axId val="2045054671"/>
        <c:scaling>
          <c:orientation val="minMax"/>
        </c:scaling>
        <c:delete val="1"/>
        <c:axPos val="b"/>
        <c:numFmt formatCode="General" sourceLinked="1"/>
        <c:majorTickMark val="out"/>
        <c:minorTickMark val="none"/>
        <c:tickLblPos val="nextTo"/>
        <c:crossAx val="916192719"/>
        <c:crosses val="autoZero"/>
        <c:auto val="1"/>
        <c:lblAlgn val="ctr"/>
        <c:lblOffset val="100"/>
        <c:noMultiLvlLbl val="0"/>
      </c:catAx>
      <c:valAx>
        <c:axId val="916192719"/>
        <c:scaling>
          <c:orientation val="minMax"/>
          <c:max val="1"/>
          <c:min val="0"/>
        </c:scaling>
        <c:delete val="1"/>
        <c:axPos val="l"/>
        <c:numFmt formatCode="General" sourceLinked="1"/>
        <c:majorTickMark val="out"/>
        <c:minorTickMark val="none"/>
        <c:tickLblPos val="nextTo"/>
        <c:crossAx val="2045054671"/>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AN_Calc!$FB$1</c:f>
              <c:numCache>
                <c:formatCode>General</c:formatCode>
                <c:ptCount val="1"/>
                <c:pt idx="0">
                  <c:v>1</c:v>
                </c:pt>
              </c:numCache>
            </c:numRef>
          </c:val>
          <c:extLst>
            <c:ext xmlns:c16="http://schemas.microsoft.com/office/drawing/2014/chart" uri="{C3380CC4-5D6E-409C-BE32-E72D297353CC}">
              <c16:uniqueId val="{00000007-8876-44F2-8E27-4E1A6FBB7BD7}"/>
            </c:ext>
          </c:extLst>
        </c:ser>
        <c:dLbls>
          <c:showLegendKey val="0"/>
          <c:showVal val="0"/>
          <c:showCatName val="0"/>
          <c:showSerName val="0"/>
          <c:showPercent val="0"/>
          <c:showBubbleSize val="0"/>
        </c:dLbls>
        <c:gapWidth val="0"/>
        <c:axId val="2045063023"/>
        <c:axId val="916248879"/>
      </c:barChart>
      <c:catAx>
        <c:axId val="2045063023"/>
        <c:scaling>
          <c:orientation val="minMax"/>
        </c:scaling>
        <c:delete val="1"/>
        <c:axPos val="b"/>
        <c:numFmt formatCode="General" sourceLinked="1"/>
        <c:majorTickMark val="out"/>
        <c:minorTickMark val="none"/>
        <c:tickLblPos val="nextTo"/>
        <c:crossAx val="916248879"/>
        <c:crosses val="autoZero"/>
        <c:auto val="1"/>
        <c:lblAlgn val="ctr"/>
        <c:lblOffset val="100"/>
        <c:noMultiLvlLbl val="0"/>
      </c:catAx>
      <c:valAx>
        <c:axId val="916248879"/>
        <c:scaling>
          <c:orientation val="minMax"/>
          <c:max val="1"/>
          <c:min val="0"/>
        </c:scaling>
        <c:delete val="1"/>
        <c:axPos val="l"/>
        <c:numFmt formatCode="General" sourceLinked="1"/>
        <c:majorTickMark val="out"/>
        <c:minorTickMark val="none"/>
        <c:tickLblPos val="nextTo"/>
        <c:crossAx val="2045063023"/>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AN_Triangle!$EZ$1</c:f>
          <c:strCache>
            <c:ptCount val="1"/>
            <c:pt idx="0">
              <c:v>Takvim ayı (köşegen) toplamları, bin TL / Calendar month (diagonal) totals, TRY k: A/E</c:v>
            </c:pt>
          </c:strCache>
        </c:strRef>
      </c:tx>
      <c:overlay val="0"/>
      <c:txPr>
        <a:bodyPr/>
        <a:lstStyle/>
        <a:p>
          <a:pPr>
            <a:defRPr sz="800" b="1"/>
          </a:pPr>
          <a:endParaRPr lang="en-US"/>
        </a:p>
      </c:txPr>
    </c:title>
    <c:autoTitleDeleted val="0"/>
    <c:plotArea>
      <c:layout/>
      <c:scatterChart>
        <c:scatterStyle val="lineMarker"/>
        <c:varyColors val="0"/>
        <c:ser>
          <c:idx val="0"/>
          <c:order val="0"/>
          <c:tx>
            <c:v>A/E</c:v>
          </c:tx>
          <c:spPr>
            <a:ln w="22225">
              <a:solidFill>
                <a:srgbClr val="1F3864"/>
              </a:solidFill>
            </a:ln>
          </c:spPr>
          <c:marker>
            <c:symbol val="circle"/>
            <c:size val="3"/>
            <c:spPr>
              <a:ln w="22225">
                <a:solidFill>
                  <a:srgbClr val="1F3864"/>
                </a:solidFill>
              </a:ln>
            </c:spPr>
          </c:marker>
          <c:xVal>
            <c:numRef>
              <c:f>[0]!triAE_X</c:f>
              <c:numCache>
                <c:formatCode>General</c:formatCode>
                <c:ptCount val="1"/>
                <c:pt idx="0">
                  <c:v>0</c:v>
                </c:pt>
              </c:numCache>
            </c:numRef>
          </c:xVal>
          <c:yVal>
            <c:numRef>
              <c:f>[0]!triAE_Y</c:f>
              <c:numCache>
                <c:formatCode>General</c:formatCode>
                <c:ptCount val="1"/>
                <c:pt idx="0">
                  <c:v>0</c:v>
                </c:pt>
              </c:numCache>
            </c:numRef>
          </c:yVal>
          <c:smooth val="0"/>
          <c:extLst>
            <c:ext xmlns:c16="http://schemas.microsoft.com/office/drawing/2014/chart" uri="{C3380CC4-5D6E-409C-BE32-E72D297353CC}">
              <c16:uniqueId val="{00000002-1EE4-4E34-9A65-F79A72D18AE2}"/>
            </c:ext>
          </c:extLst>
        </c:ser>
        <c:dLbls>
          <c:showLegendKey val="0"/>
          <c:showVal val="0"/>
          <c:showCatName val="0"/>
          <c:showSerName val="0"/>
          <c:showPercent val="0"/>
          <c:showBubbleSize val="0"/>
        </c:dLbls>
        <c:axId val="270475807"/>
        <c:axId val="211685167"/>
      </c:scatterChart>
      <c:valAx>
        <c:axId val="270475807"/>
        <c:scaling>
          <c:orientation val="minMax"/>
        </c:scaling>
        <c:delete val="0"/>
        <c:axPos val="b"/>
        <c:numFmt formatCode="yyyy\-mm" sourceLinked="0"/>
        <c:majorTickMark val="out"/>
        <c:minorTickMark val="none"/>
        <c:tickLblPos val="low"/>
        <c:txPr>
          <a:bodyPr/>
          <a:lstStyle/>
          <a:p>
            <a:pPr>
              <a:defRPr sz="700"/>
            </a:pPr>
            <a:endParaRPr lang="en-US"/>
          </a:p>
        </c:txPr>
        <c:crossAx val="211685167"/>
        <c:crosses val="autoZero"/>
        <c:crossBetween val="midCat"/>
      </c:valAx>
      <c:valAx>
        <c:axId val="211685167"/>
        <c:scaling>
          <c:orientation val="minMax"/>
        </c:scaling>
        <c:delete val="0"/>
        <c:axPos val="l"/>
        <c:majorGridlines>
          <c:spPr>
            <a:ln>
              <a:solidFill>
                <a:srgbClr val="E6E6E6"/>
              </a:solidFill>
            </a:ln>
          </c:spPr>
        </c:majorGridlines>
        <c:numFmt formatCode="0.00" sourceLinked="0"/>
        <c:majorTickMark val="out"/>
        <c:minorTickMark val="none"/>
        <c:tickLblPos val="nextTo"/>
        <c:txPr>
          <a:bodyPr/>
          <a:lstStyle/>
          <a:p>
            <a:pPr>
              <a:defRPr sz="700"/>
            </a:pPr>
            <a:endParaRPr lang="en-US"/>
          </a:p>
        </c:txPr>
        <c:crossAx val="270475807"/>
        <c:crosses val="autoZero"/>
        <c:crossBetween val="midCat"/>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AN_Triangle!$EZ$2</c:f>
          <c:strCache>
            <c:ptCount val="1"/>
            <c:pt idx="0">
              <c:v>Faktör istikrarı: gelişim yaşına göre bağ oranları / Factor stability: link ratios by development age</c:v>
            </c:pt>
          </c:strCache>
        </c:strRef>
      </c:tx>
      <c:overlay val="0"/>
      <c:txPr>
        <a:bodyPr/>
        <a:lstStyle/>
        <a:p>
          <a:pPr>
            <a:defRPr sz="800" b="1"/>
          </a:pPr>
          <a:endParaRPr lang="en-US"/>
        </a:p>
      </c:txPr>
    </c:title>
    <c:autoTitleDeleted val="0"/>
    <c:plotArea>
      <c:layout/>
      <c:scatterChart>
        <c:scatterStyle val="lineMarker"/>
        <c:varyColors val="0"/>
        <c:ser>
          <c:idx val="0"/>
          <c:order val="0"/>
          <c:tx>
            <c:v>0→1</c:v>
          </c:tx>
          <c:spPr>
            <a:ln w="22225">
              <a:solidFill>
                <a:srgbClr val="1F3864"/>
              </a:solidFill>
            </a:ln>
          </c:spPr>
          <c:marker>
            <c:symbol val="circle"/>
            <c:size val="3"/>
            <c:spPr>
              <a:ln w="22225">
                <a:solidFill>
                  <a:srgbClr val="1F3864"/>
                </a:solidFill>
              </a:ln>
            </c:spPr>
          </c:marker>
          <c:xVal>
            <c:numRef>
              <c:f>[0]!triLR1_X</c:f>
              <c:numCache>
                <c:formatCode>General</c:formatCode>
                <c:ptCount val="1"/>
                <c:pt idx="0">
                  <c:v>0</c:v>
                </c:pt>
              </c:numCache>
            </c:numRef>
          </c:xVal>
          <c:yVal>
            <c:numRef>
              <c:f>[0]!triLR1_Y</c:f>
              <c:numCache>
                <c:formatCode>General</c:formatCode>
                <c:ptCount val="1"/>
                <c:pt idx="0">
                  <c:v>0</c:v>
                </c:pt>
              </c:numCache>
            </c:numRef>
          </c:yVal>
          <c:smooth val="0"/>
          <c:extLst>
            <c:ext xmlns:c16="http://schemas.microsoft.com/office/drawing/2014/chart" uri="{C3380CC4-5D6E-409C-BE32-E72D297353CC}">
              <c16:uniqueId val="{00000002-1E00-4B1C-A528-B60484A746AF}"/>
            </c:ext>
          </c:extLst>
        </c:ser>
        <c:ser>
          <c:idx val="1"/>
          <c:order val="1"/>
          <c:tx>
            <c:v>1→2</c:v>
          </c:tx>
          <c:spPr>
            <a:ln w="22225">
              <a:solidFill>
                <a:srgbClr val="E69F00"/>
              </a:solidFill>
            </a:ln>
          </c:spPr>
          <c:marker>
            <c:symbol val="circle"/>
            <c:size val="3"/>
            <c:spPr>
              <a:ln w="22225">
                <a:solidFill>
                  <a:srgbClr val="E69F00"/>
                </a:solidFill>
              </a:ln>
            </c:spPr>
          </c:marker>
          <c:xVal>
            <c:numRef>
              <c:f>[0]!triLR2_X</c:f>
              <c:numCache>
                <c:formatCode>General</c:formatCode>
                <c:ptCount val="1"/>
                <c:pt idx="0">
                  <c:v>0</c:v>
                </c:pt>
              </c:numCache>
            </c:numRef>
          </c:xVal>
          <c:yVal>
            <c:numRef>
              <c:f>[0]!triLR2_Y</c:f>
              <c:numCache>
                <c:formatCode>General</c:formatCode>
                <c:ptCount val="1"/>
                <c:pt idx="0">
                  <c:v>0</c:v>
                </c:pt>
              </c:numCache>
            </c:numRef>
          </c:yVal>
          <c:smooth val="0"/>
          <c:extLst>
            <c:ext xmlns:c16="http://schemas.microsoft.com/office/drawing/2014/chart" uri="{C3380CC4-5D6E-409C-BE32-E72D297353CC}">
              <c16:uniqueId val="{00000003-1E00-4B1C-A528-B60484A746AF}"/>
            </c:ext>
          </c:extLst>
        </c:ser>
        <c:ser>
          <c:idx val="2"/>
          <c:order val="2"/>
          <c:tx>
            <c:v>2→3</c:v>
          </c:tx>
          <c:spPr>
            <a:ln w="22225">
              <a:solidFill>
                <a:srgbClr val="CC7999"/>
              </a:solidFill>
            </a:ln>
          </c:spPr>
          <c:marker>
            <c:symbol val="circle"/>
            <c:size val="3"/>
            <c:spPr>
              <a:ln w="22225">
                <a:solidFill>
                  <a:srgbClr val="CC7999"/>
                </a:solidFill>
              </a:ln>
            </c:spPr>
          </c:marker>
          <c:xVal>
            <c:numRef>
              <c:f>[0]!triLR3_X</c:f>
              <c:numCache>
                <c:formatCode>General</c:formatCode>
                <c:ptCount val="1"/>
                <c:pt idx="0">
                  <c:v>0</c:v>
                </c:pt>
              </c:numCache>
            </c:numRef>
          </c:xVal>
          <c:yVal>
            <c:numRef>
              <c:f>[0]!triLR3_Y</c:f>
              <c:numCache>
                <c:formatCode>General</c:formatCode>
                <c:ptCount val="1"/>
                <c:pt idx="0">
                  <c:v>0</c:v>
                </c:pt>
              </c:numCache>
            </c:numRef>
          </c:yVal>
          <c:smooth val="0"/>
          <c:extLst>
            <c:ext xmlns:c16="http://schemas.microsoft.com/office/drawing/2014/chart" uri="{C3380CC4-5D6E-409C-BE32-E72D297353CC}">
              <c16:uniqueId val="{00000004-1E00-4B1C-A528-B60484A746AF}"/>
            </c:ext>
          </c:extLst>
        </c:ser>
        <c:dLbls>
          <c:showLegendKey val="0"/>
          <c:showVal val="0"/>
          <c:showCatName val="0"/>
          <c:showSerName val="0"/>
          <c:showPercent val="0"/>
          <c:showBubbleSize val="0"/>
        </c:dLbls>
        <c:axId val="270480447"/>
        <c:axId val="211599727"/>
      </c:scatterChart>
      <c:valAx>
        <c:axId val="270480447"/>
        <c:scaling>
          <c:orientation val="minMax"/>
        </c:scaling>
        <c:delete val="0"/>
        <c:axPos val="b"/>
        <c:numFmt formatCode="yyyy\-mm" sourceLinked="0"/>
        <c:majorTickMark val="out"/>
        <c:minorTickMark val="none"/>
        <c:tickLblPos val="low"/>
        <c:txPr>
          <a:bodyPr/>
          <a:lstStyle/>
          <a:p>
            <a:pPr>
              <a:defRPr sz="700"/>
            </a:pPr>
            <a:endParaRPr lang="en-US"/>
          </a:p>
        </c:txPr>
        <c:crossAx val="211599727"/>
        <c:crosses val="autoZero"/>
        <c:crossBetween val="midCat"/>
      </c:valAx>
      <c:valAx>
        <c:axId val="211599727"/>
        <c:scaling>
          <c:logBase val="10"/>
          <c:orientation val="minMax"/>
        </c:scaling>
        <c:delete val="0"/>
        <c:axPos val="l"/>
        <c:majorGridlines>
          <c:spPr>
            <a:ln>
              <a:solidFill>
                <a:srgbClr val="E6E6E6"/>
              </a:solidFill>
            </a:ln>
          </c:spPr>
        </c:majorGridlines>
        <c:numFmt formatCode="0.0" sourceLinked="0"/>
        <c:majorTickMark val="out"/>
        <c:minorTickMark val="none"/>
        <c:tickLblPos val="nextTo"/>
        <c:txPr>
          <a:bodyPr/>
          <a:lstStyle/>
          <a:p>
            <a:pPr>
              <a:defRPr sz="700"/>
            </a:pPr>
            <a:endParaRPr lang="en-US"/>
          </a:p>
        </c:txPr>
        <c:crossAx val="270480447"/>
        <c:crosses val="autoZero"/>
        <c:crossBetween val="midCat"/>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AN_Calc!$FB$40</c:f>
              <c:numCache>
                <c:formatCode>General</c:formatCode>
                <c:ptCount val="1"/>
                <c:pt idx="0">
                  <c:v>1</c:v>
                </c:pt>
              </c:numCache>
            </c:numRef>
          </c:val>
          <c:extLst>
            <c:ext xmlns:c16="http://schemas.microsoft.com/office/drawing/2014/chart" uri="{C3380CC4-5D6E-409C-BE32-E72D297353CC}">
              <c16:uniqueId val="{00000002-80F6-4C26-A52D-D41E27C9A456}"/>
            </c:ext>
          </c:extLst>
        </c:ser>
        <c:dLbls>
          <c:showLegendKey val="0"/>
          <c:showVal val="0"/>
          <c:showCatName val="0"/>
          <c:showSerName val="0"/>
          <c:showPercent val="0"/>
          <c:showBubbleSize val="0"/>
        </c:dLbls>
        <c:gapWidth val="0"/>
        <c:axId val="494730799"/>
        <c:axId val="211677967"/>
      </c:barChart>
      <c:catAx>
        <c:axId val="494730799"/>
        <c:scaling>
          <c:orientation val="minMax"/>
        </c:scaling>
        <c:delete val="1"/>
        <c:axPos val="b"/>
        <c:numFmt formatCode="General" sourceLinked="1"/>
        <c:majorTickMark val="out"/>
        <c:minorTickMark val="none"/>
        <c:tickLblPos val="nextTo"/>
        <c:crossAx val="211677967"/>
        <c:crosses val="autoZero"/>
        <c:auto val="1"/>
        <c:lblAlgn val="ctr"/>
        <c:lblOffset val="100"/>
        <c:noMultiLvlLbl val="0"/>
      </c:catAx>
      <c:valAx>
        <c:axId val="211677967"/>
        <c:scaling>
          <c:orientation val="minMax"/>
          <c:max val="1"/>
          <c:min val="0"/>
        </c:scaling>
        <c:delete val="1"/>
        <c:axPos val="l"/>
        <c:numFmt formatCode="General" sourceLinked="1"/>
        <c:majorTickMark val="out"/>
        <c:minorTickMark val="none"/>
        <c:tickLblPos val="nextTo"/>
        <c:crossAx val="494730799"/>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AN_Calc!$FB$40</c:f>
              <c:numCache>
                <c:formatCode>General</c:formatCode>
                <c:ptCount val="1"/>
                <c:pt idx="0">
                  <c:v>1</c:v>
                </c:pt>
              </c:numCache>
            </c:numRef>
          </c:val>
          <c:extLst>
            <c:ext xmlns:c16="http://schemas.microsoft.com/office/drawing/2014/chart" uri="{C3380CC4-5D6E-409C-BE32-E72D297353CC}">
              <c16:uniqueId val="{00000002-2412-4A52-BD09-BFCA26EC0007}"/>
            </c:ext>
          </c:extLst>
        </c:ser>
        <c:dLbls>
          <c:showLegendKey val="0"/>
          <c:showVal val="0"/>
          <c:showCatName val="0"/>
          <c:showSerName val="0"/>
          <c:showPercent val="0"/>
          <c:showBubbleSize val="0"/>
        </c:dLbls>
        <c:gapWidth val="0"/>
        <c:axId val="494727087"/>
        <c:axId val="211695247"/>
      </c:barChart>
      <c:catAx>
        <c:axId val="494727087"/>
        <c:scaling>
          <c:orientation val="minMax"/>
        </c:scaling>
        <c:delete val="1"/>
        <c:axPos val="b"/>
        <c:numFmt formatCode="General" sourceLinked="1"/>
        <c:majorTickMark val="out"/>
        <c:minorTickMark val="none"/>
        <c:tickLblPos val="nextTo"/>
        <c:crossAx val="211695247"/>
        <c:crosses val="autoZero"/>
        <c:auto val="1"/>
        <c:lblAlgn val="ctr"/>
        <c:lblOffset val="100"/>
        <c:noMultiLvlLbl val="0"/>
      </c:catAx>
      <c:valAx>
        <c:axId val="211695247"/>
        <c:scaling>
          <c:orientation val="minMax"/>
          <c:max val="1"/>
          <c:min val="0"/>
        </c:scaling>
        <c:delete val="1"/>
        <c:axPos val="l"/>
        <c:numFmt formatCode="General" sourceLinked="1"/>
        <c:majorTickMark val="out"/>
        <c:minorTickMark val="none"/>
        <c:tickLblPos val="nextTo"/>
        <c:crossAx val="494727087"/>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AN_Lags!$AB$20</c:f>
          <c:strCache>
            <c:ptCount val="1"/>
            <c:pt idx="0">
              <c:v>Seçilen aşamanın aylık P50 ve P90 değeri (gün) / Monthly P50 and P90 of the selected stage (days): Hasar → ödeme / Loss → payment [satır / line]</c:v>
            </c:pt>
          </c:strCache>
        </c:strRef>
      </c:tx>
      <c:overlay val="0"/>
      <c:txPr>
        <a:bodyPr/>
        <a:lstStyle/>
        <a:p>
          <a:pPr>
            <a:defRPr sz="800" b="1"/>
          </a:pPr>
          <a:endParaRPr lang="en-US"/>
        </a:p>
      </c:txPr>
    </c:title>
    <c:autoTitleDeleted val="0"/>
    <c:plotArea>
      <c:layout/>
      <c:scatterChart>
        <c:scatterStyle val="lineMarker"/>
        <c:varyColors val="0"/>
        <c:ser>
          <c:idx val="0"/>
          <c:order val="0"/>
          <c:tx>
            <c:v>P50</c:v>
          </c:tx>
          <c:spPr>
            <a:ln w="22225">
              <a:solidFill>
                <a:srgbClr val="1F3864"/>
              </a:solidFill>
            </a:ln>
          </c:spPr>
          <c:marker>
            <c:symbol val="circle"/>
            <c:size val="3"/>
            <c:spPr>
              <a:ln w="22225">
                <a:solidFill>
                  <a:srgbClr val="1F3864"/>
                </a:solidFill>
              </a:ln>
            </c:spPr>
          </c:marker>
          <c:xVal>
            <c:numRef>
              <c:f>[0]!lagTr_X</c:f>
              <c:numCache>
                <c:formatCode>General</c:formatCode>
                <c:ptCount val="1"/>
                <c:pt idx="0">
                  <c:v>0</c:v>
                </c:pt>
              </c:numCache>
            </c:numRef>
          </c:xVal>
          <c:yVal>
            <c:numRef>
              <c:f>[0]!lagTr_P50</c:f>
              <c:numCache>
                <c:formatCode>General</c:formatCode>
                <c:ptCount val="1"/>
                <c:pt idx="0">
                  <c:v>0</c:v>
                </c:pt>
              </c:numCache>
            </c:numRef>
          </c:yVal>
          <c:smooth val="0"/>
          <c:extLst>
            <c:ext xmlns:c16="http://schemas.microsoft.com/office/drawing/2014/chart" uri="{C3380CC4-5D6E-409C-BE32-E72D297353CC}">
              <c16:uniqueId val="{00000000-BE13-47D5-B0C8-E8E5302B8F8E}"/>
            </c:ext>
          </c:extLst>
        </c:ser>
        <c:ser>
          <c:idx val="1"/>
          <c:order val="1"/>
          <c:tx>
            <c:v>P90</c:v>
          </c:tx>
          <c:spPr>
            <a:ln w="22225">
              <a:solidFill>
                <a:srgbClr val="E69F00"/>
              </a:solidFill>
              <a:prstDash val="dash"/>
            </a:ln>
          </c:spPr>
          <c:marker>
            <c:symbol val="circle"/>
            <c:size val="3"/>
            <c:spPr>
              <a:ln w="22225">
                <a:solidFill>
                  <a:srgbClr val="E69F00"/>
                </a:solidFill>
                <a:prstDash val="dash"/>
              </a:ln>
            </c:spPr>
          </c:marker>
          <c:xVal>
            <c:numRef>
              <c:f>[0]!lagTr_X</c:f>
              <c:numCache>
                <c:formatCode>General</c:formatCode>
                <c:ptCount val="1"/>
                <c:pt idx="0">
                  <c:v>0</c:v>
                </c:pt>
              </c:numCache>
            </c:numRef>
          </c:xVal>
          <c:yVal>
            <c:numRef>
              <c:f>[0]!lagTr_P90</c:f>
              <c:numCache>
                <c:formatCode>General</c:formatCode>
                <c:ptCount val="1"/>
                <c:pt idx="0">
                  <c:v>0</c:v>
                </c:pt>
              </c:numCache>
            </c:numRef>
          </c:yVal>
          <c:smooth val="0"/>
          <c:extLst>
            <c:ext xmlns:c16="http://schemas.microsoft.com/office/drawing/2014/chart" uri="{C3380CC4-5D6E-409C-BE32-E72D297353CC}">
              <c16:uniqueId val="{00000001-BE13-47D5-B0C8-E8E5302B8F8E}"/>
            </c:ext>
          </c:extLst>
        </c:ser>
        <c:dLbls>
          <c:showLegendKey val="0"/>
          <c:showVal val="0"/>
          <c:showCatName val="0"/>
          <c:showSerName val="0"/>
          <c:showPercent val="0"/>
          <c:showBubbleSize val="0"/>
        </c:dLbls>
        <c:axId val="494787407"/>
        <c:axId val="211697167"/>
      </c:scatterChart>
      <c:valAx>
        <c:axId val="494787407"/>
        <c:scaling>
          <c:orientation val="minMax"/>
        </c:scaling>
        <c:delete val="0"/>
        <c:axPos val="b"/>
        <c:numFmt formatCode="yyyy\-mm" sourceLinked="0"/>
        <c:majorTickMark val="out"/>
        <c:minorTickMark val="none"/>
        <c:tickLblPos val="low"/>
        <c:txPr>
          <a:bodyPr/>
          <a:lstStyle/>
          <a:p>
            <a:pPr>
              <a:defRPr sz="700"/>
            </a:pPr>
            <a:endParaRPr lang="en-US"/>
          </a:p>
        </c:txPr>
        <c:crossAx val="211697167"/>
        <c:crosses val="autoZero"/>
        <c:crossBetween val="midCat"/>
      </c:valAx>
      <c:valAx>
        <c:axId val="211697167"/>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494787407"/>
        <c:crosses val="autoZero"/>
        <c:crossBetween val="midCat"/>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AN_Lags!$AB$21</c:f>
          <c:strCache>
            <c:ptCount val="1"/>
            <c:pt idx="0">
              <c:v>Kümülatif dağılım (bant üst sınırına kadar olan pay) / Cumulative distribution (share up to the band's upper limit) - Tüm aylar / All months [aşamaya göre (Birim sütunu) / per stage (Unit column)]</c:v>
            </c:pt>
          </c:strCache>
        </c:strRef>
      </c:tx>
      <c:overlay val="0"/>
      <c:txPr>
        <a:bodyPr/>
        <a:lstStyle/>
        <a:p>
          <a:pPr>
            <a:defRPr sz="800" b="1"/>
          </a:pPr>
          <a:endParaRPr lang="en-US"/>
        </a:p>
      </c:txPr>
    </c:title>
    <c:autoTitleDeleted val="0"/>
    <c:plotArea>
      <c:layout/>
      <c:lineChart>
        <c:grouping val="standard"/>
        <c:varyColors val="0"/>
        <c:ser>
          <c:idx val="0"/>
          <c:order val="0"/>
          <c:tx>
            <c:strRef>
              <c:f>AN_Lags!$B$12</c:f>
              <c:strCache>
                <c:ptCount val="1"/>
                <c:pt idx="0">
                  <c:v>Hasar → ihbar / Loss → notification</c:v>
                </c:pt>
              </c:strCache>
            </c:strRef>
          </c:tx>
          <c:spPr>
            <a:ln w="22225">
              <a:solidFill>
                <a:srgbClr val="1F3864"/>
              </a:solidFill>
            </a:ln>
          </c:spPr>
          <c:marker>
            <c:symbol val="circle"/>
            <c:size val="3"/>
            <c:spPr>
              <a:ln w="22225">
                <a:solidFill>
                  <a:srgbClr val="1F3864"/>
                </a:solidFill>
              </a:ln>
            </c:spPr>
          </c:marker>
          <c:cat>
            <c:strRef>
              <c:f>[0]!lagEcdf_X</c:f>
              <c:strCache>
                <c:ptCount val="8"/>
                <c:pt idx="0">
                  <c:v>7</c:v>
                </c:pt>
                <c:pt idx="1">
                  <c:v>14</c:v>
                </c:pt>
                <c:pt idx="2">
                  <c:v>30</c:v>
                </c:pt>
                <c:pt idx="3">
                  <c:v>60</c:v>
                </c:pt>
                <c:pt idx="4">
                  <c:v>90</c:v>
                </c:pt>
                <c:pt idx="5">
                  <c:v>180</c:v>
                </c:pt>
                <c:pt idx="6">
                  <c:v>365</c:v>
                </c:pt>
                <c:pt idx="7">
                  <c:v>365+</c:v>
                </c:pt>
              </c:strCache>
            </c:strRef>
          </c:cat>
          <c:val>
            <c:numRef>
              <c:f>[0]!lagEcdf_L2N</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0-4773-40B7-A1A5-88AFB0E78CFF}"/>
            </c:ext>
          </c:extLst>
        </c:ser>
        <c:ser>
          <c:idx val="1"/>
          <c:order val="1"/>
          <c:tx>
            <c:strRef>
              <c:f>AN_Lags!$B$13</c:f>
              <c:strCache>
                <c:ptCount val="1"/>
                <c:pt idx="0">
                  <c:v>İhbar → evrak / Notification → documents</c:v>
                </c:pt>
              </c:strCache>
            </c:strRef>
          </c:tx>
          <c:spPr>
            <a:ln w="22225">
              <a:solidFill>
                <a:srgbClr val="E69F00"/>
              </a:solidFill>
            </a:ln>
          </c:spPr>
          <c:marker>
            <c:symbol val="circle"/>
            <c:size val="3"/>
            <c:spPr>
              <a:ln w="22225">
                <a:solidFill>
                  <a:srgbClr val="E69F00"/>
                </a:solidFill>
              </a:ln>
            </c:spPr>
          </c:marker>
          <c:cat>
            <c:strRef>
              <c:f>[0]!lagEcdf_X</c:f>
              <c:strCache>
                <c:ptCount val="8"/>
                <c:pt idx="0">
                  <c:v>7</c:v>
                </c:pt>
                <c:pt idx="1">
                  <c:v>14</c:v>
                </c:pt>
                <c:pt idx="2">
                  <c:v>30</c:v>
                </c:pt>
                <c:pt idx="3">
                  <c:v>60</c:v>
                </c:pt>
                <c:pt idx="4">
                  <c:v>90</c:v>
                </c:pt>
                <c:pt idx="5">
                  <c:v>180</c:v>
                </c:pt>
                <c:pt idx="6">
                  <c:v>365</c:v>
                </c:pt>
                <c:pt idx="7">
                  <c:v>365+</c:v>
                </c:pt>
              </c:strCache>
            </c:strRef>
          </c:cat>
          <c:val>
            <c:numRef>
              <c:f>[0]!lagEcdf_N2D</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4773-40B7-A1A5-88AFB0E78CFF}"/>
            </c:ext>
          </c:extLst>
        </c:ser>
        <c:ser>
          <c:idx val="2"/>
          <c:order val="2"/>
          <c:tx>
            <c:strRef>
              <c:f>AN_Lags!$B$14</c:f>
              <c:strCache>
                <c:ptCount val="1"/>
                <c:pt idx="0">
                  <c:v>Evrak → karar / Documents → decision</c:v>
                </c:pt>
              </c:strCache>
            </c:strRef>
          </c:tx>
          <c:spPr>
            <a:ln w="22225">
              <a:solidFill>
                <a:srgbClr val="CC7999"/>
              </a:solidFill>
            </a:ln>
          </c:spPr>
          <c:marker>
            <c:symbol val="circle"/>
            <c:size val="3"/>
            <c:spPr>
              <a:ln w="22225">
                <a:solidFill>
                  <a:srgbClr val="CC7999"/>
                </a:solidFill>
              </a:ln>
            </c:spPr>
          </c:marker>
          <c:cat>
            <c:strRef>
              <c:f>[0]!lagEcdf_X</c:f>
              <c:strCache>
                <c:ptCount val="8"/>
                <c:pt idx="0">
                  <c:v>7</c:v>
                </c:pt>
                <c:pt idx="1">
                  <c:v>14</c:v>
                </c:pt>
                <c:pt idx="2">
                  <c:v>30</c:v>
                </c:pt>
                <c:pt idx="3">
                  <c:v>60</c:v>
                </c:pt>
                <c:pt idx="4">
                  <c:v>90</c:v>
                </c:pt>
                <c:pt idx="5">
                  <c:v>180</c:v>
                </c:pt>
                <c:pt idx="6">
                  <c:v>365</c:v>
                </c:pt>
                <c:pt idx="7">
                  <c:v>365+</c:v>
                </c:pt>
              </c:strCache>
            </c:strRef>
          </c:cat>
          <c:val>
            <c:numRef>
              <c:f>[0]!lagEcdf_D2C</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4773-40B7-A1A5-88AFB0E78CFF}"/>
            </c:ext>
          </c:extLst>
        </c:ser>
        <c:ser>
          <c:idx val="3"/>
          <c:order val="3"/>
          <c:tx>
            <c:strRef>
              <c:f>AN_Lags!$B$15</c:f>
              <c:strCache>
                <c:ptCount val="1"/>
                <c:pt idx="0">
                  <c:v>Karar → ödeme / Decision → payment</c:v>
                </c:pt>
              </c:strCache>
            </c:strRef>
          </c:tx>
          <c:spPr>
            <a:ln w="22225">
              <a:solidFill>
                <a:srgbClr val="00B050"/>
              </a:solidFill>
            </a:ln>
          </c:spPr>
          <c:marker>
            <c:symbol val="circle"/>
            <c:size val="3"/>
            <c:spPr>
              <a:ln w="22225">
                <a:solidFill>
                  <a:srgbClr val="00B050"/>
                </a:solidFill>
              </a:ln>
            </c:spPr>
          </c:marker>
          <c:cat>
            <c:strRef>
              <c:f>[0]!lagEcdf_X</c:f>
              <c:strCache>
                <c:ptCount val="8"/>
                <c:pt idx="0">
                  <c:v>7</c:v>
                </c:pt>
                <c:pt idx="1">
                  <c:v>14</c:v>
                </c:pt>
                <c:pt idx="2">
                  <c:v>30</c:v>
                </c:pt>
                <c:pt idx="3">
                  <c:v>60</c:v>
                </c:pt>
                <c:pt idx="4">
                  <c:v>90</c:v>
                </c:pt>
                <c:pt idx="5">
                  <c:v>180</c:v>
                </c:pt>
                <c:pt idx="6">
                  <c:v>365</c:v>
                </c:pt>
                <c:pt idx="7">
                  <c:v>365+</c:v>
                </c:pt>
              </c:strCache>
            </c:strRef>
          </c:cat>
          <c:val>
            <c:numRef>
              <c:f>[0]!lagEcdf_C2P</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773-40B7-A1A5-88AFB0E78CFF}"/>
            </c:ext>
          </c:extLst>
        </c:ser>
        <c:ser>
          <c:idx val="4"/>
          <c:order val="4"/>
          <c:tx>
            <c:strRef>
              <c:f>AN_Lags!$B$16</c:f>
              <c:strCache>
                <c:ptCount val="1"/>
                <c:pt idx="0">
                  <c:v>İhbar → ödeme / Notification → payment</c:v>
                </c:pt>
              </c:strCache>
            </c:strRef>
          </c:tx>
          <c:spPr>
            <a:ln w="22225">
              <a:solidFill>
                <a:srgbClr val="969696"/>
              </a:solidFill>
            </a:ln>
          </c:spPr>
          <c:marker>
            <c:symbol val="circle"/>
            <c:size val="3"/>
            <c:spPr>
              <a:ln w="22225">
                <a:solidFill>
                  <a:srgbClr val="969696"/>
                </a:solidFill>
              </a:ln>
            </c:spPr>
          </c:marker>
          <c:cat>
            <c:strRef>
              <c:f>[0]!lagEcdf_X</c:f>
              <c:strCache>
                <c:ptCount val="8"/>
                <c:pt idx="0">
                  <c:v>7</c:v>
                </c:pt>
                <c:pt idx="1">
                  <c:v>14</c:v>
                </c:pt>
                <c:pt idx="2">
                  <c:v>30</c:v>
                </c:pt>
                <c:pt idx="3">
                  <c:v>60</c:v>
                </c:pt>
                <c:pt idx="4">
                  <c:v>90</c:v>
                </c:pt>
                <c:pt idx="5">
                  <c:v>180</c:v>
                </c:pt>
                <c:pt idx="6">
                  <c:v>365</c:v>
                </c:pt>
                <c:pt idx="7">
                  <c:v>365+</c:v>
                </c:pt>
              </c:strCache>
            </c:strRef>
          </c:cat>
          <c:val>
            <c:numRef>
              <c:f>[0]!lagEcdf_N2P</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4-4773-40B7-A1A5-88AFB0E78CFF}"/>
            </c:ext>
          </c:extLst>
        </c:ser>
        <c:ser>
          <c:idx val="5"/>
          <c:order val="5"/>
          <c:tx>
            <c:strRef>
              <c:f>AN_Lags!$B$17</c:f>
              <c:strCache>
                <c:ptCount val="1"/>
                <c:pt idx="0">
                  <c:v>Hasar → ödeme / Loss → payment</c:v>
                </c:pt>
              </c:strCache>
            </c:strRef>
          </c:tx>
          <c:spPr>
            <a:ln w="22225">
              <a:solidFill>
                <a:srgbClr val="DC143C"/>
              </a:solidFill>
            </a:ln>
          </c:spPr>
          <c:marker>
            <c:symbol val="circle"/>
            <c:size val="3"/>
            <c:spPr>
              <a:ln w="22225">
                <a:solidFill>
                  <a:srgbClr val="DC143C"/>
                </a:solidFill>
              </a:ln>
            </c:spPr>
          </c:marker>
          <c:cat>
            <c:strRef>
              <c:f>[0]!lagEcdf_X</c:f>
              <c:strCache>
                <c:ptCount val="8"/>
                <c:pt idx="0">
                  <c:v>7</c:v>
                </c:pt>
                <c:pt idx="1">
                  <c:v>14</c:v>
                </c:pt>
                <c:pt idx="2">
                  <c:v>30</c:v>
                </c:pt>
                <c:pt idx="3">
                  <c:v>60</c:v>
                </c:pt>
                <c:pt idx="4">
                  <c:v>90</c:v>
                </c:pt>
                <c:pt idx="5">
                  <c:v>180</c:v>
                </c:pt>
                <c:pt idx="6">
                  <c:v>365</c:v>
                </c:pt>
                <c:pt idx="7">
                  <c:v>365+</c:v>
                </c:pt>
              </c:strCache>
            </c:strRef>
          </c:cat>
          <c:val>
            <c:numRef>
              <c:f>[0]!lagEcdf_L2P</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5-4773-40B7-A1A5-88AFB0E78CFF}"/>
            </c:ext>
          </c:extLst>
        </c:ser>
        <c:dLbls>
          <c:showLegendKey val="0"/>
          <c:showVal val="0"/>
          <c:showCatName val="0"/>
          <c:showSerName val="0"/>
          <c:showPercent val="0"/>
          <c:showBubbleSize val="0"/>
        </c:dLbls>
        <c:marker val="1"/>
        <c:smooth val="0"/>
        <c:axId val="494797615"/>
        <c:axId val="211700047"/>
      </c:lineChart>
      <c:catAx>
        <c:axId val="494797615"/>
        <c:scaling>
          <c:orientation val="minMax"/>
        </c:scaling>
        <c:delete val="0"/>
        <c:axPos val="b"/>
        <c:numFmt formatCode="General" sourceLinked="1"/>
        <c:majorTickMark val="out"/>
        <c:minorTickMark val="none"/>
        <c:tickLblPos val="nextTo"/>
        <c:txPr>
          <a:bodyPr/>
          <a:lstStyle/>
          <a:p>
            <a:pPr>
              <a:defRPr sz="700"/>
            </a:pPr>
            <a:endParaRPr lang="en-US"/>
          </a:p>
        </c:txPr>
        <c:crossAx val="211700047"/>
        <c:crosses val="autoZero"/>
        <c:auto val="1"/>
        <c:lblAlgn val="ctr"/>
        <c:lblOffset val="100"/>
        <c:noMultiLvlLbl val="0"/>
      </c:catAx>
      <c:valAx>
        <c:axId val="211700047"/>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494797615"/>
        <c:crosses val="autoZero"/>
        <c:crossBetween val="between"/>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AN_Lags!$AB$22</c:f>
          <c:strCache>
            <c:ptCount val="1"/>
            <c:pt idx="0">
              <c:v>Seçilen aşamanın dağılımı: gün başına pay (bant payı / bant genişliği) / Distribution of the selected stage: share per day (band share / band width): Hasar → ödeme / Loss → payment [satır / line]</c:v>
            </c:pt>
          </c:strCache>
        </c:strRef>
      </c:tx>
      <c:overlay val="0"/>
      <c:txPr>
        <a:bodyPr/>
        <a:lstStyle/>
        <a:p>
          <a:pPr>
            <a:defRPr sz="800" b="1"/>
          </a:pPr>
          <a:endParaRPr lang="en-US"/>
        </a:p>
      </c:txPr>
    </c:title>
    <c:autoTitleDeleted val="0"/>
    <c:plotArea>
      <c:layout/>
      <c:barChart>
        <c:barDir val="col"/>
        <c:grouping val="clustered"/>
        <c:varyColors val="0"/>
        <c:ser>
          <c:idx val="0"/>
          <c:order val="0"/>
          <c:tx>
            <c:v>share per day</c:v>
          </c:tx>
          <c:spPr>
            <a:solidFill>
              <a:srgbClr val="1F3864"/>
            </a:solidFill>
          </c:spPr>
          <c:invertIfNegative val="0"/>
          <c:cat>
            <c:strRef>
              <c:f>[0]!lagHist_X</c:f>
              <c:strCache>
                <c:ptCount val="9"/>
                <c:pt idx="0">
                  <c:v>0-7 days (8)</c:v>
                </c:pt>
                <c:pt idx="1">
                  <c:v>8-14 days (7)</c:v>
                </c:pt>
                <c:pt idx="2">
                  <c:v>15-30 days (16)</c:v>
                </c:pt>
                <c:pt idx="3">
                  <c:v>31-60 days (30)</c:v>
                </c:pt>
                <c:pt idx="4">
                  <c:v>61-90 days (30)</c:v>
                </c:pt>
                <c:pt idx="5">
                  <c:v>91-180 days (90)</c:v>
                </c:pt>
                <c:pt idx="6">
                  <c:v>181-365 days (185)</c:v>
                </c:pt>
                <c:pt idx="7">
                  <c:v>over 365 days (+)</c:v>
                </c:pt>
                <c:pt idx="8">
                  <c:v>n/a (missing or negative)</c:v>
                </c:pt>
              </c:strCache>
            </c:strRef>
          </c:cat>
          <c:val>
            <c:numRef>
              <c:f>[0]!lagHist_Y</c:f>
              <c:numCache>
                <c:formatCode>General</c:formatCode>
                <c:ptCount val="9"/>
                <c:pt idx="0">
                  <c:v>0</c:v>
                </c:pt>
                <c:pt idx="1">
                  <c:v>0</c:v>
                </c:pt>
                <c:pt idx="2">
                  <c:v>0</c:v>
                </c:pt>
                <c:pt idx="3">
                  <c:v>0</c:v>
                </c:pt>
                <c:pt idx="4">
                  <c:v>0</c:v>
                </c:pt>
                <c:pt idx="5">
                  <c:v>0</c:v>
                </c:pt>
                <c:pt idx="6">
                  <c:v>0</c:v>
                </c:pt>
                <c:pt idx="7">
                  <c:v>#N/A</c:v>
                </c:pt>
                <c:pt idx="8">
                  <c:v>#N/A</c:v>
                </c:pt>
              </c:numCache>
            </c:numRef>
          </c:val>
          <c:extLst>
            <c:ext xmlns:c16="http://schemas.microsoft.com/office/drawing/2014/chart" uri="{C3380CC4-5D6E-409C-BE32-E72D297353CC}">
              <c16:uniqueId val="{00000000-AC0E-4ADF-B8E5-3ADEA90E222E}"/>
            </c:ext>
          </c:extLst>
        </c:ser>
        <c:dLbls>
          <c:showLegendKey val="0"/>
          <c:showVal val="0"/>
          <c:showCatName val="0"/>
          <c:showSerName val="0"/>
          <c:showPercent val="0"/>
          <c:showBubbleSize val="0"/>
        </c:dLbls>
        <c:gapWidth val="30"/>
        <c:axId val="494786479"/>
        <c:axId val="211640047"/>
      </c:barChart>
      <c:catAx>
        <c:axId val="494786479"/>
        <c:scaling>
          <c:orientation val="minMax"/>
        </c:scaling>
        <c:delete val="0"/>
        <c:axPos val="b"/>
        <c:numFmt formatCode="General" sourceLinked="1"/>
        <c:majorTickMark val="out"/>
        <c:minorTickMark val="none"/>
        <c:tickLblPos val="nextTo"/>
        <c:txPr>
          <a:bodyPr/>
          <a:lstStyle/>
          <a:p>
            <a:pPr>
              <a:defRPr sz="700"/>
            </a:pPr>
            <a:endParaRPr lang="en-US"/>
          </a:p>
        </c:txPr>
        <c:crossAx val="211640047"/>
        <c:crosses val="autoZero"/>
        <c:auto val="1"/>
        <c:lblAlgn val="ctr"/>
        <c:lblOffset val="100"/>
        <c:noMultiLvlLbl val="0"/>
      </c:catAx>
      <c:valAx>
        <c:axId val="211640047"/>
        <c:scaling>
          <c:orientation val="minMax"/>
        </c:scaling>
        <c:delete val="0"/>
        <c:axPos val="l"/>
        <c:majorGridlines>
          <c:spPr>
            <a:ln>
              <a:solidFill>
                <a:srgbClr val="E6E6E6"/>
              </a:solidFill>
            </a:ln>
          </c:spPr>
        </c:majorGridlines>
        <c:numFmt formatCode="0.00%" sourceLinked="0"/>
        <c:majorTickMark val="out"/>
        <c:minorTickMark val="none"/>
        <c:tickLblPos val="nextTo"/>
        <c:txPr>
          <a:bodyPr/>
          <a:lstStyle/>
          <a:p>
            <a:pPr>
              <a:defRPr sz="700"/>
            </a:pPr>
            <a:endParaRPr lang="en-US"/>
          </a:p>
        </c:txPr>
        <c:crossAx val="494786479"/>
        <c:crosses val="autoZero"/>
        <c:crossBetween val="between"/>
      </c:valAx>
    </c:plotArea>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AN_Calc!$FB$80</c:f>
              <c:numCache>
                <c:formatCode>General</c:formatCode>
                <c:ptCount val="1"/>
                <c:pt idx="0">
                  <c:v>1</c:v>
                </c:pt>
              </c:numCache>
            </c:numRef>
          </c:val>
          <c:extLst>
            <c:ext xmlns:c16="http://schemas.microsoft.com/office/drawing/2014/chart" uri="{C3380CC4-5D6E-409C-BE32-E72D297353CC}">
              <c16:uniqueId val="{00000000-67BA-490C-94D6-E3968514D364}"/>
            </c:ext>
          </c:extLst>
        </c:ser>
        <c:dLbls>
          <c:showLegendKey val="0"/>
          <c:showVal val="0"/>
          <c:showCatName val="0"/>
          <c:showSerName val="0"/>
          <c:showPercent val="0"/>
          <c:showBubbleSize val="0"/>
        </c:dLbls>
        <c:gapWidth val="0"/>
        <c:axId val="494728479"/>
        <c:axId val="2061619215"/>
      </c:barChart>
      <c:catAx>
        <c:axId val="494728479"/>
        <c:scaling>
          <c:orientation val="minMax"/>
        </c:scaling>
        <c:delete val="1"/>
        <c:axPos val="b"/>
        <c:numFmt formatCode="General" sourceLinked="1"/>
        <c:majorTickMark val="out"/>
        <c:minorTickMark val="none"/>
        <c:tickLblPos val="nextTo"/>
        <c:crossAx val="2061619215"/>
        <c:crosses val="autoZero"/>
        <c:auto val="1"/>
        <c:lblAlgn val="ctr"/>
        <c:lblOffset val="100"/>
        <c:noMultiLvlLbl val="0"/>
      </c:catAx>
      <c:valAx>
        <c:axId val="2061619215"/>
        <c:scaling>
          <c:orientation val="minMax"/>
          <c:max val="1"/>
          <c:min val="0"/>
        </c:scaling>
        <c:delete val="1"/>
        <c:axPos val="l"/>
        <c:numFmt formatCode="General" sourceLinked="1"/>
        <c:majorTickMark val="out"/>
        <c:minorTickMark val="none"/>
        <c:tickLblPos val="nextTo"/>
        <c:crossAx val="494728479"/>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AN_Severity!$AB$20</c:f>
          <c:strCache>
            <c:ptCount val="1"/>
            <c:pt idx="0">
              <c:v>Lorenz eğrisi: dosyaların payı - ödenenin payı / Lorenz curve: share of cases - share of paid</c:v>
            </c:pt>
          </c:strCache>
        </c:strRef>
      </c:tx>
      <c:overlay val="0"/>
      <c:txPr>
        <a:bodyPr/>
        <a:lstStyle/>
        <a:p>
          <a:pPr>
            <a:defRPr sz="800" b="1"/>
          </a:pPr>
          <a:endParaRPr lang="en-US"/>
        </a:p>
      </c:txPr>
    </c:title>
    <c:autoTitleDeleted val="0"/>
    <c:plotArea>
      <c:layout/>
      <c:scatterChart>
        <c:scatterStyle val="lineMarker"/>
        <c:varyColors val="0"/>
        <c:ser>
          <c:idx val="0"/>
          <c:order val="0"/>
          <c:tx>
            <c:v>Lorenz</c:v>
          </c:tx>
          <c:spPr>
            <a:ln w="25400">
              <a:solidFill>
                <a:srgbClr val="1F3864"/>
              </a:solidFill>
            </a:ln>
          </c:spPr>
          <c:marker>
            <c:symbol val="none"/>
          </c:marker>
          <c:xVal>
            <c:numRef>
              <c:f>[0]!sevLor_X</c:f>
              <c:numCache>
                <c:formatCode>General</c:formatCode>
                <c:ptCount val="101"/>
                <c:pt idx="0">
                  <c:v>0</c:v>
                </c:pt>
                <c:pt idx="1">
                  <c:v>0.01</c:v>
                </c:pt>
                <c:pt idx="2">
                  <c:v>0.02</c:v>
                </c:pt>
                <c:pt idx="3">
                  <c:v>0.03</c:v>
                </c:pt>
                <c:pt idx="4">
                  <c:v>0.04</c:v>
                </c:pt>
                <c:pt idx="5">
                  <c:v>0.05</c:v>
                </c:pt>
                <c:pt idx="6">
                  <c:v>6.0000000000000005E-2</c:v>
                </c:pt>
                <c:pt idx="7">
                  <c:v>7.0000000000000007E-2</c:v>
                </c:pt>
                <c:pt idx="8">
                  <c:v>0.08</c:v>
                </c:pt>
                <c:pt idx="9">
                  <c:v>0.09</c:v>
                </c:pt>
                <c:pt idx="10">
                  <c:v>9.9999999999999992E-2</c:v>
                </c:pt>
                <c:pt idx="11">
                  <c:v>0.10999999999999999</c:v>
                </c:pt>
                <c:pt idx="12">
                  <c:v>0.11999999999999998</c:v>
                </c:pt>
                <c:pt idx="13">
                  <c:v>0.12999999999999998</c:v>
                </c:pt>
                <c:pt idx="14">
                  <c:v>0.13999999999999999</c:v>
                </c:pt>
                <c:pt idx="15">
                  <c:v>0.15</c:v>
                </c:pt>
                <c:pt idx="16">
                  <c:v>0.16</c:v>
                </c:pt>
                <c:pt idx="17">
                  <c:v>0.17</c:v>
                </c:pt>
                <c:pt idx="18">
                  <c:v>0.18000000000000002</c:v>
                </c:pt>
                <c:pt idx="19">
                  <c:v>0.19000000000000003</c:v>
                </c:pt>
                <c:pt idx="20">
                  <c:v>0.20000000000000004</c:v>
                </c:pt>
                <c:pt idx="21">
                  <c:v>0.21000000000000005</c:v>
                </c:pt>
                <c:pt idx="22">
                  <c:v>0.22000000000000006</c:v>
                </c:pt>
                <c:pt idx="23">
                  <c:v>0.23000000000000007</c:v>
                </c:pt>
                <c:pt idx="24">
                  <c:v>0.24000000000000007</c:v>
                </c:pt>
                <c:pt idx="25">
                  <c:v>0.25000000000000006</c:v>
                </c:pt>
                <c:pt idx="26">
                  <c:v>0.26000000000000006</c:v>
                </c:pt>
                <c:pt idx="27">
                  <c:v>0.27000000000000007</c:v>
                </c:pt>
                <c:pt idx="28">
                  <c:v>0.28000000000000008</c:v>
                </c:pt>
                <c:pt idx="29">
                  <c:v>0.29000000000000009</c:v>
                </c:pt>
                <c:pt idx="30">
                  <c:v>0.3000000000000001</c:v>
                </c:pt>
                <c:pt idx="31">
                  <c:v>0.31000000000000011</c:v>
                </c:pt>
                <c:pt idx="32">
                  <c:v>0.32000000000000012</c:v>
                </c:pt>
                <c:pt idx="33">
                  <c:v>0.33000000000000013</c:v>
                </c:pt>
                <c:pt idx="34">
                  <c:v>0.34000000000000014</c:v>
                </c:pt>
                <c:pt idx="35">
                  <c:v>0.35000000000000014</c:v>
                </c:pt>
                <c:pt idx="36">
                  <c:v>0.36000000000000015</c:v>
                </c:pt>
                <c:pt idx="37">
                  <c:v>0.37000000000000016</c:v>
                </c:pt>
                <c:pt idx="38">
                  <c:v>0.38000000000000017</c:v>
                </c:pt>
                <c:pt idx="39">
                  <c:v>0.39000000000000018</c:v>
                </c:pt>
                <c:pt idx="40">
                  <c:v>0.40000000000000019</c:v>
                </c:pt>
                <c:pt idx="41">
                  <c:v>0.4100000000000002</c:v>
                </c:pt>
                <c:pt idx="42">
                  <c:v>0.42000000000000021</c:v>
                </c:pt>
                <c:pt idx="43">
                  <c:v>0.43000000000000022</c:v>
                </c:pt>
                <c:pt idx="44">
                  <c:v>0.44000000000000022</c:v>
                </c:pt>
                <c:pt idx="45">
                  <c:v>0.45000000000000023</c:v>
                </c:pt>
                <c:pt idx="46">
                  <c:v>0.46000000000000024</c:v>
                </c:pt>
                <c:pt idx="47">
                  <c:v>0.47000000000000025</c:v>
                </c:pt>
                <c:pt idx="48">
                  <c:v>0.48000000000000026</c:v>
                </c:pt>
                <c:pt idx="49">
                  <c:v>0.49000000000000027</c:v>
                </c:pt>
                <c:pt idx="50">
                  <c:v>0.50000000000000022</c:v>
                </c:pt>
                <c:pt idx="51">
                  <c:v>0.51000000000000023</c:v>
                </c:pt>
                <c:pt idx="52">
                  <c:v>0.52000000000000024</c:v>
                </c:pt>
                <c:pt idx="53">
                  <c:v>0.53000000000000025</c:v>
                </c:pt>
                <c:pt idx="54">
                  <c:v>0.54000000000000026</c:v>
                </c:pt>
                <c:pt idx="55">
                  <c:v>0.55000000000000027</c:v>
                </c:pt>
                <c:pt idx="56">
                  <c:v>0.56000000000000028</c:v>
                </c:pt>
                <c:pt idx="57">
                  <c:v>0.57000000000000028</c:v>
                </c:pt>
                <c:pt idx="58">
                  <c:v>0.58000000000000029</c:v>
                </c:pt>
                <c:pt idx="59">
                  <c:v>0.5900000000000003</c:v>
                </c:pt>
                <c:pt idx="60">
                  <c:v>0.60000000000000031</c:v>
                </c:pt>
                <c:pt idx="61">
                  <c:v>0.61000000000000032</c:v>
                </c:pt>
                <c:pt idx="62">
                  <c:v>0.62000000000000033</c:v>
                </c:pt>
                <c:pt idx="63">
                  <c:v>0.63000000000000034</c:v>
                </c:pt>
                <c:pt idx="64">
                  <c:v>0.64000000000000035</c:v>
                </c:pt>
                <c:pt idx="65">
                  <c:v>0.65000000000000036</c:v>
                </c:pt>
                <c:pt idx="66">
                  <c:v>0.66000000000000036</c:v>
                </c:pt>
                <c:pt idx="67">
                  <c:v>0.67000000000000037</c:v>
                </c:pt>
                <c:pt idx="68">
                  <c:v>0.68000000000000038</c:v>
                </c:pt>
                <c:pt idx="69">
                  <c:v>0.69000000000000039</c:v>
                </c:pt>
                <c:pt idx="70">
                  <c:v>0.7000000000000004</c:v>
                </c:pt>
                <c:pt idx="71">
                  <c:v>0.71000000000000041</c:v>
                </c:pt>
                <c:pt idx="72">
                  <c:v>0.72000000000000042</c:v>
                </c:pt>
                <c:pt idx="73">
                  <c:v>0.73000000000000043</c:v>
                </c:pt>
                <c:pt idx="74">
                  <c:v>0.74000000000000044</c:v>
                </c:pt>
                <c:pt idx="75">
                  <c:v>0.75000000000000044</c:v>
                </c:pt>
                <c:pt idx="76">
                  <c:v>0.76000000000000045</c:v>
                </c:pt>
                <c:pt idx="77">
                  <c:v>0.77000000000000046</c:v>
                </c:pt>
                <c:pt idx="78">
                  <c:v>0.78000000000000047</c:v>
                </c:pt>
                <c:pt idx="79">
                  <c:v>0.79000000000000048</c:v>
                </c:pt>
                <c:pt idx="80">
                  <c:v>0.80000000000000049</c:v>
                </c:pt>
                <c:pt idx="81">
                  <c:v>0.8100000000000005</c:v>
                </c:pt>
                <c:pt idx="82">
                  <c:v>0.82000000000000051</c:v>
                </c:pt>
                <c:pt idx="83">
                  <c:v>0.83000000000000052</c:v>
                </c:pt>
                <c:pt idx="84">
                  <c:v>0.84000000000000052</c:v>
                </c:pt>
                <c:pt idx="85">
                  <c:v>0.85000000000000053</c:v>
                </c:pt>
                <c:pt idx="86">
                  <c:v>0.86000000000000054</c:v>
                </c:pt>
                <c:pt idx="87">
                  <c:v>0.87000000000000055</c:v>
                </c:pt>
                <c:pt idx="88">
                  <c:v>0.88000000000000056</c:v>
                </c:pt>
                <c:pt idx="89">
                  <c:v>0.89000000000000057</c:v>
                </c:pt>
                <c:pt idx="90">
                  <c:v>0.90000000000000058</c:v>
                </c:pt>
                <c:pt idx="91">
                  <c:v>0.91000000000000059</c:v>
                </c:pt>
                <c:pt idx="92">
                  <c:v>0.9200000000000006</c:v>
                </c:pt>
                <c:pt idx="93">
                  <c:v>0.9300000000000006</c:v>
                </c:pt>
                <c:pt idx="94">
                  <c:v>0.94000000000000061</c:v>
                </c:pt>
                <c:pt idx="95">
                  <c:v>0.95000000000000062</c:v>
                </c:pt>
                <c:pt idx="96">
                  <c:v>0.96000000000000063</c:v>
                </c:pt>
                <c:pt idx="97">
                  <c:v>0.97000000000000064</c:v>
                </c:pt>
                <c:pt idx="98">
                  <c:v>0.98000000000000065</c:v>
                </c:pt>
                <c:pt idx="99">
                  <c:v>0.99000000000000066</c:v>
                </c:pt>
                <c:pt idx="100">
                  <c:v>1.0000000000000007</c:v>
                </c:pt>
              </c:numCache>
            </c:numRef>
          </c:xVal>
          <c:yVal>
            <c:numRef>
              <c:f>[0]!sevLor_Y</c:f>
              <c:numCache>
                <c:formatCode>General</c:formatCode>
                <c:ptCount val="10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yVal>
          <c:smooth val="0"/>
          <c:extLst>
            <c:ext xmlns:c16="http://schemas.microsoft.com/office/drawing/2014/chart" uri="{C3380CC4-5D6E-409C-BE32-E72D297353CC}">
              <c16:uniqueId val="{00000004-97EC-4C57-9BAA-014F230B7580}"/>
            </c:ext>
          </c:extLst>
        </c:ser>
        <c:ser>
          <c:idx val="1"/>
          <c:order val="1"/>
          <c:tx>
            <c:v>Eşitlik / Equality</c:v>
          </c:tx>
          <c:spPr>
            <a:ln w="12700">
              <a:solidFill>
                <a:srgbClr val="969696"/>
              </a:solidFill>
              <a:prstDash val="dash"/>
            </a:ln>
          </c:spPr>
          <c:marker>
            <c:symbol val="none"/>
          </c:marker>
          <c:xVal>
            <c:numRef>
              <c:f>[0]!sevLor_X</c:f>
              <c:numCache>
                <c:formatCode>General</c:formatCode>
                <c:ptCount val="101"/>
                <c:pt idx="0">
                  <c:v>0</c:v>
                </c:pt>
                <c:pt idx="1">
                  <c:v>0.01</c:v>
                </c:pt>
                <c:pt idx="2">
                  <c:v>0.02</c:v>
                </c:pt>
                <c:pt idx="3">
                  <c:v>0.03</c:v>
                </c:pt>
                <c:pt idx="4">
                  <c:v>0.04</c:v>
                </c:pt>
                <c:pt idx="5">
                  <c:v>0.05</c:v>
                </c:pt>
                <c:pt idx="6">
                  <c:v>6.0000000000000005E-2</c:v>
                </c:pt>
                <c:pt idx="7">
                  <c:v>7.0000000000000007E-2</c:v>
                </c:pt>
                <c:pt idx="8">
                  <c:v>0.08</c:v>
                </c:pt>
                <c:pt idx="9">
                  <c:v>0.09</c:v>
                </c:pt>
                <c:pt idx="10">
                  <c:v>9.9999999999999992E-2</c:v>
                </c:pt>
                <c:pt idx="11">
                  <c:v>0.10999999999999999</c:v>
                </c:pt>
                <c:pt idx="12">
                  <c:v>0.11999999999999998</c:v>
                </c:pt>
                <c:pt idx="13">
                  <c:v>0.12999999999999998</c:v>
                </c:pt>
                <c:pt idx="14">
                  <c:v>0.13999999999999999</c:v>
                </c:pt>
                <c:pt idx="15">
                  <c:v>0.15</c:v>
                </c:pt>
                <c:pt idx="16">
                  <c:v>0.16</c:v>
                </c:pt>
                <c:pt idx="17">
                  <c:v>0.17</c:v>
                </c:pt>
                <c:pt idx="18">
                  <c:v>0.18000000000000002</c:v>
                </c:pt>
                <c:pt idx="19">
                  <c:v>0.19000000000000003</c:v>
                </c:pt>
                <c:pt idx="20">
                  <c:v>0.20000000000000004</c:v>
                </c:pt>
                <c:pt idx="21">
                  <c:v>0.21000000000000005</c:v>
                </c:pt>
                <c:pt idx="22">
                  <c:v>0.22000000000000006</c:v>
                </c:pt>
                <c:pt idx="23">
                  <c:v>0.23000000000000007</c:v>
                </c:pt>
                <c:pt idx="24">
                  <c:v>0.24000000000000007</c:v>
                </c:pt>
                <c:pt idx="25">
                  <c:v>0.25000000000000006</c:v>
                </c:pt>
                <c:pt idx="26">
                  <c:v>0.26000000000000006</c:v>
                </c:pt>
                <c:pt idx="27">
                  <c:v>0.27000000000000007</c:v>
                </c:pt>
                <c:pt idx="28">
                  <c:v>0.28000000000000008</c:v>
                </c:pt>
                <c:pt idx="29">
                  <c:v>0.29000000000000009</c:v>
                </c:pt>
                <c:pt idx="30">
                  <c:v>0.3000000000000001</c:v>
                </c:pt>
                <c:pt idx="31">
                  <c:v>0.31000000000000011</c:v>
                </c:pt>
                <c:pt idx="32">
                  <c:v>0.32000000000000012</c:v>
                </c:pt>
                <c:pt idx="33">
                  <c:v>0.33000000000000013</c:v>
                </c:pt>
                <c:pt idx="34">
                  <c:v>0.34000000000000014</c:v>
                </c:pt>
                <c:pt idx="35">
                  <c:v>0.35000000000000014</c:v>
                </c:pt>
                <c:pt idx="36">
                  <c:v>0.36000000000000015</c:v>
                </c:pt>
                <c:pt idx="37">
                  <c:v>0.37000000000000016</c:v>
                </c:pt>
                <c:pt idx="38">
                  <c:v>0.38000000000000017</c:v>
                </c:pt>
                <c:pt idx="39">
                  <c:v>0.39000000000000018</c:v>
                </c:pt>
                <c:pt idx="40">
                  <c:v>0.40000000000000019</c:v>
                </c:pt>
                <c:pt idx="41">
                  <c:v>0.4100000000000002</c:v>
                </c:pt>
                <c:pt idx="42">
                  <c:v>0.42000000000000021</c:v>
                </c:pt>
                <c:pt idx="43">
                  <c:v>0.43000000000000022</c:v>
                </c:pt>
                <c:pt idx="44">
                  <c:v>0.44000000000000022</c:v>
                </c:pt>
                <c:pt idx="45">
                  <c:v>0.45000000000000023</c:v>
                </c:pt>
                <c:pt idx="46">
                  <c:v>0.46000000000000024</c:v>
                </c:pt>
                <c:pt idx="47">
                  <c:v>0.47000000000000025</c:v>
                </c:pt>
                <c:pt idx="48">
                  <c:v>0.48000000000000026</c:v>
                </c:pt>
                <c:pt idx="49">
                  <c:v>0.49000000000000027</c:v>
                </c:pt>
                <c:pt idx="50">
                  <c:v>0.50000000000000022</c:v>
                </c:pt>
                <c:pt idx="51">
                  <c:v>0.51000000000000023</c:v>
                </c:pt>
                <c:pt idx="52">
                  <c:v>0.52000000000000024</c:v>
                </c:pt>
                <c:pt idx="53">
                  <c:v>0.53000000000000025</c:v>
                </c:pt>
                <c:pt idx="54">
                  <c:v>0.54000000000000026</c:v>
                </c:pt>
                <c:pt idx="55">
                  <c:v>0.55000000000000027</c:v>
                </c:pt>
                <c:pt idx="56">
                  <c:v>0.56000000000000028</c:v>
                </c:pt>
                <c:pt idx="57">
                  <c:v>0.57000000000000028</c:v>
                </c:pt>
                <c:pt idx="58">
                  <c:v>0.58000000000000029</c:v>
                </c:pt>
                <c:pt idx="59">
                  <c:v>0.5900000000000003</c:v>
                </c:pt>
                <c:pt idx="60">
                  <c:v>0.60000000000000031</c:v>
                </c:pt>
                <c:pt idx="61">
                  <c:v>0.61000000000000032</c:v>
                </c:pt>
                <c:pt idx="62">
                  <c:v>0.62000000000000033</c:v>
                </c:pt>
                <c:pt idx="63">
                  <c:v>0.63000000000000034</c:v>
                </c:pt>
                <c:pt idx="64">
                  <c:v>0.64000000000000035</c:v>
                </c:pt>
                <c:pt idx="65">
                  <c:v>0.65000000000000036</c:v>
                </c:pt>
                <c:pt idx="66">
                  <c:v>0.66000000000000036</c:v>
                </c:pt>
                <c:pt idx="67">
                  <c:v>0.67000000000000037</c:v>
                </c:pt>
                <c:pt idx="68">
                  <c:v>0.68000000000000038</c:v>
                </c:pt>
                <c:pt idx="69">
                  <c:v>0.69000000000000039</c:v>
                </c:pt>
                <c:pt idx="70">
                  <c:v>0.7000000000000004</c:v>
                </c:pt>
                <c:pt idx="71">
                  <c:v>0.71000000000000041</c:v>
                </c:pt>
                <c:pt idx="72">
                  <c:v>0.72000000000000042</c:v>
                </c:pt>
                <c:pt idx="73">
                  <c:v>0.73000000000000043</c:v>
                </c:pt>
                <c:pt idx="74">
                  <c:v>0.74000000000000044</c:v>
                </c:pt>
                <c:pt idx="75">
                  <c:v>0.75000000000000044</c:v>
                </c:pt>
                <c:pt idx="76">
                  <c:v>0.76000000000000045</c:v>
                </c:pt>
                <c:pt idx="77">
                  <c:v>0.77000000000000046</c:v>
                </c:pt>
                <c:pt idx="78">
                  <c:v>0.78000000000000047</c:v>
                </c:pt>
                <c:pt idx="79">
                  <c:v>0.79000000000000048</c:v>
                </c:pt>
                <c:pt idx="80">
                  <c:v>0.80000000000000049</c:v>
                </c:pt>
                <c:pt idx="81">
                  <c:v>0.8100000000000005</c:v>
                </c:pt>
                <c:pt idx="82">
                  <c:v>0.82000000000000051</c:v>
                </c:pt>
                <c:pt idx="83">
                  <c:v>0.83000000000000052</c:v>
                </c:pt>
                <c:pt idx="84">
                  <c:v>0.84000000000000052</c:v>
                </c:pt>
                <c:pt idx="85">
                  <c:v>0.85000000000000053</c:v>
                </c:pt>
                <c:pt idx="86">
                  <c:v>0.86000000000000054</c:v>
                </c:pt>
                <c:pt idx="87">
                  <c:v>0.87000000000000055</c:v>
                </c:pt>
                <c:pt idx="88">
                  <c:v>0.88000000000000056</c:v>
                </c:pt>
                <c:pt idx="89">
                  <c:v>0.89000000000000057</c:v>
                </c:pt>
                <c:pt idx="90">
                  <c:v>0.90000000000000058</c:v>
                </c:pt>
                <c:pt idx="91">
                  <c:v>0.91000000000000059</c:v>
                </c:pt>
                <c:pt idx="92">
                  <c:v>0.9200000000000006</c:v>
                </c:pt>
                <c:pt idx="93">
                  <c:v>0.9300000000000006</c:v>
                </c:pt>
                <c:pt idx="94">
                  <c:v>0.94000000000000061</c:v>
                </c:pt>
                <c:pt idx="95">
                  <c:v>0.95000000000000062</c:v>
                </c:pt>
                <c:pt idx="96">
                  <c:v>0.96000000000000063</c:v>
                </c:pt>
                <c:pt idx="97">
                  <c:v>0.97000000000000064</c:v>
                </c:pt>
                <c:pt idx="98">
                  <c:v>0.98000000000000065</c:v>
                </c:pt>
                <c:pt idx="99">
                  <c:v>0.99000000000000066</c:v>
                </c:pt>
                <c:pt idx="100">
                  <c:v>1.0000000000000007</c:v>
                </c:pt>
              </c:numCache>
            </c:numRef>
          </c:xVal>
          <c:yVal>
            <c:numRef>
              <c:f>[0]!sevLor_E</c:f>
              <c:numCache>
                <c:formatCode>General</c:formatCode>
                <c:ptCount val="101"/>
                <c:pt idx="0">
                  <c:v>0</c:v>
                </c:pt>
                <c:pt idx="1">
                  <c:v>0.01</c:v>
                </c:pt>
                <c:pt idx="2">
                  <c:v>0.02</c:v>
                </c:pt>
                <c:pt idx="3">
                  <c:v>0.03</c:v>
                </c:pt>
                <c:pt idx="4">
                  <c:v>0.04</c:v>
                </c:pt>
                <c:pt idx="5">
                  <c:v>0.05</c:v>
                </c:pt>
                <c:pt idx="6">
                  <c:v>6.0000000000000005E-2</c:v>
                </c:pt>
                <c:pt idx="7">
                  <c:v>7.0000000000000007E-2</c:v>
                </c:pt>
                <c:pt idx="8">
                  <c:v>0.08</c:v>
                </c:pt>
                <c:pt idx="9">
                  <c:v>0.09</c:v>
                </c:pt>
                <c:pt idx="10">
                  <c:v>9.9999999999999992E-2</c:v>
                </c:pt>
                <c:pt idx="11">
                  <c:v>0.10999999999999999</c:v>
                </c:pt>
                <c:pt idx="12">
                  <c:v>0.11999999999999998</c:v>
                </c:pt>
                <c:pt idx="13">
                  <c:v>0.12999999999999998</c:v>
                </c:pt>
                <c:pt idx="14">
                  <c:v>0.13999999999999999</c:v>
                </c:pt>
                <c:pt idx="15">
                  <c:v>0.15</c:v>
                </c:pt>
                <c:pt idx="16">
                  <c:v>0.16</c:v>
                </c:pt>
                <c:pt idx="17">
                  <c:v>0.17</c:v>
                </c:pt>
                <c:pt idx="18">
                  <c:v>0.18000000000000002</c:v>
                </c:pt>
                <c:pt idx="19">
                  <c:v>0.19000000000000003</c:v>
                </c:pt>
                <c:pt idx="20">
                  <c:v>0.20000000000000004</c:v>
                </c:pt>
                <c:pt idx="21">
                  <c:v>0.21000000000000005</c:v>
                </c:pt>
                <c:pt idx="22">
                  <c:v>0.22000000000000006</c:v>
                </c:pt>
                <c:pt idx="23">
                  <c:v>0.23000000000000007</c:v>
                </c:pt>
                <c:pt idx="24">
                  <c:v>0.24000000000000007</c:v>
                </c:pt>
                <c:pt idx="25">
                  <c:v>0.25000000000000006</c:v>
                </c:pt>
                <c:pt idx="26">
                  <c:v>0.26000000000000006</c:v>
                </c:pt>
                <c:pt idx="27">
                  <c:v>0.27000000000000007</c:v>
                </c:pt>
                <c:pt idx="28">
                  <c:v>0.28000000000000008</c:v>
                </c:pt>
                <c:pt idx="29">
                  <c:v>0.29000000000000009</c:v>
                </c:pt>
                <c:pt idx="30">
                  <c:v>0.3000000000000001</c:v>
                </c:pt>
                <c:pt idx="31">
                  <c:v>0.31000000000000011</c:v>
                </c:pt>
                <c:pt idx="32">
                  <c:v>0.32000000000000012</c:v>
                </c:pt>
                <c:pt idx="33">
                  <c:v>0.33000000000000013</c:v>
                </c:pt>
                <c:pt idx="34">
                  <c:v>0.34000000000000014</c:v>
                </c:pt>
                <c:pt idx="35">
                  <c:v>0.35000000000000014</c:v>
                </c:pt>
                <c:pt idx="36">
                  <c:v>0.36000000000000015</c:v>
                </c:pt>
                <c:pt idx="37">
                  <c:v>0.37000000000000016</c:v>
                </c:pt>
                <c:pt idx="38">
                  <c:v>0.38000000000000017</c:v>
                </c:pt>
                <c:pt idx="39">
                  <c:v>0.39000000000000018</c:v>
                </c:pt>
                <c:pt idx="40">
                  <c:v>0.40000000000000019</c:v>
                </c:pt>
                <c:pt idx="41">
                  <c:v>0.4100000000000002</c:v>
                </c:pt>
                <c:pt idx="42">
                  <c:v>0.42000000000000021</c:v>
                </c:pt>
                <c:pt idx="43">
                  <c:v>0.43000000000000022</c:v>
                </c:pt>
                <c:pt idx="44">
                  <c:v>0.44000000000000022</c:v>
                </c:pt>
                <c:pt idx="45">
                  <c:v>0.45000000000000023</c:v>
                </c:pt>
                <c:pt idx="46">
                  <c:v>0.46000000000000024</c:v>
                </c:pt>
                <c:pt idx="47">
                  <c:v>0.47000000000000025</c:v>
                </c:pt>
                <c:pt idx="48">
                  <c:v>0.48000000000000026</c:v>
                </c:pt>
                <c:pt idx="49">
                  <c:v>0.49000000000000027</c:v>
                </c:pt>
                <c:pt idx="50">
                  <c:v>0.50000000000000022</c:v>
                </c:pt>
                <c:pt idx="51">
                  <c:v>0.51000000000000023</c:v>
                </c:pt>
                <c:pt idx="52">
                  <c:v>0.52000000000000024</c:v>
                </c:pt>
                <c:pt idx="53">
                  <c:v>0.53000000000000025</c:v>
                </c:pt>
                <c:pt idx="54">
                  <c:v>0.54000000000000026</c:v>
                </c:pt>
                <c:pt idx="55">
                  <c:v>0.55000000000000027</c:v>
                </c:pt>
                <c:pt idx="56">
                  <c:v>0.56000000000000028</c:v>
                </c:pt>
                <c:pt idx="57">
                  <c:v>0.57000000000000028</c:v>
                </c:pt>
                <c:pt idx="58">
                  <c:v>0.58000000000000029</c:v>
                </c:pt>
                <c:pt idx="59">
                  <c:v>0.5900000000000003</c:v>
                </c:pt>
                <c:pt idx="60">
                  <c:v>0.60000000000000031</c:v>
                </c:pt>
                <c:pt idx="61">
                  <c:v>0.61000000000000032</c:v>
                </c:pt>
                <c:pt idx="62">
                  <c:v>0.62000000000000033</c:v>
                </c:pt>
                <c:pt idx="63">
                  <c:v>0.63000000000000034</c:v>
                </c:pt>
                <c:pt idx="64">
                  <c:v>0.64000000000000035</c:v>
                </c:pt>
                <c:pt idx="65">
                  <c:v>0.65000000000000036</c:v>
                </c:pt>
                <c:pt idx="66">
                  <c:v>0.66000000000000036</c:v>
                </c:pt>
                <c:pt idx="67">
                  <c:v>0.67000000000000037</c:v>
                </c:pt>
                <c:pt idx="68">
                  <c:v>0.68000000000000038</c:v>
                </c:pt>
                <c:pt idx="69">
                  <c:v>0.69000000000000039</c:v>
                </c:pt>
                <c:pt idx="70">
                  <c:v>0.7000000000000004</c:v>
                </c:pt>
                <c:pt idx="71">
                  <c:v>0.71000000000000041</c:v>
                </c:pt>
                <c:pt idx="72">
                  <c:v>0.72000000000000042</c:v>
                </c:pt>
                <c:pt idx="73">
                  <c:v>0.73000000000000043</c:v>
                </c:pt>
                <c:pt idx="74">
                  <c:v>0.74000000000000044</c:v>
                </c:pt>
                <c:pt idx="75">
                  <c:v>0.75000000000000044</c:v>
                </c:pt>
                <c:pt idx="76">
                  <c:v>0.76000000000000045</c:v>
                </c:pt>
                <c:pt idx="77">
                  <c:v>0.77000000000000046</c:v>
                </c:pt>
                <c:pt idx="78">
                  <c:v>0.78000000000000047</c:v>
                </c:pt>
                <c:pt idx="79">
                  <c:v>0.79000000000000048</c:v>
                </c:pt>
                <c:pt idx="80">
                  <c:v>0.80000000000000049</c:v>
                </c:pt>
                <c:pt idx="81">
                  <c:v>0.8100000000000005</c:v>
                </c:pt>
                <c:pt idx="82">
                  <c:v>0.82000000000000051</c:v>
                </c:pt>
                <c:pt idx="83">
                  <c:v>0.83000000000000052</c:v>
                </c:pt>
                <c:pt idx="84">
                  <c:v>0.84000000000000052</c:v>
                </c:pt>
                <c:pt idx="85">
                  <c:v>0.85000000000000053</c:v>
                </c:pt>
                <c:pt idx="86">
                  <c:v>0.86000000000000054</c:v>
                </c:pt>
                <c:pt idx="87">
                  <c:v>0.87000000000000055</c:v>
                </c:pt>
                <c:pt idx="88">
                  <c:v>0.88000000000000056</c:v>
                </c:pt>
                <c:pt idx="89">
                  <c:v>0.89000000000000057</c:v>
                </c:pt>
                <c:pt idx="90">
                  <c:v>0.90000000000000058</c:v>
                </c:pt>
                <c:pt idx="91">
                  <c:v>0.91000000000000059</c:v>
                </c:pt>
                <c:pt idx="92">
                  <c:v>0.9200000000000006</c:v>
                </c:pt>
                <c:pt idx="93">
                  <c:v>0.9300000000000006</c:v>
                </c:pt>
                <c:pt idx="94">
                  <c:v>0.94000000000000061</c:v>
                </c:pt>
                <c:pt idx="95">
                  <c:v>0.95000000000000062</c:v>
                </c:pt>
                <c:pt idx="96">
                  <c:v>0.96000000000000063</c:v>
                </c:pt>
                <c:pt idx="97">
                  <c:v>0.97000000000000064</c:v>
                </c:pt>
                <c:pt idx="98">
                  <c:v>0.98000000000000065</c:v>
                </c:pt>
                <c:pt idx="99">
                  <c:v>0.99000000000000066</c:v>
                </c:pt>
                <c:pt idx="100">
                  <c:v>1.0000000000000007</c:v>
                </c:pt>
              </c:numCache>
            </c:numRef>
          </c:yVal>
          <c:smooth val="0"/>
          <c:extLst>
            <c:ext xmlns:c16="http://schemas.microsoft.com/office/drawing/2014/chart" uri="{C3380CC4-5D6E-409C-BE32-E72D297353CC}">
              <c16:uniqueId val="{00000005-97EC-4C57-9BAA-014F230B7580}"/>
            </c:ext>
          </c:extLst>
        </c:ser>
        <c:dLbls>
          <c:showLegendKey val="0"/>
          <c:showVal val="0"/>
          <c:showCatName val="0"/>
          <c:showSerName val="0"/>
          <c:showPercent val="0"/>
          <c:showBubbleSize val="0"/>
        </c:dLbls>
        <c:axId val="1212367424"/>
        <c:axId val="958678864"/>
      </c:scatterChart>
      <c:valAx>
        <c:axId val="1212367424"/>
        <c:scaling>
          <c:orientation val="minMax"/>
          <c:max val="1"/>
          <c:min val="0"/>
        </c:scaling>
        <c:delete val="0"/>
        <c:axPos val="b"/>
        <c:numFmt formatCode="0%" sourceLinked="0"/>
        <c:majorTickMark val="out"/>
        <c:minorTickMark val="none"/>
        <c:tickLblPos val="nextTo"/>
        <c:txPr>
          <a:bodyPr/>
          <a:lstStyle/>
          <a:p>
            <a:pPr>
              <a:defRPr sz="700"/>
            </a:pPr>
            <a:endParaRPr lang="en-US"/>
          </a:p>
        </c:txPr>
        <c:crossAx val="958678864"/>
        <c:crosses val="autoZero"/>
        <c:crossBetween val="midCat"/>
      </c:valAx>
      <c:valAx>
        <c:axId val="958678864"/>
        <c:scaling>
          <c:orientation val="minMax"/>
          <c:max val="1"/>
          <c:min val="0"/>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1212367424"/>
        <c:crosses val="autoZero"/>
        <c:crossBetween val="midCat"/>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AN_Severity!$AB$21</c:f>
          <c:strCache>
            <c:ptCount val="1"/>
            <c:pt idx="0">
              <c:v>Ortalama aşım fonksiyonu e(u) (bin TL; artan eğim ağır kuyruk) / Mean excess function e(u) (TRY k; a rising slope means a heavy tail)</c:v>
            </c:pt>
          </c:strCache>
        </c:strRef>
      </c:tx>
      <c:overlay val="0"/>
      <c:txPr>
        <a:bodyPr/>
        <a:lstStyle/>
        <a:p>
          <a:pPr>
            <a:defRPr sz="800" b="1"/>
          </a:pPr>
          <a:endParaRPr lang="en-US"/>
        </a:p>
      </c:txPr>
    </c:title>
    <c:autoTitleDeleted val="0"/>
    <c:plotArea>
      <c:layout/>
      <c:scatterChart>
        <c:scatterStyle val="lineMarker"/>
        <c:varyColors val="0"/>
        <c:ser>
          <c:idx val="0"/>
          <c:order val="0"/>
          <c:tx>
            <c:v>e(u)</c:v>
          </c:tx>
          <c:spPr>
            <a:ln w="25400">
              <a:solidFill>
                <a:srgbClr val="E69F00"/>
              </a:solidFill>
            </a:ln>
          </c:spPr>
          <c:marker>
            <c:symbol val="circle"/>
            <c:size val="3"/>
            <c:spPr>
              <a:ln w="25400">
                <a:solidFill>
                  <a:srgbClr val="E69F00"/>
                </a:solidFill>
              </a:ln>
            </c:spPr>
          </c:marker>
          <c:xVal>
            <c:numRef>
              <c:f>[0]!sevMex_X</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xVal>
          <c:yVal>
            <c:numRef>
              <c:f>[0]!sevMex_Y</c:f>
              <c:numCache>
                <c:formatCode>General</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yVal>
          <c:smooth val="0"/>
          <c:extLst>
            <c:ext xmlns:c16="http://schemas.microsoft.com/office/drawing/2014/chart" uri="{C3380CC4-5D6E-409C-BE32-E72D297353CC}">
              <c16:uniqueId val="{00000004-1DC2-4C05-9817-209199F5810E}"/>
            </c:ext>
          </c:extLst>
        </c:ser>
        <c:dLbls>
          <c:showLegendKey val="0"/>
          <c:showVal val="0"/>
          <c:showCatName val="0"/>
          <c:showSerName val="0"/>
          <c:showPercent val="0"/>
          <c:showBubbleSize val="0"/>
        </c:dLbls>
        <c:axId val="1212375776"/>
        <c:axId val="958716784"/>
      </c:scatterChart>
      <c:valAx>
        <c:axId val="1212375776"/>
        <c:scaling>
          <c:orientation val="minMax"/>
        </c:scaling>
        <c:delete val="0"/>
        <c:axPos val="b"/>
        <c:numFmt formatCode="#,##0" sourceLinked="0"/>
        <c:majorTickMark val="out"/>
        <c:minorTickMark val="none"/>
        <c:tickLblPos val="nextTo"/>
        <c:txPr>
          <a:bodyPr/>
          <a:lstStyle/>
          <a:p>
            <a:pPr>
              <a:defRPr sz="700"/>
            </a:pPr>
            <a:endParaRPr lang="en-US"/>
          </a:p>
        </c:txPr>
        <c:crossAx val="958716784"/>
        <c:crosses val="autoZero"/>
        <c:crossBetween val="midCat"/>
      </c:valAx>
      <c:valAx>
        <c:axId val="958716784"/>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1212375776"/>
        <c:crosses val="autoZero"/>
        <c:crossBetween val="midCat"/>
      </c:valAx>
    </c:plotArea>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AN_Severity!$AB$22</c:f>
          <c:strCache>
            <c:ptCount val="1"/>
            <c:pt idx="0">
              <c:v>Hasar ayına göre dosya başına ödenen: medyan, ortalama, P90 (bin TL; son aylar gelişmemiş) / Paid per case by loss month: median, mean, P90 (TRY k; recent months undeveloped)</c:v>
            </c:pt>
          </c:strCache>
        </c:strRef>
      </c:tx>
      <c:overlay val="0"/>
      <c:txPr>
        <a:bodyPr/>
        <a:lstStyle/>
        <a:p>
          <a:pPr>
            <a:defRPr sz="800" b="1"/>
          </a:pPr>
          <a:endParaRPr lang="en-US"/>
        </a:p>
      </c:txPr>
    </c:title>
    <c:autoTitleDeleted val="0"/>
    <c:plotArea>
      <c:layout/>
      <c:scatterChart>
        <c:scatterStyle val="lineMarker"/>
        <c:varyColors val="0"/>
        <c:ser>
          <c:idx val="0"/>
          <c:order val="0"/>
          <c:tx>
            <c:v>Medyan / Median</c:v>
          </c:tx>
          <c:spPr>
            <a:ln w="25400">
              <a:solidFill>
                <a:srgbClr val="1F3864"/>
              </a:solidFill>
            </a:ln>
          </c:spPr>
          <c:marker>
            <c:symbol val="none"/>
          </c:marker>
          <c:xVal>
            <c:numRef>
              <c:f>[0]!sevAcc_X</c:f>
              <c:numCache>
                <c:formatCode>General</c:formatCode>
                <c:ptCount val="1"/>
                <c:pt idx="0">
                  <c:v>0</c:v>
                </c:pt>
              </c:numCache>
            </c:numRef>
          </c:xVal>
          <c:yVal>
            <c:numRef>
              <c:f>[0]!sevAcc_Med</c:f>
              <c:numCache>
                <c:formatCode>General</c:formatCode>
                <c:ptCount val="1"/>
                <c:pt idx="0">
                  <c:v>0</c:v>
                </c:pt>
              </c:numCache>
            </c:numRef>
          </c:yVal>
          <c:smooth val="0"/>
          <c:extLst>
            <c:ext xmlns:c16="http://schemas.microsoft.com/office/drawing/2014/chart" uri="{C3380CC4-5D6E-409C-BE32-E72D297353CC}">
              <c16:uniqueId val="{00000004-7BB9-4BB5-9343-3013B3CDF3A0}"/>
            </c:ext>
          </c:extLst>
        </c:ser>
        <c:ser>
          <c:idx val="1"/>
          <c:order val="1"/>
          <c:tx>
            <c:v>Ortalama / Mean</c:v>
          </c:tx>
          <c:spPr>
            <a:ln w="19050">
              <a:solidFill>
                <a:srgbClr val="E69F00"/>
              </a:solidFill>
              <a:prstDash val="dash"/>
            </a:ln>
          </c:spPr>
          <c:marker>
            <c:symbol val="none"/>
          </c:marker>
          <c:xVal>
            <c:numRef>
              <c:f>[0]!sevAcc_X</c:f>
              <c:numCache>
                <c:formatCode>General</c:formatCode>
                <c:ptCount val="1"/>
                <c:pt idx="0">
                  <c:v>0</c:v>
                </c:pt>
              </c:numCache>
            </c:numRef>
          </c:xVal>
          <c:yVal>
            <c:numRef>
              <c:f>[0]!sevAcc_Mean</c:f>
              <c:numCache>
                <c:formatCode>General</c:formatCode>
                <c:ptCount val="1"/>
                <c:pt idx="0">
                  <c:v>0</c:v>
                </c:pt>
              </c:numCache>
            </c:numRef>
          </c:yVal>
          <c:smooth val="0"/>
          <c:extLst>
            <c:ext xmlns:c16="http://schemas.microsoft.com/office/drawing/2014/chart" uri="{C3380CC4-5D6E-409C-BE32-E72D297353CC}">
              <c16:uniqueId val="{00000005-7BB9-4BB5-9343-3013B3CDF3A0}"/>
            </c:ext>
          </c:extLst>
        </c:ser>
        <c:ser>
          <c:idx val="2"/>
          <c:order val="2"/>
          <c:tx>
            <c:v>P90</c:v>
          </c:tx>
          <c:spPr>
            <a:ln w="19050">
              <a:solidFill>
                <a:srgbClr val="CC7999"/>
              </a:solidFill>
            </a:ln>
          </c:spPr>
          <c:marker>
            <c:symbol val="none"/>
          </c:marker>
          <c:xVal>
            <c:numRef>
              <c:f>[0]!sevAcc_X</c:f>
              <c:numCache>
                <c:formatCode>General</c:formatCode>
                <c:ptCount val="1"/>
                <c:pt idx="0">
                  <c:v>0</c:v>
                </c:pt>
              </c:numCache>
            </c:numRef>
          </c:xVal>
          <c:yVal>
            <c:numRef>
              <c:f>[0]!sevAcc_P90</c:f>
              <c:numCache>
                <c:formatCode>General</c:formatCode>
                <c:ptCount val="1"/>
                <c:pt idx="0">
                  <c:v>0</c:v>
                </c:pt>
              </c:numCache>
            </c:numRef>
          </c:yVal>
          <c:smooth val="0"/>
          <c:extLst>
            <c:ext xmlns:c16="http://schemas.microsoft.com/office/drawing/2014/chart" uri="{C3380CC4-5D6E-409C-BE32-E72D297353CC}">
              <c16:uniqueId val="{00000006-7BB9-4BB5-9343-3013B3CDF3A0}"/>
            </c:ext>
          </c:extLst>
        </c:ser>
        <c:dLbls>
          <c:showLegendKey val="0"/>
          <c:showVal val="0"/>
          <c:showCatName val="0"/>
          <c:showSerName val="0"/>
          <c:showPercent val="0"/>
          <c:showBubbleSize val="0"/>
        </c:dLbls>
        <c:axId val="1212392944"/>
        <c:axId val="958739344"/>
      </c:scatterChart>
      <c:valAx>
        <c:axId val="1212392944"/>
        <c:scaling>
          <c:orientation val="minMax"/>
        </c:scaling>
        <c:delete val="0"/>
        <c:axPos val="b"/>
        <c:numFmt formatCode="yyyy\-mm" sourceLinked="0"/>
        <c:majorTickMark val="out"/>
        <c:minorTickMark val="none"/>
        <c:tickLblPos val="low"/>
        <c:txPr>
          <a:bodyPr/>
          <a:lstStyle/>
          <a:p>
            <a:pPr>
              <a:defRPr sz="700"/>
            </a:pPr>
            <a:endParaRPr lang="en-US"/>
          </a:p>
        </c:txPr>
        <c:crossAx val="958739344"/>
        <c:crosses val="autoZero"/>
        <c:crossBetween val="midCat"/>
      </c:valAx>
      <c:valAx>
        <c:axId val="958739344"/>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1212392944"/>
        <c:crosses val="autoZero"/>
        <c:crossBetween val="midCat"/>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AN_Calc!$FB$120</c:f>
              <c:numCache>
                <c:formatCode>General</c:formatCode>
                <c:ptCount val="1"/>
                <c:pt idx="0">
                  <c:v>1</c:v>
                </c:pt>
              </c:numCache>
            </c:numRef>
          </c:val>
          <c:extLst>
            <c:ext xmlns:c16="http://schemas.microsoft.com/office/drawing/2014/chart" uri="{C3380CC4-5D6E-409C-BE32-E72D297353CC}">
              <c16:uniqueId val="{00000004-1724-4809-BD72-4848534CDA33}"/>
            </c:ext>
          </c:extLst>
        </c:ser>
        <c:dLbls>
          <c:showLegendKey val="0"/>
          <c:showVal val="0"/>
          <c:showCatName val="0"/>
          <c:showSerName val="0"/>
          <c:showPercent val="0"/>
          <c:showBubbleSize val="0"/>
        </c:dLbls>
        <c:gapWidth val="0"/>
        <c:axId val="1212383200"/>
        <c:axId val="958761424"/>
      </c:barChart>
      <c:catAx>
        <c:axId val="1212383200"/>
        <c:scaling>
          <c:orientation val="minMax"/>
        </c:scaling>
        <c:delete val="1"/>
        <c:axPos val="b"/>
        <c:numFmt formatCode="General" sourceLinked="1"/>
        <c:majorTickMark val="out"/>
        <c:minorTickMark val="none"/>
        <c:tickLblPos val="nextTo"/>
        <c:crossAx val="958761424"/>
        <c:crosses val="autoZero"/>
        <c:auto val="1"/>
        <c:lblAlgn val="ctr"/>
        <c:lblOffset val="100"/>
        <c:noMultiLvlLbl val="0"/>
      </c:catAx>
      <c:valAx>
        <c:axId val="958761424"/>
        <c:scaling>
          <c:orientation val="minMax"/>
          <c:max val="1"/>
          <c:min val="0"/>
        </c:scaling>
        <c:delete val="1"/>
        <c:axPos val="l"/>
        <c:numFmt formatCode="General" sourceLinked="1"/>
        <c:majorTickMark val="out"/>
        <c:minorTickMark val="none"/>
        <c:tickLblPos val="nextTo"/>
        <c:crossAx val="1212383200"/>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AN_Calc!$FB$120</c:f>
              <c:numCache>
                <c:formatCode>General</c:formatCode>
                <c:ptCount val="1"/>
                <c:pt idx="0">
                  <c:v>1</c:v>
                </c:pt>
              </c:numCache>
            </c:numRef>
          </c:val>
          <c:extLst>
            <c:ext xmlns:c16="http://schemas.microsoft.com/office/drawing/2014/chart" uri="{C3380CC4-5D6E-409C-BE32-E72D297353CC}">
              <c16:uniqueId val="{00000004-03DB-4ECE-8337-732B7D4C312D}"/>
            </c:ext>
          </c:extLst>
        </c:ser>
        <c:dLbls>
          <c:showLegendKey val="0"/>
          <c:showVal val="0"/>
          <c:showCatName val="0"/>
          <c:showSerName val="0"/>
          <c:showPercent val="0"/>
          <c:showBubbleSize val="0"/>
        </c:dLbls>
        <c:gapWidth val="0"/>
        <c:axId val="1212384592"/>
        <c:axId val="958792624"/>
      </c:barChart>
      <c:catAx>
        <c:axId val="1212384592"/>
        <c:scaling>
          <c:orientation val="minMax"/>
        </c:scaling>
        <c:delete val="1"/>
        <c:axPos val="b"/>
        <c:numFmt formatCode="General" sourceLinked="1"/>
        <c:majorTickMark val="out"/>
        <c:minorTickMark val="none"/>
        <c:tickLblPos val="nextTo"/>
        <c:crossAx val="958792624"/>
        <c:crosses val="autoZero"/>
        <c:auto val="1"/>
        <c:lblAlgn val="ctr"/>
        <c:lblOffset val="100"/>
        <c:noMultiLvlLbl val="0"/>
      </c:catAx>
      <c:valAx>
        <c:axId val="958792624"/>
        <c:scaling>
          <c:orientation val="minMax"/>
          <c:max val="1"/>
          <c:min val="0"/>
        </c:scaling>
        <c:delete val="1"/>
        <c:axPos val="l"/>
        <c:numFmt formatCode="General" sourceLinked="1"/>
        <c:majorTickMark val="out"/>
        <c:minorTickMark val="none"/>
        <c:tickLblPos val="nextTo"/>
        <c:crossAx val="1212384592"/>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AN_Calc!$FB$120</c:f>
              <c:numCache>
                <c:formatCode>General</c:formatCode>
                <c:ptCount val="1"/>
                <c:pt idx="0">
                  <c:v>1</c:v>
                </c:pt>
              </c:numCache>
            </c:numRef>
          </c:val>
          <c:extLst>
            <c:ext xmlns:c16="http://schemas.microsoft.com/office/drawing/2014/chart" uri="{C3380CC4-5D6E-409C-BE32-E72D297353CC}">
              <c16:uniqueId val="{00000004-8771-4C16-8A09-28114A357D43}"/>
            </c:ext>
          </c:extLst>
        </c:ser>
        <c:dLbls>
          <c:showLegendKey val="0"/>
          <c:showVal val="0"/>
          <c:showCatName val="0"/>
          <c:showSerName val="0"/>
          <c:showPercent val="0"/>
          <c:showBubbleSize val="0"/>
        </c:dLbls>
        <c:gapWidth val="0"/>
        <c:axId val="1212380880"/>
        <c:axId val="958787344"/>
      </c:barChart>
      <c:catAx>
        <c:axId val="1212380880"/>
        <c:scaling>
          <c:orientation val="minMax"/>
        </c:scaling>
        <c:delete val="1"/>
        <c:axPos val="b"/>
        <c:numFmt formatCode="General" sourceLinked="1"/>
        <c:majorTickMark val="out"/>
        <c:minorTickMark val="none"/>
        <c:tickLblPos val="nextTo"/>
        <c:crossAx val="958787344"/>
        <c:crosses val="autoZero"/>
        <c:auto val="1"/>
        <c:lblAlgn val="ctr"/>
        <c:lblOffset val="100"/>
        <c:noMultiLvlLbl val="0"/>
      </c:catAx>
      <c:valAx>
        <c:axId val="958787344"/>
        <c:scaling>
          <c:orientation val="minMax"/>
          <c:max val="1"/>
          <c:min val="0"/>
        </c:scaling>
        <c:delete val="1"/>
        <c:axPos val="l"/>
        <c:numFmt formatCode="General" sourceLinked="1"/>
        <c:majorTickMark val="out"/>
        <c:minorTickMark val="none"/>
        <c:tickLblPos val="nextTo"/>
        <c:crossAx val="1212380880"/>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AN_Limits!$AB$20</c:f>
          <c:strCache>
            <c:ptCount val="1"/>
            <c:pt idx="0">
              <c:v>Ödenen / teminat tutarı dağılımı (dosya payı) / Distribution of paid / cover amount (share of cases)</c:v>
            </c:pt>
          </c:strCache>
        </c:strRef>
      </c:tx>
      <c:overlay val="0"/>
      <c:txPr>
        <a:bodyPr/>
        <a:lstStyle/>
        <a:p>
          <a:pPr>
            <a:defRPr sz="800" b="1"/>
          </a:pPr>
          <a:endParaRPr lang="en-US"/>
        </a:p>
      </c:txPr>
    </c:title>
    <c:autoTitleDeleted val="0"/>
    <c:plotArea>
      <c:layout/>
      <c:barChart>
        <c:barDir val="col"/>
        <c:grouping val="clustered"/>
        <c:varyColors val="0"/>
        <c:ser>
          <c:idx val="0"/>
          <c:order val="0"/>
          <c:tx>
            <c:v>share</c:v>
          </c:tx>
          <c:spPr>
            <a:solidFill>
              <a:srgbClr val="1F3864"/>
            </a:solidFill>
          </c:spPr>
          <c:invertIfNegative val="0"/>
          <c:cat>
            <c:strRef>
              <c:f>[0]!limCov_X</c:f>
              <c:strCache>
                <c:ptCount val="8"/>
                <c:pt idx="0">
                  <c:v>&lt; %10</c:v>
                </c:pt>
                <c:pt idx="1">
                  <c:v>%10-25</c:v>
                </c:pt>
                <c:pt idx="2">
                  <c:v>%25-50</c:v>
                </c:pt>
                <c:pt idx="3">
                  <c:v>%50-75</c:v>
                </c:pt>
                <c:pt idx="4">
                  <c:v>%75-90</c:v>
                </c:pt>
                <c:pt idx="5">
                  <c:v>%90-99</c:v>
                </c:pt>
                <c:pt idx="6">
                  <c:v>&gt;= %99</c:v>
                </c:pt>
                <c:pt idx="7">
                  <c:v>&gt; %100</c:v>
                </c:pt>
              </c:strCache>
            </c:strRef>
          </c:cat>
          <c:val>
            <c:numRef>
              <c:f>[0]!limCov_Y</c:f>
              <c:numCache>
                <c:formatCode>General</c:formatCode>
                <c:ptCount val="8"/>
                <c:pt idx="0">
                  <c:v>#N/A</c:v>
                </c:pt>
                <c:pt idx="1">
                  <c:v>#N/A</c:v>
                </c:pt>
                <c:pt idx="2">
                  <c:v>#N/A</c:v>
                </c:pt>
                <c:pt idx="3">
                  <c:v>#N/A</c:v>
                </c:pt>
                <c:pt idx="4">
                  <c:v>#N/A</c:v>
                </c:pt>
                <c:pt idx="5">
                  <c:v>#N/A</c:v>
                </c:pt>
                <c:pt idx="6">
                  <c:v>#N/A</c:v>
                </c:pt>
                <c:pt idx="7">
                  <c:v>#N/A</c:v>
                </c:pt>
              </c:numCache>
            </c:numRef>
          </c:val>
          <c:extLst>
            <c:ext xmlns:c16="http://schemas.microsoft.com/office/drawing/2014/chart" uri="{C3380CC4-5D6E-409C-BE32-E72D297353CC}">
              <c16:uniqueId val="{00000004-DA90-46FC-8262-E0F13429813D}"/>
            </c:ext>
          </c:extLst>
        </c:ser>
        <c:dLbls>
          <c:showLegendKey val="0"/>
          <c:showVal val="0"/>
          <c:showCatName val="0"/>
          <c:showSerName val="0"/>
          <c:showPercent val="0"/>
          <c:showBubbleSize val="0"/>
        </c:dLbls>
        <c:gapWidth val="40"/>
        <c:axId val="1212377168"/>
        <c:axId val="958758544"/>
      </c:barChart>
      <c:catAx>
        <c:axId val="1212377168"/>
        <c:scaling>
          <c:orientation val="minMax"/>
        </c:scaling>
        <c:delete val="0"/>
        <c:axPos val="b"/>
        <c:numFmt formatCode="General" sourceLinked="1"/>
        <c:majorTickMark val="out"/>
        <c:minorTickMark val="none"/>
        <c:tickLblPos val="nextTo"/>
        <c:txPr>
          <a:bodyPr/>
          <a:lstStyle/>
          <a:p>
            <a:pPr>
              <a:defRPr sz="700"/>
            </a:pPr>
            <a:endParaRPr lang="en-US"/>
          </a:p>
        </c:txPr>
        <c:crossAx val="958758544"/>
        <c:crosses val="autoZero"/>
        <c:auto val="1"/>
        <c:lblAlgn val="ctr"/>
        <c:lblOffset val="100"/>
        <c:noMultiLvlLbl val="0"/>
      </c:catAx>
      <c:valAx>
        <c:axId val="958758544"/>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1212377168"/>
        <c:crosses val="autoZero"/>
        <c:crossBetween val="between"/>
      </c:valAx>
    </c:plotArea>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AN_Limits!$AB$21</c:f>
          <c:strCache>
            <c:ptCount val="1"/>
            <c:pt idx="0">
              <c:v>Ödenen / ilk muallak dağılımı (dosya payı) / Distribution of paid / initial reserve (share of cases)</c:v>
            </c:pt>
          </c:strCache>
        </c:strRef>
      </c:tx>
      <c:overlay val="0"/>
      <c:txPr>
        <a:bodyPr/>
        <a:lstStyle/>
        <a:p>
          <a:pPr>
            <a:defRPr sz="800" b="1"/>
          </a:pPr>
          <a:endParaRPr lang="en-US"/>
        </a:p>
      </c:txPr>
    </c:title>
    <c:autoTitleDeleted val="0"/>
    <c:plotArea>
      <c:layout/>
      <c:barChart>
        <c:barDir val="col"/>
        <c:grouping val="clustered"/>
        <c:varyColors val="0"/>
        <c:ser>
          <c:idx val="0"/>
          <c:order val="0"/>
          <c:tx>
            <c:v>share</c:v>
          </c:tx>
          <c:spPr>
            <a:solidFill>
              <a:srgbClr val="E69F00"/>
            </a:solidFill>
          </c:spPr>
          <c:invertIfNegative val="0"/>
          <c:cat>
            <c:strRef>
              <c:f>[0]!limIr_X</c:f>
              <c:strCache>
                <c:ptCount val="6"/>
                <c:pt idx="0">
                  <c:v>&lt; %50</c:v>
                </c:pt>
                <c:pt idx="1">
                  <c:v>%50-80</c:v>
                </c:pt>
                <c:pt idx="2">
                  <c:v>%80-100</c:v>
                </c:pt>
                <c:pt idx="3">
                  <c:v>%100-120</c:v>
                </c:pt>
                <c:pt idx="4">
                  <c:v>%120-200</c:v>
                </c:pt>
                <c:pt idx="5">
                  <c:v>&gt; %200</c:v>
                </c:pt>
              </c:strCache>
            </c:strRef>
          </c:cat>
          <c:val>
            <c:numRef>
              <c:f>[0]!limIr_Y</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4-FCA5-4F7D-97B2-EE94324A25CE}"/>
            </c:ext>
          </c:extLst>
        </c:ser>
        <c:dLbls>
          <c:showLegendKey val="0"/>
          <c:showVal val="0"/>
          <c:showCatName val="0"/>
          <c:showSerName val="0"/>
          <c:showPercent val="0"/>
          <c:showBubbleSize val="0"/>
        </c:dLbls>
        <c:gapWidth val="40"/>
        <c:axId val="1212394800"/>
        <c:axId val="958780144"/>
      </c:barChart>
      <c:catAx>
        <c:axId val="1212394800"/>
        <c:scaling>
          <c:orientation val="minMax"/>
        </c:scaling>
        <c:delete val="0"/>
        <c:axPos val="b"/>
        <c:numFmt formatCode="General" sourceLinked="1"/>
        <c:majorTickMark val="out"/>
        <c:minorTickMark val="none"/>
        <c:tickLblPos val="nextTo"/>
        <c:txPr>
          <a:bodyPr/>
          <a:lstStyle/>
          <a:p>
            <a:pPr>
              <a:defRPr sz="700"/>
            </a:pPr>
            <a:endParaRPr lang="en-US"/>
          </a:p>
        </c:txPr>
        <c:crossAx val="958780144"/>
        <c:crosses val="autoZero"/>
        <c:auto val="1"/>
        <c:lblAlgn val="ctr"/>
        <c:lblOffset val="100"/>
        <c:noMultiLvlLbl val="0"/>
      </c:catAx>
      <c:valAx>
        <c:axId val="958780144"/>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1212394800"/>
        <c:crosses val="autoZero"/>
        <c:crossBetween val="between"/>
      </c:valAx>
    </c:plotArea>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AN_Calc!$FB$160</c:f>
              <c:numCache>
                <c:formatCode>General</c:formatCode>
                <c:ptCount val="1"/>
                <c:pt idx="0">
                  <c:v>1</c:v>
                </c:pt>
              </c:numCache>
            </c:numRef>
          </c:val>
          <c:extLst>
            <c:ext xmlns:c16="http://schemas.microsoft.com/office/drawing/2014/chart" uri="{C3380CC4-5D6E-409C-BE32-E72D297353CC}">
              <c16:uniqueId val="{00000004-7B68-4056-BDCB-040F729D0440}"/>
            </c:ext>
          </c:extLst>
        </c:ser>
        <c:dLbls>
          <c:showLegendKey val="0"/>
          <c:showVal val="0"/>
          <c:showCatName val="0"/>
          <c:showSerName val="0"/>
          <c:showPercent val="0"/>
          <c:showBubbleSize val="0"/>
        </c:dLbls>
        <c:gapWidth val="0"/>
        <c:axId val="1212391088"/>
        <c:axId val="958800304"/>
      </c:barChart>
      <c:catAx>
        <c:axId val="1212391088"/>
        <c:scaling>
          <c:orientation val="minMax"/>
        </c:scaling>
        <c:delete val="1"/>
        <c:axPos val="b"/>
        <c:numFmt formatCode="General" sourceLinked="1"/>
        <c:majorTickMark val="out"/>
        <c:minorTickMark val="none"/>
        <c:tickLblPos val="nextTo"/>
        <c:crossAx val="958800304"/>
        <c:crosses val="autoZero"/>
        <c:auto val="1"/>
        <c:lblAlgn val="ctr"/>
        <c:lblOffset val="100"/>
        <c:noMultiLvlLbl val="0"/>
      </c:catAx>
      <c:valAx>
        <c:axId val="958800304"/>
        <c:scaling>
          <c:orientation val="minMax"/>
          <c:max val="1"/>
          <c:min val="0"/>
        </c:scaling>
        <c:delete val="1"/>
        <c:axPos val="l"/>
        <c:numFmt formatCode="General" sourceLinked="1"/>
        <c:majorTickMark val="out"/>
        <c:minorTickMark val="none"/>
        <c:tickLblPos val="nextTo"/>
        <c:crossAx val="1212391088"/>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AN_Calc!$FB$160</c:f>
              <c:numCache>
                <c:formatCode>General</c:formatCode>
                <c:ptCount val="1"/>
                <c:pt idx="0">
                  <c:v>1</c:v>
                </c:pt>
              </c:numCache>
            </c:numRef>
          </c:val>
          <c:extLst>
            <c:ext xmlns:c16="http://schemas.microsoft.com/office/drawing/2014/chart" uri="{C3380CC4-5D6E-409C-BE32-E72D297353CC}">
              <c16:uniqueId val="{00000004-2535-4EEC-BB98-E721A2CF5DF9}"/>
            </c:ext>
          </c:extLst>
        </c:ser>
        <c:dLbls>
          <c:showLegendKey val="0"/>
          <c:showVal val="0"/>
          <c:showCatName val="0"/>
          <c:showSerName val="0"/>
          <c:showPercent val="0"/>
          <c:showBubbleSize val="0"/>
        </c:dLbls>
        <c:gapWidth val="0"/>
        <c:axId val="1212371600"/>
        <c:axId val="958714384"/>
      </c:barChart>
      <c:catAx>
        <c:axId val="1212371600"/>
        <c:scaling>
          <c:orientation val="minMax"/>
        </c:scaling>
        <c:delete val="1"/>
        <c:axPos val="b"/>
        <c:numFmt formatCode="General" sourceLinked="1"/>
        <c:majorTickMark val="out"/>
        <c:minorTickMark val="none"/>
        <c:tickLblPos val="nextTo"/>
        <c:crossAx val="958714384"/>
        <c:crosses val="autoZero"/>
        <c:auto val="1"/>
        <c:lblAlgn val="ctr"/>
        <c:lblOffset val="100"/>
        <c:noMultiLvlLbl val="0"/>
      </c:catAx>
      <c:valAx>
        <c:axId val="958714384"/>
        <c:scaling>
          <c:orientation val="minMax"/>
          <c:max val="1"/>
          <c:min val="0"/>
        </c:scaling>
        <c:delete val="1"/>
        <c:axPos val="l"/>
        <c:numFmt formatCode="General" sourceLinked="1"/>
        <c:majorTickMark val="out"/>
        <c:minorTickMark val="none"/>
        <c:tickLblPos val="nextTo"/>
        <c:crossAx val="1212371600"/>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AN_Anomaly!$BG$20</c:f>
          <c:strCache>
            <c:ptCount val="1"/>
            <c:pt idx="0">
              <c:v>: X-mR: aylık ödenen (bin TL), merkez ve 3σ sınırları (log ölçekte) / X-mR: monthly paid (TRY k), centre and 3σ limits (log scale)</c:v>
            </c:pt>
          </c:strCache>
        </c:strRef>
      </c:tx>
      <c:overlay val="0"/>
      <c:txPr>
        <a:bodyPr/>
        <a:lstStyle/>
        <a:p>
          <a:pPr>
            <a:defRPr sz="800" b="1"/>
          </a:pPr>
          <a:endParaRPr lang="en-US"/>
        </a:p>
      </c:txPr>
    </c:title>
    <c:autoTitleDeleted val="0"/>
    <c:plotArea>
      <c:layout/>
      <c:lineChart>
        <c:grouping val="standard"/>
        <c:varyColors val="0"/>
        <c:ser>
          <c:idx val="0"/>
          <c:order val="0"/>
          <c:tx>
            <c:v>Ödenen / Paid (k)</c:v>
          </c:tx>
          <c:spPr>
            <a:ln w="22225">
              <a:solidFill>
                <a:srgbClr val="1F3864"/>
              </a:solidFill>
            </a:ln>
          </c:spPr>
          <c:marker>
            <c:symbol val="circle"/>
            <c:size val="4"/>
            <c:spPr>
              <a:solidFill>
                <a:srgbClr val="1F3864"/>
              </a:solidFill>
              <a:ln w="22225">
                <a:solidFill>
                  <a:srgbClr val="1F3864"/>
                </a:solidFill>
                <a:prstDash val="solid"/>
              </a:ln>
            </c:spPr>
          </c:marker>
          <c:cat>
            <c:strRef>
              <c:f>[0]!anoX_M</c:f>
            </c:strRef>
          </c:cat>
          <c:val>
            <c:numRef>
              <c:f>[0]!anoX_P</c:f>
              <c:numCache>
                <c:formatCode>General</c:formatCode>
                <c:ptCount val="1"/>
                <c:pt idx="0">
                  <c:v>#N/A</c:v>
                </c:pt>
              </c:numCache>
            </c:numRef>
          </c:val>
          <c:smooth val="0"/>
          <c:extLst>
            <c:ext xmlns:c16="http://schemas.microsoft.com/office/drawing/2014/chart" uri="{C3380CC4-5D6E-409C-BE32-E72D297353CC}">
              <c16:uniqueId val="{00000004-E2EC-4F08-8D44-F4E930EF24A9}"/>
            </c:ext>
          </c:extLst>
        </c:ser>
        <c:ser>
          <c:idx val="1"/>
          <c:order val="1"/>
          <c:tx>
            <c:v>Merkez / Centre</c:v>
          </c:tx>
          <c:spPr>
            <a:ln w="12700">
              <a:solidFill>
                <a:srgbClr val="808080"/>
              </a:solidFill>
            </a:ln>
          </c:spPr>
          <c:marker>
            <c:symbol val="none"/>
          </c:marker>
          <c:cat>
            <c:strRef>
              <c:f>[0]!anoX_M</c:f>
            </c:strRef>
          </c:cat>
          <c:val>
            <c:numRef>
              <c:f>[0]!anoX_C</c:f>
              <c:numCache>
                <c:formatCode>General</c:formatCode>
                <c:ptCount val="1"/>
                <c:pt idx="0">
                  <c:v>#N/A</c:v>
                </c:pt>
              </c:numCache>
            </c:numRef>
          </c:val>
          <c:smooth val="0"/>
          <c:extLst>
            <c:ext xmlns:c16="http://schemas.microsoft.com/office/drawing/2014/chart" uri="{C3380CC4-5D6E-409C-BE32-E72D297353CC}">
              <c16:uniqueId val="{00000005-E2EC-4F08-8D44-F4E930EF24A9}"/>
            </c:ext>
          </c:extLst>
        </c:ser>
        <c:ser>
          <c:idx val="2"/>
          <c:order val="2"/>
          <c:tx>
            <c:v>UCL</c:v>
          </c:tx>
          <c:spPr>
            <a:ln w="12700">
              <a:solidFill>
                <a:srgbClr val="9C0006"/>
              </a:solidFill>
              <a:prstDash val="dash"/>
            </a:ln>
          </c:spPr>
          <c:marker>
            <c:symbol val="none"/>
          </c:marker>
          <c:cat>
            <c:strRef>
              <c:f>[0]!anoX_M</c:f>
            </c:strRef>
          </c:cat>
          <c:val>
            <c:numRef>
              <c:f>[0]!anoX_U</c:f>
              <c:numCache>
                <c:formatCode>General</c:formatCode>
                <c:ptCount val="1"/>
                <c:pt idx="0">
                  <c:v>#N/A</c:v>
                </c:pt>
              </c:numCache>
            </c:numRef>
          </c:val>
          <c:smooth val="0"/>
          <c:extLst>
            <c:ext xmlns:c16="http://schemas.microsoft.com/office/drawing/2014/chart" uri="{C3380CC4-5D6E-409C-BE32-E72D297353CC}">
              <c16:uniqueId val="{00000006-E2EC-4F08-8D44-F4E930EF24A9}"/>
            </c:ext>
          </c:extLst>
        </c:ser>
        <c:ser>
          <c:idx val="3"/>
          <c:order val="3"/>
          <c:tx>
            <c:v>LCL</c:v>
          </c:tx>
          <c:spPr>
            <a:ln w="12700">
              <a:solidFill>
                <a:srgbClr val="9C0006"/>
              </a:solidFill>
              <a:prstDash val="dash"/>
            </a:ln>
          </c:spPr>
          <c:marker>
            <c:symbol val="none"/>
          </c:marker>
          <c:cat>
            <c:strRef>
              <c:f>[0]!anoX_M</c:f>
            </c:strRef>
          </c:cat>
          <c:val>
            <c:numRef>
              <c:f>[0]!anoX_L</c:f>
              <c:numCache>
                <c:formatCode>General</c:formatCode>
                <c:ptCount val="1"/>
                <c:pt idx="0">
                  <c:v>#N/A</c:v>
                </c:pt>
              </c:numCache>
            </c:numRef>
          </c:val>
          <c:smooth val="0"/>
          <c:extLst>
            <c:ext xmlns:c16="http://schemas.microsoft.com/office/drawing/2014/chart" uri="{C3380CC4-5D6E-409C-BE32-E72D297353CC}">
              <c16:uniqueId val="{00000007-E2EC-4F08-8D44-F4E930EF24A9}"/>
            </c:ext>
          </c:extLst>
        </c:ser>
        <c:dLbls>
          <c:showLegendKey val="0"/>
          <c:showVal val="0"/>
          <c:showCatName val="0"/>
          <c:showSerName val="0"/>
          <c:showPercent val="0"/>
          <c:showBubbleSize val="0"/>
        </c:dLbls>
        <c:marker val="1"/>
        <c:smooth val="0"/>
        <c:axId val="315874896"/>
        <c:axId val="237937200"/>
      </c:lineChart>
      <c:catAx>
        <c:axId val="315874896"/>
        <c:scaling>
          <c:orientation val="minMax"/>
        </c:scaling>
        <c:delete val="0"/>
        <c:axPos val="b"/>
        <c:numFmt formatCode="General" sourceLinked="1"/>
        <c:majorTickMark val="out"/>
        <c:minorTickMark val="none"/>
        <c:tickLblPos val="nextTo"/>
        <c:txPr>
          <a:bodyPr rot="-5400000" vert="horz"/>
          <a:lstStyle/>
          <a:p>
            <a:pPr>
              <a:defRPr sz="700"/>
            </a:pPr>
            <a:endParaRPr lang="en-US"/>
          </a:p>
        </c:txPr>
        <c:crossAx val="237937200"/>
        <c:crosses val="autoZero"/>
        <c:auto val="1"/>
        <c:lblAlgn val="ctr"/>
        <c:lblOffset val="100"/>
        <c:noMultiLvlLbl val="0"/>
      </c:catAx>
      <c:valAx>
        <c:axId val="237937200"/>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315874896"/>
        <c:crosses val="autoZero"/>
        <c:crossBetween val="between"/>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AN_Anomaly!$BG$21</c:f>
          <c:strCache>
            <c:ptCount val="1"/>
            <c:pt idx="0">
              <c:v>: CUSUM: log ödenen, standartlaştırılmış (S+ / S−, h) / CUSUM: log paid, standardised (S+ / S−, h)</c:v>
            </c:pt>
          </c:strCache>
        </c:strRef>
      </c:tx>
      <c:overlay val="0"/>
      <c:txPr>
        <a:bodyPr/>
        <a:lstStyle/>
        <a:p>
          <a:pPr>
            <a:defRPr sz="800" b="1"/>
          </a:pPr>
          <a:endParaRPr lang="en-US"/>
        </a:p>
      </c:txPr>
    </c:title>
    <c:autoTitleDeleted val="0"/>
    <c:plotArea>
      <c:layout/>
      <c:lineChart>
        <c:grouping val="standard"/>
        <c:varyColors val="0"/>
        <c:ser>
          <c:idx val="0"/>
          <c:order val="0"/>
          <c:tx>
            <c:v>S+</c:v>
          </c:tx>
          <c:spPr>
            <a:ln w="22225">
              <a:solidFill>
                <a:srgbClr val="E69F00"/>
              </a:solidFill>
            </a:ln>
          </c:spPr>
          <c:marker>
            <c:symbol val="circle"/>
            <c:size val="4"/>
            <c:spPr>
              <a:solidFill>
                <a:srgbClr val="E69F00"/>
              </a:solidFill>
              <a:ln w="22225">
                <a:solidFill>
                  <a:srgbClr val="E69F00"/>
                </a:solidFill>
                <a:prstDash val="solid"/>
              </a:ln>
            </c:spPr>
          </c:marker>
          <c:cat>
            <c:strRef>
              <c:f>[0]!anoC_M</c:f>
            </c:strRef>
          </c:cat>
          <c:val>
            <c:numRef>
              <c:f>[0]!anoC_P</c:f>
              <c:numCache>
                <c:formatCode>General</c:formatCode>
                <c:ptCount val="1"/>
                <c:pt idx="0">
                  <c:v>#N/A</c:v>
                </c:pt>
              </c:numCache>
            </c:numRef>
          </c:val>
          <c:smooth val="0"/>
          <c:extLst>
            <c:ext xmlns:c16="http://schemas.microsoft.com/office/drawing/2014/chart" uri="{C3380CC4-5D6E-409C-BE32-E72D297353CC}">
              <c16:uniqueId val="{00000004-A44F-4036-83C3-CE8FC659A4AC}"/>
            </c:ext>
          </c:extLst>
        </c:ser>
        <c:ser>
          <c:idx val="1"/>
          <c:order val="1"/>
          <c:tx>
            <c:v>S−</c:v>
          </c:tx>
          <c:spPr>
            <a:ln w="22225">
              <a:solidFill>
                <a:srgbClr val="CC7999"/>
              </a:solidFill>
            </a:ln>
          </c:spPr>
          <c:marker>
            <c:symbol val="circle"/>
            <c:size val="4"/>
            <c:spPr>
              <a:solidFill>
                <a:srgbClr val="CC7999"/>
              </a:solidFill>
              <a:ln w="22225">
                <a:solidFill>
                  <a:srgbClr val="CC7999"/>
                </a:solidFill>
                <a:prstDash val="solid"/>
              </a:ln>
            </c:spPr>
          </c:marker>
          <c:cat>
            <c:strRef>
              <c:f>[0]!anoC_M</c:f>
            </c:strRef>
          </c:cat>
          <c:val>
            <c:numRef>
              <c:f>[0]!anoC_N</c:f>
              <c:numCache>
                <c:formatCode>General</c:formatCode>
                <c:ptCount val="1"/>
                <c:pt idx="0">
                  <c:v>#N/A</c:v>
                </c:pt>
              </c:numCache>
            </c:numRef>
          </c:val>
          <c:smooth val="0"/>
          <c:extLst>
            <c:ext xmlns:c16="http://schemas.microsoft.com/office/drawing/2014/chart" uri="{C3380CC4-5D6E-409C-BE32-E72D297353CC}">
              <c16:uniqueId val="{00000005-A44F-4036-83C3-CE8FC659A4AC}"/>
            </c:ext>
          </c:extLst>
        </c:ser>
        <c:ser>
          <c:idx val="2"/>
          <c:order val="2"/>
          <c:tx>
            <c:v>h</c:v>
          </c:tx>
          <c:spPr>
            <a:ln w="12700">
              <a:solidFill>
                <a:srgbClr val="9C0006"/>
              </a:solidFill>
              <a:prstDash val="dash"/>
            </a:ln>
          </c:spPr>
          <c:marker>
            <c:symbol val="none"/>
          </c:marker>
          <c:cat>
            <c:strRef>
              <c:f>[0]!anoC_M</c:f>
            </c:strRef>
          </c:cat>
          <c:val>
            <c:numRef>
              <c:f>[0]!anoC_H</c:f>
              <c:numCache>
                <c:formatCode>General</c:formatCode>
                <c:ptCount val="1"/>
                <c:pt idx="0">
                  <c:v>#N/A</c:v>
                </c:pt>
              </c:numCache>
            </c:numRef>
          </c:val>
          <c:smooth val="0"/>
          <c:extLst>
            <c:ext xmlns:c16="http://schemas.microsoft.com/office/drawing/2014/chart" uri="{C3380CC4-5D6E-409C-BE32-E72D297353CC}">
              <c16:uniqueId val="{00000006-A44F-4036-83C3-CE8FC659A4AC}"/>
            </c:ext>
          </c:extLst>
        </c:ser>
        <c:dLbls>
          <c:showLegendKey val="0"/>
          <c:showVal val="0"/>
          <c:showCatName val="0"/>
          <c:showSerName val="0"/>
          <c:showPercent val="0"/>
          <c:showBubbleSize val="0"/>
        </c:dLbls>
        <c:marker val="1"/>
        <c:smooth val="0"/>
        <c:axId val="315880928"/>
        <c:axId val="237935760"/>
      </c:lineChart>
      <c:catAx>
        <c:axId val="315880928"/>
        <c:scaling>
          <c:orientation val="minMax"/>
        </c:scaling>
        <c:delete val="0"/>
        <c:axPos val="b"/>
        <c:numFmt formatCode="General" sourceLinked="1"/>
        <c:majorTickMark val="out"/>
        <c:minorTickMark val="none"/>
        <c:tickLblPos val="nextTo"/>
        <c:txPr>
          <a:bodyPr rot="-5400000" vert="horz"/>
          <a:lstStyle/>
          <a:p>
            <a:pPr>
              <a:defRPr sz="700"/>
            </a:pPr>
            <a:endParaRPr lang="en-US"/>
          </a:p>
        </c:txPr>
        <c:crossAx val="237935760"/>
        <c:crosses val="autoZero"/>
        <c:auto val="1"/>
        <c:lblAlgn val="ctr"/>
        <c:lblOffset val="100"/>
        <c:noMultiLvlLbl val="0"/>
      </c:catAx>
      <c:valAx>
        <c:axId val="237935760"/>
        <c:scaling>
          <c:orientation val="minMax"/>
        </c:scaling>
        <c:delete val="0"/>
        <c:axPos val="l"/>
        <c:majorGridlines>
          <c:spPr>
            <a:ln>
              <a:solidFill>
                <a:srgbClr val="E6E6E6"/>
              </a:solidFill>
            </a:ln>
          </c:spPr>
        </c:majorGridlines>
        <c:numFmt formatCode="0.0" sourceLinked="0"/>
        <c:majorTickMark val="out"/>
        <c:minorTickMark val="none"/>
        <c:tickLblPos val="nextTo"/>
        <c:txPr>
          <a:bodyPr/>
          <a:lstStyle/>
          <a:p>
            <a:pPr>
              <a:defRPr sz="700"/>
            </a:pPr>
            <a:endParaRPr lang="en-US"/>
          </a:p>
        </c:txPr>
        <c:crossAx val="315880928"/>
        <c:crosses val="autoZero"/>
        <c:crossBetween val="between"/>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AN_Anomaly!$BG$22</c:f>
          <c:strCache>
            <c:ptCount val="1"/>
            <c:pt idx="0">
              <c:v>, : Benford: ilk hane payı, seçilen ay (gözlenen / beklenen) / Benford: first-digit share, selected month (observed / expected)</c:v>
            </c:pt>
          </c:strCache>
        </c:strRef>
      </c:tx>
      <c:overlay val="0"/>
      <c:txPr>
        <a:bodyPr/>
        <a:lstStyle/>
        <a:p>
          <a:pPr>
            <a:defRPr sz="800" b="1"/>
          </a:pPr>
          <a:endParaRPr lang="en-US"/>
        </a:p>
      </c:txPr>
    </c:title>
    <c:autoTitleDeleted val="0"/>
    <c:plotArea>
      <c:layout/>
      <c:barChart>
        <c:barDir val="col"/>
        <c:grouping val="clustered"/>
        <c:varyColors val="0"/>
        <c:ser>
          <c:idx val="0"/>
          <c:order val="0"/>
          <c:tx>
            <c:v>Gözlenen / Observed</c:v>
          </c:tx>
          <c:spPr>
            <a:solidFill>
              <a:srgbClr val="1F3864"/>
            </a:solidFill>
          </c:spPr>
          <c:invertIfNegative val="0"/>
          <c:cat>
            <c:numRef>
              <c:f>[0]!anoB_D</c:f>
              <c:numCache>
                <c:formatCode>General</c:formatCode>
                <c:ptCount val="9"/>
                <c:pt idx="0">
                  <c:v>1</c:v>
                </c:pt>
                <c:pt idx="1">
                  <c:v>2</c:v>
                </c:pt>
                <c:pt idx="2">
                  <c:v>3</c:v>
                </c:pt>
                <c:pt idx="3">
                  <c:v>4</c:v>
                </c:pt>
                <c:pt idx="4">
                  <c:v>5</c:v>
                </c:pt>
                <c:pt idx="5">
                  <c:v>6</c:v>
                </c:pt>
                <c:pt idx="6">
                  <c:v>7</c:v>
                </c:pt>
                <c:pt idx="7">
                  <c:v>8</c:v>
                </c:pt>
                <c:pt idx="8">
                  <c:v>9</c:v>
                </c:pt>
              </c:numCache>
            </c:numRef>
          </c:cat>
          <c:val>
            <c:numRef>
              <c:f>[0]!anoB_O</c:f>
              <c:numCache>
                <c:formatCode>General</c:formatCode>
                <c:ptCount val="9"/>
                <c:pt idx="0">
                  <c:v>#N/A</c:v>
                </c:pt>
                <c:pt idx="1">
                  <c:v>#N/A</c:v>
                </c:pt>
                <c:pt idx="2">
                  <c:v>#N/A</c:v>
                </c:pt>
                <c:pt idx="3">
                  <c:v>#N/A</c:v>
                </c:pt>
                <c:pt idx="4">
                  <c:v>#N/A</c:v>
                </c:pt>
                <c:pt idx="5">
                  <c:v>#N/A</c:v>
                </c:pt>
                <c:pt idx="6">
                  <c:v>#N/A</c:v>
                </c:pt>
                <c:pt idx="7">
                  <c:v>#N/A</c:v>
                </c:pt>
                <c:pt idx="8">
                  <c:v>#N/A</c:v>
                </c:pt>
              </c:numCache>
            </c:numRef>
          </c:val>
          <c:extLst>
            <c:ext xmlns:c16="http://schemas.microsoft.com/office/drawing/2014/chart" uri="{C3380CC4-5D6E-409C-BE32-E72D297353CC}">
              <c16:uniqueId val="{00000004-B7D0-4130-AA2D-AE8298E75ECF}"/>
            </c:ext>
          </c:extLst>
        </c:ser>
        <c:dLbls>
          <c:showLegendKey val="0"/>
          <c:showVal val="0"/>
          <c:showCatName val="0"/>
          <c:showSerName val="0"/>
          <c:showPercent val="0"/>
          <c:showBubbleSize val="0"/>
        </c:dLbls>
        <c:gapWidth val="40"/>
        <c:axId val="315883712"/>
        <c:axId val="237939120"/>
      </c:barChart>
      <c:lineChart>
        <c:grouping val="standard"/>
        <c:varyColors val="0"/>
        <c:ser>
          <c:idx val="1"/>
          <c:order val="1"/>
          <c:tx>
            <c:v>Benford</c:v>
          </c:tx>
          <c:spPr>
            <a:ln w="19050">
              <a:solidFill>
                <a:srgbClr val="9C0006"/>
              </a:solidFill>
            </a:ln>
          </c:spPr>
          <c:marker>
            <c:symbol val="circle"/>
            <c:size val="4"/>
            <c:spPr>
              <a:solidFill>
                <a:srgbClr val="9C0006"/>
              </a:solidFill>
              <a:ln w="19050">
                <a:solidFill>
                  <a:srgbClr val="9C0006"/>
                </a:solidFill>
                <a:prstDash val="solid"/>
              </a:ln>
            </c:spPr>
          </c:marker>
          <c:cat>
            <c:numRef>
              <c:f>[0]!anoB_D</c:f>
              <c:numCache>
                <c:formatCode>General</c:formatCode>
                <c:ptCount val="9"/>
                <c:pt idx="0">
                  <c:v>1</c:v>
                </c:pt>
                <c:pt idx="1">
                  <c:v>2</c:v>
                </c:pt>
                <c:pt idx="2">
                  <c:v>3</c:v>
                </c:pt>
                <c:pt idx="3">
                  <c:v>4</c:v>
                </c:pt>
                <c:pt idx="4">
                  <c:v>5</c:v>
                </c:pt>
                <c:pt idx="5">
                  <c:v>6</c:v>
                </c:pt>
                <c:pt idx="6">
                  <c:v>7</c:v>
                </c:pt>
                <c:pt idx="7">
                  <c:v>8</c:v>
                </c:pt>
                <c:pt idx="8">
                  <c:v>9</c:v>
                </c:pt>
              </c:numCache>
            </c:numRef>
          </c:cat>
          <c:val>
            <c:numRef>
              <c:f>[0]!anoB_E</c:f>
              <c:numCache>
                <c:formatCode>General</c:formatCode>
                <c:ptCount val="9"/>
                <c:pt idx="0">
                  <c:v>0.3010299956639812</c:v>
                </c:pt>
                <c:pt idx="1">
                  <c:v>0.17609125905568124</c:v>
                </c:pt>
                <c:pt idx="2">
                  <c:v>0.12493873660829993</c:v>
                </c:pt>
                <c:pt idx="3">
                  <c:v>9.691001300805642E-2</c:v>
                </c:pt>
                <c:pt idx="4">
                  <c:v>7.9181246047624818E-2</c:v>
                </c:pt>
                <c:pt idx="5">
                  <c:v>6.6946789630613221E-2</c:v>
                </c:pt>
                <c:pt idx="6">
                  <c:v>5.7991946977686733E-2</c:v>
                </c:pt>
                <c:pt idx="7">
                  <c:v>5.1152522447381291E-2</c:v>
                </c:pt>
                <c:pt idx="8">
                  <c:v>4.5757490560675143E-2</c:v>
                </c:pt>
              </c:numCache>
            </c:numRef>
          </c:val>
          <c:smooth val="0"/>
          <c:extLst>
            <c:ext xmlns:c16="http://schemas.microsoft.com/office/drawing/2014/chart" uri="{C3380CC4-5D6E-409C-BE32-E72D297353CC}">
              <c16:uniqueId val="{00000005-B7D0-4130-AA2D-AE8298E75ECF}"/>
            </c:ext>
          </c:extLst>
        </c:ser>
        <c:dLbls>
          <c:showLegendKey val="0"/>
          <c:showVal val="0"/>
          <c:showCatName val="0"/>
          <c:showSerName val="0"/>
          <c:showPercent val="0"/>
          <c:showBubbleSize val="0"/>
        </c:dLbls>
        <c:marker val="1"/>
        <c:smooth val="0"/>
        <c:axId val="315883712"/>
        <c:axId val="237939120"/>
      </c:lineChart>
      <c:catAx>
        <c:axId val="315883712"/>
        <c:scaling>
          <c:orientation val="minMax"/>
        </c:scaling>
        <c:delete val="0"/>
        <c:axPos val="b"/>
        <c:numFmt formatCode="General" sourceLinked="1"/>
        <c:majorTickMark val="out"/>
        <c:minorTickMark val="none"/>
        <c:tickLblPos val="nextTo"/>
        <c:txPr>
          <a:bodyPr/>
          <a:lstStyle/>
          <a:p>
            <a:pPr>
              <a:defRPr sz="700"/>
            </a:pPr>
            <a:endParaRPr lang="en-US"/>
          </a:p>
        </c:txPr>
        <c:crossAx val="237939120"/>
        <c:crosses val="autoZero"/>
        <c:auto val="1"/>
        <c:lblAlgn val="ctr"/>
        <c:lblOffset val="100"/>
        <c:noMultiLvlLbl val="0"/>
      </c:catAx>
      <c:valAx>
        <c:axId val="237939120"/>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315883712"/>
        <c:crosses val="autoZero"/>
        <c:crossBetween val="between"/>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AN_Calc!$FB$200</c:f>
              <c:numCache>
                <c:formatCode>General</c:formatCode>
                <c:ptCount val="1"/>
                <c:pt idx="0">
                  <c:v>1</c:v>
                </c:pt>
              </c:numCache>
            </c:numRef>
          </c:val>
          <c:extLst>
            <c:ext xmlns:c16="http://schemas.microsoft.com/office/drawing/2014/chart" uri="{C3380CC4-5D6E-409C-BE32-E72D297353CC}">
              <c16:uniqueId val="{00000004-26F7-44B9-A6AF-2E6A8BE1A6F4}"/>
            </c:ext>
          </c:extLst>
        </c:ser>
        <c:dLbls>
          <c:showLegendKey val="0"/>
          <c:showVal val="0"/>
          <c:showCatName val="0"/>
          <c:showSerName val="0"/>
          <c:showPercent val="0"/>
          <c:showBubbleSize val="0"/>
        </c:dLbls>
        <c:gapWidth val="0"/>
        <c:axId val="315885568"/>
        <c:axId val="237945840"/>
      </c:barChart>
      <c:catAx>
        <c:axId val="315885568"/>
        <c:scaling>
          <c:orientation val="minMax"/>
        </c:scaling>
        <c:delete val="1"/>
        <c:axPos val="b"/>
        <c:numFmt formatCode="General" sourceLinked="1"/>
        <c:majorTickMark val="out"/>
        <c:minorTickMark val="none"/>
        <c:tickLblPos val="nextTo"/>
        <c:crossAx val="237945840"/>
        <c:crosses val="autoZero"/>
        <c:auto val="1"/>
        <c:lblAlgn val="ctr"/>
        <c:lblOffset val="100"/>
        <c:noMultiLvlLbl val="0"/>
      </c:catAx>
      <c:valAx>
        <c:axId val="237945840"/>
        <c:scaling>
          <c:orientation val="minMax"/>
          <c:max val="1"/>
          <c:min val="0"/>
        </c:scaling>
        <c:delete val="1"/>
        <c:axPos val="l"/>
        <c:numFmt formatCode="General" sourceLinked="1"/>
        <c:majorTickMark val="out"/>
        <c:minorTickMark val="none"/>
        <c:tickLblPos val="nextTo"/>
        <c:crossAx val="315885568"/>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FFFFFF"/>
            </a:solidFill>
            <a:ln w="12700">
              <a:solidFill>
                <a:srgbClr val="808080"/>
              </a:solidFill>
            </a:ln>
          </c:spPr>
          <c:invertIfNegative val="0"/>
          <c:cat>
            <c:numLit>
              <c:formatCode>General</c:formatCode>
              <c:ptCount val="1"/>
              <c:pt idx="0">
                <c:v>1</c:v>
              </c:pt>
            </c:numLit>
          </c:cat>
          <c:val>
            <c:numRef>
              <c:f>AN_Calc!$FB$200</c:f>
              <c:numCache>
                <c:formatCode>General</c:formatCode>
                <c:ptCount val="1"/>
                <c:pt idx="0">
                  <c:v>1</c:v>
                </c:pt>
              </c:numCache>
            </c:numRef>
          </c:val>
          <c:extLst>
            <c:ext xmlns:c16="http://schemas.microsoft.com/office/drawing/2014/chart" uri="{C3380CC4-5D6E-409C-BE32-E72D297353CC}">
              <c16:uniqueId val="{00000004-4D29-448A-BAB1-54D2221CCF5D}"/>
            </c:ext>
          </c:extLst>
        </c:ser>
        <c:dLbls>
          <c:showLegendKey val="0"/>
          <c:showVal val="0"/>
          <c:showCatName val="0"/>
          <c:showSerName val="0"/>
          <c:showPercent val="0"/>
          <c:showBubbleSize val="0"/>
        </c:dLbls>
        <c:gapWidth val="0"/>
        <c:axId val="315642896"/>
        <c:axId val="237936720"/>
      </c:barChart>
      <c:catAx>
        <c:axId val="315642896"/>
        <c:scaling>
          <c:orientation val="minMax"/>
        </c:scaling>
        <c:delete val="1"/>
        <c:axPos val="b"/>
        <c:numFmt formatCode="General" sourceLinked="1"/>
        <c:majorTickMark val="out"/>
        <c:minorTickMark val="none"/>
        <c:tickLblPos val="nextTo"/>
        <c:crossAx val="237936720"/>
        <c:crosses val="autoZero"/>
        <c:auto val="1"/>
        <c:lblAlgn val="ctr"/>
        <c:lblOffset val="100"/>
        <c:noMultiLvlLbl val="0"/>
      </c:catAx>
      <c:valAx>
        <c:axId val="237936720"/>
        <c:scaling>
          <c:orientation val="minMax"/>
          <c:max val="1"/>
          <c:min val="0"/>
        </c:scaling>
        <c:delete val="1"/>
        <c:axPos val="l"/>
        <c:numFmt formatCode="General" sourceLinked="1"/>
        <c:majorTickMark val="out"/>
        <c:minorTickMark val="none"/>
        <c:tickLblPos val="nextTo"/>
        <c:crossAx val="315642896"/>
        <c:crosses val="autoZero"/>
        <c:crossBetween val="between"/>
      </c:valAx>
      <c:spPr>
        <a:noFill/>
        <a:ln>
          <a:noFill/>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a:noFill/>
            </a14:hiddenLine>
          </a:ext>
        </a:ex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prstDash val="solid"/>
      <a:round/>
    </a:ln>
    <a:effectLst/>
    <a:extLst>
      <a:ext uri="{909E8E84-426E-40DD-AFC4-6F175D3DCCD1}">
        <a14:hiddenFill xmlns:a14="http://schemas.microsoft.com/office/drawing/2010/main">
          <a:solidFill>
            <a:sysClr val="window" lastClr="FFFFFF"/>
          </a:solidFill>
        </a14:hiddenFill>
      </a:ex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AN_Backtest!$AB$20</c:f>
          <c:strCache>
            <c:ptCount val="1"/>
            <c:pt idx="0">
              <c:v>VERİ YETERSİZ: 0 ay veri var; test için en az 24 ay eğitim + 3 ay ufuk gerekir
INSUFFICIENT DATA: 0 months of data; the test needs at least 24 training months + 3 horizon months</c:v>
            </c:pt>
          </c:strCache>
        </c:strRef>
      </c:tx>
      <c:overlay val="0"/>
      <c:txPr>
        <a:bodyPr/>
        <a:lstStyle/>
        <a:p>
          <a:pPr>
            <a:defRPr sz="800" b="1"/>
          </a:pPr>
          <a:endParaRPr lang="en-US"/>
        </a:p>
      </c:txPr>
    </c:title>
    <c:autoTitleDeleted val="0"/>
    <c:plotArea>
      <c:layout/>
      <c:lineChart>
        <c:grouping val="standard"/>
        <c:varyColors val="0"/>
        <c:ser>
          <c:idx val="0"/>
          <c:order val="0"/>
          <c:tx>
            <c:v>Gerçekleşen / Actual</c:v>
          </c:tx>
          <c:spPr>
            <a:ln w="25400">
              <a:solidFill>
                <a:srgbClr val="1F3864"/>
              </a:solidFill>
            </a:ln>
          </c:spPr>
          <c:marker>
            <c:symbol val="circle"/>
            <c:size val="3"/>
            <c:spPr>
              <a:ln w="25400">
                <a:solidFill>
                  <a:srgbClr val="1F3864"/>
                </a:solidFill>
              </a:ln>
            </c:spPr>
          </c:marker>
          <c:cat>
            <c:strRef>
              <c:f>[0]!btX</c:f>
              <c:strCache>
                <c:ptCount val="1"/>
                <c:pt idx="0">
                  <c:v>-</c:v>
                </c:pt>
              </c:strCache>
            </c:strRef>
          </c:cat>
          <c:val>
            <c:numRef>
              <c:f>[0]!btA</c:f>
              <c:numCache>
                <c:formatCode>General</c:formatCode>
                <c:ptCount val="1"/>
                <c:pt idx="0">
                  <c:v>0</c:v>
                </c:pt>
              </c:numCache>
            </c:numRef>
          </c:val>
          <c:smooth val="0"/>
          <c:extLst>
            <c:ext xmlns:c16="http://schemas.microsoft.com/office/drawing/2014/chart" uri="{C3380CC4-5D6E-409C-BE32-E72D297353CC}">
              <c16:uniqueId val="{0000000E-4454-4738-869F-61D4D9BBD855}"/>
            </c:ext>
          </c:extLst>
        </c:ser>
        <c:ser>
          <c:idx val="1"/>
          <c:order val="1"/>
          <c:tx>
            <c:v>Tahmin / Forecast</c:v>
          </c:tx>
          <c:spPr>
            <a:ln w="22225">
              <a:solidFill>
                <a:srgbClr val="E69F00"/>
              </a:solidFill>
            </a:ln>
          </c:spPr>
          <c:marker>
            <c:symbol val="circle"/>
            <c:size val="3"/>
            <c:spPr>
              <a:ln w="22225">
                <a:solidFill>
                  <a:srgbClr val="E69F00"/>
                </a:solidFill>
              </a:ln>
            </c:spPr>
          </c:marker>
          <c:cat>
            <c:strRef>
              <c:f>[0]!btX</c:f>
              <c:strCache>
                <c:ptCount val="1"/>
                <c:pt idx="0">
                  <c:v>-</c:v>
                </c:pt>
              </c:strCache>
            </c:strRef>
          </c:cat>
          <c:val>
            <c:numRef>
              <c:f>[0]!btF</c:f>
              <c:numCache>
                <c:formatCode>General</c:formatCode>
                <c:ptCount val="1"/>
                <c:pt idx="0">
                  <c:v>0</c:v>
                </c:pt>
              </c:numCache>
            </c:numRef>
          </c:val>
          <c:smooth val="0"/>
          <c:extLst>
            <c:ext xmlns:c16="http://schemas.microsoft.com/office/drawing/2014/chart" uri="{C3380CC4-5D6E-409C-BE32-E72D297353CC}">
              <c16:uniqueId val="{0000000F-4454-4738-869F-61D4D9BBD855}"/>
            </c:ext>
          </c:extLst>
        </c:ser>
        <c:ser>
          <c:idx val="2"/>
          <c:order val="2"/>
          <c:tx>
            <c:v>Alt / Lower</c:v>
          </c:tx>
          <c:spPr>
            <a:ln w="12700">
              <a:solidFill>
                <a:srgbClr val="A6A6A6"/>
              </a:solidFill>
              <a:prstDash val="dash"/>
            </a:ln>
          </c:spPr>
          <c:marker>
            <c:symbol val="none"/>
          </c:marker>
          <c:cat>
            <c:strRef>
              <c:f>[0]!btX</c:f>
              <c:strCache>
                <c:ptCount val="1"/>
                <c:pt idx="0">
                  <c:v>-</c:v>
                </c:pt>
              </c:strCache>
            </c:strRef>
          </c:cat>
          <c:val>
            <c:numRef>
              <c:f>[0]!btL</c:f>
              <c:numCache>
                <c:formatCode>General</c:formatCode>
                <c:ptCount val="1"/>
                <c:pt idx="0">
                  <c:v>0</c:v>
                </c:pt>
              </c:numCache>
            </c:numRef>
          </c:val>
          <c:smooth val="0"/>
          <c:extLst>
            <c:ext xmlns:c16="http://schemas.microsoft.com/office/drawing/2014/chart" uri="{C3380CC4-5D6E-409C-BE32-E72D297353CC}">
              <c16:uniqueId val="{00000010-4454-4738-869F-61D4D9BBD855}"/>
            </c:ext>
          </c:extLst>
        </c:ser>
        <c:ser>
          <c:idx val="3"/>
          <c:order val="3"/>
          <c:tx>
            <c:v>Üst / Upper</c:v>
          </c:tx>
          <c:spPr>
            <a:ln w="12700">
              <a:solidFill>
                <a:srgbClr val="A6A6A6"/>
              </a:solidFill>
              <a:prstDash val="dash"/>
            </a:ln>
          </c:spPr>
          <c:marker>
            <c:symbol val="none"/>
          </c:marker>
          <c:cat>
            <c:strRef>
              <c:f>[0]!btX</c:f>
              <c:strCache>
                <c:ptCount val="1"/>
                <c:pt idx="0">
                  <c:v>-</c:v>
                </c:pt>
              </c:strCache>
            </c:strRef>
          </c:cat>
          <c:val>
            <c:numRef>
              <c:f>[0]!btU</c:f>
              <c:numCache>
                <c:formatCode>General</c:formatCode>
                <c:ptCount val="1"/>
                <c:pt idx="0">
                  <c:v>0</c:v>
                </c:pt>
              </c:numCache>
            </c:numRef>
          </c:val>
          <c:smooth val="0"/>
          <c:extLst>
            <c:ext xmlns:c16="http://schemas.microsoft.com/office/drawing/2014/chart" uri="{C3380CC4-5D6E-409C-BE32-E72D297353CC}">
              <c16:uniqueId val="{00000011-4454-4738-869F-61D4D9BBD855}"/>
            </c:ext>
          </c:extLst>
        </c:ser>
        <c:dLbls>
          <c:showLegendKey val="0"/>
          <c:showVal val="0"/>
          <c:showCatName val="0"/>
          <c:showSerName val="0"/>
          <c:showPercent val="0"/>
          <c:showBubbleSize val="0"/>
        </c:dLbls>
        <c:marker val="1"/>
        <c:smooth val="0"/>
        <c:axId val="1579799552"/>
        <c:axId val="1614312912"/>
      </c:lineChart>
      <c:catAx>
        <c:axId val="1579799552"/>
        <c:scaling>
          <c:orientation val="minMax"/>
        </c:scaling>
        <c:delete val="0"/>
        <c:axPos val="b"/>
        <c:numFmt formatCode="General" sourceLinked="1"/>
        <c:majorTickMark val="out"/>
        <c:minorTickMark val="none"/>
        <c:tickLblPos val="nextTo"/>
        <c:txPr>
          <a:bodyPr/>
          <a:lstStyle/>
          <a:p>
            <a:pPr>
              <a:defRPr sz="700"/>
            </a:pPr>
            <a:endParaRPr lang="en-US"/>
          </a:p>
        </c:txPr>
        <c:crossAx val="1614312912"/>
        <c:crosses val="autoZero"/>
        <c:auto val="1"/>
        <c:lblAlgn val="ctr"/>
        <c:lblOffset val="100"/>
        <c:noMultiLvlLbl val="0"/>
      </c:catAx>
      <c:valAx>
        <c:axId val="1614312912"/>
        <c:scaling>
          <c:orientation val="minMax"/>
        </c:scaling>
        <c:delete val="0"/>
        <c:axPos val="l"/>
        <c:majorGridlines>
          <c:spPr>
            <a:ln>
              <a:solidFill>
                <a:srgbClr val="E6E6E6"/>
              </a:solidFill>
            </a:ln>
          </c:spPr>
        </c:majorGridlines>
        <c:numFmt formatCode="#,##0" sourceLinked="0"/>
        <c:majorTickMark val="out"/>
        <c:minorTickMark val="none"/>
        <c:tickLblPos val="nextTo"/>
        <c:txPr>
          <a:bodyPr/>
          <a:lstStyle/>
          <a:p>
            <a:pPr>
              <a:defRPr sz="700"/>
            </a:pPr>
            <a:endParaRPr lang="en-US"/>
          </a:p>
        </c:txPr>
        <c:crossAx val="1579799552"/>
        <c:crosses val="autoZero"/>
        <c:crossBetween val="between"/>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AN_Dispersion!$AB$20</c:f>
          <c:strCache>
            <c:ptCount val="1"/>
            <c:pt idx="0">
              <c:v>VERİ YETERSİZ: 0 PARTIAL olmayan hasar ayı (en az 12) veya eksik faktör
INSUFFICIENT DATA: 0 loss months that are not PARTIAL (at least 12) or a missing factor</c:v>
            </c:pt>
          </c:strCache>
        </c:strRef>
      </c:tx>
      <c:overlay val="0"/>
      <c:txPr>
        <a:bodyPr/>
        <a:lstStyle/>
        <a:p>
          <a:pPr>
            <a:defRPr sz="800" b="1"/>
          </a:pPr>
          <a:endParaRPr lang="en-US"/>
        </a:p>
      </c:txPr>
    </c:title>
    <c:autoTitleDeleted val="0"/>
    <c:plotArea>
      <c:layout/>
      <c:barChart>
        <c:barDir val="col"/>
        <c:grouping val="clustered"/>
        <c:varyColors val="0"/>
        <c:ser>
          <c:idx val="0"/>
          <c:order val="0"/>
          <c:tx>
            <c:v>Ek ödeme / Further</c:v>
          </c:tx>
          <c:spPr>
            <a:solidFill>
              <a:srgbClr val="1F3864"/>
            </a:solidFill>
          </c:spPr>
          <c:invertIfNegative val="0"/>
          <c:cat>
            <c:strRef>
              <c:f>[0]!dsX</c:f>
              <c:strCache>
                <c:ptCount val="1"/>
                <c:pt idx="0">
                  <c:v>-</c:v>
                </c:pt>
              </c:strCache>
            </c:strRef>
          </c:cat>
          <c:val>
            <c:numRef>
              <c:f>[0]!dsF</c:f>
              <c:numCache>
                <c:formatCode>General</c:formatCode>
                <c:ptCount val="1"/>
                <c:pt idx="0">
                  <c:v>0</c:v>
                </c:pt>
              </c:numCache>
            </c:numRef>
          </c:val>
          <c:extLst>
            <c:ext xmlns:c16="http://schemas.microsoft.com/office/drawing/2014/chart" uri="{C3380CC4-5D6E-409C-BE32-E72D297353CC}">
              <c16:uniqueId val="{00000003-6A26-4660-9FE5-0707EC686268}"/>
            </c:ext>
          </c:extLst>
        </c:ser>
        <c:dLbls>
          <c:showLegendKey val="0"/>
          <c:showVal val="0"/>
          <c:showCatName val="0"/>
          <c:showSerName val="0"/>
          <c:showPercent val="0"/>
          <c:showBubbleSize val="0"/>
        </c:dLbls>
        <c:gapWidth val="150"/>
        <c:axId val="1624220928"/>
        <c:axId val="1614320112"/>
      </c:barChart>
      <c:lineChart>
        <c:grouping val="standard"/>
        <c:varyColors val="0"/>
        <c:ser>
          <c:idx val="1"/>
          <c:order val="1"/>
          <c:tx>
            <c:v>Standart hata / S.e.</c:v>
          </c:tx>
          <c:spPr>
            <a:ln w="22225">
              <a:solidFill>
                <a:srgbClr val="E69F00"/>
              </a:solidFill>
            </a:ln>
          </c:spPr>
          <c:marker>
            <c:symbol val="circle"/>
            <c:size val="3"/>
            <c:spPr>
              <a:ln w="22225">
                <a:solidFill>
                  <a:srgbClr val="E69F00"/>
                </a:solidFill>
              </a:ln>
            </c:spPr>
          </c:marker>
          <c:cat>
            <c:strRef>
              <c:f>[0]!dsX</c:f>
              <c:strCache>
                <c:ptCount val="1"/>
                <c:pt idx="0">
                  <c:v>-</c:v>
                </c:pt>
              </c:strCache>
            </c:strRef>
          </c:cat>
          <c:val>
            <c:numRef>
              <c:f>[0]!dsS</c:f>
              <c:numCache>
                <c:formatCode>General</c:formatCode>
                <c:ptCount val="1"/>
                <c:pt idx="0">
                  <c:v>0</c:v>
                </c:pt>
              </c:numCache>
            </c:numRef>
          </c:val>
          <c:smooth val="0"/>
          <c:extLst>
            <c:ext xmlns:c16="http://schemas.microsoft.com/office/drawing/2014/chart" uri="{C3380CC4-5D6E-409C-BE32-E72D297353CC}">
              <c16:uniqueId val="{00000004-6A26-4660-9FE5-0707EC686268}"/>
            </c:ext>
          </c:extLst>
        </c:ser>
        <c:dLbls>
          <c:showLegendKey val="0"/>
          <c:showVal val="0"/>
          <c:showCatName val="0"/>
          <c:showSerName val="0"/>
          <c:showPercent val="0"/>
          <c:showBubbleSize val="0"/>
        </c:dLbls>
        <c:marker val="1"/>
        <c:smooth val="0"/>
        <c:axId val="1624220928"/>
        <c:axId val="1614320112"/>
      </c:lineChart>
      <c:catAx>
        <c:axId val="1624220928"/>
        <c:scaling>
          <c:orientation val="minMax"/>
        </c:scaling>
        <c:delete val="0"/>
        <c:axPos val="b"/>
        <c:numFmt formatCode="General" sourceLinked="1"/>
        <c:majorTickMark val="out"/>
        <c:minorTickMark val="none"/>
        <c:tickLblPos val="low"/>
        <c:txPr>
          <a:bodyPr/>
          <a:lstStyle/>
          <a:p>
            <a:pPr>
              <a:defRPr sz="700"/>
            </a:pPr>
            <a:endParaRPr lang="en-US"/>
          </a:p>
        </c:txPr>
        <c:crossAx val="1614320112"/>
        <c:crosses val="autoZero"/>
        <c:auto val="1"/>
        <c:lblAlgn val="ctr"/>
        <c:lblOffset val="100"/>
        <c:noMultiLvlLbl val="0"/>
      </c:catAx>
      <c:valAx>
        <c:axId val="1614320112"/>
        <c:scaling>
          <c:orientation val="minMax"/>
        </c:scaling>
        <c:delete val="0"/>
        <c:axPos val="l"/>
        <c:majorGridlines>
          <c:spPr>
            <a:ln>
              <a:solidFill>
                <a:srgbClr val="E6E6E6"/>
              </a:solidFill>
            </a:ln>
          </c:spPr>
        </c:majorGridlines>
        <c:numFmt formatCode="#,##0.0" sourceLinked="0"/>
        <c:majorTickMark val="out"/>
        <c:minorTickMark val="none"/>
        <c:tickLblPos val="nextTo"/>
        <c:txPr>
          <a:bodyPr/>
          <a:lstStyle/>
          <a:p>
            <a:pPr>
              <a:defRPr sz="700"/>
            </a:pPr>
            <a:endParaRPr lang="en-US"/>
          </a:p>
        </c:txPr>
        <c:crossAx val="1624220928"/>
        <c:crosses val="autoZero"/>
        <c:crossBetween val="between"/>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AN_TailFit!$AB$20</c:f>
          <c:strCache>
            <c:ptCount val="1"/>
            <c:pt idx="0">
              <c:v>VERİ YETERSİZ: 0 dosya (en az 200) veya eşik üstünde 0 dosya (en az 10)
INSUFFICIENT DATA: 0 cases (at least 200) or 0 cases above the threshold (at least 10)</c:v>
            </c:pt>
          </c:strCache>
        </c:strRef>
      </c:tx>
      <c:overlay val="0"/>
      <c:txPr>
        <a:bodyPr/>
        <a:lstStyle/>
        <a:p>
          <a:pPr>
            <a:defRPr sz="800" b="1"/>
          </a:pPr>
          <a:endParaRPr lang="en-US"/>
        </a:p>
      </c:txPr>
    </c:title>
    <c:autoTitleDeleted val="0"/>
    <c:plotArea>
      <c:layout/>
      <c:scatterChart>
        <c:scatterStyle val="lineMarker"/>
        <c:varyColors val="0"/>
        <c:ser>
          <c:idx val="0"/>
          <c:order val="0"/>
          <c:tx>
            <c:v>Hill</c:v>
          </c:tx>
          <c:spPr>
            <a:ln w="25400">
              <a:solidFill>
                <a:srgbClr val="1F3864"/>
              </a:solidFill>
            </a:ln>
          </c:spPr>
          <c:marker>
            <c:symbol val="circle"/>
            <c:size val="3"/>
            <c:spPr>
              <a:ln w="25400">
                <a:solidFill>
                  <a:srgbClr val="1F3864"/>
                </a:solidFill>
              </a:ln>
            </c:spPr>
          </c:marker>
          <c:xVal>
            <c:numRef>
              <c:f>[0]!tfX</c:f>
              <c:numCache>
                <c:formatCode>General</c:formatCode>
                <c:ptCount val="21"/>
                <c:pt idx="0">
                  <c:v>0.8</c:v>
                </c:pt>
                <c:pt idx="1">
                  <c:v>0.81</c:v>
                </c:pt>
                <c:pt idx="2">
                  <c:v>0.82000000000000006</c:v>
                </c:pt>
                <c:pt idx="3">
                  <c:v>0.83000000000000007</c:v>
                </c:pt>
                <c:pt idx="4">
                  <c:v>0.84000000000000008</c:v>
                </c:pt>
                <c:pt idx="5">
                  <c:v>0.85000000000000009</c:v>
                </c:pt>
                <c:pt idx="6">
                  <c:v>0.8600000000000001</c:v>
                </c:pt>
                <c:pt idx="7">
                  <c:v>0.87000000000000011</c:v>
                </c:pt>
                <c:pt idx="8">
                  <c:v>0.88000000000000012</c:v>
                </c:pt>
                <c:pt idx="9">
                  <c:v>0.89000000000000012</c:v>
                </c:pt>
                <c:pt idx="10">
                  <c:v>0.90000000000000013</c:v>
                </c:pt>
                <c:pt idx="11">
                  <c:v>0.91000000000000014</c:v>
                </c:pt>
                <c:pt idx="12">
                  <c:v>0.92000000000000015</c:v>
                </c:pt>
                <c:pt idx="13">
                  <c:v>0.93000000000000016</c:v>
                </c:pt>
                <c:pt idx="14">
                  <c:v>0.94000000000000017</c:v>
                </c:pt>
                <c:pt idx="15">
                  <c:v>0.95000000000000018</c:v>
                </c:pt>
                <c:pt idx="16">
                  <c:v>0.96000000000000019</c:v>
                </c:pt>
                <c:pt idx="17">
                  <c:v>0.9700000000000002</c:v>
                </c:pt>
                <c:pt idx="18">
                  <c:v>0.9800000000000002</c:v>
                </c:pt>
                <c:pt idx="19">
                  <c:v>0.99000000000000021</c:v>
                </c:pt>
                <c:pt idx="20">
                  <c:v>0.995</c:v>
                </c:pt>
              </c:numCache>
            </c:numRef>
          </c:xVal>
          <c:yVal>
            <c:numRef>
              <c:f>[0]!tfH</c:f>
              <c:numCache>
                <c:formatCode>General</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yVal>
          <c:smooth val="0"/>
          <c:extLst>
            <c:ext xmlns:c16="http://schemas.microsoft.com/office/drawing/2014/chart" uri="{C3380CC4-5D6E-409C-BE32-E72D297353CC}">
              <c16:uniqueId val="{0000000E-2B7C-459F-B106-7EBAEB821A87}"/>
            </c:ext>
          </c:extLst>
        </c:ser>
        <c:ser>
          <c:idx val="1"/>
          <c:order val="1"/>
          <c:tx>
            <c:v>Moment</c:v>
          </c:tx>
          <c:spPr>
            <a:ln w="19050">
              <a:solidFill>
                <a:srgbClr val="E69F00"/>
              </a:solidFill>
            </a:ln>
          </c:spPr>
          <c:marker>
            <c:symbol val="circle"/>
            <c:size val="3"/>
            <c:spPr>
              <a:ln w="19050">
                <a:solidFill>
                  <a:srgbClr val="E69F00"/>
                </a:solidFill>
              </a:ln>
            </c:spPr>
          </c:marker>
          <c:xVal>
            <c:numRef>
              <c:f>[0]!tfX</c:f>
              <c:numCache>
                <c:formatCode>General</c:formatCode>
                <c:ptCount val="21"/>
                <c:pt idx="0">
                  <c:v>0.8</c:v>
                </c:pt>
                <c:pt idx="1">
                  <c:v>0.81</c:v>
                </c:pt>
                <c:pt idx="2">
                  <c:v>0.82000000000000006</c:v>
                </c:pt>
                <c:pt idx="3">
                  <c:v>0.83000000000000007</c:v>
                </c:pt>
                <c:pt idx="4">
                  <c:v>0.84000000000000008</c:v>
                </c:pt>
                <c:pt idx="5">
                  <c:v>0.85000000000000009</c:v>
                </c:pt>
                <c:pt idx="6">
                  <c:v>0.8600000000000001</c:v>
                </c:pt>
                <c:pt idx="7">
                  <c:v>0.87000000000000011</c:v>
                </c:pt>
                <c:pt idx="8">
                  <c:v>0.88000000000000012</c:v>
                </c:pt>
                <c:pt idx="9">
                  <c:v>0.89000000000000012</c:v>
                </c:pt>
                <c:pt idx="10">
                  <c:v>0.90000000000000013</c:v>
                </c:pt>
                <c:pt idx="11">
                  <c:v>0.91000000000000014</c:v>
                </c:pt>
                <c:pt idx="12">
                  <c:v>0.92000000000000015</c:v>
                </c:pt>
                <c:pt idx="13">
                  <c:v>0.93000000000000016</c:v>
                </c:pt>
                <c:pt idx="14">
                  <c:v>0.94000000000000017</c:v>
                </c:pt>
                <c:pt idx="15">
                  <c:v>0.95000000000000018</c:v>
                </c:pt>
                <c:pt idx="16">
                  <c:v>0.96000000000000019</c:v>
                </c:pt>
                <c:pt idx="17">
                  <c:v>0.9700000000000002</c:v>
                </c:pt>
                <c:pt idx="18">
                  <c:v>0.9800000000000002</c:v>
                </c:pt>
                <c:pt idx="19">
                  <c:v>0.99000000000000021</c:v>
                </c:pt>
                <c:pt idx="20">
                  <c:v>0.995</c:v>
                </c:pt>
              </c:numCache>
            </c:numRef>
          </c:xVal>
          <c:yVal>
            <c:numRef>
              <c:f>[0]!tfM</c:f>
              <c:numCache>
                <c:formatCode>General</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yVal>
          <c:smooth val="0"/>
          <c:extLst>
            <c:ext xmlns:c16="http://schemas.microsoft.com/office/drawing/2014/chart" uri="{C3380CC4-5D6E-409C-BE32-E72D297353CC}">
              <c16:uniqueId val="{0000000F-2B7C-459F-B106-7EBAEB821A87}"/>
            </c:ext>
          </c:extLst>
        </c:ser>
        <c:ser>
          <c:idx val="2"/>
          <c:order val="2"/>
          <c:tx>
            <c:v>Pickands</c:v>
          </c:tx>
          <c:spPr>
            <a:ln w="12700">
              <a:solidFill>
                <a:srgbClr val="CC7999"/>
              </a:solidFill>
            </a:ln>
          </c:spPr>
          <c:marker>
            <c:symbol val="none"/>
          </c:marker>
          <c:xVal>
            <c:numRef>
              <c:f>[0]!tfX</c:f>
              <c:numCache>
                <c:formatCode>General</c:formatCode>
                <c:ptCount val="21"/>
                <c:pt idx="0">
                  <c:v>0.8</c:v>
                </c:pt>
                <c:pt idx="1">
                  <c:v>0.81</c:v>
                </c:pt>
                <c:pt idx="2">
                  <c:v>0.82000000000000006</c:v>
                </c:pt>
                <c:pt idx="3">
                  <c:v>0.83000000000000007</c:v>
                </c:pt>
                <c:pt idx="4">
                  <c:v>0.84000000000000008</c:v>
                </c:pt>
                <c:pt idx="5">
                  <c:v>0.85000000000000009</c:v>
                </c:pt>
                <c:pt idx="6">
                  <c:v>0.8600000000000001</c:v>
                </c:pt>
                <c:pt idx="7">
                  <c:v>0.87000000000000011</c:v>
                </c:pt>
                <c:pt idx="8">
                  <c:v>0.88000000000000012</c:v>
                </c:pt>
                <c:pt idx="9">
                  <c:v>0.89000000000000012</c:v>
                </c:pt>
                <c:pt idx="10">
                  <c:v>0.90000000000000013</c:v>
                </c:pt>
                <c:pt idx="11">
                  <c:v>0.91000000000000014</c:v>
                </c:pt>
                <c:pt idx="12">
                  <c:v>0.92000000000000015</c:v>
                </c:pt>
                <c:pt idx="13">
                  <c:v>0.93000000000000016</c:v>
                </c:pt>
                <c:pt idx="14">
                  <c:v>0.94000000000000017</c:v>
                </c:pt>
                <c:pt idx="15">
                  <c:v>0.95000000000000018</c:v>
                </c:pt>
                <c:pt idx="16">
                  <c:v>0.96000000000000019</c:v>
                </c:pt>
                <c:pt idx="17">
                  <c:v>0.9700000000000002</c:v>
                </c:pt>
                <c:pt idx="18">
                  <c:v>0.9800000000000002</c:v>
                </c:pt>
                <c:pt idx="19">
                  <c:v>0.99000000000000021</c:v>
                </c:pt>
                <c:pt idx="20">
                  <c:v>0.995</c:v>
                </c:pt>
              </c:numCache>
            </c:numRef>
          </c:xVal>
          <c:yVal>
            <c:numRef>
              <c:f>[0]!tfP</c:f>
              <c:numCache>
                <c:formatCode>General</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yVal>
          <c:smooth val="0"/>
          <c:extLst>
            <c:ext xmlns:c16="http://schemas.microsoft.com/office/drawing/2014/chart" uri="{C3380CC4-5D6E-409C-BE32-E72D297353CC}">
              <c16:uniqueId val="{00000010-2B7C-459F-B106-7EBAEB821A87}"/>
            </c:ext>
          </c:extLst>
        </c:ser>
        <c:ser>
          <c:idx val="3"/>
          <c:order val="3"/>
          <c:tx>
            <c:v>GPD PWM</c:v>
          </c:tx>
          <c:spPr>
            <a:ln w="19050">
              <a:solidFill>
                <a:srgbClr val="00B050"/>
              </a:solidFill>
            </a:ln>
          </c:spPr>
          <c:marker>
            <c:symbol val="circle"/>
            <c:size val="3"/>
            <c:spPr>
              <a:ln w="19050">
                <a:solidFill>
                  <a:srgbClr val="00B050"/>
                </a:solidFill>
              </a:ln>
            </c:spPr>
          </c:marker>
          <c:xVal>
            <c:numRef>
              <c:f>[0]!tfX</c:f>
              <c:numCache>
                <c:formatCode>General</c:formatCode>
                <c:ptCount val="21"/>
                <c:pt idx="0">
                  <c:v>0.8</c:v>
                </c:pt>
                <c:pt idx="1">
                  <c:v>0.81</c:v>
                </c:pt>
                <c:pt idx="2">
                  <c:v>0.82000000000000006</c:v>
                </c:pt>
                <c:pt idx="3">
                  <c:v>0.83000000000000007</c:v>
                </c:pt>
                <c:pt idx="4">
                  <c:v>0.84000000000000008</c:v>
                </c:pt>
                <c:pt idx="5">
                  <c:v>0.85000000000000009</c:v>
                </c:pt>
                <c:pt idx="6">
                  <c:v>0.8600000000000001</c:v>
                </c:pt>
                <c:pt idx="7">
                  <c:v>0.87000000000000011</c:v>
                </c:pt>
                <c:pt idx="8">
                  <c:v>0.88000000000000012</c:v>
                </c:pt>
                <c:pt idx="9">
                  <c:v>0.89000000000000012</c:v>
                </c:pt>
                <c:pt idx="10">
                  <c:v>0.90000000000000013</c:v>
                </c:pt>
                <c:pt idx="11">
                  <c:v>0.91000000000000014</c:v>
                </c:pt>
                <c:pt idx="12">
                  <c:v>0.92000000000000015</c:v>
                </c:pt>
                <c:pt idx="13">
                  <c:v>0.93000000000000016</c:v>
                </c:pt>
                <c:pt idx="14">
                  <c:v>0.94000000000000017</c:v>
                </c:pt>
                <c:pt idx="15">
                  <c:v>0.95000000000000018</c:v>
                </c:pt>
                <c:pt idx="16">
                  <c:v>0.96000000000000019</c:v>
                </c:pt>
                <c:pt idx="17">
                  <c:v>0.9700000000000002</c:v>
                </c:pt>
                <c:pt idx="18">
                  <c:v>0.9800000000000002</c:v>
                </c:pt>
                <c:pt idx="19">
                  <c:v>0.99000000000000021</c:v>
                </c:pt>
                <c:pt idx="20">
                  <c:v>0.995</c:v>
                </c:pt>
              </c:numCache>
            </c:numRef>
          </c:xVal>
          <c:yVal>
            <c:numRef>
              <c:f>[0]!tfW</c:f>
              <c:numCache>
                <c:formatCode>General</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yVal>
          <c:smooth val="0"/>
          <c:extLst>
            <c:ext xmlns:c16="http://schemas.microsoft.com/office/drawing/2014/chart" uri="{C3380CC4-5D6E-409C-BE32-E72D297353CC}">
              <c16:uniqueId val="{00000011-2B7C-459F-B106-7EBAEB821A87}"/>
            </c:ext>
          </c:extLst>
        </c:ser>
        <c:ser>
          <c:idx val="4"/>
          <c:order val="4"/>
          <c:tx>
            <c:v>Hill -1,96 s.e.</c:v>
          </c:tx>
          <c:spPr>
            <a:ln w="12700">
              <a:solidFill>
                <a:srgbClr val="A6A6A6"/>
              </a:solidFill>
              <a:prstDash val="dash"/>
            </a:ln>
          </c:spPr>
          <c:marker>
            <c:symbol val="none"/>
          </c:marker>
          <c:xVal>
            <c:numRef>
              <c:f>[0]!tfX</c:f>
              <c:numCache>
                <c:formatCode>General</c:formatCode>
                <c:ptCount val="21"/>
                <c:pt idx="0">
                  <c:v>0.8</c:v>
                </c:pt>
                <c:pt idx="1">
                  <c:v>0.81</c:v>
                </c:pt>
                <c:pt idx="2">
                  <c:v>0.82000000000000006</c:v>
                </c:pt>
                <c:pt idx="3">
                  <c:v>0.83000000000000007</c:v>
                </c:pt>
                <c:pt idx="4">
                  <c:v>0.84000000000000008</c:v>
                </c:pt>
                <c:pt idx="5">
                  <c:v>0.85000000000000009</c:v>
                </c:pt>
                <c:pt idx="6">
                  <c:v>0.8600000000000001</c:v>
                </c:pt>
                <c:pt idx="7">
                  <c:v>0.87000000000000011</c:v>
                </c:pt>
                <c:pt idx="8">
                  <c:v>0.88000000000000012</c:v>
                </c:pt>
                <c:pt idx="9">
                  <c:v>0.89000000000000012</c:v>
                </c:pt>
                <c:pt idx="10">
                  <c:v>0.90000000000000013</c:v>
                </c:pt>
                <c:pt idx="11">
                  <c:v>0.91000000000000014</c:v>
                </c:pt>
                <c:pt idx="12">
                  <c:v>0.92000000000000015</c:v>
                </c:pt>
                <c:pt idx="13">
                  <c:v>0.93000000000000016</c:v>
                </c:pt>
                <c:pt idx="14">
                  <c:v>0.94000000000000017</c:v>
                </c:pt>
                <c:pt idx="15">
                  <c:v>0.95000000000000018</c:v>
                </c:pt>
                <c:pt idx="16">
                  <c:v>0.96000000000000019</c:v>
                </c:pt>
                <c:pt idx="17">
                  <c:v>0.9700000000000002</c:v>
                </c:pt>
                <c:pt idx="18">
                  <c:v>0.9800000000000002</c:v>
                </c:pt>
                <c:pt idx="19">
                  <c:v>0.99000000000000021</c:v>
                </c:pt>
                <c:pt idx="20">
                  <c:v>0.995</c:v>
                </c:pt>
              </c:numCache>
            </c:numRef>
          </c:xVal>
          <c:yVal>
            <c:numRef>
              <c:f>[0]!tfL</c:f>
              <c:numCache>
                <c:formatCode>General</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yVal>
          <c:smooth val="0"/>
          <c:extLst>
            <c:ext xmlns:c16="http://schemas.microsoft.com/office/drawing/2014/chart" uri="{C3380CC4-5D6E-409C-BE32-E72D297353CC}">
              <c16:uniqueId val="{00000012-2B7C-459F-B106-7EBAEB821A87}"/>
            </c:ext>
          </c:extLst>
        </c:ser>
        <c:ser>
          <c:idx val="5"/>
          <c:order val="5"/>
          <c:tx>
            <c:v>Hill +1,96 s.e.</c:v>
          </c:tx>
          <c:spPr>
            <a:ln w="12700">
              <a:solidFill>
                <a:srgbClr val="A6A6A6"/>
              </a:solidFill>
              <a:prstDash val="dash"/>
            </a:ln>
          </c:spPr>
          <c:marker>
            <c:symbol val="none"/>
          </c:marker>
          <c:xVal>
            <c:numRef>
              <c:f>[0]!tfX</c:f>
              <c:numCache>
                <c:formatCode>General</c:formatCode>
                <c:ptCount val="21"/>
                <c:pt idx="0">
                  <c:v>0.8</c:v>
                </c:pt>
                <c:pt idx="1">
                  <c:v>0.81</c:v>
                </c:pt>
                <c:pt idx="2">
                  <c:v>0.82000000000000006</c:v>
                </c:pt>
                <c:pt idx="3">
                  <c:v>0.83000000000000007</c:v>
                </c:pt>
                <c:pt idx="4">
                  <c:v>0.84000000000000008</c:v>
                </c:pt>
                <c:pt idx="5">
                  <c:v>0.85000000000000009</c:v>
                </c:pt>
                <c:pt idx="6">
                  <c:v>0.8600000000000001</c:v>
                </c:pt>
                <c:pt idx="7">
                  <c:v>0.87000000000000011</c:v>
                </c:pt>
                <c:pt idx="8">
                  <c:v>0.88000000000000012</c:v>
                </c:pt>
                <c:pt idx="9">
                  <c:v>0.89000000000000012</c:v>
                </c:pt>
                <c:pt idx="10">
                  <c:v>0.90000000000000013</c:v>
                </c:pt>
                <c:pt idx="11">
                  <c:v>0.91000000000000014</c:v>
                </c:pt>
                <c:pt idx="12">
                  <c:v>0.92000000000000015</c:v>
                </c:pt>
                <c:pt idx="13">
                  <c:v>0.93000000000000016</c:v>
                </c:pt>
                <c:pt idx="14">
                  <c:v>0.94000000000000017</c:v>
                </c:pt>
                <c:pt idx="15">
                  <c:v>0.95000000000000018</c:v>
                </c:pt>
                <c:pt idx="16">
                  <c:v>0.96000000000000019</c:v>
                </c:pt>
                <c:pt idx="17">
                  <c:v>0.9700000000000002</c:v>
                </c:pt>
                <c:pt idx="18">
                  <c:v>0.9800000000000002</c:v>
                </c:pt>
                <c:pt idx="19">
                  <c:v>0.99000000000000021</c:v>
                </c:pt>
                <c:pt idx="20">
                  <c:v>0.995</c:v>
                </c:pt>
              </c:numCache>
            </c:numRef>
          </c:xVal>
          <c:yVal>
            <c:numRef>
              <c:f>[0]!tfU</c:f>
              <c:numCache>
                <c:formatCode>General</c:formatCode>
                <c:ptCount val="2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numCache>
            </c:numRef>
          </c:yVal>
          <c:smooth val="0"/>
          <c:extLst>
            <c:ext xmlns:c16="http://schemas.microsoft.com/office/drawing/2014/chart" uri="{C3380CC4-5D6E-409C-BE32-E72D297353CC}">
              <c16:uniqueId val="{00000013-2B7C-459F-B106-7EBAEB821A87}"/>
            </c:ext>
          </c:extLst>
        </c:ser>
        <c:dLbls>
          <c:showLegendKey val="0"/>
          <c:showVal val="0"/>
          <c:showCatName val="0"/>
          <c:showSerName val="0"/>
          <c:showPercent val="0"/>
          <c:showBubbleSize val="0"/>
        </c:dLbls>
        <c:axId val="1579802336"/>
        <c:axId val="1614354672"/>
      </c:scatterChart>
      <c:valAx>
        <c:axId val="1579802336"/>
        <c:scaling>
          <c:orientation val="minMax"/>
          <c:max val="1"/>
          <c:min val="0.8"/>
        </c:scaling>
        <c:delete val="0"/>
        <c:axPos val="b"/>
        <c:numFmt formatCode="0%" sourceLinked="0"/>
        <c:majorTickMark val="out"/>
        <c:minorTickMark val="none"/>
        <c:tickLblPos val="nextTo"/>
        <c:txPr>
          <a:bodyPr/>
          <a:lstStyle/>
          <a:p>
            <a:pPr>
              <a:defRPr sz="700"/>
            </a:pPr>
            <a:endParaRPr lang="en-US"/>
          </a:p>
        </c:txPr>
        <c:crossAx val="1614354672"/>
        <c:crosses val="autoZero"/>
        <c:crossBetween val="midCat"/>
      </c:valAx>
      <c:valAx>
        <c:axId val="1614354672"/>
        <c:scaling>
          <c:orientation val="minMax"/>
        </c:scaling>
        <c:delete val="0"/>
        <c:axPos val="l"/>
        <c:majorGridlines>
          <c:spPr>
            <a:ln>
              <a:solidFill>
                <a:srgbClr val="E6E6E6"/>
              </a:solidFill>
            </a:ln>
          </c:spPr>
        </c:majorGridlines>
        <c:numFmt formatCode="0.00" sourceLinked="0"/>
        <c:majorTickMark val="out"/>
        <c:minorTickMark val="none"/>
        <c:tickLblPos val="nextTo"/>
        <c:txPr>
          <a:bodyPr/>
          <a:lstStyle/>
          <a:p>
            <a:pPr>
              <a:defRPr sz="700"/>
            </a:pPr>
            <a:endParaRPr lang="en-US"/>
          </a:p>
        </c:txPr>
        <c:crossAx val="1579802336"/>
        <c:crosses val="autoZero"/>
        <c:crossBetween val="midCat"/>
      </c:valAx>
    </c:plotArea>
    <c:legend>
      <c:legendPos val="b"/>
      <c:overlay val="0"/>
      <c:txPr>
        <a:bodyPr/>
        <a:lstStyle/>
        <a:p>
          <a:pPr>
            <a:defRPr sz="700"/>
          </a:pPr>
          <a:endParaRPr lang="en-US"/>
        </a:p>
      </c:txPr>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Matrix'!A1"/><Relationship Id="rId13" Type="http://schemas.openxmlformats.org/officeDocument/2006/relationships/hyperlink" Target="#'Admin_Guide'!A1"/><Relationship Id="rId3" Type="http://schemas.openxmlformats.org/officeDocument/2006/relationships/hyperlink" Target="#'Closing_Manual'!A1"/><Relationship Id="rId7" Type="http://schemas.openxmlformats.org/officeDocument/2006/relationships/hyperlink" Target="#'DataView'!A1"/><Relationship Id="rId12" Type="http://schemas.openxmlformats.org/officeDocument/2006/relationships/hyperlink" Target="#'AdminConfig'!A1"/><Relationship Id="rId2" Type="http://schemas.openxmlformats.org/officeDocument/2006/relationships/hyperlink" Target="#'Recon'!A1"/><Relationship Id="rId16" Type="http://schemas.openxmlformats.org/officeDocument/2006/relationships/hyperlink" Target="#'AN_RawView'!A1"/><Relationship Id="rId1" Type="http://schemas.openxmlformats.org/officeDocument/2006/relationships/hyperlink" Target="#'ControlPanel'!A1"/><Relationship Id="rId6" Type="http://schemas.openxmlformats.org/officeDocument/2006/relationships/hyperlink" Target="#'Dashboard'!A1"/><Relationship Id="rId11" Type="http://schemas.openxmlformats.org/officeDocument/2006/relationships/hyperlink" Target="#'DecisionRegister'!A1"/><Relationship Id="rId5" Type="http://schemas.openxmlformats.org/officeDocument/2006/relationships/hyperlink" Target="#'ArchiveLog'!A1"/><Relationship Id="rId15" Type="http://schemas.openxmlformats.org/officeDocument/2006/relationships/hyperlink" Target="#'AN_Index'!A1"/><Relationship Id="rId10" Type="http://schemas.openxmlformats.org/officeDocument/2006/relationships/hyperlink" Target="#'ColumnMap'!A1"/><Relationship Id="rId4" Type="http://schemas.openxmlformats.org/officeDocument/2006/relationships/hyperlink" Target="#'SignOff'!A1"/><Relationship Id="rId9" Type="http://schemas.openxmlformats.org/officeDocument/2006/relationships/hyperlink" Target="#'KPI_Check'!A1"/><Relationship Id="rId14" Type="http://schemas.openxmlformats.org/officeDocument/2006/relationships/hyperlink" Target="#'Technical_Guide'!A1"/></Relationships>
</file>

<file path=xl/drawings/_rels/drawing2.xml.rels><?xml version="1.0" encoding="UTF-8" standalone="yes"?>
<Relationships xmlns="http://schemas.openxmlformats.org/package/2006/relationships"><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Home'!A1"/><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8" Type="http://schemas.openxmlformats.org/officeDocument/2006/relationships/chart" Target="../charts/chart15.xml"/><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 Id="rId4" Type="http://schemas.openxmlformats.org/officeDocument/2006/relationships/chart" Target="../charts/chart1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chart" Target="../charts/chart20.xml"/><Relationship Id="rId4" Type="http://schemas.openxmlformats.org/officeDocument/2006/relationships/chart" Target="../charts/chart23.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 Id="rId6" Type="http://schemas.openxmlformats.org/officeDocument/2006/relationships/chart" Target="../charts/chart29.xml"/><Relationship Id="rId5" Type="http://schemas.openxmlformats.org/officeDocument/2006/relationships/chart" Target="../charts/chart28.xml"/><Relationship Id="rId4" Type="http://schemas.openxmlformats.org/officeDocument/2006/relationships/chart" Target="../charts/chart2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 Id="rId4" Type="http://schemas.openxmlformats.org/officeDocument/2006/relationships/chart" Target="../charts/chart33.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 Id="rId5" Type="http://schemas.openxmlformats.org/officeDocument/2006/relationships/chart" Target="../charts/chart38.xml"/><Relationship Id="rId4" Type="http://schemas.openxmlformats.org/officeDocument/2006/relationships/chart" Target="../charts/chart3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41.xml"/></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26</xdr:row>
      <xdr:rowOff>25400</xdr:rowOff>
    </xdr:from>
    <xdr:to>
      <xdr:col>1</xdr:col>
      <xdr:colOff>1822450</xdr:colOff>
      <xdr:row>27</xdr:row>
      <xdr:rowOff>136525</xdr:rowOff>
    </xdr:to>
    <xdr:sp textlink="">
      <xdr:nvSpPr>
        <xdr:cNvPr id="23" name="btnRefreshAll">
          <a:extLst>
            <a:ext uri="{FF2B5EF4-FFF2-40B4-BE49-F238E27FC236}">
              <a16:creationId xmlns:a16="http://schemas.microsoft.com/office/drawing/2014/main" id="{5987511F-E541-50FE-3D80-923B78FC7F6E}"/>
            </a:ext>
          </a:extLst>
        </xdr:cNvPr>
        <xdr:cNvSpPr/>
      </xdr:nvSpPr>
      <xdr:spPr>
        <a:xfrm>
          <a:off x="206375" y="5435600"/>
          <a:ext cx="1797050" cy="27305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808080"/>
              </a:solidFill>
              <a:latin typeface="Arial" panose="020B0604020202020204" pitchFamily="34" charset="0"/>
            </a:rPr>
            <a:t>Yenile / Refresh</a:t>
          </a:r>
        </a:p>
      </xdr:txBody>
    </xdr:sp>
    <xdr:clientData/>
  </xdr:twoCellAnchor>
  <xdr:twoCellAnchor editAs="oneCell">
    <xdr:from>
      <xdr:col>1</xdr:col>
      <xdr:colOff>25400</xdr:colOff>
      <xdr:row>28</xdr:row>
      <xdr:rowOff>25400</xdr:rowOff>
    </xdr:from>
    <xdr:to>
      <xdr:col>1</xdr:col>
      <xdr:colOff>1822450</xdr:colOff>
      <xdr:row>29</xdr:row>
      <xdr:rowOff>136525</xdr:rowOff>
    </xdr:to>
    <xdr:sp textlink="">
      <xdr:nvSpPr>
        <xdr:cNvPr id="24" name="btnControlPanelA1">
          <a:hlinkClick xmlns:r="http://schemas.openxmlformats.org/officeDocument/2006/relationships" r:id="rId1" tooltip="Kontrol paneli / Control panel"/>
          <a:extLst>
            <a:ext uri="{FF2B5EF4-FFF2-40B4-BE49-F238E27FC236}">
              <a16:creationId xmlns:a16="http://schemas.microsoft.com/office/drawing/2014/main" id="{18BFE67B-1F8F-84D9-F6AE-4CD6497A7A9A}"/>
            </a:ext>
          </a:extLst>
        </xdr:cNvPr>
        <xdr:cNvSpPr/>
      </xdr:nvSpPr>
      <xdr:spPr>
        <a:xfrm>
          <a:off x="206375" y="575945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Kontrol paneli / Control panel</a:t>
          </a:r>
        </a:p>
      </xdr:txBody>
    </xdr:sp>
    <xdr:clientData/>
  </xdr:twoCellAnchor>
  <xdr:twoCellAnchor editAs="oneCell">
    <xdr:from>
      <xdr:col>1</xdr:col>
      <xdr:colOff>25400</xdr:colOff>
      <xdr:row>30</xdr:row>
      <xdr:rowOff>25400</xdr:rowOff>
    </xdr:from>
    <xdr:to>
      <xdr:col>1</xdr:col>
      <xdr:colOff>1822450</xdr:colOff>
      <xdr:row>31</xdr:row>
      <xdr:rowOff>136525</xdr:rowOff>
    </xdr:to>
    <xdr:sp textlink="">
      <xdr:nvSpPr>
        <xdr:cNvPr id="25" name="btnReconA1">
          <a:hlinkClick xmlns:r="http://schemas.openxmlformats.org/officeDocument/2006/relationships" r:id="rId2" tooltip="Mutabakat / Reconciliation"/>
          <a:extLst>
            <a:ext uri="{FF2B5EF4-FFF2-40B4-BE49-F238E27FC236}">
              <a16:creationId xmlns:a16="http://schemas.microsoft.com/office/drawing/2014/main" id="{721DC3C8-0F2C-0CC9-5EDD-BFFC59B3B834}"/>
            </a:ext>
          </a:extLst>
        </xdr:cNvPr>
        <xdr:cNvSpPr/>
      </xdr:nvSpPr>
      <xdr:spPr>
        <a:xfrm>
          <a:off x="206375" y="608330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Mutabakat / Reconciliation</a:t>
          </a:r>
        </a:p>
      </xdr:txBody>
    </xdr:sp>
    <xdr:clientData/>
  </xdr:twoCellAnchor>
  <xdr:twoCellAnchor editAs="oneCell">
    <xdr:from>
      <xdr:col>1</xdr:col>
      <xdr:colOff>25400</xdr:colOff>
      <xdr:row>32</xdr:row>
      <xdr:rowOff>25400</xdr:rowOff>
    </xdr:from>
    <xdr:to>
      <xdr:col>1</xdr:col>
      <xdr:colOff>1822450</xdr:colOff>
      <xdr:row>33</xdr:row>
      <xdr:rowOff>298450</xdr:rowOff>
    </xdr:to>
    <xdr:sp textlink="">
      <xdr:nvSpPr>
        <xdr:cNvPr id="26" name="btnSubmitForReview" hidden="1">
          <a:extLst>
            <a:ext uri="{FF2B5EF4-FFF2-40B4-BE49-F238E27FC236}">
              <a16:creationId xmlns:a16="http://schemas.microsoft.com/office/drawing/2014/main" id="{CFA81258-C051-BCFC-3420-33F930B5DE05}"/>
            </a:ext>
          </a:extLst>
        </xdr:cNvPr>
        <xdr:cNvSpPr/>
      </xdr:nvSpPr>
      <xdr:spPr>
        <a:xfrm>
          <a:off x="206375" y="6407150"/>
          <a:ext cx="1797050" cy="5969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İncelemeye gönder / Submit for review</a:t>
          </a:r>
        </a:p>
      </xdr:txBody>
    </xdr:sp>
    <xdr:clientData/>
  </xdr:twoCellAnchor>
  <xdr:twoCellAnchor editAs="oneCell">
    <xdr:from>
      <xdr:col>1</xdr:col>
      <xdr:colOff>25400</xdr:colOff>
      <xdr:row>34</xdr:row>
      <xdr:rowOff>25400</xdr:rowOff>
    </xdr:from>
    <xdr:to>
      <xdr:col>1</xdr:col>
      <xdr:colOff>1822450</xdr:colOff>
      <xdr:row>35</xdr:row>
      <xdr:rowOff>136525</xdr:rowOff>
    </xdr:to>
    <xdr:sp textlink="">
      <xdr:nvSpPr>
        <xdr:cNvPr id="27" name="btnClosingManualA1">
          <a:hlinkClick xmlns:r="http://schemas.openxmlformats.org/officeDocument/2006/relationships" r:id="rId3" tooltip="Kapanış kılavuzu / Closing manual"/>
          <a:extLst>
            <a:ext uri="{FF2B5EF4-FFF2-40B4-BE49-F238E27FC236}">
              <a16:creationId xmlns:a16="http://schemas.microsoft.com/office/drawing/2014/main" id="{931AF497-971C-BD5C-C21D-EFA1EEDEA252}"/>
            </a:ext>
          </a:extLst>
        </xdr:cNvPr>
        <xdr:cNvSpPr/>
      </xdr:nvSpPr>
      <xdr:spPr>
        <a:xfrm>
          <a:off x="206375" y="705485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Kapanış kılavuzu / Closing manual</a:t>
          </a:r>
        </a:p>
      </xdr:txBody>
    </xdr:sp>
    <xdr:clientData/>
  </xdr:twoCellAnchor>
  <xdr:twoCellAnchor editAs="oneCell">
    <xdr:from>
      <xdr:col>3</xdr:col>
      <xdr:colOff>25400</xdr:colOff>
      <xdr:row>26</xdr:row>
      <xdr:rowOff>25400</xdr:rowOff>
    </xdr:from>
    <xdr:to>
      <xdr:col>3</xdr:col>
      <xdr:colOff>1822450</xdr:colOff>
      <xdr:row>27</xdr:row>
      <xdr:rowOff>136525</xdr:rowOff>
    </xdr:to>
    <xdr:sp textlink="">
      <xdr:nvSpPr>
        <xdr:cNvPr id="28" name="btnClosePeriod" hidden="1">
          <a:extLst>
            <a:ext uri="{FF2B5EF4-FFF2-40B4-BE49-F238E27FC236}">
              <a16:creationId xmlns:a16="http://schemas.microsoft.com/office/drawing/2014/main" id="{63E25E8A-C3D4-9717-810B-96361D8EBC12}"/>
            </a:ext>
          </a:extLst>
        </xdr:cNvPr>
        <xdr:cNvSpPr/>
      </xdr:nvSpPr>
      <xdr:spPr>
        <a:xfrm>
          <a:off x="2235200" y="543560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Dönemi kapat / Close period</a:t>
          </a:r>
        </a:p>
      </xdr:txBody>
    </xdr:sp>
    <xdr:clientData/>
  </xdr:twoCellAnchor>
  <xdr:twoCellAnchor editAs="oneCell">
    <xdr:from>
      <xdr:col>3</xdr:col>
      <xdr:colOff>25400</xdr:colOff>
      <xdr:row>28</xdr:row>
      <xdr:rowOff>25400</xdr:rowOff>
    </xdr:from>
    <xdr:to>
      <xdr:col>3</xdr:col>
      <xdr:colOff>1822450</xdr:colOff>
      <xdr:row>29</xdr:row>
      <xdr:rowOff>136525</xdr:rowOff>
    </xdr:to>
    <xdr:sp textlink="">
      <xdr:nvSpPr>
        <xdr:cNvPr id="29" name="btnRejectSubmission" hidden="1">
          <a:extLst>
            <a:ext uri="{FF2B5EF4-FFF2-40B4-BE49-F238E27FC236}">
              <a16:creationId xmlns:a16="http://schemas.microsoft.com/office/drawing/2014/main" id="{5D437A4B-BC36-05D9-8A30-A79C048BDA6B}"/>
            </a:ext>
          </a:extLst>
        </xdr:cNvPr>
        <xdr:cNvSpPr/>
      </xdr:nvSpPr>
      <xdr:spPr>
        <a:xfrm>
          <a:off x="2235200" y="575945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Gönderimi reddet / Reject submission</a:t>
          </a:r>
        </a:p>
      </xdr:txBody>
    </xdr:sp>
    <xdr:clientData/>
  </xdr:twoCellAnchor>
  <xdr:twoCellAnchor editAs="oneCell">
    <xdr:from>
      <xdr:col>3</xdr:col>
      <xdr:colOff>25400</xdr:colOff>
      <xdr:row>30</xdr:row>
      <xdr:rowOff>25400</xdr:rowOff>
    </xdr:from>
    <xdr:to>
      <xdr:col>3</xdr:col>
      <xdr:colOff>1822450</xdr:colOff>
      <xdr:row>31</xdr:row>
      <xdr:rowOff>136525</xdr:rowOff>
    </xdr:to>
    <xdr:sp textlink="">
      <xdr:nvSpPr>
        <xdr:cNvPr id="30" name="btnExportClosingPack" hidden="1">
          <a:extLst>
            <a:ext uri="{FF2B5EF4-FFF2-40B4-BE49-F238E27FC236}">
              <a16:creationId xmlns:a16="http://schemas.microsoft.com/office/drawing/2014/main" id="{ED98ED46-4F67-3A61-304C-96F785F1D32E}"/>
            </a:ext>
          </a:extLst>
        </xdr:cNvPr>
        <xdr:cNvSpPr/>
      </xdr:nvSpPr>
      <xdr:spPr>
        <a:xfrm>
          <a:off x="2235200" y="608330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Kapanış paketi / Closing pack</a:t>
          </a:r>
        </a:p>
      </xdr:txBody>
    </xdr:sp>
    <xdr:clientData/>
  </xdr:twoCellAnchor>
  <xdr:twoCellAnchor editAs="oneCell">
    <xdr:from>
      <xdr:col>3</xdr:col>
      <xdr:colOff>25400</xdr:colOff>
      <xdr:row>32</xdr:row>
      <xdr:rowOff>25400</xdr:rowOff>
    </xdr:from>
    <xdr:to>
      <xdr:col>3</xdr:col>
      <xdr:colOff>1822450</xdr:colOff>
      <xdr:row>33</xdr:row>
      <xdr:rowOff>298450</xdr:rowOff>
    </xdr:to>
    <xdr:sp textlink="">
      <xdr:nvSpPr>
        <xdr:cNvPr id="31" name="btnSignOffA1">
          <a:hlinkClick xmlns:r="http://schemas.openxmlformats.org/officeDocument/2006/relationships" r:id="rId4" tooltip="Onay izi / Sign-off trail"/>
          <a:extLst>
            <a:ext uri="{FF2B5EF4-FFF2-40B4-BE49-F238E27FC236}">
              <a16:creationId xmlns:a16="http://schemas.microsoft.com/office/drawing/2014/main" id="{EF50D087-5AB4-C27D-FEBD-1C40C94E76A4}"/>
            </a:ext>
          </a:extLst>
        </xdr:cNvPr>
        <xdr:cNvSpPr/>
      </xdr:nvSpPr>
      <xdr:spPr>
        <a:xfrm>
          <a:off x="2235200" y="6407150"/>
          <a:ext cx="1797050" cy="59690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Onay izi / Sign-off trail</a:t>
          </a:r>
        </a:p>
      </xdr:txBody>
    </xdr:sp>
    <xdr:clientData/>
  </xdr:twoCellAnchor>
  <xdr:twoCellAnchor editAs="oneCell">
    <xdr:from>
      <xdr:col>3</xdr:col>
      <xdr:colOff>25400</xdr:colOff>
      <xdr:row>34</xdr:row>
      <xdr:rowOff>25400</xdr:rowOff>
    </xdr:from>
    <xdr:to>
      <xdr:col>3</xdr:col>
      <xdr:colOff>1822450</xdr:colOff>
      <xdr:row>35</xdr:row>
      <xdr:rowOff>136525</xdr:rowOff>
    </xdr:to>
    <xdr:sp textlink="">
      <xdr:nvSpPr>
        <xdr:cNvPr id="32" name="btnArchiveLogA1">
          <a:hlinkClick xmlns:r="http://schemas.openxmlformats.org/officeDocument/2006/relationships" r:id="rId5" tooltip="Arşiv günlüğü / Archive log"/>
          <a:extLst>
            <a:ext uri="{FF2B5EF4-FFF2-40B4-BE49-F238E27FC236}">
              <a16:creationId xmlns:a16="http://schemas.microsoft.com/office/drawing/2014/main" id="{9D9B6F9F-2A2B-A4FF-2FA0-FBF5443F1720}"/>
            </a:ext>
          </a:extLst>
        </xdr:cNvPr>
        <xdr:cNvSpPr/>
      </xdr:nvSpPr>
      <xdr:spPr>
        <a:xfrm>
          <a:off x="2235200" y="705485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Arşiv günlüğü / Archive log</a:t>
          </a:r>
        </a:p>
      </xdr:txBody>
    </xdr:sp>
    <xdr:clientData/>
  </xdr:twoCellAnchor>
  <xdr:twoCellAnchor editAs="oneCell">
    <xdr:from>
      <xdr:col>5</xdr:col>
      <xdr:colOff>25400</xdr:colOff>
      <xdr:row>26</xdr:row>
      <xdr:rowOff>25400</xdr:rowOff>
    </xdr:from>
    <xdr:to>
      <xdr:col>5</xdr:col>
      <xdr:colOff>1822450</xdr:colOff>
      <xdr:row>27</xdr:row>
      <xdr:rowOff>136525</xdr:rowOff>
    </xdr:to>
    <xdr:sp textlink="">
      <xdr:nvSpPr>
        <xdr:cNvPr id="33" name="btnDashboardA1">
          <a:hlinkClick xmlns:r="http://schemas.openxmlformats.org/officeDocument/2006/relationships" r:id="rId6" tooltip="Pano / Dashboard"/>
          <a:extLst>
            <a:ext uri="{FF2B5EF4-FFF2-40B4-BE49-F238E27FC236}">
              <a16:creationId xmlns:a16="http://schemas.microsoft.com/office/drawing/2014/main" id="{9959ACF2-67C6-6FA4-690F-1CCB61D6BE5F}"/>
            </a:ext>
          </a:extLst>
        </xdr:cNvPr>
        <xdr:cNvSpPr/>
      </xdr:nvSpPr>
      <xdr:spPr>
        <a:xfrm>
          <a:off x="4264025" y="543560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Pano / Dashboard</a:t>
          </a:r>
        </a:p>
      </xdr:txBody>
    </xdr:sp>
    <xdr:clientData/>
  </xdr:twoCellAnchor>
  <xdr:twoCellAnchor editAs="oneCell">
    <xdr:from>
      <xdr:col>5</xdr:col>
      <xdr:colOff>25400</xdr:colOff>
      <xdr:row>28</xdr:row>
      <xdr:rowOff>25400</xdr:rowOff>
    </xdr:from>
    <xdr:to>
      <xdr:col>5</xdr:col>
      <xdr:colOff>1822450</xdr:colOff>
      <xdr:row>29</xdr:row>
      <xdr:rowOff>136525</xdr:rowOff>
    </xdr:to>
    <xdr:sp textlink="">
      <xdr:nvSpPr>
        <xdr:cNvPr id="34" name="btnExportDashboardPDF">
          <a:extLst>
            <a:ext uri="{FF2B5EF4-FFF2-40B4-BE49-F238E27FC236}">
              <a16:creationId xmlns:a16="http://schemas.microsoft.com/office/drawing/2014/main" id="{54CF4D65-EE1D-39A7-CB95-51E7CFE3A284}"/>
            </a:ext>
          </a:extLst>
        </xdr:cNvPr>
        <xdr:cNvSpPr/>
      </xdr:nvSpPr>
      <xdr:spPr>
        <a:xfrm>
          <a:off x="4264025" y="575945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Pano PDF / Dashboard PDF</a:t>
          </a:r>
        </a:p>
      </xdr:txBody>
    </xdr:sp>
    <xdr:clientData/>
  </xdr:twoCellAnchor>
  <xdr:twoCellAnchor editAs="oneCell">
    <xdr:from>
      <xdr:col>5</xdr:col>
      <xdr:colOff>25400</xdr:colOff>
      <xdr:row>30</xdr:row>
      <xdr:rowOff>25400</xdr:rowOff>
    </xdr:from>
    <xdr:to>
      <xdr:col>5</xdr:col>
      <xdr:colOff>1822450</xdr:colOff>
      <xdr:row>31</xdr:row>
      <xdr:rowOff>136525</xdr:rowOff>
    </xdr:to>
    <xdr:sp textlink="">
      <xdr:nvSpPr>
        <xdr:cNvPr id="35" name="btnDataViewA1">
          <a:hlinkClick xmlns:r="http://schemas.openxmlformats.org/officeDocument/2006/relationships" r:id="rId7" tooltip="Şirket-ay satırları / Company-month lines"/>
          <a:extLst>
            <a:ext uri="{FF2B5EF4-FFF2-40B4-BE49-F238E27FC236}">
              <a16:creationId xmlns:a16="http://schemas.microsoft.com/office/drawing/2014/main" id="{71B4B026-3C96-C686-8451-6E9B550B6750}"/>
            </a:ext>
          </a:extLst>
        </xdr:cNvPr>
        <xdr:cNvSpPr/>
      </xdr:nvSpPr>
      <xdr:spPr>
        <a:xfrm>
          <a:off x="4264025" y="608330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Şirket-ay satırları / Company-month lines</a:t>
          </a:r>
        </a:p>
      </xdr:txBody>
    </xdr:sp>
    <xdr:clientData/>
  </xdr:twoCellAnchor>
  <xdr:twoCellAnchor editAs="oneCell">
    <xdr:from>
      <xdr:col>5</xdr:col>
      <xdr:colOff>25400</xdr:colOff>
      <xdr:row>32</xdr:row>
      <xdr:rowOff>25400</xdr:rowOff>
    </xdr:from>
    <xdr:to>
      <xdr:col>5</xdr:col>
      <xdr:colOff>1822450</xdr:colOff>
      <xdr:row>33</xdr:row>
      <xdr:rowOff>298450</xdr:rowOff>
    </xdr:to>
    <xdr:sp textlink="">
      <xdr:nvSpPr>
        <xdr:cNvPr id="36" name="btnMatrixA1">
          <a:hlinkClick xmlns:r="http://schemas.openxmlformats.org/officeDocument/2006/relationships" r:id="rId8" tooltip="Şirket x ay matrisi / Company x month matrix"/>
          <a:extLst>
            <a:ext uri="{FF2B5EF4-FFF2-40B4-BE49-F238E27FC236}">
              <a16:creationId xmlns:a16="http://schemas.microsoft.com/office/drawing/2014/main" id="{A95918FB-AB1D-E357-5D80-6CB392572948}"/>
            </a:ext>
          </a:extLst>
        </xdr:cNvPr>
        <xdr:cNvSpPr/>
      </xdr:nvSpPr>
      <xdr:spPr>
        <a:xfrm>
          <a:off x="4264025" y="6407150"/>
          <a:ext cx="1797050" cy="59690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Şirket x ay matrisi / Company x month matrix</a:t>
          </a:r>
        </a:p>
      </xdr:txBody>
    </xdr:sp>
    <xdr:clientData/>
  </xdr:twoCellAnchor>
  <xdr:twoCellAnchor editAs="oneCell">
    <xdr:from>
      <xdr:col>5</xdr:col>
      <xdr:colOff>25400</xdr:colOff>
      <xdr:row>34</xdr:row>
      <xdr:rowOff>25400</xdr:rowOff>
    </xdr:from>
    <xdr:to>
      <xdr:col>5</xdr:col>
      <xdr:colOff>1822450</xdr:colOff>
      <xdr:row>35</xdr:row>
      <xdr:rowOff>136525</xdr:rowOff>
    </xdr:to>
    <xdr:sp textlink="">
      <xdr:nvSpPr>
        <xdr:cNvPr id="37" name="btnKPICheckA1">
          <a:hlinkClick xmlns:r="http://schemas.openxmlformats.org/officeDocument/2006/relationships" r:id="rId9" tooltip="KPI çapraz kontrol / KPI cross-check"/>
          <a:extLst>
            <a:ext uri="{FF2B5EF4-FFF2-40B4-BE49-F238E27FC236}">
              <a16:creationId xmlns:a16="http://schemas.microsoft.com/office/drawing/2014/main" id="{E50ABC7C-5DEF-43A5-C46D-A5A3BCFD7581}"/>
            </a:ext>
          </a:extLst>
        </xdr:cNvPr>
        <xdr:cNvSpPr/>
      </xdr:nvSpPr>
      <xdr:spPr>
        <a:xfrm>
          <a:off x="4264025" y="705485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KPI çapraz kontrol / KPI cross-check</a:t>
          </a:r>
        </a:p>
      </xdr:txBody>
    </xdr:sp>
    <xdr:clientData/>
  </xdr:twoCellAnchor>
  <xdr:twoCellAnchor editAs="oneCell">
    <xdr:from>
      <xdr:col>7</xdr:col>
      <xdr:colOff>25400</xdr:colOff>
      <xdr:row>26</xdr:row>
      <xdr:rowOff>25400</xdr:rowOff>
    </xdr:from>
    <xdr:to>
      <xdr:col>7</xdr:col>
      <xdr:colOff>1822450</xdr:colOff>
      <xdr:row>27</xdr:row>
      <xdr:rowOff>136525</xdr:rowOff>
    </xdr:to>
    <xdr:sp textlink="">
      <xdr:nvSpPr>
        <xdr:cNvPr id="38" name="btnSetup">
          <a:extLst>
            <a:ext uri="{FF2B5EF4-FFF2-40B4-BE49-F238E27FC236}">
              <a16:creationId xmlns:a16="http://schemas.microsoft.com/office/drawing/2014/main" id="{AAEE527F-575B-F111-0236-D00E02BCAC38}"/>
            </a:ext>
          </a:extLst>
        </xdr:cNvPr>
        <xdr:cNvSpPr/>
      </xdr:nvSpPr>
      <xdr:spPr>
        <a:xfrm>
          <a:off x="6292850" y="543560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Kurulum / Setup</a:t>
          </a:r>
        </a:p>
      </xdr:txBody>
    </xdr:sp>
    <xdr:clientData/>
  </xdr:twoCellAnchor>
  <xdr:twoCellAnchor editAs="oneCell">
    <xdr:from>
      <xdr:col>7</xdr:col>
      <xdr:colOff>25400</xdr:colOff>
      <xdr:row>28</xdr:row>
      <xdr:rowOff>25400</xdr:rowOff>
    </xdr:from>
    <xdr:to>
      <xdr:col>7</xdr:col>
      <xdr:colOff>1822450</xdr:colOff>
      <xdr:row>29</xdr:row>
      <xdr:rowOff>136525</xdr:rowOff>
    </xdr:to>
    <xdr:sp textlink="">
      <xdr:nvSpPr>
        <xdr:cNvPr id="39" name="btnAdminLogin">
          <a:extLst>
            <a:ext uri="{FF2B5EF4-FFF2-40B4-BE49-F238E27FC236}">
              <a16:creationId xmlns:a16="http://schemas.microsoft.com/office/drawing/2014/main" id="{61124DD4-D096-795D-B4FA-B6655FAA07BF}"/>
            </a:ext>
          </a:extLst>
        </xdr:cNvPr>
        <xdr:cNvSpPr/>
      </xdr:nvSpPr>
      <xdr:spPr>
        <a:xfrm>
          <a:off x="6292850" y="575945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Yönetici girişi / Administrator sign-in</a:t>
          </a:r>
        </a:p>
      </xdr:txBody>
    </xdr:sp>
    <xdr:clientData/>
  </xdr:twoCellAnchor>
  <xdr:twoCellAnchor editAs="oneCell">
    <xdr:from>
      <xdr:col>7</xdr:col>
      <xdr:colOff>25400</xdr:colOff>
      <xdr:row>30</xdr:row>
      <xdr:rowOff>25400</xdr:rowOff>
    </xdr:from>
    <xdr:to>
      <xdr:col>7</xdr:col>
      <xdr:colOff>1822450</xdr:colOff>
      <xdr:row>31</xdr:row>
      <xdr:rowOff>136525</xdr:rowOff>
    </xdr:to>
    <xdr:sp textlink="">
      <xdr:nvSpPr>
        <xdr:cNvPr id="40" name="btnAdminLogout">
          <a:extLst>
            <a:ext uri="{FF2B5EF4-FFF2-40B4-BE49-F238E27FC236}">
              <a16:creationId xmlns:a16="http://schemas.microsoft.com/office/drawing/2014/main" id="{1361D3F9-B0E6-CEF5-A76A-0FAC57E6AB2F}"/>
            </a:ext>
          </a:extLst>
        </xdr:cNvPr>
        <xdr:cNvSpPr/>
      </xdr:nvSpPr>
      <xdr:spPr>
        <a:xfrm>
          <a:off x="6292850" y="608330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Yönetici çıkışı / Administrator sign-out</a:t>
          </a:r>
        </a:p>
      </xdr:txBody>
    </xdr:sp>
    <xdr:clientData/>
  </xdr:twoCellAnchor>
  <xdr:twoCellAnchor editAs="oneCell">
    <xdr:from>
      <xdr:col>7</xdr:col>
      <xdr:colOff>25400</xdr:colOff>
      <xdr:row>32</xdr:row>
      <xdr:rowOff>25400</xdr:rowOff>
    </xdr:from>
    <xdr:to>
      <xdr:col>7</xdr:col>
      <xdr:colOff>1822450</xdr:colOff>
      <xdr:row>33</xdr:row>
      <xdr:rowOff>298450</xdr:rowOff>
    </xdr:to>
    <xdr:sp textlink="">
      <xdr:nvSpPr>
        <xdr:cNvPr id="41" name="btnManageUsers">
          <a:extLst>
            <a:ext uri="{FF2B5EF4-FFF2-40B4-BE49-F238E27FC236}">
              <a16:creationId xmlns:a16="http://schemas.microsoft.com/office/drawing/2014/main" id="{2BC88C20-DBBE-CA7B-DE16-7A3E3C6C6D52}"/>
            </a:ext>
          </a:extLst>
        </xdr:cNvPr>
        <xdr:cNvSpPr/>
      </xdr:nvSpPr>
      <xdr:spPr>
        <a:xfrm>
          <a:off x="6292850" y="6407150"/>
          <a:ext cx="1797050" cy="59690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808080"/>
              </a:solidFill>
              <a:latin typeface="Arial" panose="020B0604020202020204" pitchFamily="34" charset="0"/>
            </a:rPr>
            <a:t>Kullanıcılar ve roller / Users and roles</a:t>
          </a:r>
        </a:p>
      </xdr:txBody>
    </xdr:sp>
    <xdr:clientData/>
  </xdr:twoCellAnchor>
  <xdr:twoCellAnchor editAs="oneCell">
    <xdr:from>
      <xdr:col>7</xdr:col>
      <xdr:colOff>25400</xdr:colOff>
      <xdr:row>34</xdr:row>
      <xdr:rowOff>25400</xdr:rowOff>
    </xdr:from>
    <xdr:to>
      <xdr:col>7</xdr:col>
      <xdr:colOff>1822450</xdr:colOff>
      <xdr:row>35</xdr:row>
      <xdr:rowOff>136525</xdr:rowOff>
    </xdr:to>
    <xdr:sp textlink="">
      <xdr:nvSpPr>
        <xdr:cNvPr id="42" name="btnAddChangelogEntry">
          <a:extLst>
            <a:ext uri="{FF2B5EF4-FFF2-40B4-BE49-F238E27FC236}">
              <a16:creationId xmlns:a16="http://schemas.microsoft.com/office/drawing/2014/main" id="{5122BD80-D8C3-C7F0-4D41-73986E4D62F5}"/>
            </a:ext>
          </a:extLst>
        </xdr:cNvPr>
        <xdr:cNvSpPr/>
      </xdr:nvSpPr>
      <xdr:spPr>
        <a:xfrm>
          <a:off x="6292850" y="7054850"/>
          <a:ext cx="1797050" cy="27305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808080"/>
              </a:solidFill>
              <a:latin typeface="Arial" panose="020B0604020202020204" pitchFamily="34" charset="0"/>
            </a:rPr>
            <a:t>Değişiklik kaydı ekle / Add changelog entry</a:t>
          </a:r>
        </a:p>
      </xdr:txBody>
    </xdr:sp>
    <xdr:clientData/>
  </xdr:twoCellAnchor>
  <xdr:twoCellAnchor editAs="oneCell">
    <xdr:from>
      <xdr:col>7</xdr:col>
      <xdr:colOff>25400</xdr:colOff>
      <xdr:row>36</xdr:row>
      <xdr:rowOff>25400</xdr:rowOff>
    </xdr:from>
    <xdr:to>
      <xdr:col>7</xdr:col>
      <xdr:colOff>1822450</xdr:colOff>
      <xdr:row>37</xdr:row>
      <xdr:rowOff>136525</xdr:rowOff>
    </xdr:to>
    <xdr:sp textlink="">
      <xdr:nvSpPr>
        <xdr:cNvPr id="43" name="btnReopenPeriod">
          <a:extLst>
            <a:ext uri="{FF2B5EF4-FFF2-40B4-BE49-F238E27FC236}">
              <a16:creationId xmlns:a16="http://schemas.microsoft.com/office/drawing/2014/main" id="{66E144AA-0DAC-5722-C5D0-E80CCB229B2E}"/>
            </a:ext>
          </a:extLst>
        </xdr:cNvPr>
        <xdr:cNvSpPr/>
      </xdr:nvSpPr>
      <xdr:spPr>
        <a:xfrm>
          <a:off x="6292850" y="7378700"/>
          <a:ext cx="1797050" cy="27305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808080"/>
              </a:solidFill>
              <a:latin typeface="Arial" panose="020B0604020202020204" pitchFamily="34" charset="0"/>
            </a:rPr>
            <a:t>Dönemi yeniden aç / Re-open period</a:t>
          </a:r>
        </a:p>
      </xdr:txBody>
    </xdr:sp>
    <xdr:clientData/>
  </xdr:twoCellAnchor>
  <xdr:twoCellAnchor editAs="oneCell">
    <xdr:from>
      <xdr:col>7</xdr:col>
      <xdr:colOff>25400</xdr:colOff>
      <xdr:row>38</xdr:row>
      <xdr:rowOff>25400</xdr:rowOff>
    </xdr:from>
    <xdr:to>
      <xdr:col>7</xdr:col>
      <xdr:colOff>1822450</xdr:colOff>
      <xdr:row>39</xdr:row>
      <xdr:rowOff>136525</xdr:rowOff>
    </xdr:to>
    <xdr:sp textlink="">
      <xdr:nvSpPr>
        <xdr:cNvPr id="44" name="btnVerifyLog">
          <a:extLst>
            <a:ext uri="{FF2B5EF4-FFF2-40B4-BE49-F238E27FC236}">
              <a16:creationId xmlns:a16="http://schemas.microsoft.com/office/drawing/2014/main" id="{13A87EEC-0D5A-8526-0D88-DD174277BD8A}"/>
            </a:ext>
          </a:extLst>
        </xdr:cNvPr>
        <xdr:cNvSpPr/>
      </xdr:nvSpPr>
      <xdr:spPr>
        <a:xfrm>
          <a:off x="6292850" y="770255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Günlüğü doğrula / Verify log</a:t>
          </a:r>
        </a:p>
      </xdr:txBody>
    </xdr:sp>
    <xdr:clientData/>
  </xdr:twoCellAnchor>
  <xdr:twoCellAnchor editAs="oneCell">
    <xdr:from>
      <xdr:col>7</xdr:col>
      <xdr:colOff>25400</xdr:colOff>
      <xdr:row>40</xdr:row>
      <xdr:rowOff>25400</xdr:rowOff>
    </xdr:from>
    <xdr:to>
      <xdr:col>7</xdr:col>
      <xdr:colOff>1822450</xdr:colOff>
      <xdr:row>41</xdr:row>
      <xdr:rowOff>136525</xdr:rowOff>
    </xdr:to>
    <xdr:sp textlink="">
      <xdr:nvSpPr>
        <xdr:cNvPr id="45" name="btnShowStaging">
          <a:extLst>
            <a:ext uri="{FF2B5EF4-FFF2-40B4-BE49-F238E27FC236}">
              <a16:creationId xmlns:a16="http://schemas.microsoft.com/office/drawing/2014/main" id="{62AC0C65-10C2-9CE2-C962-D66F16389793}"/>
            </a:ext>
          </a:extLst>
        </xdr:cNvPr>
        <xdr:cNvSpPr/>
      </xdr:nvSpPr>
      <xdr:spPr>
        <a:xfrm>
          <a:off x="6292850" y="802640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Ara tabloları göster / Show staging</a:t>
          </a:r>
        </a:p>
      </xdr:txBody>
    </xdr:sp>
    <xdr:clientData/>
  </xdr:twoCellAnchor>
  <xdr:twoCellAnchor editAs="oneCell">
    <xdr:from>
      <xdr:col>7</xdr:col>
      <xdr:colOff>25400</xdr:colOff>
      <xdr:row>42</xdr:row>
      <xdr:rowOff>25400</xdr:rowOff>
    </xdr:from>
    <xdr:to>
      <xdr:col>7</xdr:col>
      <xdr:colOff>1822450</xdr:colOff>
      <xdr:row>43</xdr:row>
      <xdr:rowOff>136525</xdr:rowOff>
    </xdr:to>
    <xdr:sp textlink="">
      <xdr:nvSpPr>
        <xdr:cNvPr id="46" name="btnHideStaging">
          <a:extLst>
            <a:ext uri="{FF2B5EF4-FFF2-40B4-BE49-F238E27FC236}">
              <a16:creationId xmlns:a16="http://schemas.microsoft.com/office/drawing/2014/main" id="{6ED91FF5-E25E-54F5-5616-409AE992F5F9}"/>
            </a:ext>
          </a:extLst>
        </xdr:cNvPr>
        <xdr:cNvSpPr/>
      </xdr:nvSpPr>
      <xdr:spPr>
        <a:xfrm>
          <a:off x="6292850" y="835025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Ara tabloları gizle / Hide staging</a:t>
          </a:r>
        </a:p>
      </xdr:txBody>
    </xdr:sp>
    <xdr:clientData/>
  </xdr:twoCellAnchor>
  <xdr:twoCellAnchor editAs="oneCell">
    <xdr:from>
      <xdr:col>7</xdr:col>
      <xdr:colOff>25400</xdr:colOff>
      <xdr:row>44</xdr:row>
      <xdr:rowOff>25400</xdr:rowOff>
    </xdr:from>
    <xdr:to>
      <xdr:col>7</xdr:col>
      <xdr:colOff>1822450</xdr:colOff>
      <xdr:row>45</xdr:row>
      <xdr:rowOff>136525</xdr:rowOff>
    </xdr:to>
    <xdr:sp textlink="">
      <xdr:nvSpPr>
        <xdr:cNvPr id="47" name="btnExportSourceCode">
          <a:extLst>
            <a:ext uri="{FF2B5EF4-FFF2-40B4-BE49-F238E27FC236}">
              <a16:creationId xmlns:a16="http://schemas.microsoft.com/office/drawing/2014/main" id="{384F85DC-8B5B-89D5-826F-9E7374A5C3C3}"/>
            </a:ext>
          </a:extLst>
        </xdr:cNvPr>
        <xdr:cNvSpPr/>
      </xdr:nvSpPr>
      <xdr:spPr>
        <a:xfrm>
          <a:off x="6292850" y="8674100"/>
          <a:ext cx="1797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FFFFFF"/>
              </a:solidFill>
              <a:latin typeface="Arial" panose="020B0604020202020204" pitchFamily="34" charset="0"/>
            </a:rPr>
            <a:t>Kaynak kodu / Export source code</a:t>
          </a:r>
        </a:p>
      </xdr:txBody>
    </xdr:sp>
    <xdr:clientData/>
  </xdr:twoCellAnchor>
  <xdr:twoCellAnchor editAs="oneCell">
    <xdr:from>
      <xdr:col>7</xdr:col>
      <xdr:colOff>25400</xdr:colOff>
      <xdr:row>46</xdr:row>
      <xdr:rowOff>25400</xdr:rowOff>
    </xdr:from>
    <xdr:to>
      <xdr:col>7</xdr:col>
      <xdr:colOff>1822450</xdr:colOff>
      <xdr:row>47</xdr:row>
      <xdr:rowOff>136525</xdr:rowOff>
    </xdr:to>
    <xdr:sp textlink="">
      <xdr:nvSpPr>
        <xdr:cNvPr id="48" name="btnClearLock">
          <a:extLst>
            <a:ext uri="{FF2B5EF4-FFF2-40B4-BE49-F238E27FC236}">
              <a16:creationId xmlns:a16="http://schemas.microsoft.com/office/drawing/2014/main" id="{483823DD-0FDD-FDFF-66AD-FFCF59B82A7B}"/>
            </a:ext>
          </a:extLst>
        </xdr:cNvPr>
        <xdr:cNvSpPr/>
      </xdr:nvSpPr>
      <xdr:spPr>
        <a:xfrm>
          <a:off x="6292850" y="8997950"/>
          <a:ext cx="1797050" cy="27305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808080"/>
              </a:solidFill>
              <a:latin typeface="Arial" panose="020B0604020202020204" pitchFamily="34" charset="0"/>
            </a:rPr>
            <a:t>Kilidi kaldır / Clear lock</a:t>
          </a:r>
        </a:p>
      </xdr:txBody>
    </xdr:sp>
    <xdr:clientData/>
  </xdr:twoCellAnchor>
  <xdr:twoCellAnchor editAs="oneCell">
    <xdr:from>
      <xdr:col>7</xdr:col>
      <xdr:colOff>25400</xdr:colOff>
      <xdr:row>48</xdr:row>
      <xdr:rowOff>25400</xdr:rowOff>
    </xdr:from>
    <xdr:to>
      <xdr:col>7</xdr:col>
      <xdr:colOff>1822450</xdr:colOff>
      <xdr:row>49</xdr:row>
      <xdr:rowOff>136525</xdr:rowOff>
    </xdr:to>
    <xdr:sp textlink="">
      <xdr:nvSpPr>
        <xdr:cNvPr id="49" name="btnBackfill">
          <a:extLst>
            <a:ext uri="{FF2B5EF4-FFF2-40B4-BE49-F238E27FC236}">
              <a16:creationId xmlns:a16="http://schemas.microsoft.com/office/drawing/2014/main" id="{7900CDD3-259E-3886-25DA-8DD4D97218BD}"/>
            </a:ext>
          </a:extLst>
        </xdr:cNvPr>
        <xdr:cNvSpPr/>
      </xdr:nvSpPr>
      <xdr:spPr>
        <a:xfrm>
          <a:off x="6292850" y="9321800"/>
          <a:ext cx="1797050" cy="27305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808080"/>
              </a:solidFill>
              <a:latin typeface="Arial" panose="020B0604020202020204" pitchFamily="34" charset="0"/>
            </a:rPr>
            <a:t>Geçmişi depoya yaz / Backfill history</a:t>
          </a:r>
        </a:p>
      </xdr:txBody>
    </xdr:sp>
    <xdr:clientData/>
  </xdr:twoCellAnchor>
  <xdr:twoCellAnchor editAs="oneCell">
    <xdr:from>
      <xdr:col>5</xdr:col>
      <xdr:colOff>25400</xdr:colOff>
      <xdr:row>36</xdr:row>
      <xdr:rowOff>25400</xdr:rowOff>
    </xdr:from>
    <xdr:to>
      <xdr:col>5</xdr:col>
      <xdr:colOff>1822450</xdr:colOff>
      <xdr:row>37</xdr:row>
      <xdr:rowOff>136525</xdr:rowOff>
    </xdr:to>
    <xdr:sp textlink="">
      <xdr:nvSpPr>
        <xdr:cNvPr id="50" name="btnColumnMapA1">
          <a:hlinkClick xmlns:r="http://schemas.openxmlformats.org/officeDocument/2006/relationships" r:id="rId10" tooltip="ColumnMap (ID doğrulama / verify IDs)"/>
          <a:extLst>
            <a:ext uri="{FF2B5EF4-FFF2-40B4-BE49-F238E27FC236}">
              <a16:creationId xmlns:a16="http://schemas.microsoft.com/office/drawing/2014/main" id="{C6277A4A-1444-E302-4987-62E03F7E7386}"/>
            </a:ext>
          </a:extLst>
        </xdr:cNvPr>
        <xdr:cNvSpPr/>
      </xdr:nvSpPr>
      <xdr:spPr>
        <a:xfrm>
          <a:off x="4264025" y="737870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ColumnMap (ID doğrulama / verify IDs)</a:t>
          </a:r>
        </a:p>
      </xdr:txBody>
    </xdr:sp>
    <xdr:clientData/>
  </xdr:twoCellAnchor>
  <xdr:twoCellAnchor editAs="oneCell">
    <xdr:from>
      <xdr:col>5</xdr:col>
      <xdr:colOff>25400</xdr:colOff>
      <xdr:row>38</xdr:row>
      <xdr:rowOff>25400</xdr:rowOff>
    </xdr:from>
    <xdr:to>
      <xdr:col>5</xdr:col>
      <xdr:colOff>1822450</xdr:colOff>
      <xdr:row>39</xdr:row>
      <xdr:rowOff>136525</xdr:rowOff>
    </xdr:to>
    <xdr:sp textlink="">
      <xdr:nvSpPr>
        <xdr:cNvPr id="51" name="btnDecisionRegisterA1">
          <a:hlinkClick xmlns:r="http://schemas.openxmlformats.org/officeDocument/2006/relationships" r:id="rId11" tooltip="Karar kaydı / Decision register"/>
          <a:extLst>
            <a:ext uri="{FF2B5EF4-FFF2-40B4-BE49-F238E27FC236}">
              <a16:creationId xmlns:a16="http://schemas.microsoft.com/office/drawing/2014/main" id="{9C3A76D6-FF17-566E-907E-F9EE707F15CB}"/>
            </a:ext>
          </a:extLst>
        </xdr:cNvPr>
        <xdr:cNvSpPr/>
      </xdr:nvSpPr>
      <xdr:spPr>
        <a:xfrm>
          <a:off x="4264025" y="770255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Karar kaydı / Decision register</a:t>
          </a:r>
        </a:p>
      </xdr:txBody>
    </xdr:sp>
    <xdr:clientData/>
  </xdr:twoCellAnchor>
  <xdr:twoCellAnchor editAs="oneCell">
    <xdr:from>
      <xdr:col>5</xdr:col>
      <xdr:colOff>25400</xdr:colOff>
      <xdr:row>40</xdr:row>
      <xdr:rowOff>25400</xdr:rowOff>
    </xdr:from>
    <xdr:to>
      <xdr:col>5</xdr:col>
      <xdr:colOff>1822450</xdr:colOff>
      <xdr:row>41</xdr:row>
      <xdr:rowOff>136525</xdr:rowOff>
    </xdr:to>
    <xdr:sp textlink="">
      <xdr:nvSpPr>
        <xdr:cNvPr id="52" name="btnAdminConfigA1">
          <a:hlinkClick xmlns:r="http://schemas.openxmlformats.org/officeDocument/2006/relationships" r:id="rId12" tooltip="Yönetim tabloları / Administration"/>
          <a:extLst>
            <a:ext uri="{FF2B5EF4-FFF2-40B4-BE49-F238E27FC236}">
              <a16:creationId xmlns:a16="http://schemas.microsoft.com/office/drawing/2014/main" id="{6F4C0977-B213-A248-37B3-F2CE16AB9309}"/>
            </a:ext>
          </a:extLst>
        </xdr:cNvPr>
        <xdr:cNvSpPr/>
      </xdr:nvSpPr>
      <xdr:spPr>
        <a:xfrm>
          <a:off x="4264025" y="802640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Yönetim tabloları / Administration</a:t>
          </a:r>
        </a:p>
      </xdr:txBody>
    </xdr:sp>
    <xdr:clientData/>
  </xdr:twoCellAnchor>
  <xdr:twoCellAnchor editAs="oneCell">
    <xdr:from>
      <xdr:col>5</xdr:col>
      <xdr:colOff>25400</xdr:colOff>
      <xdr:row>42</xdr:row>
      <xdr:rowOff>25400</xdr:rowOff>
    </xdr:from>
    <xdr:to>
      <xdr:col>5</xdr:col>
      <xdr:colOff>1822450</xdr:colOff>
      <xdr:row>43</xdr:row>
      <xdr:rowOff>136525</xdr:rowOff>
    </xdr:to>
    <xdr:sp textlink="">
      <xdr:nvSpPr>
        <xdr:cNvPr id="53" name="btnAdminGuideA1">
          <a:hlinkClick xmlns:r="http://schemas.openxmlformats.org/officeDocument/2006/relationships" r:id="rId13" tooltip="Yönetici kılavuzu / Admin guide"/>
          <a:extLst>
            <a:ext uri="{FF2B5EF4-FFF2-40B4-BE49-F238E27FC236}">
              <a16:creationId xmlns:a16="http://schemas.microsoft.com/office/drawing/2014/main" id="{2915383D-756B-372C-4006-1DFB67C25B20}"/>
            </a:ext>
          </a:extLst>
        </xdr:cNvPr>
        <xdr:cNvSpPr/>
      </xdr:nvSpPr>
      <xdr:spPr>
        <a:xfrm>
          <a:off x="4264025" y="835025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Yönetici kılavuzu / Admin guide</a:t>
          </a:r>
        </a:p>
      </xdr:txBody>
    </xdr:sp>
    <xdr:clientData/>
  </xdr:twoCellAnchor>
  <xdr:twoCellAnchor editAs="oneCell">
    <xdr:from>
      <xdr:col>5</xdr:col>
      <xdr:colOff>25400</xdr:colOff>
      <xdr:row>44</xdr:row>
      <xdr:rowOff>25400</xdr:rowOff>
    </xdr:from>
    <xdr:to>
      <xdr:col>5</xdr:col>
      <xdr:colOff>1822450</xdr:colOff>
      <xdr:row>45</xdr:row>
      <xdr:rowOff>136525</xdr:rowOff>
    </xdr:to>
    <xdr:sp textlink="">
      <xdr:nvSpPr>
        <xdr:cNvPr id="54" name="btnTechnicalGuideA1">
          <a:hlinkClick xmlns:r="http://schemas.openxmlformats.org/officeDocument/2006/relationships" r:id="rId14" tooltip="Teknik kılavuz / Technical guide"/>
          <a:extLst>
            <a:ext uri="{FF2B5EF4-FFF2-40B4-BE49-F238E27FC236}">
              <a16:creationId xmlns:a16="http://schemas.microsoft.com/office/drawing/2014/main" id="{1A6D4928-553D-2C5C-1A3A-662917902F34}"/>
            </a:ext>
          </a:extLst>
        </xdr:cNvPr>
        <xdr:cNvSpPr/>
      </xdr:nvSpPr>
      <xdr:spPr>
        <a:xfrm>
          <a:off x="4264025" y="867410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1F3864"/>
              </a:solidFill>
              <a:latin typeface="Arial" panose="020B0604020202020204" pitchFamily="34" charset="0"/>
            </a:rPr>
            <a:t>Teknik kılavuz / Technical guide</a:t>
          </a:r>
        </a:p>
      </xdr:txBody>
    </xdr:sp>
    <xdr:clientData/>
  </xdr:twoCellAnchor>
  <xdr:twoCellAnchor editAs="oneCell">
    <xdr:from>
      <xdr:col>5</xdr:col>
      <xdr:colOff>25400</xdr:colOff>
      <xdr:row>46</xdr:row>
      <xdr:rowOff>25400</xdr:rowOff>
    </xdr:from>
    <xdr:to>
      <xdr:col>5</xdr:col>
      <xdr:colOff>1822450</xdr:colOff>
      <xdr:row>47</xdr:row>
      <xdr:rowOff>136525</xdr:rowOff>
    </xdr:to>
    <xdr:sp textlink="">
      <xdr:nvSpPr>
        <xdr:cNvPr id="3" name="btnANIndex">
          <a:hlinkClick xmlns:r="http://schemas.openxmlformats.org/officeDocument/2006/relationships" r:id="rId15" tooltip="Analiz sayfaları / Analytics pages"/>
          <a:extLst>
            <a:ext uri="{FF2B5EF4-FFF2-40B4-BE49-F238E27FC236}">
              <a16:creationId xmlns:a16="http://schemas.microsoft.com/office/drawing/2014/main" id="{C1D1EB86-5B58-E17B-983F-18DCAF679A8C}"/>
            </a:ext>
          </a:extLst>
        </xdr:cNvPr>
        <xdr:cNvSpPr/>
      </xdr:nvSpPr>
      <xdr:spPr>
        <a:xfrm>
          <a:off x="4264025" y="8997950"/>
          <a:ext cx="1797050"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900" b="1">
              <a:solidFill>
                <a:srgbClr val="1F3864"/>
              </a:solidFill>
              <a:latin typeface="Arial" panose="020B0604020202020204" pitchFamily="34" charset="0"/>
            </a:rPr>
            <a:t>Analiz sayfaları / Analytics pages</a:t>
          </a:r>
        </a:p>
      </xdr:txBody>
    </xdr:sp>
    <xdr:clientData/>
  </xdr:twoCellAnchor>
  <xdr:twoCellAnchor editAs="oneCell">
    <xdr:from>
      <xdr:col>9</xdr:col>
      <xdr:colOff>25400</xdr:colOff>
      <xdr:row>26</xdr:row>
      <xdr:rowOff>25400</xdr:rowOff>
    </xdr:from>
    <xdr:to>
      <xdr:col>9</xdr:col>
      <xdr:colOff>1822450</xdr:colOff>
      <xdr:row>27</xdr:row>
      <xdr:rowOff>136525</xdr:rowOff>
    </xdr:to>
    <xdr:sp textlink="">
      <xdr:nvSpPr>
        <xdr:cNvPr id="2" name="btnRebuildStore">
          <a:extLst>
            <a:ext uri="{FF2B5EF4-FFF2-40B4-BE49-F238E27FC236}">
              <a16:creationId xmlns:a16="http://schemas.microsoft.com/office/drawing/2014/main" id="{0D7D3CBE-2E4E-E258-42D0-957DC97558C2}"/>
            </a:ext>
          </a:extLst>
        </xdr:cNvPr>
        <xdr:cNvSpPr/>
      </xdr:nvSpPr>
      <xdr:spPr>
        <a:xfrm>
          <a:off x="8321675" y="5435600"/>
          <a:ext cx="1797050" cy="27305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808080"/>
              </a:solidFill>
              <a:latin typeface="Arial" panose="020B0604020202020204" pitchFamily="34" charset="0"/>
            </a:rPr>
            <a:t>Depoyu yeniden kur / Rebuild store</a:t>
          </a:r>
        </a:p>
      </xdr:txBody>
    </xdr:sp>
    <xdr:clientData/>
  </xdr:twoCellAnchor>
  <xdr:twoCellAnchor editAs="oneCell">
    <xdr:from>
      <xdr:col>9</xdr:col>
      <xdr:colOff>25400</xdr:colOff>
      <xdr:row>28</xdr:row>
      <xdr:rowOff>25400</xdr:rowOff>
    </xdr:from>
    <xdr:to>
      <xdr:col>9</xdr:col>
      <xdr:colOff>1822450</xdr:colOff>
      <xdr:row>29</xdr:row>
      <xdr:rowOff>136525</xdr:rowOff>
    </xdr:to>
    <xdr:sp textlink="">
      <xdr:nvSpPr>
        <xdr:cNvPr id="4" name="btnLockColumnMap">
          <a:extLst>
            <a:ext uri="{FF2B5EF4-FFF2-40B4-BE49-F238E27FC236}">
              <a16:creationId xmlns:a16="http://schemas.microsoft.com/office/drawing/2014/main" id="{C2B9C42A-404E-9E0E-7C28-705E8D839E58}"/>
            </a:ext>
          </a:extLst>
        </xdr:cNvPr>
        <xdr:cNvSpPr/>
      </xdr:nvSpPr>
      <xdr:spPr>
        <a:xfrm>
          <a:off x="8321675" y="5759450"/>
          <a:ext cx="1797050" cy="27305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808080"/>
              </a:solidFill>
              <a:latin typeface="Arial" panose="020B0604020202020204" pitchFamily="34" charset="0"/>
            </a:rPr>
            <a:t>Kolon haritasını kilitle / Lock column map</a:t>
          </a:r>
        </a:p>
      </xdr:txBody>
    </xdr:sp>
    <xdr:clientData/>
  </xdr:twoCellAnchor>
  <xdr:twoCellAnchor editAs="oneCell">
    <xdr:from>
      <xdr:col>9</xdr:col>
      <xdr:colOff>25400</xdr:colOff>
      <xdr:row>30</xdr:row>
      <xdr:rowOff>25400</xdr:rowOff>
    </xdr:from>
    <xdr:to>
      <xdr:col>9</xdr:col>
      <xdr:colOff>1822450</xdr:colOff>
      <xdr:row>31</xdr:row>
      <xdr:rowOff>136525</xdr:rowOff>
    </xdr:to>
    <xdr:sp textlink="">
      <xdr:nvSpPr>
        <xdr:cNvPr id="5" name="btnUnlockColumnMap">
          <a:extLst>
            <a:ext uri="{FF2B5EF4-FFF2-40B4-BE49-F238E27FC236}">
              <a16:creationId xmlns:a16="http://schemas.microsoft.com/office/drawing/2014/main" id="{07FF9E17-AE89-D041-7DA7-A600187A7D12}"/>
            </a:ext>
          </a:extLst>
        </xdr:cNvPr>
        <xdr:cNvSpPr/>
      </xdr:nvSpPr>
      <xdr:spPr>
        <a:xfrm>
          <a:off x="8321675" y="6083300"/>
          <a:ext cx="1797050" cy="27305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rIns="25400" rtlCol="0" anchor="ctr"/>
        <a:lstStyle/>
        <a:p>
          <a:pPr algn="ctr"/>
          <a:r>
            <a:rPr lang="en-GB" sz="900" b="1">
              <a:solidFill>
                <a:srgbClr val="808080"/>
              </a:solidFill>
              <a:latin typeface="Arial" panose="020B0604020202020204" pitchFamily="34" charset="0"/>
            </a:rPr>
            <a:t>Kolon haritası kilidini kaldır / Unlock column map</a:t>
          </a:r>
        </a:p>
      </xdr:txBody>
    </xdr:sp>
    <xdr:clientData/>
  </xdr:twoCellAnchor>
  <xdr:twoCellAnchor editAs="oneCell">
    <xdr:from>
      <xdr:col>5</xdr:col>
      <xdr:colOff>25400</xdr:colOff>
      <xdr:row>48</xdr:row>
      <xdr:rowOff>25400</xdr:rowOff>
    </xdr:from>
    <xdr:to>
      <xdr:col>5</xdr:col>
      <xdr:colOff>1822450</xdr:colOff>
      <xdr:row>49</xdr:row>
      <xdr:rowOff>450850</xdr:rowOff>
    </xdr:to>
    <xdr:sp textlink="">
      <xdr:nvSpPr>
        <xdr:cNvPr id="6" name="btnRawViewA1">
          <a:hlinkClick xmlns:r="http://schemas.openxmlformats.org/officeDocument/2006/relationships" r:id="rId16" tooltip="Satırlar / Raw view"/>
          <a:extLst>
            <a:ext uri="{FF2B5EF4-FFF2-40B4-BE49-F238E27FC236}">
              <a16:creationId xmlns:a16="http://schemas.microsoft.com/office/drawing/2014/main" id="{811D6687-1DAC-FBA2-A271-3DC5F73784B1}"/>
            </a:ext>
          </a:extLst>
        </xdr:cNvPr>
        <xdr:cNvSpPr/>
      </xdr:nvSpPr>
      <xdr:spPr>
        <a:xfrm>
          <a:off x="4264025" y="9321800"/>
          <a:ext cx="1797050" cy="587375"/>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900" b="1">
              <a:solidFill>
                <a:srgbClr val="1F3864"/>
              </a:solidFill>
              <a:latin typeface="Arial" panose="020B0604020202020204" pitchFamily="34" charset="0"/>
            </a:rPr>
            <a:t>Satırlar / Raw view</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25400</xdr:colOff>
      <xdr:row>4</xdr:row>
      <xdr:rowOff>25400</xdr:rowOff>
    </xdr:from>
    <xdr:to>
      <xdr:col>12</xdr:col>
      <xdr:colOff>1155700</xdr:colOff>
      <xdr:row>5</xdr:row>
      <xdr:rowOff>136525</xdr:rowOff>
    </xdr:to>
    <xdr:sp textlink="">
      <xdr:nvSpPr>
        <xdr:cNvPr id="2" name="btnRefresh">
          <a:extLst>
            <a:ext uri="{FF2B5EF4-FFF2-40B4-BE49-F238E27FC236}">
              <a16:creationId xmlns:a16="http://schemas.microsoft.com/office/drawing/2014/main" id="{845E0C6C-6588-5274-2F66-A9A7D3900D27}"/>
            </a:ext>
          </a:extLst>
        </xdr:cNvPr>
        <xdr:cNvSpPr/>
      </xdr:nvSpPr>
      <xdr:spPr>
        <a:xfrm>
          <a:off x="20989925" y="796925"/>
          <a:ext cx="2111375" cy="44450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a:solidFill>
                <a:srgbClr val="808080"/>
              </a:solidFill>
              <a:latin typeface="Arial" panose="020B0604020202020204" pitchFamily="34" charset="0"/>
            </a:rPr>
            <a:t>Refresh</a:t>
          </a:r>
        </a:p>
      </xdr:txBody>
    </xdr:sp>
    <xdr:clientData/>
  </xdr:twoCellAnchor>
  <xdr:twoCellAnchor editAs="oneCell">
    <xdr:from>
      <xdr:col>11</xdr:col>
      <xdr:colOff>25400</xdr:colOff>
      <xdr:row>7</xdr:row>
      <xdr:rowOff>25400</xdr:rowOff>
    </xdr:from>
    <xdr:to>
      <xdr:col>12</xdr:col>
      <xdr:colOff>1155700</xdr:colOff>
      <xdr:row>8</xdr:row>
      <xdr:rowOff>136525</xdr:rowOff>
    </xdr:to>
    <xdr:sp textlink="">
      <xdr:nvSpPr>
        <xdr:cNvPr id="3" name="btnSubmitforreview" hidden="1">
          <a:extLst>
            <a:ext uri="{FF2B5EF4-FFF2-40B4-BE49-F238E27FC236}">
              <a16:creationId xmlns:a16="http://schemas.microsoft.com/office/drawing/2014/main" id="{6286D103-4F5F-E28C-52FE-2AA2D75E0699}"/>
            </a:ext>
          </a:extLst>
        </xdr:cNvPr>
        <xdr:cNvSpPr/>
      </xdr:nvSpPr>
      <xdr:spPr>
        <a:xfrm>
          <a:off x="20989925" y="1454150"/>
          <a:ext cx="2111375"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a:solidFill>
                <a:srgbClr val="FFFFFF"/>
              </a:solidFill>
              <a:latin typeface="Arial" panose="020B0604020202020204" pitchFamily="34" charset="0"/>
            </a:rPr>
            <a:t>Submit for review</a:t>
          </a:r>
        </a:p>
      </xdr:txBody>
    </xdr:sp>
    <xdr:clientData/>
  </xdr:twoCellAnchor>
  <xdr:twoCellAnchor editAs="oneCell">
    <xdr:from>
      <xdr:col>11</xdr:col>
      <xdr:colOff>25400</xdr:colOff>
      <xdr:row>10</xdr:row>
      <xdr:rowOff>25400</xdr:rowOff>
    </xdr:from>
    <xdr:to>
      <xdr:col>12</xdr:col>
      <xdr:colOff>1155700</xdr:colOff>
      <xdr:row>11</xdr:row>
      <xdr:rowOff>136525</xdr:rowOff>
    </xdr:to>
    <xdr:sp textlink="">
      <xdr:nvSpPr>
        <xdr:cNvPr id="4" name="btnCloseperiod" hidden="1">
          <a:extLst>
            <a:ext uri="{FF2B5EF4-FFF2-40B4-BE49-F238E27FC236}">
              <a16:creationId xmlns:a16="http://schemas.microsoft.com/office/drawing/2014/main" id="{36772113-B88E-0B2F-FEEB-AF6F7B22CB34}"/>
            </a:ext>
          </a:extLst>
        </xdr:cNvPr>
        <xdr:cNvSpPr/>
      </xdr:nvSpPr>
      <xdr:spPr>
        <a:xfrm>
          <a:off x="20989925" y="1939925"/>
          <a:ext cx="2111375"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a:solidFill>
                <a:srgbClr val="FFFFFF"/>
              </a:solidFill>
              <a:latin typeface="Arial" panose="020B0604020202020204" pitchFamily="34" charset="0"/>
            </a:rPr>
            <a:t>Close period</a:t>
          </a:r>
        </a:p>
      </xdr:txBody>
    </xdr:sp>
    <xdr:clientData/>
  </xdr:twoCellAnchor>
  <xdr:twoCellAnchor editAs="oneCell">
    <xdr:from>
      <xdr:col>11</xdr:col>
      <xdr:colOff>25400</xdr:colOff>
      <xdr:row>13</xdr:row>
      <xdr:rowOff>25400</xdr:rowOff>
    </xdr:from>
    <xdr:to>
      <xdr:col>12</xdr:col>
      <xdr:colOff>1155700</xdr:colOff>
      <xdr:row>14</xdr:row>
      <xdr:rowOff>136525</xdr:rowOff>
    </xdr:to>
    <xdr:sp textlink="">
      <xdr:nvSpPr>
        <xdr:cNvPr id="5" name="btnHome">
          <a:hlinkClick xmlns:r="http://schemas.openxmlformats.org/officeDocument/2006/relationships" r:id="rId1" tooltip="Home"/>
          <a:extLst>
            <a:ext uri="{FF2B5EF4-FFF2-40B4-BE49-F238E27FC236}">
              <a16:creationId xmlns:a16="http://schemas.microsoft.com/office/drawing/2014/main" id="{49B28EBC-F77E-DF61-CEAB-28FCC58DF679}"/>
            </a:ext>
          </a:extLst>
        </xdr:cNvPr>
        <xdr:cNvSpPr/>
      </xdr:nvSpPr>
      <xdr:spPr>
        <a:xfrm>
          <a:off x="20989925" y="2425700"/>
          <a:ext cx="2111375" cy="273050"/>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a:solidFill>
                <a:srgbClr val="1F3864"/>
              </a:solidFill>
              <a:latin typeface="Arial" panose="020B0604020202020204" pitchFamily="34" charset="0"/>
            </a:rPr>
            <a:t>Home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1</xdr:col>
      <xdr:colOff>930275</xdr:colOff>
      <xdr:row>10</xdr:row>
      <xdr:rowOff>0</xdr:rowOff>
    </xdr:to>
    <mc:AlternateContent xmlns:mc="http://schemas.openxmlformats.org/markup-compatibility/2006" xmlns:a14="http://schemas.microsoft.com/office/drawing/2010/main">
      <mc:Choice Requires="a14">
        <xdr:graphicFrame>
          <xdr:nvGraphicFramePr>
            <xdr:cNvPr id="2" name="slcYearMonth">
              <a:extLst>
                <a:ext uri="{FF2B5EF4-FFF2-40B4-BE49-F238E27FC236}">
                  <a16:creationId xmlns:a16="http://schemas.microsoft.com/office/drawing/2014/main" id="{EF6A77E4-9764-CD05-733A-DD15CFDBB3B4}"/>
                </a:ext>
              </a:extLst>
            </xdr:cNvPr>
            <xdr:cNvGraphicFramePr/>
          </xdr:nvGraphicFramePr>
          <xdr:xfrm>
            <a:off x="0" y="0"/>
            <a:ext cx="0" cy="0"/>
          </xdr:xfrm>
          <a:graphic>
            <a:graphicData uri="http://schemas.microsoft.com/office/drawing/2010/slicer">
              <sle:slicer xmlns:sle="http://schemas.microsoft.com/office/drawing/2010/slicer" name="slcYearMonth"/>
            </a:graphicData>
          </a:graphic>
        </xdr:graphicFrame>
      </mc:Choice>
      <mc:Fallback xmlns="">
        <xdr:sp textlink="">
          <xdr:nvSpPr>
            <xdr:cNvPr id="0" name=""/>
            <xdr:cNvSpPr>
              <a:spLocks noTextEdit="1"/>
            </xdr:cNvSpPr>
          </xdr:nvSpPr>
          <xdr:spPr>
            <a:xfrm>
              <a:off x="0" y="904875"/>
              <a:ext cx="2286000" cy="2032000"/>
            </a:xfrm>
            <a:prstGeom prst="rect">
              <a:avLst/>
            </a:prstGeom>
            <a:solidFill>
              <a:prstClr val="white"/>
            </a:solidFill>
            <a:ln w="1">
              <a:solidFill>
                <a:prstClr val="green"/>
              </a:solidFill>
            </a:ln>
          </xdr:spPr>
          <xdr:txBody>
            <a:bodyPr vertOverflow="clip" horzOverflow="clip"/>
            <a:lstStyle/>
            <a:p>
              <a:r>
                <a:rPr lang="en-GB" sz="1100"/>
                <a:t>Bu şekil bir dilimleyiciyi gösterir. Dilimleyiciler Excel 2010 ve sonraki sürümlerde desteklenir.
Şekil daha önceki bir Excel sürümünde değiştirildiyse veya çalışma kitabı Excel 2003 veya önceki sürümünde kaydedildiyse, dilimleyici kullanılamaz.</a:t>
              </a:r>
            </a:p>
          </xdr:txBody>
        </xdr:sp>
      </mc:Fallback>
    </mc:AlternateContent>
    <xdr:clientData/>
  </xdr:twoCellAnchor>
  <xdr:twoCellAnchor editAs="oneCell">
    <xdr:from>
      <xdr:col>2</xdr:col>
      <xdr:colOff>0</xdr:colOff>
      <xdr:row>4</xdr:row>
      <xdr:rowOff>0</xdr:rowOff>
    </xdr:from>
    <xdr:to>
      <xdr:col>3</xdr:col>
      <xdr:colOff>930275</xdr:colOff>
      <xdr:row>10</xdr:row>
      <xdr:rowOff>0</xdr:rowOff>
    </xdr:to>
    <mc:AlternateContent xmlns:mc="http://schemas.openxmlformats.org/markup-compatibility/2006" xmlns:a14="http://schemas.microsoft.com/office/drawing/2010/main">
      <mc:Choice Requires="a14">
        <xdr:graphicFrame>
          <xdr:nvGraphicFramePr>
            <xdr:cNvPr id="3" name="slcCompanyType">
              <a:extLst>
                <a:ext uri="{FF2B5EF4-FFF2-40B4-BE49-F238E27FC236}">
                  <a16:creationId xmlns:a16="http://schemas.microsoft.com/office/drawing/2014/main" id="{78268F92-5D3A-4A02-0097-CF17F97FA255}"/>
                </a:ext>
              </a:extLst>
            </xdr:cNvPr>
            <xdr:cNvGraphicFramePr/>
          </xdr:nvGraphicFramePr>
          <xdr:xfrm>
            <a:off x="0" y="0"/>
            <a:ext cx="0" cy="0"/>
          </xdr:xfrm>
          <a:graphic>
            <a:graphicData uri="http://schemas.microsoft.com/office/drawing/2010/slicer">
              <sle:slicer xmlns:sle="http://schemas.microsoft.com/office/drawing/2010/slicer" name="slcCompanyType"/>
            </a:graphicData>
          </a:graphic>
        </xdr:graphicFrame>
      </mc:Choice>
      <mc:Fallback xmlns="">
        <xdr:sp textlink="">
          <xdr:nvSpPr>
            <xdr:cNvPr id="0" name=""/>
            <xdr:cNvSpPr>
              <a:spLocks noTextEdit="1"/>
            </xdr:cNvSpPr>
          </xdr:nvSpPr>
          <xdr:spPr>
            <a:xfrm>
              <a:off x="2476500" y="904875"/>
              <a:ext cx="1905000" cy="1270000"/>
            </a:xfrm>
            <a:prstGeom prst="rect">
              <a:avLst/>
            </a:prstGeom>
            <a:solidFill>
              <a:prstClr val="white"/>
            </a:solidFill>
            <a:ln w="1">
              <a:solidFill>
                <a:prstClr val="green"/>
              </a:solidFill>
            </a:ln>
          </xdr:spPr>
          <xdr:txBody>
            <a:bodyPr vertOverflow="clip" horzOverflow="clip"/>
            <a:lstStyle/>
            <a:p>
              <a:r>
                <a:rPr lang="en-GB" sz="1100"/>
                <a:t>Bu şekil bir dilimleyiciyi gösterir. Dilimleyiciler Excel 2010 ve sonraki sürümlerde desteklenir.
Şekil daha önceki bir Excel sürümünde değiştirildiyse veya çalışma kitabı Excel 2003 veya önceki sürümünde kaydedildiyse, dilimleyici kullanılamaz.</a:t>
              </a:r>
            </a:p>
          </xdr:txBody>
        </xdr:sp>
      </mc:Fallback>
    </mc:AlternateContent>
    <xdr:clientData/>
  </xdr:twoCellAnchor>
  <xdr:twoCellAnchor editAs="oneCell">
    <xdr:from>
      <xdr:col>4</xdr:col>
      <xdr:colOff>0</xdr:colOff>
      <xdr:row>4</xdr:row>
      <xdr:rowOff>0</xdr:rowOff>
    </xdr:from>
    <xdr:to>
      <xdr:col>5</xdr:col>
      <xdr:colOff>930275</xdr:colOff>
      <xdr:row>10</xdr:row>
      <xdr:rowOff>0</xdr:rowOff>
    </xdr:to>
    <mc:AlternateContent xmlns:mc="http://schemas.openxmlformats.org/markup-compatibility/2006" xmlns:a14="http://schemas.microsoft.com/office/drawing/2010/main">
      <mc:Choice Requires="a14">
        <xdr:graphicFrame>
          <xdr:nvGraphicFramePr>
            <xdr:cNvPr id="4" name="slcCurrency">
              <a:extLst>
                <a:ext uri="{FF2B5EF4-FFF2-40B4-BE49-F238E27FC236}">
                  <a16:creationId xmlns:a16="http://schemas.microsoft.com/office/drawing/2014/main" id="{192FCF50-68AB-7380-7593-42923CB77569}"/>
                </a:ext>
              </a:extLst>
            </xdr:cNvPr>
            <xdr:cNvGraphicFramePr/>
          </xdr:nvGraphicFramePr>
          <xdr:xfrm>
            <a:off x="0" y="0"/>
            <a:ext cx="0" cy="0"/>
          </xdr:xfrm>
          <a:graphic>
            <a:graphicData uri="http://schemas.microsoft.com/office/drawing/2010/slicer">
              <sle:slicer xmlns:sle="http://schemas.microsoft.com/office/drawing/2010/slicer" name="slcCurrency"/>
            </a:graphicData>
          </a:graphic>
        </xdr:graphicFrame>
      </mc:Choice>
      <mc:Fallback xmlns="">
        <xdr:sp textlink="">
          <xdr:nvSpPr>
            <xdr:cNvPr id="0" name=""/>
            <xdr:cNvSpPr>
              <a:spLocks noTextEdit="1"/>
            </xdr:cNvSpPr>
          </xdr:nvSpPr>
          <xdr:spPr>
            <a:xfrm>
              <a:off x="4572000" y="904875"/>
              <a:ext cx="1905000" cy="1270000"/>
            </a:xfrm>
            <a:prstGeom prst="rect">
              <a:avLst/>
            </a:prstGeom>
            <a:solidFill>
              <a:prstClr val="white"/>
            </a:solidFill>
            <a:ln w="1">
              <a:solidFill>
                <a:prstClr val="green"/>
              </a:solidFill>
            </a:ln>
          </xdr:spPr>
          <xdr:txBody>
            <a:bodyPr vertOverflow="clip" horzOverflow="clip"/>
            <a:lstStyle/>
            <a:p>
              <a:r>
                <a:rPr lang="en-GB" sz="1100"/>
                <a:t>Bu şekil bir dilimleyiciyi gösterir. Dilimleyiciler Excel 2010 ve sonraki sürümlerde desteklenir.
Şekil daha önceki bir Excel sürümünde değiştirildiyse veya çalışma kitabı Excel 2003 veya önceki sürümünde kaydedildiyse, dilimleyici kullanılamaz.</a:t>
              </a:r>
            </a:p>
          </xdr:txBody>
        </xdr:sp>
      </mc:Fallback>
    </mc:AlternateContent>
    <xdr:clientData/>
  </xdr:twoCellAnchor>
  <xdr:twoCellAnchor editAs="oneCell">
    <xdr:from>
      <xdr:col>6</xdr:col>
      <xdr:colOff>0</xdr:colOff>
      <xdr:row>4</xdr:row>
      <xdr:rowOff>0</xdr:rowOff>
    </xdr:from>
    <xdr:to>
      <xdr:col>14</xdr:col>
      <xdr:colOff>0</xdr:colOff>
      <xdr:row>10</xdr:row>
      <xdr:rowOff>0</xdr:rowOff>
    </xdr:to>
    <mc:AlternateContent xmlns:mc="http://schemas.openxmlformats.org/markup-compatibility/2006" xmlns:tsle="http://schemas.microsoft.com/office/drawing/2012/timeslicer">
      <mc:Choice Requires="tsle">
        <xdr:graphicFrame>
          <xdr:nvGraphicFramePr>
            <xdr:cNvPr id="5" name="tlReportingPeriod">
              <a:extLst>
                <a:ext uri="{FF2B5EF4-FFF2-40B4-BE49-F238E27FC236}">
                  <a16:creationId xmlns:a16="http://schemas.microsoft.com/office/drawing/2014/main" id="{A02DA2B1-1D95-9ED8-E00F-64525463454D}"/>
                </a:ext>
              </a:extLst>
            </xdr:cNvPr>
            <xdr:cNvGraphicFramePr/>
          </xdr:nvGraphicFramePr>
          <xdr:xfrm>
            <a:off x="0" y="0"/>
            <a:ext cx="0" cy="0"/>
          </xdr:xfrm>
          <a:graphic>
            <a:graphicData uri="http://schemas.microsoft.com/office/drawing/2012/timeslicer">
              <tsle:timeslicer name="tlReportingPeriod"/>
            </a:graphicData>
          </a:graphic>
        </xdr:graphicFrame>
      </mc:Choice>
      <mc:Fallback xmlns="">
        <xdr:sp textlink="">
          <xdr:nvSpPr>
            <xdr:cNvPr id="0" name=""/>
            <xdr:cNvSpPr>
              <a:spLocks noTextEdit="1"/>
            </xdr:cNvSpPr>
          </xdr:nvSpPr>
          <xdr:spPr>
            <a:xfrm>
              <a:off x="5886450" y="742950"/>
              <a:ext cx="7848600" cy="1371600"/>
            </a:xfrm>
            <a:prstGeom prst="rect">
              <a:avLst/>
            </a:prstGeom>
            <a:solidFill>
              <a:prstClr val="white"/>
            </a:solidFill>
            <a:ln w="1">
              <a:solidFill>
                <a:prstClr val="green"/>
              </a:solidFill>
            </a:ln>
          </xdr:spPr>
          <xdr:txBody>
            <a:bodyPr vertOverflow="clip" horzOverflow="clip"/>
            <a:lstStyle/>
            <a:p>
              <a:r>
                <a:rPr lang="en-GB" sz="1100"/>
                <a:t>Timeline: Works in Excel 2013 or higher. Do not move or resize.</a:t>
              </a:r>
            </a:p>
          </xdr:txBody>
        </xdr:sp>
      </mc:Fallback>
    </mc:AlternateContent>
    <xdr:clientData/>
  </xdr:twoCellAnchor>
  <xdr:twoCellAnchor>
    <xdr:from>
      <xdr:col>0</xdr:col>
      <xdr:colOff>0</xdr:colOff>
      <xdr:row>17</xdr:row>
      <xdr:rowOff>0</xdr:rowOff>
    </xdr:from>
    <xdr:to>
      <xdr:col>7</xdr:col>
      <xdr:colOff>0</xdr:colOff>
      <xdr:row>32</xdr:row>
      <xdr:rowOff>0</xdr:rowOff>
    </xdr:to>
    <xdr:graphicFrame>
      <xdr:nvGraphicFramePr>
        <xdr:cNvPr id="6" name="chtTrend">
          <a:extLst>
            <a:ext uri="{FF2B5EF4-FFF2-40B4-BE49-F238E27FC236}">
              <a16:creationId xmlns:a16="http://schemas.microsoft.com/office/drawing/2014/main" id="{323E5013-9A63-8DCD-CB9F-3E8002B382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17</xdr:row>
      <xdr:rowOff>0</xdr:rowOff>
    </xdr:from>
    <xdr:to>
      <xdr:col>14</xdr:col>
      <xdr:colOff>0</xdr:colOff>
      <xdr:row>32</xdr:row>
      <xdr:rowOff>0</xdr:rowOff>
    </xdr:to>
    <xdr:graphicFrame>
      <xdr:nvGraphicFramePr>
        <xdr:cNvPr id="7" name="chtCompanyShare">
          <a:extLst>
            <a:ext uri="{FF2B5EF4-FFF2-40B4-BE49-F238E27FC236}">
              <a16:creationId xmlns:a16="http://schemas.microsoft.com/office/drawing/2014/main" id="{4F2B7F4D-1A15-1512-116C-B7AF5860D2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7</xdr:col>
      <xdr:colOff>0</xdr:colOff>
      <xdr:row>48</xdr:row>
      <xdr:rowOff>0</xdr:rowOff>
    </xdr:to>
    <xdr:graphicFrame>
      <xdr:nvGraphicFramePr>
        <xdr:cNvPr id="8" name="chtCurrencyMix">
          <a:extLst>
            <a:ext uri="{FF2B5EF4-FFF2-40B4-BE49-F238E27FC236}">
              <a16:creationId xmlns:a16="http://schemas.microsoft.com/office/drawing/2014/main" id="{5292DA92-3690-ECBE-F212-4793B74692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33</xdr:row>
      <xdr:rowOff>0</xdr:rowOff>
    </xdr:from>
    <xdr:to>
      <xdr:col>14</xdr:col>
      <xdr:colOff>0</xdr:colOff>
      <xdr:row>48</xdr:row>
      <xdr:rowOff>0</xdr:rowOff>
    </xdr:to>
    <xdr:graphicFrame>
      <xdr:nvGraphicFramePr>
        <xdr:cNvPr id="9" name="chtDaysDistribution">
          <a:extLst>
            <a:ext uri="{FF2B5EF4-FFF2-40B4-BE49-F238E27FC236}">
              <a16:creationId xmlns:a16="http://schemas.microsoft.com/office/drawing/2014/main" id="{8C1D543A-F00C-BA76-C233-ED4E5EC85C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25400</xdr:colOff>
      <xdr:row>0</xdr:row>
      <xdr:rowOff>25400</xdr:rowOff>
    </xdr:from>
    <xdr:to>
      <xdr:col>12</xdr:col>
      <xdr:colOff>955675</xdr:colOff>
      <xdr:row>0</xdr:row>
      <xdr:rowOff>231775</xdr:rowOff>
    </xdr:to>
    <xdr:sp textlink="">
      <xdr:nvSpPr>
        <xdr:cNvPr id="10" name="btnExportPDF">
          <a:extLst>
            <a:ext uri="{FF2B5EF4-FFF2-40B4-BE49-F238E27FC236}">
              <a16:creationId xmlns:a16="http://schemas.microsoft.com/office/drawing/2014/main" id="{D300E0F5-37D0-F9ED-CF0D-A6810AB5981C}"/>
            </a:ext>
          </a:extLst>
        </xdr:cNvPr>
        <xdr:cNvSpPr/>
      </xdr:nvSpPr>
      <xdr:spPr>
        <a:xfrm>
          <a:off x="10817225" y="25400"/>
          <a:ext cx="1911350" cy="206375"/>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a:solidFill>
                <a:srgbClr val="FFFFFF"/>
              </a:solidFill>
              <a:latin typeface="Arial" panose="020B0604020202020204" pitchFamily="34" charset="0"/>
            </a:rPr>
            <a:t>Export PDF</a:t>
          </a:r>
        </a:p>
      </xdr:txBody>
    </xdr:sp>
    <xdr:clientData/>
  </xdr:twoCellAnchor>
  <xdr:twoCellAnchor editAs="oneCell">
    <xdr:from>
      <xdr:col>13</xdr:col>
      <xdr:colOff>25400</xdr:colOff>
      <xdr:row>0</xdr:row>
      <xdr:rowOff>25400</xdr:rowOff>
    </xdr:from>
    <xdr:to>
      <xdr:col>13</xdr:col>
      <xdr:colOff>955675</xdr:colOff>
      <xdr:row>0</xdr:row>
      <xdr:rowOff>231775</xdr:rowOff>
    </xdr:to>
    <xdr:sp textlink="">
      <xdr:nvSpPr>
        <xdr:cNvPr id="11" name="btnHome">
          <a:hlinkClick xmlns:r="http://schemas.openxmlformats.org/officeDocument/2006/relationships" r:id="rId5" tooltip="Home"/>
          <a:extLst>
            <a:ext uri="{FF2B5EF4-FFF2-40B4-BE49-F238E27FC236}">
              <a16:creationId xmlns:a16="http://schemas.microsoft.com/office/drawing/2014/main" id="{8D592947-D3F7-E285-F9E5-600E290531F8}"/>
            </a:ext>
          </a:extLst>
        </xdr:cNvPr>
        <xdr:cNvSpPr/>
      </xdr:nvSpPr>
      <xdr:spPr>
        <a:xfrm>
          <a:off x="12779375" y="25400"/>
          <a:ext cx="930275" cy="206375"/>
        </a:xfrm>
        <a:prstGeom prst="roundRect">
          <a:avLst/>
        </a:prstGeom>
        <a:solidFill>
          <a:srgbClr val="E4DFEC"/>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a:solidFill>
                <a:srgbClr val="1F3864"/>
              </a:solidFill>
              <a:latin typeface="Arial" panose="020B0604020202020204" pitchFamily="34" charset="0"/>
            </a:rPr>
            <a:t>Home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2</xdr:col>
      <xdr:colOff>111125</xdr:colOff>
      <xdr:row>10</xdr:row>
      <xdr:rowOff>0</xdr:rowOff>
    </xdr:to>
    <mc:AlternateContent xmlns:mc="http://schemas.openxmlformats.org/markup-compatibility/2006" xmlns:a14="http://schemas.microsoft.com/office/drawing/2010/main">
      <mc:Choice Requires="a14">
        <xdr:graphicFrame>
          <xdr:nvGraphicFramePr>
            <xdr:cNvPr id="2" name="slcMxCompanyType">
              <a:extLst>
                <a:ext uri="{FF2B5EF4-FFF2-40B4-BE49-F238E27FC236}">
                  <a16:creationId xmlns:a16="http://schemas.microsoft.com/office/drawing/2014/main" id="{AC687B47-89B2-6AB7-D95A-C12D099BED90}"/>
                </a:ext>
              </a:extLst>
            </xdr:cNvPr>
            <xdr:cNvGraphicFramePr/>
          </xdr:nvGraphicFramePr>
          <xdr:xfrm>
            <a:off x="0" y="0"/>
            <a:ext cx="0" cy="0"/>
          </xdr:xfrm>
          <a:graphic>
            <a:graphicData uri="http://schemas.microsoft.com/office/drawing/2010/slicer">
              <sle:slicer xmlns:sle="http://schemas.microsoft.com/office/drawing/2010/slicer" name="slcMxCompanyType"/>
            </a:graphicData>
          </a:graphic>
        </xdr:graphicFrame>
      </mc:Choice>
      <mc:Fallback xmlns="">
        <xdr:sp textlink="">
          <xdr:nvSpPr>
            <xdr:cNvPr id="0" name=""/>
            <xdr:cNvSpPr>
              <a:spLocks noTextEdit="1"/>
            </xdr:cNvSpPr>
          </xdr:nvSpPr>
          <xdr:spPr>
            <a:xfrm>
              <a:off x="0" y="581025"/>
              <a:ext cx="2540000" cy="11334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152400</xdr:colOff>
      <xdr:row>3</xdr:row>
      <xdr:rowOff>0</xdr:rowOff>
    </xdr:from>
    <xdr:to>
      <xdr:col>4</xdr:col>
      <xdr:colOff>920750</xdr:colOff>
      <xdr:row>10</xdr:row>
      <xdr:rowOff>0</xdr:rowOff>
    </xdr:to>
    <mc:AlternateContent xmlns:mc="http://schemas.openxmlformats.org/markup-compatibility/2006" xmlns:a14="http://schemas.microsoft.com/office/drawing/2010/main">
      <mc:Choice Requires="a14">
        <xdr:graphicFrame>
          <xdr:nvGraphicFramePr>
            <xdr:cNvPr id="3" name="slcMxCurrencyCode">
              <a:extLst>
                <a:ext uri="{FF2B5EF4-FFF2-40B4-BE49-F238E27FC236}">
                  <a16:creationId xmlns:a16="http://schemas.microsoft.com/office/drawing/2014/main" id="{8025442B-9191-9D6B-DF09-9DFEB0120C0F}"/>
                </a:ext>
              </a:extLst>
            </xdr:cNvPr>
            <xdr:cNvGraphicFramePr/>
          </xdr:nvGraphicFramePr>
          <xdr:xfrm>
            <a:off x="0" y="0"/>
            <a:ext cx="0" cy="0"/>
          </xdr:xfrm>
          <a:graphic>
            <a:graphicData uri="http://schemas.microsoft.com/office/drawing/2010/slicer">
              <sle:slicer xmlns:sle="http://schemas.microsoft.com/office/drawing/2010/slicer" name="slcMxCurrencyCode"/>
            </a:graphicData>
          </a:graphic>
        </xdr:graphicFrame>
      </mc:Choice>
      <mc:Fallback xmlns="">
        <xdr:sp textlink="">
          <xdr:nvSpPr>
            <xdr:cNvPr id="0" name=""/>
            <xdr:cNvSpPr>
              <a:spLocks noTextEdit="1"/>
            </xdr:cNvSpPr>
          </xdr:nvSpPr>
          <xdr:spPr>
            <a:xfrm>
              <a:off x="2667000" y="581025"/>
              <a:ext cx="2540000" cy="11334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381000</xdr:colOff>
      <xdr:row>3</xdr:row>
      <xdr:rowOff>0</xdr:rowOff>
    </xdr:from>
    <xdr:to>
      <xdr:col>9</xdr:col>
      <xdr:colOff>377825</xdr:colOff>
      <xdr:row>10</xdr:row>
      <xdr:rowOff>0</xdr:rowOff>
    </xdr:to>
    <mc:AlternateContent xmlns:mc="http://schemas.openxmlformats.org/markup-compatibility/2006" xmlns:a14="http://schemas.microsoft.com/office/drawing/2010/main">
      <mc:Choice Requires="a14">
        <xdr:graphicFrame>
          <xdr:nvGraphicFramePr>
            <xdr:cNvPr id="4" name="slcMxPeriodStatus">
              <a:extLst>
                <a:ext uri="{FF2B5EF4-FFF2-40B4-BE49-F238E27FC236}">
                  <a16:creationId xmlns:a16="http://schemas.microsoft.com/office/drawing/2014/main" id="{41DE4545-1E95-1209-33C4-429162BC894C}"/>
                </a:ext>
              </a:extLst>
            </xdr:cNvPr>
            <xdr:cNvGraphicFramePr/>
          </xdr:nvGraphicFramePr>
          <xdr:xfrm>
            <a:off x="0" y="0"/>
            <a:ext cx="0" cy="0"/>
          </xdr:xfrm>
          <a:graphic>
            <a:graphicData uri="http://schemas.microsoft.com/office/drawing/2010/slicer">
              <sle:slicer xmlns:sle="http://schemas.microsoft.com/office/drawing/2010/slicer" name="slcMxPeriodStatus"/>
            </a:graphicData>
          </a:graphic>
        </xdr:graphicFrame>
      </mc:Choice>
      <mc:Fallback xmlns="">
        <xdr:sp textlink="">
          <xdr:nvSpPr>
            <xdr:cNvPr id="0" name=""/>
            <xdr:cNvSpPr>
              <a:spLocks noTextEdit="1"/>
            </xdr:cNvSpPr>
          </xdr:nvSpPr>
          <xdr:spPr>
            <a:xfrm>
              <a:off x="5334000" y="581025"/>
              <a:ext cx="2540000" cy="11334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12700</xdr:colOff>
      <xdr:row>0</xdr:row>
      <xdr:rowOff>12700</xdr:rowOff>
    </xdr:from>
    <xdr:to>
      <xdr:col>18</xdr:col>
      <xdr:colOff>568325</xdr:colOff>
      <xdr:row>0</xdr:row>
      <xdr:rowOff>215900</xdr:rowOff>
    </xdr:to>
    <xdr:sp textlink="">
      <xdr:nvSpPr>
        <xdr:cNvPr id="3" name="btnExportDashboardPDF">
          <a:extLst>
            <a:ext uri="{FF2B5EF4-FFF2-40B4-BE49-F238E27FC236}">
              <a16:creationId xmlns:a16="http://schemas.microsoft.com/office/drawing/2014/main" id="{9D02F167-FD0B-D51A-3898-954A03B9FA9F}"/>
            </a:ext>
          </a:extLst>
        </xdr:cNvPr>
        <xdr:cNvSpPr/>
      </xdr:nvSpPr>
      <xdr:spPr>
        <a:xfrm>
          <a:off x="10709275" y="12700"/>
          <a:ext cx="555625" cy="2032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15</xdr:row>
      <xdr:rowOff>0</xdr:rowOff>
    </xdr:from>
    <xdr:to>
      <xdr:col>11</xdr:col>
      <xdr:colOff>0</xdr:colOff>
      <xdr:row>33</xdr:row>
      <xdr:rowOff>0</xdr:rowOff>
    </xdr:to>
    <xdr:graphicFrame>
      <xdr:nvGraphicFramePr>
        <xdr:cNvPr id="4" name="chtexLifeTrend">
          <a:extLst>
            <a:ext uri="{FF2B5EF4-FFF2-40B4-BE49-F238E27FC236}">
              <a16:creationId xmlns:a16="http://schemas.microsoft.com/office/drawing/2014/main" id="{38788E77-B0F8-6151-1D66-2CF7BAE376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12700</xdr:colOff>
      <xdr:row>2</xdr:row>
      <xdr:rowOff>12700</xdr:rowOff>
    </xdr:from>
    <xdr:to>
      <xdr:col>18</xdr:col>
      <xdr:colOff>606425</xdr:colOff>
      <xdr:row>2</xdr:row>
      <xdr:rowOff>139700</xdr:rowOff>
    </xdr:to>
    <xdr:sp textlink="">
      <xdr:nvSpPr>
        <xdr:cNvPr id="5" name="btnExportDashboardPDF">
          <a:extLst>
            <a:ext uri="{FF2B5EF4-FFF2-40B4-BE49-F238E27FC236}">
              <a16:creationId xmlns:a16="http://schemas.microsoft.com/office/drawing/2014/main" id="{B4EB9AA5-87AD-CC14-3B58-69973062BAAF}"/>
            </a:ext>
          </a:extLst>
        </xdr:cNvPr>
        <xdr:cNvSpPr/>
      </xdr:nvSpPr>
      <xdr:spPr>
        <a:xfrm>
          <a:off x="11052175" y="431800"/>
          <a:ext cx="593725" cy="1270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15</xdr:row>
      <xdr:rowOff>0</xdr:rowOff>
    </xdr:from>
    <xdr:to>
      <xdr:col>11</xdr:col>
      <xdr:colOff>0</xdr:colOff>
      <xdr:row>33</xdr:row>
      <xdr:rowOff>0</xdr:rowOff>
    </xdr:to>
    <xdr:graphicFrame>
      <xdr:nvGraphicFramePr>
        <xdr:cNvPr id="4" name="chtexPensionTrend">
          <a:extLst>
            <a:ext uri="{FF2B5EF4-FFF2-40B4-BE49-F238E27FC236}">
              <a16:creationId xmlns:a16="http://schemas.microsoft.com/office/drawing/2014/main" id="{284D6B87-0486-CF26-D8C3-59F89AF24A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12700</xdr:colOff>
      <xdr:row>2</xdr:row>
      <xdr:rowOff>12700</xdr:rowOff>
    </xdr:from>
    <xdr:to>
      <xdr:col>18</xdr:col>
      <xdr:colOff>606425</xdr:colOff>
      <xdr:row>2</xdr:row>
      <xdr:rowOff>139700</xdr:rowOff>
    </xdr:to>
    <xdr:sp textlink="">
      <xdr:nvSpPr>
        <xdr:cNvPr id="5" name="btnExportDashboardPDF">
          <a:extLst>
            <a:ext uri="{FF2B5EF4-FFF2-40B4-BE49-F238E27FC236}">
              <a16:creationId xmlns:a16="http://schemas.microsoft.com/office/drawing/2014/main" id="{862F3324-F72E-393B-5E76-B1A6E1C7FD28}"/>
            </a:ext>
          </a:extLst>
        </xdr:cNvPr>
        <xdr:cNvSpPr/>
      </xdr:nvSpPr>
      <xdr:spPr>
        <a:xfrm>
          <a:off x="11052175" y="431800"/>
          <a:ext cx="593725" cy="1270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15</xdr:row>
      <xdr:rowOff>0</xdr:rowOff>
    </xdr:from>
    <xdr:to>
      <xdr:col>11</xdr:col>
      <xdr:colOff>0</xdr:colOff>
      <xdr:row>33</xdr:row>
      <xdr:rowOff>0</xdr:rowOff>
    </xdr:to>
    <xdr:graphicFrame>
      <xdr:nvGraphicFramePr>
        <xdr:cNvPr id="4" name="chtexNonlifeTrend">
          <a:extLst>
            <a:ext uri="{FF2B5EF4-FFF2-40B4-BE49-F238E27FC236}">
              <a16:creationId xmlns:a16="http://schemas.microsoft.com/office/drawing/2014/main" id="{12ED4937-A530-A154-11D3-245B4C8E6D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12700</xdr:colOff>
      <xdr:row>2</xdr:row>
      <xdr:rowOff>12700</xdr:rowOff>
    </xdr:from>
    <xdr:to>
      <xdr:col>18</xdr:col>
      <xdr:colOff>606425</xdr:colOff>
      <xdr:row>2</xdr:row>
      <xdr:rowOff>139700</xdr:rowOff>
    </xdr:to>
    <xdr:sp textlink="">
      <xdr:nvSpPr>
        <xdr:cNvPr id="5" name="btnExportDashboardPDF">
          <a:extLst>
            <a:ext uri="{FF2B5EF4-FFF2-40B4-BE49-F238E27FC236}">
              <a16:creationId xmlns:a16="http://schemas.microsoft.com/office/drawing/2014/main" id="{FA6C1940-E10F-6DE1-2CC6-B7B196026B5A}"/>
            </a:ext>
          </a:extLst>
        </xdr:cNvPr>
        <xdr:cNvSpPr/>
      </xdr:nvSpPr>
      <xdr:spPr>
        <a:xfrm>
          <a:off x="11052175" y="431800"/>
          <a:ext cx="593725" cy="1270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8</xdr:row>
      <xdr:rowOff>0</xdr:rowOff>
    </xdr:from>
    <xdr:to>
      <xdr:col>10</xdr:col>
      <xdr:colOff>0</xdr:colOff>
      <xdr:row>22</xdr:row>
      <xdr:rowOff>0</xdr:rowOff>
    </xdr:to>
    <xdr:graphicFrame>
      <xdr:nvGraphicFramePr>
        <xdr:cNvPr id="7" name="chtTrMonthly">
          <a:extLst>
            <a:ext uri="{FF2B5EF4-FFF2-40B4-BE49-F238E27FC236}">
              <a16:creationId xmlns:a16="http://schemas.microsoft.com/office/drawing/2014/main" id="{978AC1C5-E0A3-8AA4-754C-69B2F2B5BC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8</xdr:row>
      <xdr:rowOff>0</xdr:rowOff>
    </xdr:from>
    <xdr:to>
      <xdr:col>19</xdr:col>
      <xdr:colOff>0</xdr:colOff>
      <xdr:row>22</xdr:row>
      <xdr:rowOff>0</xdr:rowOff>
    </xdr:to>
    <xdr:graphicFrame>
      <xdr:nvGraphicFramePr>
        <xdr:cNvPr id="8" name="chtTrR12">
          <a:extLst>
            <a:ext uri="{FF2B5EF4-FFF2-40B4-BE49-F238E27FC236}">
              <a16:creationId xmlns:a16="http://schemas.microsoft.com/office/drawing/2014/main" id="{4895AB11-D16D-042F-FA07-8E4B4C483D0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23</xdr:row>
      <xdr:rowOff>0</xdr:rowOff>
    </xdr:from>
    <xdr:to>
      <xdr:col>10</xdr:col>
      <xdr:colOff>0</xdr:colOff>
      <xdr:row>37</xdr:row>
      <xdr:rowOff>0</xdr:rowOff>
    </xdr:to>
    <xdr:graphicFrame>
      <xdr:nvGraphicFramePr>
        <xdr:cNvPr id="9" name="chtTrBridgeMoM">
          <a:extLst>
            <a:ext uri="{FF2B5EF4-FFF2-40B4-BE49-F238E27FC236}">
              <a16:creationId xmlns:a16="http://schemas.microsoft.com/office/drawing/2014/main" id="{D4CB1C5E-0AE3-B298-77C3-8EF640BCFC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23</xdr:row>
      <xdr:rowOff>0</xdr:rowOff>
    </xdr:from>
    <xdr:to>
      <xdr:col>19</xdr:col>
      <xdr:colOff>0</xdr:colOff>
      <xdr:row>37</xdr:row>
      <xdr:rowOff>0</xdr:rowOff>
    </xdr:to>
    <xdr:graphicFrame>
      <xdr:nvGraphicFramePr>
        <xdr:cNvPr id="10" name="chtTrBridgeYoY">
          <a:extLst>
            <a:ext uri="{FF2B5EF4-FFF2-40B4-BE49-F238E27FC236}">
              <a16:creationId xmlns:a16="http://schemas.microsoft.com/office/drawing/2014/main" id="{177052AA-CB4A-A878-2B36-B2E7560494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0</xdr:col>
      <xdr:colOff>63500</xdr:colOff>
      <xdr:row>7</xdr:row>
      <xdr:rowOff>57150</xdr:rowOff>
    </xdr:from>
    <xdr:to>
      <xdr:col>10</xdr:col>
      <xdr:colOff>127000</xdr:colOff>
      <xdr:row>22</xdr:row>
      <xdr:rowOff>120650</xdr:rowOff>
    </xdr:to>
    <xdr:graphicFrame>
      <xdr:nvGraphicFramePr>
        <xdr:cNvPr id="11" name="ovTrchtTrMonthly">
          <a:extLst>
            <a:ext uri="{FF2B5EF4-FFF2-40B4-BE49-F238E27FC236}">
              <a16:creationId xmlns:a16="http://schemas.microsoft.com/office/drawing/2014/main" id="{454C9477-6753-C499-E637-11840A4433F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1</xdr:col>
      <xdr:colOff>0</xdr:colOff>
      <xdr:row>8</xdr:row>
      <xdr:rowOff>0</xdr:rowOff>
    </xdr:from>
    <xdr:to>
      <xdr:col>10</xdr:col>
      <xdr:colOff>0</xdr:colOff>
      <xdr:row>22</xdr:row>
      <xdr:rowOff>0</xdr:rowOff>
    </xdr:to>
    <xdr:sp textlink="AN_Calc!$FC$1">
      <xdr:nvSpPr>
        <xdr:cNvPr id="12" name="ovTrchtTrMonthly_txt">
          <a:extLst>
            <a:ext uri="{FF2B5EF4-FFF2-40B4-BE49-F238E27FC236}">
              <a16:creationId xmlns:a16="http://schemas.microsoft.com/office/drawing/2014/main" id="{0113A1DA-D513-F688-4D98-53734A0C76E8}"/>
            </a:ext>
          </a:extLst>
        </xdr:cNvPr>
        <xdr:cNvSpPr txBox="1"/>
      </xdr:nvSpPr>
      <xdr:spPr>
        <a:xfrm>
          <a:off x="152400" y="1619250"/>
          <a:ext cx="5572125" cy="21336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4094292F-33CA-44AA-94F4-446938DFC654}" type="TxLink">
            <a:rPr lang="en-US" sz="13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1300" b="1">
            <a:solidFill>
              <a:srgbClr val="9C0006"/>
            </a:solidFill>
            <a:latin typeface="Arial" panose="020B0604020202020204" pitchFamily="34" charset="0"/>
          </a:endParaRPr>
        </a:p>
      </xdr:txBody>
    </xdr:sp>
    <xdr:clientData/>
  </xdr:twoCellAnchor>
  <xdr:twoCellAnchor editAs="absolute">
    <xdr:from>
      <xdr:col>9</xdr:col>
      <xdr:colOff>533400</xdr:colOff>
      <xdr:row>7</xdr:row>
      <xdr:rowOff>57150</xdr:rowOff>
    </xdr:from>
    <xdr:to>
      <xdr:col>19</xdr:col>
      <xdr:colOff>130175</xdr:colOff>
      <xdr:row>22</xdr:row>
      <xdr:rowOff>120650</xdr:rowOff>
    </xdr:to>
    <xdr:graphicFrame>
      <xdr:nvGraphicFramePr>
        <xdr:cNvPr id="13" name="ovTrchtTrR12">
          <a:extLst>
            <a:ext uri="{FF2B5EF4-FFF2-40B4-BE49-F238E27FC236}">
              <a16:creationId xmlns:a16="http://schemas.microsoft.com/office/drawing/2014/main" id="{5D977F8C-17DC-A075-827E-7BAD3A9843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10</xdr:col>
      <xdr:colOff>0</xdr:colOff>
      <xdr:row>8</xdr:row>
      <xdr:rowOff>0</xdr:rowOff>
    </xdr:from>
    <xdr:to>
      <xdr:col>19</xdr:col>
      <xdr:colOff>0</xdr:colOff>
      <xdr:row>22</xdr:row>
      <xdr:rowOff>0</xdr:rowOff>
    </xdr:to>
    <xdr:sp textlink="AN_Calc!$FC$1">
      <xdr:nvSpPr>
        <xdr:cNvPr id="14" name="ovTrchtTrR12_txt">
          <a:extLst>
            <a:ext uri="{FF2B5EF4-FFF2-40B4-BE49-F238E27FC236}">
              <a16:creationId xmlns:a16="http://schemas.microsoft.com/office/drawing/2014/main" id="{1CDA9EFE-123E-F0F6-3DDC-A2614BCFE6B8}"/>
            </a:ext>
          </a:extLst>
        </xdr:cNvPr>
        <xdr:cNvSpPr txBox="1"/>
      </xdr:nvSpPr>
      <xdr:spPr>
        <a:xfrm>
          <a:off x="5724525" y="1619250"/>
          <a:ext cx="5572125" cy="21336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C7693A45-6769-4FD3-A161-C10EE502EF00}" type="TxLink">
            <a:rPr lang="en-US" sz="13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1300" b="1">
            <a:solidFill>
              <a:srgbClr val="9C0006"/>
            </a:solidFill>
            <a:latin typeface="Arial" panose="020B0604020202020204" pitchFamily="34" charset="0"/>
          </a:endParaRPr>
        </a:p>
      </xdr:txBody>
    </xdr:sp>
    <xdr:clientData/>
  </xdr:twoCellAnchor>
  <xdr:twoCellAnchor editAs="absolute">
    <xdr:from>
      <xdr:col>0</xdr:col>
      <xdr:colOff>63500</xdr:colOff>
      <xdr:row>22</xdr:row>
      <xdr:rowOff>57150</xdr:rowOff>
    </xdr:from>
    <xdr:to>
      <xdr:col>10</xdr:col>
      <xdr:colOff>127000</xdr:colOff>
      <xdr:row>37</xdr:row>
      <xdr:rowOff>120650</xdr:rowOff>
    </xdr:to>
    <xdr:graphicFrame>
      <xdr:nvGraphicFramePr>
        <xdr:cNvPr id="15" name="ovTrchtTrBridgeMoM">
          <a:extLst>
            <a:ext uri="{FF2B5EF4-FFF2-40B4-BE49-F238E27FC236}">
              <a16:creationId xmlns:a16="http://schemas.microsoft.com/office/drawing/2014/main" id="{4AB702D2-1DA3-A0EA-E480-D6B02F54615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xdr:col>
      <xdr:colOff>0</xdr:colOff>
      <xdr:row>23</xdr:row>
      <xdr:rowOff>0</xdr:rowOff>
    </xdr:from>
    <xdr:to>
      <xdr:col>10</xdr:col>
      <xdr:colOff>0</xdr:colOff>
      <xdr:row>37</xdr:row>
      <xdr:rowOff>0</xdr:rowOff>
    </xdr:to>
    <xdr:sp textlink="AN_Calc!$FC$1">
      <xdr:nvSpPr>
        <xdr:cNvPr id="24" name="ovTrchtTrBridgeMoM_txt">
          <a:extLst>
            <a:ext uri="{FF2B5EF4-FFF2-40B4-BE49-F238E27FC236}">
              <a16:creationId xmlns:a16="http://schemas.microsoft.com/office/drawing/2014/main" id="{0A71F24C-0201-169E-5CCA-AD7ECAAFCDE8}"/>
            </a:ext>
          </a:extLst>
        </xdr:cNvPr>
        <xdr:cNvSpPr txBox="1"/>
      </xdr:nvSpPr>
      <xdr:spPr>
        <a:xfrm>
          <a:off x="152400" y="3905250"/>
          <a:ext cx="5572125" cy="21336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FAF86431-073B-4DBC-80FE-F22C796C151D}" type="TxLink">
            <a:rPr lang="en-US" sz="13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1300" b="1">
            <a:solidFill>
              <a:srgbClr val="9C0006"/>
            </a:solidFill>
            <a:latin typeface="Arial" panose="020B0604020202020204" pitchFamily="34" charset="0"/>
          </a:endParaRPr>
        </a:p>
      </xdr:txBody>
    </xdr:sp>
    <xdr:clientData/>
  </xdr:twoCellAnchor>
  <xdr:twoCellAnchor editAs="absolute">
    <xdr:from>
      <xdr:col>9</xdr:col>
      <xdr:colOff>533400</xdr:colOff>
      <xdr:row>22</xdr:row>
      <xdr:rowOff>57150</xdr:rowOff>
    </xdr:from>
    <xdr:to>
      <xdr:col>19</xdr:col>
      <xdr:colOff>130175</xdr:colOff>
      <xdr:row>37</xdr:row>
      <xdr:rowOff>120650</xdr:rowOff>
    </xdr:to>
    <xdr:graphicFrame>
      <xdr:nvGraphicFramePr>
        <xdr:cNvPr id="25" name="ovTrchtTrBridgeYoY">
          <a:extLst>
            <a:ext uri="{FF2B5EF4-FFF2-40B4-BE49-F238E27FC236}">
              <a16:creationId xmlns:a16="http://schemas.microsoft.com/office/drawing/2014/main" id="{27070A45-83E6-7FCF-4E58-24982E7C11A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10</xdr:col>
      <xdr:colOff>0</xdr:colOff>
      <xdr:row>23</xdr:row>
      <xdr:rowOff>0</xdr:rowOff>
    </xdr:from>
    <xdr:to>
      <xdr:col>19</xdr:col>
      <xdr:colOff>0</xdr:colOff>
      <xdr:row>37</xdr:row>
      <xdr:rowOff>0</xdr:rowOff>
    </xdr:to>
    <xdr:sp textlink="AN_Calc!$FC$1">
      <xdr:nvSpPr>
        <xdr:cNvPr id="26" name="ovTrchtTrBridgeYoY_txt">
          <a:extLst>
            <a:ext uri="{FF2B5EF4-FFF2-40B4-BE49-F238E27FC236}">
              <a16:creationId xmlns:a16="http://schemas.microsoft.com/office/drawing/2014/main" id="{DF832053-3757-6865-4A23-4B0C967B607C}"/>
            </a:ext>
          </a:extLst>
        </xdr:cNvPr>
        <xdr:cNvSpPr txBox="1"/>
      </xdr:nvSpPr>
      <xdr:spPr>
        <a:xfrm>
          <a:off x="5724525" y="3905250"/>
          <a:ext cx="5572125" cy="21336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66A110B7-D3B9-4DA2-82E2-3D4DE426C3E0}" type="TxLink">
            <a:rPr lang="en-US" sz="13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1300" b="1">
            <a:solidFill>
              <a:srgbClr val="9C0006"/>
            </a:solidFill>
            <a:latin typeface="Arial" panose="020B0604020202020204" pitchFamily="34" charset="0"/>
          </a:endParaRPr>
        </a:p>
      </xdr:txBody>
    </xdr:sp>
    <xdr:clientData/>
  </xdr:twoCellAnchor>
  <xdr:twoCellAnchor editAs="oneCell">
    <xdr:from>
      <xdr:col>18</xdr:col>
      <xdr:colOff>12700</xdr:colOff>
      <xdr:row>2</xdr:row>
      <xdr:rowOff>12700</xdr:rowOff>
    </xdr:from>
    <xdr:to>
      <xdr:col>18</xdr:col>
      <xdr:colOff>606425</xdr:colOff>
      <xdr:row>2</xdr:row>
      <xdr:rowOff>139700</xdr:rowOff>
    </xdr:to>
    <xdr:sp textlink="">
      <xdr:nvSpPr>
        <xdr:cNvPr id="27" name="btnExportDashboardPDF">
          <a:extLst>
            <a:ext uri="{FF2B5EF4-FFF2-40B4-BE49-F238E27FC236}">
              <a16:creationId xmlns:a16="http://schemas.microsoft.com/office/drawing/2014/main" id="{C2844B84-A513-2B28-6CD1-F1A2F5D5A36D}"/>
            </a:ext>
          </a:extLst>
        </xdr:cNvPr>
        <xdr:cNvSpPr/>
      </xdr:nvSpPr>
      <xdr:spPr>
        <a:xfrm>
          <a:off x="10690225" y="431800"/>
          <a:ext cx="593725" cy="1270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25</xdr:col>
      <xdr:colOff>0</xdr:colOff>
      <xdr:row>10</xdr:row>
      <xdr:rowOff>0</xdr:rowOff>
    </xdr:from>
    <xdr:to>
      <xdr:col>32</xdr:col>
      <xdr:colOff>0</xdr:colOff>
      <xdr:row>28</xdr:row>
      <xdr:rowOff>0</xdr:rowOff>
    </xdr:to>
    <xdr:graphicFrame>
      <xdr:nvGraphicFramePr>
        <xdr:cNvPr id="2" name="chtTriAE">
          <a:extLst>
            <a:ext uri="{FF2B5EF4-FFF2-40B4-BE49-F238E27FC236}">
              <a16:creationId xmlns:a16="http://schemas.microsoft.com/office/drawing/2014/main" id="{8F183548-AC95-E42F-6CBF-61CE2A8884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25</xdr:col>
      <xdr:colOff>0</xdr:colOff>
      <xdr:row>29</xdr:row>
      <xdr:rowOff>0</xdr:rowOff>
    </xdr:from>
    <xdr:to>
      <xdr:col>32</xdr:col>
      <xdr:colOff>0</xdr:colOff>
      <xdr:row>48</xdr:row>
      <xdr:rowOff>123825</xdr:rowOff>
    </xdr:to>
    <xdr:graphicFrame>
      <xdr:nvGraphicFramePr>
        <xdr:cNvPr id="3" name="chtTriStab">
          <a:extLst>
            <a:ext uri="{FF2B5EF4-FFF2-40B4-BE49-F238E27FC236}">
              <a16:creationId xmlns:a16="http://schemas.microsoft.com/office/drawing/2014/main" id="{A439266C-8525-A4B3-1FCE-7FE6DF4232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24</xdr:col>
      <xdr:colOff>60325</xdr:colOff>
      <xdr:row>9</xdr:row>
      <xdr:rowOff>60325</xdr:rowOff>
    </xdr:from>
    <xdr:to>
      <xdr:col>32</xdr:col>
      <xdr:colOff>123825</xdr:colOff>
      <xdr:row>28</xdr:row>
      <xdr:rowOff>123825</xdr:rowOff>
    </xdr:to>
    <xdr:graphicFrame>
      <xdr:nvGraphicFramePr>
        <xdr:cNvPr id="4" name="ovTrichtTriAE">
          <a:extLst>
            <a:ext uri="{FF2B5EF4-FFF2-40B4-BE49-F238E27FC236}">
              <a16:creationId xmlns:a16="http://schemas.microsoft.com/office/drawing/2014/main" id="{BF6323E0-1ABB-2C7F-1730-3751D0E942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25</xdr:col>
      <xdr:colOff>0</xdr:colOff>
      <xdr:row>10</xdr:row>
      <xdr:rowOff>0</xdr:rowOff>
    </xdr:from>
    <xdr:to>
      <xdr:col>32</xdr:col>
      <xdr:colOff>0</xdr:colOff>
      <xdr:row>28</xdr:row>
      <xdr:rowOff>0</xdr:rowOff>
    </xdr:to>
    <xdr:sp textlink="AN_Calc!$FC$40">
      <xdr:nvSpPr>
        <xdr:cNvPr id="10" name="ovTrichtTriAE_txt">
          <a:extLst>
            <a:ext uri="{FF2B5EF4-FFF2-40B4-BE49-F238E27FC236}">
              <a16:creationId xmlns:a16="http://schemas.microsoft.com/office/drawing/2014/main" id="{603DFA91-CB0B-9FC2-EE2F-720231000E67}"/>
            </a:ext>
          </a:extLst>
        </xdr:cNvPr>
        <xdr:cNvSpPr txBox="1"/>
      </xdr:nvSpPr>
      <xdr:spPr>
        <a:xfrm>
          <a:off x="10925175" y="2200275"/>
          <a:ext cx="3600450" cy="3019425"/>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272210B7-B991-4038-9D30-ACF8C6FBB7D8}" type="TxLink">
            <a:rPr lang="en-US" sz="8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800" b="1">
            <a:solidFill>
              <a:srgbClr val="9C0006"/>
            </a:solidFill>
            <a:latin typeface="Arial" panose="020B0604020202020204" pitchFamily="34" charset="0"/>
          </a:endParaRPr>
        </a:p>
      </xdr:txBody>
    </xdr:sp>
    <xdr:clientData/>
  </xdr:twoCellAnchor>
  <xdr:twoCellAnchor editAs="absolute">
    <xdr:from>
      <xdr:col>24</xdr:col>
      <xdr:colOff>60325</xdr:colOff>
      <xdr:row>28</xdr:row>
      <xdr:rowOff>63500</xdr:rowOff>
    </xdr:from>
    <xdr:to>
      <xdr:col>32</xdr:col>
      <xdr:colOff>123825</xdr:colOff>
      <xdr:row>49</xdr:row>
      <xdr:rowOff>98425</xdr:rowOff>
    </xdr:to>
    <xdr:graphicFrame>
      <xdr:nvGraphicFramePr>
        <xdr:cNvPr id="11" name="ovTrichtTriStab">
          <a:extLst>
            <a:ext uri="{FF2B5EF4-FFF2-40B4-BE49-F238E27FC236}">
              <a16:creationId xmlns:a16="http://schemas.microsoft.com/office/drawing/2014/main" id="{E914C980-B92C-6A11-CCBE-78240986BFC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25</xdr:col>
      <xdr:colOff>0</xdr:colOff>
      <xdr:row>29</xdr:row>
      <xdr:rowOff>0</xdr:rowOff>
    </xdr:from>
    <xdr:to>
      <xdr:col>32</xdr:col>
      <xdr:colOff>0</xdr:colOff>
      <xdr:row>48</xdr:row>
      <xdr:rowOff>123825</xdr:rowOff>
    </xdr:to>
    <xdr:sp textlink="AN_Calc!$FC$40">
      <xdr:nvSpPr>
        <xdr:cNvPr id="12" name="ovTrichtTriStab_txt">
          <a:extLst>
            <a:ext uri="{FF2B5EF4-FFF2-40B4-BE49-F238E27FC236}">
              <a16:creationId xmlns:a16="http://schemas.microsoft.com/office/drawing/2014/main" id="{E8C8896B-9650-E9CE-6F7F-255CA6339A2E}"/>
            </a:ext>
          </a:extLst>
        </xdr:cNvPr>
        <xdr:cNvSpPr txBox="1"/>
      </xdr:nvSpPr>
      <xdr:spPr>
        <a:xfrm>
          <a:off x="10925175" y="5372100"/>
          <a:ext cx="3600450" cy="3019425"/>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AB1AFB6D-C701-45EE-A208-172D0ACA9810}" type="TxLink">
            <a:rPr lang="en-US" sz="8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800" b="1">
            <a:solidFill>
              <a:srgbClr val="9C0006"/>
            </a:solidFill>
            <a:latin typeface="Arial" panose="020B0604020202020204" pitchFamily="34" charset="0"/>
          </a:endParaRPr>
        </a:p>
      </xdr:txBody>
    </xdr:sp>
    <xdr:clientData/>
  </xdr:twoCellAnchor>
  <xdr:twoCellAnchor editAs="oneCell">
    <xdr:from>
      <xdr:col>31</xdr:col>
      <xdr:colOff>12700</xdr:colOff>
      <xdr:row>0</xdr:row>
      <xdr:rowOff>12700</xdr:rowOff>
    </xdr:from>
    <xdr:to>
      <xdr:col>31</xdr:col>
      <xdr:colOff>501650</xdr:colOff>
      <xdr:row>0</xdr:row>
      <xdr:rowOff>215900</xdr:rowOff>
    </xdr:to>
    <xdr:sp textlink="">
      <xdr:nvSpPr>
        <xdr:cNvPr id="13" name="btnExportDashboardPDF">
          <a:extLst>
            <a:ext uri="{FF2B5EF4-FFF2-40B4-BE49-F238E27FC236}">
              <a16:creationId xmlns:a16="http://schemas.microsoft.com/office/drawing/2014/main" id="{A2C4F99C-683A-C3FE-E385-D685503A0554}"/>
            </a:ext>
          </a:extLst>
        </xdr:cNvPr>
        <xdr:cNvSpPr/>
      </xdr:nvSpPr>
      <xdr:spPr>
        <a:xfrm>
          <a:off x="14023975" y="12700"/>
          <a:ext cx="488950" cy="2032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9</xdr:row>
      <xdr:rowOff>0</xdr:rowOff>
    </xdr:from>
    <xdr:to>
      <xdr:col>19</xdr:col>
      <xdr:colOff>0</xdr:colOff>
      <xdr:row>19</xdr:row>
      <xdr:rowOff>0</xdr:rowOff>
    </xdr:to>
    <xdr:graphicFrame>
      <xdr:nvGraphicFramePr>
        <xdr:cNvPr id="2" name="chtLagTrend">
          <a:extLst>
            <a:ext uri="{FF2B5EF4-FFF2-40B4-BE49-F238E27FC236}">
              <a16:creationId xmlns:a16="http://schemas.microsoft.com/office/drawing/2014/main" id="{CE4C43CA-26E6-D205-3969-8C6524C0AF6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29</xdr:row>
      <xdr:rowOff>0</xdr:rowOff>
    </xdr:from>
    <xdr:to>
      <xdr:col>9</xdr:col>
      <xdr:colOff>0</xdr:colOff>
      <xdr:row>45</xdr:row>
      <xdr:rowOff>0</xdr:rowOff>
    </xdr:to>
    <xdr:graphicFrame>
      <xdr:nvGraphicFramePr>
        <xdr:cNvPr id="3" name="chtLagEcdf">
          <a:extLst>
            <a:ext uri="{FF2B5EF4-FFF2-40B4-BE49-F238E27FC236}">
              <a16:creationId xmlns:a16="http://schemas.microsoft.com/office/drawing/2014/main" id="{EA6297F9-2BA5-0656-CA41-7EC15D0F33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0</xdr:colOff>
      <xdr:row>29</xdr:row>
      <xdr:rowOff>0</xdr:rowOff>
    </xdr:from>
    <xdr:to>
      <xdr:col>19</xdr:col>
      <xdr:colOff>0</xdr:colOff>
      <xdr:row>45</xdr:row>
      <xdr:rowOff>0</xdr:rowOff>
    </xdr:to>
    <xdr:graphicFrame>
      <xdr:nvGraphicFramePr>
        <xdr:cNvPr id="4" name="chtLagHist">
          <a:extLst>
            <a:ext uri="{FF2B5EF4-FFF2-40B4-BE49-F238E27FC236}">
              <a16:creationId xmlns:a16="http://schemas.microsoft.com/office/drawing/2014/main" id="{447CE6B0-60EC-E421-61F7-E6B64709C8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460375</xdr:colOff>
      <xdr:row>8</xdr:row>
      <xdr:rowOff>57150</xdr:rowOff>
    </xdr:from>
    <xdr:to>
      <xdr:col>19</xdr:col>
      <xdr:colOff>123825</xdr:colOff>
      <xdr:row>19</xdr:row>
      <xdr:rowOff>120650</xdr:rowOff>
    </xdr:to>
    <xdr:graphicFrame>
      <xdr:nvGraphicFramePr>
        <xdr:cNvPr id="5" name="ovLagchtLagTrend">
          <a:extLst>
            <a:ext uri="{FF2B5EF4-FFF2-40B4-BE49-F238E27FC236}">
              <a16:creationId xmlns:a16="http://schemas.microsoft.com/office/drawing/2014/main" id="{073F39CB-EE42-70A2-F835-0D1B57AF24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10</xdr:col>
      <xdr:colOff>0</xdr:colOff>
      <xdr:row>9</xdr:row>
      <xdr:rowOff>0</xdr:rowOff>
    </xdr:from>
    <xdr:to>
      <xdr:col>19</xdr:col>
      <xdr:colOff>0</xdr:colOff>
      <xdr:row>19</xdr:row>
      <xdr:rowOff>0</xdr:rowOff>
    </xdr:to>
    <xdr:sp textlink="AN_Calc!$FC$80">
      <xdr:nvSpPr>
        <xdr:cNvPr id="11" name="ovLagchtLagTrend_txt">
          <a:extLst>
            <a:ext uri="{FF2B5EF4-FFF2-40B4-BE49-F238E27FC236}">
              <a16:creationId xmlns:a16="http://schemas.microsoft.com/office/drawing/2014/main" id="{C182D8EA-A6C6-8E2D-C015-B389A548E53A}"/>
            </a:ext>
          </a:extLst>
        </xdr:cNvPr>
        <xdr:cNvSpPr txBox="1"/>
      </xdr:nvSpPr>
      <xdr:spPr>
        <a:xfrm>
          <a:off x="6619875" y="1771650"/>
          <a:ext cx="4972050" cy="1676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8F450516-F426-4215-BDAC-DCA2EA08F0F8}" type="TxLink">
            <a:rPr lang="en-US" sz="12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1200" b="1">
            <a:solidFill>
              <a:srgbClr val="9C0006"/>
            </a:solidFill>
            <a:latin typeface="Arial" panose="020B0604020202020204" pitchFamily="34" charset="0"/>
          </a:endParaRPr>
        </a:p>
      </xdr:txBody>
    </xdr:sp>
    <xdr:clientData/>
  </xdr:twoCellAnchor>
  <xdr:twoCellAnchor editAs="oneCell">
    <xdr:from>
      <xdr:col>18</xdr:col>
      <xdr:colOff>12700</xdr:colOff>
      <xdr:row>2</xdr:row>
      <xdr:rowOff>12700</xdr:rowOff>
    </xdr:from>
    <xdr:to>
      <xdr:col>18</xdr:col>
      <xdr:colOff>539750</xdr:colOff>
      <xdr:row>2</xdr:row>
      <xdr:rowOff>139700</xdr:rowOff>
    </xdr:to>
    <xdr:sp textlink="">
      <xdr:nvSpPr>
        <xdr:cNvPr id="12" name="btnExportDashboardPDF">
          <a:extLst>
            <a:ext uri="{FF2B5EF4-FFF2-40B4-BE49-F238E27FC236}">
              <a16:creationId xmlns:a16="http://schemas.microsoft.com/office/drawing/2014/main" id="{D0948169-2AFE-A675-198D-CF02441070C1}"/>
            </a:ext>
          </a:extLst>
        </xdr:cNvPr>
        <xdr:cNvSpPr/>
      </xdr:nvSpPr>
      <xdr:spPr>
        <a:xfrm>
          <a:off x="11052175" y="431800"/>
          <a:ext cx="527050" cy="1270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8</xdr:row>
      <xdr:rowOff>0</xdr:rowOff>
    </xdr:from>
    <xdr:to>
      <xdr:col>14</xdr:col>
      <xdr:colOff>0</xdr:colOff>
      <xdr:row>27</xdr:row>
      <xdr:rowOff>0</xdr:rowOff>
    </xdr:to>
    <xdr:graphicFrame>
      <xdr:nvGraphicFramePr>
        <xdr:cNvPr id="2" name="chtSevLorenz">
          <a:extLst>
            <a:ext uri="{FF2B5EF4-FFF2-40B4-BE49-F238E27FC236}">
              <a16:creationId xmlns:a16="http://schemas.microsoft.com/office/drawing/2014/main" id="{12DE7A98-8FB6-06D6-E2D1-F4E381C435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8</xdr:row>
      <xdr:rowOff>0</xdr:rowOff>
    </xdr:from>
    <xdr:to>
      <xdr:col>19</xdr:col>
      <xdr:colOff>0</xdr:colOff>
      <xdr:row>27</xdr:row>
      <xdr:rowOff>0</xdr:rowOff>
    </xdr:to>
    <xdr:graphicFrame>
      <xdr:nvGraphicFramePr>
        <xdr:cNvPr id="3" name="chtSevMex">
          <a:extLst>
            <a:ext uri="{FF2B5EF4-FFF2-40B4-BE49-F238E27FC236}">
              <a16:creationId xmlns:a16="http://schemas.microsoft.com/office/drawing/2014/main" id="{8B2B76F0-B087-3C9A-FDED-2C5DEACC97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28</xdr:row>
      <xdr:rowOff>0</xdr:rowOff>
    </xdr:from>
    <xdr:to>
      <xdr:col>19</xdr:col>
      <xdr:colOff>0</xdr:colOff>
      <xdr:row>45</xdr:row>
      <xdr:rowOff>0</xdr:rowOff>
    </xdr:to>
    <xdr:graphicFrame>
      <xdr:nvGraphicFramePr>
        <xdr:cNvPr id="4" name="chtSevAcc">
          <a:extLst>
            <a:ext uri="{FF2B5EF4-FFF2-40B4-BE49-F238E27FC236}">
              <a16:creationId xmlns:a16="http://schemas.microsoft.com/office/drawing/2014/main" id="{B1C97D69-D1DE-B38B-9DA1-EEA13C37F1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6</xdr:col>
      <xdr:colOff>463550</xdr:colOff>
      <xdr:row>7</xdr:row>
      <xdr:rowOff>57150</xdr:rowOff>
    </xdr:from>
    <xdr:to>
      <xdr:col>14</xdr:col>
      <xdr:colOff>127000</xdr:colOff>
      <xdr:row>27</xdr:row>
      <xdr:rowOff>120650</xdr:rowOff>
    </xdr:to>
    <xdr:graphicFrame>
      <xdr:nvGraphicFramePr>
        <xdr:cNvPr id="5" name="ovSevchtSevLorenz">
          <a:extLst>
            <a:ext uri="{FF2B5EF4-FFF2-40B4-BE49-F238E27FC236}">
              <a16:creationId xmlns:a16="http://schemas.microsoft.com/office/drawing/2014/main" id="{62FD23A3-F315-7CB2-EED3-EB4BC0F89C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7</xdr:col>
      <xdr:colOff>0</xdr:colOff>
      <xdr:row>8</xdr:row>
      <xdr:rowOff>0</xdr:rowOff>
    </xdr:from>
    <xdr:to>
      <xdr:col>14</xdr:col>
      <xdr:colOff>0</xdr:colOff>
      <xdr:row>27</xdr:row>
      <xdr:rowOff>0</xdr:rowOff>
    </xdr:to>
    <xdr:sp textlink="AN_Calc!$FC$120">
      <xdr:nvSpPr>
        <xdr:cNvPr id="6" name="ovSevchtSevLorenz_txt">
          <a:extLst>
            <a:ext uri="{FF2B5EF4-FFF2-40B4-BE49-F238E27FC236}">
              <a16:creationId xmlns:a16="http://schemas.microsoft.com/office/drawing/2014/main" id="{5CC7A4BB-FAB5-5792-C633-32620DDD192F}"/>
            </a:ext>
          </a:extLst>
        </xdr:cNvPr>
        <xdr:cNvSpPr txBox="1"/>
      </xdr:nvSpPr>
      <xdr:spPr>
        <a:xfrm>
          <a:off x="3467100" y="1619250"/>
          <a:ext cx="3867150" cy="3705225"/>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2D1806D9-8620-49AF-9F83-3D2F7BFC1973}" type="TxLink">
            <a:rPr lang="en-US" sz="9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900" b="1">
            <a:solidFill>
              <a:srgbClr val="9C0006"/>
            </a:solidFill>
            <a:latin typeface="Arial" panose="020B0604020202020204" pitchFamily="34" charset="0"/>
          </a:endParaRPr>
        </a:p>
      </xdr:txBody>
    </xdr:sp>
    <xdr:clientData/>
  </xdr:twoCellAnchor>
  <xdr:twoCellAnchor editAs="absolute">
    <xdr:from>
      <xdr:col>13</xdr:col>
      <xdr:colOff>457200</xdr:colOff>
      <xdr:row>7</xdr:row>
      <xdr:rowOff>57150</xdr:rowOff>
    </xdr:from>
    <xdr:to>
      <xdr:col>19</xdr:col>
      <xdr:colOff>120650</xdr:colOff>
      <xdr:row>27</xdr:row>
      <xdr:rowOff>120650</xdr:rowOff>
    </xdr:to>
    <xdr:graphicFrame>
      <xdr:nvGraphicFramePr>
        <xdr:cNvPr id="7" name="ovSevchtSevMex">
          <a:extLst>
            <a:ext uri="{FF2B5EF4-FFF2-40B4-BE49-F238E27FC236}">
              <a16:creationId xmlns:a16="http://schemas.microsoft.com/office/drawing/2014/main" id="{9940CCB3-AC24-85D4-0128-EFAE4281C8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14</xdr:col>
      <xdr:colOff>0</xdr:colOff>
      <xdr:row>8</xdr:row>
      <xdr:rowOff>0</xdr:rowOff>
    </xdr:from>
    <xdr:to>
      <xdr:col>19</xdr:col>
      <xdr:colOff>0</xdr:colOff>
      <xdr:row>27</xdr:row>
      <xdr:rowOff>0</xdr:rowOff>
    </xdr:to>
    <xdr:sp textlink="AN_Calc!$FC$120">
      <xdr:nvSpPr>
        <xdr:cNvPr id="8" name="ovSevchtSevMex_txt">
          <a:extLst>
            <a:ext uri="{FF2B5EF4-FFF2-40B4-BE49-F238E27FC236}">
              <a16:creationId xmlns:a16="http://schemas.microsoft.com/office/drawing/2014/main" id="{6311E978-37A8-4DCB-7DCC-21D538F4A4FD}"/>
            </a:ext>
          </a:extLst>
        </xdr:cNvPr>
        <xdr:cNvSpPr txBox="1"/>
      </xdr:nvSpPr>
      <xdr:spPr>
        <a:xfrm>
          <a:off x="7334250" y="1619250"/>
          <a:ext cx="2762250" cy="3705225"/>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DB08F7F1-2C48-4E56-B14F-CCF588FDF069}" type="TxLink">
            <a:rPr lang="en-US" sz="7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700" b="1">
            <a:solidFill>
              <a:srgbClr val="9C0006"/>
            </a:solidFill>
            <a:latin typeface="Arial" panose="020B0604020202020204" pitchFamily="34" charset="0"/>
          </a:endParaRPr>
        </a:p>
      </xdr:txBody>
    </xdr:sp>
    <xdr:clientData/>
  </xdr:twoCellAnchor>
  <xdr:twoCellAnchor editAs="absolute">
    <xdr:from>
      <xdr:col>6</xdr:col>
      <xdr:colOff>463550</xdr:colOff>
      <xdr:row>27</xdr:row>
      <xdr:rowOff>60325</xdr:rowOff>
    </xdr:from>
    <xdr:to>
      <xdr:col>19</xdr:col>
      <xdr:colOff>127000</xdr:colOff>
      <xdr:row>45</xdr:row>
      <xdr:rowOff>123825</xdr:rowOff>
    </xdr:to>
    <xdr:graphicFrame>
      <xdr:nvGraphicFramePr>
        <xdr:cNvPr id="9" name="ovSevchtSevAcc">
          <a:extLst>
            <a:ext uri="{FF2B5EF4-FFF2-40B4-BE49-F238E27FC236}">
              <a16:creationId xmlns:a16="http://schemas.microsoft.com/office/drawing/2014/main" id="{E7D88AD9-457F-9AE8-DE81-87D0D5DC624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7</xdr:col>
      <xdr:colOff>0</xdr:colOff>
      <xdr:row>28</xdr:row>
      <xdr:rowOff>0</xdr:rowOff>
    </xdr:from>
    <xdr:to>
      <xdr:col>19</xdr:col>
      <xdr:colOff>0</xdr:colOff>
      <xdr:row>45</xdr:row>
      <xdr:rowOff>0</xdr:rowOff>
    </xdr:to>
    <xdr:sp textlink="AN_Calc!$FC$120">
      <xdr:nvSpPr>
        <xdr:cNvPr id="10" name="ovSevchtSevAcc_txt">
          <a:extLst>
            <a:ext uri="{FF2B5EF4-FFF2-40B4-BE49-F238E27FC236}">
              <a16:creationId xmlns:a16="http://schemas.microsoft.com/office/drawing/2014/main" id="{5F1512AF-96DC-BEE0-4137-556483973B67}"/>
            </a:ext>
          </a:extLst>
        </xdr:cNvPr>
        <xdr:cNvSpPr txBox="1"/>
      </xdr:nvSpPr>
      <xdr:spPr>
        <a:xfrm>
          <a:off x="3467100" y="5476875"/>
          <a:ext cx="6629400" cy="28384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30FC06AE-D2A4-4656-A10E-86A84A8C1405}" type="TxLink">
            <a:rPr lang="en-US" sz="14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1400" b="1">
            <a:solidFill>
              <a:srgbClr val="9C0006"/>
            </a:solidFill>
            <a:latin typeface="Arial" panose="020B0604020202020204" pitchFamily="34" charset="0"/>
          </a:endParaRPr>
        </a:p>
      </xdr:txBody>
    </xdr:sp>
    <xdr:clientData/>
  </xdr:twoCellAnchor>
  <xdr:twoCellAnchor editAs="oneCell">
    <xdr:from>
      <xdr:col>18</xdr:col>
      <xdr:colOff>12700</xdr:colOff>
      <xdr:row>0</xdr:row>
      <xdr:rowOff>12700</xdr:rowOff>
    </xdr:from>
    <xdr:to>
      <xdr:col>18</xdr:col>
      <xdr:colOff>539750</xdr:colOff>
      <xdr:row>0</xdr:row>
      <xdr:rowOff>215900</xdr:rowOff>
    </xdr:to>
    <xdr:sp textlink="">
      <xdr:nvSpPr>
        <xdr:cNvPr id="11" name="btnExportDashboardPDF">
          <a:extLst>
            <a:ext uri="{FF2B5EF4-FFF2-40B4-BE49-F238E27FC236}">
              <a16:creationId xmlns:a16="http://schemas.microsoft.com/office/drawing/2014/main" id="{C72A1036-5FE4-C01B-2909-113AB446A0AC}"/>
            </a:ext>
          </a:extLst>
        </xdr:cNvPr>
        <xdr:cNvSpPr/>
      </xdr:nvSpPr>
      <xdr:spPr>
        <a:xfrm>
          <a:off x="9556750" y="12700"/>
          <a:ext cx="527050" cy="2032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8</xdr:row>
      <xdr:rowOff>0</xdr:rowOff>
    </xdr:from>
    <xdr:to>
      <xdr:col>19</xdr:col>
      <xdr:colOff>0</xdr:colOff>
      <xdr:row>24</xdr:row>
      <xdr:rowOff>0</xdr:rowOff>
    </xdr:to>
    <xdr:graphicFrame>
      <xdr:nvGraphicFramePr>
        <xdr:cNvPr id="2" name="chtLimCover">
          <a:extLst>
            <a:ext uri="{FF2B5EF4-FFF2-40B4-BE49-F238E27FC236}">
              <a16:creationId xmlns:a16="http://schemas.microsoft.com/office/drawing/2014/main" id="{7314BA5E-F37A-380D-6EC8-747BFD6D21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25</xdr:row>
      <xdr:rowOff>0</xdr:rowOff>
    </xdr:from>
    <xdr:to>
      <xdr:col>19</xdr:col>
      <xdr:colOff>0</xdr:colOff>
      <xdr:row>41</xdr:row>
      <xdr:rowOff>0</xdr:rowOff>
    </xdr:to>
    <xdr:graphicFrame>
      <xdr:nvGraphicFramePr>
        <xdr:cNvPr id="3" name="chtLimIr">
          <a:extLst>
            <a:ext uri="{FF2B5EF4-FFF2-40B4-BE49-F238E27FC236}">
              <a16:creationId xmlns:a16="http://schemas.microsoft.com/office/drawing/2014/main" id="{C3623765-48ED-9E79-2681-8448627E40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10</xdr:col>
      <xdr:colOff>463550</xdr:colOff>
      <xdr:row>7</xdr:row>
      <xdr:rowOff>57150</xdr:rowOff>
    </xdr:from>
    <xdr:to>
      <xdr:col>19</xdr:col>
      <xdr:colOff>127000</xdr:colOff>
      <xdr:row>23</xdr:row>
      <xdr:rowOff>149225</xdr:rowOff>
    </xdr:to>
    <xdr:graphicFrame>
      <xdr:nvGraphicFramePr>
        <xdr:cNvPr id="4" name="ovLimchtLimCover">
          <a:extLst>
            <a:ext uri="{FF2B5EF4-FFF2-40B4-BE49-F238E27FC236}">
              <a16:creationId xmlns:a16="http://schemas.microsoft.com/office/drawing/2014/main" id="{C1609D1E-882B-E720-2D71-4974F5B918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11</xdr:col>
      <xdr:colOff>0</xdr:colOff>
      <xdr:row>8</xdr:row>
      <xdr:rowOff>0</xdr:rowOff>
    </xdr:from>
    <xdr:to>
      <xdr:col>19</xdr:col>
      <xdr:colOff>0</xdr:colOff>
      <xdr:row>23</xdr:row>
      <xdr:rowOff>28575</xdr:rowOff>
    </xdr:to>
    <xdr:sp textlink="AN_Calc!$FC$160">
      <xdr:nvSpPr>
        <xdr:cNvPr id="5" name="ovLimchtLimCover_txt">
          <a:extLst>
            <a:ext uri="{FF2B5EF4-FFF2-40B4-BE49-F238E27FC236}">
              <a16:creationId xmlns:a16="http://schemas.microsoft.com/office/drawing/2014/main" id="{47678FE1-E12F-7B9B-1BBA-CD9F68A363A0}"/>
            </a:ext>
          </a:extLst>
        </xdr:cNvPr>
        <xdr:cNvSpPr txBox="1"/>
      </xdr:nvSpPr>
      <xdr:spPr>
        <a:xfrm>
          <a:off x="5676900" y="1619250"/>
          <a:ext cx="4419600" cy="35052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CCD13182-B3E5-4EB0-907A-F7F1886FB367}" type="TxLink">
            <a:rPr lang="en-US" sz="10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1000" b="1">
            <a:solidFill>
              <a:srgbClr val="9C0006"/>
            </a:solidFill>
            <a:latin typeface="Arial" panose="020B0604020202020204" pitchFamily="34" charset="0"/>
          </a:endParaRPr>
        </a:p>
      </xdr:txBody>
    </xdr:sp>
    <xdr:clientData/>
  </xdr:twoCellAnchor>
  <xdr:twoCellAnchor editAs="absolute">
    <xdr:from>
      <xdr:col>10</xdr:col>
      <xdr:colOff>463550</xdr:colOff>
      <xdr:row>23</xdr:row>
      <xdr:rowOff>85725</xdr:rowOff>
    </xdr:from>
    <xdr:to>
      <xdr:col>19</xdr:col>
      <xdr:colOff>127000</xdr:colOff>
      <xdr:row>40</xdr:row>
      <xdr:rowOff>149225</xdr:rowOff>
    </xdr:to>
    <xdr:graphicFrame>
      <xdr:nvGraphicFramePr>
        <xdr:cNvPr id="6" name="ovLimchtLimIr">
          <a:extLst>
            <a:ext uri="{FF2B5EF4-FFF2-40B4-BE49-F238E27FC236}">
              <a16:creationId xmlns:a16="http://schemas.microsoft.com/office/drawing/2014/main" id="{C4348C7E-C838-9FB0-6667-5469400A4C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11</xdr:col>
      <xdr:colOff>0</xdr:colOff>
      <xdr:row>24</xdr:row>
      <xdr:rowOff>28575</xdr:rowOff>
    </xdr:from>
    <xdr:to>
      <xdr:col>19</xdr:col>
      <xdr:colOff>0</xdr:colOff>
      <xdr:row>40</xdr:row>
      <xdr:rowOff>28575</xdr:rowOff>
    </xdr:to>
    <xdr:sp textlink="AN_Calc!$FC$160">
      <xdr:nvSpPr>
        <xdr:cNvPr id="7" name="ovLimchtLimIr_txt">
          <a:extLst>
            <a:ext uri="{FF2B5EF4-FFF2-40B4-BE49-F238E27FC236}">
              <a16:creationId xmlns:a16="http://schemas.microsoft.com/office/drawing/2014/main" id="{6E44FD19-EC5B-3A91-FE7E-592C7821A1EE}"/>
            </a:ext>
          </a:extLst>
        </xdr:cNvPr>
        <xdr:cNvSpPr txBox="1"/>
      </xdr:nvSpPr>
      <xdr:spPr>
        <a:xfrm>
          <a:off x="5676900" y="5276850"/>
          <a:ext cx="4419600" cy="2438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42B3A084-B1DF-4A9D-B29A-BBFC9A5A018A}" type="TxLink">
            <a:rPr lang="en-US" sz="10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1000" b="1">
            <a:solidFill>
              <a:srgbClr val="9C0006"/>
            </a:solidFill>
            <a:latin typeface="Arial" panose="020B0604020202020204" pitchFamily="34" charset="0"/>
          </a:endParaRPr>
        </a:p>
      </xdr:txBody>
    </xdr:sp>
    <xdr:clientData/>
  </xdr:twoCellAnchor>
  <xdr:twoCellAnchor editAs="oneCell">
    <xdr:from>
      <xdr:col>18</xdr:col>
      <xdr:colOff>12700</xdr:colOff>
      <xdr:row>0</xdr:row>
      <xdr:rowOff>12700</xdr:rowOff>
    </xdr:from>
    <xdr:to>
      <xdr:col>18</xdr:col>
      <xdr:colOff>539750</xdr:colOff>
      <xdr:row>0</xdr:row>
      <xdr:rowOff>215900</xdr:rowOff>
    </xdr:to>
    <xdr:sp textlink="">
      <xdr:nvSpPr>
        <xdr:cNvPr id="8" name="btnExportDashboardPDF">
          <a:extLst>
            <a:ext uri="{FF2B5EF4-FFF2-40B4-BE49-F238E27FC236}">
              <a16:creationId xmlns:a16="http://schemas.microsoft.com/office/drawing/2014/main" id="{CB8885AA-3C71-93C1-F070-6A06D60332DC}"/>
            </a:ext>
          </a:extLst>
        </xdr:cNvPr>
        <xdr:cNvSpPr/>
      </xdr:nvSpPr>
      <xdr:spPr>
        <a:xfrm>
          <a:off x="9556750" y="12700"/>
          <a:ext cx="527050" cy="2032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34</xdr:row>
      <xdr:rowOff>0</xdr:rowOff>
    </xdr:from>
    <xdr:to>
      <xdr:col>8</xdr:col>
      <xdr:colOff>0</xdr:colOff>
      <xdr:row>50</xdr:row>
      <xdr:rowOff>0</xdr:rowOff>
    </xdr:to>
    <xdr:graphicFrame>
      <xdr:nvGraphicFramePr>
        <xdr:cNvPr id="2" name="chtAnoXmr">
          <a:extLst>
            <a:ext uri="{FF2B5EF4-FFF2-40B4-BE49-F238E27FC236}">
              <a16:creationId xmlns:a16="http://schemas.microsoft.com/office/drawing/2014/main" id="{DEA69B3C-9296-0178-9869-C6076F6B02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34</xdr:row>
      <xdr:rowOff>0</xdr:rowOff>
    </xdr:from>
    <xdr:to>
      <xdr:col>14</xdr:col>
      <xdr:colOff>0</xdr:colOff>
      <xdr:row>50</xdr:row>
      <xdr:rowOff>0</xdr:rowOff>
    </xdr:to>
    <xdr:graphicFrame>
      <xdr:nvGraphicFramePr>
        <xdr:cNvPr id="3" name="chtAnoCusum">
          <a:extLst>
            <a:ext uri="{FF2B5EF4-FFF2-40B4-BE49-F238E27FC236}">
              <a16:creationId xmlns:a16="http://schemas.microsoft.com/office/drawing/2014/main" id="{B245EFE4-3C24-79DB-760E-F4934B68F69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0</xdr:colOff>
      <xdr:row>34</xdr:row>
      <xdr:rowOff>0</xdr:rowOff>
    </xdr:from>
    <xdr:to>
      <xdr:col>20</xdr:col>
      <xdr:colOff>0</xdr:colOff>
      <xdr:row>50</xdr:row>
      <xdr:rowOff>0</xdr:rowOff>
    </xdr:to>
    <xdr:graphicFrame>
      <xdr:nvGraphicFramePr>
        <xdr:cNvPr id="4" name="chtAnoBenford">
          <a:extLst>
            <a:ext uri="{FF2B5EF4-FFF2-40B4-BE49-F238E27FC236}">
              <a16:creationId xmlns:a16="http://schemas.microsoft.com/office/drawing/2014/main" id="{8868539D-6257-0780-2E07-14695C213CB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0</xdr:col>
      <xdr:colOff>63500</xdr:colOff>
      <xdr:row>32</xdr:row>
      <xdr:rowOff>234950</xdr:rowOff>
    </xdr:from>
    <xdr:to>
      <xdr:col>8</xdr:col>
      <xdr:colOff>127000</xdr:colOff>
      <xdr:row>50</xdr:row>
      <xdr:rowOff>12700</xdr:rowOff>
    </xdr:to>
    <xdr:graphicFrame>
      <xdr:nvGraphicFramePr>
        <xdr:cNvPr id="5" name="ovAnochtAnoXmr">
          <a:extLst>
            <a:ext uri="{FF2B5EF4-FFF2-40B4-BE49-F238E27FC236}">
              <a16:creationId xmlns:a16="http://schemas.microsoft.com/office/drawing/2014/main" id="{1832E31F-6A8A-E35F-C24A-36434DA7F47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xdr:col>
      <xdr:colOff>0</xdr:colOff>
      <xdr:row>33</xdr:row>
      <xdr:rowOff>47625</xdr:rowOff>
    </xdr:from>
    <xdr:to>
      <xdr:col>8</xdr:col>
      <xdr:colOff>0</xdr:colOff>
      <xdr:row>49</xdr:row>
      <xdr:rowOff>38100</xdr:rowOff>
    </xdr:to>
    <xdr:sp textlink="AN_Calc!$FC$200">
      <xdr:nvSpPr>
        <xdr:cNvPr id="6" name="ovAnochtAnoXmr_txt">
          <a:extLst>
            <a:ext uri="{FF2B5EF4-FFF2-40B4-BE49-F238E27FC236}">
              <a16:creationId xmlns:a16="http://schemas.microsoft.com/office/drawing/2014/main" id="{AD8744DA-1787-B51E-586C-A104335C03DD}"/>
            </a:ext>
          </a:extLst>
        </xdr:cNvPr>
        <xdr:cNvSpPr txBox="1"/>
      </xdr:nvSpPr>
      <xdr:spPr>
        <a:xfrm>
          <a:off x="152400" y="6172200"/>
          <a:ext cx="3352800" cy="2438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35BAF71F-FAD4-427D-9A78-BA14D81FD71B}" type="TxLink">
            <a:rPr lang="en-US" sz="8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800" b="1">
            <a:solidFill>
              <a:srgbClr val="9C0006"/>
            </a:solidFill>
            <a:latin typeface="Arial" panose="020B0604020202020204" pitchFamily="34" charset="0"/>
          </a:endParaRPr>
        </a:p>
      </xdr:txBody>
    </xdr:sp>
    <xdr:clientData/>
  </xdr:twoCellAnchor>
  <xdr:twoCellAnchor editAs="absolute">
    <xdr:from>
      <xdr:col>7</xdr:col>
      <xdr:colOff>377825</xdr:colOff>
      <xdr:row>32</xdr:row>
      <xdr:rowOff>234950</xdr:rowOff>
    </xdr:from>
    <xdr:to>
      <xdr:col>14</xdr:col>
      <xdr:colOff>127000</xdr:colOff>
      <xdr:row>50</xdr:row>
      <xdr:rowOff>12700</xdr:rowOff>
    </xdr:to>
    <xdr:graphicFrame>
      <xdr:nvGraphicFramePr>
        <xdr:cNvPr id="7" name="ovAnochtAnoCusum">
          <a:extLst>
            <a:ext uri="{FF2B5EF4-FFF2-40B4-BE49-F238E27FC236}">
              <a16:creationId xmlns:a16="http://schemas.microsoft.com/office/drawing/2014/main" id="{87B6857D-4713-35AF-C34D-5D8C73FC5A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8</xdr:col>
      <xdr:colOff>0</xdr:colOff>
      <xdr:row>33</xdr:row>
      <xdr:rowOff>47625</xdr:rowOff>
    </xdr:from>
    <xdr:to>
      <xdr:col>14</xdr:col>
      <xdr:colOff>0</xdr:colOff>
      <xdr:row>49</xdr:row>
      <xdr:rowOff>38100</xdr:rowOff>
    </xdr:to>
    <xdr:sp textlink="AN_Calc!$FC$200">
      <xdr:nvSpPr>
        <xdr:cNvPr id="8" name="ovAnochtAnoCusum_txt">
          <a:extLst>
            <a:ext uri="{FF2B5EF4-FFF2-40B4-BE49-F238E27FC236}">
              <a16:creationId xmlns:a16="http://schemas.microsoft.com/office/drawing/2014/main" id="{D745E5AC-A6EA-98D2-89A1-164BC72FF1C9}"/>
            </a:ext>
          </a:extLst>
        </xdr:cNvPr>
        <xdr:cNvSpPr txBox="1"/>
      </xdr:nvSpPr>
      <xdr:spPr>
        <a:xfrm>
          <a:off x="3505200" y="6172200"/>
          <a:ext cx="2800350" cy="24384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square" lIns="76200" rIns="76200" rtlCol="0" anchor="ctr"/>
        <a:lstStyle/>
        <a:p>
          <a:pPr algn="ctr"/>
          <a:fld id="{0F37D8F5-BC64-4DF5-B143-2493CFDD4C66}" type="TxLink">
            <a:rPr lang="en-US" sz="700" b="1" i="0" u="none" strike="noStrike">
              <a:solidFill>
                <a:srgbClr val="9C0006"/>
              </a:solidFill>
              <a:latin typeface="Arial" panose="020B0604020202020204" pitchFamily="34" charset="0"/>
              <a:cs typeface="Arial"/>
            </a:rPr>
            <a:pPr algn="ctr"/>
            <a:t>VERİ YETERSİZ:
0 ay veri var, grafikler için en az 12 ay gerekir
INSUFFICIENT DATA:
0 months of data, the charts need at least 12</a:t>
          </a:fld>
          <a:endParaRPr lang="en-GB" sz="700" b="1">
            <a:solidFill>
              <a:srgbClr val="9C0006"/>
            </a:solidFill>
            <a:latin typeface="Arial" panose="020B0604020202020204" pitchFamily="34" charset="0"/>
          </a:endParaRPr>
        </a:p>
      </xdr:txBody>
    </xdr:sp>
    <xdr:clientData/>
  </xdr:twoCellAnchor>
  <xdr:twoCellAnchor editAs="oneCell">
    <xdr:from>
      <xdr:col>19</xdr:col>
      <xdr:colOff>12700</xdr:colOff>
      <xdr:row>0</xdr:row>
      <xdr:rowOff>12700</xdr:rowOff>
    </xdr:from>
    <xdr:to>
      <xdr:col>19</xdr:col>
      <xdr:colOff>454025</xdr:colOff>
      <xdr:row>0</xdr:row>
      <xdr:rowOff>215900</xdr:rowOff>
    </xdr:to>
    <xdr:sp textlink="">
      <xdr:nvSpPr>
        <xdr:cNvPr id="9" name="btnExportDashboardPDF">
          <a:extLst>
            <a:ext uri="{FF2B5EF4-FFF2-40B4-BE49-F238E27FC236}">
              <a16:creationId xmlns:a16="http://schemas.microsoft.com/office/drawing/2014/main" id="{AE074040-3A0D-52D0-BCF2-9C5F0C370603}"/>
            </a:ext>
          </a:extLst>
        </xdr:cNvPr>
        <xdr:cNvSpPr/>
      </xdr:nvSpPr>
      <xdr:spPr>
        <a:xfrm>
          <a:off x="8651875" y="12700"/>
          <a:ext cx="441325" cy="2032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12700</xdr:colOff>
      <xdr:row>0</xdr:row>
      <xdr:rowOff>12700</xdr:rowOff>
    </xdr:from>
    <xdr:to>
      <xdr:col>18</xdr:col>
      <xdr:colOff>539750</xdr:colOff>
      <xdr:row>0</xdr:row>
      <xdr:rowOff>215900</xdr:rowOff>
    </xdr:to>
    <xdr:sp textlink="">
      <xdr:nvSpPr>
        <xdr:cNvPr id="2" name="btnExportDashboardPDF">
          <a:extLst>
            <a:ext uri="{FF2B5EF4-FFF2-40B4-BE49-F238E27FC236}">
              <a16:creationId xmlns:a16="http://schemas.microsoft.com/office/drawing/2014/main" id="{DD1FBAF7-267C-1A88-EE80-606A0BF9F126}"/>
            </a:ext>
          </a:extLst>
        </xdr:cNvPr>
        <xdr:cNvSpPr/>
      </xdr:nvSpPr>
      <xdr:spPr>
        <a:xfrm>
          <a:off x="9556750" y="12700"/>
          <a:ext cx="527050" cy="2032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0</xdr:colOff>
      <xdr:row>9</xdr:row>
      <xdr:rowOff>0</xdr:rowOff>
    </xdr:from>
    <xdr:to>
      <xdr:col>19</xdr:col>
      <xdr:colOff>0</xdr:colOff>
      <xdr:row>34</xdr:row>
      <xdr:rowOff>0</xdr:rowOff>
    </xdr:to>
    <xdr:graphicFrame>
      <xdr:nvGraphicFramePr>
        <xdr:cNvPr id="4" name="chtBacktest">
          <a:extLst>
            <a:ext uri="{FF2B5EF4-FFF2-40B4-BE49-F238E27FC236}">
              <a16:creationId xmlns:a16="http://schemas.microsoft.com/office/drawing/2014/main" id="{ABBB75F9-D86C-0603-4AF1-A6003AC643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12700</xdr:colOff>
      <xdr:row>0</xdr:row>
      <xdr:rowOff>12700</xdr:rowOff>
    </xdr:from>
    <xdr:to>
      <xdr:col>18</xdr:col>
      <xdr:colOff>539750</xdr:colOff>
      <xdr:row>0</xdr:row>
      <xdr:rowOff>215900</xdr:rowOff>
    </xdr:to>
    <xdr:sp textlink="">
      <xdr:nvSpPr>
        <xdr:cNvPr id="5" name="btnExportDashboardPDF">
          <a:extLst>
            <a:ext uri="{FF2B5EF4-FFF2-40B4-BE49-F238E27FC236}">
              <a16:creationId xmlns:a16="http://schemas.microsoft.com/office/drawing/2014/main" id="{14EDBED2-E9B3-2AE4-AF1C-FDC3C0D931F3}"/>
            </a:ext>
          </a:extLst>
        </xdr:cNvPr>
        <xdr:cNvSpPr/>
      </xdr:nvSpPr>
      <xdr:spPr>
        <a:xfrm>
          <a:off x="9556750" y="12700"/>
          <a:ext cx="527050" cy="2032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13</xdr:col>
      <xdr:colOff>0</xdr:colOff>
      <xdr:row>9</xdr:row>
      <xdr:rowOff>0</xdr:rowOff>
    </xdr:from>
    <xdr:to>
      <xdr:col>19</xdr:col>
      <xdr:colOff>0</xdr:colOff>
      <xdr:row>30</xdr:row>
      <xdr:rowOff>0</xdr:rowOff>
    </xdr:to>
    <xdr:graphicFrame>
      <xdr:nvGraphicFramePr>
        <xdr:cNvPr id="4" name="chtDispersion">
          <a:extLst>
            <a:ext uri="{FF2B5EF4-FFF2-40B4-BE49-F238E27FC236}">
              <a16:creationId xmlns:a16="http://schemas.microsoft.com/office/drawing/2014/main" id="{C2CC218E-CF0E-7DB1-EA11-3A48D42AB7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12700</xdr:colOff>
      <xdr:row>0</xdr:row>
      <xdr:rowOff>12700</xdr:rowOff>
    </xdr:from>
    <xdr:to>
      <xdr:col>18</xdr:col>
      <xdr:colOff>539750</xdr:colOff>
      <xdr:row>0</xdr:row>
      <xdr:rowOff>215900</xdr:rowOff>
    </xdr:to>
    <xdr:sp textlink="">
      <xdr:nvSpPr>
        <xdr:cNvPr id="5" name="btnExportDashboardPDF">
          <a:extLst>
            <a:ext uri="{FF2B5EF4-FFF2-40B4-BE49-F238E27FC236}">
              <a16:creationId xmlns:a16="http://schemas.microsoft.com/office/drawing/2014/main" id="{AD2B2BEA-94A0-0E73-F191-606879EF73F1}"/>
            </a:ext>
          </a:extLst>
        </xdr:cNvPr>
        <xdr:cNvSpPr/>
      </xdr:nvSpPr>
      <xdr:spPr>
        <a:xfrm>
          <a:off x="9556750" y="12700"/>
          <a:ext cx="527050" cy="2032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0</xdr:colOff>
      <xdr:row>9</xdr:row>
      <xdr:rowOff>0</xdr:rowOff>
    </xdr:from>
    <xdr:to>
      <xdr:col>19</xdr:col>
      <xdr:colOff>0</xdr:colOff>
      <xdr:row>34</xdr:row>
      <xdr:rowOff>0</xdr:rowOff>
    </xdr:to>
    <xdr:graphicFrame>
      <xdr:nvGraphicFramePr>
        <xdr:cNvPr id="4" name="chtTailFit">
          <a:extLst>
            <a:ext uri="{FF2B5EF4-FFF2-40B4-BE49-F238E27FC236}">
              <a16:creationId xmlns:a16="http://schemas.microsoft.com/office/drawing/2014/main" id="{7D27DA23-48B5-2BD7-994D-AA08849B94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18</xdr:col>
      <xdr:colOff>12700</xdr:colOff>
      <xdr:row>0</xdr:row>
      <xdr:rowOff>12700</xdr:rowOff>
    </xdr:from>
    <xdr:to>
      <xdr:col>18</xdr:col>
      <xdr:colOff>539750</xdr:colOff>
      <xdr:row>0</xdr:row>
      <xdr:rowOff>215900</xdr:rowOff>
    </xdr:to>
    <xdr:sp textlink="">
      <xdr:nvSpPr>
        <xdr:cNvPr id="5" name="btnExportDashboardPDF">
          <a:extLst>
            <a:ext uri="{FF2B5EF4-FFF2-40B4-BE49-F238E27FC236}">
              <a16:creationId xmlns:a16="http://schemas.microsoft.com/office/drawing/2014/main" id="{FFBF3DE6-935A-48DF-49E7-2C50D30CF76D}"/>
            </a:ext>
          </a:extLst>
        </xdr:cNvPr>
        <xdr:cNvSpPr/>
      </xdr:nvSpPr>
      <xdr:spPr>
        <a:xfrm>
          <a:off x="9556750" y="12700"/>
          <a:ext cx="527050" cy="20320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PDF</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12700</xdr:colOff>
      <xdr:row>5</xdr:row>
      <xdr:rowOff>12700</xdr:rowOff>
    </xdr:from>
    <xdr:to>
      <xdr:col>3</xdr:col>
      <xdr:colOff>501650</xdr:colOff>
      <xdr:row>5</xdr:row>
      <xdr:rowOff>263525</xdr:rowOff>
    </xdr:to>
    <xdr:sp textlink="">
      <xdr:nvSpPr>
        <xdr:cNvPr id="2" name="btnRawView">
          <a:extLst>
            <a:ext uri="{FF2B5EF4-FFF2-40B4-BE49-F238E27FC236}">
              <a16:creationId xmlns:a16="http://schemas.microsoft.com/office/drawing/2014/main" id="{1A3B45E4-3579-6E9A-63A5-729C71E69F84}"/>
            </a:ext>
          </a:extLst>
        </xdr:cNvPr>
        <xdr:cNvSpPr/>
      </xdr:nvSpPr>
      <xdr:spPr>
        <a:xfrm>
          <a:off x="165100" y="1555750"/>
          <a:ext cx="1917700" cy="250825"/>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Satırları göster / Show lines</a:t>
          </a:r>
        </a:p>
      </xdr:txBody>
    </xdr:sp>
    <xdr:clientData/>
  </xdr:twoCellAnchor>
  <xdr:twoCellAnchor editAs="oneCell">
    <xdr:from>
      <xdr:col>4</xdr:col>
      <xdr:colOff>12700</xdr:colOff>
      <xdr:row>5</xdr:row>
      <xdr:rowOff>12700</xdr:rowOff>
    </xdr:from>
    <xdr:to>
      <xdr:col>6</xdr:col>
      <xdr:colOff>501650</xdr:colOff>
      <xdr:row>5</xdr:row>
      <xdr:rowOff>263525</xdr:rowOff>
    </xdr:to>
    <xdr:sp textlink="">
      <xdr:nvSpPr>
        <xdr:cNvPr id="3" name="btnRawExport">
          <a:extLst>
            <a:ext uri="{FF2B5EF4-FFF2-40B4-BE49-F238E27FC236}">
              <a16:creationId xmlns:a16="http://schemas.microsoft.com/office/drawing/2014/main" id="{B15BBFF8-D078-6377-2F74-1942AD1B8DB3}"/>
            </a:ext>
          </a:extLst>
        </xdr:cNvPr>
        <xdr:cNvSpPr/>
      </xdr:nvSpPr>
      <xdr:spPr>
        <a:xfrm>
          <a:off x="2108200" y="1555750"/>
          <a:ext cx="1917700" cy="250825"/>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CSV dışa aktar / Export CSV</a:t>
          </a:r>
        </a:p>
      </xdr:txBody>
    </xdr:sp>
    <xdr:clientData/>
  </xdr:twoCellAnchor>
  <xdr:twoCellAnchor editAs="oneCell">
    <xdr:from>
      <xdr:col>7</xdr:col>
      <xdr:colOff>12700</xdr:colOff>
      <xdr:row>5</xdr:row>
      <xdr:rowOff>12700</xdr:rowOff>
    </xdr:from>
    <xdr:to>
      <xdr:col>9</xdr:col>
      <xdr:colOff>501650</xdr:colOff>
      <xdr:row>5</xdr:row>
      <xdr:rowOff>263525</xdr:rowOff>
    </xdr:to>
    <xdr:sp textlink="">
      <xdr:nvSpPr>
        <xdr:cNvPr id="4" name="btnOpenSourceFile" hidden="1">
          <a:extLst>
            <a:ext uri="{FF2B5EF4-FFF2-40B4-BE49-F238E27FC236}">
              <a16:creationId xmlns:a16="http://schemas.microsoft.com/office/drawing/2014/main" id="{FBD371F2-93F8-B930-229B-BFF501C756A2}"/>
            </a:ext>
          </a:extLst>
        </xdr:cNvPr>
        <xdr:cNvSpPr/>
      </xdr:nvSpPr>
      <xdr:spPr>
        <a:xfrm>
          <a:off x="4051300" y="1555750"/>
          <a:ext cx="1917700" cy="250825"/>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12700" bIns="0" rtlCol="0" anchor="ctr"/>
        <a:lstStyle/>
        <a:p>
          <a:pPr algn="ctr"/>
          <a:r>
            <a:rPr lang="en-GB" sz="800" b="1">
              <a:solidFill>
                <a:srgbClr val="FFFFFF"/>
              </a:solidFill>
              <a:latin typeface="Arial" panose="020B0604020202020204" pitchFamily="34" charset="0"/>
            </a:rPr>
            <a:t>Kaynak dosyayı aç / Open source file</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25400</xdr:colOff>
      <xdr:row>3</xdr:row>
      <xdr:rowOff>25400</xdr:rowOff>
    </xdr:from>
    <xdr:to>
      <xdr:col>3</xdr:col>
      <xdr:colOff>1060450</xdr:colOff>
      <xdr:row>4</xdr:row>
      <xdr:rowOff>136525</xdr:rowOff>
    </xdr:to>
    <xdr:sp textlink="">
      <xdr:nvSpPr>
        <xdr:cNvPr id="2" name="btnShowlines">
          <a:extLst>
            <a:ext uri="{FF2B5EF4-FFF2-40B4-BE49-F238E27FC236}">
              <a16:creationId xmlns:a16="http://schemas.microsoft.com/office/drawing/2014/main" id="{6C24F4E5-75FA-2E41-CE94-D560906DA8C3}"/>
            </a:ext>
          </a:extLst>
        </xdr:cNvPr>
        <xdr:cNvSpPr/>
      </xdr:nvSpPr>
      <xdr:spPr>
        <a:xfrm>
          <a:off x="3778250" y="606425"/>
          <a:ext cx="1035050"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a:solidFill>
                <a:srgbClr val="FFFFFF"/>
              </a:solidFill>
              <a:latin typeface="Arial" panose="020B0604020202020204" pitchFamily="34" charset="0"/>
            </a:rPr>
            <a:t>Show lines</a:t>
          </a:r>
        </a:p>
      </xdr:txBody>
    </xdr:sp>
    <xdr:clientData/>
  </xdr:twoCellAnchor>
  <xdr:twoCellAnchor editAs="oneCell">
    <xdr:from>
      <xdr:col>5</xdr:col>
      <xdr:colOff>25400</xdr:colOff>
      <xdr:row>3</xdr:row>
      <xdr:rowOff>25400</xdr:rowOff>
    </xdr:from>
    <xdr:to>
      <xdr:col>5</xdr:col>
      <xdr:colOff>1050925</xdr:colOff>
      <xdr:row>4</xdr:row>
      <xdr:rowOff>136525</xdr:rowOff>
    </xdr:to>
    <xdr:sp textlink="">
      <xdr:nvSpPr>
        <xdr:cNvPr id="3" name="btnExportlinestoExcel">
          <a:extLst>
            <a:ext uri="{FF2B5EF4-FFF2-40B4-BE49-F238E27FC236}">
              <a16:creationId xmlns:a16="http://schemas.microsoft.com/office/drawing/2014/main" id="{5B416340-B6B7-3279-89C5-CEBB1E3A6BBE}"/>
            </a:ext>
          </a:extLst>
        </xdr:cNvPr>
        <xdr:cNvSpPr/>
      </xdr:nvSpPr>
      <xdr:spPr>
        <a:xfrm>
          <a:off x="5692775" y="606425"/>
          <a:ext cx="1025525" cy="273050"/>
        </a:xfrm>
        <a:prstGeom prst="roundRect">
          <a:avLst/>
        </a:prstGeom>
        <a:solidFill>
          <a:srgbClr val="1F3864"/>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a:solidFill>
                <a:srgbClr val="FFFFFF"/>
              </a:solidFill>
              <a:latin typeface="Arial" panose="020B0604020202020204" pitchFamily="34" charset="0"/>
            </a:rPr>
            <a:t>Export lines to Excel</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11</xdr:col>
      <xdr:colOff>25400</xdr:colOff>
      <xdr:row>0</xdr:row>
      <xdr:rowOff>25400</xdr:rowOff>
    </xdr:from>
    <xdr:to>
      <xdr:col>12</xdr:col>
      <xdr:colOff>4022725</xdr:colOff>
      <xdr:row>1</xdr:row>
      <xdr:rowOff>136525</xdr:rowOff>
    </xdr:to>
    <xdr:sp textlink="">
      <xdr:nvSpPr>
        <xdr:cNvPr id="2" name="btnVerifyselectedColumnIDs">
          <a:extLst>
            <a:ext uri="{FF2B5EF4-FFF2-40B4-BE49-F238E27FC236}">
              <a16:creationId xmlns:a16="http://schemas.microsoft.com/office/drawing/2014/main" id="{8AF2928A-6CCB-4405-635F-A0935EDB1175}"/>
            </a:ext>
          </a:extLst>
        </xdr:cNvPr>
        <xdr:cNvSpPr/>
      </xdr:nvSpPr>
      <xdr:spPr>
        <a:xfrm>
          <a:off x="16370300" y="25400"/>
          <a:ext cx="4530725" cy="36830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000" b="1">
              <a:solidFill>
                <a:srgbClr val="808080"/>
              </a:solidFill>
              <a:latin typeface="Arial" panose="020B0604020202020204" pitchFamily="34" charset="0"/>
            </a:rPr>
            <a:t>Verify selected ColumnIDs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25400</xdr:colOff>
      <xdr:row>5</xdr:row>
      <xdr:rowOff>25400</xdr:rowOff>
    </xdr:from>
    <xdr:to>
      <xdr:col>0</xdr:col>
      <xdr:colOff>3222625</xdr:colOff>
      <xdr:row>6</xdr:row>
      <xdr:rowOff>136525</xdr:rowOff>
    </xdr:to>
    <xdr:sp textlink="">
      <xdr:nvSpPr>
        <xdr:cNvPr id="2" name="btnRefreshReference">
          <a:extLst>
            <a:ext uri="{FF2B5EF4-FFF2-40B4-BE49-F238E27FC236}">
              <a16:creationId xmlns:a16="http://schemas.microsoft.com/office/drawing/2014/main" id="{1FB68CE8-FF0C-B6BD-3678-56795734FE20}"/>
            </a:ext>
          </a:extLst>
        </xdr:cNvPr>
        <xdr:cNvSpPr/>
      </xdr:nvSpPr>
      <xdr:spPr>
        <a:xfrm>
          <a:off x="25400" y="3778250"/>
          <a:ext cx="3197225" cy="273050"/>
        </a:xfrm>
        <a:prstGeom prst="roundRect">
          <a:avLst/>
        </a:prstGeom>
        <a:solidFill>
          <a:srgbClr val="D9D9D9"/>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900" b="1">
              <a:solidFill>
                <a:srgbClr val="808080"/>
              </a:solidFill>
              <a:latin typeface="Arial" panose="020B0604020202020204" pitchFamily="34" charset="0"/>
            </a:rPr>
            <a:t>Referans verisini yenile / Refresh reference data</a:t>
          </a:r>
        </a:p>
      </xdr:txBody>
    </xdr: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saveData="0" refreshedBy="fozel" refreshedDate="46300.787032523149" createdVersion="3" refreshedVersion="8" minRefreshableVersion="3" recordCount="0" tupleCache="1" supportSubquery="1" supportAdvancedDrill="1" xr:uid="{81788C76-508C-4CDE-ADAC-3BDD1A08C8C5}">
  <cacheSource type="external" connectionId="22"/>
  <cacheFields count="2">
    <cacheField name="[DimDate].[YearMonth].[YearMonth]" caption="YearMonth" numFmtId="0" hierarchy="50" level="1">
      <sharedItems count="1">
        <s v="[DimDate].[YearMonth].&amp;[2026-08]" c="2026-08"/>
      </sharedItems>
    </cacheField>
    <cacheField name="[Measures].[MeasuresLevel]" caption="MeasuresLevel" numFmtId="0" hierarchy="161">
      <sharedItems count="6">
        <s v="[Measures].[Total Payments TRY]" c="Total Payments TRY"/>
        <s v="[Measures].[Payment Lines]" c="Payment Lines"/>
        <s v="[Measures].[Distinct Cases]" c="Distinct Cases"/>
        <s v="[Measures].[Avg Days Notification to Payment]" c="Avg Days Notification to Payment"/>
        <s v="[Measures].[MoM Change %]" c="MoM Change %"/>
        <s v="[Measures].[Net Payments TRY]" c="Net Payments TRY"/>
      </sharedItems>
    </cacheField>
  </cacheFields>
  <cacheHierarchies count="359">
    <cacheHierarchy uniqueName="[AnParam].[Param]" caption="Param" attribute="1" defaultMemberUniqueName="[AnParam].[Param].[All]" allUniqueName="[AnParam].[Param].[All]" dimensionUniqueName="[AnParam]" displayFolder="" count="2" memberValueDatatype="130" unbalanced="0"/>
    <cacheHierarchy uniqueName="[AnParam].[Value]" caption="Value" attribute="1" defaultMemberUniqueName="[AnParam].[Value].[All]" allUniqueName="[AnParam].[Value].[All]" dimensionUniqueName="[AnParam]" displayFolder="" count="2" memberValueDatatype="5" unbalanced="0"/>
    <cacheHierarchy uniqueName="[AnParam].[Unit]" caption="Unit" attribute="1" defaultMemberUniqueName="[AnParam].[Unit].[All]" allUniqueName="[AnParam].[Unit].[All]" dimensionUniqueName="[AnParam]" displayFolder="" count="2" memberValueDatatype="130" unbalanced="0"/>
    <cacheHierarchy uniqueName="[AnParam].[Description]" caption="Description" attribute="1" defaultMemberUniqueName="[AnParam].[Description].[All]" allUniqueName="[AnParam].[Description].[All]" dimensionUniqueName="[AnParam]" displayFolder="" count="2" memberValueDatatype="130" unbalanced="0"/>
    <cacheHierarchy uniqueName="[AnParam].[Owner]" caption="Owner" attribute="1" defaultMemberUniqueName="[AnParam].[Owner].[All]" allUniqueName="[AnParam].[Owner].[All]" dimensionUniqueName="[AnParam]" displayFolder="" count="2" memberValueDatatype="130" unbalanced="0"/>
    <cacheHierarchy uniqueName="[BandAmount].[AmountBand]" caption="AmountBand" attribute="1" defaultMemberUniqueName="[BandAmount].[AmountBand].[All]" allUniqueName="[BandAmount].[AmountBand].[All]" dimensionUniqueName="[BandAmount]" displayFolder="" count="2" memberValueDatatype="130" unbalanced="0"/>
    <cacheHierarchy uniqueName="[BandAmount].[SortOrder]" caption="SortOrder" attribute="1" defaultMemberUniqueName="[BandAmount].[SortOrder].[All]" allUniqueName="[BandAmount].[SortOrder].[All]" dimensionUniqueName="[BandAmount]" displayFolder="" count="2" memberValueDatatype="20" unbalanced="0"/>
    <cacheHierarchy uniqueName="[BandAmount].[FromTRY]" caption="FromTRY" attribute="1" defaultMemberUniqueName="[BandAmount].[FromTRY].[All]" allUniqueName="[BandAmount].[FromTRY].[All]" dimensionUniqueName="[BandAmount]" displayFolder="" count="2" memberValueDatatype="5" unbalanced="0"/>
    <cacheHierarchy uniqueName="[BandAmount].[ToTRY]" caption="ToTRY" attribute="1" defaultMemberUniqueName="[BandAmount].[ToTRY].[All]" allUniqueName="[BandAmount].[ToTRY].[All]" dimensionUniqueName="[BandAmount]" displayFolder="" count="2" memberValueDatatype="5" unbalanced="0"/>
    <cacheHierarchy uniqueName="[BandLag].[LagBand]" caption="LagBand" attribute="1" defaultMemberUniqueName="[BandLag].[LagBand].[All]" allUniqueName="[BandLag].[LagBand].[All]" dimensionUniqueName="[BandLag]" displayFolder="" count="2" memberValueDatatype="130" unbalanced="0"/>
    <cacheHierarchy uniqueName="[BandLag].[SortOrder]" caption="SortOrder" attribute="1" defaultMemberUniqueName="[BandLag].[SortOrder].[All]" allUniqueName="[BandLag].[SortOrder].[All]" dimensionUniqueName="[BandLag]" displayFolder="" count="2" memberValueDatatype="20" unbalanced="0"/>
    <cacheHierarchy uniqueName="[BandLag].[FromDays]" caption="FromDays" attribute="1" defaultMemberUniqueName="[BandLag].[FromDays].[All]" allUniqueName="[BandLag].[FromDays].[All]" dimensionUniqueName="[BandLag]" displayFolder="" count="2" memberValueDatatype="20" unbalanced="0"/>
    <cacheHierarchy uniqueName="[BandLag].[ToDays]" caption="ToDays" attribute="1" defaultMemberUniqueName="[BandLag].[ToDays].[All]" allUniqueName="[BandLag].[ToDays].[All]" dimensionUniqueName="[BandLag]" displayFolder="" count="2" memberValueDatatype="20" unbalanced="0"/>
    <cacheHierarchy uniqueName="[BandPolicyAge].[PolicyAgeBand]" caption="PolicyAgeBand" attribute="1" defaultMemberUniqueName="[BandPolicyAge].[PolicyAgeBand].[All]" allUniqueName="[BandPolicyAge].[PolicyAgeBand].[All]" dimensionUniqueName="[BandPolicyAge]" displayFolder="" count="2" memberValueDatatype="130" unbalanced="0"/>
    <cacheHierarchy uniqueName="[BandPolicyAge].[SortOrder]" caption="SortOrder" attribute="1" defaultMemberUniqueName="[BandPolicyAge].[SortOrder].[All]" allUniqueName="[BandPolicyAge].[SortOrder].[All]" dimensionUniqueName="[BandPolicyAge]" displayFolder="" count="2" memberValueDatatype="20" unbalanced="0"/>
    <cacheHierarchy uniqueName="[BandPolicyAge].[FromMonths]" caption="FromMonths" attribute="1" defaultMemberUniqueName="[BandPolicyAge].[FromMonths].[All]" allUniqueName="[BandPolicyAge].[FromMonths].[All]" dimensionUniqueName="[BandPolicyAge]" displayFolder="" count="2" memberValueDatatype="20" unbalanced="0"/>
    <cacheHierarchy uniqueName="[BandPolicyAge].[ToMonths]" caption="ToMonths" attribute="1" defaultMemberUniqueName="[BandPolicyAge].[ToMonths].[All]" allUniqueName="[BandPolicyAge].[ToMonths].[All]" dimensionUniqueName="[BandPolicyAge]" displayFolder="" count="2" memberValueDatatype="20" unbalanced="0"/>
    <cacheHierarchy uniqueName="[DevMonth].[DevMonth]" caption="DevMonth" attribute="1" defaultMemberUniqueName="[DevMonth].[DevMonth].[All]" allUniqueName="[DevMonth].[DevMonth].[All]" dimensionUniqueName="[DevMonth]" displayFolder="" count="2" memberValueDatatype="20" unbalanced="0"/>
    <cacheHierarchy uniqueName="[DevMonth].[DevLabel]" caption="DevLabel" attribute="1" defaultMemberUniqueName="[DevMonth].[DevLabel].[All]" allUniqueName="[DevMonth].[DevLabel].[All]" dimensionUniqueName="[DevMonth]" displayFolder="" count="2" memberValueDatatype="130" unbalanced="0"/>
    <cacheHierarchy uniqueName="[DevMonth].[SortOrder]" caption="SortOrder" attribute="1" defaultMemberUniqueName="[DevMonth].[SortOrder].[All]" allUniqueName="[DevMonth].[SortOrder].[All]" dimensionUniqueName="[DevMonth]" displayFolder="" count="2" memberValueDatatype="20" unbalanced="0"/>
    <cacheHierarchy uniqueName="[DimAgeBand].[AgeBand]" caption="AgeBand" attribute="1" defaultMemberUniqueName="[DimAgeBand].[AgeBand].[All]" allUniqueName="[DimAgeBand].[AgeBand].[All]" dimensionUniqueName="[DimAgeBand]" displayFolder="" count="2" memberValueDatatype="130" unbalanced="0"/>
    <cacheHierarchy uniqueName="[DimAgeBand].[SortOrder]" caption="SortOrder" attribute="1" defaultMemberUniqueName="[DimAgeBand].[SortOrder].[All]" allUniqueName="[DimAgeBand].[SortOrder].[All]" dimensionUniqueName="[DimAgeBand]" displayFolder="" count="2" memberValueDatatype="20" unbalanced="0"/>
    <cacheHierarchy uniqueName="[DimAgeBand].[FromAge]" caption="FromAge" attribute="1" defaultMemberUniqueName="[DimAgeBand].[FromAge].[All]" allUniqueName="[DimAgeBand].[FromAge].[All]" dimensionUniqueName="[DimAgeBand]" displayFolder="" count="2" memberValueDatatype="20" unbalanced="0"/>
    <cacheHierarchy uniqueName="[DimAgeBand].[ToAge]" caption="ToAge" attribute="1" defaultMemberUniqueName="[DimAgeBand].[ToAge].[All]" allUniqueName="[DimAgeBand].[ToAge].[All]" dimensionUniqueName="[DimAgeBand]" displayFolder="" count="2" memberValueDatatype="20" unbalanced="0"/>
    <cacheHierarchy uniqueName="[DimBranch].[ParentBranchCode]" caption="ParentBranchCode" attribute="1" defaultMemberUniqueName="[DimBranch].[ParentBranchCode].[All]" allUniqueName="[DimBranch].[ParentBranchCode].[All]" dimensionUniqueName="[DimBranch]" displayFolder="" count="2" memberValueDatatype="130" unbalanced="0"/>
    <cacheHierarchy uniqueName="[DimBranch].[ParentBranchName]" caption="ParentBranchName" attribute="1" defaultMemberUniqueName="[DimBranch].[ParentBranchName].[All]" allUniqueName="[DimBranch].[ParentBranchName].[All]" dimensionUniqueName="[DimBranch]" displayFolder="" count="2" memberValueDatatype="130" unbalanced="0"/>
    <cacheHierarchy uniqueName="[DimBranch].[BranchCode]" caption="BranchCode" attribute="1" defaultMemberUniqueName="[DimBranch].[BranchCode].[All]" allUniqueName="[DimBranch].[BranchCode].[All]" dimensionUniqueName="[DimBranch]" displayFolder="" count="2" memberValueDatatype="130" unbalanced="0"/>
    <cacheHierarchy uniqueName="[DimBranch].[BranchName]" caption="BranchName" attribute="1" defaultMemberUniqueName="[DimBranch].[BranchName].[All]" allUniqueName="[DimBranch].[BranchName].[All]" dimensionUniqueName="[DimBranch]" displayFolder="" count="2" memberValueDatatype="130" unbalanced="0"/>
    <cacheHierarchy uniqueName="[DimBranch].[SubBranchCode]" caption="SubBranchCode" attribute="1" defaultMemberUniqueName="[DimBranch].[SubBranchCode].[All]" allUniqueName="[DimBranch].[SubBranchCode].[All]" dimensionUniqueName="[DimBranch]" displayFolder="" count="2" memberValueDatatype="130" unbalanced="0"/>
    <cacheHierarchy uniqueName="[DimBranch].[SubBranchName]" caption="SubBranchName" attribute="1" defaultMemberUniqueName="[DimBranch].[SubBranchName].[All]" allUniqueName="[DimBranch].[SubBranchName].[All]" dimensionUniqueName="[DimBranch]" displayFolder="" count="2" memberValueDatatype="130" unbalanced="0"/>
    <cacheHierarchy uniqueName="[DimBranch].[BranchGroup]" caption="BranchGroup" attribute="1" defaultMemberUniqueName="[DimBranch].[BranchGroup].[All]" allUniqueName="[DimBranch].[BranchGroup].[All]" dimensionUniqueName="[DimBranch]" displayFolder="" count="2" memberValueDatatype="130" unbalanced="0"/>
    <cacheHierarchy uniqueName="[DimBranch].[Segment]" caption="Segment" attribute="1" defaultMemberUniqueName="[DimBranch].[Segment].[All]" allUniqueName="[DimBranch].[Segment].[All]" dimensionUniqueName="[DimBranch]" displayFolder="" count="2" memberValueDatatype="130" unbalanced="0"/>
    <cacheHierarchy uniqueName="[DimBranch].[BranchKey]" caption="BranchKey" attribute="1" defaultMemberUniqueName="[DimBranch].[BranchKey].[All]" allUniqueName="[DimBranch].[BranchKey].[All]" dimensionUniqueName="[DimBranch]" displayFolder="" count="2" memberValueDatatype="130" unbalanced="0"/>
    <cacheHierarchy uniqueName="[DimChannel].[SalesChannelCode]" caption="SalesChannelCode" attribute="1" defaultMemberUniqueName="[DimChannel].[SalesChannelCode].[All]" allUniqueName="[DimChannel].[SalesChannelCode].[All]" dimensionUniqueName="[DimChannel]" displayFolder="" count="2" memberValueDatatype="130" unbalanced="0"/>
    <cacheHierarchy uniqueName="[DimChannel].[ChannelTR]" caption="ChannelTR" attribute="1" defaultMemberUniqueName="[DimChannel].[ChannelTR].[All]" allUniqueName="[DimChannel].[ChannelTR].[All]" dimensionUniqueName="[DimChannel]" displayFolder="" count="2" memberValueDatatype="130" unbalanced="0"/>
    <cacheHierarchy uniqueName="[DimChannel].[ChannelEN]" caption="ChannelEN" attribute="1" defaultMemberUniqueName="[DimChannel].[ChannelEN].[All]" allUniqueName="[DimChannel].[ChannelEN].[All]" dimensionUniqueName="[DimChannel]" displayFolder="" count="2" memberValueDatatype="130" unbalanced="0"/>
    <cacheHierarchy uniqueName="[DimChannel].[ChannelGroup]" caption="ChannelGroup" attribute="1" defaultMemberUniqueName="[DimChannel].[ChannelGroup].[All]" allUniqueName="[DimChannel].[ChannelGroup].[All]" dimensionUniqueName="[DimChannel]" displayFolder="" count="2" memberValueDatatype="130" unbalanced="0"/>
    <cacheHierarchy uniqueName="[DimCompany].[CompanyID]" caption="CompanyID" attribute="1" defaultMemberUniqueName="[DimCompany].[CompanyID].[All]" allUniqueName="[DimCompany].[CompanyID].[All]" dimensionUniqueName="[DimCompany]" displayFolder="" count="2" memberValueDatatype="130" unbalanced="0"/>
    <cacheHierarchy uniqueName="[DimCompany].[CompanyName]" caption="CompanyName" attribute="1" defaultMemberUniqueName="[DimCompany].[CompanyName].[All]" allUniqueName="[DimCompany].[CompanyName].[All]" dimensionUniqueName="[DimCompany]" displayFolder="" count="2" memberValueDatatype="130" unbalanced="0"/>
    <cacheHierarchy uniqueName="[DimCompany].[CompanyType]" caption="CompanyType" attribute="1" defaultMemberUniqueName="[DimCompany].[CompanyType].[All]" allUniqueName="[DimCompany].[CompanyType].[All]" allCaption="All" dimensionUniqueName="[DimCompany]" displayFolder="" count="2" memberValueDatatype="130" unbalanced="0"/>
    <cacheHierarchy uniqueName="[DimCompany].[CompanyLabel]" caption="CompanyLabel" attribute="1" defaultMemberUniqueName="[DimCompany].[CompanyLabel].[All]" allUniqueName="[DimCompany].[CompanyLabel].[All]" dimensionUniqueName="[DimCompany]" displayFolder="" count="2" memberValueDatatype="130" unbalanced="0"/>
    <cacheHierarchy uniqueName="[DimCurrency].[CurrencyCode]" caption="CurrencyCode" attribute="1" defaultMemberUniqueName="[DimCurrency].[CurrencyCode].[All]" allUniqueName="[DimCurrency].[CurrencyCode].[All]" dimensionUniqueName="[DimCurrency]" displayFolder="" count="2" memberValueDatatype="130" unbalanced="0"/>
    <cacheHierarchy uniqueName="[DimCurrency].[CurrencyTR]" caption="CurrencyTR" attribute="1" defaultMemberUniqueName="[DimCurrency].[CurrencyTR].[All]" allUniqueName="[DimCurrency].[CurrencyTR].[All]" dimensionUniqueName="[DimCurrency]" displayFolder="" count="2" memberValueDatatype="130" unbalanced="0"/>
    <cacheHierarchy uniqueName="[DimCurrency].[CurrencyEN]" caption="CurrencyEN" attribute="1" defaultMemberUniqueName="[DimCurrency].[CurrencyEN].[All]" allUniqueName="[DimCurrency].[CurrencyEN].[All]" dimensionUniqueName="[DimCurrency]" displayFolder="" count="2" memberValueDatatype="130" unbalanced="0"/>
    <cacheHierarchy uniqueName="[DimCurrency].[SortOrder]" caption="SortOrder" attribute="1" defaultMemberUniqueName="[DimCurrency].[SortOrder].[All]" allUniqueName="[DimCurrency].[SortOrder].[All]" dimensionUniqueName="[DimCurrency]" displayFolder="" count="2" memberValueDatatype="20" unbalanced="0"/>
    <cacheHierarchy uniqueName="[DimCurrency].[IsReporting]" caption="IsReporting" attribute="1" defaultMemberUniqueName="[DimCurrency].[IsReporting].[All]" allUniqueName="[DimCurrency].[IsReporting].[All]" dimensionUniqueName="[DimCurrency]" displayFolder="" count="2" memberValueDatatype="130" unbalanced="0"/>
    <cacheHierarchy uniqueName="[DimDate].[Date]" caption="Date" attribute="1" time="1" defaultMemberUniqueName="[DimDate].[Date].[All]" allUniqueName="[DimDate].[Date].[All]" dimensionUniqueName="[DimDate]" displayFolder="" count="2" memberValueDatatype="7" unbalanced="0"/>
    <cacheHierarchy uniqueName="[DimDate].[Year]" caption="Year" attribute="1" defaultMemberUniqueName="[DimDate].[Year].[All]" allUniqueName="[DimDate].[Year].[All]" dimensionUniqueName="[DimDate]" displayFolder="" count="2" memberValueDatatype="20" unbalanced="0"/>
    <cacheHierarchy uniqueName="[DimDate].[MonthNo]" caption="MonthNo" attribute="1" defaultMemberUniqueName="[DimDate].[MonthNo].[All]" allUniqueName="[DimDate].[MonthNo].[All]" dimensionUniqueName="[DimDate]" displayFolder="" count="2" memberValueDatatype="20" unbalanced="0"/>
    <cacheHierarchy uniqueName="[DimDate].[PeriodKey]" caption="PeriodKey" attribute="1" defaultMemberUniqueName="[DimDate].[PeriodKey].[All]" allUniqueName="[DimDate].[PeriodKey].[All]" dimensionUniqueName="[DimDate]" displayFolder="" count="2"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0"/>
      </fieldsUsage>
    </cacheHierarchy>
    <cacheHierarchy uniqueName="[DimDate].[Quarter]" caption="Quarter" attribute="1" defaultMemberUniqueName="[DimDate].[Quarter].[All]" allUniqueName="[DimDate].[Quarter].[All]" dimensionUniqueName="[DimDate]" displayFolder="" count="2" memberValueDatatype="130" unbalanced="0"/>
    <cacheHierarchy uniqueName="[DimDate].[YearQuarter]" caption="YearQuarter" attribute="1" defaultMemberUniqueName="[DimDate].[YearQuarter].[All]" allUniqueName="[DimDate].[YearQuarter].[All]" dimensionUniqueName="[DimDate]" displayFolder="" count="2" memberValueDatatype="130" unbalanced="0"/>
    <cacheHierarchy uniqueName="[DimDate].[MonthStart]" caption="MonthStart" attribute="1" time="1" defaultMemberUniqueName="[DimDate].[MonthStart].[All]" allUniqueName="[DimDate].[MonthStart].[All]" dimensionUniqueName="[DimDate]" displayFolder="" count="2" memberValueDatatype="7" unbalanced="0"/>
    <cacheHierarchy uniqueName="[DimDate].[MonthEnd]" caption="MonthEnd" attribute="1" time="1" defaultMemberUniqueName="[DimDate].[MonthEnd].[All]" allUniqueName="[DimDate].[MonthEnd].[All]" dimensionUniqueName="[DimDate]" displayFolder="" count="2"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cacheHierarchy uniqueName="[DimDate].[PeriodStatus]" caption="PeriodStatus" attribute="1" defaultMemberUniqueName="[DimDate].[PeriodStatus].[All]" allUniqueName="[DimDate].[PeriodStatus].[All]" dimensionUniqueName="[DimDate]" displayFolder="" count="2" memberValueDatatype="130" unbalanced="0"/>
    <cacheHierarchy uniqueName="[DimFXRate].[FXKey]" caption="FXKey" attribute="1" defaultMemberUniqueName="[DimFXRate].[FXKey].[All]" allUniqueName="[DimFXRate].[FXKey].[All]" dimensionUniqueName="[DimFXRate]" displayFolder="" count="2" memberValueDatatype="130" unbalanced="0"/>
    <cacheHierarchy uniqueName="[DimFXRate].[CurrencyCode]" caption="CurrencyCode" attribute="1" defaultMemberUniqueName="[DimFXRate].[CurrencyCode].[All]" allUniqueName="[DimFXRate].[CurrencyCode].[All]" dimensionUniqueName="[DimFXRate]" displayFolder="" count="2" memberValueDatatype="130" unbalanced="0"/>
    <cacheHierarchy uniqueName="[DimFXRate].[RateDate]" caption="RateDate" attribute="1" time="1" defaultMemberUniqueName="[DimFXRate].[RateDate].[All]" allUniqueName="[DimFXRate].[RateDate].[All]" dimensionUniqueName="[DimFXRate]" displayFolder="" count="2" memberValueDatatype="7" unbalanced="0"/>
    <cacheHierarchy uniqueName="[DimFXRate].[RateToTRY]" caption="RateToTRY" attribute="1" defaultMemberUniqueName="[DimFXRate].[RateToTRY].[All]" allUniqueName="[DimFXRate].[RateToTRY].[All]" dimensionUniqueName="[DimFXRate]" displayFolder="" count="2" memberValueDatatype="5" unbalanced="0"/>
    <cacheHierarchy uniqueName="[DimFXRate].[PublishedRateDate]" caption="PublishedRateDate" attribute="1" time="1" defaultMemberUniqueName="[DimFXRate].[PublishedRateDate].[All]" allUniqueName="[DimFXRate].[PublishedRateDate].[All]" dimensionUniqueName="[DimFXRate]" displayFolder="" count="2" memberValueDatatype="7" unbalanced="0"/>
    <cacheHierarchy uniqueName="[DimFXRate].[DaysCarriedForward]" caption="DaysCarriedForward" attribute="1" defaultMemberUniqueName="[DimFXRate].[DaysCarriedForward].[All]" allUniqueName="[DimFXRate].[DaysCarriedForward].[All]" dimensionUniqueName="[DimFXRate]" displayFolder="" count="2" memberValueDatatype="20" unbalanced="0"/>
    <cacheHierarchy uniqueName="[DimGeography].[Province]" caption="Province" attribute="1" defaultMemberUniqueName="[DimGeography].[Province].[All]" allUniqueName="[DimGeography].[Province].[All]" dimensionUniqueName="[DimGeography]" displayFolder="" count="2" memberValueDatatype="130" unbalanced="0"/>
    <cacheHierarchy uniqueName="[DimGeography].[PlateCode]" caption="PlateCode" attribute="1" defaultMemberUniqueName="[DimGeography].[PlateCode].[All]" allUniqueName="[DimGeography].[PlateCode].[All]" dimensionUniqueName="[DimGeography]" displayFolder="" count="2" memberValueDatatype="20" unbalanced="0"/>
    <cacheHierarchy uniqueName="[DimGeography].[Region]" caption="Region" attribute="1" defaultMemberUniqueName="[DimGeography].[Region].[All]" allUniqueName="[DimGeography].[Region].[All]" dimensionUniqueName="[DimGeography]" displayFolder="" count="2" memberValueDatatype="130" unbalanced="0"/>
    <cacheHierarchy uniqueName="[DimPartner].[PartnerCode]" caption="PartnerCode" attribute="1" defaultMemberUniqueName="[DimPartner].[PartnerCode].[All]" allUniqueName="[DimPartner].[PartnerCode].[All]" dimensionUniqueName="[DimPartner]" displayFolder="" count="2" memberValueDatatype="130" unbalanced="0"/>
    <cacheHierarchy uniqueName="[DimPartner].[PartnerName]" caption="PartnerName" attribute="1" defaultMemberUniqueName="[DimPartner].[PartnerName].[All]" allUniqueName="[DimPartner].[PartnerName].[All]" dimensionUniqueName="[DimPartner]" displayFolder="" count="2" memberValueDatatype="130" unbalanced="0"/>
    <cacheHierarchy uniqueName="[DimPartner].[PartnerType]" caption="PartnerType" attribute="1" defaultMemberUniqueName="[DimPartner].[PartnerType].[All]" allUniqueName="[DimPartner].[PartnerType].[All]" dimensionUniqueName="[DimPartner]" displayFolder="" count="2" memberValueDatatype="130" unbalanced="0"/>
    <cacheHierarchy uniqueName="[DimPaymentNature].[ReasonCode]" caption="ReasonCode" attribute="1" defaultMemberUniqueName="[DimPaymentNature].[ReasonCode].[All]" allUniqueName="[DimPaymentNature].[ReasonCode].[All]" dimensionUniqueName="[DimPaymentNature]" displayFolder="" count="2"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2" memberValueDatatype="130" unbalanced="0"/>
    <cacheHierarchy uniqueName="[DimPaymentNature].[NatureTR]" caption="NatureTR" attribute="1" defaultMemberUniqueName="[DimPaymentNature].[NatureTR].[All]" allUniqueName="[DimPaymentNature].[NatureTR].[All]" dimensionUniqueName="[DimPaymentNature]" displayFolder="" count="2" memberValueDatatype="130" unbalanced="0"/>
    <cacheHierarchy uniqueName="[DimPaymentNature].[NatureEN]" caption="NatureEN" attribute="1" defaultMemberUniqueName="[DimPaymentNature].[NatureEN].[All]" allUniqueName="[DimPaymentNature].[NatureEN].[All]" dimensionUniqueName="[DimPaymentNature]" displayFolder="" count="2" memberValueDatatype="130" unbalanced="0"/>
    <cacheHierarchy uniqueName="[DimPaymentNature].[Segment]" caption="Segment" attribute="1" defaultMemberUniqueName="[DimPaymentNature].[Segment].[All]" allUniqueName="[DimPaymentNature].[Segment].[All]" dimensionUniqueName="[DimPaymentNature]" displayFolder="" count="2"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2"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2" memberValueDatatype="130" unbalanced="0"/>
    <cacheHierarchy uniqueName="[DimProduct].[ProductCode]" caption="ProductCode" attribute="1" defaultMemberUniqueName="[DimProduct].[ProductCode].[All]" allUniqueName="[DimProduct].[ProductCode].[All]" dimensionUniqueName="[DimProduct]" displayFolder="" count="2" memberValueDatatype="130" unbalanced="0"/>
    <cacheHierarchy uniqueName="[DimProduct].[ProductName]" caption="ProductName" attribute="1" defaultMemberUniqueName="[DimProduct].[ProductName].[All]" allUniqueName="[DimProduct].[ProductName].[All]" dimensionUniqueName="[DimProduct]" displayFolder="" count="2" memberValueDatatype="130" unbalanced="0"/>
    <cacheHierarchy uniqueName="[DimProduct].[ProductType]" caption="ProductType" attribute="1" defaultMemberUniqueName="[DimProduct].[ProductType].[All]" allUniqueName="[DimProduct].[ProductType].[All]" dimensionUniqueName="[DimProduct]" displayFolder="" count="2" memberValueDatatype="130" unbalanced="0"/>
    <cacheHierarchy uniqueName="[DimSegment].[Segment]" caption="Segment" attribute="1" defaultMemberUniqueName="[DimSegment].[Segment].[All]" allUniqueName="[DimSegment].[Segment].[All]" dimensionUniqueName="[DimSegment]" displayFolder="" count="2" memberValueDatatype="130" unbalanced="0"/>
    <cacheHierarchy uniqueName="[DimSegment].[SegmentTR]" caption="SegmentTR" attribute="1" defaultMemberUniqueName="[DimSegment].[SegmentTR].[All]" allUniqueName="[DimSegment].[SegmentTR].[All]" dimensionUniqueName="[DimSegment]" displayFolder="" count="2" memberValueDatatype="130" unbalanced="0"/>
    <cacheHierarchy uniqueName="[DimSegment].[SegmentEN]" caption="SegmentEN" attribute="1" defaultMemberUniqueName="[DimSegment].[SegmentEN].[All]" allUniqueName="[DimSegment].[SegmentEN].[All]" dimensionUniqueName="[DimSegment]" displayFolder="" count="2" memberValueDatatype="130" unbalanced="0"/>
    <cacheHierarchy uniqueName="[DimSegment].[SortOrder]" caption="SortOrder" attribute="1" defaultMemberUniqueName="[DimSegment].[SortOrder].[All]" allUniqueName="[DimSegment].[SortOrder].[All]" dimensionUniqueName="[DimSegment]" displayFolder="" count="2" memberValueDatatype="20" unbalanced="0"/>
    <cacheHierarchy uniqueName="[DimSegment].[ColourHex]" caption="ColourHex" attribute="1" defaultMemberUniqueName="[DimSegment].[ColourHex].[All]" allUniqueName="[DimSegment].[ColourHex].[All]" dimensionUniqueName="[DimSegment]" displayFolder="" count="2" memberValueDatatype="130" unbalanced="0"/>
    <cacheHierarchy uniqueName="[FactPayment].[CompanyID]" caption="CompanyID" attribute="1" defaultMemberUniqueName="[FactPayment].[CompanyID].[All]" allUniqueName="[FactPayment].[CompanyID].[All]" dimensionUniqueName="[FactPayment]" displayFolder="" count="2" memberValueDatatype="130" unbalanced="0"/>
    <cacheHierarchy uniqueName="[FactPayment].[PeriodKey]" caption="PeriodKey" attribute="1" defaultMemberUniqueName="[FactPayment].[PeriodKey].[All]" allUniqueName="[FactPayment].[PeriodKey].[All]" dimensionUniqueName="[FactPayment]" displayFolder="" count="2" memberValueDatatype="20" unbalanced="0"/>
    <cacheHierarchy uniqueName="[FactPayment].[PeriodDate]" caption="PeriodDate" attribute="1" time="1" defaultMemberUniqueName="[FactPayment].[PeriodDate].[All]" allUniqueName="[FactPayment].[PeriodDate].[All]" dimensionUniqueName="[FactPayment]" displayFolder="" count="2" memberValueDatatype="7" unbalanced="0"/>
    <cacheHierarchy uniqueName="[FactPayment].[DataSource]" caption="DataSource" attribute="1" defaultMemberUniqueName="[FactPayment].[DataSource].[All]" allUniqueName="[FactPayment].[DataSource].[All]" dimensionUniqueName="[FactPayment]" displayFolder="" count="2" memberValueDatatype="130" unbalanced="0"/>
    <cacheHierarchy uniqueName="[FactPayment].[SourceFile]" caption="SourceFile" attribute="1" defaultMemberUniqueName="[FactPayment].[SourceFile].[All]" allUniqueName="[FactPayment].[SourceFile].[All]" dimensionUniqueName="[FactPayment]" displayFolder="" count="2" memberValueDatatype="130" unbalanced="0"/>
    <cacheHierarchy uniqueName="[FactPayment].[SourceRowNo]" caption="SourceRowNo" attribute="1" defaultMemberUniqueName="[FactPayment].[SourceRowNo].[All]" allUniqueName="[FactPayment].[SourceRowNo].[All]" dimensionUniqueName="[FactPayment]" displayFolder="" count="2" memberValueDatatype="20" unbalanced="0"/>
    <cacheHierarchy uniqueName="[FactPayment].[PaymentDate]" caption="PaymentDate" attribute="1" time="1" defaultMemberUniqueName="[FactPayment].[PaymentDate].[All]" allUniqueName="[FactPayment].[PaymentDate].[All]" dimensionUniqueName="[FactPayment]" displayFolder="" count="2" memberValueDatatype="7" unbalanced="0"/>
    <cacheHierarchy uniqueName="[FactPayment].[DecisionDate]" caption="DecisionDate" attribute="1" time="1" defaultMemberUniqueName="[FactPayment].[DecisionDate].[All]" allUniqueName="[FactPayment].[DecisionDate].[All]" dimensionUniqueName="[FactPayment]" displayFolder="" count="2" memberValueDatatype="7" unbalanced="0"/>
    <cacheHierarchy uniqueName="[FactPayment].[LossDate]" caption="LossDate" attribute="1" time="1" defaultMemberUniqueName="[FactPayment].[LossDate].[All]" allUniqueName="[FactPayment].[LossDate].[All]" dimensionUniqueName="[FactPayment]" displayFolder="" count="2" memberValueDatatype="7" unbalanced="0"/>
    <cacheHierarchy uniqueName="[FactPayment].[NotificationDate]" caption="NotificationDate" attribute="1" time="1" defaultMemberUniqueName="[FactPayment].[NotificationDate].[All]" allUniqueName="[FactPayment].[NotificationDate].[All]" dimensionUniqueName="[FactPayment]" displayFolder="" count="2" memberValueDatatype="7" unbalanced="0"/>
    <cacheHierarchy uniqueName="[FactPayment].[ProductCode]" caption="ProductCode" attribute="1" defaultMemberUniqueName="[FactPayment].[ProductCode].[All]" allUniqueName="[FactPayment].[ProductCode].[All]" dimensionUniqueName="[FactPayment]" displayFolder="" count="2" memberValueDatatype="130" unbalanced="0"/>
    <cacheHierarchy uniqueName="[FactPayment].[SubBranchName]" caption="SubBranchName" attribute="1" defaultMemberUniqueName="[FactPayment].[SubBranchName].[All]" allUniqueName="[FactPayment].[SubBranchName].[All]" dimensionUniqueName="[FactPayment]" displayFolder="" count="2" memberValueDatatype="130" unbalanced="0"/>
    <cacheHierarchy uniqueName="[FactPayment].[SubBranchCode]" caption="SubBranchCode" attribute="1" defaultMemberUniqueName="[FactPayment].[SubBranchCode].[All]" allUniqueName="[FactPayment].[SubBranchCode].[All]" dimensionUniqueName="[FactPayment]" displayFolder="" count="2" memberValueDatatype="130" unbalanced="0"/>
    <cacheHierarchy uniqueName="[FactPayment].[LossCause]" caption="LossCause" attribute="1" defaultMemberUniqueName="[FactPayment].[LossCause].[All]" allUniqueName="[FactPayment].[LossCause].[All]" dimensionUniqueName="[FactPayment]" displayFolder="" count="2" memberValueDatatype="130" unbalanced="0"/>
    <cacheHierarchy uniqueName="[FactPayment].[GrossAmount]" caption="GrossAmount" attribute="1" defaultMemberUniqueName="[FactPayment].[GrossAmount].[All]" allUniqueName="[FactPayment].[GrossAmount].[All]" dimensionUniqueName="[FactPayment]" displayFolder="" count="2" memberValueDatatype="5" unbalanced="0"/>
    <cacheHierarchy uniqueName="[FactPayment].[CurrencyCode]" caption="CurrencyCode" attribute="1" defaultMemberUniqueName="[FactPayment].[CurrencyCode].[All]" allUniqueName="[FactPayment].[CurrencyCode].[All]" allCaption="All" dimensionUniqueName="[FactPayment]" displayFolder="" count="2" memberValueDatatype="130" unbalanced="0"/>
    <cacheHierarchy uniqueName="[FactPayment].[DocsCompleteDate]" caption="DocsCompleteDate" attribute="1" time="1" defaultMemberUniqueName="[FactPayment].[DocsCompleteDate].[All]" allUniqueName="[FactPayment].[DocsCompleteDate].[All]" dimensionUniqueName="[FactPayment]" displayFolder="" count="2" memberValueDatatype="7" unbalanced="0"/>
    <cacheHierarchy uniqueName="[FactPayment].[InitialReserve]" caption="InitialReserve" attribute="1" defaultMemberUniqueName="[FactPayment].[InitialReserve].[All]" allUniqueName="[FactPayment].[InitialReserve].[All]" dimensionUniqueName="[FactPayment]" displayFolder="" count="2" memberValueDatatype="5" unbalanced="0"/>
    <cacheHierarchy uniqueName="[FactPayment].[CoverAmount]" caption="CoverAmount" attribute="1" defaultMemberUniqueName="[FactPayment].[CoverAmount].[All]" allUniqueName="[FactPayment].[CoverAmount].[All]" dimensionUniqueName="[FactPayment]" displayFolder="" count="2" memberValueDatatype="5" unbalanced="0"/>
    <cacheHierarchy uniqueName="[FactPayment].[ApprovalDate]" caption="ApprovalDate" attribute="1" time="1" defaultMemberUniqueName="[FactPayment].[ApprovalDate].[All]" allUniqueName="[FactPayment].[ApprovalDate].[All]" dimensionUniqueName="[FactPayment]" displayFolder="" count="2" memberValueDatatype="7" unbalanced="0"/>
    <cacheHierarchy uniqueName="[FactPayment].[NetAmount]" caption="NetAmount" attribute="1" defaultMemberUniqueName="[FactPayment].[NetAmount].[All]" allUniqueName="[FactPayment].[NetAmount].[All]" dimensionUniqueName="[FactPayment]" displayFolder="" count="2" memberValueDatatype="5" unbalanced="0"/>
    <cacheHierarchy uniqueName="[FactPayment].[ProductName]" caption="ProductName" attribute="1" defaultMemberUniqueName="[FactPayment].[ProductName].[All]" allUniqueName="[FactPayment].[ProductName].[All]" dimensionUniqueName="[FactPayment]" displayFolder="" count="2" memberValueDatatype="130" unbalanced="0"/>
    <cacheHierarchy uniqueName="[FactPayment].[CaseStatus]" caption="CaseStatus" attribute="1" defaultMemberUniqueName="[FactPayment].[CaseStatus].[All]" allUniqueName="[FactPayment].[CaseStatus].[All]" dimensionUniqueName="[FactPayment]" displayFolder="" count="2" memberValueDatatype="130" unbalanced="0"/>
    <cacheHierarchy uniqueName="[FactPayment].[CoverCode]" caption="CoverCode" attribute="1" defaultMemberUniqueName="[FactPayment].[CoverCode].[All]" allUniqueName="[FactPayment].[CoverCode].[All]" dimensionUniqueName="[FactPayment]" displayFolder="" count="2" memberValueDatatype="130" unbalanced="0"/>
    <cacheHierarchy uniqueName="[FactPayment].[InstallmentSeq]" caption="InstallmentSeq" attribute="1" defaultMemberUniqueName="[FactPayment].[InstallmentSeq].[All]" allUniqueName="[FactPayment].[InstallmentSeq].[All]" dimensionUniqueName="[FactPayment]" displayFolder="" count="2" memberValueDatatype="20" unbalanced="0"/>
    <cacheHierarchy uniqueName="[FactPayment].[BranchCode]" caption="BranchCode" attribute="1" defaultMemberUniqueName="[FactPayment].[BranchCode].[All]" allUniqueName="[FactPayment].[BranchCode].[All]" dimensionUniqueName="[FactPayment]" displayFolder="" count="2"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2" memberValueDatatype="130" unbalanced="0"/>
    <cacheHierarchy uniqueName="[FactPayment].[PartnerCode]" caption="PartnerCode" attribute="1" defaultMemberUniqueName="[FactPayment].[PartnerCode].[All]" allUniqueName="[FactPayment].[PartnerCode].[All]" dimensionUniqueName="[FactPayment]" displayFolder="" count="2" memberValueDatatype="130" unbalanced="0"/>
    <cacheHierarchy uniqueName="[FactPayment].[RepaymentAmount]" caption="RepaymentAmount" attribute="1" defaultMemberUniqueName="[FactPayment].[RepaymentAmount].[All]" allUniqueName="[FactPayment].[RepaymentAmount].[All]" dimensionUniqueName="[FactPayment]" displayFolder="" count="2" memberValueDatatype="5" unbalanced="0"/>
    <cacheHierarchy uniqueName="[FactPayment].[LineOfBusinessCode]" caption="LineOfBusinessCode" attribute="1" defaultMemberUniqueName="[FactPayment].[LineOfBusinessCode].[All]" allUniqueName="[FactPayment].[LineOfBusinessCode].[All]" dimensionUniqueName="[FactPayment]" displayFolder="" count="2"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2" memberValueDatatype="7" unbalanced="0"/>
    <cacheHierarchy uniqueName="[FactPayment].[TotalSumInsured]" caption="TotalSumInsured" attribute="1" defaultMemberUniqueName="[FactPayment].[TotalSumInsured].[All]" allUniqueName="[FactPayment].[TotalSumInsured].[All]" dimensionUniqueName="[FactPayment]" displayFolder="" count="2" memberValueDatatype="5" unbalanced="0"/>
    <cacheHierarchy uniqueName="[FactPayment].[ParentBranchName]" caption="ParentBranchName" attribute="1" defaultMemberUniqueName="[FactPayment].[ParentBranchName].[All]" allUniqueName="[FactPayment].[ParentBranchName].[All]" dimensionUniqueName="[FactPayment]" displayFolder="" count="2" memberValueDatatype="130" unbalanced="0"/>
    <cacheHierarchy uniqueName="[FactPayment].[SalesChannelCode]" caption="SalesChannelCode" attribute="1" defaultMemberUniqueName="[FactPayment].[SalesChannelCode].[All]" allUniqueName="[FactPayment].[SalesChannelCode].[All]" dimensionUniqueName="[FactPayment]" displayFolder="" count="2" memberValueDatatype="130" unbalanced="0"/>
    <cacheHierarchy uniqueName="[FactPayment].[DueDate]" caption="DueDate" attribute="1" time="1" defaultMemberUniqueName="[FactPayment].[DueDate].[All]" allUniqueName="[FactPayment].[DueDate].[All]" dimensionUniqueName="[FactPayment]" displayFolder="" count="2" memberValueDatatype="7" unbalanced="0"/>
    <cacheHierarchy uniqueName="[FactPayment].[PolicyNo]" caption="PolicyNo" attribute="1" defaultMemberUniqueName="[FactPayment].[PolicyNo].[All]" allUniqueName="[FactPayment].[PolicyNo].[All]" dimensionUniqueName="[FactPayment]" displayFolder="" count="2" memberValueDatatype="130" unbalanced="0"/>
    <cacheHierarchy uniqueName="[FactPayment].[Rate]" caption="Rate" attribute="1" defaultMemberUniqueName="[FactPayment].[Rate].[All]" allUniqueName="[FactPayment].[Rate].[All]" dimensionUniqueName="[FactPayment]" displayFolder="" count="2" memberValueDatatype="5" unbalanced="0"/>
    <cacheHierarchy uniqueName="[FactPayment].[LossProvince]" caption="LossProvince" attribute="1" defaultMemberUniqueName="[FactPayment].[LossProvince].[All]" allUniqueName="[FactPayment].[LossProvince].[All]" dimensionUniqueName="[FactPayment]" displayFolder="" count="2" memberValueDatatype="130" unbalanced="0"/>
    <cacheHierarchy uniqueName="[FactPayment].[PolicyEndDate]" caption="PolicyEndDate" attribute="1" time="1" defaultMemberUniqueName="[FactPayment].[PolicyEndDate].[All]" allUniqueName="[FactPayment].[PolicyEndDate].[All]" dimensionUniqueName="[FactPayment]" displayFolder="" count="2" memberValueDatatype="7" unbalanced="0"/>
    <cacheHierarchy uniqueName="[FactPayment].[ProductType]" caption="ProductType" attribute="1" defaultMemberUniqueName="[FactPayment].[ProductType].[All]" allUniqueName="[FactPayment].[ProductType].[All]" dimensionUniqueName="[FactPayment]" displayFolder="" count="2" memberValueDatatype="130" unbalanced="0"/>
    <cacheHierarchy uniqueName="[FactPayment].[InsuredAgeBand]" caption="InsuredAgeBand" attribute="1" defaultMemberUniqueName="[FactPayment].[InsuredAgeBand].[All]" allUniqueName="[FactPayment].[InsuredAgeBand].[All]" dimensionUniqueName="[FactPayment]" displayFolder="" count="2" memberValueDatatype="130" unbalanced="0"/>
    <cacheHierarchy uniqueName="[FactPayment].[ClaimType]" caption="ClaimType" attribute="1" defaultMemberUniqueName="[FactPayment].[ClaimType].[All]" allUniqueName="[FactPayment].[ClaimType].[All]" dimensionUniqueName="[FactPayment]" displayFolder="" count="2" memberValueDatatype="130" unbalanced="0"/>
    <cacheHierarchy uniqueName="[FactPayment].[PaymentMethod]" caption="PaymentMethod" attribute="1" defaultMemberUniqueName="[FactPayment].[PaymentMethod].[All]" allUniqueName="[FactPayment].[PaymentMethod].[All]" dimensionUniqueName="[FactPayment]" displayFolder="" count="2" memberValueDatatype="130" unbalanced="0"/>
    <cacheHierarchy uniqueName="[FactPayment].[PolicyStartDate]" caption="PolicyStartDate" attribute="1" time="1" defaultMemberUniqueName="[FactPayment].[PolicyStartDate].[All]" allUniqueName="[FactPayment].[PolicyStartDate].[All]" dimensionUniqueName="[FactPayment]" displayFolder="" count="2" memberValueDatatype="7" unbalanced="0"/>
    <cacheHierarchy uniqueName="[FactPayment].[LineOfBusinessName]" caption="LineOfBusinessName" attribute="1" defaultMemberUniqueName="[FactPayment].[LineOfBusinessName].[All]" allUniqueName="[FactPayment].[LineOfBusinessName].[All]" dimensionUniqueName="[FactPayment]" displayFolder="" count="2" memberValueDatatype="130" unbalanced="0"/>
    <cacheHierarchy uniqueName="[FactPayment].[DeductibleAmount]" caption="DeductibleAmount" attribute="1" defaultMemberUniqueName="[FactPayment].[DeductibleAmount].[All]" allUniqueName="[FactPayment].[DeductibleAmount].[All]" dimensionUniqueName="[FactPayment]" displayFolder="" count="2" memberValueDatatype="5" unbalanced="0"/>
    <cacheHierarchy uniqueName="[FactPayment].[RiskStartDate]" caption="RiskStartDate" attribute="1" time="1" defaultMemberUniqueName="[FactPayment].[RiskStartDate].[All]" allUniqueName="[FactPayment].[RiskStartDate].[All]" dimensionUniqueName="[FactPayment]" displayFolder="" count="2" memberValueDatatype="7" unbalanced="0"/>
    <cacheHierarchy uniqueName="[FactPayment].[RiskEndDate]" caption="RiskEndDate" attribute="1" time="1" defaultMemberUniqueName="[FactPayment].[RiskEndDate].[All]" allUniqueName="[FactPayment].[RiskEndDate].[All]" dimensionUniqueName="[FactPayment]" displayFolder="" count="2" memberValueDatatype="7" unbalanced="0"/>
    <cacheHierarchy uniqueName="[FactPayment].[CoinsurerCode]" caption="CoinsurerCode" attribute="1" defaultMemberUniqueName="[FactPayment].[CoinsurerCode].[All]" allUniqueName="[FactPayment].[CoinsurerCode].[All]" dimensionUniqueName="[FactPayment]" displayFolder="" count="2" memberValueDatatype="130" unbalanced="0"/>
    <cacheHierarchy uniqueName="[FactPayment].[TariffCode]" caption="TariffCode" attribute="1" defaultMemberUniqueName="[FactPayment].[TariffCode].[All]" allUniqueName="[FactPayment].[TariffCode].[All]" dimensionUniqueName="[FactPayment]" displayFolder="" count="2" memberValueDatatype="130" unbalanced="0"/>
    <cacheHierarchy uniqueName="[FactPayment].[ParentBranchCode]" caption="ParentBranchCode" attribute="1" defaultMemberUniqueName="[FactPayment].[ParentBranchCode].[All]" allUniqueName="[FactPayment].[ParentBranchCode].[All]" dimensionUniqueName="[FactPayment]" displayFolder="" count="2"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2" memberValueDatatype="130" unbalanced="0"/>
    <cacheHierarchy uniqueName="[FactPayment].[CaseKey]" caption="CaseKey" attribute="1" defaultMemberUniqueName="[FactPayment].[CaseKey].[All]" allUniqueName="[FactPayment].[CaseKey].[All]" dimensionUniqueName="[FactPayment]" displayFolder="" count="2" memberValueDatatype="130" unbalanced="0"/>
    <cacheHierarchy uniqueName="[FactPayment].[FXKey]" caption="FXKey" attribute="1" defaultMemberUniqueName="[FactPayment].[FXKey].[All]" allUniqueName="[FactPayment].[FXKey].[All]" dimensionUniqueName="[FactPayment]" displayFolder="" count="2" memberValueDatatype="130" unbalanced="0"/>
    <cacheHierarchy uniqueName="[FactPayment].[RateToTRY]" caption="RateToTRY" attribute="1" defaultMemberUniqueName="[FactPayment].[RateToTRY].[All]" allUniqueName="[FactPayment].[RateToTRY].[All]" dimensionUniqueName="[FactPayment]" displayFolder="" count="2" memberValueDatatype="5" unbalanced="0"/>
    <cacheHierarchy uniqueName="[FactPayment].[GrossAmountTRY]" caption="GrossAmountTRY" attribute="1" defaultMemberUniqueName="[FactPayment].[GrossAmountTRY].[All]" allUniqueName="[FactPayment].[GrossAmountTRY].[All]" dimensionUniqueName="[FactPayment]" displayFolder="" count="2" memberValueDatatype="5" unbalanced="0"/>
    <cacheHierarchy uniqueName="[FactPayment].[NetAmountTRY]" caption="NetAmountTRY" attribute="1" defaultMemberUniqueName="[FactPayment].[NetAmountTRY].[All]" allUniqueName="[FactPayment].[NetAmountTRY].[All]" dimensionUniqueName="[FactPayment]" displayFolder="" count="2" memberValueDatatype="5" unbalanced="0"/>
    <cacheHierarchy uniqueName="[FactPayment].[FXRateMissing]" caption="FXRateMissing" attribute="1" defaultMemberUniqueName="[FactPayment].[FXRateMissing].[All]" allUniqueName="[FactPayment].[FXRateMissing].[All]" dimensionUniqueName="[FactPayment]" displayFolder="" count="2" memberValueDatatype="20" unbalanced="0"/>
    <cacheHierarchy uniqueName="[FactPayment].[DuplicateKeyCount]" caption="DuplicateKeyCount" attribute="1" defaultMemberUniqueName="[FactPayment].[DuplicateKeyCount].[All]" allUniqueName="[FactPayment].[DuplicateKeyCount].[All]" dimensionUniqueName="[FactPayment]" displayFolder="" count="2" memberValueDatatype="20" unbalanced="0"/>
    <cacheHierarchy uniqueName="[FactPayment].[IsDuplicateKey]" caption="IsDuplicateKey" attribute="1" defaultMemberUniqueName="[FactPayment].[IsDuplicateKey].[All]" allUniqueName="[FactPayment].[IsDuplicateKey].[All]" dimensionUniqueName="[FactPayment]" displayFolder="" count="2" memberValueDatatype="20" unbalanced="0"/>
    <cacheHierarchy uniqueName="[FactPayment].[DuplicateScope]" caption="DuplicateScope" attribute="1" defaultMemberUniqueName="[FactPayment].[DuplicateScope].[All]" allUniqueName="[FactPayment].[DuplicateScope].[All]" dimensionUniqueName="[FactPayment]" displayFolder="" count="2" memberValueDatatype="130" unbalanced="0"/>
    <cacheHierarchy uniqueName="[FactPayment].[ChronoViolation]" caption="ChronoViolation" attribute="1" defaultMemberUniqueName="[FactPayment].[ChronoViolation].[All]" allUniqueName="[FactPayment].[ChronoViolation].[All]" dimensionUniqueName="[FactPayment]" displayFolder="" count="2" memberValueDatatype="20" unbalanced="0"/>
    <cacheHierarchy uniqueName="[FactPayment].[ChronoDetail]" caption="ChronoDetail" attribute="1" defaultMemberUniqueName="[FactPayment].[ChronoDetail].[All]" allUniqueName="[FactPayment].[ChronoDetail].[All]" dimensionUniqueName="[FactPayment]" displayFolder="" count="2"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2"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2" memberValueDatatype="20" unbalanced="0"/>
    <cacheHierarchy uniqueName="[FactPayment].[NotifToPayBucket]" caption="NotifToPayBucket" attribute="1" defaultMemberUniqueName="[FactPayment].[NotifToPayBucket].[All]" allUniqueName="[FactPayment].[NotifToPayBucket].[All]" dimensionUniqueName="[FactPayment]" displayFolder="" count="2"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2" memberValueDatatype="20" unbalanced="0"/>
    <cacheHierarchy uniqueName="[FactPayment].[IsOutlier]" caption="IsOutlier" attribute="1" defaultMemberUniqueName="[FactPayment].[IsOutlier].[All]" allUniqueName="[FactPayment].[IsOutlier].[All]" dimensionUniqueName="[FactPayment]" displayFolder="" count="2" memberValueDatatype="20" unbalanced="0"/>
    <cacheHierarchy uniqueName="[FactPayment].[BranchKey]" caption="BranchKey" attribute="1" defaultMemberUniqueName="[FactPayment].[BranchKey].[All]" allUniqueName="[FactPayment].[BranchKey].[All]" dimensionUniqueName="[FactPayment]" displayFolder="" count="2" memberValueDatatype="130" unbalanced="0"/>
    <cacheHierarchy uniqueName="[FactPayment].[SegmentKey]" caption="SegmentKey" attribute="1" defaultMemberUniqueName="[FactPayment].[SegmentKey].[All]" allUniqueName="[FactPayment].[SegmentKey].[All]" dimensionUniqueName="[FactPayment]" displayFolder="" count="2" memberValueDatatype="130" unbalanced="0"/>
    <cacheHierarchy uniqueName="[FactPayment].[LossPeriodKey]" caption="LossPeriodKey" attribute="1" defaultMemberUniqueName="[FactPayment].[LossPeriodKey].[All]" allUniqueName="[FactPayment].[LossPeriodKey].[All]" dimensionUniqueName="[FactPayment]" displayFolder="" count="2" memberValueDatatype="20" unbalanced="0"/>
    <cacheHierarchy uniqueName="[FactPayment].[DevMonth]" caption="DevMonth" attribute="1" defaultMemberUniqueName="[FactPayment].[DevMonth].[All]" allUniqueName="[FactPayment].[DevMonth].[All]" dimensionUniqueName="[FactPayment]" displayFolder="" count="2" memberValueDatatype="20" unbalanced="0"/>
    <cacheHierarchy uniqueName="[FactPayment].[IsFirstPayment]" caption="IsFirstPayment" attribute="1" defaultMemberUniqueName="[FactPayment].[IsFirstPayment].[All]" allUniqueName="[FactPayment].[IsFirstPayment].[All]" dimensionUniqueName="[FactPayment]" displayFolder="" count="2" memberValueDatatype="20" unbalanced="0"/>
    <cacheHierarchy uniqueName="[FactPayment].[IsFirstPaymentObs]" caption="IsFirstPaymentObs" attribute="1" defaultMemberUniqueName="[FactPayment].[IsFirstPaymentObs].[All]" allUniqueName="[FactPayment].[IsFirstPaymentObs].[All]" dimensionUniqueName="[FactPayment]" displayFolder="" count="2" memberValueDatatype="20" unbalanced="0"/>
    <cacheHierarchy uniqueName="[FactPayment].[FirstDigit]" caption="FirstDigit" attribute="1" defaultMemberUniqueName="[FactPayment].[FirstDigit].[All]" allUniqueName="[FactPayment].[FirstDigit].[All]" dimensionUniqueName="[FactPayment]" displayFolder="" count="2" memberValueDatatype="20" unbalanced="0"/>
    <cacheHierarchy uniqueName="[FactPayment].[AmountZeros]" caption="AmountZeros" attribute="1" defaultMemberUniqueName="[FactPayment].[AmountZeros].[All]" allUniqueName="[FactPayment].[AmountZeros].[All]" dimensionUniqueName="[FactPayment]" displayFolder="" count="2" memberValueDatatype="20" unbalanced="0"/>
    <cacheHierarchy uniqueName="[FactPayment].[PayDayClass]" caption="PayDayClass" attribute="1" defaultMemberUniqueName="[FactPayment].[PayDayClass].[All]" allUniqueName="[FactPayment].[PayDayClass].[All]" dimensionUniqueName="[FactPayment]" displayFolder="" count="2" memberValueDatatype="130" unbalanced="0"/>
    <cacheHierarchy uniqueName="[Measures]" caption="Measures" attribute="1" keyAttribute="1" defaultMemberUniqueName="[Measures].[__No measures defined]" dimensionUniqueName="[Measures]" displayFolder="" measures="1" count="1" memberValueDatatype="130" unbalanced="0">
      <fieldsUsage count="1">
        <fieldUsage x="1"/>
      </fieldsUsage>
    </cacheHierarchy>
    <cacheHierarchy uniqueName="[tblObsFlag].[Flag]" caption="Flag" attribute="1" defaultMemberUniqueName="[tblObsFlag].[Flag].[All]" allUniqueName="[tblObsFlag].[Flag].[All]" dimensionUniqueName="[tblObsFlag]" displayFolder="" count="2" memberValueDatatype="20" unbalanced="0"/>
    <cacheHierarchy uniqueName="[tblObsFlag].[Meaning]" caption="Meaning" attribute="1" defaultMemberUniqueName="[tblObsFlag].[Meaning].[All]" allUniqueName="[tblObsFlag].[Meaning].[All]" dimensionUniqueName="[tblObsFlag]" displayFolder="" count="2" memberValueDatatype="130" unbalanced="0"/>
    <cacheHierarchy uniqueName="[tblThreshold].[ThresholdID]" caption="ThresholdID" attribute="1" defaultMemberUniqueName="[tblThreshold].[ThresholdID].[All]" allUniqueName="[tblThreshold].[ThresholdID].[All]" dimensionUniqueName="[tblThreshold]" displayFolder="" count="2" memberValueDatatype="130" unbalanced="0"/>
    <cacheHierarchy uniqueName="[tblThreshold].[KPI_ID]" caption="KPI_ID" attribute="1" defaultMemberUniqueName="[tblThreshold].[KPI_ID].[All]" allUniqueName="[tblThreshold].[KPI_ID].[All]" dimensionUniqueName="[tblThreshold]" displayFolder="" count="2" memberValueDatatype="130" unbalanced="0"/>
    <cacheHierarchy uniqueName="[tblThreshold].[Segment]" caption="Segment" attribute="1" defaultMemberUniqueName="[tblThreshold].[Segment].[All]" allUniqueName="[tblThreshold].[Segment].[All]" dimensionUniqueName="[tblThreshold]" displayFolder="" count="2" memberValueDatatype="130" unbalanced="0"/>
    <cacheHierarchy uniqueName="[tblThreshold].[Company]" caption="Company" attribute="1" defaultMemberUniqueName="[tblThreshold].[Company].[All]" allUniqueName="[tblThreshold].[Company].[All]" dimensionUniqueName="[tblThreshold]" displayFolder="" count="2" memberValueDatatype="130" unbalanced="0"/>
    <cacheHierarchy uniqueName="[tblThreshold].[Method]" caption="Method" attribute="1" defaultMemberUniqueName="[tblThreshold].[Method].[All]" allUniqueName="[tblThreshold].[Method].[All]" dimensionUniqueName="[tblThreshold]" displayFolder="" count="2" memberValueDatatype="130" unbalanced="0"/>
    <cacheHierarchy uniqueName="[tblThreshold].[Parameters]" caption="Parameters" attribute="1" defaultMemberUniqueName="[tblThreshold].[Parameters].[All]" allUniqueName="[tblThreshold].[Parameters].[All]" dimensionUniqueName="[tblThreshold]" displayFolder="" count="2" memberValueDatatype="130" unbalanced="0"/>
    <cacheHierarchy uniqueName="[tblThreshold].[WatchLevel]" caption="WatchLevel" attribute="1" defaultMemberUniqueName="[tblThreshold].[WatchLevel].[All]" allUniqueName="[tblThreshold].[WatchLevel].[All]" dimensionUniqueName="[tblThreshold]" displayFolder="" count="2" memberValueDatatype="130" unbalanced="0"/>
    <cacheHierarchy uniqueName="[tblThreshold].[AlertLevel]" caption="AlertLevel" attribute="1" defaultMemberUniqueName="[tblThreshold].[AlertLevel].[All]" allUniqueName="[tblThreshold].[AlertLevel].[All]" dimensionUniqueName="[tblThreshold]" displayFolder="" count="2" memberValueDatatype="130" unbalanced="0"/>
    <cacheHierarchy uniqueName="[tblThreshold].[MinMonths]" caption="MinMonths" attribute="1" defaultMemberUniqueName="[tblThreshold].[MinMonths].[All]" allUniqueName="[tblThreshold].[MinMonths].[All]" dimensionUniqueName="[tblThreshold]" displayFolder="" count="2" memberValueDatatype="20" unbalanced="0"/>
    <cacheHierarchy uniqueName="[tblThreshold].[MinN]" caption="MinN" attribute="1" defaultMemberUniqueName="[tblThreshold].[MinN].[All]" allUniqueName="[tblThreshold].[MinN].[All]" dimensionUniqueName="[tblThreshold]" displayFolder="" count="2" memberValueDatatype="20" unbalanced="0"/>
    <cacheHierarchy uniqueName="[tblThreshold].[Persistence]" caption="Persistence" attribute="1" defaultMemberUniqueName="[tblThreshold].[Persistence].[All]" allUniqueName="[tblThreshold].[Persistence].[All]" dimensionUniqueName="[tblThreshold]" displayFolder="" count="2" memberValueDatatype="130" unbalanced="0"/>
    <cacheHierarchy uniqueName="[tblThreshold].[Rationale]" caption="Rationale" attribute="1" defaultMemberUniqueName="[tblThreshold].[Rationale].[All]" allUniqueName="[tblThreshold].[Rationale].[All]" dimensionUniqueName="[tblThreshold]" displayFolder="" count="2" memberValueDatatype="130" unbalanced="0"/>
    <cacheHierarchy uniqueName="[tblThreshold].[Owner]" caption="Owner" attribute="1" defaultMemberUniqueName="[tblThreshold].[Owner].[All]" allUniqueName="[tblThreshold].[Owner].[All]" dimensionUniqueName="[tblThreshold]" displayFolder="" count="2" memberValueDatatype="130" unbalanced="0"/>
    <cacheHierarchy uniqueName="[tblThreshold].[ApprovedBy]" caption="ApprovedBy" attribute="1" defaultMemberUniqueName="[tblThreshold].[ApprovedBy].[All]" allUniqueName="[tblThreshold].[ApprovedBy].[All]" dimensionUniqueName="[tblThreshold]" displayFolder="" count="2" memberValueDatatype="130" unbalanced="0"/>
    <cacheHierarchy uniqueName="[tblThreshold].[ApprovedOn]" caption="ApprovedOn" attribute="1" defaultMemberUniqueName="[tblThreshold].[ApprovedOn].[All]" allUniqueName="[tblThreshold].[ApprovedOn].[All]" dimensionUniqueName="[tblThreshold]" displayFolder="" count="2" memberValueDatatype="130" unbalanced="0"/>
    <cacheHierarchy uniqueName="[tblThreshold].[Status]" caption="Status" attribute="1" defaultMemberUniqueName="[tblThreshold].[Status].[All]" allUniqueName="[tblThreshold].[Status].[All]" dimensionUniqueName="[tblThreshold]" displayFolder="" count="2" memberValueDatatype="130" unbalanced="0"/>
    <cacheHierarchy uniqueName="[tblUIText].[Key]" caption="Key" attribute="1" defaultMemberUniqueName="[tblUIText].[Key].[All]" allUniqueName="[tblUIText].[Key].[All]" dimensionUniqueName="[tblUIText]" displayFolder="" count="2" memberValueDatatype="130" unbalanced="0"/>
    <cacheHierarchy uniqueName="[tblUIText].[TR]" caption="TR" attribute="1" defaultMemberUniqueName="[tblUIText].[TR].[All]" allUniqueName="[tblUIText].[TR].[All]" dimensionUniqueName="[tblUIText]" displayFolder="" count="2" memberValueDatatype="130" unbalanced="0"/>
    <cacheHierarchy uniqueName="[tblUIText].[EN]" caption="EN" attribute="1" defaultMemberUniqueName="[tblUIText].[EN].[All]" allUniqueName="[tblUIText].[EN].[All]" dimensionUniqueName="[tblUIText]" displayFolder="" count="2" memberValueDatatype="130" unbalanced="0"/>
    <cacheHierarchy uniqueName="[tblUIText].[Text]" caption="Text" attribute="1" defaultMemberUniqueName="[tblUIText].[Text].[All]" allUniqueName="[tblUIText].[Text].[All]" dimensionUniqueName="[tblUIText]" displayFolder="" count="2"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tupleCache>
    <entries count="5">
      <m in="0">
        <tpls c="4">
          <tpl hier="39" item="0"/>
          <tpl hier="50" item="2"/>
          <tpl hier="99" item="1"/>
          <tpl fld="1" item="2"/>
        </tpls>
      </m>
      <m in="1">
        <tpls c="4">
          <tpl hier="39" item="0"/>
          <tpl hier="50" item="2"/>
          <tpl hier="99" item="1"/>
          <tpl fld="1" item="0"/>
        </tpls>
      </m>
      <m in="2">
        <tpls c="4">
          <tpl hier="39" item="0"/>
          <tpl hier="50" item="2"/>
          <tpl hier="99" item="1"/>
          <tpl fld="1" item="3"/>
        </tpls>
      </m>
      <m in="3">
        <tpls c="4">
          <tpl hier="39" item="0"/>
          <tpl hier="50" item="2"/>
          <tpl hier="99" item="1"/>
          <tpl fld="1" item="4"/>
        </tpls>
      </m>
      <m in="1">
        <tpls c="4">
          <tpl hier="39" item="0"/>
          <tpl hier="50" item="2"/>
          <tpl hier="99" item="1"/>
          <tpl fld="1" item="5"/>
        </tpls>
      </m>
    </entries>
    <sets count="3">
      <set count="1" maxRank="1" setDefinition="{[DimCompany].[CompanyType].[All]}">
        <tpls c="1">
          <tpl hier="39" item="4294967295"/>
        </tpls>
      </set>
      <set count="1" maxRank="1" setDefinition="{[FactPayment].[CurrencyCode].[All]}">
        <tpls c="1">
          <tpl hier="99" item="4294967295"/>
        </tpls>
      </set>
      <set count="1" maxRank="1" setDefinition="{[DimDate].[YearMonth].&amp;[2026-08]}">
        <tpls c="1">
          <tpl fld="0" item="0"/>
        </tpls>
      </set>
    </sets>
    <queryCache count="7">
      <query mdx="[Measures].[Total Payments TRY]">
        <tpls c="1">
          <tpl fld="1" item="0"/>
        </tpls>
      </query>
      <query mdx="[Measures].[Payment Lines]">
        <tpls c="1">
          <tpl fld="1" item="1"/>
        </tpls>
      </query>
      <query mdx="[Measures].[Distinct Cases]">
        <tpls c="1">
          <tpl fld="1" item="2"/>
        </tpls>
      </query>
      <query mdx="[Measures].[Avg Days Notification to Payment]">
        <tpls c="1">
          <tpl fld="1" item="3"/>
        </tpls>
      </query>
      <query mdx="[Measures].[MoM Change %]">
        <tpls c="1">
          <tpl fld="1" item="4"/>
        </tpls>
      </query>
      <query mdx="[Measures].[Net Payments TRY]">
        <tpls c="1">
          <tpl fld="1" item="5"/>
        </tpls>
      </query>
      <query mdx="[DimDate].[PeriodKey].&amp;[0]"/>
    </queryCache>
    <serverFormats count="4">
      <serverFormat format="#,0"/>
      <serverFormat format="#,0.00"/>
      <serverFormat format="#,0.0"/>
      <serverFormat format="0.0%;-0.0%;0.0%"/>
    </serverFormats>
  </tupleCache>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036574075" createdVersion="6" refreshedVersion="8" minRefreshableVersion="3" recordCount="0" supportSubquery="1" supportAdvancedDrill="1" xr:uid="{1DA251D7-E383-4DAE-8EB5-AEEDEEC44EE4}">
  <cacheSource type="external" connectionId="22"/>
  <cacheFields count="6">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FactPayment].[CompanyID].[CompanyID]" caption="CompanyID" numFmtId="0" hierarchy="84" level="1">
      <sharedItems count="5">
        <s v="8101"/>
        <s v="8102"/>
        <s v="8301"/>
        <s v="8302"/>
        <s v="8201"/>
      </sharedItems>
      <extLst>
        <ext xmlns:x15="http://schemas.microsoft.com/office/spreadsheetml/2010/11/main" uri="{4F2E5C28-24EA-4eb8-9CBF-B6C8F9C3D259}">
          <x15:cachedUniqueNames>
            <x15:cachedUniqueName index="0" name="[FactPayment].[CompanyID].&amp;[8101]"/>
            <x15:cachedUniqueName index="1" name="[FactPayment].[CompanyID].&amp;[8102]"/>
            <x15:cachedUniqueName index="2" name="[FactPayment].[CompanyID].&amp;[8301]"/>
            <x15:cachedUniqueName index="3" name="[FactPayment].[CompanyID].&amp;[8302]"/>
            <x15:cachedUniqueName index="4" name="[FactPayment].[CompanyID].&amp;[8201]"/>
          </x15:cachedUniqueNames>
        </ext>
      </extLst>
    </cacheField>
    <cacheField name="[DimDate].[YearMonth].[YearMonth]" caption="YearMonth" numFmtId="0" hierarchy="50" level="1">
      <sharedItems count="24">
        <s v="2024-09"/>
        <s v="2024-10"/>
        <s v="2024-11"/>
        <s v="2024-12"/>
        <s v="2025-01"/>
        <s v="2025-02"/>
        <s v="2025-03"/>
        <s v="2025-04"/>
        <s v="2025-05"/>
        <s v="2025-06"/>
        <s v="2025-07"/>
        <s v="2025-08"/>
        <s v="2025-09"/>
        <s v="2025-10"/>
        <s v="2025-11"/>
        <s v="2025-12"/>
        <s v="2026-01"/>
        <s v="2026-02"/>
        <s v="2026-03"/>
        <s v="2026-04"/>
        <s v="2026-05"/>
        <s v="2026-06"/>
        <s v="2026-07"/>
        <s v="2026-08"/>
      </sharedItems>
      <extLst>
        <ext xmlns:x15="http://schemas.microsoft.com/office/spreadsheetml/2010/11/main" uri="{4F2E5C28-24EA-4eb8-9CBF-B6C8F9C3D259}">
          <x15:cachedUniqueNames>
            <x15:cachedUniqueName index="0" name="[DimDate].[YearMonth].&amp;[2024-09]"/>
            <x15:cachedUniqueName index="1" name="[DimDate].[YearMonth].&amp;[2024-10]"/>
            <x15:cachedUniqueName index="2" name="[DimDate].[YearMonth].&amp;[2024-11]"/>
            <x15:cachedUniqueName index="3" name="[DimDate].[YearMonth].&amp;[2024-12]"/>
            <x15:cachedUniqueName index="4" name="[DimDate].[YearMonth].&amp;[2025-01]"/>
            <x15:cachedUniqueName index="5" name="[DimDate].[YearMonth].&amp;[2025-02]"/>
            <x15:cachedUniqueName index="6" name="[DimDate].[YearMonth].&amp;[2025-03]"/>
            <x15:cachedUniqueName index="7" name="[DimDate].[YearMonth].&amp;[2025-04]"/>
            <x15:cachedUniqueName index="8" name="[DimDate].[YearMonth].&amp;[2025-05]"/>
            <x15:cachedUniqueName index="9" name="[DimDate].[YearMonth].&amp;[2025-06]"/>
            <x15:cachedUniqueName index="10" name="[DimDate].[YearMonth].&amp;[2025-07]"/>
            <x15:cachedUniqueName index="11" name="[DimDate].[YearMonth].&amp;[2025-08]"/>
            <x15:cachedUniqueName index="12" name="[DimDate].[YearMonth].&amp;[2025-09]"/>
            <x15:cachedUniqueName index="13" name="[DimDate].[YearMonth].&amp;[2025-10]"/>
            <x15:cachedUniqueName index="14" name="[DimDate].[YearMonth].&amp;[2025-11]"/>
            <x15:cachedUniqueName index="15" name="[DimDate].[YearMonth].&amp;[2025-12]"/>
            <x15:cachedUniqueName index="16" name="[DimDate].[YearMonth].&amp;[2026-01]"/>
            <x15:cachedUniqueName index="17" name="[DimDate].[YearMonth].&amp;[2026-02]"/>
            <x15:cachedUniqueName index="18" name="[DimDate].[YearMonth].&amp;[2026-03]"/>
            <x15:cachedUniqueName index="19" name="[DimDate].[YearMonth].&amp;[2026-04]"/>
            <x15:cachedUniqueName index="20" name="[DimDate].[YearMonth].&amp;[2026-05]"/>
            <x15:cachedUniqueName index="21" name="[DimDate].[YearMonth].&amp;[2026-06]"/>
            <x15:cachedUniqueName index="22" name="[DimDate].[YearMonth].&amp;[2026-07]"/>
            <x15:cachedUniqueName index="23" name="[DimDate].[YearMonth].&amp;[2026-08]"/>
          </x15:cachedUniqueNames>
        </ext>
      </extLst>
    </cacheField>
    <cacheField name="[DimPaymentNature].[PaymentNature].[PaymentNature]" caption="PaymentNature" numFmtId="0" hierarchy="70" level="1">
      <sharedItems count="11">
        <s v="ANNUITY"/>
        <s v="CLAIM"/>
        <s v="DEATH"/>
        <s v="MATURITY"/>
        <s v="SURRENDER"/>
        <s v="OTHER"/>
        <s v="REFUND"/>
        <s v="EXIT"/>
        <s v="PARTIAL_WITHDRAWAL"/>
        <s v="RETIREMENT_BENEFIT"/>
        <s v="TRANSFER_OUT"/>
      </sharedItems>
      <extLst>
        <ext xmlns:x15="http://schemas.microsoft.com/office/spreadsheetml/2010/11/main" uri="{4F2E5C28-24EA-4eb8-9CBF-B6C8F9C3D259}">
          <x15:cachedUniqueNames>
            <x15:cachedUniqueName index="0" name="[DimPaymentNature].[PaymentNature].&amp;[ANNUITY]"/>
            <x15:cachedUniqueName index="1" name="[DimPaymentNature].[PaymentNature].&amp;[CLAIM]"/>
            <x15:cachedUniqueName index="2" name="[DimPaymentNature].[PaymentNature].&amp;[DEATH]"/>
            <x15:cachedUniqueName index="3" name="[DimPaymentNature].[PaymentNature].&amp;[MATURITY]"/>
            <x15:cachedUniqueName index="4" name="[DimPaymentNature].[PaymentNature].&amp;[SURRENDER]"/>
            <x15:cachedUniqueName index="5" name="[DimPaymentNature].[PaymentNature].&amp;[OTHER]"/>
            <x15:cachedUniqueName index="6" name="[DimPaymentNature].[PaymentNature].&amp;[REFUND]"/>
            <x15:cachedUniqueName index="7" name="[DimPaymentNature].[PaymentNature].&amp;[EXIT]"/>
            <x15:cachedUniqueName index="8" name="[DimPaymentNature].[PaymentNature].&amp;[PARTIAL_WITHDRAWAL]"/>
            <x15:cachedUniqueName index="9" name="[DimPaymentNature].[PaymentNature].&amp;[RETIREMENT_BENEFIT]"/>
            <x15:cachedUniqueName index="10" name="[DimPaymentNature].[PaymentNature].&amp;[TRANSFER_OUT]"/>
          </x15:cachedUniqueNames>
        </ext>
      </extLst>
    </cacheField>
    <cacheField name="[Measures].[Payment Lines]" caption="Payment Lines" numFmtId="0" hierarchy="186" level="32767"/>
    <cacheField name="[DimDate].[MonthsFromActive].[MonthsFromActive]" caption="MonthsFromActive" numFmtId="0" hierarchy="55"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2"/>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5"/>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2" memberValueDatatype="130" unbalanced="0">
      <fieldsUsage count="2">
        <fieldUsage x="-1"/>
        <fieldUsage x="3"/>
      </fieldsUsage>
    </cacheHierarchy>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2" memberValueDatatype="130" unbalanced="0">
      <fieldsUsage count="2">
        <fieldUsage x="-1"/>
        <fieldUsage x="1"/>
      </fieldsUsage>
    </cacheHierarchy>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oneField="1">
      <fieldsUsage count="1">
        <fieldUsage x="4"/>
      </fieldsUsage>
    </cacheHierarchy>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038773145" createdVersion="6" refreshedVersion="8" minRefreshableVersion="3" recordCount="0" supportSubquery="1" supportAdvancedDrill="1" xr:uid="{354DBB11-A268-4896-8B00-A4B7B3ACA8B1}">
  <cacheSource type="external" connectionId="22"/>
  <cacheFields count="6">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FactPayment].[CompanyID].[CompanyID]" caption="CompanyID" numFmtId="0" hierarchy="84" level="1">
      <sharedItems count="5">
        <s v="8101"/>
        <s v="8102"/>
        <s v="8301"/>
        <s v="8302"/>
        <s v="8201"/>
      </sharedItems>
      <extLst>
        <ext xmlns:x15="http://schemas.microsoft.com/office/spreadsheetml/2010/11/main" uri="{4F2E5C28-24EA-4eb8-9CBF-B6C8F9C3D259}">
          <x15:cachedUniqueNames>
            <x15:cachedUniqueName index="0" name="[FactPayment].[CompanyID].&amp;[8101]"/>
            <x15:cachedUniqueName index="1" name="[FactPayment].[CompanyID].&amp;[8102]"/>
            <x15:cachedUniqueName index="2" name="[FactPayment].[CompanyID].&amp;[8301]"/>
            <x15:cachedUniqueName index="3" name="[FactPayment].[CompanyID].&amp;[8302]"/>
            <x15:cachedUniqueName index="4" name="[FactPayment].[CompanyID].&amp;[8201]"/>
          </x15:cachedUniqueNames>
        </ext>
      </extLst>
    </cacheField>
    <cacheField name="[DimDate].[YearMonth].[YearMonth]" caption="YearMonth" numFmtId="0" hierarchy="50" level="1">
      <sharedItems count="24">
        <s v="2024-09"/>
        <s v="2024-10"/>
        <s v="2024-11"/>
        <s v="2024-12"/>
        <s v="2025-01"/>
        <s v="2025-02"/>
        <s v="2025-03"/>
        <s v="2025-04"/>
        <s v="2025-05"/>
        <s v="2025-06"/>
        <s v="2025-07"/>
        <s v="2025-08"/>
        <s v="2025-09"/>
        <s v="2025-10"/>
        <s v="2025-11"/>
        <s v="2025-12"/>
        <s v="2026-01"/>
        <s v="2026-02"/>
        <s v="2026-03"/>
        <s v="2026-04"/>
        <s v="2026-05"/>
        <s v="2026-06"/>
        <s v="2026-07"/>
        <s v="2026-08"/>
      </sharedItems>
      <extLst>
        <ext xmlns:x15="http://schemas.microsoft.com/office/spreadsheetml/2010/11/main" uri="{4F2E5C28-24EA-4eb8-9CBF-B6C8F9C3D259}">
          <x15:cachedUniqueNames>
            <x15:cachedUniqueName index="0" name="[DimDate].[YearMonth].&amp;[2024-09]"/>
            <x15:cachedUniqueName index="1" name="[DimDate].[YearMonth].&amp;[2024-10]"/>
            <x15:cachedUniqueName index="2" name="[DimDate].[YearMonth].&amp;[2024-11]"/>
            <x15:cachedUniqueName index="3" name="[DimDate].[YearMonth].&amp;[2024-12]"/>
            <x15:cachedUniqueName index="4" name="[DimDate].[YearMonth].&amp;[2025-01]"/>
            <x15:cachedUniqueName index="5" name="[DimDate].[YearMonth].&amp;[2025-02]"/>
            <x15:cachedUniqueName index="6" name="[DimDate].[YearMonth].&amp;[2025-03]"/>
            <x15:cachedUniqueName index="7" name="[DimDate].[YearMonth].&amp;[2025-04]"/>
            <x15:cachedUniqueName index="8" name="[DimDate].[YearMonth].&amp;[2025-05]"/>
            <x15:cachedUniqueName index="9" name="[DimDate].[YearMonth].&amp;[2025-06]"/>
            <x15:cachedUniqueName index="10" name="[DimDate].[YearMonth].&amp;[2025-07]"/>
            <x15:cachedUniqueName index="11" name="[DimDate].[YearMonth].&amp;[2025-08]"/>
            <x15:cachedUniqueName index="12" name="[DimDate].[YearMonth].&amp;[2025-09]"/>
            <x15:cachedUniqueName index="13" name="[DimDate].[YearMonth].&amp;[2025-10]"/>
            <x15:cachedUniqueName index="14" name="[DimDate].[YearMonth].&amp;[2025-11]"/>
            <x15:cachedUniqueName index="15" name="[DimDate].[YearMonth].&amp;[2025-12]"/>
            <x15:cachedUniqueName index="16" name="[DimDate].[YearMonth].&amp;[2026-01]"/>
            <x15:cachedUniqueName index="17" name="[DimDate].[YearMonth].&amp;[2026-02]"/>
            <x15:cachedUniqueName index="18" name="[DimDate].[YearMonth].&amp;[2026-03]"/>
            <x15:cachedUniqueName index="19" name="[DimDate].[YearMonth].&amp;[2026-04]"/>
            <x15:cachedUniqueName index="20" name="[DimDate].[YearMonth].&amp;[2026-05]"/>
            <x15:cachedUniqueName index="21" name="[DimDate].[YearMonth].&amp;[2026-06]"/>
            <x15:cachedUniqueName index="22" name="[DimDate].[YearMonth].&amp;[2026-07]"/>
            <x15:cachedUniqueName index="23" name="[DimDate].[YearMonth].&amp;[2026-08]"/>
          </x15:cachedUniqueNames>
        </ext>
      </extLst>
    </cacheField>
    <cacheField name="[FactPayment].[FirstDigit].[FirstDigit]" caption="FirstDigit" numFmtId="0" hierarchy="158" level="1">
      <sharedItems containsSemiMixedTypes="0" containsString="0" containsNumber="1" containsInteger="1" minValue="1" maxValue="9" count="9">
        <n v="1"/>
        <n v="2"/>
        <n v="3"/>
        <n v="4"/>
        <n v="5"/>
        <n v="6"/>
        <n v="7"/>
        <n v="8"/>
        <n v="9"/>
      </sharedItems>
      <extLst>
        <ext xmlns:x15="http://schemas.microsoft.com/office/spreadsheetml/2010/11/main" uri="{4F2E5C28-24EA-4eb8-9CBF-B6C8F9C3D259}">
          <x15:cachedUniqueNames>
            <x15:cachedUniqueName index="0" name="[FactPayment].[FirstDigit].&amp;[1]"/>
            <x15:cachedUniqueName index="1" name="[FactPayment].[FirstDigit].&amp;[2]"/>
            <x15:cachedUniqueName index="2" name="[FactPayment].[FirstDigit].&amp;[3]"/>
            <x15:cachedUniqueName index="3" name="[FactPayment].[FirstDigit].&amp;[4]"/>
            <x15:cachedUniqueName index="4" name="[FactPayment].[FirstDigit].&amp;[5]"/>
            <x15:cachedUniqueName index="5" name="[FactPayment].[FirstDigit].&amp;[6]"/>
            <x15:cachedUniqueName index="6" name="[FactPayment].[FirstDigit].&amp;[7]"/>
            <x15:cachedUniqueName index="7" name="[FactPayment].[FirstDigit].&amp;[8]"/>
            <x15:cachedUniqueName index="8" name="[FactPayment].[FirstDigit].&amp;[9]"/>
          </x15:cachedUniqueNames>
        </ext>
      </extLst>
    </cacheField>
    <cacheField name="[Measures].[Payment Lines]" caption="Payment Lines" numFmtId="0" hierarchy="186" level="32767"/>
    <cacheField name="[DimDate].[MonthsFromActive].[MonthsFromActive]" caption="MonthsFromActive" numFmtId="0" hierarchy="55"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2"/>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5"/>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2" memberValueDatatype="130" unbalanced="0">
      <fieldsUsage count="2">
        <fieldUsage x="-1"/>
        <fieldUsage x="1"/>
      </fieldsUsage>
    </cacheHierarchy>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2" memberValueDatatype="20" unbalanced="0">
      <fieldsUsage count="2">
        <fieldUsage x="-1"/>
        <fieldUsage x="3"/>
      </fieldsUsage>
    </cacheHierarchy>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oneField="1">
      <fieldsUsage count="1">
        <fieldUsage x="4"/>
      </fieldsUsage>
    </cacheHierarchy>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041087962" createdVersion="6" refreshedVersion="8" minRefreshableVersion="3" recordCount="0" supportSubquery="1" supportAdvancedDrill="1" xr:uid="{1F924BAD-0B79-4582-B928-FF6FD285BF57}">
  <cacheSource type="external" connectionId="22"/>
  <cacheFields count="11">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FactPayment].[CompanyID].[CompanyID]" caption="CompanyID" numFmtId="0" hierarchy="84" level="1">
      <sharedItems count="5">
        <s v="8101"/>
        <s v="8102"/>
        <s v="8301"/>
        <s v="8302"/>
        <s v="8201"/>
      </sharedItems>
      <extLst>
        <ext xmlns:x15="http://schemas.microsoft.com/office/spreadsheetml/2010/11/main" uri="{4F2E5C28-24EA-4eb8-9CBF-B6C8F9C3D259}">
          <x15:cachedUniqueNames>
            <x15:cachedUniqueName index="0" name="[FactPayment].[CompanyID].&amp;[8101]"/>
            <x15:cachedUniqueName index="1" name="[FactPayment].[CompanyID].&amp;[8102]"/>
            <x15:cachedUniqueName index="2" name="[FactPayment].[CompanyID].&amp;[8301]"/>
            <x15:cachedUniqueName index="3" name="[FactPayment].[CompanyID].&amp;[8302]"/>
            <x15:cachedUniqueName index="4" name="[FactPayment].[CompanyID].&amp;[8201]"/>
          </x15:cachedUniqueNames>
        </ext>
      </extLst>
    </cacheField>
    <cacheField name="[DimDate].[YearMonth].[YearMonth]" caption="YearMonth" numFmtId="0" hierarchy="50" level="1">
      <sharedItems count="24">
        <s v="2024-09"/>
        <s v="2024-10"/>
        <s v="2024-11"/>
        <s v="2024-12"/>
        <s v="2025-01"/>
        <s v="2025-02"/>
        <s v="2025-03"/>
        <s v="2025-04"/>
        <s v="2025-05"/>
        <s v="2025-06"/>
        <s v="2025-07"/>
        <s v="2025-08"/>
        <s v="2025-09"/>
        <s v="2025-10"/>
        <s v="2025-11"/>
        <s v="2025-12"/>
        <s v="2026-01"/>
        <s v="2026-02"/>
        <s v="2026-03"/>
        <s v="2026-04"/>
        <s v="2026-05"/>
        <s v="2026-06"/>
        <s v="2026-07"/>
        <s v="2026-08"/>
      </sharedItems>
      <extLst>
        <ext xmlns:x15="http://schemas.microsoft.com/office/spreadsheetml/2010/11/main" uri="{4F2E5C28-24EA-4eb8-9CBF-B6C8F9C3D259}">
          <x15:cachedUniqueNames>
            <x15:cachedUniqueName index="0" name="[DimDate].[YearMonth].&amp;[2024-09]"/>
            <x15:cachedUniqueName index="1" name="[DimDate].[YearMonth].&amp;[2024-10]"/>
            <x15:cachedUniqueName index="2" name="[DimDate].[YearMonth].&amp;[2024-11]"/>
            <x15:cachedUniqueName index="3" name="[DimDate].[YearMonth].&amp;[2024-12]"/>
            <x15:cachedUniqueName index="4" name="[DimDate].[YearMonth].&amp;[2025-01]"/>
            <x15:cachedUniqueName index="5" name="[DimDate].[YearMonth].&amp;[2025-02]"/>
            <x15:cachedUniqueName index="6" name="[DimDate].[YearMonth].&amp;[2025-03]"/>
            <x15:cachedUniqueName index="7" name="[DimDate].[YearMonth].&amp;[2025-04]"/>
            <x15:cachedUniqueName index="8" name="[DimDate].[YearMonth].&amp;[2025-05]"/>
            <x15:cachedUniqueName index="9" name="[DimDate].[YearMonth].&amp;[2025-06]"/>
            <x15:cachedUniqueName index="10" name="[DimDate].[YearMonth].&amp;[2025-07]"/>
            <x15:cachedUniqueName index="11" name="[DimDate].[YearMonth].&amp;[2025-08]"/>
            <x15:cachedUniqueName index="12" name="[DimDate].[YearMonth].&amp;[2025-09]"/>
            <x15:cachedUniqueName index="13" name="[DimDate].[YearMonth].&amp;[2025-10]"/>
            <x15:cachedUniqueName index="14" name="[DimDate].[YearMonth].&amp;[2025-11]"/>
            <x15:cachedUniqueName index="15" name="[DimDate].[YearMonth].&amp;[2025-12]"/>
            <x15:cachedUniqueName index="16" name="[DimDate].[YearMonth].&amp;[2026-01]"/>
            <x15:cachedUniqueName index="17" name="[DimDate].[YearMonth].&amp;[2026-02]"/>
            <x15:cachedUniqueName index="18" name="[DimDate].[YearMonth].&amp;[2026-03]"/>
            <x15:cachedUniqueName index="19" name="[DimDate].[YearMonth].&amp;[2026-04]"/>
            <x15:cachedUniqueName index="20" name="[DimDate].[YearMonth].&amp;[2026-05]"/>
            <x15:cachedUniqueName index="21" name="[DimDate].[YearMonth].&amp;[2026-06]"/>
            <x15:cachedUniqueName index="22" name="[DimDate].[YearMonth].&amp;[2026-07]"/>
            <x15:cachedUniqueName index="23" name="[DimDate].[YearMonth].&amp;[2026-08]"/>
          </x15:cachedUniqueNames>
        </ext>
      </extLst>
    </cacheField>
    <cacheField name="[DimDate].[MonthsFromActive].[MonthsFromActive]" caption="MonthsFromActive" numFmtId="0" hierarchy="55" level="1">
      <sharedItems containsSemiMixedTypes="0" containsNonDate="0" containsString="0"/>
    </cacheField>
    <cacheField name="[Measures].[Paid TRY]" caption="Paid TRY" numFmtId="0" hierarchy="209" level="32767"/>
    <cacheField name="[Measures].[Payment Lines]" caption="Payment Lines" numFmtId="0" hierarchy="186" level="32767"/>
    <cacheField name="[Measures].[Cases]" caption="Cases" numFmtId="0" hierarchy="237" level="32767"/>
    <cacheField name="[Measures].[Mean Paid per Case TRY]" caption="Mean Paid per Case TRY" numFmtId="0" hierarchy="244" level="32767"/>
    <cacheField name="[Measures].[Round Amount Lines]" caption="Round Amount Lines" numFmtId="0" hierarchy="328" level="32767"/>
    <cacheField name="[Measures].[Weekend Payment Lines]" caption="Weekend Payment Lines" numFmtId="0" hierarchy="329" level="32767"/>
    <cacheField name="[Measures].[Month-End Payment Lines]" caption="Month-End Payment Lines" numFmtId="0" hierarchy="330" level="32767"/>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2"/>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3"/>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2" memberValueDatatype="130" unbalanced="0">
      <fieldsUsage count="2">
        <fieldUsage x="-1"/>
        <fieldUsage x="1"/>
      </fieldsUsage>
    </cacheHierarchy>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oneField="1">
      <fieldsUsage count="1">
        <fieldUsage x="5"/>
      </fieldsUsage>
    </cacheHierarchy>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oneField="1">
      <fieldsUsage count="1">
        <fieldUsage x="4"/>
      </fieldsUsage>
    </cacheHierarchy>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oneField="1">
      <fieldsUsage count="1">
        <fieldUsage x="6"/>
      </fieldsUsage>
    </cacheHierarchy>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oneField="1">
      <fieldsUsage count="1">
        <fieldUsage x="7"/>
      </fieldsUsage>
    </cacheHierarchy>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oneField="1">
      <fieldsUsage count="1">
        <fieldUsage x="8"/>
      </fieldsUsage>
    </cacheHierarchy>
    <cacheHierarchy uniqueName="[Measures].[Weekend Payment Lines]" caption="Weekend Payment Lines" measure="1" displayFolder="" measureGroup="FactPayment" count="0" oneField="1">
      <fieldsUsage count="1">
        <fieldUsage x="9"/>
      </fieldsUsage>
    </cacheHierarchy>
    <cacheHierarchy uniqueName="[Measures].[Month-End Payment Lines]" caption="Month-End Payment Lines" measure="1" displayFolder="" measureGroup="FactPayment" count="0" oneField="1">
      <fieldsUsage count="1">
        <fieldUsage x="10"/>
      </fieldsUsage>
    </cacheHierarchy>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043402779" createdVersion="6" refreshedVersion="8" minRefreshableVersion="3" recordCount="0" supportSubquery="1" supportAdvancedDrill="1" xr:uid="{4AFDD78B-6EA0-4430-84BA-9413F0593B4E}">
  <cacheSource type="external" connectionId="22"/>
  <cacheFields count="7">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FactPayment].[LossPeriodKey].[LossPeriodKey]" caption="LossPeriodKey" numFmtId="0" hierarchy="154" level="1">
      <sharedItems containsSemiMixedTypes="0" containsString="0" containsNumber="1" containsInteger="1" minValue="202401" maxValue="202608" count="32">
        <n v="202402"/>
        <n v="202403"/>
        <n v="202404"/>
        <n v="202405"/>
        <n v="202406"/>
        <n v="202407"/>
        <n v="202408"/>
        <n v="202409"/>
        <n v="202410"/>
        <n v="202411"/>
        <n v="202412"/>
        <n v="202501"/>
        <n v="202502"/>
        <n v="202503"/>
        <n v="202504"/>
        <n v="202505"/>
        <n v="202506"/>
        <n v="202507"/>
        <n v="202508"/>
        <n v="202509"/>
        <n v="202510"/>
        <n v="202511"/>
        <n v="202512"/>
        <n v="202601"/>
        <n v="202602"/>
        <n v="202603"/>
        <n v="202604"/>
        <n v="202605"/>
        <n v="202606"/>
        <n v="202607"/>
        <n v="202608"/>
        <n v="202401"/>
      </sharedItems>
      <extLst>
        <ext xmlns:x15="http://schemas.microsoft.com/office/spreadsheetml/2010/11/main" uri="{4F2E5C28-24EA-4eb8-9CBF-B6C8F9C3D259}">
          <x15:cachedUniqueNames>
            <x15:cachedUniqueName index="0" name="[FactPayment].[LossPeriodKey].&amp;[202402]"/>
            <x15:cachedUniqueName index="1" name="[FactPayment].[LossPeriodKey].&amp;[202403]"/>
            <x15:cachedUniqueName index="2" name="[FactPayment].[LossPeriodKey].&amp;[202404]"/>
            <x15:cachedUniqueName index="3" name="[FactPayment].[LossPeriodKey].&amp;[202405]"/>
            <x15:cachedUniqueName index="4" name="[FactPayment].[LossPeriodKey].&amp;[202406]"/>
            <x15:cachedUniqueName index="5" name="[FactPayment].[LossPeriodKey].&amp;[202407]"/>
            <x15:cachedUniqueName index="6" name="[FactPayment].[LossPeriodKey].&amp;[202408]"/>
            <x15:cachedUniqueName index="7" name="[FactPayment].[LossPeriodKey].&amp;[202409]"/>
            <x15:cachedUniqueName index="8" name="[FactPayment].[LossPeriodKey].&amp;[202410]"/>
            <x15:cachedUniqueName index="9" name="[FactPayment].[LossPeriodKey].&amp;[202411]"/>
            <x15:cachedUniqueName index="10" name="[FactPayment].[LossPeriodKey].&amp;[202412]"/>
            <x15:cachedUniqueName index="11" name="[FactPayment].[LossPeriodKey].&amp;[202501]"/>
            <x15:cachedUniqueName index="12" name="[FactPayment].[LossPeriodKey].&amp;[202502]"/>
            <x15:cachedUniqueName index="13" name="[FactPayment].[LossPeriodKey].&amp;[202503]"/>
            <x15:cachedUniqueName index="14" name="[FactPayment].[LossPeriodKey].&amp;[202504]"/>
            <x15:cachedUniqueName index="15" name="[FactPayment].[LossPeriodKey].&amp;[202505]"/>
            <x15:cachedUniqueName index="16" name="[FactPayment].[LossPeriodKey].&amp;[202506]"/>
            <x15:cachedUniqueName index="17" name="[FactPayment].[LossPeriodKey].&amp;[202507]"/>
            <x15:cachedUniqueName index="18" name="[FactPayment].[LossPeriodKey].&amp;[202508]"/>
            <x15:cachedUniqueName index="19" name="[FactPayment].[LossPeriodKey].&amp;[202509]"/>
            <x15:cachedUniqueName index="20" name="[FactPayment].[LossPeriodKey].&amp;[202510]"/>
            <x15:cachedUniqueName index="21" name="[FactPayment].[LossPeriodKey].&amp;[202511]"/>
            <x15:cachedUniqueName index="22" name="[FactPayment].[LossPeriodKey].&amp;[202512]"/>
            <x15:cachedUniqueName index="23" name="[FactPayment].[LossPeriodKey].&amp;[202601]"/>
            <x15:cachedUniqueName index="24" name="[FactPayment].[LossPeriodKey].&amp;[202602]"/>
            <x15:cachedUniqueName index="25" name="[FactPayment].[LossPeriodKey].&amp;[202603]"/>
            <x15:cachedUniqueName index="26" name="[FactPayment].[LossPeriodKey].&amp;[202604]"/>
            <x15:cachedUniqueName index="27" name="[FactPayment].[LossPeriodKey].&amp;[202605]"/>
            <x15:cachedUniqueName index="28" name="[FactPayment].[LossPeriodKey].&amp;[202606]"/>
            <x15:cachedUniqueName index="29" name="[FactPayment].[LossPeriodKey].&amp;[202607]"/>
            <x15:cachedUniqueName index="30" name="[FactPayment].[LossPeriodKey].&amp;[202608]"/>
            <x15:cachedUniqueName index="31" name="[FactPayment].[LossPeriodKey].&amp;[202401]"/>
          </x15:cachedUniqueNames>
        </ext>
      </extLst>
    </cacheField>
    <cacheField name="[Measures].[Cases]" caption="Cases" numFmtId="0" hierarchy="237" level="32767"/>
    <cacheField name="[Measures].[Mean Paid per Case TRY]" caption="Mean Paid per Case TRY" numFmtId="0" hierarchy="244" level="32767"/>
    <cacheField name="[Measures].[Median Paid per Case TRY]" caption="Median Paid per Case TRY" numFmtId="0" hierarchy="331" level="32767"/>
    <cacheField name="[Measures].[P90 Paid per Case TRY]" caption="P90 Paid per Case TRY" numFmtId="0" hierarchy="333" level="32767"/>
    <cacheField name="[DimDate].[MonthsFromActive].[MonthsFromActive]" caption="MonthsFromActive" numFmtId="0" hierarchy="55"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6"/>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2" memberValueDatatype="20" unbalanced="0">
      <fieldsUsage count="2">
        <fieldUsage x="-1"/>
        <fieldUsage x="1"/>
      </fieldsUsage>
    </cacheHierarchy>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oneField="1">
      <fieldsUsage count="1">
        <fieldUsage x="2"/>
      </fieldsUsage>
    </cacheHierarchy>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oneField="1">
      <fieldsUsage count="1">
        <fieldUsage x="3"/>
      </fieldsUsage>
    </cacheHierarchy>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oneField="1">
      <fieldsUsage count="1">
        <fieldUsage x="4"/>
      </fieldsUsage>
    </cacheHierarchy>
    <cacheHierarchy uniqueName="[Measures].[P75 Paid per Case TRY]" caption="P75 Paid per Case TRY" measure="1" displayFolder="" measureGroup="FactPayment" count="0"/>
    <cacheHierarchy uniqueName="[Measures].[P90 Paid per Case TRY]" caption="P90 Paid per Case TRY" measure="1" displayFolder="" measureGroup="FactPayment" count="0" oneField="1">
      <fieldsUsage count="1">
        <fieldUsage x="5"/>
      </fieldsUsage>
    </cacheHierarchy>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096527776" createdVersion="6" refreshedVersion="8" minRefreshableVersion="3" recordCount="0" supportSubquery="1" supportAdvancedDrill="1" xr:uid="{1CA0B53A-8D36-4A63-889D-1FC0895474A3}">
  <cacheSource type="external" connectionId="22"/>
  <cacheFields count="20">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DimDate].[YearMonth].[YearMonth]" caption="YearMonth" numFmtId="0" hierarchy="50" level="1">
      <sharedItems count="36">
        <s v="2024-09"/>
        <s v="2024-10"/>
        <s v="2024-11"/>
        <s v="2024-12"/>
        <s v="2025-01"/>
        <s v="2025-02"/>
        <s v="2025-03"/>
        <s v="2025-04"/>
        <s v="2025-05"/>
        <s v="2025-06"/>
        <s v="2025-07"/>
        <s v="2025-08"/>
        <s v="2025-09"/>
        <s v="2025-10"/>
        <s v="2025-11"/>
        <s v="2025-12"/>
        <s v="2026-01"/>
        <s v="2026-02"/>
        <s v="2026-03"/>
        <s v="2026-04"/>
        <s v="2026-05"/>
        <s v="2026-06"/>
        <s v="2026-07"/>
        <s v="2026-08"/>
        <s v="2026-09"/>
        <s v="2026-10"/>
        <s v="2026-11"/>
        <s v="2026-12"/>
        <s v="2027-01"/>
        <s v="2027-02"/>
        <s v="2027-03"/>
        <s v="2027-04"/>
        <s v="2027-05"/>
        <s v="2027-06"/>
        <s v="2027-07"/>
        <s v="2027-08"/>
      </sharedItems>
      <extLst>
        <ext xmlns:x15="http://schemas.microsoft.com/office/spreadsheetml/2010/11/main" uri="{4F2E5C28-24EA-4eb8-9CBF-B6C8F9C3D259}">
          <x15:cachedUniqueNames>
            <x15:cachedUniqueName index="0" name="[DimDate].[YearMonth].&amp;[2024-09]"/>
            <x15:cachedUniqueName index="1" name="[DimDate].[YearMonth].&amp;[2024-10]"/>
            <x15:cachedUniqueName index="2" name="[DimDate].[YearMonth].&amp;[2024-11]"/>
            <x15:cachedUniqueName index="3" name="[DimDate].[YearMonth].&amp;[2024-12]"/>
            <x15:cachedUniqueName index="4" name="[DimDate].[YearMonth].&amp;[2025-01]"/>
            <x15:cachedUniqueName index="5" name="[DimDate].[YearMonth].&amp;[2025-02]"/>
            <x15:cachedUniqueName index="6" name="[DimDate].[YearMonth].&amp;[2025-03]"/>
            <x15:cachedUniqueName index="7" name="[DimDate].[YearMonth].&amp;[2025-04]"/>
            <x15:cachedUniqueName index="8" name="[DimDate].[YearMonth].&amp;[2025-05]"/>
            <x15:cachedUniqueName index="9" name="[DimDate].[YearMonth].&amp;[2025-06]"/>
            <x15:cachedUniqueName index="10" name="[DimDate].[YearMonth].&amp;[2025-07]"/>
            <x15:cachedUniqueName index="11" name="[DimDate].[YearMonth].&amp;[2025-08]"/>
            <x15:cachedUniqueName index="12" name="[DimDate].[YearMonth].&amp;[2025-09]"/>
            <x15:cachedUniqueName index="13" name="[DimDate].[YearMonth].&amp;[2025-10]"/>
            <x15:cachedUniqueName index="14" name="[DimDate].[YearMonth].&amp;[2025-11]"/>
            <x15:cachedUniqueName index="15" name="[DimDate].[YearMonth].&amp;[2025-12]"/>
            <x15:cachedUniqueName index="16" name="[DimDate].[YearMonth].&amp;[2026-01]"/>
            <x15:cachedUniqueName index="17" name="[DimDate].[YearMonth].&amp;[2026-02]"/>
            <x15:cachedUniqueName index="18" name="[DimDate].[YearMonth].&amp;[2026-03]"/>
            <x15:cachedUniqueName index="19" name="[DimDate].[YearMonth].&amp;[2026-04]"/>
            <x15:cachedUniqueName index="20" name="[DimDate].[YearMonth].&amp;[2026-05]"/>
            <x15:cachedUniqueName index="21" name="[DimDate].[YearMonth].&amp;[2026-06]"/>
            <x15:cachedUniqueName index="22" name="[DimDate].[YearMonth].&amp;[2026-07]"/>
            <x15:cachedUniqueName index="23" name="[DimDate].[YearMonth].&amp;[2026-08]"/>
            <x15:cachedUniqueName index="24" name="[DimDate].[YearMonth].&amp;[2026-09]"/>
            <x15:cachedUniqueName index="25" name="[DimDate].[YearMonth].&amp;[2026-10]"/>
            <x15:cachedUniqueName index="26" name="[DimDate].[YearMonth].&amp;[2026-11]"/>
            <x15:cachedUniqueName index="27" name="[DimDate].[YearMonth].&amp;[2026-12]"/>
            <x15:cachedUniqueName index="28" name="[DimDate].[YearMonth].&amp;[2027-01]"/>
            <x15:cachedUniqueName index="29" name="[DimDate].[YearMonth].&amp;[2027-02]"/>
            <x15:cachedUniqueName index="30" name="[DimDate].[YearMonth].&amp;[2027-03]"/>
            <x15:cachedUniqueName index="31" name="[DimDate].[YearMonth].&amp;[2027-04]"/>
            <x15:cachedUniqueName index="32" name="[DimDate].[YearMonth].&amp;[2027-05]"/>
            <x15:cachedUniqueName index="33" name="[DimDate].[YearMonth].&amp;[2027-06]"/>
            <x15:cachedUniqueName index="34" name="[DimDate].[YearMonth].&amp;[2027-07]"/>
            <x15:cachedUniqueName index="35" name="[DimDate].[YearMonth].&amp;[2027-08]"/>
          </x15:cachedUniqueNames>
        </ext>
      </extLst>
    </cacheField>
    <cacheField name="[Measures].[Paid TRY]" caption="Paid TRY" numFmtId="0" hierarchy="209" level="32767"/>
    <cacheField name="[Measures].[Paid TRY PM]" caption="Paid TRY PM" numFmtId="0" hierarchy="308" level="32767"/>
    <cacheField name="[Measures].[Paid TRY MoM %]" caption="Paid TRY MoM %" numFmtId="0" hierarchy="309" level="32767"/>
    <cacheField name="[Measures].[Paid TRY PY]" caption="Paid TRY PY" numFmtId="0" hierarchy="310" level="32767"/>
    <cacheField name="[Measures].[Paid TRY YoY %]" caption="Paid TRY YoY %" numFmtId="0" hierarchy="311" level="32767"/>
    <cacheField name="[Measures].[Paid TRY YTD]" caption="Paid TRY YTD" numFmtId="0" hierarchy="312" level="32767"/>
    <cacheField name="[Measures].[Paid TRY R3]" caption="Paid TRY R3" numFmtId="0" hierarchy="313" level="32767"/>
    <cacheField name="[Measures].[Paid TRY R6]" caption="Paid TRY R6" numFmtId="0" hierarchy="314" level="32767"/>
    <cacheField name="[Measures].[Paid TRY R12]" caption="Paid TRY R12" numFmtId="0" hierarchy="315" level="32767"/>
    <cacheField name="[Measures].[Cases]" caption="Cases" numFmtId="0" hierarchy="237" level="32767"/>
    <cacheField name="[Measures].[Payment Lines]" caption="Payment Lines" numFmtId="0" hierarchy="186" level="32767"/>
    <cacheField name="[Measures].[Mean Paid per Case TRY]" caption="Mean Paid per Case TRY" numFmtId="0" hierarchy="244" level="32767"/>
    <cacheField name="[Measures].[P90 Paid per Case TRY]" caption="P90 Paid per Case TRY" numFmtId="0" hierarchy="333" level="32767"/>
    <cacheField name="[Measures].[Lag Loss to Payment P50]" caption="Lag Loss to Payment P50" numFmtId="0" hierarchy="297" level="32767"/>
    <cacheField name="[Measures].[SLA Breach Share End to End]" caption="SLA Breach Share End to End" numFmtId="0" hierarchy="307" level="32767"/>
    <cacheField name="[Measures].[Partially Paid Case Share]" caption="Partially Paid Case Share" numFmtId="0" hierarchy="240" level="32767"/>
    <cacheField name="[Measures].[Paid Net TRY]" caption="Paid Net TRY" numFmtId="0" hierarchy="225" level="32767"/>
    <cacheField name="[DimDate].[MonthsFromActive].[MonthsFromActive]" caption="MonthsFromActive" numFmtId="0" hierarchy="55"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1"/>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19"/>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oneField="1">
      <fieldsUsage count="1">
        <fieldUsage x="12"/>
      </fieldsUsage>
    </cacheHierarchy>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oneField="1">
      <fieldsUsage count="1">
        <fieldUsage x="2"/>
      </fieldsUsage>
    </cacheHierarchy>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oneField="1">
      <fieldsUsage count="1">
        <fieldUsage x="18"/>
      </fieldsUsage>
    </cacheHierarchy>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oneField="1">
      <fieldsUsage count="1">
        <fieldUsage x="11"/>
      </fieldsUsage>
    </cacheHierarchy>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oneField="1">
      <fieldsUsage count="1">
        <fieldUsage x="17"/>
      </fieldsUsage>
    </cacheHierarchy>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oneField="1">
      <fieldsUsage count="1">
        <fieldUsage x="13"/>
      </fieldsUsage>
    </cacheHierarchy>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oneField="1">
      <fieldsUsage count="1">
        <fieldUsage x="15"/>
      </fieldsUsage>
    </cacheHierarchy>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oneField="1">
      <fieldsUsage count="1">
        <fieldUsage x="16"/>
      </fieldsUsage>
    </cacheHierarchy>
    <cacheHierarchy uniqueName="[Measures].[Paid TRY PM]" caption="Paid TRY PM" measure="1" displayFolder="" measureGroup="FactPayment" count="0" oneField="1">
      <fieldsUsage count="1">
        <fieldUsage x="3"/>
      </fieldsUsage>
    </cacheHierarchy>
    <cacheHierarchy uniqueName="[Measures].[Paid TRY MoM %]" caption="Paid TRY MoM %" measure="1" displayFolder="" measureGroup="FactPayment" count="0" oneField="1">
      <fieldsUsage count="1">
        <fieldUsage x="4"/>
      </fieldsUsage>
    </cacheHierarchy>
    <cacheHierarchy uniqueName="[Measures].[Paid TRY PY]" caption="Paid TRY PY" measure="1" displayFolder="" measureGroup="FactPayment" count="0" oneField="1">
      <fieldsUsage count="1">
        <fieldUsage x="5"/>
      </fieldsUsage>
    </cacheHierarchy>
    <cacheHierarchy uniqueName="[Measures].[Paid TRY YoY %]" caption="Paid TRY YoY %" measure="1" displayFolder="" measureGroup="FactPayment" count="0" oneField="1">
      <fieldsUsage count="1">
        <fieldUsage x="6"/>
      </fieldsUsage>
    </cacheHierarchy>
    <cacheHierarchy uniqueName="[Measures].[Paid TRY YTD]" caption="Paid TRY YTD" measure="1" displayFolder="" measureGroup="FactPayment" count="0" oneField="1">
      <fieldsUsage count="1">
        <fieldUsage x="7"/>
      </fieldsUsage>
    </cacheHierarchy>
    <cacheHierarchy uniqueName="[Measures].[Paid TRY R3]" caption="Paid TRY R3" measure="1" displayFolder="" measureGroup="FactPayment" count="0" oneField="1">
      <fieldsUsage count="1">
        <fieldUsage x="8"/>
      </fieldsUsage>
    </cacheHierarchy>
    <cacheHierarchy uniqueName="[Measures].[Paid TRY R6]" caption="Paid TRY R6" measure="1" displayFolder="" measureGroup="FactPayment" count="0" oneField="1">
      <fieldsUsage count="1">
        <fieldUsage x="9"/>
      </fieldsUsage>
    </cacheHierarchy>
    <cacheHierarchy uniqueName="[Measures].[Paid TRY R12]" caption="Paid TRY R12" measure="1" displayFolder="" measureGroup="FactPayment" count="0" oneField="1">
      <fieldsUsage count="1">
        <fieldUsage x="10"/>
      </fieldsUsage>
    </cacheHierarchy>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oneField="1">
      <fieldsUsage count="1">
        <fieldUsage x="14"/>
      </fieldsUsage>
    </cacheHierarchy>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01851849" createdVersion="6" refreshedVersion="8" minRefreshableVersion="3" recordCount="0" supportSubquery="1" supportAdvancedDrill="1" xr:uid="{EC1877BC-2888-4AE2-979A-1E64B793ADB0}">
  <cacheSource type="external" connectionId="22"/>
  <cacheFields count="41">
    <cacheField name="[DimSegment].[Segment].[Segment]" caption="Segment" numFmtId="0" hierarchy="79" level="1">
      <sharedItems count="4">
        <s v="Life"/>
        <s v="Non-life"/>
        <s v="Pension"/>
        <s v="Unassigned"/>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 index="3" name="[DimSegment].[Segment].&amp;[Unassigned]"/>
          </x15:cachedUniqueNames>
        </ext>
      </extLst>
    </cacheField>
    <cacheField name="[Measures].[Lag Loss to Notification Lines]" caption="Lag Loss to Notification Lines" numFmtId="0" hierarchy="247" level="32767"/>
    <cacheField name="[Measures].[Lag Loss to Notification Mean]" caption="Lag Loss to Notification Mean" numFmtId="0" hierarchy="256" level="32767"/>
    <cacheField name="[Measures].[Lag Loss to Notification P50]" caption="Lag Loss to Notification P50" numFmtId="0" hierarchy="257" level="32767"/>
    <cacheField name="[Measures].[Lag Loss to Notification P75]" caption="Lag Loss to Notification P75" numFmtId="0" hierarchy="258" level="32767"/>
    <cacheField name="[Measures].[Lag Loss to Notification P90]" caption="Lag Loss to Notification P90" numFmtId="0" hierarchy="259" level="32767"/>
    <cacheField name="[Measures].[Lag Loss to Notification P95]" caption="Lag Loss to Notification P95" numFmtId="0" hierarchy="260" level="32767"/>
    <cacheField name="[Measures].[Lag Notification to Documents Lines]" caption="Lag Notification to Documents Lines" numFmtId="0" hierarchy="248" level="32767"/>
    <cacheField name="[Measures].[Lag Notification to Documents Mean]" caption="Lag Notification to Documents Mean" numFmtId="0" hierarchy="264" level="32767"/>
    <cacheField name="[Measures].[Lag Notification to Documents P50]" caption="Lag Notification to Documents P50" numFmtId="0" hierarchy="265" level="32767"/>
    <cacheField name="[Measures].[Lag Notification to Documents P75]" caption="Lag Notification to Documents P75" numFmtId="0" hierarchy="266" level="32767"/>
    <cacheField name="[Measures].[Lag Notification to Documents P90]" caption="Lag Notification to Documents P90" numFmtId="0" hierarchy="267" level="32767"/>
    <cacheField name="[Measures].[Lag Notification to Documents P95]" caption="Lag Notification to Documents P95" numFmtId="0" hierarchy="268" level="32767"/>
    <cacheField name="[Measures].[Lag Documents to Decision Lines]" caption="Lag Documents to Decision Lines" numFmtId="0" hierarchy="249" level="32767"/>
    <cacheField name="[Measures].[Lag Documents to Decision Mean]" caption="Lag Documents to Decision Mean" numFmtId="0" hierarchy="272" level="32767"/>
    <cacheField name="[Measures].[Lag Documents to Decision P50]" caption="Lag Documents to Decision P50" numFmtId="0" hierarchy="273" level="32767"/>
    <cacheField name="[Measures].[Lag Documents to Decision P75]" caption="Lag Documents to Decision P75" numFmtId="0" hierarchy="274" level="32767"/>
    <cacheField name="[Measures].[Lag Documents to Decision P90]" caption="Lag Documents to Decision P90" numFmtId="0" hierarchy="275" level="32767"/>
    <cacheField name="[Measures].[Lag Documents to Decision P95]" caption="Lag Documents to Decision P95" numFmtId="0" hierarchy="276" level="32767"/>
    <cacheField name="[Measures].[Lag Decision to Payment Lines]" caption="Lag Decision to Payment Lines" numFmtId="0" hierarchy="250" level="32767"/>
    <cacheField name="[Measures].[Lag Decision to Payment Mean]" caption="Lag Decision to Payment Mean" numFmtId="0" hierarchy="280" level="32767"/>
    <cacheField name="[Measures].[Lag Decision to Payment P50]" caption="Lag Decision to Payment P50" numFmtId="0" hierarchy="281" level="32767"/>
    <cacheField name="[Measures].[Lag Decision to Payment P75]" caption="Lag Decision to Payment P75" numFmtId="0" hierarchy="282" level="32767"/>
    <cacheField name="[Measures].[Lag Decision to Payment P90]" caption="Lag Decision to Payment P90" numFmtId="0" hierarchy="283" level="32767"/>
    <cacheField name="[Measures].[Lag Decision to Payment P95]" caption="Lag Decision to Payment P95" numFmtId="0" hierarchy="284" level="32767"/>
    <cacheField name="[Measures].[Lag Notification to Payment Lines]" caption="Lag Notification to Payment Lines" numFmtId="0" hierarchy="251" level="32767"/>
    <cacheField name="[Measures].[Lag Notification to Payment Mean]" caption="Lag Notification to Payment Mean" numFmtId="0" hierarchy="288" level="32767"/>
    <cacheField name="[Measures].[Lag Notification to Payment P50]" caption="Lag Notification to Payment P50" numFmtId="0" hierarchy="289" level="32767"/>
    <cacheField name="[Measures].[Lag Notification to Payment P75]" caption="Lag Notification to Payment P75" numFmtId="0" hierarchy="290" level="32767"/>
    <cacheField name="[Measures].[Lag Notification to Payment P90]" caption="Lag Notification to Payment P90" numFmtId="0" hierarchy="291" level="32767"/>
    <cacheField name="[Measures].[Lag Notification to Payment P95]" caption="Lag Notification to Payment P95" numFmtId="0" hierarchy="292" level="32767"/>
    <cacheField name="[Measures].[Lag Loss to Payment Lines]" caption="Lag Loss to Payment Lines" numFmtId="0" hierarchy="252" level="32767"/>
    <cacheField name="[Measures].[Lag Loss to Payment Mean]" caption="Lag Loss to Payment Mean" numFmtId="0" hierarchy="296" level="32767"/>
    <cacheField name="[Measures].[Lag Loss to Payment P50]" caption="Lag Loss to Payment P50" numFmtId="0" hierarchy="297" level="32767"/>
    <cacheField name="[Measures].[Lag Loss to Payment P75]" caption="Lag Loss to Payment P75" numFmtId="0" hierarchy="298" level="32767"/>
    <cacheField name="[Measures].[Lag Loss to Payment P90]" caption="Lag Loss to Payment P90" numFmtId="0" hierarchy="299" level="32767"/>
    <cacheField name="[Measures].[Lag Loss to Payment P95]" caption="Lag Loss to Payment P95" numFmtId="0" hierarchy="300" level="32767"/>
    <cacheField name="[Measures].[SLA Breach Share Decision to Payment]" caption="SLA Breach Share Decision to Payment" numFmtId="0" hierarchy="305" level="32767"/>
    <cacheField name="[Measures].[SLA Breach Share End to End]" caption="SLA Breach Share End to End" numFmtId="0" hierarchy="307" level="32767"/>
    <cacheField name="[DimDate].[MonthsFromActive].[MonthsFromActive]" caption="MonthsFromActive" numFmtId="0" hierarchy="55" level="1">
      <sharedItems containsSemiMixedTypes="0" containsNonDate="0" containsString="0"/>
    </cacheField>
    <cacheField name="[tblObsFlag].[Flag].[Flag]" caption="Flag" numFmtId="0" hierarchy="161"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39"/>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2" memberValueDatatype="20" unbalanced="0">
      <fieldsUsage count="2">
        <fieldUsage x="-1"/>
        <fieldUsage x="40"/>
      </fieldsUsage>
    </cacheHierarchy>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oneField="1">
      <fieldsUsage count="1">
        <fieldUsage x="1"/>
      </fieldsUsage>
    </cacheHierarchy>
    <cacheHierarchy uniqueName="[Measures].[Lag Notification to Documents Lines]" caption="Lag Notification to Documents Lines" measure="1" displayFolder="" measureGroup="FactPayment" count="0" oneField="1">
      <fieldsUsage count="1">
        <fieldUsage x="7"/>
      </fieldsUsage>
    </cacheHierarchy>
    <cacheHierarchy uniqueName="[Measures].[Lag Documents to Decision Lines]" caption="Lag Documents to Decision Lines" measure="1" displayFolder="" measureGroup="FactPayment" count="0" oneField="1">
      <fieldsUsage count="1">
        <fieldUsage x="13"/>
      </fieldsUsage>
    </cacheHierarchy>
    <cacheHierarchy uniqueName="[Measures].[Lag Decision to Payment Lines]" caption="Lag Decision to Payment Lines" measure="1" displayFolder="" measureGroup="FactPayment" count="0" oneField="1">
      <fieldsUsage count="1">
        <fieldUsage x="19"/>
      </fieldsUsage>
    </cacheHierarchy>
    <cacheHierarchy uniqueName="[Measures].[Lag Notification to Payment Lines]" caption="Lag Notification to Payment Lines" measure="1" displayFolder="" measureGroup="FactPayment" count="0" oneField="1">
      <fieldsUsage count="1">
        <fieldUsage x="25"/>
      </fieldsUsage>
    </cacheHierarchy>
    <cacheHierarchy uniqueName="[Measures].[Lag Loss to Payment Lines]" caption="Lag Loss to Payment Lines" measure="1" displayFolder="" measureGroup="FactPayment" count="0" oneField="1">
      <fieldsUsage count="1">
        <fieldUsage x="31"/>
      </fieldsUsage>
    </cacheHierarchy>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oneField="1">
      <fieldsUsage count="1">
        <fieldUsage x="2"/>
      </fieldsUsage>
    </cacheHierarchy>
    <cacheHierarchy uniqueName="[Measures].[Lag Loss to Notification P50]" caption="Lag Loss to Notification P50" measure="1" displayFolder="" measureGroup="FactPayment" count="0" oneField="1">
      <fieldsUsage count="1">
        <fieldUsage x="3"/>
      </fieldsUsage>
    </cacheHierarchy>
    <cacheHierarchy uniqueName="[Measures].[Lag Loss to Notification P75]" caption="Lag Loss to Notification P75" measure="1" displayFolder="" measureGroup="FactPayment" count="0" oneField="1">
      <fieldsUsage count="1">
        <fieldUsage x="4"/>
      </fieldsUsage>
    </cacheHierarchy>
    <cacheHierarchy uniqueName="[Measures].[Lag Loss to Notification P90]" caption="Lag Loss to Notification P90" measure="1" displayFolder="" measureGroup="FactPayment" count="0" oneField="1">
      <fieldsUsage count="1">
        <fieldUsage x="5"/>
      </fieldsUsage>
    </cacheHierarchy>
    <cacheHierarchy uniqueName="[Measures].[Lag Loss to Notification P95]" caption="Lag Loss to Notification P95" measure="1" displayFolder="" measureGroup="FactPayment" count="0" oneField="1">
      <fieldsUsage count="1">
        <fieldUsage x="6"/>
      </fieldsUsage>
    </cacheHierarchy>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oneField="1">
      <fieldsUsage count="1">
        <fieldUsage x="8"/>
      </fieldsUsage>
    </cacheHierarchy>
    <cacheHierarchy uniqueName="[Measures].[Lag Notification to Documents P50]" caption="Lag Notification to Documents P50" measure="1" displayFolder="" measureGroup="FactPayment" count="0" oneField="1">
      <fieldsUsage count="1">
        <fieldUsage x="9"/>
      </fieldsUsage>
    </cacheHierarchy>
    <cacheHierarchy uniqueName="[Measures].[Lag Notification to Documents P75]" caption="Lag Notification to Documents P75" measure="1" displayFolder="" measureGroup="FactPayment" count="0" oneField="1">
      <fieldsUsage count="1">
        <fieldUsage x="10"/>
      </fieldsUsage>
    </cacheHierarchy>
    <cacheHierarchy uniqueName="[Measures].[Lag Notification to Documents P90]" caption="Lag Notification to Documents P90" measure="1" displayFolder="" measureGroup="FactPayment" count="0" oneField="1">
      <fieldsUsage count="1">
        <fieldUsage x="11"/>
      </fieldsUsage>
    </cacheHierarchy>
    <cacheHierarchy uniqueName="[Measures].[Lag Notification to Documents P95]" caption="Lag Notification to Documents P95" measure="1" displayFolder="" measureGroup="FactPayment" count="0" oneField="1">
      <fieldsUsage count="1">
        <fieldUsage x="12"/>
      </fieldsUsage>
    </cacheHierarchy>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oneField="1">
      <fieldsUsage count="1">
        <fieldUsage x="14"/>
      </fieldsUsage>
    </cacheHierarchy>
    <cacheHierarchy uniqueName="[Measures].[Lag Documents to Decision P50]" caption="Lag Documents to Decision P50" measure="1" displayFolder="" measureGroup="FactPayment" count="0" oneField="1">
      <fieldsUsage count="1">
        <fieldUsage x="15"/>
      </fieldsUsage>
    </cacheHierarchy>
    <cacheHierarchy uniqueName="[Measures].[Lag Documents to Decision P75]" caption="Lag Documents to Decision P75" measure="1" displayFolder="" measureGroup="FactPayment" count="0" oneField="1">
      <fieldsUsage count="1">
        <fieldUsage x="16"/>
      </fieldsUsage>
    </cacheHierarchy>
    <cacheHierarchy uniqueName="[Measures].[Lag Documents to Decision P90]" caption="Lag Documents to Decision P90" measure="1" displayFolder="" measureGroup="FactPayment" count="0" oneField="1">
      <fieldsUsage count="1">
        <fieldUsage x="17"/>
      </fieldsUsage>
    </cacheHierarchy>
    <cacheHierarchy uniqueName="[Measures].[Lag Documents to Decision P95]" caption="Lag Documents to Decision P95" measure="1" displayFolder="" measureGroup="FactPayment" count="0" oneField="1">
      <fieldsUsage count="1">
        <fieldUsage x="18"/>
      </fieldsUsage>
    </cacheHierarchy>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oneField="1">
      <fieldsUsage count="1">
        <fieldUsage x="20"/>
      </fieldsUsage>
    </cacheHierarchy>
    <cacheHierarchy uniqueName="[Measures].[Lag Decision to Payment P50]" caption="Lag Decision to Payment P50" measure="1" displayFolder="" measureGroup="FactPayment" count="0" oneField="1">
      <fieldsUsage count="1">
        <fieldUsage x="21"/>
      </fieldsUsage>
    </cacheHierarchy>
    <cacheHierarchy uniqueName="[Measures].[Lag Decision to Payment P75]" caption="Lag Decision to Payment P75" measure="1" displayFolder="" measureGroup="FactPayment" count="0" oneField="1">
      <fieldsUsage count="1">
        <fieldUsage x="22"/>
      </fieldsUsage>
    </cacheHierarchy>
    <cacheHierarchy uniqueName="[Measures].[Lag Decision to Payment P90]" caption="Lag Decision to Payment P90" measure="1" displayFolder="" measureGroup="FactPayment" count="0" oneField="1">
      <fieldsUsage count="1">
        <fieldUsage x="23"/>
      </fieldsUsage>
    </cacheHierarchy>
    <cacheHierarchy uniqueName="[Measures].[Lag Decision to Payment P95]" caption="Lag Decision to Payment P95" measure="1" displayFolder="" measureGroup="FactPayment" count="0" oneField="1">
      <fieldsUsage count="1">
        <fieldUsage x="24"/>
      </fieldsUsage>
    </cacheHierarchy>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oneField="1">
      <fieldsUsage count="1">
        <fieldUsage x="26"/>
      </fieldsUsage>
    </cacheHierarchy>
    <cacheHierarchy uniqueName="[Measures].[Lag Notification to Payment P50]" caption="Lag Notification to Payment P50" measure="1" displayFolder="" measureGroup="FactPayment" count="0" oneField="1">
      <fieldsUsage count="1">
        <fieldUsage x="27"/>
      </fieldsUsage>
    </cacheHierarchy>
    <cacheHierarchy uniqueName="[Measures].[Lag Notification to Payment P75]" caption="Lag Notification to Payment P75" measure="1" displayFolder="" measureGroup="FactPayment" count="0" oneField="1">
      <fieldsUsage count="1">
        <fieldUsage x="28"/>
      </fieldsUsage>
    </cacheHierarchy>
    <cacheHierarchy uniqueName="[Measures].[Lag Notification to Payment P90]" caption="Lag Notification to Payment P90" measure="1" displayFolder="" measureGroup="FactPayment" count="0" oneField="1">
      <fieldsUsage count="1">
        <fieldUsage x="29"/>
      </fieldsUsage>
    </cacheHierarchy>
    <cacheHierarchy uniqueName="[Measures].[Lag Notification to Payment P95]" caption="Lag Notification to Payment P95" measure="1" displayFolder="" measureGroup="FactPayment" count="0" oneField="1">
      <fieldsUsage count="1">
        <fieldUsage x="30"/>
      </fieldsUsage>
    </cacheHierarchy>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oneField="1">
      <fieldsUsage count="1">
        <fieldUsage x="32"/>
      </fieldsUsage>
    </cacheHierarchy>
    <cacheHierarchy uniqueName="[Measures].[Lag Loss to Payment P50]" caption="Lag Loss to Payment P50" measure="1" displayFolder="" measureGroup="FactPayment" count="0" oneField="1">
      <fieldsUsage count="1">
        <fieldUsage x="33"/>
      </fieldsUsage>
    </cacheHierarchy>
    <cacheHierarchy uniqueName="[Measures].[Lag Loss to Payment P75]" caption="Lag Loss to Payment P75" measure="1" displayFolder="" measureGroup="FactPayment" count="0" oneField="1">
      <fieldsUsage count="1">
        <fieldUsage x="34"/>
      </fieldsUsage>
    </cacheHierarchy>
    <cacheHierarchy uniqueName="[Measures].[Lag Loss to Payment P90]" caption="Lag Loss to Payment P90" measure="1" displayFolder="" measureGroup="FactPayment" count="0" oneField="1">
      <fieldsUsage count="1">
        <fieldUsage x="35"/>
      </fieldsUsage>
    </cacheHierarchy>
    <cacheHierarchy uniqueName="[Measures].[Lag Loss to Payment P95]" caption="Lag Loss to Payment P95" measure="1" displayFolder="" measureGroup="FactPayment" count="0" oneField="1">
      <fieldsUsage count="1">
        <fieldUsage x="36"/>
      </fieldsUsage>
    </cacheHierarchy>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oneField="1">
      <fieldsUsage count="1">
        <fieldUsage x="37"/>
      </fieldsUsage>
    </cacheHierarchy>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oneField="1">
      <fieldsUsage count="1">
        <fieldUsage x="38"/>
      </fieldsUsage>
    </cacheHierarchy>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07175929" createdVersion="6" refreshedVersion="8" minRefreshableVersion="3" recordCount="0" supportSubquery="1" supportAdvancedDrill="1" xr:uid="{3AFF26DE-9782-4129-A8F8-CB11EE0746EC}">
  <cacheSource type="external" connectionId="22"/>
  <cacheFields count="40">
    <cacheField name="[DimSegment].[Segment].[Segment]" caption="Segment" numFmtId="0" hierarchy="79" level="1">
      <sharedItems count="4">
        <s v="Life"/>
        <s v="Non-life"/>
        <s v="Pension"/>
        <s v="Unassigned"/>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 index="3" name="[DimSegment].[Segment].&amp;[Unassigned]"/>
          </x15:cachedUniqueNames>
        </ext>
      </extLst>
    </cacheField>
    <cacheField name="[Measures].[Lag Loss to Notification Lines]" caption="Lag Loss to Notification Lines" numFmtId="0" hierarchy="247" level="32767"/>
    <cacheField name="[Measures].[Lag Loss to Notification Mean]" caption="Lag Loss to Notification Mean" numFmtId="0" hierarchy="256" level="32767"/>
    <cacheField name="[Measures].[Lag Loss to Notification P50]" caption="Lag Loss to Notification P50" numFmtId="0" hierarchy="257" level="32767"/>
    <cacheField name="[Measures].[Lag Loss to Notification P75]" caption="Lag Loss to Notification P75" numFmtId="0" hierarchy="258" level="32767"/>
    <cacheField name="[Measures].[Lag Loss to Notification P90]" caption="Lag Loss to Notification P90" numFmtId="0" hierarchy="259" level="32767"/>
    <cacheField name="[Measures].[Lag Loss to Notification P95]" caption="Lag Loss to Notification P95" numFmtId="0" hierarchy="260" level="32767"/>
    <cacheField name="[Measures].[Lag Notification to Documents Lines]" caption="Lag Notification to Documents Lines" numFmtId="0" hierarchy="248" level="32767"/>
    <cacheField name="[Measures].[Lag Notification to Documents Mean]" caption="Lag Notification to Documents Mean" numFmtId="0" hierarchy="264" level="32767"/>
    <cacheField name="[Measures].[Lag Notification to Documents P50]" caption="Lag Notification to Documents P50" numFmtId="0" hierarchy="265" level="32767"/>
    <cacheField name="[Measures].[Lag Notification to Documents P75]" caption="Lag Notification to Documents P75" numFmtId="0" hierarchy="266" level="32767"/>
    <cacheField name="[Measures].[Lag Notification to Documents P90]" caption="Lag Notification to Documents P90" numFmtId="0" hierarchy="267" level="32767"/>
    <cacheField name="[Measures].[Lag Notification to Documents P95]" caption="Lag Notification to Documents P95" numFmtId="0" hierarchy="268" level="32767"/>
    <cacheField name="[Measures].[Lag Documents to Decision Lines]" caption="Lag Documents to Decision Lines" numFmtId="0" hierarchy="249" level="32767"/>
    <cacheField name="[Measures].[Lag Documents to Decision Mean]" caption="Lag Documents to Decision Mean" numFmtId="0" hierarchy="272" level="32767"/>
    <cacheField name="[Measures].[Lag Documents to Decision P50]" caption="Lag Documents to Decision P50" numFmtId="0" hierarchy="273" level="32767"/>
    <cacheField name="[Measures].[Lag Documents to Decision P75]" caption="Lag Documents to Decision P75" numFmtId="0" hierarchy="274" level="32767"/>
    <cacheField name="[Measures].[Lag Documents to Decision P90]" caption="Lag Documents to Decision P90" numFmtId="0" hierarchy="275" level="32767"/>
    <cacheField name="[Measures].[Lag Documents to Decision P95]" caption="Lag Documents to Decision P95" numFmtId="0" hierarchy="276" level="32767"/>
    <cacheField name="[Measures].[Lag Decision to Payment Lines]" caption="Lag Decision to Payment Lines" numFmtId="0" hierarchy="250" level="32767"/>
    <cacheField name="[Measures].[Lag Decision to Payment Mean]" caption="Lag Decision to Payment Mean" numFmtId="0" hierarchy="280" level="32767"/>
    <cacheField name="[Measures].[Lag Decision to Payment P50]" caption="Lag Decision to Payment P50" numFmtId="0" hierarchy="281" level="32767"/>
    <cacheField name="[Measures].[Lag Decision to Payment P75]" caption="Lag Decision to Payment P75" numFmtId="0" hierarchy="282" level="32767"/>
    <cacheField name="[Measures].[Lag Decision to Payment P90]" caption="Lag Decision to Payment P90" numFmtId="0" hierarchy="283" level="32767"/>
    <cacheField name="[Measures].[Lag Decision to Payment P95]" caption="Lag Decision to Payment P95" numFmtId="0" hierarchy="284" level="32767"/>
    <cacheField name="[Measures].[Lag Notification to Payment Lines]" caption="Lag Notification to Payment Lines" numFmtId="0" hierarchy="251" level="32767"/>
    <cacheField name="[Measures].[Lag Notification to Payment Mean]" caption="Lag Notification to Payment Mean" numFmtId="0" hierarchy="288" level="32767"/>
    <cacheField name="[Measures].[Lag Notification to Payment P50]" caption="Lag Notification to Payment P50" numFmtId="0" hierarchy="289" level="32767"/>
    <cacheField name="[Measures].[Lag Notification to Payment P75]" caption="Lag Notification to Payment P75" numFmtId="0" hierarchy="290" level="32767"/>
    <cacheField name="[Measures].[Lag Notification to Payment P90]" caption="Lag Notification to Payment P90" numFmtId="0" hierarchy="291" level="32767"/>
    <cacheField name="[Measures].[Lag Notification to Payment P95]" caption="Lag Notification to Payment P95" numFmtId="0" hierarchy="292" level="32767"/>
    <cacheField name="[Measures].[Lag Loss to Payment Lines]" caption="Lag Loss to Payment Lines" numFmtId="0" hierarchy="252" level="32767"/>
    <cacheField name="[Measures].[Lag Loss to Payment Mean]" caption="Lag Loss to Payment Mean" numFmtId="0" hierarchy="296" level="32767"/>
    <cacheField name="[Measures].[Lag Loss to Payment P50]" caption="Lag Loss to Payment P50" numFmtId="0" hierarchy="297" level="32767"/>
    <cacheField name="[Measures].[Lag Loss to Payment P75]" caption="Lag Loss to Payment P75" numFmtId="0" hierarchy="298" level="32767"/>
    <cacheField name="[Measures].[Lag Loss to Payment P90]" caption="Lag Loss to Payment P90" numFmtId="0" hierarchy="299" level="32767"/>
    <cacheField name="[Measures].[Lag Loss to Payment P95]" caption="Lag Loss to Payment P95" numFmtId="0" hierarchy="300" level="32767"/>
    <cacheField name="[Measures].[SLA Breach Share Decision to Payment]" caption="SLA Breach Share Decision to Payment" numFmtId="0" hierarchy="305" level="32767"/>
    <cacheField name="[Measures].[SLA Breach Share End to End]" caption="SLA Breach Share End to End" numFmtId="0" hierarchy="307" level="32767"/>
    <cacheField name="[DimDate].[MonthsFromActive].[MonthsFromActive]" caption="MonthsFromActive" numFmtId="0" hierarchy="55"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39"/>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oneField="1">
      <fieldsUsage count="1">
        <fieldUsage x="1"/>
      </fieldsUsage>
    </cacheHierarchy>
    <cacheHierarchy uniqueName="[Measures].[Lag Notification to Documents Lines]" caption="Lag Notification to Documents Lines" measure="1" displayFolder="" measureGroup="FactPayment" count="0" oneField="1">
      <fieldsUsage count="1">
        <fieldUsage x="7"/>
      </fieldsUsage>
    </cacheHierarchy>
    <cacheHierarchy uniqueName="[Measures].[Lag Documents to Decision Lines]" caption="Lag Documents to Decision Lines" measure="1" displayFolder="" measureGroup="FactPayment" count="0" oneField="1">
      <fieldsUsage count="1">
        <fieldUsage x="13"/>
      </fieldsUsage>
    </cacheHierarchy>
    <cacheHierarchy uniqueName="[Measures].[Lag Decision to Payment Lines]" caption="Lag Decision to Payment Lines" measure="1" displayFolder="" measureGroup="FactPayment" count="0" oneField="1">
      <fieldsUsage count="1">
        <fieldUsage x="19"/>
      </fieldsUsage>
    </cacheHierarchy>
    <cacheHierarchy uniqueName="[Measures].[Lag Notification to Payment Lines]" caption="Lag Notification to Payment Lines" measure="1" displayFolder="" measureGroup="FactPayment" count="0" oneField="1">
      <fieldsUsage count="1">
        <fieldUsage x="25"/>
      </fieldsUsage>
    </cacheHierarchy>
    <cacheHierarchy uniqueName="[Measures].[Lag Loss to Payment Lines]" caption="Lag Loss to Payment Lines" measure="1" displayFolder="" measureGroup="FactPayment" count="0" oneField="1">
      <fieldsUsage count="1">
        <fieldUsage x="31"/>
      </fieldsUsage>
    </cacheHierarchy>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oneField="1">
      <fieldsUsage count="1">
        <fieldUsage x="2"/>
      </fieldsUsage>
    </cacheHierarchy>
    <cacheHierarchy uniqueName="[Measures].[Lag Loss to Notification P50]" caption="Lag Loss to Notification P50" measure="1" displayFolder="" measureGroup="FactPayment" count="0" oneField="1">
      <fieldsUsage count="1">
        <fieldUsage x="3"/>
      </fieldsUsage>
    </cacheHierarchy>
    <cacheHierarchy uniqueName="[Measures].[Lag Loss to Notification P75]" caption="Lag Loss to Notification P75" measure="1" displayFolder="" measureGroup="FactPayment" count="0" oneField="1">
      <fieldsUsage count="1">
        <fieldUsage x="4"/>
      </fieldsUsage>
    </cacheHierarchy>
    <cacheHierarchy uniqueName="[Measures].[Lag Loss to Notification P90]" caption="Lag Loss to Notification P90" measure="1" displayFolder="" measureGroup="FactPayment" count="0" oneField="1">
      <fieldsUsage count="1">
        <fieldUsage x="5"/>
      </fieldsUsage>
    </cacheHierarchy>
    <cacheHierarchy uniqueName="[Measures].[Lag Loss to Notification P95]" caption="Lag Loss to Notification P95" measure="1" displayFolder="" measureGroup="FactPayment" count="0" oneField="1">
      <fieldsUsage count="1">
        <fieldUsage x="6"/>
      </fieldsUsage>
    </cacheHierarchy>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oneField="1">
      <fieldsUsage count="1">
        <fieldUsage x="8"/>
      </fieldsUsage>
    </cacheHierarchy>
    <cacheHierarchy uniqueName="[Measures].[Lag Notification to Documents P50]" caption="Lag Notification to Documents P50" measure="1" displayFolder="" measureGroup="FactPayment" count="0" oneField="1">
      <fieldsUsage count="1">
        <fieldUsage x="9"/>
      </fieldsUsage>
    </cacheHierarchy>
    <cacheHierarchy uniqueName="[Measures].[Lag Notification to Documents P75]" caption="Lag Notification to Documents P75" measure="1" displayFolder="" measureGroup="FactPayment" count="0" oneField="1">
      <fieldsUsage count="1">
        <fieldUsage x="10"/>
      </fieldsUsage>
    </cacheHierarchy>
    <cacheHierarchy uniqueName="[Measures].[Lag Notification to Documents P90]" caption="Lag Notification to Documents P90" measure="1" displayFolder="" measureGroup="FactPayment" count="0" oneField="1">
      <fieldsUsage count="1">
        <fieldUsage x="11"/>
      </fieldsUsage>
    </cacheHierarchy>
    <cacheHierarchy uniqueName="[Measures].[Lag Notification to Documents P95]" caption="Lag Notification to Documents P95" measure="1" displayFolder="" measureGroup="FactPayment" count="0" oneField="1">
      <fieldsUsage count="1">
        <fieldUsage x="12"/>
      </fieldsUsage>
    </cacheHierarchy>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oneField="1">
      <fieldsUsage count="1">
        <fieldUsage x="14"/>
      </fieldsUsage>
    </cacheHierarchy>
    <cacheHierarchy uniqueName="[Measures].[Lag Documents to Decision P50]" caption="Lag Documents to Decision P50" measure="1" displayFolder="" measureGroup="FactPayment" count="0" oneField="1">
      <fieldsUsage count="1">
        <fieldUsage x="15"/>
      </fieldsUsage>
    </cacheHierarchy>
    <cacheHierarchy uniqueName="[Measures].[Lag Documents to Decision P75]" caption="Lag Documents to Decision P75" measure="1" displayFolder="" measureGroup="FactPayment" count="0" oneField="1">
      <fieldsUsage count="1">
        <fieldUsage x="16"/>
      </fieldsUsage>
    </cacheHierarchy>
    <cacheHierarchy uniqueName="[Measures].[Lag Documents to Decision P90]" caption="Lag Documents to Decision P90" measure="1" displayFolder="" measureGroup="FactPayment" count="0" oneField="1">
      <fieldsUsage count="1">
        <fieldUsage x="17"/>
      </fieldsUsage>
    </cacheHierarchy>
    <cacheHierarchy uniqueName="[Measures].[Lag Documents to Decision P95]" caption="Lag Documents to Decision P95" measure="1" displayFolder="" measureGroup="FactPayment" count="0" oneField="1">
      <fieldsUsage count="1">
        <fieldUsage x="18"/>
      </fieldsUsage>
    </cacheHierarchy>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oneField="1">
      <fieldsUsage count="1">
        <fieldUsage x="20"/>
      </fieldsUsage>
    </cacheHierarchy>
    <cacheHierarchy uniqueName="[Measures].[Lag Decision to Payment P50]" caption="Lag Decision to Payment P50" measure="1" displayFolder="" measureGroup="FactPayment" count="0" oneField="1">
      <fieldsUsage count="1">
        <fieldUsage x="21"/>
      </fieldsUsage>
    </cacheHierarchy>
    <cacheHierarchy uniqueName="[Measures].[Lag Decision to Payment P75]" caption="Lag Decision to Payment P75" measure="1" displayFolder="" measureGroup="FactPayment" count="0" oneField="1">
      <fieldsUsage count="1">
        <fieldUsage x="22"/>
      </fieldsUsage>
    </cacheHierarchy>
    <cacheHierarchy uniqueName="[Measures].[Lag Decision to Payment P90]" caption="Lag Decision to Payment P90" measure="1" displayFolder="" measureGroup="FactPayment" count="0" oneField="1">
      <fieldsUsage count="1">
        <fieldUsage x="23"/>
      </fieldsUsage>
    </cacheHierarchy>
    <cacheHierarchy uniqueName="[Measures].[Lag Decision to Payment P95]" caption="Lag Decision to Payment P95" measure="1" displayFolder="" measureGroup="FactPayment" count="0" oneField="1">
      <fieldsUsage count="1">
        <fieldUsage x="24"/>
      </fieldsUsage>
    </cacheHierarchy>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oneField="1">
      <fieldsUsage count="1">
        <fieldUsage x="26"/>
      </fieldsUsage>
    </cacheHierarchy>
    <cacheHierarchy uniqueName="[Measures].[Lag Notification to Payment P50]" caption="Lag Notification to Payment P50" measure="1" displayFolder="" measureGroup="FactPayment" count="0" oneField="1">
      <fieldsUsage count="1">
        <fieldUsage x="27"/>
      </fieldsUsage>
    </cacheHierarchy>
    <cacheHierarchy uniqueName="[Measures].[Lag Notification to Payment P75]" caption="Lag Notification to Payment P75" measure="1" displayFolder="" measureGroup="FactPayment" count="0" oneField="1">
      <fieldsUsage count="1">
        <fieldUsage x="28"/>
      </fieldsUsage>
    </cacheHierarchy>
    <cacheHierarchy uniqueName="[Measures].[Lag Notification to Payment P90]" caption="Lag Notification to Payment P90" measure="1" displayFolder="" measureGroup="FactPayment" count="0" oneField="1">
      <fieldsUsage count="1">
        <fieldUsage x="29"/>
      </fieldsUsage>
    </cacheHierarchy>
    <cacheHierarchy uniqueName="[Measures].[Lag Notification to Payment P95]" caption="Lag Notification to Payment P95" measure="1" displayFolder="" measureGroup="FactPayment" count="0" oneField="1">
      <fieldsUsage count="1">
        <fieldUsage x="30"/>
      </fieldsUsage>
    </cacheHierarchy>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oneField="1">
      <fieldsUsage count="1">
        <fieldUsage x="32"/>
      </fieldsUsage>
    </cacheHierarchy>
    <cacheHierarchy uniqueName="[Measures].[Lag Loss to Payment P50]" caption="Lag Loss to Payment P50" measure="1" displayFolder="" measureGroup="FactPayment" count="0" oneField="1">
      <fieldsUsage count="1">
        <fieldUsage x="33"/>
      </fieldsUsage>
    </cacheHierarchy>
    <cacheHierarchy uniqueName="[Measures].[Lag Loss to Payment P75]" caption="Lag Loss to Payment P75" measure="1" displayFolder="" measureGroup="FactPayment" count="0" oneField="1">
      <fieldsUsage count="1">
        <fieldUsage x="34"/>
      </fieldsUsage>
    </cacheHierarchy>
    <cacheHierarchy uniqueName="[Measures].[Lag Loss to Payment P90]" caption="Lag Loss to Payment P90" measure="1" displayFolder="" measureGroup="FactPayment" count="0" oneField="1">
      <fieldsUsage count="1">
        <fieldUsage x="35"/>
      </fieldsUsage>
    </cacheHierarchy>
    <cacheHierarchy uniqueName="[Measures].[Lag Loss to Payment P95]" caption="Lag Loss to Payment P95" measure="1" displayFolder="" measureGroup="FactPayment" count="0" oneField="1">
      <fieldsUsage count="1">
        <fieldUsage x="36"/>
      </fieldsUsage>
    </cacheHierarchy>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oneField="1">
      <fieldsUsage count="1">
        <fieldUsage x="37"/>
      </fieldsUsage>
    </cacheHierarchy>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oneField="1">
      <fieldsUsage count="1">
        <fieldUsage x="38"/>
      </fieldsUsage>
    </cacheHierarchy>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23726848" createdVersion="6" refreshedVersion="8" minRefreshableVersion="3" recordCount="0" supportSubquery="1" supportAdvancedDrill="1" xr:uid="{F75E209F-4155-4B34-8C10-98AFEEC1BF48}">
  <cacheSource type="external" connectionId="22"/>
  <cacheFields count="41">
    <cacheField name="[DimSegment].[Segment].[Segment]" caption="Segment" numFmtId="0" hierarchy="79" level="1">
      <sharedItems count="4">
        <s v="Life"/>
        <s v="Non-life"/>
        <s v="Pension"/>
        <s v="Unassigned"/>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 index="3" name="[DimSegment].[Segment].&amp;[Unassigned]"/>
          </x15:cachedUniqueNames>
        </ext>
      </extLst>
    </cacheField>
    <cacheField name="[DimDate].[YearMonth].[YearMonth]" caption="YearMonth" numFmtId="0" hierarchy="50" level="1">
      <sharedItems count="372">
        <s v="2000-01"/>
        <s v="2000-02"/>
        <s v="2000-03"/>
        <s v="2000-04"/>
        <s v="2000-05"/>
        <s v="2000-06"/>
        <s v="2000-07"/>
        <s v="2000-08"/>
        <s v="2000-09"/>
        <s v="2000-10"/>
        <s v="2000-11"/>
        <s v="2000-12"/>
        <s v="2001-01"/>
        <s v="2001-02"/>
        <s v="2001-03"/>
        <s v="2001-04"/>
        <s v="2001-05"/>
        <s v="2001-06"/>
        <s v="2001-07"/>
        <s v="2001-08"/>
        <s v="2001-09"/>
        <s v="2001-10"/>
        <s v="2001-11"/>
        <s v="2001-12"/>
        <s v="2002-01"/>
        <s v="2002-02"/>
        <s v="2002-03"/>
        <s v="2002-04"/>
        <s v="2002-05"/>
        <s v="2002-06"/>
        <s v="2002-07"/>
        <s v="2002-08"/>
        <s v="2002-09"/>
        <s v="2002-10"/>
        <s v="2002-11"/>
        <s v="2002-12"/>
        <s v="2003-01"/>
        <s v="2003-02"/>
        <s v="2003-03"/>
        <s v="2003-04"/>
        <s v="2003-05"/>
        <s v="2003-06"/>
        <s v="2003-07"/>
        <s v="2003-08"/>
        <s v="2003-09"/>
        <s v="2003-10"/>
        <s v="2003-11"/>
        <s v="2003-12"/>
        <s v="2004-01"/>
        <s v="2004-02"/>
        <s v="2004-03"/>
        <s v="2004-04"/>
        <s v="2004-05"/>
        <s v="2004-06"/>
        <s v="2004-07"/>
        <s v="2004-08"/>
        <s v="2004-09"/>
        <s v="2004-10"/>
        <s v="2004-11"/>
        <s v="2004-12"/>
        <s v="2005-01"/>
        <s v="2005-02"/>
        <s v="2005-03"/>
        <s v="2005-04"/>
        <s v="2005-05"/>
        <s v="2005-06"/>
        <s v="2005-07"/>
        <s v="2005-08"/>
        <s v="2005-09"/>
        <s v="2005-10"/>
        <s v="2005-11"/>
        <s v="2005-12"/>
        <s v="2006-01"/>
        <s v="2006-02"/>
        <s v="2006-03"/>
        <s v="2006-04"/>
        <s v="2006-05"/>
        <s v="2006-06"/>
        <s v="2006-07"/>
        <s v="2006-08"/>
        <s v="2006-09"/>
        <s v="2006-10"/>
        <s v="2006-11"/>
        <s v="2006-12"/>
        <s v="2007-01"/>
        <s v="2007-02"/>
        <s v="2007-03"/>
        <s v="2007-04"/>
        <s v="2007-05"/>
        <s v="2007-06"/>
        <s v="2007-07"/>
        <s v="2007-08"/>
        <s v="2007-09"/>
        <s v="2007-10"/>
        <s v="2007-11"/>
        <s v="2007-12"/>
        <s v="2008-01"/>
        <s v="2008-02"/>
        <s v="2008-03"/>
        <s v="2008-04"/>
        <s v="2008-05"/>
        <s v="2008-06"/>
        <s v="2008-07"/>
        <s v="2008-08"/>
        <s v="2008-09"/>
        <s v="2008-10"/>
        <s v="2008-11"/>
        <s v="2008-12"/>
        <s v="2009-01"/>
        <s v="2009-02"/>
        <s v="2009-03"/>
        <s v="2009-04"/>
        <s v="2009-05"/>
        <s v="2009-06"/>
        <s v="2009-07"/>
        <s v="2009-08"/>
        <s v="2009-09"/>
        <s v="2009-10"/>
        <s v="2009-11"/>
        <s v="2009-12"/>
        <s v="2010-01"/>
        <s v="2010-02"/>
        <s v="2010-03"/>
        <s v="2010-04"/>
        <s v="2010-05"/>
        <s v="2010-06"/>
        <s v="2010-07"/>
        <s v="2010-08"/>
        <s v="2010-09"/>
        <s v="2010-10"/>
        <s v="2010-11"/>
        <s v="2010-12"/>
        <s v="2011-01"/>
        <s v="2011-02"/>
        <s v="2011-03"/>
        <s v="2011-04"/>
        <s v="2011-05"/>
        <s v="2011-06"/>
        <s v="2011-07"/>
        <s v="2011-08"/>
        <s v="2011-09"/>
        <s v="2011-10"/>
        <s v="2011-11"/>
        <s v="2011-12"/>
        <s v="2012-01"/>
        <s v="2012-02"/>
        <s v="2012-03"/>
        <s v="2012-04"/>
        <s v="2012-05"/>
        <s v="2012-06"/>
        <s v="2012-07"/>
        <s v="2012-08"/>
        <s v="2012-09"/>
        <s v="2012-10"/>
        <s v="2012-11"/>
        <s v="2012-12"/>
        <s v="2013-01"/>
        <s v="2013-02"/>
        <s v="2013-03"/>
        <s v="2013-04"/>
        <s v="2013-05"/>
        <s v="2013-06"/>
        <s v="2013-07"/>
        <s v="2013-08"/>
        <s v="2013-09"/>
        <s v="2013-10"/>
        <s v="2013-11"/>
        <s v="2013-12"/>
        <s v="2014-01"/>
        <s v="2014-02"/>
        <s v="2014-03"/>
        <s v="2014-04"/>
        <s v="2014-05"/>
        <s v="2014-06"/>
        <s v="2014-07"/>
        <s v="2014-08"/>
        <s v="2014-09"/>
        <s v="2014-10"/>
        <s v="2014-11"/>
        <s v="2014-12"/>
        <s v="2015-01"/>
        <s v="2015-02"/>
        <s v="2015-03"/>
        <s v="2015-04"/>
        <s v="2015-05"/>
        <s v="2015-06"/>
        <s v="2015-07"/>
        <s v="2015-08"/>
        <s v="2015-09"/>
        <s v="2015-10"/>
        <s v="2015-11"/>
        <s v="2015-12"/>
        <s v="2016-01"/>
        <s v="2016-02"/>
        <s v="2016-03"/>
        <s v="2016-04"/>
        <s v="2016-05"/>
        <s v="2016-06"/>
        <s v="2016-07"/>
        <s v="2016-08"/>
        <s v="2016-09"/>
        <s v="2016-10"/>
        <s v="2016-11"/>
        <s v="2016-12"/>
        <s v="2017-01"/>
        <s v="2017-02"/>
        <s v="2017-03"/>
        <s v="2017-04"/>
        <s v="2017-05"/>
        <s v="2017-06"/>
        <s v="2017-07"/>
        <s v="2017-08"/>
        <s v="2017-09"/>
        <s v="2017-10"/>
        <s v="2017-11"/>
        <s v="2017-12"/>
        <s v="2018-01"/>
        <s v="2018-02"/>
        <s v="2018-03"/>
        <s v="2018-04"/>
        <s v="2018-05"/>
        <s v="2018-06"/>
        <s v="2018-07"/>
        <s v="2018-08"/>
        <s v="2018-09"/>
        <s v="2018-10"/>
        <s v="2018-11"/>
        <s v="2018-12"/>
        <s v="2019-01"/>
        <s v="2019-02"/>
        <s v="2019-03"/>
        <s v="2019-04"/>
        <s v="2019-05"/>
        <s v="2019-06"/>
        <s v="2019-07"/>
        <s v="2019-08"/>
        <s v="2019-09"/>
        <s v="2019-10"/>
        <s v="2019-11"/>
        <s v="2019-12"/>
        <s v="2020-01"/>
        <s v="2020-02"/>
        <s v="2020-03"/>
        <s v="2020-04"/>
        <s v="2020-05"/>
        <s v="2020-06"/>
        <s v="2020-07"/>
        <s v="2020-08"/>
        <s v="2020-09"/>
        <s v="2020-10"/>
        <s v="2020-11"/>
        <s v="2020-12"/>
        <s v="2021-01"/>
        <s v="2021-02"/>
        <s v="2021-03"/>
        <s v="2021-04"/>
        <s v="2021-05"/>
        <s v="2021-06"/>
        <s v="2021-07"/>
        <s v="2021-08"/>
        <s v="2021-09"/>
        <s v="2021-10"/>
        <s v="2021-11"/>
        <s v="2021-12"/>
        <s v="2022-01"/>
        <s v="2022-02"/>
        <s v="2022-03"/>
        <s v="2022-04"/>
        <s v="2022-05"/>
        <s v="2022-06"/>
        <s v="2022-07"/>
        <s v="2022-08"/>
        <s v="2022-09"/>
        <s v="2022-10"/>
        <s v="2022-11"/>
        <s v="2022-12"/>
        <s v="2023-01"/>
        <s v="2023-02"/>
        <s v="2023-03"/>
        <s v="2023-04"/>
        <s v="2023-05"/>
        <s v="2023-06"/>
        <s v="2023-07"/>
        <s v="2023-08"/>
        <s v="2023-09"/>
        <s v="2023-10"/>
        <s v="2023-11"/>
        <s v="2023-12"/>
        <s v="2024-01"/>
        <s v="2024-02"/>
        <s v="2024-03"/>
        <s v="2024-04"/>
        <s v="2024-05"/>
        <s v="2024-06"/>
        <s v="2024-07"/>
        <s v="2024-08"/>
        <s v="2024-09"/>
        <s v="2024-10"/>
        <s v="2024-11"/>
        <s v="2024-12"/>
        <s v="2025-01"/>
        <s v="2025-02"/>
        <s v="2025-03"/>
        <s v="2025-04"/>
        <s v="2025-05"/>
        <s v="2025-06"/>
        <s v="2025-07"/>
        <s v="2025-08"/>
        <s v="2025-09"/>
        <s v="2025-10"/>
        <s v="2025-11"/>
        <s v="2025-12"/>
        <s v="2026-01"/>
        <s v="2026-02"/>
        <s v="2026-03"/>
        <s v="2026-04"/>
        <s v="2026-05"/>
        <s v="2026-06"/>
        <s v="2026-07"/>
        <s v="2026-08"/>
        <s v="2026-09"/>
        <s v="2026-10"/>
        <s v="2026-11"/>
        <s v="2026-12"/>
        <s v="2027-01"/>
        <s v="2027-02"/>
        <s v="2027-03"/>
        <s v="2027-04"/>
        <s v="2027-05"/>
        <s v="2027-06"/>
        <s v="2027-07"/>
        <s v="2027-08"/>
        <s v="2027-09"/>
        <s v="2027-10"/>
        <s v="2027-11"/>
        <s v="2027-12"/>
        <s v="2028-01"/>
        <s v="2028-02"/>
        <s v="2028-03"/>
        <s v="2028-04"/>
        <s v="2028-05"/>
        <s v="2028-06"/>
        <s v="2028-07"/>
        <s v="2028-08"/>
        <s v="2028-09"/>
        <s v="2028-10"/>
        <s v="2028-11"/>
        <s v="2028-12"/>
        <s v="2029-01"/>
        <s v="2029-02"/>
        <s v="2029-03"/>
        <s v="2029-04"/>
        <s v="2029-05"/>
        <s v="2029-06"/>
        <s v="2029-07"/>
        <s v="2029-08"/>
        <s v="2029-09"/>
        <s v="2029-10"/>
        <s v="2029-11"/>
        <s v="2029-12"/>
        <s v="2030-01"/>
        <s v="2030-02"/>
        <s v="2030-03"/>
        <s v="2030-04"/>
        <s v="2030-05"/>
        <s v="2030-06"/>
        <s v="2030-07"/>
        <s v="2030-08"/>
        <s v="2030-09"/>
        <s v="2030-10"/>
        <s v="2030-11"/>
        <s v="2030-12"/>
      </sharedItems>
      <extLst>
        <ext xmlns:x15="http://schemas.microsoft.com/office/spreadsheetml/2010/11/main" uri="{4F2E5C28-24EA-4eb8-9CBF-B6C8F9C3D259}">
          <x15:cachedUniqueNames>
            <x15:cachedUniqueName index="0" name="[DimDate].[YearMonth].&amp;[2000-01]"/>
            <x15:cachedUniqueName index="1" name="[DimDate].[YearMonth].&amp;[2000-02]"/>
            <x15:cachedUniqueName index="2" name="[DimDate].[YearMonth].&amp;[2000-03]"/>
            <x15:cachedUniqueName index="3" name="[DimDate].[YearMonth].&amp;[2000-04]"/>
            <x15:cachedUniqueName index="4" name="[DimDate].[YearMonth].&amp;[2000-05]"/>
            <x15:cachedUniqueName index="5" name="[DimDate].[YearMonth].&amp;[2000-06]"/>
            <x15:cachedUniqueName index="6" name="[DimDate].[YearMonth].&amp;[2000-07]"/>
            <x15:cachedUniqueName index="7" name="[DimDate].[YearMonth].&amp;[2000-08]"/>
            <x15:cachedUniqueName index="8" name="[DimDate].[YearMonth].&amp;[2000-09]"/>
            <x15:cachedUniqueName index="9" name="[DimDate].[YearMonth].&amp;[2000-10]"/>
            <x15:cachedUniqueName index="10" name="[DimDate].[YearMonth].&amp;[2000-11]"/>
            <x15:cachedUniqueName index="11" name="[DimDate].[YearMonth].&amp;[2000-12]"/>
            <x15:cachedUniqueName index="12" name="[DimDate].[YearMonth].&amp;[2001-01]"/>
            <x15:cachedUniqueName index="13" name="[DimDate].[YearMonth].&amp;[2001-02]"/>
            <x15:cachedUniqueName index="14" name="[DimDate].[YearMonth].&amp;[2001-03]"/>
            <x15:cachedUniqueName index="15" name="[DimDate].[YearMonth].&amp;[2001-04]"/>
            <x15:cachedUniqueName index="16" name="[DimDate].[YearMonth].&amp;[2001-05]"/>
            <x15:cachedUniqueName index="17" name="[DimDate].[YearMonth].&amp;[2001-06]"/>
            <x15:cachedUniqueName index="18" name="[DimDate].[YearMonth].&amp;[2001-07]"/>
            <x15:cachedUniqueName index="19" name="[DimDate].[YearMonth].&amp;[2001-08]"/>
            <x15:cachedUniqueName index="20" name="[DimDate].[YearMonth].&amp;[2001-09]"/>
            <x15:cachedUniqueName index="21" name="[DimDate].[YearMonth].&amp;[2001-10]"/>
            <x15:cachedUniqueName index="22" name="[DimDate].[YearMonth].&amp;[2001-11]"/>
            <x15:cachedUniqueName index="23" name="[DimDate].[YearMonth].&amp;[2001-12]"/>
            <x15:cachedUniqueName index="24" name="[DimDate].[YearMonth].&amp;[2002-01]"/>
            <x15:cachedUniqueName index="25" name="[DimDate].[YearMonth].&amp;[2002-02]"/>
            <x15:cachedUniqueName index="26" name="[DimDate].[YearMonth].&amp;[2002-03]"/>
            <x15:cachedUniqueName index="27" name="[DimDate].[YearMonth].&amp;[2002-04]"/>
            <x15:cachedUniqueName index="28" name="[DimDate].[YearMonth].&amp;[2002-05]"/>
            <x15:cachedUniqueName index="29" name="[DimDate].[YearMonth].&amp;[2002-06]"/>
            <x15:cachedUniqueName index="30" name="[DimDate].[YearMonth].&amp;[2002-07]"/>
            <x15:cachedUniqueName index="31" name="[DimDate].[YearMonth].&amp;[2002-08]"/>
            <x15:cachedUniqueName index="32" name="[DimDate].[YearMonth].&amp;[2002-09]"/>
            <x15:cachedUniqueName index="33" name="[DimDate].[YearMonth].&amp;[2002-10]"/>
            <x15:cachedUniqueName index="34" name="[DimDate].[YearMonth].&amp;[2002-11]"/>
            <x15:cachedUniqueName index="35" name="[DimDate].[YearMonth].&amp;[2002-12]"/>
            <x15:cachedUniqueName index="36" name="[DimDate].[YearMonth].&amp;[2003-01]"/>
            <x15:cachedUniqueName index="37" name="[DimDate].[YearMonth].&amp;[2003-02]"/>
            <x15:cachedUniqueName index="38" name="[DimDate].[YearMonth].&amp;[2003-03]"/>
            <x15:cachedUniqueName index="39" name="[DimDate].[YearMonth].&amp;[2003-04]"/>
            <x15:cachedUniqueName index="40" name="[DimDate].[YearMonth].&amp;[2003-05]"/>
            <x15:cachedUniqueName index="41" name="[DimDate].[YearMonth].&amp;[2003-06]"/>
            <x15:cachedUniqueName index="42" name="[DimDate].[YearMonth].&amp;[2003-07]"/>
            <x15:cachedUniqueName index="43" name="[DimDate].[YearMonth].&amp;[2003-08]"/>
            <x15:cachedUniqueName index="44" name="[DimDate].[YearMonth].&amp;[2003-09]"/>
            <x15:cachedUniqueName index="45" name="[DimDate].[YearMonth].&amp;[2003-10]"/>
            <x15:cachedUniqueName index="46" name="[DimDate].[YearMonth].&amp;[2003-11]"/>
            <x15:cachedUniqueName index="47" name="[DimDate].[YearMonth].&amp;[2003-12]"/>
            <x15:cachedUniqueName index="48" name="[DimDate].[YearMonth].&amp;[2004-01]"/>
            <x15:cachedUniqueName index="49" name="[DimDate].[YearMonth].&amp;[2004-02]"/>
            <x15:cachedUniqueName index="50" name="[DimDate].[YearMonth].&amp;[2004-03]"/>
            <x15:cachedUniqueName index="51" name="[DimDate].[YearMonth].&amp;[2004-04]"/>
            <x15:cachedUniqueName index="52" name="[DimDate].[YearMonth].&amp;[2004-05]"/>
            <x15:cachedUniqueName index="53" name="[DimDate].[YearMonth].&amp;[2004-06]"/>
            <x15:cachedUniqueName index="54" name="[DimDate].[YearMonth].&amp;[2004-07]"/>
            <x15:cachedUniqueName index="55" name="[DimDate].[YearMonth].&amp;[2004-08]"/>
            <x15:cachedUniqueName index="56" name="[DimDate].[YearMonth].&amp;[2004-09]"/>
            <x15:cachedUniqueName index="57" name="[DimDate].[YearMonth].&amp;[2004-10]"/>
            <x15:cachedUniqueName index="58" name="[DimDate].[YearMonth].&amp;[2004-11]"/>
            <x15:cachedUniqueName index="59" name="[DimDate].[YearMonth].&amp;[2004-12]"/>
            <x15:cachedUniqueName index="60" name="[DimDate].[YearMonth].&amp;[2005-01]"/>
            <x15:cachedUniqueName index="61" name="[DimDate].[YearMonth].&amp;[2005-02]"/>
            <x15:cachedUniqueName index="62" name="[DimDate].[YearMonth].&amp;[2005-03]"/>
            <x15:cachedUniqueName index="63" name="[DimDate].[YearMonth].&amp;[2005-04]"/>
            <x15:cachedUniqueName index="64" name="[DimDate].[YearMonth].&amp;[2005-05]"/>
            <x15:cachedUniqueName index="65" name="[DimDate].[YearMonth].&amp;[2005-06]"/>
            <x15:cachedUniqueName index="66" name="[DimDate].[YearMonth].&amp;[2005-07]"/>
            <x15:cachedUniqueName index="67" name="[DimDate].[YearMonth].&amp;[2005-08]"/>
            <x15:cachedUniqueName index="68" name="[DimDate].[YearMonth].&amp;[2005-09]"/>
            <x15:cachedUniqueName index="69" name="[DimDate].[YearMonth].&amp;[2005-10]"/>
            <x15:cachedUniqueName index="70" name="[DimDate].[YearMonth].&amp;[2005-11]"/>
            <x15:cachedUniqueName index="71" name="[DimDate].[YearMonth].&amp;[2005-12]"/>
            <x15:cachedUniqueName index="72" name="[DimDate].[YearMonth].&amp;[2006-01]"/>
            <x15:cachedUniqueName index="73" name="[DimDate].[YearMonth].&amp;[2006-02]"/>
            <x15:cachedUniqueName index="74" name="[DimDate].[YearMonth].&amp;[2006-03]"/>
            <x15:cachedUniqueName index="75" name="[DimDate].[YearMonth].&amp;[2006-04]"/>
            <x15:cachedUniqueName index="76" name="[DimDate].[YearMonth].&amp;[2006-05]"/>
            <x15:cachedUniqueName index="77" name="[DimDate].[YearMonth].&amp;[2006-06]"/>
            <x15:cachedUniqueName index="78" name="[DimDate].[YearMonth].&amp;[2006-07]"/>
            <x15:cachedUniqueName index="79" name="[DimDate].[YearMonth].&amp;[2006-08]"/>
            <x15:cachedUniqueName index="80" name="[DimDate].[YearMonth].&amp;[2006-09]"/>
            <x15:cachedUniqueName index="81" name="[DimDate].[YearMonth].&amp;[2006-10]"/>
            <x15:cachedUniqueName index="82" name="[DimDate].[YearMonth].&amp;[2006-11]"/>
            <x15:cachedUniqueName index="83" name="[DimDate].[YearMonth].&amp;[2006-12]"/>
            <x15:cachedUniqueName index="84" name="[DimDate].[YearMonth].&amp;[2007-01]"/>
            <x15:cachedUniqueName index="85" name="[DimDate].[YearMonth].&amp;[2007-02]"/>
            <x15:cachedUniqueName index="86" name="[DimDate].[YearMonth].&amp;[2007-03]"/>
            <x15:cachedUniqueName index="87" name="[DimDate].[YearMonth].&amp;[2007-04]"/>
            <x15:cachedUniqueName index="88" name="[DimDate].[YearMonth].&amp;[2007-05]"/>
            <x15:cachedUniqueName index="89" name="[DimDate].[YearMonth].&amp;[2007-06]"/>
            <x15:cachedUniqueName index="90" name="[DimDate].[YearMonth].&amp;[2007-07]"/>
            <x15:cachedUniqueName index="91" name="[DimDate].[YearMonth].&amp;[2007-08]"/>
            <x15:cachedUniqueName index="92" name="[DimDate].[YearMonth].&amp;[2007-09]"/>
            <x15:cachedUniqueName index="93" name="[DimDate].[YearMonth].&amp;[2007-10]"/>
            <x15:cachedUniqueName index="94" name="[DimDate].[YearMonth].&amp;[2007-11]"/>
            <x15:cachedUniqueName index="95" name="[DimDate].[YearMonth].&amp;[2007-12]"/>
            <x15:cachedUniqueName index="96" name="[DimDate].[YearMonth].&amp;[2008-01]"/>
            <x15:cachedUniqueName index="97" name="[DimDate].[YearMonth].&amp;[2008-02]"/>
            <x15:cachedUniqueName index="98" name="[DimDate].[YearMonth].&amp;[2008-03]"/>
            <x15:cachedUniqueName index="99" name="[DimDate].[YearMonth].&amp;[2008-04]"/>
            <x15:cachedUniqueName index="100" name="[DimDate].[YearMonth].&amp;[2008-05]"/>
            <x15:cachedUniqueName index="101" name="[DimDate].[YearMonth].&amp;[2008-06]"/>
            <x15:cachedUniqueName index="102" name="[DimDate].[YearMonth].&amp;[2008-07]"/>
            <x15:cachedUniqueName index="103" name="[DimDate].[YearMonth].&amp;[2008-08]"/>
            <x15:cachedUniqueName index="104" name="[DimDate].[YearMonth].&amp;[2008-09]"/>
            <x15:cachedUniqueName index="105" name="[DimDate].[YearMonth].&amp;[2008-10]"/>
            <x15:cachedUniqueName index="106" name="[DimDate].[YearMonth].&amp;[2008-11]"/>
            <x15:cachedUniqueName index="107" name="[DimDate].[YearMonth].&amp;[2008-12]"/>
            <x15:cachedUniqueName index="108" name="[DimDate].[YearMonth].&amp;[2009-01]"/>
            <x15:cachedUniqueName index="109" name="[DimDate].[YearMonth].&amp;[2009-02]"/>
            <x15:cachedUniqueName index="110" name="[DimDate].[YearMonth].&amp;[2009-03]"/>
            <x15:cachedUniqueName index="111" name="[DimDate].[YearMonth].&amp;[2009-04]"/>
            <x15:cachedUniqueName index="112" name="[DimDate].[YearMonth].&amp;[2009-05]"/>
            <x15:cachedUniqueName index="113" name="[DimDate].[YearMonth].&amp;[2009-06]"/>
            <x15:cachedUniqueName index="114" name="[DimDate].[YearMonth].&amp;[2009-07]"/>
            <x15:cachedUniqueName index="115" name="[DimDate].[YearMonth].&amp;[2009-08]"/>
            <x15:cachedUniqueName index="116" name="[DimDate].[YearMonth].&amp;[2009-09]"/>
            <x15:cachedUniqueName index="117" name="[DimDate].[YearMonth].&amp;[2009-10]"/>
            <x15:cachedUniqueName index="118" name="[DimDate].[YearMonth].&amp;[2009-11]"/>
            <x15:cachedUniqueName index="119" name="[DimDate].[YearMonth].&amp;[2009-12]"/>
            <x15:cachedUniqueName index="120" name="[DimDate].[YearMonth].&amp;[2010-01]"/>
            <x15:cachedUniqueName index="121" name="[DimDate].[YearMonth].&amp;[2010-02]"/>
            <x15:cachedUniqueName index="122" name="[DimDate].[YearMonth].&amp;[2010-03]"/>
            <x15:cachedUniqueName index="123" name="[DimDate].[YearMonth].&amp;[2010-04]"/>
            <x15:cachedUniqueName index="124" name="[DimDate].[YearMonth].&amp;[2010-05]"/>
            <x15:cachedUniqueName index="125" name="[DimDate].[YearMonth].&amp;[2010-06]"/>
            <x15:cachedUniqueName index="126" name="[DimDate].[YearMonth].&amp;[2010-07]"/>
            <x15:cachedUniqueName index="127" name="[DimDate].[YearMonth].&amp;[2010-08]"/>
            <x15:cachedUniqueName index="128" name="[DimDate].[YearMonth].&amp;[2010-09]"/>
            <x15:cachedUniqueName index="129" name="[DimDate].[YearMonth].&amp;[2010-10]"/>
            <x15:cachedUniqueName index="130" name="[DimDate].[YearMonth].&amp;[2010-11]"/>
            <x15:cachedUniqueName index="131" name="[DimDate].[YearMonth].&amp;[2010-12]"/>
            <x15:cachedUniqueName index="132" name="[DimDate].[YearMonth].&amp;[2011-01]"/>
            <x15:cachedUniqueName index="133" name="[DimDate].[YearMonth].&amp;[2011-02]"/>
            <x15:cachedUniqueName index="134" name="[DimDate].[YearMonth].&amp;[2011-03]"/>
            <x15:cachedUniqueName index="135" name="[DimDate].[YearMonth].&amp;[2011-04]"/>
            <x15:cachedUniqueName index="136" name="[DimDate].[YearMonth].&amp;[2011-05]"/>
            <x15:cachedUniqueName index="137" name="[DimDate].[YearMonth].&amp;[2011-06]"/>
            <x15:cachedUniqueName index="138" name="[DimDate].[YearMonth].&amp;[2011-07]"/>
            <x15:cachedUniqueName index="139" name="[DimDate].[YearMonth].&amp;[2011-08]"/>
            <x15:cachedUniqueName index="140" name="[DimDate].[YearMonth].&amp;[2011-09]"/>
            <x15:cachedUniqueName index="141" name="[DimDate].[YearMonth].&amp;[2011-10]"/>
            <x15:cachedUniqueName index="142" name="[DimDate].[YearMonth].&amp;[2011-11]"/>
            <x15:cachedUniqueName index="143" name="[DimDate].[YearMonth].&amp;[2011-12]"/>
            <x15:cachedUniqueName index="144" name="[DimDate].[YearMonth].&amp;[2012-01]"/>
            <x15:cachedUniqueName index="145" name="[DimDate].[YearMonth].&amp;[2012-02]"/>
            <x15:cachedUniqueName index="146" name="[DimDate].[YearMonth].&amp;[2012-03]"/>
            <x15:cachedUniqueName index="147" name="[DimDate].[YearMonth].&amp;[2012-04]"/>
            <x15:cachedUniqueName index="148" name="[DimDate].[YearMonth].&amp;[2012-05]"/>
            <x15:cachedUniqueName index="149" name="[DimDate].[YearMonth].&amp;[2012-06]"/>
            <x15:cachedUniqueName index="150" name="[DimDate].[YearMonth].&amp;[2012-07]"/>
            <x15:cachedUniqueName index="151" name="[DimDate].[YearMonth].&amp;[2012-08]"/>
            <x15:cachedUniqueName index="152" name="[DimDate].[YearMonth].&amp;[2012-09]"/>
            <x15:cachedUniqueName index="153" name="[DimDate].[YearMonth].&amp;[2012-10]"/>
            <x15:cachedUniqueName index="154" name="[DimDate].[YearMonth].&amp;[2012-11]"/>
            <x15:cachedUniqueName index="155" name="[DimDate].[YearMonth].&amp;[2012-12]"/>
            <x15:cachedUniqueName index="156" name="[DimDate].[YearMonth].&amp;[2013-01]"/>
            <x15:cachedUniqueName index="157" name="[DimDate].[YearMonth].&amp;[2013-02]"/>
            <x15:cachedUniqueName index="158" name="[DimDate].[YearMonth].&amp;[2013-03]"/>
            <x15:cachedUniqueName index="159" name="[DimDate].[YearMonth].&amp;[2013-04]"/>
            <x15:cachedUniqueName index="160" name="[DimDate].[YearMonth].&amp;[2013-05]"/>
            <x15:cachedUniqueName index="161" name="[DimDate].[YearMonth].&amp;[2013-06]"/>
            <x15:cachedUniqueName index="162" name="[DimDate].[YearMonth].&amp;[2013-07]"/>
            <x15:cachedUniqueName index="163" name="[DimDate].[YearMonth].&amp;[2013-08]"/>
            <x15:cachedUniqueName index="164" name="[DimDate].[YearMonth].&amp;[2013-09]"/>
            <x15:cachedUniqueName index="165" name="[DimDate].[YearMonth].&amp;[2013-10]"/>
            <x15:cachedUniqueName index="166" name="[DimDate].[YearMonth].&amp;[2013-11]"/>
            <x15:cachedUniqueName index="167" name="[DimDate].[YearMonth].&amp;[2013-12]"/>
            <x15:cachedUniqueName index="168" name="[DimDate].[YearMonth].&amp;[2014-01]"/>
            <x15:cachedUniqueName index="169" name="[DimDate].[YearMonth].&amp;[2014-02]"/>
            <x15:cachedUniqueName index="170" name="[DimDate].[YearMonth].&amp;[2014-03]"/>
            <x15:cachedUniqueName index="171" name="[DimDate].[YearMonth].&amp;[2014-04]"/>
            <x15:cachedUniqueName index="172" name="[DimDate].[YearMonth].&amp;[2014-05]"/>
            <x15:cachedUniqueName index="173" name="[DimDate].[YearMonth].&amp;[2014-06]"/>
            <x15:cachedUniqueName index="174" name="[DimDate].[YearMonth].&amp;[2014-07]"/>
            <x15:cachedUniqueName index="175" name="[DimDate].[YearMonth].&amp;[2014-08]"/>
            <x15:cachedUniqueName index="176" name="[DimDate].[YearMonth].&amp;[2014-09]"/>
            <x15:cachedUniqueName index="177" name="[DimDate].[YearMonth].&amp;[2014-10]"/>
            <x15:cachedUniqueName index="178" name="[DimDate].[YearMonth].&amp;[2014-11]"/>
            <x15:cachedUniqueName index="179" name="[DimDate].[YearMonth].&amp;[2014-12]"/>
            <x15:cachedUniqueName index="180" name="[DimDate].[YearMonth].&amp;[2015-01]"/>
            <x15:cachedUniqueName index="181" name="[DimDate].[YearMonth].&amp;[2015-02]"/>
            <x15:cachedUniqueName index="182" name="[DimDate].[YearMonth].&amp;[2015-03]"/>
            <x15:cachedUniqueName index="183" name="[DimDate].[YearMonth].&amp;[2015-04]"/>
            <x15:cachedUniqueName index="184" name="[DimDate].[YearMonth].&amp;[2015-05]"/>
            <x15:cachedUniqueName index="185" name="[DimDate].[YearMonth].&amp;[2015-06]"/>
            <x15:cachedUniqueName index="186" name="[DimDate].[YearMonth].&amp;[2015-07]"/>
            <x15:cachedUniqueName index="187" name="[DimDate].[YearMonth].&amp;[2015-08]"/>
            <x15:cachedUniqueName index="188" name="[DimDate].[YearMonth].&amp;[2015-09]"/>
            <x15:cachedUniqueName index="189" name="[DimDate].[YearMonth].&amp;[2015-10]"/>
            <x15:cachedUniqueName index="190" name="[DimDate].[YearMonth].&amp;[2015-11]"/>
            <x15:cachedUniqueName index="191" name="[DimDate].[YearMonth].&amp;[2015-12]"/>
            <x15:cachedUniqueName index="192" name="[DimDate].[YearMonth].&amp;[2016-01]"/>
            <x15:cachedUniqueName index="193" name="[DimDate].[YearMonth].&amp;[2016-02]"/>
            <x15:cachedUniqueName index="194" name="[DimDate].[YearMonth].&amp;[2016-03]"/>
            <x15:cachedUniqueName index="195" name="[DimDate].[YearMonth].&amp;[2016-04]"/>
            <x15:cachedUniqueName index="196" name="[DimDate].[YearMonth].&amp;[2016-05]"/>
            <x15:cachedUniqueName index="197" name="[DimDate].[YearMonth].&amp;[2016-06]"/>
            <x15:cachedUniqueName index="198" name="[DimDate].[YearMonth].&amp;[2016-07]"/>
            <x15:cachedUniqueName index="199" name="[DimDate].[YearMonth].&amp;[2016-08]"/>
            <x15:cachedUniqueName index="200" name="[DimDate].[YearMonth].&amp;[2016-09]"/>
            <x15:cachedUniqueName index="201" name="[DimDate].[YearMonth].&amp;[2016-10]"/>
            <x15:cachedUniqueName index="202" name="[DimDate].[YearMonth].&amp;[2016-11]"/>
            <x15:cachedUniqueName index="203" name="[DimDate].[YearMonth].&amp;[2016-12]"/>
            <x15:cachedUniqueName index="204" name="[DimDate].[YearMonth].&amp;[2017-01]"/>
            <x15:cachedUniqueName index="205" name="[DimDate].[YearMonth].&amp;[2017-02]"/>
            <x15:cachedUniqueName index="206" name="[DimDate].[YearMonth].&amp;[2017-03]"/>
            <x15:cachedUniqueName index="207" name="[DimDate].[YearMonth].&amp;[2017-04]"/>
            <x15:cachedUniqueName index="208" name="[DimDate].[YearMonth].&amp;[2017-05]"/>
            <x15:cachedUniqueName index="209" name="[DimDate].[YearMonth].&amp;[2017-06]"/>
            <x15:cachedUniqueName index="210" name="[DimDate].[YearMonth].&amp;[2017-07]"/>
            <x15:cachedUniqueName index="211" name="[DimDate].[YearMonth].&amp;[2017-08]"/>
            <x15:cachedUniqueName index="212" name="[DimDate].[YearMonth].&amp;[2017-09]"/>
            <x15:cachedUniqueName index="213" name="[DimDate].[YearMonth].&amp;[2017-10]"/>
            <x15:cachedUniqueName index="214" name="[DimDate].[YearMonth].&amp;[2017-11]"/>
            <x15:cachedUniqueName index="215" name="[DimDate].[YearMonth].&amp;[2017-12]"/>
            <x15:cachedUniqueName index="216" name="[DimDate].[YearMonth].&amp;[2018-01]"/>
            <x15:cachedUniqueName index="217" name="[DimDate].[YearMonth].&amp;[2018-02]"/>
            <x15:cachedUniqueName index="218" name="[DimDate].[YearMonth].&amp;[2018-03]"/>
            <x15:cachedUniqueName index="219" name="[DimDate].[YearMonth].&amp;[2018-04]"/>
            <x15:cachedUniqueName index="220" name="[DimDate].[YearMonth].&amp;[2018-05]"/>
            <x15:cachedUniqueName index="221" name="[DimDate].[YearMonth].&amp;[2018-06]"/>
            <x15:cachedUniqueName index="222" name="[DimDate].[YearMonth].&amp;[2018-07]"/>
            <x15:cachedUniqueName index="223" name="[DimDate].[YearMonth].&amp;[2018-08]"/>
            <x15:cachedUniqueName index="224" name="[DimDate].[YearMonth].&amp;[2018-09]"/>
            <x15:cachedUniqueName index="225" name="[DimDate].[YearMonth].&amp;[2018-10]"/>
            <x15:cachedUniqueName index="226" name="[DimDate].[YearMonth].&amp;[2018-11]"/>
            <x15:cachedUniqueName index="227" name="[DimDate].[YearMonth].&amp;[2018-12]"/>
            <x15:cachedUniqueName index="228" name="[DimDate].[YearMonth].&amp;[2019-01]"/>
            <x15:cachedUniqueName index="229" name="[DimDate].[YearMonth].&amp;[2019-02]"/>
            <x15:cachedUniqueName index="230" name="[DimDate].[YearMonth].&amp;[2019-03]"/>
            <x15:cachedUniqueName index="231" name="[DimDate].[YearMonth].&amp;[2019-04]"/>
            <x15:cachedUniqueName index="232" name="[DimDate].[YearMonth].&amp;[2019-05]"/>
            <x15:cachedUniqueName index="233" name="[DimDate].[YearMonth].&amp;[2019-06]"/>
            <x15:cachedUniqueName index="234" name="[DimDate].[YearMonth].&amp;[2019-07]"/>
            <x15:cachedUniqueName index="235" name="[DimDate].[YearMonth].&amp;[2019-08]"/>
            <x15:cachedUniqueName index="236" name="[DimDate].[YearMonth].&amp;[2019-09]"/>
            <x15:cachedUniqueName index="237" name="[DimDate].[YearMonth].&amp;[2019-10]"/>
            <x15:cachedUniqueName index="238" name="[DimDate].[YearMonth].&amp;[2019-11]"/>
            <x15:cachedUniqueName index="239" name="[DimDate].[YearMonth].&amp;[2019-12]"/>
            <x15:cachedUniqueName index="240" name="[DimDate].[YearMonth].&amp;[2020-01]"/>
            <x15:cachedUniqueName index="241" name="[DimDate].[YearMonth].&amp;[2020-02]"/>
            <x15:cachedUniqueName index="242" name="[DimDate].[YearMonth].&amp;[2020-03]"/>
            <x15:cachedUniqueName index="243" name="[DimDate].[YearMonth].&amp;[2020-04]"/>
            <x15:cachedUniqueName index="244" name="[DimDate].[YearMonth].&amp;[2020-05]"/>
            <x15:cachedUniqueName index="245" name="[DimDate].[YearMonth].&amp;[2020-06]"/>
            <x15:cachedUniqueName index="246" name="[DimDate].[YearMonth].&amp;[2020-07]"/>
            <x15:cachedUniqueName index="247" name="[DimDate].[YearMonth].&amp;[2020-08]"/>
            <x15:cachedUniqueName index="248" name="[DimDate].[YearMonth].&amp;[2020-09]"/>
            <x15:cachedUniqueName index="249" name="[DimDate].[YearMonth].&amp;[2020-10]"/>
            <x15:cachedUniqueName index="250" name="[DimDate].[YearMonth].&amp;[2020-11]"/>
            <x15:cachedUniqueName index="251" name="[DimDate].[YearMonth].&amp;[2020-12]"/>
            <x15:cachedUniqueName index="252" name="[DimDate].[YearMonth].&amp;[2021-01]"/>
            <x15:cachedUniqueName index="253" name="[DimDate].[YearMonth].&amp;[2021-02]"/>
            <x15:cachedUniqueName index="254" name="[DimDate].[YearMonth].&amp;[2021-03]"/>
            <x15:cachedUniqueName index="255" name="[DimDate].[YearMonth].&amp;[2021-04]"/>
            <x15:cachedUniqueName index="256" name="[DimDate].[YearMonth].&amp;[2021-05]"/>
            <x15:cachedUniqueName index="257" name="[DimDate].[YearMonth].&amp;[2021-06]"/>
            <x15:cachedUniqueName index="258" name="[DimDate].[YearMonth].&amp;[2021-07]"/>
            <x15:cachedUniqueName index="259" name="[DimDate].[YearMonth].&amp;[2021-08]"/>
            <x15:cachedUniqueName index="260" name="[DimDate].[YearMonth].&amp;[2021-09]"/>
            <x15:cachedUniqueName index="261" name="[DimDate].[YearMonth].&amp;[2021-10]"/>
            <x15:cachedUniqueName index="262" name="[DimDate].[YearMonth].&amp;[2021-11]"/>
            <x15:cachedUniqueName index="263" name="[DimDate].[YearMonth].&amp;[2021-12]"/>
            <x15:cachedUniqueName index="264" name="[DimDate].[YearMonth].&amp;[2022-01]"/>
            <x15:cachedUniqueName index="265" name="[DimDate].[YearMonth].&amp;[2022-02]"/>
            <x15:cachedUniqueName index="266" name="[DimDate].[YearMonth].&amp;[2022-03]"/>
            <x15:cachedUniqueName index="267" name="[DimDate].[YearMonth].&amp;[2022-04]"/>
            <x15:cachedUniqueName index="268" name="[DimDate].[YearMonth].&amp;[2022-05]"/>
            <x15:cachedUniqueName index="269" name="[DimDate].[YearMonth].&amp;[2022-06]"/>
            <x15:cachedUniqueName index="270" name="[DimDate].[YearMonth].&amp;[2022-07]"/>
            <x15:cachedUniqueName index="271" name="[DimDate].[YearMonth].&amp;[2022-08]"/>
            <x15:cachedUniqueName index="272" name="[DimDate].[YearMonth].&amp;[2022-09]"/>
            <x15:cachedUniqueName index="273" name="[DimDate].[YearMonth].&amp;[2022-10]"/>
            <x15:cachedUniqueName index="274" name="[DimDate].[YearMonth].&amp;[2022-11]"/>
            <x15:cachedUniqueName index="275" name="[DimDate].[YearMonth].&amp;[2022-12]"/>
            <x15:cachedUniqueName index="276" name="[DimDate].[YearMonth].&amp;[2023-01]"/>
            <x15:cachedUniqueName index="277" name="[DimDate].[YearMonth].&amp;[2023-02]"/>
            <x15:cachedUniqueName index="278" name="[DimDate].[YearMonth].&amp;[2023-03]"/>
            <x15:cachedUniqueName index="279" name="[DimDate].[YearMonth].&amp;[2023-04]"/>
            <x15:cachedUniqueName index="280" name="[DimDate].[YearMonth].&amp;[2023-05]"/>
            <x15:cachedUniqueName index="281" name="[DimDate].[YearMonth].&amp;[2023-06]"/>
            <x15:cachedUniqueName index="282" name="[DimDate].[YearMonth].&amp;[2023-07]"/>
            <x15:cachedUniqueName index="283" name="[DimDate].[YearMonth].&amp;[2023-08]"/>
            <x15:cachedUniqueName index="284" name="[DimDate].[YearMonth].&amp;[2023-09]"/>
            <x15:cachedUniqueName index="285" name="[DimDate].[YearMonth].&amp;[2023-10]"/>
            <x15:cachedUniqueName index="286" name="[DimDate].[YearMonth].&amp;[2023-11]"/>
            <x15:cachedUniqueName index="287" name="[DimDate].[YearMonth].&amp;[2023-12]"/>
            <x15:cachedUniqueName index="288" name="[DimDate].[YearMonth].&amp;[2024-01]"/>
            <x15:cachedUniqueName index="289" name="[DimDate].[YearMonth].&amp;[2024-02]"/>
            <x15:cachedUniqueName index="290" name="[DimDate].[YearMonth].&amp;[2024-03]"/>
            <x15:cachedUniqueName index="291" name="[DimDate].[YearMonth].&amp;[2024-04]"/>
            <x15:cachedUniqueName index="292" name="[DimDate].[YearMonth].&amp;[2024-05]"/>
            <x15:cachedUniqueName index="293" name="[DimDate].[YearMonth].&amp;[2024-06]"/>
            <x15:cachedUniqueName index="294" name="[DimDate].[YearMonth].&amp;[2024-07]"/>
            <x15:cachedUniqueName index="295" name="[DimDate].[YearMonth].&amp;[2024-08]"/>
            <x15:cachedUniqueName index="296" name="[DimDate].[YearMonth].&amp;[2024-09]"/>
            <x15:cachedUniqueName index="297" name="[DimDate].[YearMonth].&amp;[2024-10]"/>
            <x15:cachedUniqueName index="298" name="[DimDate].[YearMonth].&amp;[2024-11]"/>
            <x15:cachedUniqueName index="299" name="[DimDate].[YearMonth].&amp;[2024-12]"/>
            <x15:cachedUniqueName index="300" name="[DimDate].[YearMonth].&amp;[2025-01]"/>
            <x15:cachedUniqueName index="301" name="[DimDate].[YearMonth].&amp;[2025-02]"/>
            <x15:cachedUniqueName index="302" name="[DimDate].[YearMonth].&amp;[2025-03]"/>
            <x15:cachedUniqueName index="303" name="[DimDate].[YearMonth].&amp;[2025-04]"/>
            <x15:cachedUniqueName index="304" name="[DimDate].[YearMonth].&amp;[2025-05]"/>
            <x15:cachedUniqueName index="305" name="[DimDate].[YearMonth].&amp;[2025-06]"/>
            <x15:cachedUniqueName index="306" name="[DimDate].[YearMonth].&amp;[2025-07]"/>
            <x15:cachedUniqueName index="307" name="[DimDate].[YearMonth].&amp;[2025-08]"/>
            <x15:cachedUniqueName index="308" name="[DimDate].[YearMonth].&amp;[2025-09]"/>
            <x15:cachedUniqueName index="309" name="[DimDate].[YearMonth].&amp;[2025-10]"/>
            <x15:cachedUniqueName index="310" name="[DimDate].[YearMonth].&amp;[2025-11]"/>
            <x15:cachedUniqueName index="311" name="[DimDate].[YearMonth].&amp;[2025-12]"/>
            <x15:cachedUniqueName index="312" name="[DimDate].[YearMonth].&amp;[2026-01]"/>
            <x15:cachedUniqueName index="313" name="[DimDate].[YearMonth].&amp;[2026-02]"/>
            <x15:cachedUniqueName index="314" name="[DimDate].[YearMonth].&amp;[2026-03]"/>
            <x15:cachedUniqueName index="315" name="[DimDate].[YearMonth].&amp;[2026-04]"/>
            <x15:cachedUniqueName index="316" name="[DimDate].[YearMonth].&amp;[2026-05]"/>
            <x15:cachedUniqueName index="317" name="[DimDate].[YearMonth].&amp;[2026-06]"/>
            <x15:cachedUniqueName index="318" name="[DimDate].[YearMonth].&amp;[2026-07]"/>
            <x15:cachedUniqueName index="319" name="[DimDate].[YearMonth].&amp;[2026-08]"/>
            <x15:cachedUniqueName index="320" name="[DimDate].[YearMonth].&amp;[2026-09]"/>
            <x15:cachedUniqueName index="321" name="[DimDate].[YearMonth].&amp;[2026-10]"/>
            <x15:cachedUniqueName index="322" name="[DimDate].[YearMonth].&amp;[2026-11]"/>
            <x15:cachedUniqueName index="323" name="[DimDate].[YearMonth].&amp;[2026-12]"/>
            <x15:cachedUniqueName index="324" name="[DimDate].[YearMonth].&amp;[2027-01]"/>
            <x15:cachedUniqueName index="325" name="[DimDate].[YearMonth].&amp;[2027-02]"/>
            <x15:cachedUniqueName index="326" name="[DimDate].[YearMonth].&amp;[2027-03]"/>
            <x15:cachedUniqueName index="327" name="[DimDate].[YearMonth].&amp;[2027-04]"/>
            <x15:cachedUniqueName index="328" name="[DimDate].[YearMonth].&amp;[2027-05]"/>
            <x15:cachedUniqueName index="329" name="[DimDate].[YearMonth].&amp;[2027-06]"/>
            <x15:cachedUniqueName index="330" name="[DimDate].[YearMonth].&amp;[2027-07]"/>
            <x15:cachedUniqueName index="331" name="[DimDate].[YearMonth].&amp;[2027-08]"/>
            <x15:cachedUniqueName index="332" name="[DimDate].[YearMonth].&amp;[2027-09]"/>
            <x15:cachedUniqueName index="333" name="[DimDate].[YearMonth].&amp;[2027-10]"/>
            <x15:cachedUniqueName index="334" name="[DimDate].[YearMonth].&amp;[2027-11]"/>
            <x15:cachedUniqueName index="335" name="[DimDate].[YearMonth].&amp;[2027-12]"/>
            <x15:cachedUniqueName index="336" name="[DimDate].[YearMonth].&amp;[2028-01]"/>
            <x15:cachedUniqueName index="337" name="[DimDate].[YearMonth].&amp;[2028-02]"/>
            <x15:cachedUniqueName index="338" name="[DimDate].[YearMonth].&amp;[2028-03]"/>
            <x15:cachedUniqueName index="339" name="[DimDate].[YearMonth].&amp;[2028-04]"/>
            <x15:cachedUniqueName index="340" name="[DimDate].[YearMonth].&amp;[2028-05]"/>
            <x15:cachedUniqueName index="341" name="[DimDate].[YearMonth].&amp;[2028-06]"/>
            <x15:cachedUniqueName index="342" name="[DimDate].[YearMonth].&amp;[2028-07]"/>
            <x15:cachedUniqueName index="343" name="[DimDate].[YearMonth].&amp;[2028-08]"/>
            <x15:cachedUniqueName index="344" name="[DimDate].[YearMonth].&amp;[2028-09]"/>
            <x15:cachedUniqueName index="345" name="[DimDate].[YearMonth].&amp;[2028-10]"/>
            <x15:cachedUniqueName index="346" name="[DimDate].[YearMonth].&amp;[2028-11]"/>
            <x15:cachedUniqueName index="347" name="[DimDate].[YearMonth].&amp;[2028-12]"/>
            <x15:cachedUniqueName index="348" name="[DimDate].[YearMonth].&amp;[2029-01]"/>
            <x15:cachedUniqueName index="349" name="[DimDate].[YearMonth].&amp;[2029-02]"/>
            <x15:cachedUniqueName index="350" name="[DimDate].[YearMonth].&amp;[2029-03]"/>
            <x15:cachedUniqueName index="351" name="[DimDate].[YearMonth].&amp;[2029-04]"/>
            <x15:cachedUniqueName index="352" name="[DimDate].[YearMonth].&amp;[2029-05]"/>
            <x15:cachedUniqueName index="353" name="[DimDate].[YearMonth].&amp;[2029-06]"/>
            <x15:cachedUniqueName index="354" name="[DimDate].[YearMonth].&amp;[2029-07]"/>
            <x15:cachedUniqueName index="355" name="[DimDate].[YearMonth].&amp;[2029-08]"/>
            <x15:cachedUniqueName index="356" name="[DimDate].[YearMonth].&amp;[2029-09]"/>
            <x15:cachedUniqueName index="357" name="[DimDate].[YearMonth].&amp;[2029-10]"/>
            <x15:cachedUniqueName index="358" name="[DimDate].[YearMonth].&amp;[2029-11]"/>
            <x15:cachedUniqueName index="359" name="[DimDate].[YearMonth].&amp;[2029-12]"/>
            <x15:cachedUniqueName index="360" name="[DimDate].[YearMonth].&amp;[2030-01]"/>
            <x15:cachedUniqueName index="361" name="[DimDate].[YearMonth].&amp;[2030-02]"/>
            <x15:cachedUniqueName index="362" name="[DimDate].[YearMonth].&amp;[2030-03]"/>
            <x15:cachedUniqueName index="363" name="[DimDate].[YearMonth].&amp;[2030-04]"/>
            <x15:cachedUniqueName index="364" name="[DimDate].[YearMonth].&amp;[2030-05]"/>
            <x15:cachedUniqueName index="365" name="[DimDate].[YearMonth].&amp;[2030-06]"/>
            <x15:cachedUniqueName index="366" name="[DimDate].[YearMonth].&amp;[2030-07]"/>
            <x15:cachedUniqueName index="367" name="[DimDate].[YearMonth].&amp;[2030-08]"/>
            <x15:cachedUniqueName index="368" name="[DimDate].[YearMonth].&amp;[2030-09]"/>
            <x15:cachedUniqueName index="369" name="[DimDate].[YearMonth].&amp;[2030-10]"/>
            <x15:cachedUniqueName index="370" name="[DimDate].[YearMonth].&amp;[2030-11]"/>
            <x15:cachedUniqueName index="371" name="[DimDate].[YearMonth].&amp;[2030-12]"/>
          </x15:cachedUniqueNames>
        </ext>
      </extLst>
    </cacheField>
    <cacheField name="[Measures].[Lag Loss to Notification Lines]" caption="Lag Loss to Notification Lines" numFmtId="0" hierarchy="247" level="32767"/>
    <cacheField name="[Measures].[Lag Loss to Notification Mean]" caption="Lag Loss to Notification Mean" numFmtId="0" hierarchy="256" level="32767"/>
    <cacheField name="[Measures].[Lag Loss to Notification P50]" caption="Lag Loss to Notification P50" numFmtId="0" hierarchy="257" level="32767"/>
    <cacheField name="[Measures].[Lag Loss to Notification P75]" caption="Lag Loss to Notification P75" numFmtId="0" hierarchy="258" level="32767"/>
    <cacheField name="[Measures].[Lag Loss to Notification P90]" caption="Lag Loss to Notification P90" numFmtId="0" hierarchy="259" level="32767"/>
    <cacheField name="[Measures].[Lag Loss to Notification P95]" caption="Lag Loss to Notification P95" numFmtId="0" hierarchy="260" level="32767"/>
    <cacheField name="[Measures].[Lag Notification to Documents Lines]" caption="Lag Notification to Documents Lines" numFmtId="0" hierarchy="248" level="32767"/>
    <cacheField name="[Measures].[Lag Notification to Documents Mean]" caption="Lag Notification to Documents Mean" numFmtId="0" hierarchy="264" level="32767"/>
    <cacheField name="[Measures].[Lag Notification to Documents P50]" caption="Lag Notification to Documents P50" numFmtId="0" hierarchy="265" level="32767"/>
    <cacheField name="[Measures].[Lag Notification to Documents P75]" caption="Lag Notification to Documents P75" numFmtId="0" hierarchy="266" level="32767"/>
    <cacheField name="[Measures].[Lag Notification to Documents P90]" caption="Lag Notification to Documents P90" numFmtId="0" hierarchy="267" level="32767"/>
    <cacheField name="[Measures].[Lag Notification to Documents P95]" caption="Lag Notification to Documents P95" numFmtId="0" hierarchy="268" level="32767"/>
    <cacheField name="[Measures].[Lag Documents to Decision Lines]" caption="Lag Documents to Decision Lines" numFmtId="0" hierarchy="249" level="32767"/>
    <cacheField name="[Measures].[Lag Documents to Decision Mean]" caption="Lag Documents to Decision Mean" numFmtId="0" hierarchy="272" level="32767"/>
    <cacheField name="[Measures].[Lag Documents to Decision P50]" caption="Lag Documents to Decision P50" numFmtId="0" hierarchy="273" level="32767"/>
    <cacheField name="[Measures].[Lag Documents to Decision P75]" caption="Lag Documents to Decision P75" numFmtId="0" hierarchy="274" level="32767"/>
    <cacheField name="[Measures].[Lag Documents to Decision P90]" caption="Lag Documents to Decision P90" numFmtId="0" hierarchy="275" level="32767"/>
    <cacheField name="[Measures].[Lag Documents to Decision P95]" caption="Lag Documents to Decision P95" numFmtId="0" hierarchy="276" level="32767"/>
    <cacheField name="[Measures].[Lag Decision to Payment Lines]" caption="Lag Decision to Payment Lines" numFmtId="0" hierarchy="250" level="32767"/>
    <cacheField name="[Measures].[Lag Decision to Payment Mean]" caption="Lag Decision to Payment Mean" numFmtId="0" hierarchy="280" level="32767"/>
    <cacheField name="[Measures].[Lag Decision to Payment P50]" caption="Lag Decision to Payment P50" numFmtId="0" hierarchy="281" level="32767"/>
    <cacheField name="[Measures].[Lag Decision to Payment P75]" caption="Lag Decision to Payment P75" numFmtId="0" hierarchy="282" level="32767"/>
    <cacheField name="[Measures].[Lag Decision to Payment P90]" caption="Lag Decision to Payment P90" numFmtId="0" hierarchy="283" level="32767"/>
    <cacheField name="[Measures].[Lag Decision to Payment P95]" caption="Lag Decision to Payment P95" numFmtId="0" hierarchy="284" level="32767"/>
    <cacheField name="[Measures].[Lag Notification to Payment Lines]" caption="Lag Notification to Payment Lines" numFmtId="0" hierarchy="251" level="32767"/>
    <cacheField name="[Measures].[Lag Notification to Payment Mean]" caption="Lag Notification to Payment Mean" numFmtId="0" hierarchy="288" level="32767"/>
    <cacheField name="[Measures].[Lag Notification to Payment P50]" caption="Lag Notification to Payment P50" numFmtId="0" hierarchy="289" level="32767"/>
    <cacheField name="[Measures].[Lag Notification to Payment P75]" caption="Lag Notification to Payment P75" numFmtId="0" hierarchy="290" level="32767"/>
    <cacheField name="[Measures].[Lag Notification to Payment P90]" caption="Lag Notification to Payment P90" numFmtId="0" hierarchy="291" level="32767"/>
    <cacheField name="[Measures].[Lag Notification to Payment P95]" caption="Lag Notification to Payment P95" numFmtId="0" hierarchy="292" level="32767"/>
    <cacheField name="[Measures].[Lag Loss to Payment Lines]" caption="Lag Loss to Payment Lines" numFmtId="0" hierarchy="252" level="32767"/>
    <cacheField name="[Measures].[Lag Loss to Payment Mean]" caption="Lag Loss to Payment Mean" numFmtId="0" hierarchy="296" level="32767"/>
    <cacheField name="[Measures].[Lag Loss to Payment P50]" caption="Lag Loss to Payment P50" numFmtId="0" hierarchy="297" level="32767"/>
    <cacheField name="[Measures].[Lag Loss to Payment P75]" caption="Lag Loss to Payment P75" numFmtId="0" hierarchy="298" level="32767"/>
    <cacheField name="[Measures].[Lag Loss to Payment P90]" caption="Lag Loss to Payment P90" numFmtId="0" hierarchy="299" level="32767"/>
    <cacheField name="[Measures].[Lag Loss to Payment P95]" caption="Lag Loss to Payment P95" numFmtId="0" hierarchy="300" level="32767"/>
    <cacheField name="[Measures].[SLA Breach Share Decision to Payment]" caption="SLA Breach Share Decision to Payment" numFmtId="0" hierarchy="305" level="32767"/>
    <cacheField name="[Measures].[SLA Breach Share End to End]" caption="SLA Breach Share End to End" numFmtId="0" hierarchy="307" level="32767"/>
    <cacheField name="[DimDate].[MonthsFromActive].[MonthsFromActive]" caption="MonthsFromActive" numFmtId="0" hierarchy="55"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1"/>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40"/>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oneField="1">
      <fieldsUsage count="1">
        <fieldUsage x="2"/>
      </fieldsUsage>
    </cacheHierarchy>
    <cacheHierarchy uniqueName="[Measures].[Lag Notification to Documents Lines]" caption="Lag Notification to Documents Lines" measure="1" displayFolder="" measureGroup="FactPayment" count="0" oneField="1">
      <fieldsUsage count="1">
        <fieldUsage x="8"/>
      </fieldsUsage>
    </cacheHierarchy>
    <cacheHierarchy uniqueName="[Measures].[Lag Documents to Decision Lines]" caption="Lag Documents to Decision Lines" measure="1" displayFolder="" measureGroup="FactPayment" count="0" oneField="1">
      <fieldsUsage count="1">
        <fieldUsage x="14"/>
      </fieldsUsage>
    </cacheHierarchy>
    <cacheHierarchy uniqueName="[Measures].[Lag Decision to Payment Lines]" caption="Lag Decision to Payment Lines" measure="1" displayFolder="" measureGroup="FactPayment" count="0" oneField="1">
      <fieldsUsage count="1">
        <fieldUsage x="20"/>
      </fieldsUsage>
    </cacheHierarchy>
    <cacheHierarchy uniqueName="[Measures].[Lag Notification to Payment Lines]" caption="Lag Notification to Payment Lines" measure="1" displayFolder="" measureGroup="FactPayment" count="0" oneField="1">
      <fieldsUsage count="1">
        <fieldUsage x="26"/>
      </fieldsUsage>
    </cacheHierarchy>
    <cacheHierarchy uniqueName="[Measures].[Lag Loss to Payment Lines]" caption="Lag Loss to Payment Lines" measure="1" displayFolder="" measureGroup="FactPayment" count="0" oneField="1">
      <fieldsUsage count="1">
        <fieldUsage x="32"/>
      </fieldsUsage>
    </cacheHierarchy>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oneField="1">
      <fieldsUsage count="1">
        <fieldUsage x="3"/>
      </fieldsUsage>
    </cacheHierarchy>
    <cacheHierarchy uniqueName="[Measures].[Lag Loss to Notification P50]" caption="Lag Loss to Notification P50" measure="1" displayFolder="" measureGroup="FactPayment" count="0" oneField="1">
      <fieldsUsage count="1">
        <fieldUsage x="4"/>
      </fieldsUsage>
    </cacheHierarchy>
    <cacheHierarchy uniqueName="[Measures].[Lag Loss to Notification P75]" caption="Lag Loss to Notification P75" measure="1" displayFolder="" measureGroup="FactPayment" count="0" oneField="1">
      <fieldsUsage count="1">
        <fieldUsage x="5"/>
      </fieldsUsage>
    </cacheHierarchy>
    <cacheHierarchy uniqueName="[Measures].[Lag Loss to Notification P90]" caption="Lag Loss to Notification P90" measure="1" displayFolder="" measureGroup="FactPayment" count="0" oneField="1">
      <fieldsUsage count="1">
        <fieldUsage x="6"/>
      </fieldsUsage>
    </cacheHierarchy>
    <cacheHierarchy uniqueName="[Measures].[Lag Loss to Notification P95]" caption="Lag Loss to Notification P95" measure="1" displayFolder="" measureGroup="FactPayment" count="0" oneField="1">
      <fieldsUsage count="1">
        <fieldUsage x="7"/>
      </fieldsUsage>
    </cacheHierarchy>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oneField="1">
      <fieldsUsage count="1">
        <fieldUsage x="9"/>
      </fieldsUsage>
    </cacheHierarchy>
    <cacheHierarchy uniqueName="[Measures].[Lag Notification to Documents P50]" caption="Lag Notification to Documents P50" measure="1" displayFolder="" measureGroup="FactPayment" count="0" oneField="1">
      <fieldsUsage count="1">
        <fieldUsage x="10"/>
      </fieldsUsage>
    </cacheHierarchy>
    <cacheHierarchy uniqueName="[Measures].[Lag Notification to Documents P75]" caption="Lag Notification to Documents P75" measure="1" displayFolder="" measureGroup="FactPayment" count="0" oneField="1">
      <fieldsUsage count="1">
        <fieldUsage x="11"/>
      </fieldsUsage>
    </cacheHierarchy>
    <cacheHierarchy uniqueName="[Measures].[Lag Notification to Documents P90]" caption="Lag Notification to Documents P90" measure="1" displayFolder="" measureGroup="FactPayment" count="0" oneField="1">
      <fieldsUsage count="1">
        <fieldUsage x="12"/>
      </fieldsUsage>
    </cacheHierarchy>
    <cacheHierarchy uniqueName="[Measures].[Lag Notification to Documents P95]" caption="Lag Notification to Documents P95" measure="1" displayFolder="" measureGroup="FactPayment" count="0" oneField="1">
      <fieldsUsage count="1">
        <fieldUsage x="13"/>
      </fieldsUsage>
    </cacheHierarchy>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oneField="1">
      <fieldsUsage count="1">
        <fieldUsage x="15"/>
      </fieldsUsage>
    </cacheHierarchy>
    <cacheHierarchy uniqueName="[Measures].[Lag Documents to Decision P50]" caption="Lag Documents to Decision P50" measure="1" displayFolder="" measureGroup="FactPayment" count="0" oneField="1">
      <fieldsUsage count="1">
        <fieldUsage x="16"/>
      </fieldsUsage>
    </cacheHierarchy>
    <cacheHierarchy uniqueName="[Measures].[Lag Documents to Decision P75]" caption="Lag Documents to Decision P75" measure="1" displayFolder="" measureGroup="FactPayment" count="0" oneField="1">
      <fieldsUsage count="1">
        <fieldUsage x="17"/>
      </fieldsUsage>
    </cacheHierarchy>
    <cacheHierarchy uniqueName="[Measures].[Lag Documents to Decision P90]" caption="Lag Documents to Decision P90" measure="1" displayFolder="" measureGroup="FactPayment" count="0" oneField="1">
      <fieldsUsage count="1">
        <fieldUsage x="18"/>
      </fieldsUsage>
    </cacheHierarchy>
    <cacheHierarchy uniqueName="[Measures].[Lag Documents to Decision P95]" caption="Lag Documents to Decision P95" measure="1" displayFolder="" measureGroup="FactPayment" count="0" oneField="1">
      <fieldsUsage count="1">
        <fieldUsage x="19"/>
      </fieldsUsage>
    </cacheHierarchy>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oneField="1">
      <fieldsUsage count="1">
        <fieldUsage x="21"/>
      </fieldsUsage>
    </cacheHierarchy>
    <cacheHierarchy uniqueName="[Measures].[Lag Decision to Payment P50]" caption="Lag Decision to Payment P50" measure="1" displayFolder="" measureGroup="FactPayment" count="0" oneField="1">
      <fieldsUsage count="1">
        <fieldUsage x="22"/>
      </fieldsUsage>
    </cacheHierarchy>
    <cacheHierarchy uniqueName="[Measures].[Lag Decision to Payment P75]" caption="Lag Decision to Payment P75" measure="1" displayFolder="" measureGroup="FactPayment" count="0" oneField="1">
      <fieldsUsage count="1">
        <fieldUsage x="23"/>
      </fieldsUsage>
    </cacheHierarchy>
    <cacheHierarchy uniqueName="[Measures].[Lag Decision to Payment P90]" caption="Lag Decision to Payment P90" measure="1" displayFolder="" measureGroup="FactPayment" count="0" oneField="1">
      <fieldsUsage count="1">
        <fieldUsage x="24"/>
      </fieldsUsage>
    </cacheHierarchy>
    <cacheHierarchy uniqueName="[Measures].[Lag Decision to Payment P95]" caption="Lag Decision to Payment P95" measure="1" displayFolder="" measureGroup="FactPayment" count="0" oneField="1">
      <fieldsUsage count="1">
        <fieldUsage x="25"/>
      </fieldsUsage>
    </cacheHierarchy>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oneField="1">
      <fieldsUsage count="1">
        <fieldUsage x="27"/>
      </fieldsUsage>
    </cacheHierarchy>
    <cacheHierarchy uniqueName="[Measures].[Lag Notification to Payment P50]" caption="Lag Notification to Payment P50" measure="1" displayFolder="" measureGroup="FactPayment" count="0" oneField="1">
      <fieldsUsage count="1">
        <fieldUsage x="28"/>
      </fieldsUsage>
    </cacheHierarchy>
    <cacheHierarchy uniqueName="[Measures].[Lag Notification to Payment P75]" caption="Lag Notification to Payment P75" measure="1" displayFolder="" measureGroup="FactPayment" count="0" oneField="1">
      <fieldsUsage count="1">
        <fieldUsage x="29"/>
      </fieldsUsage>
    </cacheHierarchy>
    <cacheHierarchy uniqueName="[Measures].[Lag Notification to Payment P90]" caption="Lag Notification to Payment P90" measure="1" displayFolder="" measureGroup="FactPayment" count="0" oneField="1">
      <fieldsUsage count="1">
        <fieldUsage x="30"/>
      </fieldsUsage>
    </cacheHierarchy>
    <cacheHierarchy uniqueName="[Measures].[Lag Notification to Payment P95]" caption="Lag Notification to Payment P95" measure="1" displayFolder="" measureGroup="FactPayment" count="0" oneField="1">
      <fieldsUsage count="1">
        <fieldUsage x="31"/>
      </fieldsUsage>
    </cacheHierarchy>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oneField="1">
      <fieldsUsage count="1">
        <fieldUsage x="33"/>
      </fieldsUsage>
    </cacheHierarchy>
    <cacheHierarchy uniqueName="[Measures].[Lag Loss to Payment P50]" caption="Lag Loss to Payment P50" measure="1" displayFolder="" measureGroup="FactPayment" count="0" oneField="1">
      <fieldsUsage count="1">
        <fieldUsage x="34"/>
      </fieldsUsage>
    </cacheHierarchy>
    <cacheHierarchy uniqueName="[Measures].[Lag Loss to Payment P75]" caption="Lag Loss to Payment P75" measure="1" displayFolder="" measureGroup="FactPayment" count="0" oneField="1">
      <fieldsUsage count="1">
        <fieldUsage x="35"/>
      </fieldsUsage>
    </cacheHierarchy>
    <cacheHierarchy uniqueName="[Measures].[Lag Loss to Payment P90]" caption="Lag Loss to Payment P90" measure="1" displayFolder="" measureGroup="FactPayment" count="0" oneField="1">
      <fieldsUsage count="1">
        <fieldUsage x="36"/>
      </fieldsUsage>
    </cacheHierarchy>
    <cacheHierarchy uniqueName="[Measures].[Lag Loss to Payment P95]" caption="Lag Loss to Payment P95" measure="1" displayFolder="" measureGroup="FactPayment" count="0" oneField="1">
      <fieldsUsage count="1">
        <fieldUsage x="37"/>
      </fieldsUsage>
    </cacheHierarchy>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oneField="1">
      <fieldsUsage count="1">
        <fieldUsage x="38"/>
      </fieldsUsage>
    </cacheHierarchy>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oneField="1">
      <fieldsUsage count="1">
        <fieldUsage x="39"/>
      </fieldsUsage>
    </cacheHierarchy>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27546297" createdVersion="6" refreshedVersion="8" minRefreshableVersion="3" recordCount="0" supportSubquery="1" supportAdvancedDrill="1" xr:uid="{48D3C8CE-FF01-40F3-B63E-261EDA2799D4}">
  <cacheSource type="external" connectionId="22"/>
  <cacheFields count="10">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BandLag].[LagBand].[LagBand]" caption="LagBand" numFmtId="0" hierarchy="9" level="1">
      <sharedItems count="8">
        <s v="0-7 days"/>
        <s v="15-30 days"/>
        <s v="181-365 days"/>
        <s v="31-60 days"/>
        <s v="61-90 days"/>
        <s v="8-14 days"/>
        <s v="91-180 days"/>
        <s v="over 365 days"/>
      </sharedItems>
      <extLst>
        <ext xmlns:x15="http://schemas.microsoft.com/office/spreadsheetml/2010/11/main" uri="{4F2E5C28-24EA-4eb8-9CBF-B6C8F9C3D259}">
          <x15:cachedUniqueNames>
            <x15:cachedUniqueName index="0" name="[BandLag].[LagBand].&amp;[0-7 days]"/>
            <x15:cachedUniqueName index="1" name="[BandLag].[LagBand].&amp;[15-30 days]"/>
            <x15:cachedUniqueName index="2" name="[BandLag].[LagBand].&amp;[181-365 days]"/>
            <x15:cachedUniqueName index="3" name="[BandLag].[LagBand].&amp;[31-60 days]"/>
            <x15:cachedUniqueName index="4" name="[BandLag].[LagBand].&amp;[61-90 days]"/>
            <x15:cachedUniqueName index="5" name="[BandLag].[LagBand].&amp;[8-14 days]"/>
            <x15:cachedUniqueName index="6" name="[BandLag].[LagBand].&amp;[91-180 days]"/>
            <x15:cachedUniqueName index="7" name="[BandLag].[LagBand].&amp;[over 365 days]"/>
          </x15:cachedUniqueNames>
        </ext>
      </extLst>
    </cacheField>
    <cacheField name="[Measures].[Lag Loss to Notification Lines in Band]" caption="Lag Loss to Notification Lines in Band" numFmtId="0" hierarchy="316" level="32767"/>
    <cacheField name="[Measures].[Lag Notification to Documents Lines in Band]" caption="Lag Notification to Documents Lines in Band" numFmtId="0" hierarchy="317" level="32767"/>
    <cacheField name="[Measures].[Lag Documents to Decision Lines in Band]" caption="Lag Documents to Decision Lines in Band" numFmtId="0" hierarchy="318" level="32767"/>
    <cacheField name="[Measures].[Lag Decision to Payment Lines in Band]" caption="Lag Decision to Payment Lines in Band" numFmtId="0" hierarchy="319" level="32767"/>
    <cacheField name="[Measures].[Lag Notification to Payment Lines in Band]" caption="Lag Notification to Payment Lines in Band" numFmtId="0" hierarchy="320" level="32767"/>
    <cacheField name="[Measures].[Lag Loss to Payment Lines in Band]" caption="Lag Loss to Payment Lines in Band" numFmtId="0" hierarchy="321" level="32767"/>
    <cacheField name="[DimDate].[MonthsFromActive].[MonthsFromActive]" caption="MonthsFromActive" numFmtId="0" hierarchy="55" level="1">
      <sharedItems containsSemiMixedTypes="0" containsNonDate="0" containsString="0"/>
    </cacheField>
    <cacheField name="[tblObsFlag].[Flag].[Flag]" caption="Flag" numFmtId="0" hierarchy="161"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2" memberValueDatatype="130" unbalanced="0">
      <fieldsUsage count="2">
        <fieldUsage x="-1"/>
        <fieldUsage x="1"/>
      </fieldsUsage>
    </cacheHierarchy>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8"/>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2" memberValueDatatype="20" unbalanced="0">
      <fieldsUsage count="2">
        <fieldUsage x="-1"/>
        <fieldUsage x="9"/>
      </fieldsUsage>
    </cacheHierarchy>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oneField="1">
      <fieldsUsage count="1">
        <fieldUsage x="2"/>
      </fieldsUsage>
    </cacheHierarchy>
    <cacheHierarchy uniqueName="[Measures].[Lag Notification to Documents Lines in Band]" caption="Lag Notification to Documents Lines in Band" measure="1" displayFolder="" measureGroup="FactPayment" count="0" oneField="1">
      <fieldsUsage count="1">
        <fieldUsage x="3"/>
      </fieldsUsage>
    </cacheHierarchy>
    <cacheHierarchy uniqueName="[Measures].[Lag Documents to Decision Lines in Band]" caption="Lag Documents to Decision Lines in Band" measure="1" displayFolder="" measureGroup="FactPayment" count="0" oneField="1">
      <fieldsUsage count="1">
        <fieldUsage x="4"/>
      </fieldsUsage>
    </cacheHierarchy>
    <cacheHierarchy uniqueName="[Measures].[Lag Decision to Payment Lines in Band]" caption="Lag Decision to Payment Lines in Band" measure="1" displayFolder="" measureGroup="FactPayment" count="0" oneField="1">
      <fieldsUsage count="1">
        <fieldUsage x="5"/>
      </fieldsUsage>
    </cacheHierarchy>
    <cacheHierarchy uniqueName="[Measures].[Lag Notification to Payment Lines in Band]" caption="Lag Notification to Payment Lines in Band" measure="1" displayFolder="" measureGroup="FactPayment" count="0" oneField="1">
      <fieldsUsage count="1">
        <fieldUsage x="6"/>
      </fieldsUsage>
    </cacheHierarchy>
    <cacheHierarchy uniqueName="[Measures].[Lag Loss to Payment Lines in Band]" caption="Lag Loss to Payment Lines in Band" measure="1" displayFolder="" measureGroup="FactPayment" count="0" oneField="1">
      <fieldsUsage count="1">
        <fieldUsage x="7"/>
      </fieldsUsage>
    </cacheHierarchy>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29976852" createdVersion="6" refreshedVersion="8" minRefreshableVersion="3" recordCount="0" supportSubquery="1" supportAdvancedDrill="1" xr:uid="{9FA28A82-B3CB-439A-A24B-5E8F7AF025E1}">
  <cacheSource type="external" connectionId="22"/>
  <cacheFields count="9">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BandLag].[LagBand].[LagBand]" caption="LagBand" numFmtId="0" hierarchy="9" level="1">
      <sharedItems count="9">
        <s v="0-7 days"/>
        <s v="15-30 days"/>
        <s v="181-365 days"/>
        <s v="31-60 days"/>
        <s v="61-90 days"/>
        <s v="8-14 days"/>
        <s v="91-180 days"/>
        <s v="n/a (missing or negative)"/>
        <s v="over 365 days"/>
      </sharedItems>
      <extLst>
        <ext xmlns:x15="http://schemas.microsoft.com/office/spreadsheetml/2010/11/main" uri="{4F2E5C28-24EA-4eb8-9CBF-B6C8F9C3D259}">
          <x15:cachedUniqueNames>
            <x15:cachedUniqueName index="0" name="[BandLag].[LagBand].&amp;[0-7 days]"/>
            <x15:cachedUniqueName index="1" name="[BandLag].[LagBand].&amp;[15-30 days]"/>
            <x15:cachedUniqueName index="2" name="[BandLag].[LagBand].&amp;[181-365 days]"/>
            <x15:cachedUniqueName index="3" name="[BandLag].[LagBand].&amp;[31-60 days]"/>
            <x15:cachedUniqueName index="4" name="[BandLag].[LagBand].&amp;[61-90 days]"/>
            <x15:cachedUniqueName index="5" name="[BandLag].[LagBand].&amp;[8-14 days]"/>
            <x15:cachedUniqueName index="6" name="[BandLag].[LagBand].&amp;[91-180 days]"/>
            <x15:cachedUniqueName index="7" name="[BandLag].[LagBand].&amp;[n/a (missing or negative)]"/>
            <x15:cachedUniqueName index="8" name="[BandLag].[LagBand].&amp;[over 365 days]"/>
          </x15:cachedUniqueNames>
        </ext>
      </extLst>
    </cacheField>
    <cacheField name="[Measures].[Lag Loss to Notification Lines in Band]" caption="Lag Loss to Notification Lines in Band" numFmtId="0" hierarchy="316" level="32767"/>
    <cacheField name="[Measures].[Lag Notification to Documents Lines in Band]" caption="Lag Notification to Documents Lines in Band" numFmtId="0" hierarchy="317" level="32767"/>
    <cacheField name="[Measures].[Lag Documents to Decision Lines in Band]" caption="Lag Documents to Decision Lines in Band" numFmtId="0" hierarchy="318" level="32767"/>
    <cacheField name="[Measures].[Lag Decision to Payment Lines in Band]" caption="Lag Decision to Payment Lines in Band" numFmtId="0" hierarchy="319" level="32767"/>
    <cacheField name="[Measures].[Lag Notification to Payment Lines in Band]" caption="Lag Notification to Payment Lines in Band" numFmtId="0" hierarchy="320" level="32767"/>
    <cacheField name="[Measures].[Lag Loss to Payment Lines in Band]" caption="Lag Loss to Payment Lines in Band" numFmtId="0" hierarchy="321" level="32767"/>
    <cacheField name="[DimDate].[MonthsFromActive].[MonthsFromActive]" caption="MonthsFromActive" numFmtId="0" hierarchy="55"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2" memberValueDatatype="130" unbalanced="0">
      <fieldsUsage count="2">
        <fieldUsage x="-1"/>
        <fieldUsage x="1"/>
      </fieldsUsage>
    </cacheHierarchy>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8"/>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oneField="1">
      <fieldsUsage count="1">
        <fieldUsage x="2"/>
      </fieldsUsage>
    </cacheHierarchy>
    <cacheHierarchy uniqueName="[Measures].[Lag Notification to Documents Lines in Band]" caption="Lag Notification to Documents Lines in Band" measure="1" displayFolder="" measureGroup="FactPayment" count="0" oneField="1">
      <fieldsUsage count="1">
        <fieldUsage x="3"/>
      </fieldsUsage>
    </cacheHierarchy>
    <cacheHierarchy uniqueName="[Measures].[Lag Documents to Decision Lines in Band]" caption="Lag Documents to Decision Lines in Band" measure="1" displayFolder="" measureGroup="FactPayment" count="0" oneField="1">
      <fieldsUsage count="1">
        <fieldUsage x="4"/>
      </fieldsUsage>
    </cacheHierarchy>
    <cacheHierarchy uniqueName="[Measures].[Lag Decision to Payment Lines in Band]" caption="Lag Decision to Payment Lines in Band" measure="1" displayFolder="" measureGroup="FactPayment" count="0" oneField="1">
      <fieldsUsage count="1">
        <fieldUsage x="5"/>
      </fieldsUsage>
    </cacheHierarchy>
    <cacheHierarchy uniqueName="[Measures].[Lag Notification to Payment Lines in Band]" caption="Lag Notification to Payment Lines in Band" measure="1" displayFolder="" measureGroup="FactPayment" count="0" oneField="1">
      <fieldsUsage count="1">
        <fieldUsage x="6"/>
      </fieldsUsage>
    </cacheHierarchy>
    <cacheHierarchy uniqueName="[Measures].[Lag Loss to Payment Lines in Band]" caption="Lag Loss to Payment Lines in Band" measure="1" displayFolder="" measureGroup="FactPayment" count="0" oneField="1">
      <fieldsUsage count="1">
        <fieldUsage x="7"/>
      </fieldsUsage>
    </cacheHierarchy>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31944446" createdVersion="6" refreshedVersion="8" minRefreshableVersion="3" recordCount="0" supportSubquery="1" supportAdvancedDrill="1" xr:uid="{B0EC6409-77D3-441D-AD9B-6E8EC7F259FA}">
  <cacheSource type="external" connectionId="22"/>
  <cacheFields count="6">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FactPayment].[CompanyID].[CompanyID]" caption="CompanyID" numFmtId="0" hierarchy="84" level="1">
      <sharedItems count="5">
        <s v="8101"/>
        <s v="8102"/>
        <s v="8301"/>
        <s v="8302"/>
        <s v="8201"/>
      </sharedItems>
      <extLst>
        <ext xmlns:x15="http://schemas.microsoft.com/office/spreadsheetml/2010/11/main" uri="{4F2E5C28-24EA-4eb8-9CBF-B6C8F9C3D259}">
          <x15:cachedUniqueNames>
            <x15:cachedUniqueName index="0" name="[FactPayment].[CompanyID].&amp;[8101]"/>
            <x15:cachedUniqueName index="1" name="[FactPayment].[CompanyID].&amp;[8102]"/>
            <x15:cachedUniqueName index="2" name="[FactPayment].[CompanyID].&amp;[8301]"/>
            <x15:cachedUniqueName index="3" name="[FactPayment].[CompanyID].&amp;[8302]"/>
            <x15:cachedUniqueName index="4" name="[FactPayment].[CompanyID].&amp;[8201]"/>
          </x15:cachedUniqueNames>
        </ext>
      </extLst>
    </cacheField>
    <cacheField name="[FactPayment].[LossPeriodKey].[LossPeriodKey]" caption="LossPeriodKey" numFmtId="0" hierarchy="154" level="1">
      <sharedItems containsSemiMixedTypes="0" containsString="0" containsNumber="1" containsInteger="1" minValue="202401" maxValue="202608" count="32">
        <n v="202402"/>
        <n v="202403"/>
        <n v="202404"/>
        <n v="202405"/>
        <n v="202406"/>
        <n v="202407"/>
        <n v="202408"/>
        <n v="202409"/>
        <n v="202410"/>
        <n v="202411"/>
        <n v="202412"/>
        <n v="202501"/>
        <n v="202502"/>
        <n v="202503"/>
        <n v="202504"/>
        <n v="202505"/>
        <n v="202506"/>
        <n v="202507"/>
        <n v="202508"/>
        <n v="202509"/>
        <n v="202510"/>
        <n v="202511"/>
        <n v="202512"/>
        <n v="202601"/>
        <n v="202602"/>
        <n v="202603"/>
        <n v="202604"/>
        <n v="202605"/>
        <n v="202606"/>
        <n v="202607"/>
        <n v="202608"/>
        <n v="202401"/>
      </sharedItems>
      <extLst>
        <ext xmlns:x15="http://schemas.microsoft.com/office/spreadsheetml/2010/11/main" uri="{4F2E5C28-24EA-4eb8-9CBF-B6C8F9C3D259}">
          <x15:cachedUniqueNames>
            <x15:cachedUniqueName index="0" name="[FactPayment].[LossPeriodKey].&amp;[202402]"/>
            <x15:cachedUniqueName index="1" name="[FactPayment].[LossPeriodKey].&amp;[202403]"/>
            <x15:cachedUniqueName index="2" name="[FactPayment].[LossPeriodKey].&amp;[202404]"/>
            <x15:cachedUniqueName index="3" name="[FactPayment].[LossPeriodKey].&amp;[202405]"/>
            <x15:cachedUniqueName index="4" name="[FactPayment].[LossPeriodKey].&amp;[202406]"/>
            <x15:cachedUniqueName index="5" name="[FactPayment].[LossPeriodKey].&amp;[202407]"/>
            <x15:cachedUniqueName index="6" name="[FactPayment].[LossPeriodKey].&amp;[202408]"/>
            <x15:cachedUniqueName index="7" name="[FactPayment].[LossPeriodKey].&amp;[202409]"/>
            <x15:cachedUniqueName index="8" name="[FactPayment].[LossPeriodKey].&amp;[202410]"/>
            <x15:cachedUniqueName index="9" name="[FactPayment].[LossPeriodKey].&amp;[202411]"/>
            <x15:cachedUniqueName index="10" name="[FactPayment].[LossPeriodKey].&amp;[202412]"/>
            <x15:cachedUniqueName index="11" name="[FactPayment].[LossPeriodKey].&amp;[202501]"/>
            <x15:cachedUniqueName index="12" name="[FactPayment].[LossPeriodKey].&amp;[202502]"/>
            <x15:cachedUniqueName index="13" name="[FactPayment].[LossPeriodKey].&amp;[202503]"/>
            <x15:cachedUniqueName index="14" name="[FactPayment].[LossPeriodKey].&amp;[202504]"/>
            <x15:cachedUniqueName index="15" name="[FactPayment].[LossPeriodKey].&amp;[202505]"/>
            <x15:cachedUniqueName index="16" name="[FactPayment].[LossPeriodKey].&amp;[202506]"/>
            <x15:cachedUniqueName index="17" name="[FactPayment].[LossPeriodKey].&amp;[202507]"/>
            <x15:cachedUniqueName index="18" name="[FactPayment].[LossPeriodKey].&amp;[202508]"/>
            <x15:cachedUniqueName index="19" name="[FactPayment].[LossPeriodKey].&amp;[202509]"/>
            <x15:cachedUniqueName index="20" name="[FactPayment].[LossPeriodKey].&amp;[202510]"/>
            <x15:cachedUniqueName index="21" name="[FactPayment].[LossPeriodKey].&amp;[202511]"/>
            <x15:cachedUniqueName index="22" name="[FactPayment].[LossPeriodKey].&amp;[202512]"/>
            <x15:cachedUniqueName index="23" name="[FactPayment].[LossPeriodKey].&amp;[202601]"/>
            <x15:cachedUniqueName index="24" name="[FactPayment].[LossPeriodKey].&amp;[202602]"/>
            <x15:cachedUniqueName index="25" name="[FactPayment].[LossPeriodKey].&amp;[202603]"/>
            <x15:cachedUniqueName index="26" name="[FactPayment].[LossPeriodKey].&amp;[202604]"/>
            <x15:cachedUniqueName index="27" name="[FactPayment].[LossPeriodKey].&amp;[202605]"/>
            <x15:cachedUniqueName index="28" name="[FactPayment].[LossPeriodKey].&amp;[202606]"/>
            <x15:cachedUniqueName index="29" name="[FactPayment].[LossPeriodKey].&amp;[202607]"/>
            <x15:cachedUniqueName index="30" name="[FactPayment].[LossPeriodKey].&amp;[202608]"/>
            <x15:cachedUniqueName index="31" name="[FactPayment].[LossPeriodKey].&amp;[202401]"/>
          </x15:cachedUniqueNames>
        </ext>
      </extLst>
    </cacheField>
    <cacheField name="[FactPayment].[DevMonth].[DevMonth]" caption="DevMonth" numFmtId="0" hierarchy="155" level="1">
      <sharedItems containsSemiMixedTypes="0" containsString="0" containsNumber="1" containsInteger="1" minValue="0" maxValue="15" count="16">
        <n v="11"/>
        <n v="12"/>
        <n v="13"/>
        <n v="6"/>
        <n v="7"/>
        <n v="8"/>
        <n v="10"/>
        <n v="5"/>
        <n v="4"/>
        <n v="9"/>
        <n v="3"/>
        <n v="2"/>
        <n v="1"/>
        <n v="0"/>
        <n v="15"/>
        <n v="14"/>
      </sharedItems>
      <extLst>
        <ext xmlns:x15="http://schemas.microsoft.com/office/spreadsheetml/2010/11/main" uri="{4F2E5C28-24EA-4eb8-9CBF-B6C8F9C3D259}">
          <x15:cachedUniqueNames>
            <x15:cachedUniqueName index="0" name="[FactPayment].[DevMonth].&amp;[11]"/>
            <x15:cachedUniqueName index="1" name="[FactPayment].[DevMonth].&amp;[12]"/>
            <x15:cachedUniqueName index="2" name="[FactPayment].[DevMonth].&amp;[13]"/>
            <x15:cachedUniqueName index="3" name="[FactPayment].[DevMonth].&amp;[6]"/>
            <x15:cachedUniqueName index="4" name="[FactPayment].[DevMonth].&amp;[7]"/>
            <x15:cachedUniqueName index="5" name="[FactPayment].[DevMonth].&amp;[8]"/>
            <x15:cachedUniqueName index="6" name="[FactPayment].[DevMonth].&amp;[10]"/>
            <x15:cachedUniqueName index="7" name="[FactPayment].[DevMonth].&amp;[5]"/>
            <x15:cachedUniqueName index="8" name="[FactPayment].[DevMonth].&amp;[4]"/>
            <x15:cachedUniqueName index="9" name="[FactPayment].[DevMonth].&amp;[9]"/>
            <x15:cachedUniqueName index="10" name="[FactPayment].[DevMonth].&amp;[3]"/>
            <x15:cachedUniqueName index="11" name="[FactPayment].[DevMonth].&amp;[2]"/>
            <x15:cachedUniqueName index="12" name="[FactPayment].[DevMonth].&amp;[1]"/>
            <x15:cachedUniqueName index="13" name="[FactPayment].[DevMonth].&amp;[0]"/>
            <x15:cachedUniqueName index="14" name="[FactPayment].[DevMonth].&amp;[15]"/>
            <x15:cachedUniqueName index="15" name="[FactPayment].[DevMonth].&amp;[14]"/>
          </x15:cachedUniqueNames>
        </ext>
      </extLst>
    </cacheField>
    <cacheField name="[Measures].[Paid TRY]" caption="Paid TRY" numFmtId="0" hierarchy="209" level="32767"/>
    <cacheField name="[Measures].[Payment Lines]" caption="Payment Lines" numFmtId="0" hierarchy="186" level="32767"/>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2" memberValueDatatype="130" unbalanced="0">
      <fieldsUsage count="2">
        <fieldUsage x="-1"/>
        <fieldUsage x="1"/>
      </fieldsUsage>
    </cacheHierarchy>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2" memberValueDatatype="20" unbalanced="0">
      <fieldsUsage count="2">
        <fieldUsage x="-1"/>
        <fieldUsage x="2"/>
      </fieldsUsage>
    </cacheHierarchy>
    <cacheHierarchy uniqueName="[FactPayment].[DevMonth]" caption="DevMonth" attribute="1" defaultMemberUniqueName="[FactPayment].[DevMonth].[All]" allUniqueName="[FactPayment].[DevMonth].[All]" dimensionUniqueName="[FactPayment]" displayFolder="" count="2" memberValueDatatype="20" unbalanced="0">
      <fieldsUsage count="2">
        <fieldUsage x="-1"/>
        <fieldUsage x="3"/>
      </fieldsUsage>
    </cacheHierarchy>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oneField="1">
      <fieldsUsage count="1">
        <fieldUsage x="5"/>
      </fieldsUsage>
    </cacheHierarchy>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oneField="1">
      <fieldsUsage count="1">
        <fieldUsage x="4"/>
      </fieldsUsage>
    </cacheHierarchy>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34259263" createdVersion="6" refreshedVersion="8" minRefreshableVersion="3" recordCount="0" supportSubquery="1" supportAdvancedDrill="1" xr:uid="{90D144E6-F108-4887-A25F-F521C35AA5EF}">
  <cacheSource type="external" connectionId="22"/>
  <cacheFields count="10">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FactPayment].[CaseKey].[CaseKey]" caption="CaseKey" numFmtId="0" hierarchy="136" level="1">
      <sharedItems count="9036">
        <s v="8101|00004535"/>
        <s v="8101|00005350"/>
        <s v="8101|00005504"/>
        <s v="8101|00005521"/>
        <s v="8101|00005740"/>
        <s v="8101|00005966"/>
        <s v="8101|00006117"/>
        <s v="8101|00006332"/>
        <s v="8101|00006410"/>
        <s v="8101|00006461"/>
        <s v="8101|00006472"/>
        <s v="8101|00006517"/>
        <s v="8101|00006537"/>
        <s v="8101|00006640"/>
        <s v="8101|00006844"/>
        <s v="8101|00007313"/>
        <s v="8101|00007335"/>
        <s v="8101|00007413"/>
        <s v="8101|00007486"/>
        <s v="8101|00007617"/>
        <s v="8101|00007735"/>
        <s v="8101|00007743"/>
        <s v="8101|00007755"/>
        <s v="8101|00007833"/>
        <s v="8101|00007851"/>
        <s v="8101|00007866"/>
        <s v="8101|00007881"/>
        <s v="8101|00007920"/>
        <s v="8101|00008001"/>
        <s v="8101|00008063"/>
        <s v="8101|00008092"/>
        <s v="8101|00008163"/>
        <s v="8101|00008267"/>
        <s v="8101|00008278"/>
        <s v="8101|00008305"/>
        <s v="8101|00008314"/>
        <s v="8101|00008341"/>
        <s v="8101|00008363"/>
        <s v="8101|00008456"/>
        <s v="8101|00008485"/>
        <s v="8101|00008538"/>
        <s v="8101|00008541"/>
        <s v="8101|00008628"/>
        <s v="8101|00008640"/>
        <s v="8101|00008682"/>
        <s v="8101|00008782"/>
        <s v="8101|00008795"/>
        <s v="8101|00008863"/>
        <s v="8101|00008896"/>
        <s v="8101|00008908"/>
        <s v="8101|00008918"/>
        <s v="8101|00008950"/>
        <s v="8101|00008998"/>
        <s v="8101|00009038"/>
        <s v="8101|00009060"/>
        <s v="8101|00009082"/>
        <s v="8101|00009105"/>
        <s v="8101|00009114"/>
        <s v="8101|00009127"/>
        <s v="8101|00009137"/>
        <s v="8101|00009186"/>
        <s v="8101|00009218"/>
        <s v="8101|00009275"/>
        <s v="8101|00009317"/>
        <s v="8101|00009325"/>
        <s v="8101|00009343"/>
        <s v="8101|00009350"/>
        <s v="8101|00009385"/>
        <s v="8101|00009437"/>
        <s v="8101|00009450"/>
        <s v="8101|00009464"/>
        <s v="8101|00009482"/>
        <s v="8101|00009507"/>
        <s v="8101|00009513"/>
        <s v="8101|00009538"/>
        <s v="8101|00009588"/>
        <s v="8101|00009602"/>
        <s v="8101|00009613"/>
        <s v="8101|00009621"/>
        <s v="8101|00009630"/>
        <s v="8101|00009643"/>
        <s v="8101|00009666"/>
        <s v="8101|00009676"/>
        <s v="8101|00009682"/>
        <s v="8101|00009712"/>
        <s v="8101|00009723"/>
        <s v="8101|00009751"/>
        <s v="8101|00009770"/>
        <s v="8101|00009785"/>
        <s v="8101|00009794"/>
        <s v="8101|00009814"/>
        <s v="8101|00009828"/>
        <s v="8101|00009833"/>
        <s v="8101|00009847"/>
        <s v="8101|00009855"/>
        <s v="8101|00009861"/>
        <s v="8101|00009870"/>
        <s v="8101|00009886"/>
        <s v="8101|00009892"/>
        <s v="8101|00009903"/>
        <s v="8101|00009918"/>
        <s v="8101|00009923"/>
        <s v="8101|00009935"/>
        <s v="8101|00009943"/>
        <s v="8101|00009951"/>
        <s v="8101|00009977"/>
        <s v="8101|00009985"/>
        <s v="8101|00009990"/>
        <s v="8101|00010006"/>
        <s v="8101|00010018"/>
        <s v="8101|00010025"/>
        <s v="8101|00010044"/>
        <s v="8101|00010056"/>
        <s v="8101|00010068"/>
        <s v="8101|00010076"/>
        <s v="8101|00010082"/>
        <s v="8101|00010092"/>
        <s v="8101|00010107"/>
        <s v="8101|00010114"/>
        <s v="8101|00010120"/>
        <s v="8101|00010130"/>
        <s v="8101|00010157"/>
        <s v="8101|00010178"/>
        <s v="8101|00010194"/>
        <s v="8101|00010201"/>
        <s v="8101|00010212"/>
        <s v="8101|00010227"/>
        <s v="8101|00010233"/>
        <s v="8101|00010256"/>
        <s v="8101|00010268"/>
        <s v="8101|00010282"/>
        <s v="8101|00010297"/>
        <s v="8101|00010306"/>
        <s v="8101|00010326"/>
        <s v="8101|00010335"/>
        <s v="8101|00010345"/>
        <s v="8101|00010362"/>
        <s v="8101|00010385"/>
        <s v="8101|00010390"/>
        <s v="8101|00010403"/>
        <s v="8101|00010410"/>
        <s v="8101|00010423"/>
        <s v="8101|00010437"/>
        <s v="8101|00010444"/>
        <s v="8101|00010454"/>
        <s v="8101|00010463"/>
        <s v="8101|00010476"/>
        <s v="8101|00010484"/>
        <s v="8101|00010494"/>
        <s v="8101|00010502"/>
        <s v="8101|00010512"/>
        <s v="8101|00010526"/>
        <s v="8101|00010545"/>
        <s v="8101|00010553"/>
        <s v="8101|00010568"/>
        <s v="8101|00010577"/>
        <s v="8101|00010583"/>
        <s v="8101|00010594"/>
        <s v="8101|00010604"/>
        <s v="8101|00010618"/>
        <s v="8101|00010621"/>
        <s v="8101|00010635"/>
        <s v="8101|00010648"/>
        <s v="8101|00010663"/>
        <s v="8101|00010672"/>
        <s v="8101|00010686"/>
        <s v="8101|00010690"/>
        <s v="8101|00010708"/>
        <s v="8101|00010714"/>
        <s v="8101|00010727"/>
        <s v="8101|00010735"/>
        <s v="8101|00010742"/>
        <s v="8101|00010757"/>
        <s v="8101|00010764"/>
        <s v="8101|00010776"/>
        <s v="8101|00010784"/>
        <s v="8101|00010798"/>
        <s v="8101|00010807"/>
        <s v="8101|00010811"/>
        <s v="8101|00010827"/>
        <s v="8101|00010833"/>
        <s v="8101|00010844"/>
        <s v="8101|00010853"/>
        <s v="8101|00010861"/>
        <s v="8101|00010871"/>
        <s v="8101|00010887"/>
        <s v="8101|00010895"/>
        <s v="8101|00010906"/>
        <s v="8101|00010914"/>
        <s v="8101|00010920"/>
        <s v="8101|00010940"/>
        <s v="8101|00010951"/>
        <s v="8101|00010960"/>
        <s v="8101|00010977"/>
        <s v="8101|00010982"/>
        <s v="8101|00010991"/>
        <s v="8101|00011008"/>
        <s v="8101|00011017"/>
        <s v="8101|00011024"/>
        <s v="8101|00011035"/>
        <s v="8101|00011040"/>
        <s v="8101|00011053"/>
        <s v="8101|00011068"/>
        <s v="8101|00011076"/>
        <s v="8101|00011083"/>
        <s v="8101|00011097"/>
        <s v="8101|00011103"/>
        <s v="8101|00011118"/>
        <s v="8101|00011128"/>
        <s v="8101|00011132"/>
        <s v="8101|00011142"/>
        <s v="8101|00011158"/>
        <s v="8101|00011167"/>
        <s v="8101|00011187"/>
        <s v="8101|00011191"/>
        <s v="8101|00011206"/>
        <s v="8101|00011215"/>
        <s v="8101|00011224"/>
        <s v="8101|00011237"/>
        <s v="8101|00011243"/>
        <s v="8101|00011256"/>
        <s v="8101|00011266"/>
        <s v="8101|00011285"/>
        <s v="8101|00011296"/>
        <s v="8101|00011306"/>
        <s v="8101|00011316"/>
        <s v="8101|00011324"/>
        <s v="8101|00011337"/>
        <s v="8101|00011345"/>
        <s v="8101|00011356"/>
        <s v="8101|00011361"/>
        <s v="8101|00011374"/>
        <s v="8101|00011393"/>
        <s v="8101|00011407"/>
        <s v="8101|00011417"/>
        <s v="8101|00011423"/>
        <s v="8101|00011431"/>
        <s v="8101|00011458"/>
        <s v="8101|00011464"/>
        <s v="8101|00011475"/>
        <s v="8101|00011480"/>
        <s v="8101|00011493"/>
        <s v="8101|00011502"/>
        <s v="8101|00011516"/>
        <s v="8101|00011525"/>
        <s v="8101|00011536"/>
        <s v="8101|00011544"/>
        <s v="8101|00011561"/>
        <s v="8101|00011578"/>
        <s v="8101|00011580"/>
        <s v="8101|00011603"/>
        <s v="8101|00011614"/>
        <s v="8101|00011625"/>
        <s v="8101|00011634"/>
        <s v="8101|00011644"/>
        <s v="8101|00011652"/>
        <s v="8101|00011662"/>
        <s v="8101|00011671"/>
        <s v="8101|00011684"/>
        <s v="8101|00011698"/>
        <s v="8101|00011704"/>
        <s v="8101|00011711"/>
        <s v="8101|00011725"/>
        <s v="8101|00011730"/>
        <s v="8101|00011740"/>
        <s v="8101|00011754"/>
        <s v="8101|00011771"/>
        <s v="8101|00011788"/>
        <s v="8101|00011790"/>
        <s v="8101|00011807"/>
        <s v="8101|00011816"/>
        <s v="8101|00011830"/>
        <s v="8101|00011845"/>
        <s v="8101|00011852"/>
        <s v="8101|00011867"/>
        <s v="8101|00011870"/>
        <s v="8101|00011880"/>
        <s v="8101|00011892"/>
        <s v="8101|00011900"/>
        <s v="8101|00011914"/>
        <s v="8101|00011928"/>
        <s v="8101|00011934"/>
        <s v="8101|00011942"/>
        <s v="8101|00011954"/>
        <s v="8101|00011968"/>
        <s v="8101|00011972"/>
        <s v="8101|00011981"/>
        <s v="8101|00011995"/>
        <s v="8101|00012007"/>
        <s v="8101|00012013"/>
        <s v="8101|00012027"/>
        <s v="8101|00012038"/>
        <s v="8101|00012045"/>
        <s v="8101|00012056"/>
        <s v="8101|00012061"/>
        <s v="8101|00012071"/>
        <s v="8101|00012080"/>
        <s v="8101|00012092"/>
        <s v="8101|00012106"/>
        <s v="8101|00012111"/>
        <s v="8101|00012128"/>
        <s v="8101|00012132"/>
        <s v="8101|00012146"/>
        <s v="8101|00012150"/>
        <s v="8101|00012161"/>
        <s v="8101|00012176"/>
        <s v="8101|00012192"/>
        <s v="8101|00012206"/>
        <s v="8101|00012216"/>
        <s v="8101|00012221"/>
        <s v="8101|00012230"/>
        <s v="8101|00012248"/>
        <s v="8101|00012258"/>
        <s v="8101|00012266"/>
        <s v="8101|00012274"/>
        <s v="8101|00012285"/>
        <s v="8101|00012295"/>
        <s v="8101|00012306"/>
        <s v="8101|00012315"/>
        <s v="8101|00012321"/>
        <s v="8101|00012334"/>
        <s v="8101|00012343"/>
        <s v="8101|00012356"/>
        <s v="8101|00012361"/>
        <s v="8101|00012372"/>
        <s v="8101|00012385"/>
        <s v="8101|00012391"/>
        <s v="8101|00012400"/>
        <s v="8101|00012411"/>
        <s v="8101|00012420"/>
        <s v="8101|00012434"/>
        <s v="8101|00012445"/>
        <s v="8101|00012451"/>
        <s v="8101|00012461"/>
        <s v="8101|00012478"/>
        <s v="8101|00012483"/>
        <s v="8101|00012490"/>
        <s v="8101|00012503"/>
        <s v="8101|00012511"/>
        <s v="8101|00012524"/>
        <s v="8101|00012542"/>
        <s v="8101|00012561"/>
        <s v="8101|00012574"/>
        <s v="8101|00012587"/>
        <s v="8101|00012598"/>
        <s v="8101|00012608"/>
        <s v="8101|00012618"/>
        <s v="8101|00012628"/>
        <s v="8101|00012631"/>
        <s v="8101|00012648"/>
        <s v="8101|00012651"/>
        <s v="8101|00012665"/>
        <s v="8101|00012678"/>
        <s v="8101|00012680"/>
        <s v="8101|00012697"/>
        <s v="8101|00012702"/>
        <s v="8101|00012711"/>
        <s v="8101|00012724"/>
        <s v="8101|00012737"/>
        <s v="8101|00012748"/>
        <s v="8101|00012752"/>
        <s v="8101|00012761"/>
        <s v="8101|00012770"/>
        <s v="8101|00012792"/>
        <s v="8101|00012803"/>
        <s v="8101|00012810"/>
        <s v="8101|00012824"/>
        <s v="8101|00012833"/>
        <s v="8101|00012840"/>
        <s v="8101|00012852"/>
        <s v="8101|00012867"/>
        <s v="8101|00012878"/>
        <s v="8101|00012887"/>
        <s v="8101|00012893"/>
        <s v="8101|00012905"/>
        <s v="8101|00012914"/>
        <s v="8101|00012927"/>
        <s v="8101|00012934"/>
        <s v="8101|00012945"/>
        <s v="8101|00012957"/>
        <s v="8101|00012962"/>
        <s v="8101|00012977"/>
        <s v="8101|00012987"/>
        <s v="8101|00012998"/>
        <s v="8101|00013001"/>
        <s v="8101|00013013"/>
        <s v="8101|00013027"/>
        <s v="8101|00013033"/>
        <s v="8101|00013040"/>
        <s v="8101|00013051"/>
        <s v="8101|00013068"/>
        <s v="8101|00013074"/>
        <s v="8101|00013082"/>
        <s v="8101|00013092"/>
        <s v="8101|00013106"/>
        <s v="8101|00013112"/>
        <s v="8101|00013125"/>
        <s v="8101|00013136"/>
        <s v="8101|00013157"/>
        <s v="8101|00013165"/>
        <s v="8101|00013177"/>
        <s v="8101|00013184"/>
        <s v="8101|00013190"/>
        <s v="8101|00013207"/>
        <s v="8101|00013213"/>
        <s v="8101|00013220"/>
        <s v="8101|00013238"/>
        <s v="8101|00013241"/>
        <s v="8101|00013251"/>
        <s v="8101|00013265"/>
        <s v="8101|00013271"/>
        <s v="8101|00013282"/>
        <s v="8101|00013305"/>
        <s v="8101|00013317"/>
        <s v="8101|00013322"/>
        <s v="8101|00013334"/>
        <s v="8101|00013347"/>
        <s v="8101|00013357"/>
        <s v="8101|00013365"/>
        <s v="8101|00013372"/>
        <s v="8101|00013387"/>
        <s v="8101|00013395"/>
        <s v="8101|00013406"/>
        <s v="8101|00013412"/>
        <s v="8101|00013425"/>
        <s v="8101|00013431"/>
        <s v="8101|00013445"/>
        <s v="8101|00013457"/>
        <s v="8101|00013461"/>
        <s v="8101|00013473"/>
        <s v="8101|00013496"/>
        <s v="8101|00013500"/>
        <s v="8101|00013516"/>
        <s v="8101|00013524"/>
        <s v="8101|00013534"/>
        <s v="8101|00013547"/>
        <s v="8101|00013558"/>
        <s v="8101|00013565"/>
        <s v="8101|00013573"/>
        <s v="8101|00013583"/>
        <s v="8101|00013598"/>
        <s v="8101|00013600"/>
        <s v="8101|00013636"/>
        <s v="8101|00013655"/>
        <s v="8101|00013666"/>
        <s v="8101|00013671"/>
        <s v="8101|00013680"/>
        <s v="8101|00013698"/>
        <s v="8101|00013704"/>
        <s v="8101|00013710"/>
        <s v="8101|00013720"/>
        <s v="8101|00013731"/>
        <s v="8101|00013744"/>
        <s v="8101|00013755"/>
        <s v="8101|00013763"/>
        <s v="8101|00013771"/>
        <s v="8101|00013783"/>
        <s v="8101|00013795"/>
        <s v="8101|00013802"/>
        <s v="8101|00013813"/>
        <s v="8101|00013825"/>
        <s v="8101|00013834"/>
        <s v="8101|00013848"/>
        <s v="8101|00013852"/>
        <s v="8101|00013862"/>
        <s v="8101|00013880"/>
        <s v="8101|00013894"/>
        <s v="8101|00013901"/>
        <s v="8101|00013910"/>
        <s v="8101|00013923"/>
        <s v="8101|00013935"/>
        <s v="8101|00013941"/>
        <s v="8101|00013952"/>
        <s v="8101|00013965"/>
        <s v="8101|00013972"/>
        <s v="8101|00013988"/>
        <s v="8101|00013990"/>
        <s v="8101|00014002"/>
        <s v="8101|00014012"/>
        <s v="8101|00014022"/>
        <s v="8101|00014030"/>
        <s v="8101|00014041"/>
        <s v="8101|00014054"/>
        <s v="8101|00014066"/>
        <s v="8101|00014074"/>
        <s v="8101|00014080"/>
        <s v="8101|00014096"/>
        <s v="8101|00014100"/>
        <s v="8101|00014114"/>
        <s v="8101|00014131"/>
        <s v="8101|00014155"/>
        <s v="8101|00014175"/>
        <s v="8101|00014187"/>
        <s v="8101|00014196"/>
        <s v="8101|00014204"/>
        <s v="8101|00014210"/>
        <s v="8101|00014226"/>
        <s v="8101|00014233"/>
        <s v="8101|00014244"/>
        <s v="8101|00014252"/>
        <s v="8101|00014268"/>
        <s v="8101|00014275"/>
        <s v="8101|00014284"/>
        <s v="8101|00014293"/>
        <s v="8101|00014300"/>
        <s v="8101|00014312"/>
        <s v="8101|00014323"/>
        <s v="8101|00014330"/>
        <s v="8101|00014346"/>
        <s v="8101|00014356"/>
        <s v="8101|00014366"/>
        <s v="8101|00014372"/>
        <s v="8101|00014387"/>
        <s v="8101|00014390"/>
        <s v="8101|00014405"/>
        <s v="8101|00014410"/>
        <s v="8101|00014420"/>
        <s v="8101|00014431"/>
        <s v="8101|00014446"/>
        <s v="8101|00014455"/>
        <s v="8101|00014465"/>
        <s v="8101|00014475"/>
        <s v="8101|00014481"/>
        <s v="8101|00014497"/>
        <s v="8101|00014506"/>
        <s v="8101|00014517"/>
        <s v="8101|00014520"/>
        <s v="8101|00014536"/>
        <s v="8101|00014546"/>
        <s v="8101|00014557"/>
        <s v="8101|00014562"/>
        <s v="8101|00014570"/>
        <s v="8101|00014584"/>
        <s v="8101|00014591"/>
        <s v="8101|00014602"/>
        <s v="8101|00014614"/>
        <s v="8101|00014628"/>
        <s v="8101|00014641"/>
        <s v="8101|00014655"/>
        <s v="8101|00014662"/>
        <s v="8101|00014672"/>
        <s v="8101|00014687"/>
        <s v="8101|00014698"/>
        <s v="8101|00014701"/>
        <s v="8101|00014714"/>
        <s v="8101|00014728"/>
        <s v="8101|00014735"/>
        <s v="8101|00014744"/>
        <s v="8101|00014752"/>
        <s v="8101|00014765"/>
        <s v="8101|00014777"/>
        <s v="8101|00014781"/>
        <s v="8101|00014791"/>
        <s v="8101|00014802"/>
        <s v="8101|00014812"/>
        <s v="8101|00014824"/>
        <s v="8101|00014830"/>
        <s v="8101|00014843"/>
        <s v="8101|00014850"/>
        <s v="8101|00014867"/>
        <s v="8101|00014875"/>
        <s v="8101|00014881"/>
        <s v="8101|00014896"/>
        <s v="8101|00014900"/>
        <s v="8101|00014910"/>
        <s v="8101|00014925"/>
        <s v="8101|00014934"/>
        <s v="8101|00014945"/>
        <s v="8101|00014950"/>
        <s v="8101|00014960"/>
        <s v="8101|00014977"/>
        <s v="8101|00014987"/>
        <s v="8101|00014998"/>
        <s v="8101|00015005"/>
        <s v="8101|00015024"/>
        <s v="8101|00015037"/>
        <s v="8101|00015041"/>
        <s v="8101|00015055"/>
        <s v="8101|00015061"/>
        <s v="8101|00015071"/>
        <s v="8101|00015084"/>
        <s v="8101|00015092"/>
        <s v="8101|00015100"/>
        <s v="8101|00015111"/>
        <s v="8101|00015125"/>
        <s v="8101|00015134"/>
        <s v="8101|00015150"/>
        <s v="8101|00015165"/>
        <s v="8101|00015171"/>
        <s v="8101|00015182"/>
        <s v="8101|00015191"/>
        <s v="8101|00015205"/>
        <s v="8101|00015215"/>
        <s v="8101|00015221"/>
        <s v="8101|00015236"/>
        <s v="8101|00015248"/>
        <s v="8101|00015257"/>
        <s v="8101|00015268"/>
        <s v="8101|00015288"/>
        <s v="8101|00015296"/>
        <s v="8101|00015304"/>
        <s v="8101|00015310"/>
        <s v="8101|00015327"/>
        <s v="8101|00015332"/>
        <s v="8101|00015347"/>
        <s v="8101|00015357"/>
        <s v="8101|00015368"/>
        <s v="8101|00015372"/>
        <s v="8101|00015381"/>
        <s v="8101|00015390"/>
        <s v="8101|00015407"/>
        <s v="8101|00015410"/>
        <s v="8101|00015426"/>
        <s v="8101|00015434"/>
        <s v="8101|00015440"/>
        <s v="8101|00015455"/>
        <s v="8101|00015468"/>
        <s v="8101|00015477"/>
        <s v="8101|00015491"/>
        <s v="8101|00015505"/>
        <s v="8101|00015513"/>
        <s v="8101|00015522"/>
        <s v="8101|00015538"/>
        <s v="8101|00015545"/>
        <s v="8101|00015550"/>
        <s v="8101|00015566"/>
        <s v="8101|00015573"/>
        <s v="8101|00015584"/>
        <s v="8101|00015594"/>
        <s v="8101|00015600"/>
        <s v="8101|00015613"/>
        <s v="8101|00015630"/>
        <s v="8101|00015644"/>
        <s v="8101|00015656"/>
        <s v="8101|00015667"/>
        <s v="8101|00015675"/>
        <s v="8101|00015684"/>
        <s v="8101|00015690"/>
        <s v="8101|00015708"/>
        <s v="8101|00015711"/>
        <s v="8101|00015725"/>
        <s v="8101|00015731"/>
        <s v="8101|00015748"/>
        <s v="8101|00015752"/>
        <s v="8101|00015764"/>
        <s v="8101|00015776"/>
        <s v="8101|00015793"/>
        <s v="8101|00015800"/>
        <s v="8101|00015816"/>
        <s v="8101|00015822"/>
        <s v="8101|00015835"/>
        <s v="8101|00015844"/>
        <s v="8101|00015851"/>
        <s v="8101|00015860"/>
        <s v="8101|00015878"/>
        <s v="8101|00015887"/>
        <s v="8101|00015892"/>
        <s v="8101|00015902"/>
        <s v="8101|00015910"/>
        <s v="8101|00015920"/>
        <s v="8101|00015934"/>
        <s v="8101|00015943"/>
        <s v="8101|00015957"/>
        <s v="8101|00015965"/>
        <s v="8101|00015970"/>
        <s v="8101|00015988"/>
        <s v="8101|00015991"/>
        <s v="8101|00016004"/>
        <s v="8101|00016018"/>
        <s v="8101|00016026"/>
        <s v="8101|00016036"/>
        <s v="8101|00016040"/>
        <s v="8101|00016053"/>
        <s v="8101|00016066"/>
        <s v="8101|00016075"/>
        <s v="8101|00016084"/>
        <s v="8101|00016094"/>
        <s v="8101|00016101"/>
        <s v="8101|00016117"/>
        <s v="8101|00016123"/>
        <s v="8101|00016131"/>
        <s v="8101|00016143"/>
        <s v="8101|00016154"/>
        <s v="8101|00016164"/>
        <s v="8101|00016176"/>
        <s v="8101|00016180"/>
        <s v="8101|00016191"/>
        <s v="8101|00016200"/>
        <s v="8101|00016210"/>
        <s v="8101|00016221"/>
        <s v="8101|00016236"/>
        <s v="8101|00016246"/>
        <s v="8101|00016255"/>
        <s v="8101|00016267"/>
        <s v="8101|00016270"/>
        <s v="8101|00016288"/>
        <s v="8101|00016296"/>
        <s v="8101|00016303"/>
        <s v="8101|00016318"/>
        <s v="8101|00016322"/>
        <s v="8101|00016332"/>
        <s v="8101|00016347"/>
        <s v="8101|00016353"/>
        <s v="8101|00016361"/>
        <s v="8101|00016377"/>
        <s v="8101|00016381"/>
        <s v="8101|00016398"/>
        <s v="8101|00016404"/>
        <s v="8101|00016411"/>
        <s v="8101|00016427"/>
        <s v="8101|00016437"/>
        <s v="8101|00016458"/>
        <s v="8101|00016463"/>
        <s v="8101|00016476"/>
        <s v="8101|00016488"/>
        <s v="8101|00016494"/>
        <s v="8101|00016504"/>
        <s v="8101|00016515"/>
        <s v="8101|00016531"/>
        <s v="8101|00016544"/>
        <s v="8101|00016561"/>
        <s v="8101|00016574"/>
        <s v="8101|00016585"/>
        <s v="8101|00016597"/>
        <s v="8101|00016604"/>
        <s v="8101|00016617"/>
        <s v="8101|00016628"/>
        <s v="8101|00016633"/>
        <s v="8101|00016642"/>
        <s v="8101|00016654"/>
        <s v="8101|00016660"/>
        <s v="8101|00016675"/>
        <s v="8101|00016686"/>
        <s v="8101|00016698"/>
        <s v="8101|00016705"/>
        <s v="8101|00016716"/>
        <s v="8101|00016720"/>
        <s v="8101|00016732"/>
        <s v="8101|00016748"/>
        <s v="8101|00016755"/>
        <s v="8101|00016765"/>
        <s v="8101|00016785"/>
        <s v="8101|00016797"/>
        <s v="8101|00016805"/>
        <s v="8101|00016818"/>
        <s v="8101|00016825"/>
        <s v="8101|00016834"/>
        <s v="8101|00016841"/>
        <s v="8101|00016856"/>
        <s v="8101|00016865"/>
        <s v="8101|00016872"/>
        <s v="8101|00016881"/>
        <s v="8101|00016895"/>
        <s v="8101|00016907"/>
        <s v="8101|00016912"/>
        <s v="8101|00016924"/>
        <s v="8101|00016938"/>
        <s v="8101|00016943"/>
        <s v="8101|00016956"/>
        <s v="8101|00016962"/>
        <s v="8101|00016973"/>
        <s v="8101|00016984"/>
        <s v="8101|00016995"/>
        <s v="8101|00017007"/>
        <s v="8101|00017014"/>
        <s v="8101|00017026"/>
        <s v="8101|00017031"/>
        <s v="8101|00017046"/>
        <s v="8101|00017053"/>
        <s v="8101|00017068"/>
        <s v="8101|00017076"/>
        <s v="8101|00017082"/>
        <s v="8101|00017097"/>
        <s v="8101|00017105"/>
        <s v="8101|00017112"/>
        <s v="8101|00017122"/>
        <s v="8101|00017132"/>
        <s v="8101|00017147"/>
        <s v="8101|00017153"/>
        <s v="8101|00017165"/>
        <s v="8101|00017177"/>
        <s v="8101|00017184"/>
        <s v="8101|00017198"/>
        <s v="8101|00017205"/>
        <s v="8101|00017214"/>
        <s v="8101|00017224"/>
        <s v="8101|00017232"/>
        <s v="8101|00017243"/>
        <s v="8101|00017254"/>
        <s v="8101|00017265"/>
        <s v="8101|00017284"/>
        <s v="8101|00017290"/>
        <s v="8101|00017307"/>
        <s v="8101|00017315"/>
        <s v="8101|00017324"/>
        <s v="8101|00017335"/>
        <s v="8101|00017341"/>
        <s v="8101|00017352"/>
        <s v="8101|00017360"/>
        <s v="8101|00017386"/>
        <s v="8101|00017395"/>
        <s v="8101|00017403"/>
        <s v="8101|00017414"/>
        <s v="8101|00017425"/>
        <s v="8101|00017437"/>
        <s v="8101|00017442"/>
        <s v="8101|00017450"/>
        <s v="8101|00017467"/>
        <s v="8101|00017473"/>
        <s v="8101|00017481"/>
        <s v="8101|00017496"/>
        <s v="8101|00017507"/>
        <s v="8101|00017517"/>
        <s v="8101|00017521"/>
        <s v="8101|00017531"/>
        <s v="8101|00017543"/>
        <s v="8101|00017551"/>
        <s v="8101|00017560"/>
        <s v="8101|00017577"/>
        <s v="8101|00017581"/>
        <s v="8101|00017598"/>
        <s v="8101|00017606"/>
        <s v="8101|00017616"/>
        <s v="8101|00017620"/>
        <s v="8101|00017632"/>
        <s v="8101|00017647"/>
        <s v="8101|00017657"/>
        <s v="8101|00017663"/>
        <s v="8101|00017678"/>
        <s v="8101|00017684"/>
        <s v="8101|00017693"/>
        <s v="8101|00017715"/>
        <s v="8101|00017725"/>
        <s v="8101|00017734"/>
        <s v="8101|00017740"/>
        <s v="8101|00017752"/>
        <s v="8101|00017768"/>
        <s v="8101|00017774"/>
        <s v="8101|00017783"/>
        <s v="8101|00017794"/>
        <s v="8101|00017806"/>
        <s v="8101|00017815"/>
        <s v="8101|00017823"/>
        <s v="8101|00017838"/>
        <s v="8101|00017843"/>
        <s v="8101|00017855"/>
        <s v="8101|00017862"/>
        <s v="8101|00017871"/>
        <s v="8101|00017881"/>
        <s v="8101|00017897"/>
        <s v="8101|00017907"/>
        <s v="8101|00017911"/>
        <s v="8101|00017921"/>
        <s v="8101|00017931"/>
        <s v="8101|00017941"/>
        <s v="8101|00017950"/>
        <s v="8101|00017967"/>
        <s v="8101|00017994"/>
        <s v="8101|00018005"/>
        <s v="8101|00018014"/>
        <s v="8101|00018024"/>
        <s v="8101|00018034"/>
        <s v="8101|00018046"/>
        <s v="8101|00018052"/>
        <s v="8101|00018068"/>
        <s v="8101|00018078"/>
        <s v="8101|00018088"/>
        <s v="8101|00018097"/>
        <s v="8101|00018102"/>
        <s v="8101|00018115"/>
        <s v="8101|00018123"/>
        <s v="8101|00018131"/>
        <s v="8101|00018146"/>
        <s v="8101|00018154"/>
        <s v="8101|00018165"/>
        <s v="8101|00018177"/>
        <s v="8101|00018197"/>
        <s v="8101|00018205"/>
        <s v="8101|00018218"/>
        <s v="8101|00018224"/>
        <s v="8101|00018231"/>
        <s v="8101|00018246"/>
        <s v="8101|00018255"/>
        <s v="8101|00018268"/>
        <s v="8101|00018277"/>
        <s v="8101|00018287"/>
        <s v="8101|00018293"/>
        <s v="8101|00018303"/>
        <s v="8101|00018310"/>
        <s v="8101|00018322"/>
        <s v="8101|00018330"/>
        <s v="8101|00018343"/>
        <s v="8101|00018356"/>
        <s v="8101|00018367"/>
        <s v="8101|00018371"/>
        <s v="8101|00018385"/>
        <s v="8101|00018395"/>
        <s v="8101|00018400"/>
        <s v="8101|00018413"/>
        <s v="8101|00018422"/>
        <s v="8101|00018445"/>
        <s v="8101|00018452"/>
        <s v="8101|00018461"/>
        <s v="8101|00018470"/>
        <s v="8101|00018492"/>
        <s v="8101|00018507"/>
        <s v="8101|00018517"/>
        <s v="8101|00018525"/>
        <s v="8101|00018531"/>
        <s v="8101|00018544"/>
        <s v="8101|00018552"/>
        <s v="8101|00018562"/>
        <s v="8101|00018573"/>
        <s v="8101|00018585"/>
        <s v="8101|00018595"/>
        <s v="8101|00018600"/>
        <s v="8101|00018617"/>
        <s v="8101|00018626"/>
        <s v="8101|00018636"/>
        <s v="8101|00018641"/>
        <s v="8101|00018655"/>
        <s v="8101|00018662"/>
        <s v="8101|00018675"/>
        <s v="8101|00018683"/>
        <s v="8101|00018693"/>
        <s v="8101|00018708"/>
        <s v="8101|00018710"/>
        <s v="8101|00018721"/>
        <s v="8101|00018731"/>
        <s v="8101|00018744"/>
        <s v="8101|00018762"/>
        <s v="8101|00018772"/>
        <s v="8101|00018793"/>
        <s v="8101|00018800"/>
        <s v="8101|00018818"/>
        <s v="8101|00018823"/>
        <s v="8101|00018835"/>
        <s v="8101|00018848"/>
        <s v="8101|00018854"/>
        <s v="8101|00018867"/>
        <s v="8101|00018875"/>
        <s v="8101|00018883"/>
        <s v="8101|00018898"/>
        <s v="8101|00018907"/>
        <s v="8101|00018911"/>
        <s v="8101|00018927"/>
        <s v="8101|00018931"/>
        <s v="8101|00018948"/>
        <s v="8101|00018951"/>
        <s v="8101|00018962"/>
        <s v="8101|00018976"/>
        <s v="8101|00018985"/>
        <s v="8101|00018997"/>
        <s v="8101|00019023"/>
        <s v="8101|00019035"/>
        <s v="8101|00019048"/>
        <s v="8101|00019057"/>
        <s v="8101|00019064"/>
        <s v="8101|00019074"/>
        <s v="8101|00019086"/>
        <s v="8101|00019094"/>
        <s v="8101|00019105"/>
        <s v="8101|00019115"/>
        <s v="8101|00019128"/>
        <s v="8101|00019134"/>
        <s v="8101|00019148"/>
        <s v="8101|00019151"/>
        <s v="8101|00019163"/>
        <s v="8101|00019171"/>
        <s v="8101|00019182"/>
        <s v="8101|00019192"/>
        <s v="8101|00019206"/>
        <s v="8101|00019214"/>
        <s v="8101|00019220"/>
        <s v="8101|00019235"/>
        <s v="8101|00019242"/>
        <s v="8101|00019258"/>
        <s v="8101|00019260"/>
        <s v="8101|00019270"/>
        <s v="8101|00019283"/>
        <s v="8101|00019294"/>
        <s v="8101|00019308"/>
        <s v="8101|00019312"/>
        <s v="8101|00019337"/>
        <s v="8101|00019344"/>
        <s v="8101|00019354"/>
        <s v="8101|00019360"/>
        <s v="8101|00019373"/>
        <s v="8101|00019386"/>
        <s v="8101|00019400"/>
        <s v="8101|00019413"/>
        <s v="8101|00019424"/>
        <s v="8101|00019436"/>
        <s v="8101|00019441"/>
        <s v="8101|00019456"/>
        <s v="8101|00019478"/>
        <s v="8101|00019481"/>
        <s v="8101|00019496"/>
        <s v="8101|00019504"/>
        <s v="8101|00019516"/>
        <s v="8101|00019521"/>
        <s v="8101|00019535"/>
        <s v="8101|00019542"/>
        <s v="8101|00019550"/>
        <s v="8101|00019566"/>
        <s v="8101|00019572"/>
        <s v="8101|00019580"/>
        <s v="8101|00019594"/>
        <s v="8101|00019600"/>
        <s v="8101|00019616"/>
        <s v="8101|00019622"/>
        <s v="8101|00019631"/>
        <s v="8101|00019640"/>
        <s v="8101|00019650"/>
        <s v="8101|00019660"/>
        <s v="8101|00019674"/>
        <s v="8101|00019687"/>
        <s v="8101|00019693"/>
        <s v="8101|00019706"/>
        <s v="8101|00019718"/>
        <s v="8101|00019728"/>
        <s v="8101|00019732"/>
        <s v="8101|00019740"/>
        <s v="8101|00019752"/>
        <s v="8101|00019765"/>
        <s v="8101|00019774"/>
        <s v="8101|00019788"/>
        <s v="8101|00019794"/>
        <s v="8101|00019802"/>
        <s v="8101|00019811"/>
        <s v="8101|00019825"/>
        <s v="8101|00019835"/>
        <s v="8101|00019840"/>
        <s v="8101|00019854"/>
        <s v="8101|00019863"/>
        <s v="8101|00019874"/>
        <s v="8101|00019887"/>
        <s v="8101|00019896"/>
        <s v="8101|00019901"/>
        <s v="8101|00019912"/>
        <s v="8101|00019920"/>
        <s v="8101|00019940"/>
        <s v="8101|00019952"/>
        <s v="8101|00019966"/>
        <s v="8101|00019977"/>
        <s v="8101|00019988"/>
        <s v="8101|00019991"/>
        <s v="8101|00020003"/>
        <s v="8101|00020017"/>
        <s v="8101|00020021"/>
        <s v="8101|00020037"/>
        <s v="8101|00020040"/>
        <s v="8101|00020056"/>
        <s v="8101|00020064"/>
        <s v="8101|00020078"/>
        <s v="8101|00020088"/>
        <s v="8101|00020094"/>
        <s v="8101|00020106"/>
        <s v="8101|00020111"/>
        <s v="8101|00020121"/>
        <s v="8101|00020134"/>
        <s v="8101|00020147"/>
        <s v="8101|00020152"/>
        <s v="8101|00020167"/>
        <s v="8101|00020176"/>
        <s v="8101|00020183"/>
        <s v="8101|00020197"/>
        <s v="8101|00020207"/>
        <s v="8101|00020210"/>
        <s v="8101|00020224"/>
        <s v="8101|00020238"/>
        <s v="8101|00020241"/>
        <s v="8101|00020250"/>
        <s v="8101|00020268"/>
        <s v="8101|00020275"/>
        <s v="8101|00020284"/>
        <s v="8101|00020293"/>
        <s v="8101|00020301"/>
        <s v="8101|00020314"/>
        <s v="8101|00020322"/>
        <s v="8101|00020331"/>
        <s v="8101|00020346"/>
        <s v="8101|00020358"/>
        <s v="8101|00020366"/>
        <s v="8101|00020371"/>
        <s v="8101|00020384"/>
        <s v="8101|00020398"/>
        <s v="8101|00020408"/>
        <s v="8101|00020411"/>
        <s v="8101|00020426"/>
        <s v="8101|00020441"/>
        <s v="8101|00020451"/>
        <s v="8101|00020467"/>
        <s v="8101|00020475"/>
        <s v="8101|00020486"/>
        <s v="8101|00020498"/>
        <s v="8101|00020507"/>
        <s v="8101|00020515"/>
        <s v="8101|00020521"/>
        <s v="8101|00020532"/>
        <s v="8101|00020544"/>
        <s v="8101|00020550"/>
        <s v="8101|00020562"/>
        <s v="8101|00020575"/>
        <s v="8101|00020580"/>
        <s v="8101|00020591"/>
        <s v="8101|00020607"/>
        <s v="8101|00020612"/>
        <s v="8101|00020625"/>
        <s v="8101|00020635"/>
        <s v="8101|00020641"/>
        <s v="8101|00020651"/>
        <s v="8101|00020660"/>
        <s v="8101|00020677"/>
        <s v="8101|00020688"/>
        <s v="8101|00020697"/>
        <s v="8101|00020706"/>
        <s v="8101|00020710"/>
        <s v="8101|00020723"/>
        <s v="8101|00020738"/>
        <s v="8101|00020755"/>
        <s v="8101|00020768"/>
        <s v="8101|00020772"/>
        <s v="8101|00020784"/>
        <s v="8101|00020794"/>
        <s v="8101|00020803"/>
        <s v="8101|00020817"/>
        <s v="8101|00020823"/>
        <s v="8101|00020835"/>
        <s v="8101|00020841"/>
        <s v="8101|00020855"/>
        <s v="8101|00020862"/>
        <s v="8101|00020878"/>
        <s v="8101|00020880"/>
        <s v="8101|00020890"/>
        <s v="8101|00020903"/>
        <s v="8101|00020917"/>
        <s v="8101|00020920"/>
        <s v="8101|00020934"/>
        <s v="8101|00020944"/>
        <s v="8101|00020954"/>
        <s v="8101|00020962"/>
        <s v="8101|00020978"/>
        <s v="8101|00020981"/>
        <s v="8101|00020996"/>
        <s v="8101|00021008"/>
        <s v="8101|00021012"/>
        <s v="8101|00021025"/>
        <s v="8101|00021038"/>
        <s v="8101|00021045"/>
        <s v="8101|00021057"/>
        <s v="8101|00021061"/>
        <s v="8101|00021070"/>
        <s v="8101|00021088"/>
        <s v="8101|00021091"/>
        <s v="8101|00021100"/>
        <s v="8101|00021115"/>
        <s v="8101|00021120"/>
        <s v="8101|00021130"/>
        <s v="8101|00021147"/>
        <s v="8101|00021150"/>
        <s v="8101|00021170"/>
        <s v="8101|00021186"/>
        <s v="8101|00021192"/>
        <s v="8101|00021203"/>
        <s v="8101|00021213"/>
        <s v="8101|00021220"/>
        <s v="8101|00021234"/>
        <s v="8101|00021242"/>
        <s v="8101|00021253"/>
        <s v="8101|00021266"/>
        <s v="8101|00021275"/>
        <s v="8101|00021283"/>
        <s v="8101|00021292"/>
        <s v="8101|00021301"/>
        <s v="8101|00021322"/>
        <s v="8101|00021330"/>
        <s v="8101|00021342"/>
        <s v="8101|00021358"/>
        <s v="8101|00021363"/>
        <s v="8101|00021370"/>
        <s v="8101|00021384"/>
        <s v="8101|00021390"/>
        <s v="8101|00021408"/>
        <s v="8101|00021416"/>
        <s v="8101|00021423"/>
        <s v="8101|00021434"/>
        <s v="8101|00021444"/>
        <s v="8101|00021456"/>
        <s v="8101|00021467"/>
        <s v="8101|00021471"/>
        <s v="8101|00021480"/>
        <s v="8101|00021495"/>
        <s v="8101|00021500"/>
        <s v="8101|00021524"/>
        <s v="8101|00021532"/>
        <s v="8101|00021544"/>
        <s v="8101|00021555"/>
        <s v="8101|00021567"/>
        <s v="8101|00021570"/>
        <s v="8101|00021585"/>
        <s v="8101|00021590"/>
        <s v="8101|00021606"/>
        <s v="8101|00021615"/>
        <s v="8101|00021624"/>
        <s v="8101|00021638"/>
        <s v="8101|00021646"/>
        <s v="8101|00021650"/>
        <s v="8101|00021665"/>
        <s v="8101|00021677"/>
        <s v="8101|00021685"/>
        <s v="8101|00021695"/>
        <s v="8101|00021706"/>
        <s v="8101|00021717"/>
        <s v="8101|00021728"/>
        <s v="8101|00021735"/>
        <s v="8101|00021747"/>
        <s v="8101|00021757"/>
        <s v="8101|00021767"/>
        <s v="8101|00021778"/>
        <s v="8101|00021786"/>
        <s v="8101|00021792"/>
        <s v="8101|00021801"/>
        <s v="8101|00021815"/>
        <s v="8101|00021820"/>
        <s v="8101|00021836"/>
        <s v="8101|00021848"/>
        <s v="8101|00021854"/>
        <s v="8101|00021863"/>
        <s v="8101|00021871"/>
        <s v="8101|00021883"/>
        <s v="8101|00021895"/>
        <s v="8101|00021904"/>
        <s v="8101|00021916"/>
        <s v="8101|00021927"/>
        <s v="8101|00021937"/>
        <s v="8101|00021948"/>
        <s v="8101|00021957"/>
        <s v="8101|00021966"/>
        <s v="8101|00021970"/>
        <s v="8101|00021988"/>
        <s v="8101|00021993"/>
        <s v="8101|00022008"/>
        <s v="8101|00022010"/>
        <s v="8101|00022026"/>
        <s v="8101|00022034"/>
        <s v="8101|00022048"/>
        <s v="8101|00022058"/>
        <s v="8101|00022062"/>
        <s v="8101|00022073"/>
        <s v="8101|00022083"/>
        <s v="8101|00022091"/>
        <s v="8101|00022106"/>
        <s v="8101|00022112"/>
        <s v="8101|00022127"/>
        <s v="8101|00022131"/>
        <s v="8101|00022143"/>
        <s v="8101|00022156"/>
        <s v="8101|00022163"/>
        <s v="8101|00022170"/>
        <s v="8101|00022183"/>
        <s v="8101|00022191"/>
        <s v="8101|00022213"/>
        <s v="8101|00022222"/>
        <s v="8101|00022235"/>
        <s v="8101|00022244"/>
        <s v="8101|00022251"/>
        <s v="8101|00022262"/>
        <s v="8101|00022273"/>
        <s v="8101|00022286"/>
        <s v="8101|00022294"/>
        <s v="8101|00022307"/>
        <s v="8101|00022312"/>
        <s v="8101|00022320"/>
        <s v="8101|00022330"/>
        <s v="8101|00022342"/>
        <s v="8101|00022354"/>
        <s v="8101|00022364"/>
        <s v="8101|00022373"/>
        <s v="8101|00022380"/>
        <s v="8101|00022398"/>
        <s v="8101|00022405"/>
        <s v="8101|00022418"/>
        <s v="8101|00022426"/>
        <s v="8101|00022432"/>
        <s v="8101|00022442"/>
        <s v="8101|00022453"/>
        <s v="8101|00022472"/>
        <s v="8101|00022488"/>
        <s v="8101|00022495"/>
        <s v="8101|00022500"/>
        <s v="8101|00022511"/>
        <s v="8101|00022526"/>
        <s v="8101|00022533"/>
        <s v="8101|00022544"/>
        <s v="8101|00022556"/>
        <s v="8101|00022561"/>
        <s v="8101|00022576"/>
        <s v="8101|00022584"/>
        <s v="8101|00022597"/>
        <s v="8101|00022608"/>
        <s v="8101|00022611"/>
        <s v="8101|00022622"/>
        <s v="8101|00022632"/>
        <s v="8101|00022642"/>
        <s v="8101|00022653"/>
        <s v="8101|00022661"/>
        <s v="8101|00022678"/>
        <s v="8101|00022688"/>
        <s v="8101|00022695"/>
        <s v="8101|00022700"/>
        <s v="8101|00022714"/>
        <s v="8101|00022738"/>
        <s v="8101|00022748"/>
        <s v="8101|00022753"/>
        <s v="8101|00022768"/>
        <s v="8101|00022770"/>
        <s v="8101|00022788"/>
        <s v="8101|00022793"/>
        <s v="8101|00022806"/>
        <s v="8101|00022817"/>
        <s v="8101|00022826"/>
        <s v="8101|00022831"/>
        <s v="8101|00022858"/>
        <s v="8101|00022868"/>
        <s v="8101|00022875"/>
        <s v="8101|00022887"/>
        <s v="8101|00022898"/>
        <s v="8101|00022906"/>
        <s v="8101|00022918"/>
        <s v="8101|00022922"/>
        <s v="8101|00022931"/>
        <s v="8101|00022940"/>
        <s v="8101|00022951"/>
        <s v="8101|00022963"/>
        <s v="8101|00022978"/>
        <s v="8101|00022980"/>
        <s v="8101|00022993"/>
        <s v="8101|00023008"/>
        <s v="8101|00023014"/>
        <s v="8101|00023026"/>
        <s v="8101|00023038"/>
        <s v="8101|00023048"/>
        <s v="8101|00023056"/>
        <s v="8101|00023068"/>
        <s v="8101|00023073"/>
        <s v="8101|00023080"/>
        <s v="8101|00023094"/>
        <s v="8101|00023105"/>
        <s v="8101|00023115"/>
        <s v="8101|00023121"/>
        <s v="8101|00023130"/>
        <s v="8101|00023148"/>
        <s v="8101|00023156"/>
        <s v="8101|00023160"/>
        <s v="8101|00023172"/>
        <s v="8101|00023185"/>
        <s v="8101|00023196"/>
        <s v="8101|00023208"/>
        <s v="8101|00023218"/>
        <s v="8101|00023234"/>
        <s v="8101|00023247"/>
        <s v="8101|00023258"/>
        <s v="8101|00023264"/>
        <s v="8101|00023271"/>
        <s v="8101|00023280"/>
        <s v="8101|00023297"/>
        <s v="8101|00023300"/>
        <s v="8101|00023318"/>
        <s v="8101|00023323"/>
        <s v="8101|00023334"/>
        <s v="8101|00023341"/>
        <s v="8101|00023358"/>
        <s v="8101|00023375"/>
        <s v="8101|00023384"/>
        <s v="8101|00023390"/>
        <s v="8101|00023401"/>
        <s v="8101|00023415"/>
        <s v="8101|00023436"/>
        <s v="8101|00023444"/>
        <s v="8101|00023458"/>
        <s v="8101|00023462"/>
        <s v="8101|00023472"/>
        <s v="8101|00023483"/>
        <s v="8101|00023505"/>
        <s v="8101|00023518"/>
        <s v="8101|00023525"/>
        <s v="8101|00023536"/>
        <s v="8101|00023545"/>
        <s v="8101|00023551"/>
        <s v="8101|00023566"/>
        <s v="8101|00023578"/>
        <s v="8101|00023583"/>
        <s v="8101|00023590"/>
        <s v="8101|00023600"/>
        <s v="8101|00023614"/>
        <s v="8101|00023627"/>
        <s v="8101|00023637"/>
        <s v="8101|00023658"/>
        <s v="8101|00023668"/>
        <s v="8101|00023675"/>
        <s v="8101|00023680"/>
        <s v="8101|00023690"/>
        <s v="8101|00023703"/>
        <s v="8101|00023716"/>
        <s v="8101|00023720"/>
        <s v="8101|00023737"/>
        <s v="8101|00023748"/>
        <s v="8101|00023763"/>
        <s v="8101|00023774"/>
        <s v="8101|00023788"/>
        <s v="8101|00023790"/>
        <s v="8101|00023808"/>
        <s v="8101|00023811"/>
        <s v="8101|00023827"/>
        <s v="8101|00023838"/>
        <s v="8101|00023842"/>
        <s v="8101|00023858"/>
        <s v="8101|00023868"/>
        <s v="8101|00023877"/>
        <s v="8101|00023886"/>
        <s v="8101|00023892"/>
        <s v="8101|00023900"/>
        <s v="8101|00023914"/>
        <s v="8101|00023920"/>
        <s v="8101|00023937"/>
        <s v="8101|00023948"/>
        <s v="8101|00023958"/>
        <s v="8101|00023964"/>
        <s v="8101|00023975"/>
        <s v="8101|00023983"/>
        <s v="8101|00023991"/>
        <s v="8101|00024005"/>
        <s v="8101|00024014"/>
        <s v="8101|00024025"/>
        <s v="8101|00024035"/>
        <s v="8101|00024048"/>
        <s v="8101|00024058"/>
        <s v="8101|00024066"/>
        <s v="8101|00024077"/>
        <s v="8101|00024086"/>
        <s v="8101|00024096"/>
        <s v="8101|00024100"/>
        <s v="8101|00024116"/>
        <s v="8101|00024126"/>
        <s v="8101|00024138"/>
        <s v="8101|00024143"/>
        <s v="8101|00024151"/>
        <s v="8101|00024167"/>
        <s v="8101|00024177"/>
        <s v="8101|00024183"/>
        <s v="8101|00024191"/>
        <s v="8101|00024208"/>
        <s v="8101|00024218"/>
        <s v="8101|00024220"/>
        <s v="8101|00024232"/>
        <s v="8101|00024240"/>
        <s v="8101|00024255"/>
        <s v="8101|00024262"/>
        <s v="8101|00024275"/>
        <s v="8101|00024285"/>
        <s v="8101|00024292"/>
        <s v="8101|00024305"/>
        <s v="8101|00024311"/>
        <s v="8101|00024323"/>
        <s v="8101|00024336"/>
        <s v="8101|00024342"/>
        <s v="8101|00024366"/>
        <s v="8101|00024370"/>
        <s v="8101|00024382"/>
        <s v="8101|00024393"/>
        <s v="8101|00024408"/>
        <s v="8101|00024415"/>
        <s v="8101|00024422"/>
        <s v="8101|00024431"/>
        <s v="8101|00024448"/>
        <s v="8101|00024452"/>
        <s v="8101|00024461"/>
        <s v="8101|00024476"/>
        <s v="8101|00024480"/>
        <s v="8101|00024492"/>
        <s v="8101|00024508"/>
        <s v="8101|00024514"/>
        <s v="8101|00024521"/>
        <s v="8101|00024537"/>
        <s v="8101|00024545"/>
        <s v="8101|00024552"/>
        <s v="8101|00024562"/>
        <s v="8101|00024570"/>
        <s v="8101|00024588"/>
        <s v="8101|00024595"/>
        <s v="8101|00024605"/>
        <s v="8101|00024614"/>
        <s v="8101|00024627"/>
        <s v="8101|00024631"/>
        <s v="8101|00024644"/>
        <s v="8101|00024658"/>
        <s v="8101|00024664"/>
        <s v="8101|00024675"/>
        <s v="8101|00024686"/>
        <s v="8101|00024696"/>
        <s v="8101|00024704"/>
        <s v="8101|00024717"/>
        <s v="8101|00024736"/>
        <s v="8101|00024740"/>
        <s v="8101|00024757"/>
        <s v="8101|00024762"/>
        <s v="8101|00024778"/>
        <s v="8101|00024788"/>
        <s v="8101|00024791"/>
        <s v="8101|00024808"/>
        <s v="8101|00024810"/>
        <s v="8101|00024827"/>
        <s v="8101|00024832"/>
        <s v="8101|00024845"/>
        <s v="8101|00024853"/>
        <s v="8101|00024864"/>
        <s v="8101|00024871"/>
        <s v="8101|00024886"/>
        <s v="8101|00024890"/>
        <s v="8101|00024907"/>
        <s v="8101|00024915"/>
        <s v="8101|00024927"/>
        <s v="8101|00024935"/>
        <s v="8101|00024945"/>
        <s v="8101|00024957"/>
        <s v="8101|00024962"/>
        <s v="8101|00024976"/>
        <s v="8101|00024987"/>
        <s v="8101|00024990"/>
        <s v="8101|00025007"/>
        <s v="8101|00025011"/>
        <s v="8101|00025028"/>
        <s v="8101|00025034"/>
        <s v="8101|00025045"/>
        <s v="8101|00025052"/>
        <s v="8101|00025063"/>
        <s v="8101|00025076"/>
        <s v="8101|00025087"/>
        <s v="8101|00025095"/>
        <s v="8101|00025108"/>
        <s v="8101|00025115"/>
        <s v="8101|00025122"/>
        <s v="8101|00025136"/>
        <s v="8101|00025146"/>
        <s v="8101|00025155"/>
        <s v="8101|00025164"/>
        <s v="8101|00025173"/>
        <s v="8101|00025180"/>
        <s v="8101|00025192"/>
        <s v="8101|00025213"/>
        <s v="8101|00025224"/>
        <s v="8101|00025231"/>
        <s v="8101|00025242"/>
        <s v="8101|00025254"/>
        <s v="8101|00025265"/>
        <s v="8101|00025271"/>
        <s v="8101|00025288"/>
        <s v="8101|00025292"/>
        <s v="8101|00025326"/>
        <s v="8101|00025335"/>
        <s v="8101|00025347"/>
        <s v="8101|00025355"/>
        <s v="8101|00025366"/>
        <s v="8101|00025375"/>
        <s v="8101|00025386"/>
        <s v="8101|00025395"/>
        <s v="8101|00025406"/>
        <s v="8101|00025416"/>
        <s v="8101|00025422"/>
        <s v="8101|00025431"/>
        <s v="8101|00025440"/>
        <s v="8101|00025454"/>
        <s v="8101|00025462"/>
        <s v="8101|00025470"/>
        <s v="8101|00025483"/>
        <s v="8101|00025491"/>
        <s v="8101|00025500"/>
        <s v="8101|00025511"/>
        <s v="8101|00025526"/>
        <s v="8101|00025537"/>
        <s v="8101|00025541"/>
        <s v="8101|00025554"/>
        <s v="8101|00025561"/>
        <s v="8101|00025578"/>
        <s v="8101|00025585"/>
        <s v="8101|00025594"/>
        <s v="8101|00025605"/>
        <s v="8101|00025610"/>
        <s v="8101|00025620"/>
        <s v="8101|00025632"/>
        <s v="8101|00025642"/>
        <s v="8101|00025665"/>
        <s v="8101|00025670"/>
        <s v="8101|00025683"/>
        <s v="8101|00025693"/>
        <s v="8101|00025708"/>
        <s v="8101|00025713"/>
        <s v="8101|00025726"/>
        <s v="8101|00025732"/>
        <s v="8101|00025745"/>
        <s v="8101|00025753"/>
        <s v="8101|00025765"/>
        <s v="8101|00025778"/>
        <s v="8101|00025788"/>
        <s v="8101|00025796"/>
        <s v="8101|00025807"/>
        <s v="8101|00025810"/>
        <s v="8101|00025827"/>
        <s v="8101|00025838"/>
        <s v="8101|00025841"/>
        <s v="8101|00025853"/>
        <s v="8101|00025865"/>
        <s v="8101|00025874"/>
        <s v="8101|00025888"/>
        <s v="8101|00025905"/>
        <s v="8101|00025912"/>
        <s v="8101|00025928"/>
        <s v="8101|00025933"/>
        <s v="8101|00025947"/>
        <s v="8101|00025953"/>
        <s v="8101|00025966"/>
        <s v="8101|00025972"/>
        <s v="8101|00025982"/>
        <s v="8101|00025995"/>
        <s v="8101|00026003"/>
        <s v="8101|00026028"/>
        <s v="8101|00026038"/>
        <s v="8101|00026041"/>
        <s v="8101|00026052"/>
        <s v="8101|00026063"/>
        <s v="8101|00026088"/>
        <s v="8101|00026096"/>
        <s v="8101|00026104"/>
        <s v="8101|00026110"/>
        <s v="8101|00026128"/>
        <s v="8101|00026137"/>
        <s v="8101|00026141"/>
        <s v="8101|00026152"/>
        <s v="8101|00026161"/>
        <s v="8101|00026170"/>
        <s v="8101|00026186"/>
        <s v="8101|00026197"/>
        <s v="8101|00026208"/>
        <s v="8101|00026214"/>
        <s v="8101|00026223"/>
        <s v="8101|00026237"/>
        <s v="8101|00026245"/>
        <s v="8101|00026252"/>
        <s v="8101|00026267"/>
        <s v="8101|00026274"/>
        <s v="8101|00026286"/>
        <s v="8101|00026293"/>
        <s v="8101|00026300"/>
        <s v="8101|00026328"/>
        <s v="8101|00026330"/>
        <s v="8101|00026341"/>
        <s v="8101|00026352"/>
        <s v="8101|00026374"/>
        <s v="8101|00026380"/>
        <s v="8101|00026391"/>
        <s v="8101|00026407"/>
        <s v="8101|00026414"/>
        <s v="8101|00026421"/>
        <s v="8101|00026437"/>
        <s v="8101|00026443"/>
        <s v="8101|00026451"/>
        <s v="8101|00026467"/>
        <s v="8101|00026478"/>
        <s v="8101|00026485"/>
        <s v="8101|00026495"/>
        <s v="8101|00026506"/>
        <s v="8101|00026517"/>
        <s v="8101|00026527"/>
        <s v="8101|00026531"/>
        <s v="8101|00026543"/>
        <s v="8101|00026553"/>
        <s v="8101|00026567"/>
        <s v="8101|00026570"/>
        <s v="8101|00026581"/>
        <s v="8101|00026591"/>
        <s v="8101|00026614"/>
        <s v="8101|00026620"/>
        <s v="8101|00026638"/>
        <s v="8101|00026641"/>
        <s v="8101|00026656"/>
        <s v="8101|00026663"/>
        <s v="8101|00026672"/>
        <s v="8101|00026682"/>
        <s v="8101|00026702"/>
        <s v="8101|00026718"/>
        <s v="8101|00026727"/>
        <s v="8101|00026733"/>
        <s v="8101|00026740"/>
        <s v="8101|00026756"/>
        <s v="8101|00026766"/>
        <s v="8101|00026770"/>
        <s v="8101|00026783"/>
        <s v="8101|00026805"/>
        <s v="8101|00026813"/>
        <s v="8101|00026824"/>
        <s v="8101|00026830"/>
        <s v="8101|00026845"/>
        <s v="8101|00026857"/>
        <s v="8101|00026864"/>
        <s v="8101|00026877"/>
        <s v="8101|00026882"/>
        <s v="8101|00026891"/>
        <s v="8101|00026903"/>
        <s v="8101|00026911"/>
        <s v="8101|00026924"/>
        <s v="8101|00026931"/>
        <s v="8101|00026940"/>
        <s v="8101|00026958"/>
        <s v="8101|00026964"/>
        <s v="8101|00026972"/>
        <s v="8101|00026985"/>
        <s v="8101|00026990"/>
        <s v="8101|00027003"/>
        <s v="8101|00027010"/>
        <s v="8101|00027025"/>
        <s v="8101|00027033"/>
        <s v="8101|00027047"/>
        <s v="8101|00027055"/>
        <s v="8101|00027075"/>
        <s v="8101|00027084"/>
        <s v="8101|00027096"/>
        <s v="8101|00027101"/>
        <s v="8101|00027117"/>
        <s v="8101|00027125"/>
        <s v="8101|00027133"/>
        <s v="8101|00027148"/>
        <s v="8101|00027158"/>
        <s v="8101|00027167"/>
        <s v="8101|00027171"/>
        <s v="8101|00027182"/>
        <s v="8101|00027193"/>
        <s v="8101|00027202"/>
        <s v="8101|00027212"/>
        <s v="8101|00027225"/>
        <s v="8101|00027235"/>
        <s v="8101|00027247"/>
        <s v="8101|00027250"/>
        <s v="8101|00027265"/>
        <s v="8101|00027277"/>
        <s v="8101|00027284"/>
        <s v="8101|00027298"/>
        <s v="8101|00027314"/>
        <s v="8101|00027320"/>
        <s v="8101|00027330"/>
        <s v="8101|00027347"/>
        <s v="8101|00027352"/>
        <s v="8101|00027367"/>
        <s v="8101|00027372"/>
        <s v="8101|00027386"/>
        <s v="8101|00027393"/>
        <s v="8101|00027405"/>
        <s v="8101|00027416"/>
        <s v="8101|00027420"/>
        <s v="8101|00027438"/>
        <s v="8101|00027444"/>
        <s v="8101|00027458"/>
        <s v="8101|00027466"/>
        <s v="8101|00027474"/>
        <s v="8101|00027480"/>
        <s v="8101|00027497"/>
        <s v="8101|00027504"/>
        <s v="8101|00027515"/>
        <s v="8101|00027530"/>
        <s v="8101|00027548"/>
        <s v="8101|00027554"/>
        <s v="8101|00027566"/>
        <s v="8101|00027576"/>
        <s v="8101|00027588"/>
        <s v="8101|00027598"/>
        <s v="8101|00027608"/>
        <s v="8101|00027613"/>
        <s v="8101|00027623"/>
        <s v="8101|00027631"/>
        <s v="8101|00027648"/>
        <s v="8101|00027654"/>
        <s v="8101|00027671"/>
        <s v="8101|00027684"/>
        <s v="8101|00027692"/>
        <s v="8101|00027708"/>
        <s v="8101|00027716"/>
        <s v="8101|00027722"/>
        <s v="8101|00027743"/>
        <s v="8101|00027753"/>
        <s v="8101|00027767"/>
        <s v="8101|00027777"/>
        <s v="8101|00027785"/>
        <s v="8101|00027790"/>
        <s v="8101|00027804"/>
        <s v="8101|00027813"/>
        <s v="8101|00027823"/>
        <s v="8101|00027838"/>
        <s v="8101|00027840"/>
        <s v="8101|00027850"/>
        <s v="8101|00027860"/>
        <s v="8101|00027878"/>
        <s v="8101|00027884"/>
        <s v="8101|00027902"/>
        <s v="8101|00027910"/>
        <s v="8101|00027924"/>
        <s v="8101|00027933"/>
        <s v="8101|00027948"/>
        <s v="8101|00027956"/>
        <s v="8101|00027966"/>
        <s v="8101|00027978"/>
        <s v="8101|00027988"/>
        <s v="8101|00028001"/>
        <s v="8101|00028018"/>
        <s v="8101|00028024"/>
        <s v="8101|00028033"/>
        <s v="8101|00028046"/>
        <s v="8101|00028054"/>
        <s v="8101|00028064"/>
        <s v="8101|00028076"/>
        <s v="8101|00028086"/>
        <s v="8101|00028090"/>
        <s v="8101|00028101"/>
        <s v="8101|00028118"/>
        <s v="8101|00028121"/>
        <s v="8101|00028132"/>
        <s v="8101|00028143"/>
        <s v="8101|00028157"/>
        <s v="8101|00028160"/>
        <s v="8101|00028171"/>
        <s v="8101|00028185"/>
        <s v="8101|00028196"/>
        <s v="8101|00028204"/>
        <s v="8101|00028210"/>
        <s v="8101|00028222"/>
        <s v="8101|00028236"/>
        <s v="8101|00028247"/>
        <s v="8101|00028267"/>
        <s v="8101|00028271"/>
        <s v="8101|00028280"/>
        <s v="8101|00028290"/>
        <s v="8101|00028306"/>
        <s v="8101|00028313"/>
        <s v="8101|00028324"/>
        <s v="8101|00028330"/>
        <s v="8101|00028344"/>
        <s v="8101|00028351"/>
        <s v="8101|00028373"/>
        <s v="8101|00028388"/>
        <s v="8101|00028397"/>
        <s v="8101|00028408"/>
        <s v="8101|00028417"/>
        <s v="8101|00028423"/>
        <s v="8101|00028433"/>
        <s v="8101|00028443"/>
        <s v="8101|00028467"/>
        <s v="8101|00028477"/>
        <s v="8101|00028481"/>
        <s v="8101|00028494"/>
        <s v="8101|00028500"/>
        <s v="8101|00028518"/>
        <s v="8101|00028527"/>
        <s v="8101|00028530"/>
        <s v="8101|00028542"/>
        <s v="8101|00028553"/>
        <s v="8101|00028566"/>
        <s v="8101|00028575"/>
        <s v="8101|00028584"/>
        <s v="8101|00028595"/>
        <s v="8101|00028606"/>
        <s v="8101|00028610"/>
        <s v="8101|00028628"/>
        <s v="8101|00028630"/>
        <s v="8101|00028642"/>
        <s v="8101|00028654"/>
        <s v="8101|00028660"/>
        <s v="8101|00028672"/>
        <s v="8101|00028683"/>
        <s v="8101|00028697"/>
        <s v="8101|00028708"/>
        <s v="8101|00028710"/>
        <s v="8101|00028727"/>
        <s v="8101|00028735"/>
        <s v="8101|00028745"/>
        <s v="8101|00028753"/>
        <s v="8101|00028763"/>
        <s v="8101|00028778"/>
        <s v="8101|00028788"/>
        <s v="8101|00028810"/>
        <s v="8101|00028822"/>
        <s v="8101|00028835"/>
        <s v="8101|00028840"/>
        <s v="8101|00028858"/>
        <s v="8101|00028868"/>
        <s v="8101|00028875"/>
        <s v="8101|00028886"/>
        <s v="8101|00028891"/>
        <s v="8101|00028912"/>
        <s v="8101|00028926"/>
        <s v="8101|00028942"/>
        <s v="8101|00028965"/>
        <s v="8101|00028972"/>
        <s v="8101|00028981"/>
        <s v="8101|00028992"/>
        <s v="8101|00029004"/>
        <s v="8101|00029033"/>
        <s v="8101|00029041"/>
        <s v="8101|00029097"/>
        <s v="8101|00029103"/>
        <s v="8101|00029122"/>
        <s v="8101|00029156"/>
        <s v="8101|00029177"/>
        <s v="8101|00029190"/>
        <s v="8101|00029203"/>
        <s v="8101|00029217"/>
        <s v="8101|00029240"/>
        <s v="8101|00029254"/>
        <s v="8101|00029261"/>
        <s v="8101|00029285"/>
        <s v="8101|00029297"/>
        <s v="8101|00029304"/>
        <s v="8101|00029324"/>
        <s v="8101|00029331"/>
        <s v="8101|00029348"/>
        <s v="8101|00029368"/>
        <s v="8101|00029378"/>
        <s v="8101|00029390"/>
        <s v="8101|00029411"/>
        <s v="8101|00029428"/>
        <s v="8101|00029431"/>
        <s v="8101|00029461"/>
        <s v="8101|00029480"/>
        <s v="8101|00029497"/>
        <s v="8101|00029527"/>
        <s v="8101|00029530"/>
        <s v="8101|00029543"/>
        <s v="8101|00029557"/>
        <s v="8101|00029571"/>
        <s v="8101|00029603"/>
        <s v="8101|00029635"/>
        <s v="8101|00029673"/>
        <s v="8101|00029688"/>
        <s v="8101|00029702"/>
        <s v="8101|00029725"/>
        <s v="8101|00029743"/>
        <s v="8101|00029776"/>
        <s v="8101|00029794"/>
        <s v="8101|00029801"/>
        <s v="8101|00029841"/>
        <s v="8101|00029861"/>
        <s v="8101|00029878"/>
        <s v="8101|00029938"/>
        <s v="8101|00030041"/>
        <s v="8101|00030157"/>
        <s v="8101|00030175"/>
        <s v="8101|00030332"/>
        <s v="8101|00030486"/>
        <s v="8101|00030592"/>
        <s v="8101|00030620"/>
        <s v="8101|00030865"/>
        <s v="8101|00030888"/>
        <s v="8102|00003434"/>
        <s v="8102|00003827"/>
        <s v="8102|00004224"/>
        <s v="8102|00004235"/>
        <s v="8102|00004847"/>
        <s v="8102|00004852"/>
        <s v="8102|00004896"/>
        <s v="8102|00005424"/>
        <s v="8102|00005528"/>
        <s v="8102|00005676"/>
        <s v="8102|00005736"/>
        <s v="8102|00005805"/>
        <s v="8102|00005831"/>
        <s v="8102|00005855"/>
        <s v="8102|00005982"/>
        <s v="8102|00005996"/>
        <s v="8102|00006167"/>
        <s v="8102|00006186"/>
        <s v="8102|00006202"/>
        <s v="8102|00006211"/>
        <s v="8102|00006232"/>
        <s v="8102|00006253"/>
        <s v="8102|00006261"/>
        <s v="8102|00006356"/>
        <s v="8102|00006361"/>
        <s v="8102|00006374"/>
        <s v="8102|00006431"/>
        <s v="8102|00006450"/>
        <s v="8102|00006542"/>
        <s v="8102|00006563"/>
        <s v="8102|00006575"/>
        <s v="8102|00006595"/>
        <s v="8102|00006655"/>
        <s v="8102|00006660"/>
        <s v="8102|00006692"/>
        <s v="8102|00006701"/>
        <s v="8102|00006720"/>
        <s v="8102|00006784"/>
        <s v="8102|00006798"/>
        <s v="8102|00006802"/>
        <s v="8102|00006812"/>
        <s v="8102|00006843"/>
        <s v="8102|00006863"/>
        <s v="8102|00006888"/>
        <s v="8102|00006890"/>
        <s v="8102|00006915"/>
        <s v="8102|00006926"/>
        <s v="8102|00006933"/>
        <s v="8102|00006941"/>
        <s v="8102|00006954"/>
        <s v="8102|00006964"/>
        <s v="8102|00006970"/>
        <s v="8102|00006981"/>
        <s v="8102|00006993"/>
        <s v="8102|00007021"/>
        <s v="8102|00007043"/>
        <s v="8102|00007057"/>
        <s v="8102|00007065"/>
        <s v="8102|00007078"/>
        <s v="8102|00007081"/>
        <s v="8102|00007094"/>
        <s v="8102|00007166"/>
        <s v="8102|00007184"/>
        <s v="8102|00007198"/>
        <s v="8102|00007216"/>
        <s v="8102|00007245"/>
        <s v="8102|00007257"/>
        <s v="8102|00007262"/>
        <s v="8102|00007274"/>
        <s v="8102|00007320"/>
        <s v="8102|00007360"/>
        <s v="8102|00007373"/>
        <s v="8102|00007383"/>
        <s v="8102|00007421"/>
        <s v="8102|00007446"/>
        <s v="8102|00007463"/>
        <s v="8102|00007484"/>
        <s v="8102|00007492"/>
        <s v="8102|00007505"/>
        <s v="8102|00007518"/>
        <s v="8102|00007523"/>
        <s v="8102|00007538"/>
        <s v="8102|00007554"/>
        <s v="8102|00007561"/>
        <s v="8102|00007578"/>
        <s v="8102|00007586"/>
        <s v="8102|00007598"/>
        <s v="8102|00007605"/>
        <s v="8102|00007612"/>
        <s v="8102|00007628"/>
        <s v="8102|00007632"/>
        <s v="8102|00007647"/>
        <s v="8102|00007650"/>
        <s v="8102|00007668"/>
        <s v="8102|00007675"/>
        <s v="8102|00007685"/>
        <s v="8102|00007692"/>
        <s v="8102|00007704"/>
        <s v="8102|00007713"/>
        <s v="8102|00007728"/>
        <s v="8102|00007736"/>
        <s v="8102|00007755"/>
        <s v="8102|00007764"/>
        <s v="8102|00007774"/>
        <s v="8102|00007781"/>
        <s v="8102|00007793"/>
        <s v="8102|00007804"/>
        <s v="8102|00007815"/>
        <s v="8102|00007824"/>
        <s v="8102|00007833"/>
        <s v="8102|00007843"/>
        <s v="8102|00007852"/>
        <s v="8102|00007864"/>
        <s v="8102|00007878"/>
        <s v="8102|00007883"/>
        <s v="8102|00007896"/>
        <s v="8102|00007908"/>
        <s v="8102|00007914"/>
        <s v="8102|00007926"/>
        <s v="8102|00007930"/>
        <s v="8102|00007943"/>
        <s v="8102|00007955"/>
        <s v="8102|00007962"/>
        <s v="8102|00007978"/>
        <s v="8102|00007993"/>
        <s v="8102|00008007"/>
        <s v="8102|00008010"/>
        <s v="8102|00008023"/>
        <s v="8102|00008037"/>
        <s v="8102|00008040"/>
        <s v="8102|00008056"/>
        <s v="8102|00008067"/>
        <s v="8102|00008075"/>
        <s v="8102|00008080"/>
        <s v="8102|00008097"/>
        <s v="8102|00008105"/>
        <s v="8102|00008116"/>
        <s v="8102|00008121"/>
        <s v="8102|00008133"/>
        <s v="8102|00008147"/>
        <s v="8102|00008153"/>
        <s v="8102|00008164"/>
        <s v="8102|00008172"/>
        <s v="8102|00008186"/>
        <s v="8102|00008196"/>
        <s v="8102|00008208"/>
        <s v="8102|00008212"/>
        <s v="8102|00008221"/>
        <s v="8102|00008237"/>
        <s v="8102|00008245"/>
        <s v="8102|00008251"/>
        <s v="8102|00008264"/>
        <s v="8102|00008277"/>
        <s v="8102|00008285"/>
        <s v="8102|00008294"/>
        <s v="8102|00008305"/>
        <s v="8102|00008318"/>
        <s v="8102|00008327"/>
        <s v="8102|00008334"/>
        <s v="8102|00008340"/>
        <s v="8102|00008352"/>
        <s v="8102|00008377"/>
        <s v="8102|00008382"/>
        <s v="8102|00008396"/>
        <s v="8102|00008408"/>
        <s v="8102|00008413"/>
        <s v="8102|00008427"/>
        <s v="8102|00008437"/>
        <s v="8102|00008445"/>
        <s v="8102|00008457"/>
        <s v="8102|00008460"/>
        <s v="8102|00008470"/>
        <s v="8102|00008494"/>
        <s v="8102|00008501"/>
        <s v="8102|00008514"/>
        <s v="8102|00008522"/>
        <s v="8102|00008534"/>
        <s v="8102|00008540"/>
        <s v="8102|00008554"/>
        <s v="8102|00008562"/>
        <s v="8102|00008570"/>
        <s v="8102|00008582"/>
        <s v="8102|00008598"/>
        <s v="8102|00008601"/>
        <s v="8102|00008612"/>
        <s v="8102|00008635"/>
        <s v="8102|00008640"/>
        <s v="8102|00008650"/>
        <s v="8102|00008661"/>
        <s v="8102|00008670"/>
        <s v="8102|00008685"/>
        <s v="8102|00008695"/>
        <s v="8102|00008708"/>
        <s v="8102|00008718"/>
        <s v="8102|00008736"/>
        <s v="8102|00008744"/>
        <s v="8102|00008751"/>
        <s v="8102|00008778"/>
        <s v="8102|00008783"/>
        <s v="8102|00008798"/>
        <s v="8102|00008805"/>
        <s v="8102|00008815"/>
        <s v="8102|00008826"/>
        <s v="8102|00008833"/>
        <s v="8102|00008840"/>
        <s v="8102|00008858"/>
        <s v="8102|00008861"/>
        <s v="8102|00008875"/>
        <s v="8102|00008888"/>
        <s v="8102|00008892"/>
        <s v="8102|00008905"/>
        <s v="8102|00008913"/>
        <s v="8102|00008927"/>
        <s v="8102|00008934"/>
        <s v="8102|00008946"/>
        <s v="8102|00008957"/>
        <s v="8102|00008968"/>
        <s v="8102|00008976"/>
        <s v="8102|00008993"/>
        <s v="8102|00009000"/>
        <s v="8102|00009015"/>
        <s v="8102|00009028"/>
        <s v="8102|00009037"/>
        <s v="8102|00009040"/>
        <s v="8102|00009052"/>
        <s v="8102|00009061"/>
        <s v="8102|00009078"/>
        <s v="8102|00009082"/>
        <s v="8102|00009094"/>
        <s v="8102|00009105"/>
        <s v="8102|00009124"/>
        <s v="8102|00009130"/>
        <s v="8102|00009142"/>
        <s v="8102|00009156"/>
        <s v="8102|00009176"/>
        <s v="8102|00009187"/>
        <s v="8102|00009191"/>
        <s v="8102|00009203"/>
        <s v="8102|00009217"/>
        <s v="8102|00009224"/>
        <s v="8102|00009237"/>
        <s v="8102|00009244"/>
        <s v="8102|00009257"/>
        <s v="8102|00009261"/>
        <s v="8102|00009273"/>
        <s v="8102|00009286"/>
        <s v="8102|00009296"/>
        <s v="8102|00009302"/>
        <s v="8102|00009317"/>
        <s v="8102|00009325"/>
        <s v="8102|00009332"/>
        <s v="8102|00009345"/>
        <s v="8102|00009362"/>
        <s v="8102|00009373"/>
        <s v="8102|00009384"/>
        <s v="8102|00009394"/>
        <s v="8102|00009403"/>
        <s v="8102|00009413"/>
        <s v="8102|00009428"/>
        <s v="8102|00009436"/>
        <s v="8102|00009448"/>
        <s v="8102|00009451"/>
        <s v="8102|00009467"/>
        <s v="8102|00009474"/>
        <s v="8102|00009481"/>
        <s v="8102|00009498"/>
        <s v="8102|00009502"/>
        <s v="8102|00009517"/>
        <s v="8102|00009524"/>
        <s v="8102|00009546"/>
        <s v="8102|00009558"/>
        <s v="8102|00009560"/>
        <s v="8102|00009574"/>
        <s v="8102|00009587"/>
        <s v="8102|00009596"/>
        <s v="8102|00009601"/>
        <s v="8102|00009616"/>
        <s v="8102|00009637"/>
        <s v="8102|00009648"/>
        <s v="8102|00009656"/>
        <s v="8102|00009667"/>
        <s v="8102|00009670"/>
        <s v="8102|00009688"/>
        <s v="8102|00009697"/>
        <s v="8102|00009703"/>
        <s v="8102|00009711"/>
        <s v="8102|00009726"/>
        <s v="8102|00009736"/>
        <s v="8102|00009745"/>
        <s v="8102|00009753"/>
        <s v="8102|00009764"/>
        <s v="8102|00009773"/>
        <s v="8102|00009783"/>
        <s v="8102|00009795"/>
        <s v="8102|00009808"/>
        <s v="8102|00009818"/>
        <s v="8102|00009828"/>
        <s v="8102|00009834"/>
        <s v="8102|00009846"/>
        <s v="8102|00009854"/>
        <s v="8102|00009863"/>
        <s v="8102|00009872"/>
        <s v="8102|00009886"/>
        <s v="8102|00009896"/>
        <s v="8102|00009908"/>
        <s v="8102|00009917"/>
        <s v="8102|00009921"/>
        <s v="8102|00009935"/>
        <s v="8102|00009946"/>
        <s v="8102|00009958"/>
        <s v="8102|00009960"/>
        <s v="8102|00009975"/>
        <s v="8102|00009984"/>
        <s v="8102|00009997"/>
        <s v="8102|00010002"/>
        <s v="8102|00010017"/>
        <s v="8102|00010023"/>
        <s v="8102|00010034"/>
        <s v="8102|00010046"/>
        <s v="8102|00010051"/>
        <s v="8102|00010068"/>
        <s v="8102|00010072"/>
        <s v="8102|00010083"/>
        <s v="8102|00010092"/>
        <s v="8102|00010108"/>
        <s v="8102|00010115"/>
        <s v="8102|00010131"/>
        <s v="8102|00010157"/>
        <s v="8102|00010164"/>
        <s v="8102|00010186"/>
        <s v="8102|00010196"/>
        <s v="8102|00010207"/>
        <s v="8102|00010215"/>
        <s v="8102|00010227"/>
        <s v="8102|00010236"/>
        <s v="8102|00010244"/>
        <s v="8102|00010252"/>
        <s v="8102|00010267"/>
        <s v="8102|00010273"/>
        <s v="8102|00010286"/>
        <s v="8102|00010295"/>
        <s v="8102|00010307"/>
        <s v="8102|00010315"/>
        <s v="8102|00010321"/>
        <s v="8102|00010337"/>
        <s v="8102|00010348"/>
        <s v="8102|00010357"/>
        <s v="8102|00010362"/>
        <s v="8102|00010378"/>
        <s v="8102|00010381"/>
        <s v="8102|00010401"/>
        <s v="8102|00010417"/>
        <s v="8102|00010422"/>
        <s v="8102|00010438"/>
        <s v="8102|00010441"/>
        <s v="8102|00010450"/>
        <s v="8102|00010462"/>
        <s v="8102|00010471"/>
        <s v="8102|00010482"/>
        <s v="8102|00010492"/>
        <s v="8102|00010501"/>
        <s v="8102|00010511"/>
        <s v="8102|00010522"/>
        <s v="8102|00010533"/>
        <s v="8102|00010545"/>
        <s v="8102|00010557"/>
        <s v="8102|00010577"/>
        <s v="8102|00010588"/>
        <s v="8102|00010592"/>
        <s v="8102|00010606"/>
        <s v="8102|00010611"/>
        <s v="8102|00010620"/>
        <s v="8102|00010631"/>
        <s v="8102|00010647"/>
        <s v="8102|00010658"/>
        <s v="8102|00010664"/>
        <s v="8102|00010670"/>
        <s v="8102|00010681"/>
        <s v="8102|00010698"/>
        <s v="8102|00010702"/>
        <s v="8102|00010720"/>
        <s v="8102|00010731"/>
        <s v="8102|00010742"/>
        <s v="8102|00010756"/>
        <s v="8102|00010765"/>
        <s v="8102|00010771"/>
        <s v="8102|00010781"/>
        <s v="8102|00010797"/>
        <s v="8102|00010808"/>
        <s v="8102|00010811"/>
        <s v="8102|00010822"/>
        <s v="8102|00010830"/>
        <s v="8102|00010844"/>
        <s v="8102|00010856"/>
        <s v="8102|00010865"/>
        <s v="8102|00010873"/>
        <s v="8102|00010881"/>
        <s v="8102|00010895"/>
        <s v="8102|00010900"/>
        <s v="8102|00010916"/>
        <s v="8102|00010923"/>
        <s v="8102|00010930"/>
        <s v="8102|00010942"/>
        <s v="8102|00010957"/>
        <s v="8102|00010960"/>
        <s v="8102|00010978"/>
        <s v="8102|00010988"/>
        <s v="8102|00010998"/>
        <s v="8102|00011007"/>
        <s v="8102|00011012"/>
        <s v="8102|00011027"/>
        <s v="8102|00011045"/>
        <s v="8102|00011053"/>
        <s v="8102|00011065"/>
        <s v="8102|00011071"/>
        <s v="8102|00011083"/>
        <s v="8102|00011090"/>
        <s v="8102|00011108"/>
        <s v="8102|00011114"/>
        <s v="8102|00011133"/>
        <s v="8102|00011142"/>
        <s v="8102|00011151"/>
        <s v="8102|00011168"/>
        <s v="8102|00011173"/>
        <s v="8102|00011183"/>
        <s v="8102|00011198"/>
        <s v="8102|00011201"/>
        <s v="8102|00011217"/>
        <s v="8102|00011223"/>
        <s v="8102|00011232"/>
        <s v="8102|00011247"/>
        <s v="8102|00011250"/>
        <s v="8102|00011268"/>
        <s v="8102|00011272"/>
        <s v="8102|00011287"/>
        <s v="8102|00011295"/>
        <s v="8102|00011303"/>
        <s v="8102|00011315"/>
        <s v="8102|00011326"/>
        <s v="8102|00011334"/>
        <s v="8102|00011346"/>
        <s v="8102|00011351"/>
        <s v="8102|00011364"/>
        <s v="8102|00011376"/>
        <s v="8102|00011386"/>
        <s v="8102|00011398"/>
        <s v="8102|00011401"/>
        <s v="8102|00011413"/>
        <s v="8102|00011422"/>
        <s v="8102|00011436"/>
        <s v="8102|00011451"/>
        <s v="8102|00011465"/>
        <s v="8102|00011478"/>
        <s v="8102|00011485"/>
        <s v="8102|00011492"/>
        <s v="8102|00011503"/>
        <s v="8102|00011518"/>
        <s v="8102|00011526"/>
        <s v="8102|00011535"/>
        <s v="8102|00011547"/>
        <s v="8102|00011551"/>
        <s v="8102|00011577"/>
        <s v="8102|00011585"/>
        <s v="8102|00011592"/>
        <s v="8102|00011602"/>
        <s v="8102|00011613"/>
        <s v="8102|00011625"/>
        <s v="8102|00011634"/>
        <s v="8102|00011641"/>
        <s v="8102|00011654"/>
        <s v="8102|00011663"/>
        <s v="8102|00011672"/>
        <s v="8102|00011684"/>
        <s v="8102|00011698"/>
        <s v="8102|00011704"/>
        <s v="8102|00011712"/>
        <s v="8102|00011727"/>
        <s v="8102|00011735"/>
        <s v="8102|00011742"/>
        <s v="8102|00011750"/>
        <s v="8102|00011768"/>
        <s v="8102|00011773"/>
        <s v="8102|00011784"/>
        <s v="8102|00011798"/>
        <s v="8102|00011808"/>
        <s v="8102|00011817"/>
        <s v="8102|00011821"/>
        <s v="8102|00011834"/>
        <s v="8102|00011842"/>
        <s v="8102|00011858"/>
        <s v="8102|00011864"/>
        <s v="8102|00011875"/>
        <s v="8102|00011880"/>
        <s v="8102|00011906"/>
        <s v="8102|00011916"/>
        <s v="8102|00011927"/>
        <s v="8102|00011931"/>
        <s v="8102|00011947"/>
        <s v="8102|00011950"/>
        <s v="8102|00011961"/>
        <s v="8102|00011978"/>
        <s v="8102|00011981"/>
        <s v="8102|00011993"/>
        <s v="8102|00012001"/>
        <s v="8102|00012014"/>
        <s v="8102|00012026"/>
        <s v="8102|00012032"/>
        <s v="8102|00012047"/>
        <s v="8102|00012053"/>
        <s v="8102|00012068"/>
        <s v="8102|00012075"/>
        <s v="8102|00012084"/>
        <s v="8102|00012091"/>
        <s v="8102|00012102"/>
        <s v="8102|00012115"/>
        <s v="8102|00012122"/>
        <s v="8102|00012131"/>
        <s v="8102|00012145"/>
        <s v="8102|00012158"/>
        <s v="8102|00012167"/>
        <s v="8102|00012178"/>
        <s v="8102|00012186"/>
        <s v="8102|00012196"/>
        <s v="8102|00012201"/>
        <s v="8102|00012217"/>
        <s v="8102|00012220"/>
        <s v="8102|00012230"/>
        <s v="8102|00012246"/>
        <s v="8102|00012255"/>
        <s v="8102|00012265"/>
        <s v="8102|00012270"/>
        <s v="8102|00012288"/>
        <s v="8102|00012295"/>
        <s v="8102|00012304"/>
        <s v="8102|00012312"/>
        <s v="8102|00012320"/>
        <s v="8102|00012334"/>
        <s v="8102|00012340"/>
        <s v="8102|00012351"/>
        <s v="8102|00012368"/>
        <s v="8102|00012378"/>
        <s v="8102|00012383"/>
        <s v="8102|00012391"/>
        <s v="8102|00012408"/>
        <s v="8102|00012411"/>
        <s v="8102|00012427"/>
        <s v="8102|00012432"/>
        <s v="8102|00012448"/>
        <s v="8102|00012453"/>
        <s v="8102|00012460"/>
        <s v="8102|00012476"/>
        <s v="8102|00012488"/>
        <s v="8102|00012492"/>
        <s v="8102|00012505"/>
        <s v="8102|00012511"/>
        <s v="8102|00012526"/>
        <s v="8102|00012533"/>
        <s v="8102|00012543"/>
        <s v="8102|00012557"/>
        <s v="8102|00012567"/>
        <s v="8102|00012570"/>
        <s v="8102|00012595"/>
        <s v="8102|00012600"/>
        <s v="8102|00012623"/>
        <s v="8102|00012638"/>
        <s v="8102|00012645"/>
        <s v="8102|00012650"/>
        <s v="8102|00012667"/>
        <s v="8102|00012693"/>
        <s v="8102|00012702"/>
        <s v="8102|00012713"/>
        <s v="8102|00012720"/>
        <s v="8102|00012730"/>
        <s v="8102|00012745"/>
        <s v="8102|00012758"/>
        <s v="8102|00012768"/>
        <s v="8102|00012777"/>
        <s v="8102|00012788"/>
        <s v="8102|00012797"/>
        <s v="8102|00012804"/>
        <s v="8102|00012810"/>
        <s v="8102|00012824"/>
        <s v="8102|00012838"/>
        <s v="8102|00012845"/>
        <s v="8102|00012852"/>
        <s v="8102|00012867"/>
        <s v="8102|00012872"/>
        <s v="8102|00012884"/>
        <s v="8102|00012898"/>
        <s v="8102|00012907"/>
        <s v="8102|00012913"/>
        <s v="8102|00012923"/>
        <s v="8102|00012938"/>
        <s v="8102|00012943"/>
        <s v="8102|00012956"/>
        <s v="8102|00012978"/>
        <s v="8102|00012981"/>
        <s v="8102|00012998"/>
        <s v="8102|00013002"/>
        <s v="8102|00013018"/>
        <s v="8102|00013021"/>
        <s v="8102|00013032"/>
        <s v="8102|00013044"/>
        <s v="8102|00013054"/>
        <s v="8102|00013062"/>
        <s v="8102|00013070"/>
        <s v="8102|00013088"/>
        <s v="8102|00013098"/>
        <s v="8102|00013103"/>
        <s v="8102|00013112"/>
        <s v="8102|00013126"/>
        <s v="8102|00013136"/>
        <s v="8102|00013142"/>
        <s v="8102|00013158"/>
        <s v="8102|00013167"/>
        <s v="8102|00013177"/>
        <s v="8102|00013183"/>
        <s v="8102|00013190"/>
        <s v="8102|00013207"/>
        <s v="8102|00013217"/>
        <s v="8102|00013228"/>
        <s v="8102|00013235"/>
        <s v="8102|00013243"/>
        <s v="8102|00013250"/>
        <s v="8102|00013265"/>
        <s v="8102|00013270"/>
        <s v="8102|00013287"/>
        <s v="8102|00013290"/>
        <s v="8102|00013303"/>
        <s v="8102|00013310"/>
        <s v="8102|00013326"/>
        <s v="8102|00013331"/>
        <s v="8102|00013345"/>
        <s v="8102|00013351"/>
        <s v="8102|00013360"/>
        <s v="8102|00013371"/>
        <s v="8102|00013383"/>
        <s v="8102|00013392"/>
        <s v="8102|00013406"/>
        <s v="8102|00013410"/>
        <s v="8102|00013427"/>
        <s v="8102|00013436"/>
        <s v="8102|00013445"/>
        <s v="8102|00013450"/>
        <s v="8102|00013465"/>
        <s v="8102|00013470"/>
        <s v="8102|00013485"/>
        <s v="8102|00013491"/>
        <s v="8102|00013504"/>
        <s v="8102|00013512"/>
        <s v="8102|00013526"/>
        <s v="8102|00013532"/>
        <s v="8102|00013547"/>
        <s v="8102|00013554"/>
        <s v="8102|00013566"/>
        <s v="8102|00013574"/>
        <s v="8102|00013583"/>
        <s v="8102|00013598"/>
        <s v="8102|00013616"/>
        <s v="8102|00013625"/>
        <s v="8102|00013636"/>
        <s v="8102|00013647"/>
        <s v="8102|00013651"/>
        <s v="8102|00013670"/>
        <s v="8102|00013688"/>
        <s v="8102|00013690"/>
        <s v="8102|00013705"/>
        <s v="8102|00013714"/>
        <s v="8102|00013724"/>
        <s v="8102|00013734"/>
        <s v="8102|00013746"/>
        <s v="8102|00013751"/>
        <s v="8102|00013760"/>
        <s v="8102|00013771"/>
        <s v="8102|00013788"/>
        <s v="8102|00013795"/>
        <s v="8102|00013801"/>
        <s v="8102|00013812"/>
        <s v="8102|00013825"/>
        <s v="8102|00013838"/>
        <s v="8102|00013846"/>
        <s v="8102|00013852"/>
        <s v="8102|00013862"/>
        <s v="8102|00013882"/>
        <s v="8102|00013895"/>
        <s v="8102|00013907"/>
        <s v="8102|00013916"/>
        <s v="8102|00013928"/>
        <s v="8102|00013943"/>
        <s v="8102|00013950"/>
        <s v="8102|00013967"/>
        <s v="8102|00013970"/>
        <s v="8102|00013980"/>
        <s v="8102|00013992"/>
        <s v="8102|00014008"/>
        <s v="8102|00014011"/>
        <s v="8102|00014025"/>
        <s v="8102|00014037"/>
        <s v="8102|00014057"/>
        <s v="8102|00014066"/>
        <s v="8102|00014086"/>
        <s v="8102|00014097"/>
        <s v="8102|00014100"/>
        <s v="8102|00014115"/>
        <s v="8102|00014123"/>
        <s v="8102|00014134"/>
        <s v="8102|00014144"/>
        <s v="8102|00014156"/>
        <s v="8102|00014165"/>
        <s v="8102|00014176"/>
        <s v="8102|00014180"/>
        <s v="8102|00014191"/>
        <s v="8102|00014207"/>
        <s v="8102|00014218"/>
        <s v="8102|00014220"/>
        <s v="8102|00014234"/>
        <s v="8102|00014258"/>
        <s v="8102|00014268"/>
        <s v="8102|00014275"/>
        <s v="8102|00014293"/>
        <s v="8102|00014302"/>
        <s v="8102|00014317"/>
        <s v="8102|00014321"/>
        <s v="8102|00014335"/>
        <s v="8102|00014342"/>
        <s v="8102|00014351"/>
        <s v="8102|00014361"/>
        <s v="8102|00014370"/>
        <s v="8102|00014382"/>
        <s v="8102|00014390"/>
        <s v="8102|00014410"/>
        <s v="8102|00014421"/>
        <s v="8102|00014447"/>
        <s v="8102|00014463"/>
        <s v="8102|00014472"/>
        <s v="8102|00014482"/>
        <s v="8102|00014493"/>
        <s v="8102|00014501"/>
        <s v="8102|00014510"/>
        <s v="8102|00014522"/>
        <s v="8102|00014531"/>
        <s v="8102|00014543"/>
        <s v="8102|00014556"/>
        <s v="8102|00014566"/>
        <s v="8102|00014570"/>
        <s v="8102|00014598"/>
        <s v="8102|00014608"/>
        <s v="8102|00014611"/>
        <s v="8102|00014628"/>
        <s v="8102|00014633"/>
        <s v="8102|00014645"/>
        <s v="8102|00014650"/>
        <s v="8102|00014667"/>
        <s v="8102|00014673"/>
        <s v="8102|00014680"/>
        <s v="8102|00014694"/>
        <s v="8102|00014707"/>
        <s v="8102|00014718"/>
        <s v="8102|00014723"/>
        <s v="8102|00014731"/>
        <s v="8102|00014742"/>
        <s v="8102|00014752"/>
        <s v="8102|00014768"/>
        <s v="8102|00014777"/>
        <s v="8102|00014785"/>
        <s v="8102|00014797"/>
        <s v="8102|00014804"/>
        <s v="8102|00014812"/>
        <s v="8102|00014825"/>
        <s v="8102|00014836"/>
        <s v="8102|00014845"/>
        <s v="8102|00014854"/>
        <s v="8102|00014860"/>
        <s v="8102|00014878"/>
        <s v="8102|00014887"/>
        <s v="8102|00014891"/>
        <s v="8102|00014901"/>
        <s v="8102|00014915"/>
        <s v="8102|00014923"/>
        <s v="8102|00014941"/>
        <s v="8102|00014953"/>
        <s v="8102|00014965"/>
        <s v="8102|00014974"/>
        <s v="8102|00014994"/>
        <s v="8102|00015006"/>
        <s v="8102|00015013"/>
        <s v="8102|00015028"/>
        <s v="8102|00015031"/>
        <s v="8102|00015058"/>
        <s v="8102|00015061"/>
        <s v="8102|00015076"/>
        <s v="8102|00015082"/>
        <s v="8102|00015101"/>
        <s v="8102|00015114"/>
        <s v="8102|00015125"/>
        <s v="8102|00015136"/>
        <s v="8102|00015158"/>
        <s v="8102|00015161"/>
        <s v="8102|00015170"/>
        <s v="8102|00015190"/>
        <s v="8102|00015204"/>
        <s v="8102|00015223"/>
        <s v="8102|00015247"/>
        <s v="8102|00015257"/>
        <s v="8102|00015268"/>
        <s v="8102|00015274"/>
        <s v="8102|00015288"/>
        <s v="8102|00015294"/>
        <s v="8102|00015326"/>
        <s v="8102|00015336"/>
        <s v="8102|00015372"/>
        <s v="8102|00015388"/>
        <s v="8102|00015393"/>
        <s v="8102|00015404"/>
        <s v="8102|00015428"/>
        <s v="8102|00015438"/>
        <s v="8102|00015456"/>
        <s v="8102|00015467"/>
        <s v="8102|00015477"/>
        <s v="8102|00015486"/>
        <s v="8102|00015503"/>
        <s v="8102|00015510"/>
        <s v="8102|00015534"/>
        <s v="8102|00015545"/>
        <s v="8102|00015556"/>
        <s v="8102|00015563"/>
        <s v="8102|00015577"/>
        <s v="8102|00015582"/>
        <s v="8102|00015624"/>
        <s v="8102|00015635"/>
        <s v="8102|00015656"/>
        <s v="8102|00015695"/>
        <s v="8102|00015703"/>
        <s v="8102|00015720"/>
        <s v="8102|00015733"/>
        <s v="8102|00015780"/>
        <s v="8102|00015796"/>
        <s v="8102|00015802"/>
        <s v="8102|00015811"/>
        <s v="8102|00015842"/>
        <s v="8102|00015852"/>
        <s v="8102|00015863"/>
        <s v="8102|00015872"/>
        <s v="8102|00015904"/>
        <s v="8102|00015934"/>
        <s v="8102|00015945"/>
        <s v="8102|00015965"/>
        <s v="8102|00015977"/>
        <s v="8102|00016022"/>
        <s v="8102|00016048"/>
        <s v="8102|00016077"/>
        <s v="8102|00016098"/>
        <s v="8102|00016112"/>
        <s v="8102|00016124"/>
        <s v="8102|00016147"/>
        <s v="8102|00016151"/>
        <s v="8102|00016188"/>
        <s v="8102|00016195"/>
        <s v="8102|00016207"/>
        <s v="8102|00016210"/>
        <s v="8102|00016227"/>
        <s v="8102|00016233"/>
        <s v="8102|00016247"/>
        <s v="8102|00016253"/>
        <s v="8102|00016262"/>
        <s v="8102|00016272"/>
        <s v="8102|00016283"/>
        <s v="8102|00016296"/>
        <s v="8102|00016301"/>
        <s v="8102|00016310"/>
        <s v="8102|00016326"/>
        <s v="8102|00016335"/>
        <s v="8102|00016347"/>
        <s v="8102|00016353"/>
        <s v="8102|00016367"/>
        <s v="8102|00016371"/>
        <s v="8102|00016385"/>
        <s v="8102|00016391"/>
        <s v="8102|00016403"/>
        <s v="8102|00016417"/>
        <s v="8102|00016422"/>
        <s v="8102|00016431"/>
        <s v="8102|00016468"/>
        <s v="8102|00016471"/>
        <s v="8102|00016482"/>
        <s v="8102|00016498"/>
        <s v="8102|00016500"/>
        <s v="8102|00016513"/>
        <s v="8102|00016522"/>
        <s v="8102|00016548"/>
        <s v="8102|00016566"/>
        <s v="8102|00016585"/>
        <s v="8102|00016590"/>
        <s v="8102|00016602"/>
        <s v="8102|00016617"/>
        <s v="8102|00016622"/>
        <s v="8102|00016631"/>
        <s v="8102|00016640"/>
        <s v="8102|00016650"/>
        <s v="8102|00016663"/>
        <s v="8102|00016674"/>
        <s v="8102|00016686"/>
        <s v="8102|00016695"/>
        <s v="8102|00016704"/>
        <s v="8102|00016714"/>
        <s v="8102|00016725"/>
        <s v="8102|00016732"/>
        <s v="8102|00016747"/>
        <s v="8102|00016777"/>
        <s v="8102|00016786"/>
        <s v="8102|00016796"/>
        <s v="8102|00016808"/>
        <s v="8102|00016811"/>
        <s v="8102|00016820"/>
        <s v="8102|00016834"/>
        <s v="8102|00016846"/>
        <s v="8102|00016857"/>
        <s v="8102|00016860"/>
        <s v="8102|00016873"/>
        <s v="8102|00016882"/>
        <s v="8102|00016895"/>
        <s v="8102|00016907"/>
        <s v="8102|00016915"/>
        <s v="8102|00016927"/>
        <s v="8102|00016935"/>
        <s v="8102|00016948"/>
        <s v="8102|00016952"/>
        <s v="8102|00016960"/>
        <s v="8102|00016974"/>
        <s v="8102|00016980"/>
        <s v="8102|00016994"/>
        <s v="8102|00017007"/>
        <s v="8102|00017010"/>
        <s v="8102|00017022"/>
        <s v="8102|00017041"/>
        <s v="8102|00017056"/>
        <s v="8102|00017067"/>
        <s v="8102|00017077"/>
        <s v="8102|00017081"/>
        <s v="8102|00017093"/>
        <s v="8102|00017105"/>
        <s v="8102|00017113"/>
        <s v="8102|00017125"/>
        <s v="8102|00017134"/>
        <s v="8102|00017147"/>
        <s v="8102|00017155"/>
        <s v="8102|00017162"/>
        <s v="8102|00017170"/>
        <s v="8102|00017185"/>
        <s v="8102|00017195"/>
        <s v="8102|00017203"/>
        <s v="8102|00017217"/>
        <s v="8102|00017225"/>
        <s v="8102|00017235"/>
        <s v="8102|00017242"/>
        <s v="8102|00017256"/>
        <s v="8102|00017266"/>
        <s v="8102|00017271"/>
        <s v="8102|00017287"/>
        <s v="8102|00017297"/>
        <s v="8102|00017307"/>
        <s v="8102|00017313"/>
        <s v="8102|00017326"/>
        <s v="8102|00017337"/>
        <s v="8102|00017347"/>
        <s v="8102|00017350"/>
        <s v="8102|00017366"/>
        <s v="8102|00017377"/>
        <s v="8102|00017380"/>
        <s v="8102|00017395"/>
        <s v="8102|00017400"/>
        <s v="8102|00017418"/>
        <s v="8102|00017420"/>
        <s v="8102|00017437"/>
        <s v="8102|00017441"/>
        <s v="8102|00017457"/>
        <s v="8102|00017460"/>
        <s v="8102|00017474"/>
        <s v="8102|00017493"/>
        <s v="8102|00017506"/>
        <s v="8102|00017518"/>
        <s v="8102|00017523"/>
        <s v="8102|00017534"/>
        <s v="8102|00017544"/>
        <s v="8102|00017557"/>
        <s v="8102|00017567"/>
        <s v="8102|00017577"/>
        <s v="8102|00017588"/>
        <s v="8102|00017595"/>
        <s v="8102|00017617"/>
        <s v="8102|00017620"/>
        <s v="8102|00017647"/>
        <s v="8102|00017658"/>
        <s v="8102|00017664"/>
        <s v="8102|00017674"/>
        <s v="8102|00017688"/>
        <s v="8102|00017693"/>
        <s v="8102|00017706"/>
        <s v="8102|00017713"/>
        <s v="8102|00017724"/>
        <s v="8102|00017733"/>
        <s v="8102|00017744"/>
        <s v="8102|00017754"/>
        <s v="8102|00017761"/>
        <s v="8102|00017781"/>
        <s v="8102|00017797"/>
        <s v="8102|00017800"/>
        <s v="8102|00017812"/>
        <s v="8102|00017822"/>
        <s v="8102|00017835"/>
        <s v="8102|00017844"/>
        <s v="8102|00017857"/>
        <s v="8102|00017861"/>
        <s v="8102|00017875"/>
        <s v="8102|00017880"/>
        <s v="8102|00017891"/>
        <s v="8102|00017905"/>
        <s v="8102|00017918"/>
        <s v="8102|00017920"/>
        <s v="8102|00017937"/>
        <s v="8102|00017942"/>
        <s v="8102|00017953"/>
        <s v="8102|00017967"/>
        <s v="8102|00017970"/>
        <s v="8102|00017981"/>
        <s v="8102|00017996"/>
        <s v="8102|00018000"/>
        <s v="8102|00018025"/>
        <s v="8102|00018043"/>
        <s v="8102|00018054"/>
        <s v="8102|00018061"/>
        <s v="8102|00018077"/>
        <s v="8102|00018083"/>
        <s v="8102|00018096"/>
        <s v="8102|00018107"/>
        <s v="8102|00018110"/>
        <s v="8102|00018124"/>
        <s v="8102|00018133"/>
        <s v="8102|00018145"/>
        <s v="8102|00018155"/>
        <s v="8102|00018160"/>
        <s v="8102|00018174"/>
        <s v="8102|00018180"/>
        <s v="8102|00018193"/>
        <s v="8102|00018208"/>
        <s v="8102|00018214"/>
        <s v="8102|00018223"/>
        <s v="8102|00018236"/>
        <s v="8102|00018246"/>
        <s v="8102|00018255"/>
        <s v="8102|00018264"/>
        <s v="8102|00018272"/>
        <s v="8102|00018281"/>
        <s v="8102|00018296"/>
        <s v="8102|00018306"/>
        <s v="8102|00018311"/>
        <s v="8102|00018321"/>
        <s v="8102|00018330"/>
        <s v="8102|00018341"/>
        <s v="8102|00018351"/>
        <s v="8102|00018362"/>
        <s v="8102|00018371"/>
        <s v="8102|00018382"/>
        <s v="8102|00018395"/>
        <s v="8102|00018400"/>
        <s v="8102|00018410"/>
        <s v="8102|00018427"/>
        <s v="8102|00018447"/>
        <s v="8102|00018450"/>
        <s v="8102|00018465"/>
        <s v="8102|00018473"/>
        <s v="8102|00018481"/>
        <s v="8102|00018496"/>
        <s v="8102|00018501"/>
        <s v="8102|00018510"/>
        <s v="8102|00018521"/>
        <s v="8102|00018534"/>
        <s v="8102|00018541"/>
        <s v="8102|00018555"/>
        <s v="8102|00018568"/>
        <s v="8102|00018572"/>
        <s v="8102|00018585"/>
        <s v="8102|00018594"/>
        <s v="8102|00018616"/>
        <s v="8102|00018620"/>
        <s v="8102|00018631"/>
        <s v="8102|00018648"/>
        <s v="8102|00018654"/>
        <s v="8102|00018664"/>
        <s v="8102|00018673"/>
        <s v="8102|00018688"/>
        <s v="8102|00018698"/>
        <s v="8102|00018703"/>
        <s v="8102|00018711"/>
        <s v="8102|00018724"/>
        <s v="8102|00018737"/>
        <s v="8102|00018740"/>
        <s v="8102|00018757"/>
        <s v="8102|00018772"/>
        <s v="8102|00018785"/>
        <s v="8102|00018793"/>
        <s v="8102|00018814"/>
        <s v="8102|00018825"/>
        <s v="8102|00018835"/>
        <s v="8102|00018840"/>
        <s v="8102|00018858"/>
        <s v="8102|00018864"/>
        <s v="8102|00018872"/>
        <s v="8102|00018887"/>
        <s v="8102|00018894"/>
        <s v="8102|00018908"/>
        <s v="8102|00018918"/>
        <s v="8102|00018928"/>
        <s v="8102|00018931"/>
        <s v="8102|00018947"/>
        <s v="8102|00018955"/>
        <s v="8102|00018968"/>
        <s v="8102|00018976"/>
        <s v="8102|00018987"/>
        <s v="8102|00019000"/>
        <s v="8102|00019018"/>
        <s v="8102|00019023"/>
        <s v="8102|00019031"/>
        <s v="8102|00019042"/>
        <s v="8102|00019055"/>
        <s v="8102|00019062"/>
        <s v="8102|00019075"/>
        <s v="8102|00019082"/>
        <s v="8102|00019097"/>
        <s v="8102|00019104"/>
        <s v="8102|00019116"/>
        <s v="8102|00019121"/>
        <s v="8102|00019138"/>
        <s v="8102|00019144"/>
        <s v="8102|00019150"/>
        <s v="8102|00019175"/>
        <s v="8102|00019182"/>
        <s v="8102|00019196"/>
        <s v="8102|00019204"/>
        <s v="8102|00019212"/>
        <s v="8102|00019224"/>
        <s v="8102|00019232"/>
        <s v="8102|00019245"/>
        <s v="8102|00019253"/>
        <s v="8102|00019264"/>
        <s v="8102|00019274"/>
        <s v="8102|00019287"/>
        <s v="8102|00019298"/>
        <s v="8102|00019308"/>
        <s v="8102|00019316"/>
        <s v="8102|00019322"/>
        <s v="8102|00019336"/>
        <s v="8102|00019342"/>
        <s v="8102|00019356"/>
        <s v="8102|00019363"/>
        <s v="8102|00019375"/>
        <s v="8102|00019383"/>
        <s v="8102|00019391"/>
        <s v="8102|00019404"/>
        <s v="8102|00019410"/>
        <s v="8102|00019430"/>
        <s v="8102|00019445"/>
        <s v="8102|00019457"/>
        <s v="8102|00019466"/>
        <s v="8102|00019471"/>
        <s v="8102|00019485"/>
        <s v="8102|00019490"/>
        <s v="8102|00019501"/>
        <s v="8102|00019514"/>
        <s v="8102|00019526"/>
        <s v="8102|00019535"/>
        <s v="8102|00019541"/>
        <s v="8102|00019558"/>
        <s v="8102|00019560"/>
        <s v="8102|00019575"/>
        <s v="8102|00019586"/>
        <s v="8102|00019597"/>
        <s v="8102|00019600"/>
        <s v="8102|00019612"/>
        <s v="8102|00019622"/>
        <s v="8102|00019638"/>
        <s v="8102|00019647"/>
        <s v="8102|00019651"/>
        <s v="8102|00019666"/>
        <s v="8102|00019673"/>
        <s v="8102|00019692"/>
        <s v="8102|00019701"/>
        <s v="8102|00019716"/>
        <s v="8102|00019728"/>
        <s v="8102|00019737"/>
        <s v="8102|00019746"/>
        <s v="8102|00019754"/>
        <s v="8102|00019764"/>
        <s v="8102|00019771"/>
        <s v="8102|00019784"/>
        <s v="8102|00019791"/>
        <s v="8102|00019806"/>
        <s v="8102|00019818"/>
        <s v="8102|00019825"/>
        <s v="8102|00019830"/>
        <s v="8102|00019841"/>
        <s v="8102|00019855"/>
        <s v="8102|00019867"/>
        <s v="8102|00019876"/>
        <s v="8102|00019882"/>
        <s v="8102|00019896"/>
        <s v="8102|00019901"/>
        <s v="8102|00019910"/>
        <s v="8102|00019923"/>
        <s v="8102|00019945"/>
        <s v="8102|00019952"/>
        <s v="8102|00019962"/>
        <s v="8102|00019973"/>
        <s v="8102|00019982"/>
        <s v="8102|00019994"/>
        <s v="8102|00020006"/>
        <s v="8102|00020012"/>
        <s v="8102|00020021"/>
        <s v="8102|00020030"/>
        <s v="8102|00020045"/>
        <s v="8102|00020052"/>
        <s v="8102|00020067"/>
        <s v="8102|00020070"/>
        <s v="8102|00020080"/>
        <s v="8102|00020098"/>
        <s v="8102|00020102"/>
        <s v="8102|00020112"/>
        <s v="8102|00020121"/>
        <s v="8102|00020131"/>
        <s v="8102|00020148"/>
        <s v="8102|00020151"/>
        <s v="8102|00020167"/>
        <s v="8102|00020174"/>
        <s v="8102|00020187"/>
        <s v="8102|00020196"/>
        <s v="8102|00020204"/>
        <s v="8102|00020214"/>
        <s v="8102|00020220"/>
        <s v="8102|00020235"/>
        <s v="8102|00020243"/>
        <s v="8102|00020268"/>
        <s v="8102|00020278"/>
        <s v="8102|00020282"/>
        <s v="8102|00020294"/>
        <s v="8102|00020301"/>
        <s v="8102|00020313"/>
        <s v="8102|00020324"/>
        <s v="8102|00020330"/>
        <s v="8102|00020343"/>
        <s v="8102|00020356"/>
        <s v="8102|00020373"/>
        <s v="8102|00020380"/>
        <s v="8102|00020398"/>
        <s v="8102|00020400"/>
        <s v="8102|00020413"/>
        <s v="8102|00020426"/>
        <s v="8102|00020430"/>
        <s v="8102|00020443"/>
        <s v="8102|00020453"/>
        <s v="8102|00020466"/>
        <s v="8102|00020472"/>
        <s v="8102|00020484"/>
        <s v="8102|00020495"/>
        <s v="8102|00020504"/>
        <s v="8102|00020516"/>
        <s v="8102|00020527"/>
        <s v="8102|00020531"/>
        <s v="8102|00020540"/>
        <s v="8102|00020552"/>
        <s v="8102|00020562"/>
        <s v="8102|00020572"/>
        <s v="8102|00020581"/>
        <s v="8102|00020590"/>
        <s v="8102|00020605"/>
        <s v="8102|00020615"/>
        <s v="8102|00020624"/>
        <s v="8102|00020633"/>
        <s v="8102|00020648"/>
        <s v="8102|00020653"/>
        <s v="8102|00020668"/>
        <s v="8102|00020677"/>
        <s v="8102|00020682"/>
        <s v="8102|00020698"/>
        <s v="8102|00020705"/>
        <s v="8102|00020712"/>
        <s v="8102|00020724"/>
        <s v="8102|00020730"/>
        <s v="8102|00020740"/>
        <s v="8102|00020752"/>
        <s v="8102|00020767"/>
        <s v="8102|00020770"/>
        <s v="8102|00020782"/>
        <s v="8102|00020792"/>
        <s v="8102|00020806"/>
        <s v="8102|00020814"/>
        <s v="8102|00020820"/>
        <s v="8102|00020830"/>
        <s v="8102|00020842"/>
        <s v="8102|00020855"/>
        <s v="8102|00020868"/>
        <s v="8102|00020881"/>
        <s v="8102|00020892"/>
        <s v="8102|00020902"/>
        <s v="8102|00020912"/>
        <s v="8102|00020920"/>
        <s v="8102|00020930"/>
        <s v="8102|00020947"/>
        <s v="8102|00020950"/>
        <s v="8102|00020960"/>
        <s v="8102|00020994"/>
        <s v="8102|00021002"/>
        <s v="8102|00021015"/>
        <s v="8102|00021023"/>
        <s v="8102|00021037"/>
        <s v="8102|00021047"/>
        <s v="8102|00021054"/>
        <s v="8102|00021068"/>
        <s v="8102|00021074"/>
        <s v="8102|00021087"/>
        <s v="8102|00021095"/>
        <s v="8102|00021101"/>
        <s v="8102|00021116"/>
        <s v="8102|00021125"/>
        <s v="8102|00021135"/>
        <s v="8102|00021145"/>
        <s v="8102|00021158"/>
        <s v="8102|00021167"/>
        <s v="8102|00021178"/>
        <s v="8102|00021186"/>
        <s v="8102|00021194"/>
        <s v="8102|00021202"/>
        <s v="8102|00021217"/>
        <s v="8102|00021246"/>
        <s v="8102|00021255"/>
        <s v="8102|00021267"/>
        <s v="8102|00021278"/>
        <s v="8102|00021287"/>
        <s v="8102|00021297"/>
        <s v="8102|00021304"/>
        <s v="8102|00021320"/>
        <s v="8102|00021337"/>
        <s v="8102|00021358"/>
        <s v="8102|00021374"/>
        <s v="8102|00021384"/>
        <s v="8102|00021397"/>
        <s v="8102|00021402"/>
        <s v="8102|00021412"/>
        <s v="8102|00021427"/>
        <s v="8102|00021432"/>
        <s v="8102|00021458"/>
        <s v="8102|00021468"/>
        <s v="8102|00021474"/>
        <s v="8102|00021487"/>
        <s v="8102|00021498"/>
        <s v="8102|00021504"/>
        <s v="8102|00021516"/>
        <s v="8102|00021530"/>
        <s v="8102|00021541"/>
        <s v="8102|00021550"/>
        <s v="8102|00021578"/>
        <s v="8102|00021584"/>
        <s v="8102|00021595"/>
        <s v="8102|00021617"/>
        <s v="8102|00021648"/>
        <s v="8102|00021655"/>
        <s v="8102|00021660"/>
        <s v="8102|00021676"/>
        <s v="8102|00021681"/>
        <s v="8102|00021695"/>
        <s v="8102|00021718"/>
        <s v="8102|00021720"/>
        <s v="8102|00021736"/>
        <s v="8102|00021746"/>
        <s v="8102|00021752"/>
        <s v="8102|00021766"/>
        <s v="8102|00021772"/>
        <s v="8102|00021786"/>
        <s v="8102|00021797"/>
        <s v="8102|00021801"/>
        <s v="8102|00021826"/>
        <s v="8102|00021843"/>
        <s v="8102|00021853"/>
        <s v="8102|00021863"/>
        <s v="8102|00021877"/>
        <s v="8102|00021884"/>
        <s v="8102|00021895"/>
        <s v="8102|00021906"/>
        <s v="8102|00021918"/>
        <s v="8102|00021926"/>
        <s v="8102|00021938"/>
        <s v="8102|00021941"/>
        <s v="8102|00021953"/>
        <s v="8102|00021966"/>
        <s v="8102|00021975"/>
        <s v="8102|00021985"/>
        <s v="8102|00021990"/>
        <s v="8102|00022008"/>
        <s v="8102|00022012"/>
        <s v="8102|00022035"/>
        <s v="8102|00022055"/>
        <s v="8102|00022065"/>
        <s v="8102|00022082"/>
        <s v="8102|00022096"/>
        <s v="8102|00022107"/>
        <s v="8102|00022116"/>
        <s v="8102|00022142"/>
        <s v="8102|00022155"/>
        <s v="8102|00022160"/>
        <s v="8102|00022171"/>
        <s v="8102|00022198"/>
        <s v="8102|00022215"/>
        <s v="8102|00022228"/>
        <s v="8102|00022235"/>
        <s v="8102|00022277"/>
        <s v="8102|00022311"/>
        <s v="8102|00022333"/>
        <s v="8102|00022348"/>
        <s v="8102|00022354"/>
        <s v="8102|00022362"/>
        <s v="8102|00022386"/>
        <s v="8102|00022395"/>
        <s v="8102|00022401"/>
        <s v="8102|00022416"/>
        <s v="8102|00022427"/>
        <s v="8102|00022433"/>
        <s v="8102|00022444"/>
        <s v="8102|00022476"/>
        <s v="8102|00022490"/>
        <s v="8102|00022513"/>
        <s v="8102|00022526"/>
        <s v="8102|00022535"/>
        <s v="8102|00022550"/>
        <s v="8102|00022574"/>
        <s v="8102|00022584"/>
        <s v="8102|00022606"/>
        <s v="8102|00022618"/>
        <s v="8102|00022640"/>
        <s v="8102|00022654"/>
        <s v="8102|00022660"/>
        <s v="8102|00022694"/>
        <s v="8102|00022707"/>
        <s v="8102|00022714"/>
        <s v="8102|00022740"/>
        <s v="8102|00022763"/>
        <s v="8102|00022774"/>
        <s v="8102|00022782"/>
        <s v="8102|00022808"/>
        <s v="8102|00022814"/>
        <s v="8102|00022825"/>
        <s v="8102|00022832"/>
        <s v="8102|00022854"/>
        <s v="8102|00022872"/>
        <s v="8102|00022893"/>
        <s v="8102|00023090"/>
        <s v="8102|00023204"/>
        <s v="8102|00023346"/>
        <s v="8301|00007224"/>
        <s v="8301|00007425"/>
        <s v="8301|00007444"/>
        <s v="8301|00007654"/>
        <s v="8301|00007782"/>
        <s v="8301|00007888"/>
        <s v="8301|00007981"/>
        <s v="8301|00008170"/>
        <s v="8301|00008383"/>
        <s v="8301|00008848"/>
        <s v="8301|00008911"/>
        <s v="8301|00009114"/>
        <s v="8301|00009182"/>
        <s v="8301|00009296"/>
        <s v="8301|00009304"/>
        <s v="8301|00009320"/>
        <s v="8301|00009358"/>
        <s v="8301|00009365"/>
        <s v="8301|00009373"/>
        <s v="8301|00009721"/>
        <s v="8301|00009731"/>
        <s v="8301|00009786"/>
        <s v="8301|00009994"/>
        <s v="8301|00010153"/>
        <s v="8301|00010162"/>
        <s v="8301|00010245"/>
        <s v="8301|00010263"/>
        <s v="8301|00010283"/>
        <s v="8301|00010410"/>
        <s v="8301|00010453"/>
        <s v="8301|00010712"/>
        <s v="8301|00010835"/>
        <s v="8301|00010841"/>
        <s v="8301|00010855"/>
        <s v="8301|00010867"/>
        <s v="8301|00010878"/>
        <s v="8301|00010880"/>
        <s v="8301|00010892"/>
        <s v="8301|00010907"/>
        <s v="8301|00010910"/>
        <s v="8301|00010920"/>
        <s v="8301|00010934"/>
        <s v="8301|00010942"/>
        <s v="8301|00010958"/>
        <s v="8301|00010971"/>
        <s v="8301|00010985"/>
        <s v="8301|00010993"/>
        <s v="8301|00011000"/>
        <s v="8301|00011010"/>
        <s v="8301|00011035"/>
        <s v="8301|00011046"/>
        <s v="8301|00011056"/>
        <s v="8301|00011063"/>
        <s v="8301|00011078"/>
        <s v="8301|00011097"/>
        <s v="8301|00011107"/>
        <s v="8301|00011118"/>
        <s v="8301|00011124"/>
        <s v="8301|00011134"/>
        <s v="8301|00011144"/>
        <s v="8301|00011152"/>
        <s v="8301|00011170"/>
        <s v="8301|00011180"/>
        <s v="8301|00011197"/>
        <s v="8301|00011203"/>
        <s v="8301|00011227"/>
        <s v="8301|00011232"/>
        <s v="8301|00011244"/>
        <s v="8301|00011302"/>
        <s v="8301|00011318"/>
        <s v="8301|00011325"/>
        <s v="8301|00011336"/>
        <s v="8301|00011343"/>
        <s v="8301|00011361"/>
        <s v="8301|00011388"/>
        <s v="8301|00011398"/>
        <s v="8301|00011402"/>
        <s v="8301|00011415"/>
        <s v="8301|00011422"/>
        <s v="8301|00011441"/>
        <s v="8301|00011453"/>
        <s v="8301|00011464"/>
        <s v="8301|00011472"/>
        <s v="8301|00011482"/>
        <s v="8301|00011494"/>
        <s v="8301|00011502"/>
        <s v="8301|00011512"/>
        <s v="8301|00011531"/>
        <s v="8301|00011543"/>
        <s v="8301|00011550"/>
        <s v="8301|00011564"/>
        <s v="8301|00011574"/>
        <s v="8301|00011581"/>
        <s v="8301|00011596"/>
        <s v="8301|00011617"/>
        <s v="8301|00011638"/>
        <s v="8301|00011651"/>
        <s v="8301|00011664"/>
        <s v="8301|00011681"/>
        <s v="8301|00011697"/>
        <s v="8301|00011708"/>
        <s v="8301|00011715"/>
        <s v="8301|00011721"/>
        <s v="8301|00011735"/>
        <s v="8301|00011741"/>
        <s v="8301|00011750"/>
        <s v="8301|00011773"/>
        <s v="8301|00011785"/>
        <s v="8301|00011798"/>
        <s v="8301|00011800"/>
        <s v="8301|00011812"/>
        <s v="8301|00011820"/>
        <s v="8301|00011847"/>
        <s v="8301|00011854"/>
        <s v="8301|00011868"/>
        <s v="8301|00011871"/>
        <s v="8301|00011884"/>
        <s v="8301|00011893"/>
        <s v="8301|00011907"/>
        <s v="8301|00011912"/>
        <s v="8301|00011934"/>
        <s v="8301|00011942"/>
        <s v="8301|00011964"/>
        <s v="8301|00011977"/>
        <s v="8301|00011980"/>
        <s v="8301|00011994"/>
        <s v="8301|00012000"/>
        <s v="8301|00012010"/>
        <s v="8301|00012020"/>
        <s v="8301|00012036"/>
        <s v="8301|00012044"/>
        <s v="8301|00012057"/>
        <s v="8301|00012060"/>
        <s v="8301|00012077"/>
        <s v="8301|00012088"/>
        <s v="8301|00012092"/>
        <s v="8301|00012116"/>
        <s v="8301|00012128"/>
        <s v="8301|00012138"/>
        <s v="8301|00012148"/>
        <s v="8301|00012157"/>
        <s v="8301|00012161"/>
        <s v="8301|00012175"/>
        <s v="8301|00012184"/>
        <s v="8301|00012198"/>
        <s v="8301|00012206"/>
        <s v="8301|00012213"/>
        <s v="8301|00012235"/>
        <s v="8301|00012245"/>
        <s v="8301|00012253"/>
        <s v="8301|00012261"/>
        <s v="8301|00012277"/>
        <s v="8301|00012284"/>
        <s v="8301|00012293"/>
        <s v="8301|00012304"/>
        <s v="8301|00012310"/>
        <s v="8301|00012321"/>
        <s v="8301|00012331"/>
        <s v="8301|00012343"/>
        <s v="8301|00012357"/>
        <s v="8301|00012366"/>
        <s v="8301|00012375"/>
        <s v="8301|00012383"/>
        <s v="8301|00012394"/>
        <s v="8301|00012403"/>
        <s v="8301|00012415"/>
        <s v="8301|00012428"/>
        <s v="8301|00012437"/>
        <s v="8301|00012442"/>
        <s v="8301|00012452"/>
        <s v="8301|00012472"/>
        <s v="8301|00012486"/>
        <s v="8301|00012496"/>
        <s v="8301|00012503"/>
        <s v="8301|00012521"/>
        <s v="8301|00012535"/>
        <s v="8301|00012547"/>
        <s v="8301|00012557"/>
        <s v="8301|00012563"/>
        <s v="8301|00012576"/>
        <s v="8301|00012583"/>
        <s v="8301|00012590"/>
        <s v="8301|00012601"/>
        <s v="8301|00012612"/>
        <s v="8301|00012624"/>
        <s v="8301|00012631"/>
        <s v="8301|00012642"/>
        <s v="8301|00012651"/>
        <s v="8301|00012663"/>
        <s v="8301|00012674"/>
        <s v="8301|00012688"/>
        <s v="8301|00012694"/>
        <s v="8301|00012706"/>
        <s v="8301|00012713"/>
        <s v="8301|00012725"/>
        <s v="8301|00012731"/>
        <s v="8301|00012740"/>
        <s v="8301|00012754"/>
        <s v="8301|00012761"/>
        <s v="8301|00012776"/>
        <s v="8301|00012787"/>
        <s v="8301|00012791"/>
        <s v="8301|00012805"/>
        <s v="8301|00012811"/>
        <s v="8301|00012826"/>
        <s v="8301|00012830"/>
        <s v="8301|00012841"/>
        <s v="8301|00012851"/>
        <s v="8301|00012862"/>
        <s v="8301|00012872"/>
        <s v="8301|00012883"/>
        <s v="8301|00012897"/>
        <s v="8301|00012903"/>
        <s v="8301|00012910"/>
        <s v="8301|00012920"/>
        <s v="8301|00012938"/>
        <s v="8301|00012948"/>
        <s v="8301|00012956"/>
        <s v="8301|00012964"/>
        <s v="8301|00012972"/>
        <s v="8301|00012982"/>
        <s v="8301|00012998"/>
        <s v="8301|00013008"/>
        <s v="8301|00013013"/>
        <s v="8301|00013028"/>
        <s v="8301|00013033"/>
        <s v="8301|00013040"/>
        <s v="8301|00013050"/>
        <s v="8301|00013063"/>
        <s v="8301|00013077"/>
        <s v="8301|00013082"/>
        <s v="8301|00013094"/>
        <s v="8301|00013106"/>
        <s v="8301|00013116"/>
        <s v="8301|00013126"/>
        <s v="8301|00013131"/>
        <s v="8301|00013146"/>
        <s v="8301|00013151"/>
        <s v="8301|00013164"/>
        <s v="8301|00013177"/>
        <s v="8301|00013185"/>
        <s v="8301|00013196"/>
        <s v="8301|00013204"/>
        <s v="8301|00013217"/>
        <s v="8301|00013223"/>
        <s v="8301|00013237"/>
        <s v="8301|00013246"/>
        <s v="8301|00013258"/>
        <s v="8301|00013266"/>
        <s v="8301|00013288"/>
        <s v="8301|00013290"/>
        <s v="8301|00013301"/>
        <s v="8301|00013311"/>
        <s v="8301|00013320"/>
        <s v="8301|00013337"/>
        <s v="8301|00013345"/>
        <s v="8301|00013354"/>
        <s v="8301|00013362"/>
        <s v="8301|00013378"/>
        <s v="8301|00013388"/>
        <s v="8301|00013396"/>
        <s v="8301|00013406"/>
        <s v="8301|00013410"/>
        <s v="8301|00013425"/>
        <s v="8301|00013438"/>
        <s v="8301|00013443"/>
        <s v="8301|00013450"/>
        <s v="8301|00013466"/>
        <s v="8301|00013470"/>
        <s v="8301|00013485"/>
        <s v="8301|00013498"/>
        <s v="8301|00013503"/>
        <s v="8301|00013516"/>
        <s v="8301|00013525"/>
        <s v="8301|00013530"/>
        <s v="8301|00013545"/>
        <s v="8301|00013557"/>
        <s v="8301|00013563"/>
        <s v="8301|00013577"/>
        <s v="8301|00013583"/>
        <s v="8301|00013594"/>
        <s v="8301|00013606"/>
        <s v="8301|00013622"/>
        <s v="8301|00013632"/>
        <s v="8301|00013643"/>
        <s v="8301|00013651"/>
        <s v="8301|00013668"/>
        <s v="8301|00013676"/>
        <s v="8301|00013684"/>
        <s v="8301|00013694"/>
        <s v="8301|00013706"/>
        <s v="8301|00013715"/>
        <s v="8301|00013727"/>
        <s v="8301|00013733"/>
        <s v="8301|00013745"/>
        <s v="8301|00013751"/>
        <s v="8301|00013763"/>
        <s v="8301|00013770"/>
        <s v="8301|00013780"/>
        <s v="8301|00013790"/>
        <s v="8301|00013805"/>
        <s v="8301|00013813"/>
        <s v="8301|00013822"/>
        <s v="8301|00013831"/>
        <s v="8301|00013840"/>
        <s v="8301|00013851"/>
        <s v="8301|00013865"/>
        <s v="8301|00013872"/>
        <s v="8301|00013880"/>
        <s v="8301|00013897"/>
        <s v="8301|00013905"/>
        <s v="8301|00013914"/>
        <s v="8301|00013938"/>
        <s v="8301|00013948"/>
        <s v="8301|00013958"/>
        <s v="8301|00013962"/>
        <s v="8301|00013976"/>
        <s v="8301|00013994"/>
        <s v="8301|00014001"/>
        <s v="8301|00014013"/>
        <s v="8301|00014022"/>
        <s v="8301|00014044"/>
        <s v="8301|00014055"/>
        <s v="8301|00014060"/>
        <s v="8301|00014077"/>
        <s v="8301|00014085"/>
        <s v="8301|00014095"/>
        <s v="8301|00014105"/>
        <s v="8301|00014121"/>
        <s v="8301|00014136"/>
        <s v="8301|00014144"/>
        <s v="8301|00014153"/>
        <s v="8301|00014168"/>
        <s v="8301|00014176"/>
        <s v="8301|00014188"/>
        <s v="8301|00014198"/>
        <s v="8301|00014201"/>
        <s v="8301|00014214"/>
        <s v="8301|00014220"/>
        <s v="8301|00014236"/>
        <s v="8301|00014242"/>
        <s v="8301|00014256"/>
        <s v="8301|00014263"/>
        <s v="8301|00014275"/>
        <s v="8301|00014283"/>
        <s v="8301|00014291"/>
        <s v="8301|00014308"/>
        <s v="8301|00014312"/>
        <s v="8301|00014326"/>
        <s v="8301|00014333"/>
        <s v="8301|00014344"/>
        <s v="8301|00014352"/>
        <s v="8301|00014365"/>
        <s v="8301|00014375"/>
        <s v="8301|00014384"/>
        <s v="8301|00014397"/>
        <s v="8301|00014407"/>
        <s v="8301|00014410"/>
        <s v="8301|00014426"/>
        <s v="8301|00014431"/>
        <s v="8301|00014444"/>
        <s v="8301|00014451"/>
        <s v="8301|00014460"/>
        <s v="8301|00014478"/>
        <s v="8301|00014482"/>
        <s v="8301|00014492"/>
        <s v="8301|00014508"/>
        <s v="8301|00014515"/>
        <s v="8301|00014528"/>
        <s v="8301|00014530"/>
        <s v="8301|00014545"/>
        <s v="8301|00014557"/>
        <s v="8301|00014563"/>
        <s v="8301|00014577"/>
        <s v="8301|00014586"/>
        <s v="8301|00014598"/>
        <s v="8301|00014604"/>
        <s v="8301|00014625"/>
        <s v="8301|00014636"/>
        <s v="8301|00014648"/>
        <s v="8301|00014658"/>
        <s v="8301|00014665"/>
        <s v="8301|00014670"/>
        <s v="8301|00014683"/>
        <s v="8301|00014692"/>
        <s v="8301|00014700"/>
        <s v="8301|00014713"/>
        <s v="8301|00014732"/>
        <s v="8301|00014740"/>
        <s v="8301|00014754"/>
        <s v="8301|00014766"/>
        <s v="8301|00014775"/>
        <s v="8301|00014783"/>
        <s v="8301|00014791"/>
        <s v="8301|00014804"/>
        <s v="8301|00014815"/>
        <s v="8301|00014821"/>
        <s v="8301|00014831"/>
        <s v="8301|00014848"/>
        <s v="8301|00014865"/>
        <s v="8301|00014873"/>
        <s v="8301|00014882"/>
        <s v="8301|00014890"/>
        <s v="8301|00014908"/>
        <s v="8301|00014912"/>
        <s v="8301|00014928"/>
        <s v="8301|00014947"/>
        <s v="8301|00014956"/>
        <s v="8301|00014967"/>
        <s v="8301|00014974"/>
        <s v="8301|00014982"/>
        <s v="8301|00014997"/>
        <s v="8301|00015000"/>
        <s v="8301|00015011"/>
        <s v="8301|00015024"/>
        <s v="8301|00015037"/>
        <s v="8301|00015040"/>
        <s v="8301|00015052"/>
        <s v="8301|00015068"/>
        <s v="8301|00015085"/>
        <s v="8301|00015095"/>
        <s v="8301|00015108"/>
        <s v="8301|00015118"/>
        <s v="8301|00015123"/>
        <s v="8301|00015133"/>
        <s v="8301|00015147"/>
        <s v="8301|00015151"/>
        <s v="8301|00015164"/>
        <s v="8301|00015175"/>
        <s v="8301|00015181"/>
        <s v="8301|00015198"/>
        <s v="8301|00015201"/>
        <s v="8301|00015216"/>
        <s v="8301|00015225"/>
        <s v="8301|00015230"/>
        <s v="8301|00015241"/>
        <s v="8301|00015251"/>
        <s v="8301|00015264"/>
        <s v="8301|00015273"/>
        <s v="8301|00015281"/>
        <s v="8301|00015293"/>
        <s v="8301|00015304"/>
        <s v="8301|00015314"/>
        <s v="8301|00015335"/>
        <s v="8301|00015341"/>
        <s v="8301|00015350"/>
        <s v="8301|00015363"/>
        <s v="8301|00015377"/>
        <s v="8301|00015388"/>
        <s v="8301|00015392"/>
        <s v="8301|00015408"/>
        <s v="8301|00015418"/>
        <s v="8301|00015421"/>
        <s v="8301|00015430"/>
        <s v="8301|00015445"/>
        <s v="8301|00015450"/>
        <s v="8301|00015463"/>
        <s v="8301|00015476"/>
        <s v="8301|00015488"/>
        <s v="8301|00015494"/>
        <s v="8301|00015503"/>
        <s v="8301|00015518"/>
        <s v="8301|00015520"/>
        <s v="8301|00015538"/>
        <s v="8301|00015546"/>
        <s v="8301|00015555"/>
        <s v="8301|00015564"/>
        <s v="8301|00015575"/>
        <s v="8301|00015583"/>
        <s v="8301|00015593"/>
        <s v="8301|00015604"/>
        <s v="8301|00015616"/>
        <s v="8301|00015622"/>
        <s v="8301|00015634"/>
        <s v="8301|00015645"/>
        <s v="8301|00015665"/>
        <s v="8301|00015677"/>
        <s v="8301|00015684"/>
        <s v="8301|00015696"/>
        <s v="8301|00015703"/>
        <s v="8301|00015714"/>
        <s v="8301|00015720"/>
        <s v="8301|00015731"/>
        <s v="8301|00015748"/>
        <s v="8301|00015755"/>
        <s v="8301|00015765"/>
        <s v="8301|00015774"/>
        <s v="8301|00015785"/>
        <s v="8301|00015798"/>
        <s v="8301|00015800"/>
        <s v="8301|00015813"/>
        <s v="8301|00015823"/>
        <s v="8301|00015836"/>
        <s v="8301|00015843"/>
        <s v="8301|00015850"/>
        <s v="8301|00015866"/>
        <s v="8301|00015878"/>
        <s v="8301|00015888"/>
        <s v="8301|00015893"/>
        <s v="8301|00015908"/>
        <s v="8301|00015917"/>
        <s v="8301|00015928"/>
        <s v="8301|00015937"/>
        <s v="8301|00015941"/>
        <s v="8301|00015955"/>
        <s v="8301|00015967"/>
        <s v="8301|00015978"/>
        <s v="8301|00015986"/>
        <s v="8301|00015996"/>
        <s v="8301|00016004"/>
        <s v="8301|00016022"/>
        <s v="8301|00016033"/>
        <s v="8301|00016048"/>
        <s v="8301|00016053"/>
        <s v="8301|00016063"/>
        <s v="8301|00016073"/>
        <s v="8301|00016092"/>
        <s v="8301|00016106"/>
        <s v="8301|00016117"/>
        <s v="8301|00016120"/>
        <s v="8301|00016137"/>
        <s v="8301|00016148"/>
        <s v="8301|00016155"/>
        <s v="8301|00016161"/>
        <s v="8301|00016198"/>
        <s v="8301|00016207"/>
        <s v="8301|00016216"/>
        <s v="8301|00016227"/>
        <s v="8301|00016234"/>
        <s v="8301|00016243"/>
        <s v="8301|00016256"/>
        <s v="8301|00016268"/>
        <s v="8301|00016288"/>
        <s v="8301|00016293"/>
        <s v="8301|00016301"/>
        <s v="8301|00016311"/>
        <s v="8301|00016323"/>
        <s v="8301|00016330"/>
        <s v="8301|00016342"/>
        <s v="8301|00016351"/>
        <s v="8301|00016360"/>
        <s v="8301|00016374"/>
        <s v="8301|00016386"/>
        <s v="8301|00016396"/>
        <s v="8301|00016400"/>
        <s v="8301|00016416"/>
        <s v="8301|00016423"/>
        <s v="8301|00016434"/>
        <s v="8301|00016442"/>
        <s v="8301|00016451"/>
        <s v="8301|00016468"/>
        <s v="8301|00016476"/>
        <s v="8301|00016485"/>
        <s v="8301|00016496"/>
        <s v="8301|00016504"/>
        <s v="8301|00016512"/>
        <s v="8301|00016521"/>
        <s v="8301|00016533"/>
        <s v="8301|00016542"/>
        <s v="8301|00016554"/>
        <s v="8301|00016562"/>
        <s v="8301|00016570"/>
        <s v="8301|00016596"/>
        <s v="8301|00016614"/>
        <s v="8301|00016627"/>
        <s v="8301|00016636"/>
        <s v="8301|00016646"/>
        <s v="8301|00016654"/>
        <s v="8301|00016662"/>
        <s v="8301|00016676"/>
        <s v="8301|00016687"/>
        <s v="8301|00016695"/>
        <s v="8301|00016705"/>
        <s v="8301|00016713"/>
        <s v="8301|00016721"/>
        <s v="8301|00016734"/>
        <s v="8301|00016740"/>
        <s v="8301|00016751"/>
        <s v="8301|00016764"/>
        <s v="8301|00016777"/>
        <s v="8301|00016781"/>
        <s v="8301|00016795"/>
        <s v="8301|00016807"/>
        <s v="8301|00016810"/>
        <s v="8301|00016824"/>
        <s v="8301|00016836"/>
        <s v="8301|00016848"/>
        <s v="8301|00016850"/>
        <s v="8301|00016866"/>
        <s v="8301|00016872"/>
        <s v="8301|00016886"/>
        <s v="8301|00016896"/>
        <s v="8301|00016903"/>
        <s v="8301|00016914"/>
        <s v="8301|00016926"/>
        <s v="8301|00016934"/>
        <s v="8301|00016941"/>
        <s v="8301|00016951"/>
        <s v="8301|00016965"/>
        <s v="8301|00016974"/>
        <s v="8301|00016984"/>
        <s v="8301|00016995"/>
        <s v="8301|00017008"/>
        <s v="8301|00017025"/>
        <s v="8301|00017036"/>
        <s v="8301|00017042"/>
        <s v="8301|00017052"/>
        <s v="8301|00017065"/>
        <s v="8301|00017075"/>
        <s v="8301|00017088"/>
        <s v="8301|00017094"/>
        <s v="8301|00017105"/>
        <s v="8301|00017114"/>
        <s v="8301|00017130"/>
        <s v="8301|00017140"/>
        <s v="8301|00017157"/>
        <s v="8301|00017160"/>
        <s v="8301|00017178"/>
        <s v="8301|00017187"/>
        <s v="8301|00017198"/>
        <s v="8301|00017205"/>
        <s v="8301|00017216"/>
        <s v="8301|00017222"/>
        <s v="8301|00017234"/>
        <s v="8301|00017241"/>
        <s v="8301|00017257"/>
        <s v="8301|00017266"/>
        <s v="8301|00017275"/>
        <s v="8301|00017280"/>
        <s v="8301|00017290"/>
        <s v="8301|00017303"/>
        <s v="8301|00017310"/>
        <s v="8301|00017323"/>
        <s v="8301|00017336"/>
        <s v="8301|00017341"/>
        <s v="8301|00017361"/>
        <s v="8301|00017376"/>
        <s v="8301|00017387"/>
        <s v="8301|00017392"/>
        <s v="8301|00017407"/>
        <s v="8301|00017424"/>
        <s v="8301|00017430"/>
        <s v="8301|00017443"/>
        <s v="8301|00017458"/>
        <s v="8301|00017462"/>
        <s v="8301|00017475"/>
        <s v="8301|00017496"/>
        <s v="8301|00017500"/>
        <s v="8301|00017512"/>
        <s v="8301|00017528"/>
        <s v="8301|00017533"/>
        <s v="8301|00017544"/>
        <s v="8301|00017558"/>
        <s v="8301|00017567"/>
        <s v="8301|00017574"/>
        <s v="8301|00017585"/>
        <s v="8301|00017592"/>
        <s v="8301|00017606"/>
        <s v="8301|00017615"/>
        <s v="8301|00017628"/>
        <s v="8301|00017647"/>
        <s v="8301|00017650"/>
        <s v="8301|00017663"/>
        <s v="8301|00017670"/>
        <s v="8301|00017687"/>
        <s v="8301|00017693"/>
        <s v="8301|00017726"/>
        <s v="8301|00017736"/>
        <s v="8301|00017744"/>
        <s v="8301|00017756"/>
        <s v="8301|00017760"/>
        <s v="8301|00017776"/>
        <s v="8301|00017784"/>
        <s v="8301|00017798"/>
        <s v="8301|00017808"/>
        <s v="8301|00017811"/>
        <s v="8301|00017822"/>
        <s v="8301|00017830"/>
        <s v="8301|00017846"/>
        <s v="8301|00017850"/>
        <s v="8301|00017866"/>
        <s v="8301|00017873"/>
        <s v="8301|00017894"/>
        <s v="8301|00017908"/>
        <s v="8301|00017916"/>
        <s v="8301|00017920"/>
        <s v="8301|00017936"/>
        <s v="8301|00017945"/>
        <s v="8301|00017954"/>
        <s v="8301|00017968"/>
        <s v="8301|00017971"/>
        <s v="8301|00017988"/>
        <s v="8301|00017993"/>
        <s v="8301|00018000"/>
        <s v="8301|00018013"/>
        <s v="8301|00018021"/>
        <s v="8301|00018031"/>
        <s v="8301|00018044"/>
        <s v="8301|00018055"/>
        <s v="8301|00018063"/>
        <s v="8301|00018076"/>
        <s v="8301|00018092"/>
        <s v="8301|00018108"/>
        <s v="8301|00018113"/>
        <s v="8301|00018128"/>
        <s v="8301|00018134"/>
        <s v="8301|00018144"/>
        <s v="8301|00018166"/>
        <s v="8301|00018171"/>
        <s v="8301|00018187"/>
        <s v="8301|00018196"/>
        <s v="8301|00018201"/>
        <s v="8301|00018212"/>
        <s v="8301|00018220"/>
        <s v="8301|00018235"/>
        <s v="8301|00018242"/>
        <s v="8301|00018258"/>
        <s v="8301|00018266"/>
        <s v="8301|00018271"/>
        <s v="8301|00018281"/>
        <s v="8301|00018291"/>
        <s v="8301|00018301"/>
        <s v="8301|00018311"/>
        <s v="8301|00018321"/>
        <s v="8301|00018338"/>
        <s v="8301|00018347"/>
        <s v="8301|00018357"/>
        <s v="8301|00018367"/>
        <s v="8301|00018377"/>
        <s v="8301|00018387"/>
        <s v="8301|00018404"/>
        <s v="8301|00018418"/>
        <s v="8301|00018423"/>
        <s v="8301|00018434"/>
        <s v="8301|00018442"/>
        <s v="8301|00018457"/>
        <s v="8301|00018467"/>
        <s v="8301|00018471"/>
        <s v="8301|00018487"/>
        <s v="8301|00018490"/>
        <s v="8301|00018502"/>
        <s v="8301|00018510"/>
        <s v="8301|00018528"/>
        <s v="8301|00018540"/>
        <s v="8301|00018554"/>
        <s v="8301|00018562"/>
        <s v="8301|00018576"/>
        <s v="8301|00018580"/>
        <s v="8301|00018597"/>
        <s v="8301|00018603"/>
        <s v="8301|00018614"/>
        <s v="8301|00018626"/>
        <s v="8301|00018630"/>
        <s v="8301|00018646"/>
        <s v="8301|00018655"/>
        <s v="8301|00018667"/>
        <s v="8301|00018675"/>
        <s v="8301|00018688"/>
        <s v="8301|00018698"/>
        <s v="8301|00018701"/>
        <s v="8301|00018715"/>
        <s v="8301|00018727"/>
        <s v="8301|00018754"/>
        <s v="8301|00018767"/>
        <s v="8301|00018772"/>
        <s v="8301|00018782"/>
        <s v="8301|00018792"/>
        <s v="8301|00018808"/>
        <s v="8301|00018818"/>
        <s v="8301|00018820"/>
        <s v="8301|00018838"/>
        <s v="8301|00018841"/>
        <s v="8301|00018855"/>
        <s v="8301|00018868"/>
        <s v="8301|00018876"/>
        <s v="8301|00018887"/>
        <s v="8301|00018891"/>
        <s v="8301|00018903"/>
        <s v="8301|00018918"/>
        <s v="8301|00018925"/>
        <s v="8301|00018937"/>
        <s v="8301|00018944"/>
        <s v="8301|00018950"/>
        <s v="8301|00018968"/>
        <s v="8301|00018973"/>
        <s v="8301|00018990"/>
        <s v="8301|00019000"/>
        <s v="8301|00019018"/>
        <s v="8301|00019025"/>
        <s v="8301|00019035"/>
        <s v="8301|00019042"/>
        <s v="8301|00019054"/>
        <s v="8301|00019066"/>
        <s v="8301|00019074"/>
        <s v="8301|00019080"/>
        <s v="8301|00019096"/>
        <s v="8301|00019105"/>
        <s v="8301|00019115"/>
        <s v="8301|00019127"/>
        <s v="8301|00019134"/>
        <s v="8301|00019154"/>
        <s v="8301|00019161"/>
        <s v="8301|00019174"/>
        <s v="8301|00019183"/>
        <s v="8301|00019195"/>
        <s v="8301|00019207"/>
        <s v="8301|00019218"/>
        <s v="8301|00019224"/>
        <s v="8301|00019235"/>
        <s v="8301|00019245"/>
        <s v="8301|00019250"/>
        <s v="8301|00019260"/>
        <s v="8301|00019275"/>
        <s v="8301|00019286"/>
        <s v="8301|00019294"/>
        <s v="8301|00019302"/>
        <s v="8301|00019310"/>
        <s v="8301|00019323"/>
        <s v="8301|00019333"/>
        <s v="8301|00019342"/>
        <s v="8301|00019354"/>
        <s v="8301|00019363"/>
        <s v="8301|00019372"/>
        <s v="8301|00019385"/>
        <s v="8301|00019395"/>
        <s v="8301|00019401"/>
        <s v="8301|00019415"/>
        <s v="8301|00019426"/>
        <s v="8301|00019430"/>
        <s v="8301|00019447"/>
        <s v="8301|00019457"/>
        <s v="8301|00019464"/>
        <s v="8301|00019477"/>
        <s v="8301|00019487"/>
        <s v="8301|00019495"/>
        <s v="8301|00019503"/>
        <s v="8301|00019510"/>
        <s v="8301|00019521"/>
        <s v="8301|00019536"/>
        <s v="8301|00019545"/>
        <s v="8301|00019554"/>
        <s v="8301|00019565"/>
        <s v="8301|00019576"/>
        <s v="8301|00019580"/>
        <s v="8301|00019592"/>
        <s v="8301|00019601"/>
        <s v="8301|00019612"/>
        <s v="8301|00019621"/>
        <s v="8301|00019637"/>
        <s v="8301|00019646"/>
        <s v="8301|00019651"/>
        <s v="8301|00019664"/>
        <s v="8301|00019671"/>
        <s v="8301|00019685"/>
        <s v="8301|00019694"/>
        <s v="8301|00019702"/>
        <s v="8301|00019713"/>
        <s v="8301|00019734"/>
        <s v="8301|00019744"/>
        <s v="8301|00019754"/>
        <s v="8301|00019767"/>
        <s v="8301|00019774"/>
        <s v="8301|00019780"/>
        <s v="8301|00019791"/>
        <s v="8301|00019800"/>
        <s v="8301|00019811"/>
        <s v="8301|00019820"/>
        <s v="8301|00019836"/>
        <s v="8301|00019842"/>
        <s v="8301|00019852"/>
        <s v="8301|00019860"/>
        <s v="8301|00019873"/>
        <s v="8301|00019880"/>
        <s v="8301|00019897"/>
        <s v="8301|00019907"/>
        <s v="8301|00019910"/>
        <s v="8301|00019921"/>
        <s v="8301|00019938"/>
        <s v="8301|00019941"/>
        <s v="8301|00019957"/>
        <s v="8301|00019968"/>
        <s v="8301|00019978"/>
        <s v="8301|00019981"/>
        <s v="8301|00020002"/>
        <s v="8301|00020026"/>
        <s v="8301|00020036"/>
        <s v="8301|00020048"/>
        <s v="8301|00020054"/>
        <s v="8301|00020067"/>
        <s v="8301|00020075"/>
        <s v="8301|00020084"/>
        <s v="8301|00020095"/>
        <s v="8301|00020106"/>
        <s v="8301|00020116"/>
        <s v="8301|00020125"/>
        <s v="8301|00020132"/>
        <s v="8301|00020147"/>
        <s v="8301|00020158"/>
        <s v="8301|00020167"/>
        <s v="8301|00020171"/>
        <s v="8301|00020180"/>
        <s v="8301|00020195"/>
        <s v="8301|00020205"/>
        <s v="8301|00020214"/>
        <s v="8301|00020223"/>
        <s v="8301|00020234"/>
        <s v="8301|00020240"/>
        <s v="8301|00020255"/>
        <s v="8301|00020268"/>
        <s v="8301|00020274"/>
        <s v="8301|00020291"/>
        <s v="8301|00020304"/>
        <s v="8301|00020310"/>
        <s v="8301|00020325"/>
        <s v="8301|00020331"/>
        <s v="8301|00020341"/>
        <s v="8301|00020360"/>
        <s v="8301|00020375"/>
        <s v="8301|00020381"/>
        <s v="8301|00020397"/>
        <s v="8301|00020412"/>
        <s v="8301|00020421"/>
        <s v="8301|00020438"/>
        <s v="8301|00020440"/>
        <s v="8301|00020455"/>
        <s v="8301|00020464"/>
        <s v="8301|00020475"/>
        <s v="8301|00020487"/>
        <s v="8301|00020495"/>
        <s v="8301|00020505"/>
        <s v="8301|00020511"/>
        <s v="8301|00020520"/>
        <s v="8301|00020530"/>
        <s v="8301|00020543"/>
        <s v="8301|00020552"/>
        <s v="8301|00020560"/>
        <s v="8301|00020577"/>
        <s v="8301|00020581"/>
        <s v="8301|00020593"/>
        <s v="8301|00020601"/>
        <s v="8301|00020613"/>
        <s v="8301|00020628"/>
        <s v="8301|00020633"/>
        <s v="8301|00020645"/>
        <s v="8301|00020652"/>
        <s v="8301|00020668"/>
        <s v="8301|00020678"/>
        <s v="8301|00020683"/>
        <s v="8301|00020697"/>
        <s v="8301|00020704"/>
        <s v="8301|00020716"/>
        <s v="8301|00020726"/>
        <s v="8301|00020731"/>
        <s v="8301|00020740"/>
        <s v="8301|00020753"/>
        <s v="8301|00020770"/>
        <s v="8301|00020787"/>
        <s v="8301|00020791"/>
        <s v="8301|00020808"/>
        <s v="8301|00020814"/>
        <s v="8301|00020821"/>
        <s v="8301|00020832"/>
        <s v="8301|00020847"/>
        <s v="8301|00020853"/>
        <s v="8301|00020862"/>
        <s v="8301|00020876"/>
        <s v="8301|00020883"/>
        <s v="8301|00020895"/>
        <s v="8301|00020903"/>
        <s v="8301|00020912"/>
        <s v="8301|00020928"/>
        <s v="8301|00020936"/>
        <s v="8301|00020941"/>
        <s v="8301|00020957"/>
        <s v="8301|00020967"/>
        <s v="8301|00020970"/>
        <s v="8301|00020987"/>
        <s v="8301|00020993"/>
        <s v="8301|00021002"/>
        <s v="8301|00021017"/>
        <s v="8301|00021023"/>
        <s v="8301|00021036"/>
        <s v="8301|00021043"/>
        <s v="8301|00021055"/>
        <s v="8301|00021067"/>
        <s v="8301|00021077"/>
        <s v="8301|00021080"/>
        <s v="8301|00021094"/>
        <s v="8301|00021107"/>
        <s v="8301|00021114"/>
        <s v="8301|00021120"/>
        <s v="8301|00021135"/>
        <s v="8301|00021154"/>
        <s v="8301|00021161"/>
        <s v="8301|00021176"/>
        <s v="8301|00021182"/>
        <s v="8301|00021198"/>
        <s v="8301|00021207"/>
        <s v="8301|00021216"/>
        <s v="8301|00021223"/>
        <s v="8301|00021230"/>
        <s v="8301|00021240"/>
        <s v="8301|00021254"/>
        <s v="8301|00021261"/>
        <s v="8301|00021271"/>
        <s v="8301|00021287"/>
        <s v="8301|00021292"/>
        <s v="8301|00021305"/>
        <s v="8301|00021317"/>
        <s v="8301|00021328"/>
        <s v="8301|00021330"/>
        <s v="8301|00021343"/>
        <s v="8301|00021352"/>
        <s v="8301|00021362"/>
        <s v="8301|00021374"/>
        <s v="8301|00021385"/>
        <s v="8301|00021394"/>
        <s v="8301|00021408"/>
        <s v="8301|00021417"/>
        <s v="8301|00021426"/>
        <s v="8301|00021445"/>
        <s v="8301|00021457"/>
        <s v="8301|00021460"/>
        <s v="8301|00021474"/>
        <s v="8301|00021485"/>
        <s v="8301|00021492"/>
        <s v="8301|00021500"/>
        <s v="8301|00021515"/>
        <s v="8301|00021527"/>
        <s v="8301|00021531"/>
        <s v="8301|00021542"/>
        <s v="8301|00021556"/>
        <s v="8301|00021564"/>
        <s v="8301|00021572"/>
        <s v="8301|00021593"/>
        <s v="8301|00021625"/>
        <s v="8301|00021638"/>
        <s v="8301|00021642"/>
        <s v="8301|00021655"/>
        <s v="8301|00021660"/>
        <s v="8301|00021677"/>
        <s v="8301|00021683"/>
        <s v="8301|00021697"/>
        <s v="8301|00021701"/>
        <s v="8301|00021711"/>
        <s v="8301|00021722"/>
        <s v="8301|00021730"/>
        <s v="8301|00021747"/>
        <s v="8301|00021758"/>
        <s v="8301|00021763"/>
        <s v="8301|00021783"/>
        <s v="8301|00021797"/>
        <s v="8301|00021802"/>
        <s v="8301|00021817"/>
        <s v="8301|00021823"/>
        <s v="8301|00021845"/>
        <s v="8301|00021867"/>
        <s v="8301|00021885"/>
        <s v="8301|00021891"/>
        <s v="8301|00021907"/>
        <s v="8301|00021914"/>
        <s v="8301|00021923"/>
        <s v="8301|00021934"/>
        <s v="8301|00021941"/>
        <s v="8301|00021953"/>
        <s v="8301|00021964"/>
        <s v="8301|00021972"/>
        <s v="8301|00021984"/>
        <s v="8301|00021998"/>
        <s v="8301|00022006"/>
        <s v="8301|00022018"/>
        <s v="8301|00022022"/>
        <s v="8301|00022033"/>
        <s v="8301|00022042"/>
        <s v="8301|00022052"/>
        <s v="8301|00022060"/>
        <s v="8301|00022078"/>
        <s v="8301|00022088"/>
        <s v="8301|00022118"/>
        <s v="8301|00022122"/>
        <s v="8301|00022135"/>
        <s v="8301|00022147"/>
        <s v="8301|00022152"/>
        <s v="8301|00022162"/>
        <s v="8301|00022177"/>
        <s v="8301|00022188"/>
        <s v="8301|00022191"/>
        <s v="8301|00022205"/>
        <s v="8301|00022216"/>
        <s v="8301|00022225"/>
        <s v="8301|00022230"/>
        <s v="8301|00022242"/>
        <s v="8301|00022258"/>
        <s v="8301|00022261"/>
        <s v="8301|00022285"/>
        <s v="8301|00022293"/>
        <s v="8301|00022304"/>
        <s v="8301|00022318"/>
        <s v="8301|00022328"/>
        <s v="8301|00022333"/>
        <s v="8301|00022340"/>
        <s v="8301|00022363"/>
        <s v="8301|00022378"/>
        <s v="8301|00022383"/>
        <s v="8301|00022397"/>
        <s v="8301|00022401"/>
        <s v="8301|00022418"/>
        <s v="8301|00022420"/>
        <s v="8301|00022434"/>
        <s v="8301|00022440"/>
        <s v="8301|00022455"/>
        <s v="8301|00022463"/>
        <s v="8301|00022470"/>
        <s v="8301|00022483"/>
        <s v="8301|00022496"/>
        <s v="8301|00022501"/>
        <s v="8301|00022510"/>
        <s v="8301|00022528"/>
        <s v="8301|00022536"/>
        <s v="8301|00022543"/>
        <s v="8301|00022554"/>
        <s v="8301|00022560"/>
        <s v="8301|00022574"/>
        <s v="8301|00022584"/>
        <s v="8301|00022596"/>
        <s v="8301|00022606"/>
        <s v="8301|00022618"/>
        <s v="8301|00022626"/>
        <s v="8301|00022636"/>
        <s v="8301|00022644"/>
        <s v="8301|00022655"/>
        <s v="8301|00022668"/>
        <s v="8301|00022677"/>
        <s v="8301|00022684"/>
        <s v="8301|00022692"/>
        <s v="8301|00022702"/>
        <s v="8301|00022713"/>
        <s v="8301|00022728"/>
        <s v="8301|00022744"/>
        <s v="8301|00022753"/>
        <s v="8301|00022762"/>
        <s v="8301|00022771"/>
        <s v="8301|00022783"/>
        <s v="8301|00022795"/>
        <s v="8301|00022804"/>
        <s v="8301|00022815"/>
        <s v="8301|00022821"/>
        <s v="8301|00022834"/>
        <s v="8301|00022847"/>
        <s v="8301|00022858"/>
        <s v="8301|00022863"/>
        <s v="8301|00022875"/>
        <s v="8301|00022882"/>
        <s v="8301|00022894"/>
        <s v="8301|00022906"/>
        <s v="8301|00022915"/>
        <s v="8301|00022921"/>
        <s v="8301|00022933"/>
        <s v="8301|00022944"/>
        <s v="8301|00022957"/>
        <s v="8301|00022962"/>
        <s v="8301|00022971"/>
        <s v="8301|00022983"/>
        <s v="8301|00022990"/>
        <s v="8301|00023002"/>
        <s v="8301|00023010"/>
        <s v="8301|00023027"/>
        <s v="8301|00023033"/>
        <s v="8301|00023047"/>
        <s v="8301|00023051"/>
        <s v="8301|00023061"/>
        <s v="8301|00023072"/>
        <s v="8301|00023085"/>
        <s v="8301|00023098"/>
        <s v="8301|00023107"/>
        <s v="8301|00023114"/>
        <s v="8301|00023126"/>
        <s v="8301|00023136"/>
        <s v="8301|00023152"/>
        <s v="8301|00023160"/>
        <s v="8301|00023172"/>
        <s v="8301|00023187"/>
        <s v="8301|00023197"/>
        <s v="8301|00023213"/>
        <s v="8301|00023224"/>
        <s v="8301|00023232"/>
        <s v="8301|00023243"/>
        <s v="8301|00023250"/>
        <s v="8301|00023261"/>
        <s v="8301|00023274"/>
        <s v="8301|00023288"/>
        <s v="8301|00023295"/>
        <s v="8301|00023306"/>
        <s v="8301|00023315"/>
        <s v="8301|00023320"/>
        <s v="8301|00023342"/>
        <s v="8301|00023358"/>
        <s v="8301|00023362"/>
        <s v="8301|00023375"/>
        <s v="8301|00023402"/>
        <s v="8301|00023415"/>
        <s v="8301|00023423"/>
        <s v="8301|00023433"/>
        <s v="8301|00023446"/>
        <s v="8301|00023455"/>
        <s v="8301|00023463"/>
        <s v="8301|00023478"/>
        <s v="8301|00023480"/>
        <s v="8301|00023494"/>
        <s v="8301|00023500"/>
        <s v="8301|00023516"/>
        <s v="8301|00023523"/>
        <s v="8301|00023530"/>
        <s v="8301|00023544"/>
        <s v="8301|00023551"/>
        <s v="8301|00023566"/>
        <s v="8301|00023573"/>
        <s v="8301|00023585"/>
        <s v="8301|00023602"/>
        <s v="8301|00023610"/>
        <s v="8301|00023625"/>
        <s v="8301|00023635"/>
        <s v="8301|00023646"/>
        <s v="8301|00023655"/>
        <s v="8301|00023664"/>
        <s v="8301|00023672"/>
        <s v="8301|00023680"/>
        <s v="8301|00023705"/>
        <s v="8301|00023716"/>
        <s v="8301|00023725"/>
        <s v="8301|00023733"/>
        <s v="8301|00023748"/>
        <s v="8301|00023752"/>
        <s v="8301|00023766"/>
        <s v="8301|00023773"/>
        <s v="8301|00023787"/>
        <s v="8301|00023792"/>
        <s v="8301|00023805"/>
        <s v="8301|00023818"/>
        <s v="8301|00023827"/>
        <s v="8301|00023832"/>
        <s v="8301|00023842"/>
        <s v="8301|00023850"/>
        <s v="8301|00023862"/>
        <s v="8301|00023876"/>
        <s v="8301|00023881"/>
        <s v="8301|00023898"/>
        <s v="8301|00023906"/>
        <s v="8301|00023917"/>
        <s v="8301|00023927"/>
        <s v="8301|00023934"/>
        <s v="8301|00023945"/>
        <s v="8301|00023952"/>
        <s v="8301|00023964"/>
        <s v="8301|00023978"/>
        <s v="8301|00023984"/>
        <s v="8301|00023997"/>
        <s v="8301|00024004"/>
        <s v="8301|00024015"/>
        <s v="8301|00024023"/>
        <s v="8301|00024032"/>
        <s v="8301|00024043"/>
        <s v="8301|00024053"/>
        <s v="8301|00024067"/>
        <s v="8301|00024071"/>
        <s v="8301|00024085"/>
        <s v="8301|00024096"/>
        <s v="8301|00024102"/>
        <s v="8301|00024111"/>
        <s v="8301|00024126"/>
        <s v="8301|00024136"/>
        <s v="8301|00024140"/>
        <s v="8301|00024158"/>
        <s v="8301|00024166"/>
        <s v="8301|00024170"/>
        <s v="8301|00024185"/>
        <s v="8301|00024190"/>
        <s v="8301|00024200"/>
        <s v="8301|00024213"/>
        <s v="8301|00024221"/>
        <s v="8301|00024232"/>
        <s v="8301|00024243"/>
        <s v="8301|00024250"/>
        <s v="8301|00024267"/>
        <s v="8301|00024278"/>
        <s v="8301|00024281"/>
        <s v="8301|00024297"/>
        <s v="8301|00024306"/>
        <s v="8301|00024313"/>
        <s v="8301|00024326"/>
        <s v="8301|00024332"/>
        <s v="8301|00024341"/>
        <s v="8301|00024358"/>
        <s v="8301|00024367"/>
        <s v="8301|00024378"/>
        <s v="8301|00024385"/>
        <s v="8301|00024398"/>
        <s v="8301|00024402"/>
        <s v="8301|00024410"/>
        <s v="8301|00024428"/>
        <s v="8301|00024431"/>
        <s v="8301|00024447"/>
        <s v="8301|00024451"/>
        <s v="8301|00024462"/>
        <s v="8301|00024470"/>
        <s v="8301|00024480"/>
        <s v="8301|00024498"/>
        <s v="8301|00024504"/>
        <s v="8301|00024517"/>
        <s v="8301|00024523"/>
        <s v="8301|00024531"/>
        <s v="8301|00024547"/>
        <s v="8301|00024558"/>
        <s v="8301|00024563"/>
        <s v="8301|00024575"/>
        <s v="8301|00024580"/>
        <s v="8301|00024595"/>
        <s v="8301|00024601"/>
        <s v="8301|00024611"/>
        <s v="8301|00024623"/>
        <s v="8301|00024636"/>
        <s v="8301|00024656"/>
        <s v="8301|00024667"/>
        <s v="8301|00024674"/>
        <s v="8301|00024685"/>
        <s v="8301|00024691"/>
        <s v="8301|00024708"/>
        <s v="8301|00024715"/>
        <s v="8301|00024720"/>
        <s v="8301|00024737"/>
        <s v="8301|00024741"/>
        <s v="8301|00024751"/>
        <s v="8301|00024765"/>
        <s v="8301|00024772"/>
        <s v="8301|00024780"/>
        <s v="8301|00024790"/>
        <s v="8301|00024806"/>
        <s v="8301|00024817"/>
        <s v="8301|00024823"/>
        <s v="8301|00024837"/>
        <s v="8301|00024843"/>
        <s v="8301|00024854"/>
        <s v="8301|00024862"/>
        <s v="8301|00024878"/>
        <s v="8301|00024883"/>
        <s v="8301|00024896"/>
        <s v="8301|00024902"/>
        <s v="8301|00024912"/>
        <s v="8301|00024925"/>
        <s v="8301|00024934"/>
        <s v="8301|00024942"/>
        <s v="8301|00024951"/>
        <s v="8301|00024967"/>
        <s v="8301|00024971"/>
        <s v="8301|00024988"/>
        <s v="8301|00024990"/>
        <s v="8301|00025000"/>
        <s v="8301|00025014"/>
        <s v="8301|00025024"/>
        <s v="8301|00025032"/>
        <s v="8301|00025043"/>
        <s v="8301|00025055"/>
        <s v="8301|00025067"/>
        <s v="8301|00025078"/>
        <s v="8301|00025084"/>
        <s v="8301|00025096"/>
        <s v="8301|00025104"/>
        <s v="8301|00025114"/>
        <s v="8301|00025133"/>
        <s v="8301|00025140"/>
        <s v="8301|00025156"/>
        <s v="8301|00025165"/>
        <s v="8301|00025185"/>
        <s v="8301|00025192"/>
        <s v="8301|00025204"/>
        <s v="8301|00025216"/>
        <s v="8301|00025227"/>
        <s v="8301|00025234"/>
        <s v="8301|00025246"/>
        <s v="8301|00025254"/>
        <s v="8301|00025266"/>
        <s v="8301|00025273"/>
        <s v="8301|00025285"/>
        <s v="8301|00025291"/>
        <s v="8301|00025300"/>
        <s v="8301|00025312"/>
        <s v="8301|00025327"/>
        <s v="8301|00025330"/>
        <s v="8301|00025342"/>
        <s v="8301|00025353"/>
        <s v="8301|00025366"/>
        <s v="8301|00025374"/>
        <s v="8301|00025396"/>
        <s v="8301|00025406"/>
        <s v="8301|00025418"/>
        <s v="8301|00025426"/>
        <s v="8301|00025430"/>
        <s v="8301|00025443"/>
        <s v="8301|00025455"/>
        <s v="8301|00025466"/>
        <s v="8301|00025477"/>
        <s v="8301|00025482"/>
        <s v="8301|00025490"/>
        <s v="8301|00025500"/>
        <s v="8301|00025517"/>
        <s v="8301|00025522"/>
        <s v="8301|00025543"/>
        <s v="8301|00025556"/>
        <s v="8301|00025564"/>
        <s v="8301|00025584"/>
        <s v="8301|00025594"/>
        <s v="8301|00025604"/>
        <s v="8301|00025613"/>
        <s v="8301|00025624"/>
        <s v="8301|00025632"/>
        <s v="8301|00025643"/>
        <s v="8301|00025657"/>
        <s v="8301|00025668"/>
        <s v="8301|00025670"/>
        <s v="8301|00025688"/>
        <s v="8301|00025696"/>
        <s v="8301|00025701"/>
        <s v="8301|00025714"/>
        <s v="8301|00025725"/>
        <s v="8301|00025737"/>
        <s v="8301|00025746"/>
        <s v="8301|00025755"/>
        <s v="8301|00025760"/>
        <s v="8301|00025772"/>
        <s v="8301|00025780"/>
        <s v="8301|00025803"/>
        <s v="8301|00025813"/>
        <s v="8301|00025823"/>
        <s v="8301|00025835"/>
        <s v="8301|00025846"/>
        <s v="8301|00025856"/>
        <s v="8301|00025866"/>
        <s v="8301|00025876"/>
        <s v="8301|00025883"/>
        <s v="8301|00025897"/>
        <s v="8301|00025910"/>
        <s v="8301|00025921"/>
        <s v="8301|00025936"/>
        <s v="8301|00025944"/>
        <s v="8301|00025958"/>
        <s v="8301|00025963"/>
        <s v="8301|00025973"/>
        <s v="8301|00025981"/>
        <s v="8301|00025994"/>
        <s v="8301|00026012"/>
        <s v="8301|00026028"/>
        <s v="8301|00026037"/>
        <s v="8301|00026042"/>
        <s v="8301|00026056"/>
        <s v="8301|00026062"/>
        <s v="8301|00026077"/>
        <s v="8301|00026082"/>
        <s v="8301|00026092"/>
        <s v="8301|00026103"/>
        <s v="8301|00026116"/>
        <s v="8301|00026125"/>
        <s v="8301|00026131"/>
        <s v="8301|00026141"/>
        <s v="8301|00026151"/>
        <s v="8301|00026164"/>
        <s v="8301|00026177"/>
        <s v="8301|00026181"/>
        <s v="8301|00026196"/>
        <s v="8301|00026206"/>
        <s v="8301|00026211"/>
        <s v="8301|00026224"/>
        <s v="8301|00026232"/>
        <s v="8301|00026241"/>
        <s v="8301|00026253"/>
        <s v="8301|00026267"/>
        <s v="8301|00026282"/>
        <s v="8301|00026290"/>
        <s v="8301|00026303"/>
        <s v="8301|00026312"/>
        <s v="8301|00026323"/>
        <s v="8301|00026330"/>
        <s v="8301|00026344"/>
        <s v="8301|00026355"/>
        <s v="8301|00026360"/>
        <s v="8301|00026375"/>
        <s v="8301|00026386"/>
        <s v="8301|00026398"/>
        <s v="8301|00026408"/>
        <s v="8301|00026411"/>
        <s v="8301|00026422"/>
        <s v="8301|00026438"/>
        <s v="8301|00026443"/>
        <s v="8301|00026456"/>
        <s v="8301|00026460"/>
        <s v="8301|00026474"/>
        <s v="8301|00026483"/>
        <s v="8301|00026491"/>
        <s v="8301|00026506"/>
        <s v="8301|00026515"/>
        <s v="8301|00026525"/>
        <s v="8301|00026532"/>
        <s v="8301|00026546"/>
        <s v="8301|00026555"/>
        <s v="8301|00026563"/>
        <s v="8301|00026573"/>
        <s v="8301|00026587"/>
        <s v="8301|00026590"/>
        <s v="8301|00026605"/>
        <s v="8301|00026611"/>
        <s v="8301|00026621"/>
        <s v="8301|00026631"/>
        <s v="8301|00026640"/>
        <s v="8301|00026655"/>
        <s v="8301|00026661"/>
        <s v="8301|00026677"/>
        <s v="8301|00026686"/>
        <s v="8301|00026690"/>
        <s v="8301|00026704"/>
        <s v="8301|00026718"/>
        <s v="8301|00026723"/>
        <s v="8301|00026735"/>
        <s v="8301|00026745"/>
        <s v="8301|00026756"/>
        <s v="8301|00026761"/>
        <s v="8301|00026775"/>
        <s v="8301|00026784"/>
        <s v="8301|00026790"/>
        <s v="8301|00026803"/>
        <s v="8301|00026814"/>
        <s v="8301|00026823"/>
        <s v="8301|00026832"/>
        <s v="8301|00026840"/>
        <s v="8301|00026852"/>
        <s v="8301|00026864"/>
        <s v="8301|00026872"/>
        <s v="8301|00026881"/>
        <s v="8301|00026894"/>
        <s v="8301|00026904"/>
        <s v="8301|00026912"/>
        <s v="8301|00026921"/>
        <s v="8301|00026931"/>
        <s v="8301|00026944"/>
        <s v="8301|00026956"/>
        <s v="8301|00026966"/>
        <s v="8301|00026971"/>
        <s v="8301|00026988"/>
        <s v="8301|00026992"/>
        <s v="8301|00027008"/>
        <s v="8301|00027010"/>
        <s v="8301|00027022"/>
        <s v="8301|00027034"/>
        <s v="8301|00027046"/>
        <s v="8301|00027053"/>
        <s v="8301|00027063"/>
        <s v="8301|00027074"/>
        <s v="8301|00027082"/>
        <s v="8301|00027095"/>
        <s v="8301|00027106"/>
        <s v="8301|00027114"/>
        <s v="8301|00027123"/>
        <s v="8301|00027134"/>
        <s v="8301|00027146"/>
        <s v="8301|00027157"/>
        <s v="8301|00027161"/>
        <s v="8301|00027173"/>
        <s v="8301|00027196"/>
        <s v="8301|00027207"/>
        <s v="8301|00027222"/>
        <s v="8301|00027234"/>
        <s v="8301|00027247"/>
        <s v="8301|00027261"/>
        <s v="8301|00027270"/>
        <s v="8301|00027284"/>
        <s v="8301|00027298"/>
        <s v="8301|00027302"/>
        <s v="8301|00027314"/>
        <s v="8301|00027321"/>
        <s v="8301|00027332"/>
        <s v="8301|00027346"/>
        <s v="8301|00027351"/>
        <s v="8301|00027362"/>
        <s v="8301|00027375"/>
        <s v="8301|00027381"/>
        <s v="8301|00027390"/>
        <s v="8301|00027407"/>
        <s v="8301|00027410"/>
        <s v="8301|00027423"/>
        <s v="8301|00027433"/>
        <s v="8301|00027444"/>
        <s v="8301|00027452"/>
        <s v="8301|00027466"/>
        <s v="8301|00027475"/>
        <s v="8301|00027482"/>
        <s v="8301|00027493"/>
        <s v="8301|00027508"/>
        <s v="8301|00027518"/>
        <s v="8301|00027521"/>
        <s v="8301|00027535"/>
        <s v="8301|00027546"/>
        <s v="8301|00027555"/>
        <s v="8301|00027561"/>
        <s v="8301|00027586"/>
        <s v="8301|00027597"/>
        <s v="8301|00027603"/>
        <s v="8301|00027611"/>
        <s v="8301|00027628"/>
        <s v="8301|00027630"/>
        <s v="8301|00027651"/>
        <s v="8301|00027660"/>
        <s v="8301|00027670"/>
        <s v="8301|00027684"/>
        <s v="8301|00027697"/>
        <s v="8301|00027708"/>
        <s v="8301|00027712"/>
        <s v="8301|00027723"/>
        <s v="8301|00027734"/>
        <s v="8301|00027745"/>
        <s v="8301|00027750"/>
        <s v="8301|00027763"/>
        <s v="8301|00027778"/>
        <s v="8301|00027782"/>
        <s v="8301|00027791"/>
        <s v="8301|00027805"/>
        <s v="8301|00027822"/>
        <s v="8301|00027834"/>
        <s v="8301|00027842"/>
        <s v="8301|00027858"/>
        <s v="8301|00027864"/>
        <s v="8301|00027871"/>
        <s v="8301|00027884"/>
        <s v="8301|00027897"/>
        <s v="8301|00027907"/>
        <s v="8301|00027918"/>
        <s v="8301|00027920"/>
        <s v="8301|00027941"/>
        <s v="8301|00027964"/>
        <s v="8301|00027978"/>
        <s v="8301|00027987"/>
        <s v="8301|00027998"/>
        <s v="8301|00028007"/>
        <s v="8301|00028018"/>
        <s v="8301|00028025"/>
        <s v="8301|00028032"/>
        <s v="8301|00028044"/>
        <s v="8301|00028050"/>
        <s v="8301|00028067"/>
        <s v="8301|00028078"/>
        <s v="8301|00028083"/>
        <s v="8301|00028095"/>
        <s v="8301|00028102"/>
        <s v="8301|00028116"/>
        <s v="8301|00028123"/>
        <s v="8301|00028137"/>
        <s v="8301|00028144"/>
        <s v="8301|00028168"/>
        <s v="8301|00028174"/>
        <s v="8301|00028181"/>
        <s v="8301|00028198"/>
        <s v="8301|00028202"/>
        <s v="8301|00028224"/>
        <s v="8301|00028235"/>
        <s v="8301|00028246"/>
        <s v="8301|00028254"/>
        <s v="8301|00028260"/>
        <s v="8301|00028275"/>
        <s v="8301|00028288"/>
        <s v="8301|00028296"/>
        <s v="8301|00028302"/>
        <s v="8301|00028316"/>
        <s v="8301|00028322"/>
        <s v="8301|00028330"/>
        <s v="8301|00028345"/>
        <s v="8301|00028351"/>
        <s v="8301|00028360"/>
        <s v="8301|00028373"/>
        <s v="8301|00028388"/>
        <s v="8301|00028398"/>
        <s v="8301|00028404"/>
        <s v="8301|00028411"/>
        <s v="8301|00028423"/>
        <s v="8301|00028430"/>
        <s v="8301|00028447"/>
        <s v="8301|00028455"/>
        <s v="8301|00028463"/>
        <s v="8301|00028471"/>
        <s v="8301|00028488"/>
        <s v="8301|00028493"/>
        <s v="8301|00028500"/>
        <s v="8301|00028516"/>
        <s v="8301|00028526"/>
        <s v="8301|00028532"/>
        <s v="8301|00028546"/>
        <s v="8301|00028553"/>
        <s v="8301|00028565"/>
        <s v="8301|00028571"/>
        <s v="8301|00028585"/>
        <s v="8301|00028603"/>
        <s v="8301|00028615"/>
        <s v="8301|00028621"/>
        <s v="8301|00028631"/>
        <s v="8301|00028644"/>
        <s v="8301|00028658"/>
        <s v="8301|00028662"/>
        <s v="8301|00028670"/>
        <s v="8301|00028685"/>
        <s v="8301|00028698"/>
        <s v="8301|00028708"/>
        <s v="8301|00028728"/>
        <s v="8301|00028734"/>
        <s v="8301|00028741"/>
        <s v="8301|00028753"/>
        <s v="8301|00028762"/>
        <s v="8301|00028774"/>
        <s v="8301|00028782"/>
        <s v="8301|00028796"/>
        <s v="8301|00028800"/>
        <s v="8301|00028816"/>
        <s v="8301|00028823"/>
        <s v="8301|00028832"/>
        <s v="8301|00028851"/>
        <s v="8301|00028865"/>
        <s v="8301|00028870"/>
        <s v="8301|00028886"/>
        <s v="8301|00028906"/>
        <s v="8301|00028913"/>
        <s v="8301|00028921"/>
        <s v="8301|00028932"/>
        <s v="8301|00028941"/>
        <s v="8301|00028950"/>
        <s v="8301|00028966"/>
        <s v="8301|00028976"/>
        <s v="8301|00028984"/>
        <s v="8301|00028993"/>
        <s v="8301|00029005"/>
        <s v="8301|00029017"/>
        <s v="8301|00029020"/>
        <s v="8301|00029036"/>
        <s v="8301|00029044"/>
        <s v="8301|00029052"/>
        <s v="8301|00029066"/>
        <s v="8301|00029070"/>
        <s v="8301|00029085"/>
        <s v="8301|00029090"/>
        <s v="8301|00029103"/>
        <s v="8301|00029116"/>
        <s v="8301|00029120"/>
        <s v="8301|00029137"/>
        <s v="8301|00029141"/>
        <s v="8301|00029155"/>
        <s v="8301|00029166"/>
        <s v="8301|00029171"/>
        <s v="8301|00029181"/>
        <s v="8301|00029192"/>
        <s v="8301|00029212"/>
        <s v="8301|00029224"/>
        <s v="8301|00029232"/>
        <s v="8301|00029244"/>
        <s v="8301|00029256"/>
        <s v="8301|00029263"/>
        <s v="8301|00029273"/>
        <s v="8301|00029284"/>
        <s v="8301|00029291"/>
        <s v="8301|00029307"/>
        <s v="8301|00029310"/>
        <s v="8301|00029328"/>
        <s v="8301|00029337"/>
        <s v="8301|00029344"/>
        <s v="8301|00029357"/>
        <s v="8301|00029361"/>
        <s v="8301|00029377"/>
        <s v="8301|00029385"/>
        <s v="8301|00029395"/>
        <s v="8301|00029408"/>
        <s v="8301|00029416"/>
        <s v="8301|00029423"/>
        <s v="8301|00029436"/>
        <s v="8301|00029441"/>
        <s v="8301|00029473"/>
        <s v="8301|00029488"/>
        <s v="8301|00029496"/>
        <s v="8301|00029505"/>
        <s v="8301|00029517"/>
        <s v="8301|00029523"/>
        <s v="8301|00029532"/>
        <s v="8301|00029545"/>
        <s v="8301|00029556"/>
        <s v="8301|00029567"/>
        <s v="8301|00029571"/>
        <s v="8301|00029582"/>
        <s v="8301|00029592"/>
        <s v="8301|00029607"/>
        <s v="8301|00029613"/>
        <s v="8301|00029624"/>
        <s v="8301|00029636"/>
        <s v="8301|00029648"/>
        <s v="8301|00029658"/>
        <s v="8301|00029667"/>
        <s v="8301|00029676"/>
        <s v="8301|00029690"/>
        <s v="8301|00029707"/>
        <s v="8301|00029713"/>
        <s v="8301|00029723"/>
        <s v="8301|00029732"/>
        <s v="8301|00029745"/>
        <s v="8301|00029758"/>
        <s v="8301|00029761"/>
        <s v="8301|00029773"/>
        <s v="8301|00029781"/>
        <s v="8301|00029796"/>
        <s v="8301|00029801"/>
        <s v="8301|00029811"/>
        <s v="8301|00029821"/>
        <s v="8301|00029834"/>
        <s v="8301|00029846"/>
        <s v="8301|00029855"/>
        <s v="8301|00029860"/>
        <s v="8301|00029871"/>
        <s v="8301|00029883"/>
        <s v="8301|00029891"/>
        <s v="8301|00029907"/>
        <s v="8301|00029911"/>
        <s v="8301|00029921"/>
        <s v="8301|00029930"/>
        <s v="8301|00029957"/>
        <s v="8301|00029962"/>
        <s v="8301|00029977"/>
        <s v="8301|00029988"/>
        <s v="8301|00029992"/>
        <s v="8301|00030005"/>
        <s v="8301|00030011"/>
        <s v="8301|00030024"/>
        <s v="8301|00030035"/>
        <s v="8301|00030043"/>
        <s v="8301|00030051"/>
        <s v="8301|00030060"/>
        <s v="8301|00030078"/>
        <s v="8301|00030084"/>
        <s v="8301|00030098"/>
        <s v="8301|00030107"/>
        <s v="8301|00030115"/>
        <s v="8301|00030121"/>
        <s v="8301|00030134"/>
        <s v="8301|00030142"/>
        <s v="8301|00030152"/>
        <s v="8301|00030168"/>
        <s v="8301|00030178"/>
        <s v="8301|00030198"/>
        <s v="8301|00030204"/>
        <s v="8301|00030218"/>
        <s v="8301|00030226"/>
        <s v="8301|00030230"/>
        <s v="8301|00030245"/>
        <s v="8301|00030258"/>
        <s v="8301|00030268"/>
        <s v="8301|00030276"/>
        <s v="8301|00030287"/>
        <s v="8301|00030292"/>
        <s v="8301|00030302"/>
        <s v="8301|00030318"/>
        <s v="8301|00030321"/>
        <s v="8301|00030336"/>
        <s v="8301|00030341"/>
        <s v="8301|00030350"/>
        <s v="8301|00030365"/>
        <s v="8301|00030376"/>
        <s v="8301|00030388"/>
        <s v="8301|00030391"/>
        <s v="8301|00030401"/>
        <s v="8301|00030416"/>
        <s v="8301|00030431"/>
        <s v="8301|00030441"/>
        <s v="8301|00030458"/>
        <s v="8301|00030465"/>
        <s v="8301|00030478"/>
        <s v="8301|00030485"/>
        <s v="8301|00030495"/>
        <s v="8301|00030501"/>
        <s v="8301|00030511"/>
        <s v="8301|00030525"/>
        <s v="8301|00030530"/>
        <s v="8301|00030546"/>
        <s v="8301|00030554"/>
        <s v="8301|00030566"/>
        <s v="8301|00030576"/>
        <s v="8301|00030584"/>
        <s v="8301|00030593"/>
        <s v="8301|00030603"/>
        <s v="8301|00030610"/>
        <s v="8301|00030625"/>
        <s v="8301|00030631"/>
        <s v="8301|00030643"/>
        <s v="8301|00030653"/>
        <s v="8301|00030664"/>
        <s v="8301|00030678"/>
        <s v="8301|00030680"/>
        <s v="8301|00030692"/>
        <s v="8301|00030702"/>
        <s v="8301|00030711"/>
        <s v="8301|00030728"/>
        <s v="8301|00030737"/>
        <s v="8301|00030744"/>
        <s v="8301|00030766"/>
        <s v="8301|00030777"/>
        <s v="8301|00030784"/>
        <s v="8301|00030797"/>
        <s v="8301|00030806"/>
        <s v="8301|00030813"/>
        <s v="8301|00030828"/>
        <s v="8301|00030837"/>
        <s v="8301|00030851"/>
        <s v="8301|00030865"/>
        <s v="8301|00030873"/>
        <s v="8301|00030886"/>
        <s v="8301|00030896"/>
        <s v="8301|00030908"/>
        <s v="8301|00030916"/>
        <s v="8301|00030923"/>
        <s v="8301|00030931"/>
        <s v="8301|00030947"/>
        <s v="8301|00030957"/>
        <s v="8301|00030963"/>
        <s v="8301|00030978"/>
        <s v="8301|00030981"/>
        <s v="8301|00030995"/>
        <s v="8301|00031003"/>
        <s v="8301|00031016"/>
        <s v="8301|00031024"/>
        <s v="8301|00031033"/>
        <s v="8301|00031045"/>
        <s v="8301|00031055"/>
        <s v="8301|00031065"/>
        <s v="8301|00031070"/>
        <s v="8301|00031082"/>
        <s v="8301|00031097"/>
        <s v="8301|00031100"/>
        <s v="8301|00031112"/>
        <s v="8301|00031124"/>
        <s v="8301|00031132"/>
        <s v="8301|00031141"/>
        <s v="8301|00031152"/>
        <s v="8301|00031178"/>
        <s v="8301|00031188"/>
        <s v="8301|00031193"/>
        <s v="8301|00031205"/>
        <s v="8301|00031212"/>
        <s v="8301|00031225"/>
        <s v="8301|00031237"/>
        <s v="8301|00031243"/>
        <s v="8301|00031258"/>
        <s v="8301|00031264"/>
        <s v="8301|00031272"/>
        <s v="8301|00031286"/>
        <s v="8301|00031294"/>
        <s v="8301|00031304"/>
        <s v="8301|00031314"/>
        <s v="8301|00031327"/>
        <s v="8301|00031331"/>
        <s v="8301|00031346"/>
        <s v="8301|00031352"/>
        <s v="8301|00031366"/>
        <s v="8301|00031373"/>
        <s v="8301|00031385"/>
        <s v="8301|00031395"/>
        <s v="8301|00031401"/>
        <s v="8301|00031418"/>
        <s v="8301|00031428"/>
        <s v="8301|00031434"/>
        <s v="8301|00031443"/>
        <s v="8301|00031455"/>
        <s v="8301|00031462"/>
        <s v="8301|00031475"/>
        <s v="8301|00031481"/>
        <s v="8301|00031493"/>
        <s v="8301|00031503"/>
        <s v="8301|00031513"/>
        <s v="8301|00031521"/>
        <s v="8301|00031537"/>
        <s v="8301|00031542"/>
        <s v="8301|00031557"/>
        <s v="8301|00031566"/>
        <s v="8301|00031577"/>
        <s v="8301|00031586"/>
        <s v="8301|00031595"/>
        <s v="8301|00031605"/>
        <s v="8301|00031616"/>
        <s v="8301|00031622"/>
        <s v="8301|00031633"/>
        <s v="8301|00031643"/>
        <s v="8301|00031658"/>
        <s v="8301|00031668"/>
        <s v="8301|00031674"/>
        <s v="8301|00031687"/>
        <s v="8301|00031698"/>
        <s v="8301|00031705"/>
        <s v="8301|00031715"/>
        <s v="8301|00031720"/>
        <s v="8301|00031731"/>
        <s v="8301|00031746"/>
        <s v="8301|00031757"/>
        <s v="8301|00031762"/>
        <s v="8301|00031773"/>
        <s v="8301|00031791"/>
        <s v="8301|00031802"/>
        <s v="8301|00031810"/>
        <s v="8301|00031823"/>
        <s v="8301|00031836"/>
        <s v="8301|00031847"/>
        <s v="8301|00031851"/>
        <s v="8301|00031863"/>
        <s v="8301|00031877"/>
        <s v="8301|00031888"/>
        <s v="8301|00031897"/>
        <s v="8301|00031902"/>
        <s v="8301|00031914"/>
        <s v="8301|00031926"/>
        <s v="8301|00031933"/>
        <s v="8301|00031940"/>
        <s v="8301|00031954"/>
        <s v="8301|00031983"/>
        <s v="8301|00031993"/>
        <s v="8301|00032008"/>
        <s v="8301|00032011"/>
        <s v="8301|00032028"/>
        <s v="8301|00032035"/>
        <s v="8301|00032044"/>
        <s v="8301|00032054"/>
        <s v="8301|00032065"/>
        <s v="8301|00032072"/>
        <s v="8301|00032087"/>
        <s v="8301|00032090"/>
        <s v="8301|00032105"/>
        <s v="8301|00032110"/>
        <s v="8301|00032124"/>
        <s v="8301|00032130"/>
        <s v="8301|00032148"/>
        <s v="8301|00032153"/>
        <s v="8301|00032167"/>
        <s v="8301|00032178"/>
        <s v="8301|00032182"/>
        <s v="8301|00032195"/>
        <s v="8301|00032200"/>
        <s v="8301|00032213"/>
        <s v="8301|00032224"/>
        <s v="8301|00032236"/>
        <s v="8301|00032245"/>
        <s v="8301|00032252"/>
        <s v="8301|00032261"/>
        <s v="8301|00032277"/>
        <s v="8301|00032284"/>
        <s v="8301|00032292"/>
        <s v="8301|00032303"/>
        <s v="8301|00032312"/>
        <s v="8301|00032326"/>
        <s v="8301|00032331"/>
        <s v="8301|00032347"/>
        <s v="8301|00032350"/>
        <s v="8301|00032367"/>
        <s v="8301|00032374"/>
        <s v="8301|00032386"/>
        <s v="8301|00032395"/>
        <s v="8301|00032401"/>
        <s v="8301|00032416"/>
        <s v="8301|00032423"/>
        <s v="8301|00032435"/>
        <s v="8301|00032444"/>
        <s v="8301|00032453"/>
        <s v="8301|00032465"/>
        <s v="8301|00032472"/>
        <s v="8301|00032486"/>
        <s v="8301|00032497"/>
        <s v="8301|00032501"/>
        <s v="8301|00032516"/>
        <s v="8301|00032520"/>
        <s v="8301|00032537"/>
        <s v="8301|00032543"/>
        <s v="8301|00032558"/>
        <s v="8301|00032568"/>
        <s v="8301|00032570"/>
        <s v="8301|00032590"/>
        <s v="8301|00032601"/>
        <s v="8301|00032616"/>
        <s v="8301|00032623"/>
        <s v="8301|00032643"/>
        <s v="8301|00032650"/>
        <s v="8301|00032660"/>
        <s v="8301|00032678"/>
        <s v="8301|00032680"/>
        <s v="8301|00032694"/>
        <s v="8301|00032708"/>
        <s v="8301|00032714"/>
        <s v="8301|00032727"/>
        <s v="8301|00032733"/>
        <s v="8301|00032747"/>
        <s v="8301|00032757"/>
        <s v="8301|00032765"/>
        <s v="8301|00032778"/>
        <s v="8301|00032782"/>
        <s v="8301|00032798"/>
        <s v="8301|00032805"/>
        <s v="8301|00032811"/>
        <s v="8301|00032823"/>
        <s v="8301|00032837"/>
        <s v="8301|00032854"/>
        <s v="8301|00032868"/>
        <s v="8301|00032877"/>
        <s v="8301|00032880"/>
        <s v="8301|00032891"/>
        <s v="8301|00032907"/>
        <s v="8301|00032912"/>
        <s v="8301|00032921"/>
        <s v="8301|00032937"/>
        <s v="8301|00032940"/>
        <s v="8301|00032955"/>
        <s v="8301|00032961"/>
        <s v="8301|00032972"/>
        <s v="8301|00032981"/>
        <s v="8301|00032993"/>
        <s v="8301|00033007"/>
        <s v="8301|00033018"/>
        <s v="8301|00033027"/>
        <s v="8301|00033037"/>
        <s v="8301|00033045"/>
        <s v="8301|00033054"/>
        <s v="8301|00033062"/>
        <s v="8301|00033076"/>
        <s v="8301|00033080"/>
        <s v="8301|00033090"/>
        <s v="8301|00033105"/>
        <s v="8301|00033112"/>
        <s v="8301|00033128"/>
        <s v="8301|00033155"/>
        <s v="8301|00033162"/>
        <s v="8301|00033171"/>
        <s v="8301|00033186"/>
        <s v="8301|00033192"/>
        <s v="8301|00033205"/>
        <s v="8301|00033213"/>
        <s v="8301|00033228"/>
        <s v="8301|00033233"/>
        <s v="8301|00033247"/>
        <s v="8301|00033258"/>
        <s v="8301|00033265"/>
        <s v="8301|00033270"/>
        <s v="8301|00033285"/>
        <s v="8301|00033294"/>
        <s v="8301|00033303"/>
        <s v="8301|00033310"/>
        <s v="8301|00033320"/>
        <s v="8301|00033332"/>
        <s v="8301|00033345"/>
        <s v="8301|00033350"/>
        <s v="8301|00033361"/>
        <s v="8301|00033375"/>
        <s v="8301|00033382"/>
        <s v="8301|00033391"/>
        <s v="8301|00033407"/>
        <s v="8301|00033410"/>
        <s v="8301|00033420"/>
        <s v="8301|00033437"/>
        <s v="8301|00033442"/>
        <s v="8301|00033453"/>
        <s v="8301|00033460"/>
        <s v="8301|00033473"/>
        <s v="8301|00033486"/>
        <s v="8301|00033491"/>
        <s v="8301|00033500"/>
        <s v="8301|00033512"/>
        <s v="8301|00033538"/>
        <s v="8301|00033548"/>
        <s v="8301|00033550"/>
        <s v="8301|00033560"/>
        <s v="8301|00033572"/>
        <s v="8301|00033580"/>
        <s v="8301|00033595"/>
        <s v="8301|00033607"/>
        <s v="8301|00033615"/>
        <s v="8301|00033623"/>
        <s v="8301|00033635"/>
        <s v="8301|00033646"/>
        <s v="8301|00033654"/>
        <s v="8301|00033675"/>
        <s v="8301|00033688"/>
        <s v="8301|00033698"/>
        <s v="8301|00033704"/>
        <s v="8301|00033715"/>
        <s v="8301|00033722"/>
        <s v="8301|00033747"/>
        <s v="8301|00033756"/>
        <s v="8301|00033764"/>
        <s v="8301|00033778"/>
        <s v="8301|00033784"/>
        <s v="8301|00033794"/>
        <s v="8301|00033803"/>
        <s v="8301|00033813"/>
        <s v="8301|00033827"/>
        <s v="8301|00033834"/>
        <s v="8301|00033845"/>
        <s v="8301|00033856"/>
        <s v="8301|00033860"/>
        <s v="8301|00033872"/>
        <s v="8301|00033881"/>
        <s v="8301|00033905"/>
        <s v="8301|00033914"/>
        <s v="8301|00033920"/>
        <s v="8301|00033948"/>
        <s v="8301|00033951"/>
        <s v="8301|00033962"/>
        <s v="8301|00033971"/>
        <s v="8301|00033985"/>
        <s v="8301|00033993"/>
        <s v="8301|00034007"/>
        <s v="8301|00034015"/>
        <s v="8301|00034020"/>
        <s v="8301|00034036"/>
        <s v="8301|00034054"/>
        <s v="8301|00034064"/>
        <s v="8301|00034072"/>
        <s v="8301|00034087"/>
        <s v="8301|00034098"/>
        <s v="8301|00034104"/>
        <s v="8301|00034115"/>
        <s v="8301|00034126"/>
        <s v="8301|00034138"/>
        <s v="8301|00034148"/>
        <s v="8301|00034164"/>
        <s v="8301|00034172"/>
        <s v="8301|00034187"/>
        <s v="8301|00034192"/>
        <s v="8301|00034205"/>
        <s v="8301|00034213"/>
        <s v="8301|00034227"/>
        <s v="8301|00034235"/>
        <s v="8301|00034245"/>
        <s v="8301|00034262"/>
        <s v="8301|00034277"/>
        <s v="8301|00034282"/>
        <s v="8301|00034297"/>
        <s v="8301|00034306"/>
        <s v="8301|00034316"/>
        <s v="8301|00034323"/>
        <s v="8301|00034331"/>
        <s v="8301|00034347"/>
        <s v="8301|00034355"/>
        <s v="8301|00034361"/>
        <s v="8301|00034376"/>
        <s v="8301|00034388"/>
        <s v="8301|00034396"/>
        <s v="8301|00034400"/>
        <s v="8301|00034422"/>
        <s v="8301|00034435"/>
        <s v="8301|00034440"/>
        <s v="8301|00034456"/>
        <s v="8301|00034464"/>
        <s v="8301|00034478"/>
        <s v="8301|00034482"/>
        <s v="8301|00034514"/>
        <s v="8301|00034533"/>
        <s v="8301|00034543"/>
        <s v="8301|00034553"/>
        <s v="8301|00034566"/>
        <s v="8301|00034578"/>
        <s v="8301|00034587"/>
        <s v="8301|00034598"/>
        <s v="8301|00034606"/>
        <s v="8301|00034614"/>
        <s v="8301|00034623"/>
        <s v="8301|00034637"/>
        <s v="8301|00034650"/>
        <s v="8301|00034665"/>
        <s v="8301|00034671"/>
        <s v="8301|00034702"/>
        <s v="8301|00034724"/>
        <s v="8301|00034734"/>
        <s v="8301|00034746"/>
        <s v="8301|00034768"/>
        <s v="8301|00034771"/>
        <s v="8301|00034783"/>
        <s v="8301|00034797"/>
        <s v="8301|00034800"/>
        <s v="8301|00034811"/>
        <s v="8301|00034831"/>
        <s v="8301|00034862"/>
        <s v="8301|00034876"/>
        <s v="8301|00034888"/>
        <s v="8301|00034891"/>
        <s v="8301|00034903"/>
        <s v="8301|00034912"/>
        <s v="8301|00034921"/>
        <s v="8301|00034936"/>
        <s v="8301|00034940"/>
        <s v="8301|00034953"/>
        <s v="8301|00034962"/>
        <s v="8301|00034982"/>
        <s v="8301|00034991"/>
        <s v="8301|00035007"/>
        <s v="8301|00035010"/>
        <s v="8301|00035028"/>
        <s v="8301|00035034"/>
        <s v="8301|00035064"/>
        <s v="8301|00035074"/>
        <s v="8301|00035085"/>
        <s v="8301|00035102"/>
        <s v="8301|00035113"/>
        <s v="8301|00035120"/>
        <s v="8301|00035142"/>
        <s v="8301|00035156"/>
        <s v="8301|00035168"/>
        <s v="8301|00035174"/>
        <s v="8301|00035185"/>
        <s v="8301|00035192"/>
        <s v="8301|00035200"/>
        <s v="8301|00035214"/>
        <s v="8301|00035226"/>
        <s v="8301|00035238"/>
        <s v="8301|00035258"/>
        <s v="8301|00035260"/>
        <s v="8301|00035288"/>
        <s v="8301|00035297"/>
        <s v="8301|00035300"/>
        <s v="8301|00035317"/>
        <s v="8301|00035337"/>
        <s v="8301|00035344"/>
        <s v="8301|00035355"/>
        <s v="8301|00035360"/>
        <s v="8301|00035374"/>
        <s v="8301|00035380"/>
        <s v="8301|00035402"/>
        <s v="8301|00035417"/>
        <s v="8301|00035447"/>
        <s v="8301|00035456"/>
        <s v="8301|00035470"/>
        <s v="8301|00035523"/>
        <s v="8301|00035544"/>
        <s v="8301|00035557"/>
        <s v="8301|00035564"/>
        <s v="8301|00035652"/>
        <s v="8301|00035678"/>
        <s v="8301|00035706"/>
        <s v="8301|00035738"/>
        <s v="8301|00035741"/>
        <s v="8301|00035803"/>
        <s v="8301|00035815"/>
        <s v="8301|00035931"/>
        <s v="8301|00035968"/>
        <s v="8301|00036034"/>
        <s v="8301|00036048"/>
        <s v="8301|00036081"/>
        <s v="8301|00036201"/>
        <s v="8301|00036222"/>
        <s v="8301|00036233"/>
        <s v="8302|00003888"/>
        <s v="8302|00004507"/>
        <s v="8302|00005467"/>
        <s v="8302|00005707"/>
        <s v="8302|00006570"/>
        <s v="8302|00006597"/>
        <s v="8302|00007312"/>
        <s v="8302|00007323"/>
        <s v="8302|00007447"/>
        <s v="8302|00007626"/>
        <s v="8302|00007651"/>
        <s v="8302|00007687"/>
        <s v="8302|00007693"/>
        <s v="8302|00007763"/>
        <s v="8302|00007887"/>
        <s v="8302|00008238"/>
        <s v="8302|00008263"/>
        <s v="8302|00008302"/>
        <s v="8302|00008355"/>
        <s v="8302|00008402"/>
        <s v="8302|00008421"/>
        <s v="8302|00008450"/>
        <s v="8302|00008501"/>
        <s v="8302|00008607"/>
        <s v="8302|00008633"/>
        <s v="8302|00008686"/>
        <s v="8302|00008711"/>
        <s v="8302|00008746"/>
        <s v="8302|00008776"/>
        <s v="8302|00008957"/>
        <s v="8302|00008988"/>
        <s v="8302|00008990"/>
        <s v="8302|00009002"/>
        <s v="8302|00009018"/>
        <s v="8302|00009038"/>
        <s v="8302|00009046"/>
        <s v="8302|00009053"/>
        <s v="8302|00009068"/>
        <s v="8302|00009082"/>
        <s v="8302|00009093"/>
        <s v="8302|00009107"/>
        <s v="8302|00009122"/>
        <s v="8302|00009132"/>
        <s v="8302|00009166"/>
        <s v="8302|00009172"/>
        <s v="8302|00009182"/>
        <s v="8302|00009197"/>
        <s v="8302|00009232"/>
        <s v="8302|00009245"/>
        <s v="8302|00009253"/>
        <s v="8302|00009270"/>
        <s v="8302|00009287"/>
        <s v="8302|00009305"/>
        <s v="8302|00009317"/>
        <s v="8302|00009323"/>
        <s v="8302|00009336"/>
        <s v="8302|00009346"/>
        <s v="8302|00009366"/>
        <s v="8302|00009371"/>
        <s v="8302|00009394"/>
        <s v="8302|00009408"/>
        <s v="8302|00009425"/>
        <s v="8302|00009438"/>
        <s v="8302|00009442"/>
        <s v="8302|00009456"/>
        <s v="8302|00009468"/>
        <s v="8302|00009476"/>
        <s v="8302|00009480"/>
        <s v="8302|00009496"/>
        <s v="8302|00009504"/>
        <s v="8302|00009511"/>
        <s v="8302|00009521"/>
        <s v="8302|00009544"/>
        <s v="8302|00009555"/>
        <s v="8302|00009562"/>
        <s v="8302|00009588"/>
        <s v="8302|00009592"/>
        <s v="8302|00009603"/>
        <s v="8302|00009618"/>
        <s v="8302|00009620"/>
        <s v="8302|00009637"/>
        <s v="8302|00009640"/>
        <s v="8302|00009658"/>
        <s v="8302|00009671"/>
        <s v="8302|00009686"/>
        <s v="8302|00009693"/>
        <s v="8302|00009712"/>
        <s v="8302|00009727"/>
        <s v="8302|00009732"/>
        <s v="8302|00009745"/>
        <s v="8302|00009755"/>
        <s v="8302|00009773"/>
        <s v="8302|00009785"/>
        <s v="8302|00009794"/>
        <s v="8302|00009823"/>
        <s v="8302|00009831"/>
        <s v="8302|00009840"/>
        <s v="8302|00009865"/>
        <s v="8302|00009876"/>
        <s v="8302|00009888"/>
        <s v="8302|00009891"/>
        <s v="8302|00009904"/>
        <s v="8302|00009915"/>
        <s v="8302|00009932"/>
        <s v="8302|00009947"/>
        <s v="8302|00009955"/>
        <s v="8302|00009960"/>
        <s v="8302|00009977"/>
        <s v="8302|00009984"/>
        <s v="8302|00009993"/>
        <s v="8302|00010006"/>
        <s v="8302|00010016"/>
        <s v="8302|00010023"/>
        <s v="8302|00010034"/>
        <s v="8302|00010053"/>
        <s v="8302|00010068"/>
        <s v="8302|00010073"/>
        <s v="8302|00010083"/>
        <s v="8302|00010095"/>
        <s v="8302|00010108"/>
        <s v="8302|00010112"/>
        <s v="8302|00010126"/>
        <s v="8302|00010135"/>
        <s v="8302|00010148"/>
        <s v="8302|00010152"/>
        <s v="8302|00010167"/>
        <s v="8302|00010176"/>
        <s v="8302|00010182"/>
        <s v="8302|00010197"/>
        <s v="8302|00010202"/>
        <s v="8302|00010210"/>
        <s v="8302|00010220"/>
        <s v="8302|00010234"/>
        <s v="8302|00010243"/>
        <s v="8302|00010256"/>
        <s v="8302|00010273"/>
        <s v="8302|00010287"/>
        <s v="8302|00010298"/>
        <s v="8302|00010308"/>
        <s v="8302|00010311"/>
        <s v="8302|00010321"/>
        <s v="8302|00010337"/>
        <s v="8302|00010343"/>
        <s v="8302|00010355"/>
        <s v="8302|00010363"/>
        <s v="8302|00010377"/>
        <s v="8302|00010387"/>
        <s v="8302|00010394"/>
        <s v="8302|00010403"/>
        <s v="8302|00010412"/>
        <s v="8302|00010427"/>
        <s v="8302|00010432"/>
        <s v="8302|00010448"/>
        <s v="8302|00010457"/>
        <s v="8302|00010466"/>
        <s v="8302|00010470"/>
        <s v="8302|00010481"/>
        <s v="8302|00010490"/>
        <s v="8302|00010507"/>
        <s v="8302|00010515"/>
        <s v="8302|00010520"/>
        <s v="8302|00010538"/>
        <s v="8302|00010554"/>
        <s v="8302|00010560"/>
        <s v="8302|00010570"/>
        <s v="8302|00010581"/>
        <s v="8302|00010590"/>
        <s v="8302|00010605"/>
        <s v="8302|00010611"/>
        <s v="8302|00010628"/>
        <s v="8302|00010634"/>
        <s v="8302|00010648"/>
        <s v="8302|00010653"/>
        <s v="8302|00010664"/>
        <s v="8302|00010670"/>
        <s v="8302|00010683"/>
        <s v="8302|00010696"/>
        <s v="8302|00010702"/>
        <s v="8302|00010711"/>
        <s v="8302|00010724"/>
        <s v="8302|00010735"/>
        <s v="8302|00010742"/>
        <s v="8302|00010757"/>
        <s v="8302|00010770"/>
        <s v="8302|00010786"/>
        <s v="8302|00010793"/>
        <s v="8302|00010806"/>
        <s v="8302|00010814"/>
        <s v="8302|00010822"/>
        <s v="8302|00010833"/>
        <s v="8302|00010846"/>
        <s v="8302|00010854"/>
        <s v="8302|00010861"/>
        <s v="8302|00010877"/>
        <s v="8302|00010888"/>
        <s v="8302|00010893"/>
        <s v="8302|00010914"/>
        <s v="8302|00010927"/>
        <s v="8302|00010946"/>
        <s v="8302|00010952"/>
        <s v="8302|00010964"/>
        <s v="8302|00010971"/>
        <s v="8302|00010986"/>
        <s v="8302|00010996"/>
        <s v="8302|00011007"/>
        <s v="8302|00011023"/>
        <s v="8302|00011035"/>
        <s v="8302|00011045"/>
        <s v="8302|00011057"/>
        <s v="8302|00011062"/>
        <s v="8302|00011072"/>
        <s v="8302|00011087"/>
        <s v="8302|00011090"/>
        <s v="8302|00011101"/>
        <s v="8302|00011114"/>
        <s v="8302|00011123"/>
        <s v="8302|00011138"/>
        <s v="8302|00011144"/>
        <s v="8302|00011155"/>
        <s v="8302|00011163"/>
        <s v="8302|00011178"/>
        <s v="8302|00011180"/>
        <s v="8302|00011193"/>
        <s v="8302|00011201"/>
        <s v="8302|00011216"/>
        <s v="8302|00011226"/>
        <s v="8302|00011231"/>
        <s v="8302|00011242"/>
        <s v="8302|00011252"/>
        <s v="8302|00011263"/>
        <s v="8302|00011272"/>
        <s v="8302|00011284"/>
        <s v="8302|00011295"/>
        <s v="8302|00011305"/>
        <s v="8302|00011315"/>
        <s v="8302|00011346"/>
        <s v="8302|00011356"/>
        <s v="8302|00011375"/>
        <s v="8302|00011387"/>
        <s v="8302|00011392"/>
        <s v="8302|00011403"/>
        <s v="8302|00011417"/>
        <s v="8302|00011438"/>
        <s v="8302|00011444"/>
        <s v="8302|00011454"/>
        <s v="8302|00011462"/>
        <s v="8302|00011478"/>
        <s v="8302|00011484"/>
        <s v="8302|00011496"/>
        <s v="8302|00011501"/>
        <s v="8302|00011512"/>
        <s v="8302|00011525"/>
        <s v="8302|00011530"/>
        <s v="8302|00011541"/>
        <s v="8302|00011552"/>
        <s v="8302|00011560"/>
        <s v="8302|00011570"/>
        <s v="8302|00011585"/>
        <s v="8302|00011594"/>
        <s v="8302|00011600"/>
        <s v="8302|00011611"/>
        <s v="8302|00011626"/>
        <s v="8302|00011631"/>
        <s v="8302|00011640"/>
        <s v="8302|00011650"/>
        <s v="8302|00011664"/>
        <s v="8302|00011671"/>
        <s v="8302|00011686"/>
        <s v="8302|00011690"/>
        <s v="8302|00011700"/>
        <s v="8302|00011711"/>
        <s v="8302|00011725"/>
        <s v="8302|00011738"/>
        <s v="8302|00011741"/>
        <s v="8302|00011750"/>
        <s v="8302|00011760"/>
        <s v="8302|00011775"/>
        <s v="8302|00011792"/>
        <s v="8302|00011800"/>
        <s v="8302|00011810"/>
        <s v="8302|00011827"/>
        <s v="8302|00011831"/>
        <s v="8302|00011842"/>
        <s v="8302|00011857"/>
        <s v="8302|00011864"/>
        <s v="8302|00011875"/>
        <s v="8302|00011887"/>
        <s v="8302|00011892"/>
        <s v="8302|00011908"/>
        <s v="8302|00011918"/>
        <s v="8302|00011921"/>
        <s v="8302|00011938"/>
        <s v="8302|00011943"/>
        <s v="8302|00011954"/>
        <s v="8302|00011963"/>
        <s v="8302|00011975"/>
        <s v="8302|00011984"/>
        <s v="8302|00012000"/>
        <s v="8302|00012010"/>
        <s v="8302|00012020"/>
        <s v="8302|00012032"/>
        <s v="8302|00012047"/>
        <s v="8302|00012053"/>
        <s v="8302|00012062"/>
        <s v="8302|00012071"/>
        <s v="8302|00012082"/>
        <s v="8302|00012093"/>
        <s v="8302|00012102"/>
        <s v="8302|00012111"/>
        <s v="8302|00012137"/>
        <s v="8302|00012145"/>
        <s v="8302|00012168"/>
        <s v="8302|00012175"/>
        <s v="8302|00012182"/>
        <s v="8302|00012198"/>
        <s v="8302|00012204"/>
        <s v="8302|00012217"/>
        <s v="8302|00012223"/>
        <s v="8302|00012238"/>
        <s v="8302|00012247"/>
        <s v="8302|00012250"/>
        <s v="8302|00012266"/>
        <s v="8302|00012271"/>
        <s v="8302|00012283"/>
        <s v="8302|00012296"/>
        <s v="8302|00012301"/>
        <s v="8302|00012312"/>
        <s v="8302|00012325"/>
        <s v="8302|00012338"/>
        <s v="8302|00012342"/>
        <s v="8302|00012354"/>
        <s v="8302|00012368"/>
        <s v="8302|00012377"/>
        <s v="8302|00012381"/>
        <s v="8302|00012397"/>
        <s v="8302|00012400"/>
        <s v="8302|00012413"/>
        <s v="8302|00012421"/>
        <s v="8302|00012434"/>
        <s v="8302|00012446"/>
        <s v="8302|00012452"/>
        <s v="8302|00012475"/>
        <s v="8302|00012481"/>
        <s v="8302|00012504"/>
        <s v="8302|00012513"/>
        <s v="8302|00012523"/>
        <s v="8302|00012537"/>
        <s v="8302|00012546"/>
        <s v="8302|00012552"/>
        <s v="8302|00012566"/>
        <s v="8302|00012572"/>
        <s v="8302|00012587"/>
        <s v="8302|00012592"/>
        <s v="8302|00012604"/>
        <s v="8302|00012610"/>
        <s v="8302|00012624"/>
        <s v="8302|00012646"/>
        <s v="8302|00012653"/>
        <s v="8302|00012664"/>
        <s v="8302|00012681"/>
        <s v="8302|00012693"/>
        <s v="8302|00012703"/>
        <s v="8302|00012713"/>
        <s v="8302|00012725"/>
        <s v="8302|00012736"/>
        <s v="8302|00012740"/>
        <s v="8302|00012753"/>
        <s v="8302|00012768"/>
        <s v="8302|00012780"/>
        <s v="8302|00012792"/>
        <s v="8302|00012806"/>
        <s v="8302|00012811"/>
        <s v="8302|00012828"/>
        <s v="8302|00012833"/>
        <s v="8302|00012845"/>
        <s v="8302|00012850"/>
        <s v="8302|00012861"/>
        <s v="8302|00012876"/>
        <s v="8302|00012897"/>
        <s v="8302|00012900"/>
        <s v="8302|00012928"/>
        <s v="8302|00012934"/>
        <s v="8302|00012945"/>
        <s v="8302|00012954"/>
        <s v="8302|00012967"/>
        <s v="8302|00012970"/>
        <s v="8302|00012986"/>
        <s v="8302|00012997"/>
        <s v="8302|00013008"/>
        <s v="8302|00013010"/>
        <s v="8302|00013026"/>
        <s v="8302|00013038"/>
        <s v="8302|00013044"/>
        <s v="8302|00013057"/>
        <s v="8302|00013062"/>
        <s v="8302|00013078"/>
        <s v="8302|00013084"/>
        <s v="8302|00013090"/>
        <s v="8302|00013101"/>
        <s v="8302|00013114"/>
        <s v="8302|00013121"/>
        <s v="8302|00013132"/>
        <s v="8302|00013148"/>
        <s v="8302|00013154"/>
        <s v="8302|00013161"/>
        <s v="8302|00013175"/>
        <s v="8302|00013183"/>
        <s v="8302|00013194"/>
        <s v="8302|00013200"/>
        <s v="8302|00013210"/>
        <s v="8302|00013226"/>
        <s v="8302|00013238"/>
        <s v="8302|00013246"/>
        <s v="8302|00013258"/>
        <s v="8302|00013266"/>
        <s v="8302|00013274"/>
        <s v="8302|00013288"/>
        <s v="8302|00013295"/>
        <s v="8302|00013306"/>
        <s v="8302|00013316"/>
        <s v="8302|00013324"/>
        <s v="8302|00013337"/>
        <s v="8302|00013343"/>
        <s v="8302|00013353"/>
        <s v="8302|00013362"/>
        <s v="8302|00013371"/>
        <s v="8302|00013380"/>
        <s v="8302|00013391"/>
        <s v="8302|00013404"/>
        <s v="8302|00013414"/>
        <s v="8302|00013427"/>
        <s v="8302|00013432"/>
        <s v="8302|00013440"/>
        <s v="8302|00013452"/>
        <s v="8302|00013468"/>
        <s v="8302|00013475"/>
        <s v="8302|00013487"/>
        <s v="8302|00013498"/>
        <s v="8302|00013506"/>
        <s v="8302|00013517"/>
        <s v="8302|00013522"/>
        <s v="8302|00013548"/>
        <s v="8302|00013551"/>
        <s v="8302|00013567"/>
        <s v="8302|00013578"/>
        <s v="8302|00013582"/>
        <s v="8302|00013592"/>
        <s v="8302|00013608"/>
        <s v="8302|00013617"/>
        <s v="8302|00013635"/>
        <s v="8302|00013646"/>
        <s v="8302|00013651"/>
        <s v="8302|00013666"/>
        <s v="8302|00013678"/>
        <s v="8302|00013682"/>
        <s v="8302|00013696"/>
        <s v="8302|00013707"/>
        <s v="8302|00013715"/>
        <s v="8302|00013726"/>
        <s v="8302|00013747"/>
        <s v="8302|00013750"/>
        <s v="8302|00013767"/>
        <s v="8302|00013778"/>
        <s v="8302|00013781"/>
        <s v="8302|00013792"/>
        <s v="8302|00013803"/>
        <s v="8302|00013810"/>
        <s v="8302|00013828"/>
        <s v="8302|00013835"/>
        <s v="8302|00013842"/>
        <s v="8302|00013857"/>
        <s v="8302|00013867"/>
        <s v="8302|00013875"/>
        <s v="8302|00013883"/>
        <s v="8302|00013892"/>
        <s v="8302|00013906"/>
        <s v="8302|00013917"/>
        <s v="8302|00013926"/>
        <s v="8302|00013932"/>
        <s v="8302|00013946"/>
        <s v="8302|00013953"/>
        <s v="8302|00013960"/>
        <s v="8302|00013971"/>
        <s v="8302|00013985"/>
        <s v="8302|00013990"/>
        <s v="8302|00014001"/>
        <s v="8302|00014017"/>
        <s v="8302|00014020"/>
        <s v="8302|00014037"/>
        <s v="8302|00014040"/>
        <s v="8302|00014055"/>
        <s v="8302|00014068"/>
        <s v="8302|00014077"/>
        <s v="8302|00014082"/>
        <s v="8302|00014096"/>
        <s v="8302|00014107"/>
        <s v="8302|00014115"/>
        <s v="8302|00014130"/>
        <s v="8302|00014141"/>
        <s v="8302|00014157"/>
        <s v="8302|00014160"/>
        <s v="8302|00014171"/>
        <s v="8302|00014187"/>
        <s v="8302|00014194"/>
        <s v="8302|00014200"/>
        <s v="8302|00014215"/>
        <s v="8302|00014221"/>
        <s v="8302|00014233"/>
        <s v="8302|00014241"/>
        <s v="8302|00014267"/>
        <s v="8302|00014270"/>
        <s v="8302|00014286"/>
        <s v="8302|00014293"/>
        <s v="8302|00014305"/>
        <s v="8302|00014317"/>
        <s v="8302|00014324"/>
        <s v="8302|00014335"/>
        <s v="8302|00014345"/>
        <s v="8302|00014353"/>
        <s v="8302|00014363"/>
        <s v="8302|00014375"/>
        <s v="8302|00014386"/>
        <s v="8302|00014395"/>
        <s v="8302|00014402"/>
        <s v="8302|00014411"/>
        <s v="8302|00014428"/>
        <s v="8302|00014430"/>
        <s v="8302|00014445"/>
        <s v="8302|00014454"/>
        <s v="8302|00014465"/>
        <s v="8302|00014472"/>
        <s v="8302|00014486"/>
        <s v="8302|00014492"/>
        <s v="8302|00014506"/>
        <s v="8302|00014517"/>
        <s v="8302|00014534"/>
        <s v="8302|00014541"/>
        <s v="8302|00014556"/>
        <s v="8302|00014574"/>
        <s v="8302|00014594"/>
        <s v="8302|00014607"/>
        <s v="8302|00014615"/>
        <s v="8302|00014628"/>
        <s v="8302|00014631"/>
        <s v="8302|00014642"/>
        <s v="8302|00014655"/>
        <s v="8302|00014662"/>
        <s v="8302|00014674"/>
        <s v="8302|00014686"/>
        <s v="8302|00014695"/>
        <s v="8302|00014701"/>
        <s v="8302|00014716"/>
        <s v="8302|00014724"/>
        <s v="8302|00014733"/>
        <s v="8302|00014742"/>
        <s v="8302|00014752"/>
        <s v="8302|00014763"/>
        <s v="8302|00014780"/>
        <s v="8302|00014808"/>
        <s v="8302|00014814"/>
        <s v="8302|00014826"/>
        <s v="8302|00014837"/>
        <s v="8302|00014842"/>
        <s v="8302|00014856"/>
        <s v="8302|00014861"/>
        <s v="8302|00014876"/>
        <s v="8302|00014880"/>
        <s v="8302|00014897"/>
        <s v="8302|00014908"/>
        <s v="8302|00014910"/>
        <s v="8302|00014920"/>
        <s v="8302|00014931"/>
        <s v="8302|00014940"/>
        <s v="8302|00014953"/>
        <s v="8302|00014964"/>
        <s v="8302|00014974"/>
        <s v="8302|00014984"/>
        <s v="8302|00014990"/>
        <s v="8302|00015002"/>
        <s v="8302|00015014"/>
        <s v="8302|00015022"/>
        <s v="8302|00015034"/>
        <s v="8302|00015043"/>
        <s v="8302|00015053"/>
        <s v="8302|00015061"/>
        <s v="8302|00015073"/>
        <s v="8302|00015095"/>
        <s v="8302|00015101"/>
        <s v="8302|00015115"/>
        <s v="8302|00015120"/>
        <s v="8302|00015134"/>
        <s v="8302|00015140"/>
        <s v="8302|00015157"/>
        <s v="8302|00015175"/>
        <s v="8302|00015186"/>
        <s v="8302|00015195"/>
        <s v="8302|00015206"/>
        <s v="8302|00015214"/>
        <s v="8302|00015223"/>
        <s v="8302|00015236"/>
        <s v="8302|00015240"/>
        <s v="8302|00015260"/>
        <s v="8302|00015272"/>
        <s v="8302|00015286"/>
        <s v="8302|00015295"/>
        <s v="8302|00015307"/>
        <s v="8302|00015311"/>
        <s v="8302|00015322"/>
        <s v="8302|00015331"/>
        <s v="8302|00015345"/>
        <s v="8302|00015352"/>
        <s v="8302|00015366"/>
        <s v="8302|00015378"/>
        <s v="8302|00015382"/>
        <s v="8302|00015394"/>
        <s v="8302|00015405"/>
        <s v="8302|00015416"/>
        <s v="8302|00015423"/>
        <s v="8302|00015433"/>
        <s v="8302|00015442"/>
        <s v="8302|00015456"/>
        <s v="8302|00015460"/>
        <s v="8302|00015472"/>
        <s v="8302|00015482"/>
        <s v="8302|00015495"/>
        <s v="8302|00015504"/>
        <s v="8302|00015517"/>
        <s v="8302|00015528"/>
        <s v="8302|00015532"/>
        <s v="8302|00015546"/>
        <s v="8302|00015552"/>
        <s v="8302|00015567"/>
        <s v="8302|00015574"/>
        <s v="8302|00015588"/>
        <s v="8302|00015592"/>
        <s v="8302|00015606"/>
        <s v="8302|00015610"/>
        <s v="8302|00015621"/>
        <s v="8302|00015631"/>
        <s v="8302|00015641"/>
        <s v="8302|00015656"/>
        <s v="8302|00015664"/>
        <s v="8302|00015674"/>
        <s v="8302|00015681"/>
        <s v="8302|00015691"/>
        <s v="8302|00015705"/>
        <s v="8302|00015710"/>
        <s v="8302|00015726"/>
        <s v="8302|00015734"/>
        <s v="8302|00015754"/>
        <s v="8302|00015768"/>
        <s v="8302|00015771"/>
        <s v="8302|00015784"/>
        <s v="8302|00015798"/>
        <s v="8302|00015803"/>
        <s v="8302|00015810"/>
        <s v="8302|00015824"/>
        <s v="8302|00015834"/>
        <s v="8302|00015840"/>
        <s v="8302|00015856"/>
        <s v="8302|00015865"/>
        <s v="8302|00015871"/>
        <s v="8302|00015883"/>
        <s v="8302|00015891"/>
        <s v="8302|00015917"/>
        <s v="8302|00015922"/>
        <s v="8302|00015932"/>
        <s v="8302|00015940"/>
        <s v="8302|00015953"/>
        <s v="8302|00015978"/>
        <s v="8302|00015984"/>
        <s v="8302|00015990"/>
        <s v="8302|00016003"/>
        <s v="8302|00016015"/>
        <s v="8302|00016026"/>
        <s v="8302|00016038"/>
        <s v="8302|00016044"/>
        <s v="8302|00016052"/>
        <s v="8302|00016064"/>
        <s v="8302|00016074"/>
        <s v="8302|00016084"/>
        <s v="8302|00016098"/>
        <s v="8302|00016105"/>
        <s v="8302|00016117"/>
        <s v="8302|00016124"/>
        <s v="8302|00016130"/>
        <s v="8302|00016141"/>
        <s v="8302|00016177"/>
        <s v="8302|00016182"/>
        <s v="8302|00016194"/>
        <s v="8302|00016204"/>
        <s v="8302|00016211"/>
        <s v="8302|00016222"/>
        <s v="8302|00016235"/>
        <s v="8302|00016242"/>
        <s v="8302|00016258"/>
        <s v="8302|00016266"/>
        <s v="8302|00016276"/>
        <s v="8302|00016281"/>
        <s v="8302|00016291"/>
        <s v="8302|00016302"/>
        <s v="8302|00016315"/>
        <s v="8302|00016327"/>
        <s v="8302|00016333"/>
        <s v="8302|00016341"/>
        <s v="8302|00016356"/>
        <s v="8302|00016367"/>
        <s v="8302|00016377"/>
        <s v="8302|00016388"/>
        <s v="8302|00016394"/>
        <s v="8302|00016401"/>
        <s v="8302|00016411"/>
        <s v="8302|00016422"/>
        <s v="8302|00016435"/>
        <s v="8302|00016445"/>
        <s v="8302|00016450"/>
        <s v="8302|00016462"/>
        <s v="8302|00016474"/>
        <s v="8302|00016488"/>
        <s v="8302|00016492"/>
        <s v="8302|00016528"/>
        <s v="8302|00016530"/>
        <s v="8302|00016541"/>
        <s v="8302|00016552"/>
        <s v="8302|00016563"/>
        <s v="8302|00016572"/>
        <s v="8302|00016588"/>
        <s v="8302|00016598"/>
        <s v="8302|00016606"/>
        <s v="8302|00016618"/>
        <s v="8302|00016622"/>
        <s v="8302|00016638"/>
        <s v="8302|00016646"/>
        <s v="8302|00016656"/>
        <s v="8302|00016660"/>
        <s v="8302|00016674"/>
        <s v="8302|00016680"/>
        <s v="8302|00016696"/>
        <s v="8302|00016703"/>
        <s v="8302|00016716"/>
        <s v="8302|00016722"/>
        <s v="8302|00016738"/>
        <s v="8302|00016741"/>
        <s v="8302|00016755"/>
        <s v="8302|00016773"/>
        <s v="8302|00016787"/>
        <s v="8302|00016798"/>
        <s v="8302|00016802"/>
        <s v="8302|00016814"/>
        <s v="8302|00016823"/>
        <s v="8302|00016836"/>
        <s v="8302|00016842"/>
        <s v="8302|00016856"/>
        <s v="8302|00016871"/>
        <s v="8302|00016881"/>
        <s v="8302|00016904"/>
        <s v="8302|00016913"/>
        <s v="8302|00016921"/>
        <s v="8302|00016932"/>
        <s v="8302|00016942"/>
        <s v="8302|00016956"/>
        <s v="8302|00016967"/>
        <s v="8302|00016974"/>
        <s v="8302|00016981"/>
        <s v="8302|00017005"/>
        <s v="8302|00017010"/>
        <s v="8302|00017022"/>
        <s v="8302|00017038"/>
        <s v="8302|00017044"/>
        <s v="8302|00017053"/>
        <s v="8302|00017063"/>
        <s v="8302|00017078"/>
        <s v="8302|00017087"/>
        <s v="8302|00017096"/>
        <s v="8302|00017108"/>
        <s v="8302|00017117"/>
        <s v="8302|00017126"/>
        <s v="8302|00017141"/>
        <s v="8302|00017151"/>
        <s v="8302|00017168"/>
        <s v="8302|00017173"/>
        <s v="8302|00017180"/>
        <s v="8302|00017198"/>
        <s v="8302|00017205"/>
        <s v="8302|00017221"/>
        <s v="8302|00017234"/>
        <s v="8302|00017248"/>
        <s v="8302|00017257"/>
        <s v="8302|00017265"/>
        <s v="8302|00017284"/>
        <s v="8302|00017292"/>
        <s v="8302|00017300"/>
        <s v="8302|00017316"/>
        <s v="8302|00017322"/>
        <s v="8302|00017335"/>
        <s v="8302|00017346"/>
        <s v="8302|00017354"/>
        <s v="8302|00017367"/>
        <s v="8302|00017374"/>
        <s v="8302|00017384"/>
        <s v="8302|00017391"/>
        <s v="8302|00017400"/>
        <s v="8302|00017410"/>
        <s v="8302|00017421"/>
        <s v="8302|00017432"/>
        <s v="8302|00017441"/>
        <s v="8302|00017454"/>
        <s v="8302|00017463"/>
        <s v="8302|00017472"/>
        <s v="8302|00017488"/>
        <s v="8302|00017496"/>
        <s v="8302|00017516"/>
        <s v="8302|00017528"/>
        <s v="8302|00017533"/>
        <s v="8302|00017543"/>
        <s v="8302|00017551"/>
        <s v="8302|00017562"/>
        <s v="8302|00017575"/>
        <s v="8302|00017584"/>
        <s v="8302|00017595"/>
        <s v="8302|00017607"/>
        <s v="8302|00017612"/>
        <s v="8302|00017624"/>
        <s v="8302|00017638"/>
        <s v="8302|00017641"/>
        <s v="8302|00017654"/>
        <s v="8302|00017662"/>
        <s v="8302|00017673"/>
        <s v="8302|00017685"/>
        <s v="8302|00017692"/>
        <s v="8302|00017707"/>
        <s v="8302|00017718"/>
        <s v="8302|00017720"/>
        <s v="8302|00017737"/>
        <s v="8302|00017740"/>
        <s v="8302|00017755"/>
        <s v="8302|00017765"/>
        <s v="8302|00017773"/>
        <s v="8302|00017785"/>
        <s v="8302|00017790"/>
        <s v="8302|00017802"/>
        <s v="8302|00017818"/>
        <s v="8302|00017820"/>
        <s v="8302|00017833"/>
        <s v="8302|00017855"/>
        <s v="8302|00017862"/>
        <s v="8302|00017872"/>
        <s v="8302|00017881"/>
        <s v="8302|00017895"/>
        <s v="8302|00017908"/>
        <s v="8302|00017918"/>
        <s v="8302|00017926"/>
        <s v="8302|00017930"/>
        <s v="8302|00017948"/>
        <s v="8302|00017956"/>
        <s v="8302|00017960"/>
        <s v="8302|00017970"/>
        <s v="8302|00017984"/>
        <s v="8302|00017997"/>
        <s v="8302|00018005"/>
        <s v="8302|00018010"/>
        <s v="8302|00018027"/>
        <s v="8302|00018034"/>
        <s v="8302|00018041"/>
        <s v="8302|00018058"/>
        <s v="8302|00018064"/>
        <s v="8302|00018071"/>
        <s v="8302|00018082"/>
        <s v="8302|00018097"/>
        <s v="8302|00018107"/>
        <s v="8302|00018135"/>
        <s v="8302|00018143"/>
        <s v="8302|00018154"/>
        <s v="8302|00018166"/>
        <s v="8302|00018171"/>
        <s v="8302|00018180"/>
        <s v="8302|00018196"/>
        <s v="8302|00018203"/>
        <s v="8302|00018215"/>
        <s v="8302|00018220"/>
        <s v="8302|00018231"/>
        <s v="8302|00018245"/>
        <s v="8302|00018253"/>
        <s v="8302|00018263"/>
        <s v="8302|00018276"/>
        <s v="8302|00018288"/>
        <s v="8302|00018297"/>
        <s v="8302|00018308"/>
        <s v="8302|00018310"/>
        <s v="8302|00018328"/>
        <s v="8302|00018333"/>
        <s v="8302|00018344"/>
        <s v="8302|00018351"/>
        <s v="8302|00018365"/>
        <s v="8302|00018373"/>
        <s v="8302|00018387"/>
        <s v="8302|00018391"/>
        <s v="8302|00018407"/>
        <s v="8302|00018418"/>
        <s v="8302|00018426"/>
        <s v="8302|00018433"/>
        <s v="8302|00018443"/>
        <s v="8302|00018454"/>
        <s v="8302|00018465"/>
        <s v="8302|00018471"/>
        <s v="8302|00018486"/>
        <s v="8302|00018494"/>
        <s v="8302|00018505"/>
        <s v="8302|00018512"/>
        <s v="8302|00018528"/>
        <s v="8302|00018537"/>
        <s v="8302|00018543"/>
        <s v="8302|00018551"/>
        <s v="8302|00018560"/>
        <s v="8302|00018573"/>
        <s v="8302|00018587"/>
        <s v="8302|00018592"/>
        <s v="8302|00018600"/>
        <s v="8302|00018614"/>
        <s v="8302|00018627"/>
        <s v="8302|00018632"/>
        <s v="8302|00018641"/>
        <s v="8302|00018654"/>
        <s v="8302|00018663"/>
        <s v="8302|00018677"/>
        <s v="8302|00018686"/>
        <s v="8302|00018698"/>
        <s v="8302|00018706"/>
        <s v="8302|00018711"/>
        <s v="8302|00018727"/>
        <s v="8302|00018733"/>
        <s v="8302|00018748"/>
        <s v="8302|00018755"/>
        <s v="8302|00018767"/>
        <s v="8302|00018778"/>
        <s v="8302|00018781"/>
        <s v="8302|00018790"/>
        <s v="8302|00018803"/>
        <s v="8302|00018814"/>
        <s v="8302|00018825"/>
        <s v="8302|00018830"/>
        <s v="8302|00018847"/>
        <s v="8302|00018853"/>
        <s v="8302|00018865"/>
        <s v="8302|00018871"/>
        <s v="8302|00018888"/>
        <s v="8302|00018893"/>
        <s v="8302|00018905"/>
        <s v="8302|00018916"/>
        <s v="8302|00018920"/>
        <s v="8302|00018934"/>
        <s v="8302|00018942"/>
        <s v="8302|00018950"/>
        <s v="8302|00018960"/>
        <s v="8302|00018972"/>
        <s v="8302|00018985"/>
        <s v="8302|00018994"/>
        <s v="8302|00019006"/>
        <s v="8302|00019012"/>
        <s v="8302|00019033"/>
        <s v="8302|00019052"/>
        <s v="8302|00019066"/>
        <s v="8302|00019077"/>
        <s v="8302|00019082"/>
        <s v="8302|00019093"/>
        <s v="8302|00019105"/>
        <s v="8302|00019117"/>
        <s v="8302|00019121"/>
        <s v="8302|00019133"/>
        <s v="8302|00019145"/>
        <s v="8302|00019151"/>
        <s v="8302|00019161"/>
        <s v="8302|00019175"/>
        <s v="8302|00019186"/>
        <s v="8302|00019197"/>
        <s v="8302|00019202"/>
        <s v="8302|00019216"/>
        <s v="8302|00019226"/>
        <s v="8302|00019240"/>
        <s v="8302|00019255"/>
        <s v="8302|00019267"/>
        <s v="8302|00019276"/>
        <s v="8302|00019285"/>
        <s v="8302|00019298"/>
        <s v="8302|00019302"/>
        <s v="8302|00019317"/>
        <s v="8302|00019327"/>
        <s v="8302|00019338"/>
        <s v="8302|00019345"/>
        <s v="8302|00019351"/>
        <s v="8302|00019365"/>
        <s v="8302|00019372"/>
        <s v="8302|00019387"/>
        <s v="8302|00019390"/>
        <s v="8302|00019402"/>
        <s v="8302|00019414"/>
        <s v="8302|00019425"/>
        <s v="8302|00019433"/>
        <s v="8302|00019441"/>
        <s v="8302|00019452"/>
        <s v="8302|00019462"/>
        <s v="8302|00019478"/>
        <s v="8302|00019480"/>
        <s v="8302|00019494"/>
        <s v="8302|00019508"/>
        <s v="8302|00019516"/>
        <s v="8302|00019520"/>
        <s v="8302|00019534"/>
        <s v="8302|00019547"/>
        <s v="8302|00019554"/>
        <s v="8302|00019568"/>
        <s v="8302|00019573"/>
        <s v="8302|00019594"/>
        <s v="8302|00019618"/>
        <s v="8302|00019626"/>
        <s v="8302|00019631"/>
        <s v="8302|00019644"/>
        <s v="8302|00019652"/>
        <s v="8302|00019660"/>
        <s v="8302|00019671"/>
        <s v="8302|00019684"/>
        <s v="8302|00019691"/>
        <s v="8302|00019707"/>
        <s v="8302|00019714"/>
        <s v="8302|00019721"/>
        <s v="8302|00019738"/>
        <s v="8302|00019741"/>
        <s v="8302|00019751"/>
        <s v="8302|00019762"/>
        <s v="8302|00019774"/>
        <s v="8302|00019788"/>
        <s v="8302|00019793"/>
        <s v="8302|00019802"/>
        <s v="8302|00019813"/>
        <s v="8302|00019826"/>
        <s v="8302|00019835"/>
        <s v="8302|00019848"/>
        <s v="8302|00019855"/>
        <s v="8302|00019868"/>
        <s v="8302|00019871"/>
        <s v="8302|00019887"/>
        <s v="8302|00019896"/>
        <s v="8302|00019902"/>
        <s v="8302|00019913"/>
        <s v="8302|00019933"/>
        <s v="8302|00019943"/>
        <s v="8302|00019956"/>
        <s v="8302|00019965"/>
        <s v="8302|00019971"/>
        <s v="8302|00019986"/>
        <s v="8302|00019995"/>
        <s v="8302|00020004"/>
        <s v="8302|00020015"/>
        <s v="8302|00020024"/>
        <s v="8302|00020038"/>
        <s v="8302|00020040"/>
        <s v="8302|00020058"/>
        <s v="8302|00020067"/>
        <s v="8302|00020071"/>
        <s v="8302|00020080"/>
        <s v="8302|00020097"/>
        <s v="8302|00020101"/>
        <s v="8302|00020111"/>
        <s v="8302|00020124"/>
        <s v="8302|00020135"/>
        <s v="8302|00020156"/>
        <s v="8302|00020161"/>
        <s v="8302|00020171"/>
        <s v="8302|00020183"/>
        <s v="8302|00020193"/>
        <s v="8302|00020201"/>
        <s v="8302|00020210"/>
        <s v="8302|00020225"/>
        <s v="8302|00020231"/>
        <s v="8302|00020244"/>
        <s v="8302|00020254"/>
        <s v="8302|00020261"/>
        <s v="8302|00020278"/>
        <s v="8302|00020287"/>
        <s v="8302|00020292"/>
        <s v="8302|00020302"/>
        <s v="8302|00020318"/>
        <s v="8302|00020328"/>
        <s v="8302|00020330"/>
        <s v="8302|00020344"/>
        <s v="8302|00020357"/>
        <s v="8302|00020367"/>
        <s v="8302|00020373"/>
        <s v="8302|00020381"/>
        <s v="8302|00020397"/>
        <s v="8302|00020408"/>
        <s v="8302|00020410"/>
        <s v="8302|00020422"/>
        <s v="8302|00020435"/>
        <s v="8302|00020442"/>
        <s v="8302|00020451"/>
        <s v="8302|00020460"/>
        <s v="8302|00020474"/>
        <s v="8302|00020487"/>
        <s v="8302|00020496"/>
        <s v="8302|00020507"/>
        <s v="8302|00020513"/>
        <s v="8302|00020524"/>
        <s v="8302|00020534"/>
        <s v="8302|00020544"/>
        <s v="8302|00020555"/>
        <s v="8302|00020565"/>
        <s v="8302|00020584"/>
        <s v="8302|00020598"/>
        <s v="8302|00020605"/>
        <s v="8302|00020611"/>
        <s v="8302|00020628"/>
        <s v="8302|00020638"/>
        <s v="8302|00020643"/>
        <s v="8302|00020657"/>
        <s v="8302|00020660"/>
        <s v="8302|00020673"/>
        <s v="8302|00020682"/>
        <s v="8302|00020694"/>
        <s v="8302|00020707"/>
        <s v="8302|00020712"/>
        <s v="8302|00020723"/>
        <s v="8302|00020737"/>
        <s v="8302|00020740"/>
        <s v="8302|00020754"/>
        <s v="8302|00020760"/>
        <s v="8302|00020770"/>
        <s v="8302|00020783"/>
        <s v="8302|00020794"/>
        <s v="8302|00020804"/>
        <s v="8302|00020813"/>
        <s v="8302|00020828"/>
        <s v="8302|00020834"/>
        <s v="8302|00020846"/>
        <s v="8302|00020852"/>
        <s v="8302|00020868"/>
        <s v="8302|00020870"/>
        <s v="8302|00020888"/>
        <s v="8302|00020896"/>
        <s v="8302|00020905"/>
        <s v="8302|00020910"/>
        <s v="8302|00020921"/>
        <s v="8302|00020935"/>
        <s v="8302|00020943"/>
        <s v="8302|00020951"/>
        <s v="8302|00020963"/>
        <s v="8302|00020974"/>
        <s v="8302|00020980"/>
        <s v="8302|00020995"/>
        <s v="8302|00021004"/>
        <s v="8302|00021013"/>
        <s v="8302|00021023"/>
        <s v="8302|00021037"/>
        <s v="8302|00021048"/>
        <s v="8302|00021051"/>
        <s v="8302|00021067"/>
        <s v="8302|00021077"/>
        <s v="8302|00021086"/>
        <s v="8302|00021092"/>
        <s v="8302|00021101"/>
        <s v="8302|00021113"/>
        <s v="8302|00021121"/>
        <s v="8302|00021135"/>
        <s v="8302|00021145"/>
        <s v="8302|00021152"/>
        <s v="8302|00021165"/>
        <s v="8302|00021177"/>
        <s v="8302|00021186"/>
        <s v="8302|00021195"/>
        <s v="8302|00021208"/>
        <s v="8302|00021214"/>
        <s v="8302|00021226"/>
        <s v="8302|00021235"/>
        <s v="8302|00021244"/>
        <s v="8302|00021258"/>
        <s v="8302|00021261"/>
        <s v="8302|00021276"/>
        <s v="8302|00021284"/>
        <s v="8302|00021297"/>
        <s v="8302|00021300"/>
        <s v="8302|00021317"/>
        <s v="8302|00021324"/>
        <s v="8302|00021331"/>
        <s v="8302|00021347"/>
        <s v="8302|00021350"/>
        <s v="8302|00021366"/>
        <s v="8302|00021376"/>
        <s v="8302|00021387"/>
        <s v="8302|00021396"/>
        <s v="8302|00021408"/>
        <s v="8302|00021418"/>
        <s v="8302|00021427"/>
        <s v="8302|00021435"/>
        <s v="8302|00021442"/>
        <s v="8302|00021451"/>
        <s v="8302|00021466"/>
        <s v="8302|00021471"/>
        <s v="8302|00021480"/>
        <s v="8302|00021495"/>
        <s v="8302|00021500"/>
        <s v="8302|00021515"/>
        <s v="8302|00021527"/>
        <s v="8302|00021537"/>
        <s v="8302|00021548"/>
        <s v="8302|00021555"/>
        <s v="8302|00021563"/>
        <s v="8302|00021594"/>
        <s v="8302|00021607"/>
        <s v="8302|00021610"/>
        <s v="8302|00021622"/>
        <s v="8302|00021633"/>
        <s v="8302|00021645"/>
        <s v="8302|00021653"/>
        <s v="8302|00021662"/>
        <s v="8302|00021670"/>
        <s v="8302|00021682"/>
        <s v="8302|00021698"/>
        <s v="8302|00021704"/>
        <s v="8302|00021717"/>
        <s v="8302|00021720"/>
        <s v="8302|00021735"/>
        <s v="8302|00021742"/>
        <s v="8302|00021753"/>
        <s v="8302|00021763"/>
        <s v="8302|00021788"/>
        <s v="8302|00021792"/>
        <s v="8302|00021803"/>
        <s v="8302|00021816"/>
        <s v="8302|00021826"/>
        <s v="8302|00021836"/>
        <s v="8302|00021846"/>
        <s v="8302|00021850"/>
        <s v="8302|00021860"/>
        <s v="8302|00021870"/>
        <s v="8302|00021890"/>
        <s v="8302|00021904"/>
        <s v="8302|00021916"/>
        <s v="8302|00021920"/>
        <s v="8302|00021933"/>
        <s v="8302|00021942"/>
        <s v="8302|00021950"/>
        <s v="8302|00021961"/>
        <s v="8302|00021973"/>
        <s v="8302|00021980"/>
        <s v="8302|00021994"/>
        <s v="8302|00022007"/>
        <s v="8302|00022010"/>
        <s v="8302|00022026"/>
        <s v="8302|00022031"/>
        <s v="8302|00022046"/>
        <s v="8302|00022052"/>
        <s v="8302|00022061"/>
        <s v="8302|00022076"/>
        <s v="8302|00022087"/>
        <s v="8302|00022093"/>
        <s v="8302|00022106"/>
        <s v="8302|00022111"/>
        <s v="8302|00022122"/>
        <s v="8302|00022130"/>
        <s v="8302|00022145"/>
        <s v="8302|00022151"/>
        <s v="8302|00022161"/>
        <s v="8302|00022180"/>
        <s v="8302|00022191"/>
        <s v="8302|00022201"/>
        <s v="8302|00022213"/>
        <s v="8302|00022226"/>
        <s v="8302|00022233"/>
        <s v="8302|00022242"/>
        <s v="8302|00022251"/>
        <s v="8302|00022260"/>
        <s v="8302|00022271"/>
        <s v="8302|00022288"/>
        <s v="8302|00022290"/>
        <s v="8302|00022306"/>
        <s v="8302|00022311"/>
        <s v="8302|00022325"/>
        <s v="8302|00022332"/>
        <s v="8302|00022345"/>
        <s v="8302|00022351"/>
        <s v="8302|00022360"/>
        <s v="8302|00022378"/>
        <s v="8302|00022386"/>
        <s v="8302|00022394"/>
        <s v="8302|00022401"/>
        <s v="8302|00022414"/>
        <s v="8302|00022424"/>
        <s v="8302|00022430"/>
        <s v="8302|00022448"/>
        <s v="8302|00022458"/>
        <s v="8302|00022461"/>
        <s v="8302|00022475"/>
        <s v="8302|00022481"/>
        <s v="8302|00022490"/>
        <s v="8302|00022506"/>
        <s v="8302|00022514"/>
        <s v="8302|00022520"/>
        <s v="8302|00022532"/>
        <s v="8302|00022546"/>
        <s v="8302|00022558"/>
        <s v="8302|00022562"/>
        <s v="8302|00022578"/>
        <s v="8302|00022586"/>
        <s v="8302|00022591"/>
        <s v="8302|00022607"/>
        <s v="8302|00022612"/>
        <s v="8302|00022623"/>
        <s v="8302|00022643"/>
        <s v="8302|00022655"/>
        <s v="8302|00022667"/>
        <s v="8302|00022677"/>
        <s v="8302|00022680"/>
        <s v="8302|00022702"/>
        <s v="8302|00022710"/>
        <s v="8302|00022726"/>
        <s v="8302|00022735"/>
        <s v="8302|00022740"/>
        <s v="8302|00022758"/>
        <s v="8302|00022766"/>
        <s v="8302|00022777"/>
        <s v="8302|00022786"/>
        <s v="8302|00022793"/>
        <s v="8302|00022804"/>
        <s v="8302|00022813"/>
        <s v="8302|00022825"/>
        <s v="8302|00022831"/>
        <s v="8302|00022846"/>
        <s v="8302|00022852"/>
        <s v="8302|00022864"/>
        <s v="8302|00022871"/>
        <s v="8302|00022882"/>
        <s v="8302|00022896"/>
        <s v="8302|00022907"/>
        <s v="8302|00022915"/>
        <s v="8302|00022926"/>
        <s v="8302|00022935"/>
        <s v="8302|00022941"/>
        <s v="8302|00022954"/>
        <s v="8302|00022968"/>
        <s v="8302|00022977"/>
        <s v="8302|00022985"/>
        <s v="8302|00022991"/>
        <s v="8302|00023000"/>
        <s v="8302|00023010"/>
        <s v="8302|00023027"/>
        <s v="8302|00023033"/>
        <s v="8302|00023047"/>
        <s v="8302|00023051"/>
        <s v="8302|00023061"/>
        <s v="8302|00023073"/>
        <s v="8302|00023082"/>
        <s v="8302|00023091"/>
        <s v="8302|00023104"/>
        <s v="8302|00023111"/>
        <s v="8302|00023123"/>
        <s v="8302|00023138"/>
        <s v="8302|00023152"/>
        <s v="8302|00023166"/>
        <s v="8302|00023178"/>
        <s v="8302|00023180"/>
        <s v="8302|00023194"/>
        <s v="8302|00023202"/>
        <s v="8302|00023214"/>
        <s v="8302|00023225"/>
        <s v="8302|00023241"/>
        <s v="8302|00023254"/>
        <s v="8302|00023262"/>
        <s v="8302|00023276"/>
        <s v="8302|00023281"/>
        <s v="8302|00023293"/>
        <s v="8302|00023308"/>
        <s v="8302|00023315"/>
        <s v="8302|00023336"/>
        <s v="8302|00023348"/>
        <s v="8302|00023352"/>
        <s v="8302|00023375"/>
        <s v="8302|00023381"/>
        <s v="8302|00023391"/>
        <s v="8302|00023403"/>
        <s v="8302|00023410"/>
        <s v="8302|00023427"/>
        <s v="8302|00023433"/>
        <s v="8302|00023445"/>
        <s v="8302|00023456"/>
        <s v="8302|00023466"/>
        <s v="8302|00023470"/>
        <s v="8302|00023482"/>
        <s v="8302|00023492"/>
        <s v="8302|00023506"/>
        <s v="8302|00023516"/>
        <s v="8302|00023524"/>
        <s v="8302|00023537"/>
        <s v="8302|00023540"/>
        <s v="8302|00023550"/>
        <s v="8302|00023568"/>
        <s v="8302|00023574"/>
        <s v="8302|00023585"/>
        <s v="8302|00023593"/>
        <s v="8302|00023607"/>
        <s v="8302|00023616"/>
        <s v="8302|00023620"/>
        <s v="8302|00023638"/>
        <s v="8302|00023643"/>
        <s v="8302|00023652"/>
        <s v="8302|00023664"/>
        <s v="8302|00023671"/>
        <s v="8302|00023688"/>
        <s v="8302|00023698"/>
        <s v="8302|00023704"/>
        <s v="8302|00023728"/>
        <s v="8302|00023733"/>
        <s v="8302|00023743"/>
        <s v="8302|00023755"/>
        <s v="8302|00023763"/>
        <s v="8302|00023774"/>
        <s v="8302|00023795"/>
        <s v="8302|00023805"/>
        <s v="8302|00023815"/>
        <s v="8302|00023836"/>
        <s v="8302|00023852"/>
        <s v="8302|00023860"/>
        <s v="8302|00023888"/>
        <s v="8302|00023894"/>
        <s v="8302|00023905"/>
        <s v="8302|00023910"/>
        <s v="8302|00023927"/>
        <s v="8302|00023937"/>
        <s v="8302|00023948"/>
        <s v="8302|00023954"/>
        <s v="8302|00023964"/>
        <s v="8302|00023974"/>
        <s v="8302|00023994"/>
        <s v="8302|00024002"/>
        <s v="8302|00024016"/>
        <s v="8302|00024021"/>
        <s v="8302|00024030"/>
        <s v="8302|00024047"/>
        <s v="8302|00024054"/>
        <s v="8302|00024067"/>
        <s v="8302|00024080"/>
        <s v="8302|00024097"/>
        <s v="8302|00024103"/>
        <s v="8302|00024111"/>
        <s v="8302|00024122"/>
        <s v="8302|00024138"/>
        <s v="8302|00024145"/>
        <s v="8302|00024155"/>
        <s v="8302|00024168"/>
        <s v="8302|00024174"/>
        <s v="8302|00024183"/>
        <s v="8302|00024191"/>
        <s v="8302|00024201"/>
        <s v="8302|00024213"/>
        <s v="8302|00024220"/>
        <s v="8302|00024237"/>
        <s v="8302|00024246"/>
        <s v="8302|00024251"/>
        <s v="8302|00024260"/>
        <s v="8302|00024272"/>
        <s v="8302|00024283"/>
        <s v="8302|00024297"/>
        <s v="8302|00024300"/>
        <s v="8302|00024312"/>
        <s v="8302|00024321"/>
        <s v="8302|00024331"/>
        <s v="8302|00024344"/>
        <s v="8302|00024352"/>
        <s v="8302|00024362"/>
        <s v="8302|00024377"/>
        <s v="8302|00024385"/>
        <s v="8302|00024391"/>
        <s v="8302|00024403"/>
        <s v="8302|00024414"/>
        <s v="8302|00024427"/>
        <s v="8302|00024431"/>
        <s v="8302|00024446"/>
        <s v="8302|00024456"/>
        <s v="8302|00024464"/>
        <s v="8302|00024478"/>
        <s v="8302|00024482"/>
        <s v="8302|00024490"/>
        <s v="8302|00024502"/>
        <s v="8302|00024516"/>
        <s v="8302|00024520"/>
        <s v="8302|00024536"/>
        <s v="8302|00024540"/>
        <s v="8302|00024557"/>
        <s v="8302|00024565"/>
        <s v="8302|00024578"/>
        <s v="8302|00024580"/>
        <s v="8302|00024596"/>
        <s v="8302|00024600"/>
        <s v="8302|00024615"/>
        <s v="8302|00024622"/>
        <s v="8302|00024633"/>
        <s v="8302|00024642"/>
        <s v="8302|00024651"/>
        <s v="8302|00024667"/>
        <s v="8302|00024674"/>
        <s v="8302|00024681"/>
        <s v="8302|00024698"/>
        <s v="8302|00024703"/>
        <s v="8302|00024711"/>
        <s v="8302|00024723"/>
        <s v="8302|00024736"/>
        <s v="8302|00024746"/>
        <s v="8302|00024756"/>
        <s v="8302|00024768"/>
        <s v="8302|00024775"/>
        <s v="8302|00024786"/>
        <s v="8302|00024796"/>
        <s v="8302|00024803"/>
        <s v="8302|00024813"/>
        <s v="8302|00024824"/>
        <s v="8302|00024833"/>
        <s v="8302|00024844"/>
        <s v="8302|00024855"/>
        <s v="8302|00024868"/>
        <s v="8302|00024872"/>
        <s v="8302|00024882"/>
        <s v="8302|00024894"/>
        <s v="8302|00024905"/>
        <s v="8302|00024917"/>
        <s v="8302|00024925"/>
        <s v="8302|00024936"/>
        <s v="8302|00024941"/>
        <s v="8302|00024958"/>
        <s v="8302|00024965"/>
        <s v="8302|00024975"/>
        <s v="8302|00024980"/>
        <s v="8302|00024992"/>
        <s v="8302|00025008"/>
        <s v="8302|00025018"/>
        <s v="8302|00025028"/>
        <s v="8302|00025034"/>
        <s v="8302|00025046"/>
        <s v="8302|00025054"/>
        <s v="8302|00025071"/>
        <s v="8302|00025088"/>
        <s v="8302|00025097"/>
        <s v="8302|00025100"/>
        <s v="8302|00025113"/>
        <s v="8302|00025123"/>
        <s v="8302|00025136"/>
        <s v="8302|00025144"/>
        <s v="8302|00025151"/>
        <s v="8302|00025163"/>
        <s v="8302|00025171"/>
        <s v="8302|00025185"/>
        <s v="8302|00025197"/>
        <s v="8302|00025200"/>
        <s v="8302|00025211"/>
        <s v="8302|00025226"/>
        <s v="8302|00025235"/>
        <s v="8302|00025241"/>
        <s v="8302|00025260"/>
        <s v="8302|00025271"/>
        <s v="8302|00025281"/>
        <s v="8302|00025298"/>
        <s v="8302|00025307"/>
        <s v="8302|00025317"/>
        <s v="8302|00025320"/>
        <s v="8302|00025332"/>
        <s v="8302|00025345"/>
        <s v="8302|00025352"/>
        <s v="8302|00025367"/>
        <s v="8302|00025370"/>
        <s v="8302|00025384"/>
        <s v="8302|00025396"/>
        <s v="8302|00025405"/>
        <s v="8302|00025413"/>
        <s v="8302|00025426"/>
        <s v="8302|00025438"/>
        <s v="8302|00025447"/>
        <s v="8302|00025462"/>
        <s v="8302|00025470"/>
        <s v="8302|00025481"/>
        <s v="8302|00025497"/>
        <s v="8302|00025500"/>
        <s v="8302|00025510"/>
        <s v="8302|00025522"/>
        <s v="8302|00025537"/>
        <s v="8302|00025547"/>
        <s v="8302|00025550"/>
        <s v="8302|00025566"/>
        <s v="8302|00025574"/>
        <s v="8302|00025585"/>
        <s v="8302|00025597"/>
        <s v="8302|00025608"/>
        <s v="8302|00025616"/>
        <s v="8302|00025627"/>
        <s v="8302|00025636"/>
        <s v="8302|00025645"/>
        <s v="8302|00025657"/>
        <s v="8302|00025668"/>
        <s v="8302|00025675"/>
        <s v="8302|00025686"/>
        <s v="8302|00025693"/>
        <s v="8302|00025700"/>
        <s v="8302|00025725"/>
        <s v="8302|00025733"/>
        <s v="8302|00025746"/>
        <s v="8302|00025754"/>
        <s v="8302|00025766"/>
        <s v="8302|00025775"/>
        <s v="8302|00025784"/>
        <s v="8302|00025798"/>
        <s v="8302|00025806"/>
        <s v="8302|00025810"/>
        <s v="8302|00025836"/>
        <s v="8302|00025842"/>
        <s v="8302|00025854"/>
        <s v="8302|00025863"/>
        <s v="8302|00025872"/>
        <s v="8302|00025887"/>
        <s v="8302|00025897"/>
        <s v="8302|00025901"/>
        <s v="8302|00025910"/>
        <s v="8302|00025920"/>
        <s v="8302|00025946"/>
        <s v="8302|00025954"/>
        <s v="8302|00025974"/>
        <s v="8302|00025996"/>
        <s v="8302|00026005"/>
        <s v="8302|00026012"/>
        <s v="8302|00026022"/>
        <s v="8302|00026034"/>
        <s v="8302|00026044"/>
        <s v="8302|00026056"/>
        <s v="8302|00026061"/>
        <s v="8302|00026072"/>
        <s v="8302|00026087"/>
        <s v="8302|00026096"/>
        <s v="8302|00026100"/>
        <s v="8302|00026117"/>
        <s v="8302|00026128"/>
        <s v="8302|00026133"/>
        <s v="8302|00026145"/>
        <s v="8302|00026155"/>
        <s v="8302|00026164"/>
        <s v="8302|00026178"/>
        <s v="8302|00026197"/>
        <s v="8302|00026200"/>
        <s v="8302|00026211"/>
        <s v="8302|00026226"/>
        <s v="8302|00026242"/>
        <s v="8302|00026254"/>
        <s v="8302|00026263"/>
        <s v="8302|00026277"/>
        <s v="8302|00026288"/>
        <s v="8302|00026292"/>
        <s v="8302|00026305"/>
        <s v="8302|00026315"/>
        <s v="8302|00026320"/>
        <s v="8302|00026334"/>
        <s v="8302|00026342"/>
        <s v="8302|00026354"/>
        <s v="8302|00026367"/>
        <s v="8302|00026371"/>
        <s v="8302|00026383"/>
        <s v="8302|00026394"/>
        <s v="8302|00026400"/>
        <s v="8302|00026412"/>
        <s v="8302|00026430"/>
        <s v="8302|00026440"/>
        <s v="8302|00026453"/>
        <s v="8302|00026464"/>
        <s v="8302|00026472"/>
        <s v="8302|00026486"/>
        <s v="8302|00026495"/>
        <s v="8302|00026508"/>
        <s v="8302|00026515"/>
        <s v="8302|00026528"/>
        <s v="8302|00026536"/>
        <s v="8302|00026540"/>
        <s v="8302|00026557"/>
        <s v="8302|00026566"/>
        <s v="8302|00026576"/>
        <s v="8302|00026588"/>
        <s v="8302|00026590"/>
        <s v="8302|00026602"/>
        <s v="8302|00026617"/>
        <s v="8302|00026627"/>
        <s v="8302|00026637"/>
        <s v="8302|00026644"/>
        <s v="8302|00026651"/>
        <s v="8302|00026665"/>
        <s v="8302|00026677"/>
        <s v="8302|00026682"/>
        <s v="8302|00026696"/>
        <s v="8302|00026705"/>
        <s v="8302|00026718"/>
        <s v="8302|00026728"/>
        <s v="8302|00026746"/>
        <s v="8302|00026752"/>
        <s v="8302|00026763"/>
        <s v="8302|00026774"/>
        <s v="8302|00026785"/>
        <s v="8302|00026790"/>
        <s v="8302|00026810"/>
        <s v="8302|00026824"/>
        <s v="8302|00026833"/>
        <s v="8302|00026844"/>
        <s v="8302|00026856"/>
        <s v="8302|00026865"/>
        <s v="8302|00026873"/>
        <s v="8302|00026888"/>
        <s v="8302|00026890"/>
        <s v="8302|00026902"/>
        <s v="8302|00026911"/>
        <s v="8302|00026925"/>
        <s v="8302|00026934"/>
        <s v="8302|00026945"/>
        <s v="8302|00026953"/>
        <s v="8302|00026961"/>
        <s v="8302|00026973"/>
        <s v="8302|00026987"/>
        <s v="8302|00026994"/>
        <s v="8302|00027006"/>
        <s v="8302|00027013"/>
        <s v="8302|00027022"/>
        <s v="8302|00027032"/>
        <s v="8302|00027050"/>
        <s v="8302|00027060"/>
        <s v="8302|00027076"/>
        <s v="8302|00027087"/>
        <s v="8302|00027092"/>
        <s v="8302|00027106"/>
        <s v="8302|00027115"/>
        <s v="8302|00027123"/>
        <s v="8302|00027134"/>
        <s v="8302|00027146"/>
        <s v="8302|00027155"/>
        <s v="8302|00027161"/>
        <s v="8302|00027176"/>
        <s v="8302|00027184"/>
        <s v="8302|00027198"/>
        <s v="8302|00027207"/>
        <s v="8302|00027212"/>
        <s v="8302|00027227"/>
        <s v="8302|00027230"/>
        <s v="8302|00027248"/>
        <s v="8302|00027255"/>
        <s v="8302|00027261"/>
        <s v="8302|00027276"/>
        <s v="8302|00027288"/>
        <s v="8302|00027291"/>
        <s v="8302|00027300"/>
        <s v="8302|00027311"/>
        <s v="8302|00027321"/>
        <s v="8302|00027333"/>
        <s v="8302|00027345"/>
        <s v="8302|00027353"/>
        <s v="8302|00027365"/>
        <s v="8302|00027372"/>
        <s v="8302|00027381"/>
        <s v="8302|00027398"/>
        <s v="8302|00027400"/>
        <s v="8302|00027414"/>
        <s v="8302|00027438"/>
        <s v="8302|00027443"/>
        <s v="8302|00027457"/>
        <s v="8302|00027461"/>
        <s v="8302|00027478"/>
        <s v="8302|00027481"/>
        <s v="8302|00027495"/>
        <s v="8302|00027501"/>
        <s v="8302|00027514"/>
        <s v="8302|00027527"/>
        <s v="8302|00027532"/>
        <s v="8302|00027540"/>
        <s v="8302|00027552"/>
        <s v="8302|00027563"/>
        <s v="8302|00027578"/>
        <s v="8302|00027583"/>
        <s v="8302|00027592"/>
        <s v="8302|00027603"/>
        <s v="8302|00027617"/>
        <s v="8302|00027626"/>
        <s v="8302|00027633"/>
        <s v="8302|00027643"/>
        <s v="8302|00027656"/>
        <s v="8302|00027665"/>
        <s v="8302|00027678"/>
        <s v="8302|00027683"/>
        <s v="8302|00027692"/>
        <s v="8302|00027701"/>
        <s v="8302|00027724"/>
        <s v="8302|00027735"/>
        <s v="8302|00027748"/>
        <s v="8302|00027762"/>
        <s v="8302|00027771"/>
        <s v="8302|00027784"/>
        <s v="8302|00027793"/>
        <s v="8302|00027804"/>
        <s v="8302|00027837"/>
        <s v="8302|00027847"/>
        <s v="8302|00027853"/>
        <s v="8302|00027876"/>
        <s v="8302|00027926"/>
        <s v="8302|00027932"/>
        <s v="8302|00027957"/>
        <s v="8302|00027964"/>
        <s v="8302|00027974"/>
        <s v="8302|00027991"/>
        <s v="8302|00028005"/>
        <s v="8302|00028016"/>
        <s v="8302|00028025"/>
        <s v="8302|00028035"/>
        <s v="8302|00028044"/>
        <s v="8302|00028067"/>
        <s v="8302|00028112"/>
        <s v="8302|00028131"/>
        <s v="8302|00028143"/>
        <s v="8302|00028152"/>
        <s v="8302|00028167"/>
        <s v="8302|00028173"/>
        <s v="8302|00028186"/>
        <s v="8302|00028192"/>
        <s v="8302|00028206"/>
        <s v="8302|00028213"/>
        <s v="8302|00028227"/>
        <s v="8302|00028248"/>
        <s v="8302|00028253"/>
        <s v="8302|00028266"/>
        <s v="8302|00028272"/>
        <s v="8302|00028287"/>
        <s v="8302|00028296"/>
        <s v="8302|00028306"/>
        <s v="8302|00028327"/>
        <s v="8302|00028330"/>
        <s v="8302|00028345"/>
        <s v="8302|00028357"/>
        <s v="8302|00028362"/>
        <s v="8302|00028383"/>
        <s v="8302|00028391"/>
        <s v="8302|00028401"/>
        <s v="8302|00028415"/>
        <s v="8302|00028426"/>
        <s v="8302|00028432"/>
        <s v="8302|00028445"/>
        <s v="8302|00028473"/>
        <s v="8302|00028483"/>
        <s v="8302|00028506"/>
        <s v="8302|00028518"/>
        <s v="8302|00028531"/>
        <s v="8302|00028545"/>
        <s v="8302|00028552"/>
        <s v="8302|00028564"/>
        <s v="8302|00028577"/>
        <s v="8302|00028583"/>
        <s v="8302|00028608"/>
        <s v="8302|00028614"/>
        <s v="8302|00028624"/>
        <s v="8302|00028630"/>
        <s v="8302|00028641"/>
        <s v="8302|00028694"/>
        <s v="8302|00028711"/>
        <s v="8302|00028730"/>
        <s v="8302|00028783"/>
        <s v="8302|00028805"/>
        <s v="8302|00028817"/>
        <s v="8302|00028858"/>
        <s v="8302|00028877"/>
        <s v="8302|00028960"/>
        <s v="8302|00029126"/>
        <s v="8302|00029134"/>
        <s v="8302|00029157"/>
        <s v="8302|00029165"/>
        <s v="8302|00029280"/>
        <s v="8302|00029291"/>
        <s v="8201|00004224"/>
        <s v="8201|00004346"/>
        <s v="8201|00004524"/>
        <s v="8201|00004655"/>
        <s v="8201|00004812"/>
        <s v="8201|00005054"/>
        <s v="8201|00005085"/>
        <s v="8201|00005107"/>
        <s v="8201|00005132"/>
        <s v="8201|00005374"/>
        <s v="8201|00005381"/>
        <s v="8201|00005414"/>
        <s v="8201|00005438"/>
        <s v="8201|00005478"/>
        <s v="8201|00005642"/>
        <s v="8201|00005651"/>
        <s v="8201|00005754"/>
        <s v="8201|00005772"/>
        <s v="8201|00005784"/>
        <s v="8201|00005798"/>
        <s v="8201|00005801"/>
        <s v="8201|00005834"/>
        <s v="8201|00005842"/>
        <s v="8201|00005872"/>
        <s v="8201|00005945"/>
        <s v="8201|00005956"/>
        <s v="8201|00005963"/>
        <s v="8201|00005980"/>
        <s v="8201|00006018"/>
        <s v="8201|00006026"/>
        <s v="8201|00006048"/>
        <s v="8201|00006088"/>
        <s v="8201|00006092"/>
        <s v="8201|00006114"/>
        <s v="8201|00006261"/>
        <s v="8201|00006357"/>
        <s v="8201|00006374"/>
        <s v="8201|00006398"/>
        <s v="8201|00006405"/>
        <s v="8201|00006416"/>
        <s v="8201|00006438"/>
        <s v="8201|00006440"/>
        <s v="8201|00006461"/>
        <s v="8201|00006476"/>
        <s v="8201|00006520"/>
        <s v="8201|00006586"/>
        <s v="8201|00006618"/>
        <s v="8201|00006620"/>
        <s v="8201|00006638"/>
        <s v="8201|00006656"/>
        <s v="8201|00006687"/>
        <s v="8201|00006692"/>
        <s v="8201|00006701"/>
        <s v="8201|00006718"/>
        <s v="8201|00006724"/>
        <s v="8201|00006730"/>
        <s v="8201|00006752"/>
        <s v="8201|00006788"/>
        <s v="8201|00006794"/>
        <s v="8201|00006825"/>
        <s v="8201|00006853"/>
        <s v="8201|00006863"/>
        <s v="8201|00006878"/>
        <s v="8201|00006882"/>
        <s v="8201|00006895"/>
        <s v="8201|00006903"/>
        <s v="8201|00006914"/>
        <s v="8201|00006920"/>
        <s v="8201|00006932"/>
        <s v="8201|00006944"/>
        <s v="8201|00006955"/>
        <s v="8201|00006961"/>
        <s v="8201|00006970"/>
        <s v="8201|00006987"/>
        <s v="8201|00006992"/>
        <s v="8201|00007005"/>
        <s v="8201|00007013"/>
        <s v="8201|00007025"/>
        <s v="8201|00007033"/>
        <s v="8201|00007043"/>
        <s v="8201|00007065"/>
        <s v="8201|00007075"/>
        <s v="8201|00007081"/>
        <s v="8201|00007107"/>
        <s v="8201|00007114"/>
        <s v="8201|00007126"/>
        <s v="8201|00007136"/>
        <s v="8201|00007143"/>
        <s v="8201|00007155"/>
        <s v="8201|00007160"/>
        <s v="8201|00007178"/>
        <s v="8201|00007181"/>
        <s v="8201|00007194"/>
        <s v="8201|00007208"/>
        <s v="8201|00007217"/>
        <s v="8201|00007228"/>
        <s v="8201|00007238"/>
        <s v="8201|00007245"/>
        <s v="8201|00007254"/>
        <s v="8201|00007261"/>
        <s v="8201|00007277"/>
        <s v="8201|00007281"/>
        <s v="8201|00007306"/>
        <s v="8201|00007318"/>
        <s v="8201|00007322"/>
        <s v="8201|00007337"/>
        <s v="8201|00007343"/>
        <s v="8201|00007366"/>
        <s v="8201|00007370"/>
        <s v="8201|00007386"/>
        <s v="8201|00007398"/>
        <s v="8201|00007416"/>
        <s v="8201|00007425"/>
        <s v="8201|00007430"/>
        <s v="8201|00007444"/>
        <s v="8201|00007457"/>
        <s v="8201|00007465"/>
        <s v="8201|00007475"/>
        <s v="8201|00007481"/>
        <s v="8201|00007491"/>
        <s v="8201|00007507"/>
        <s v="8201|00007515"/>
        <s v="8201|00007524"/>
        <s v="8201|00007538"/>
        <s v="8201|00007548"/>
        <s v="8201|00007551"/>
        <s v="8201|00007566"/>
        <s v="8201|00007571"/>
        <s v="8201|00007580"/>
        <s v="8201|00007590"/>
        <s v="8201|00007606"/>
        <s v="8201|00007612"/>
        <s v="8201|00007625"/>
        <s v="8201|00007647"/>
        <s v="8201|00007656"/>
        <s v="8201|00007662"/>
        <s v="8201|00007673"/>
        <s v="8201|00007687"/>
        <s v="8201|00007693"/>
        <s v="8201|00007707"/>
        <s v="8201|00007713"/>
        <s v="8201|00007722"/>
        <s v="8201|00007730"/>
        <s v="8201|00007743"/>
        <s v="8201|00007756"/>
        <s v="8201|00007763"/>
        <s v="8201|00007773"/>
        <s v="8201|00007785"/>
        <s v="8201|00007798"/>
        <s v="8201|00007801"/>
        <s v="8201|00007815"/>
        <s v="8201|00007823"/>
        <s v="8201|00007833"/>
        <s v="8201|00007854"/>
        <s v="8201|00007860"/>
        <s v="8201|00007872"/>
        <s v="8201|00007886"/>
        <s v="8201|00007894"/>
        <s v="8201|00007900"/>
        <s v="8201|00007911"/>
        <s v="8201|00007922"/>
        <s v="8201|00007936"/>
        <s v="8201|00007942"/>
        <s v="8201|00007950"/>
        <s v="8201|00007971"/>
        <s v="8201|00007985"/>
        <s v="8201|00007996"/>
        <s v="8201|00008002"/>
        <s v="8201|00008016"/>
        <s v="8201|00008025"/>
        <s v="8201|00008030"/>
        <s v="8201|00008047"/>
        <s v="8201|00008051"/>
        <s v="8201|00008068"/>
        <s v="8201|00008072"/>
        <s v="8201|00008081"/>
        <s v="8201|00008096"/>
        <s v="8201|00008108"/>
        <s v="8201|00008114"/>
        <s v="8201|00008126"/>
        <s v="8201|00008137"/>
        <s v="8201|00008141"/>
        <s v="8201|00008153"/>
        <s v="8201|00008164"/>
        <s v="8201|00008177"/>
        <s v="8201|00008182"/>
        <s v="8201|00008191"/>
        <s v="8201|00008203"/>
        <s v="8201|00008212"/>
        <s v="8201|00008220"/>
        <s v="8201|00008241"/>
        <s v="8201|00008252"/>
        <s v="8201|00008274"/>
        <s v="8201|00008296"/>
        <s v="8201|00008310"/>
        <s v="8201|00008323"/>
        <s v="8201|00008335"/>
        <s v="8201|00008342"/>
        <s v="8201|00008354"/>
        <s v="8201|00008365"/>
        <s v="8201|00008376"/>
        <s v="8201|00008380"/>
        <s v="8201|00008395"/>
        <s v="8201|00008410"/>
        <s v="8201|00008423"/>
        <s v="8201|00008438"/>
        <s v="8201|00008444"/>
        <s v="8201|00008455"/>
        <s v="8201|00008460"/>
        <s v="8201|00008470"/>
        <s v="8201|00008481"/>
        <s v="8201|00008507"/>
        <s v="8201|00008511"/>
        <s v="8201|00008527"/>
        <s v="8201|00008531"/>
        <s v="8201|00008546"/>
        <s v="8201|00008556"/>
        <s v="8201|00008563"/>
        <s v="8201|00008573"/>
        <s v="8201|00008583"/>
        <s v="8201|00008597"/>
        <s v="8201|00008606"/>
        <s v="8201|00008616"/>
        <s v="8201|00008626"/>
        <s v="8201|00008637"/>
        <s v="8201|00008640"/>
        <s v="8201|00008655"/>
        <s v="8201|00008672"/>
        <s v="8201|00008688"/>
        <s v="8201|00008691"/>
        <s v="8201|00008702"/>
        <s v="8201|00008711"/>
        <s v="8201|00008720"/>
        <s v="8201|00008731"/>
        <s v="8201|00008747"/>
        <s v="8201|00008752"/>
        <s v="8201|00008768"/>
        <s v="8201|00008774"/>
        <s v="8201|00008787"/>
        <s v="8201|00008805"/>
        <s v="8201|00008817"/>
        <s v="8201|00008821"/>
        <s v="8201|00008838"/>
        <s v="8201|00008842"/>
        <s v="8201|00008857"/>
        <s v="8201|00008867"/>
        <s v="8201|00008871"/>
        <s v="8201|00008885"/>
        <s v="8201|00008897"/>
        <s v="8201|00008908"/>
        <s v="8201|00008916"/>
        <s v="8201|00008931"/>
        <s v="8201|00008945"/>
        <s v="8201|00008954"/>
        <s v="8201|00008961"/>
        <s v="8201|00008975"/>
        <s v="8201|00008983"/>
        <s v="8201|00008998"/>
        <s v="8201|00009004"/>
        <s v="8201|00009016"/>
        <s v="8201|00009037"/>
        <s v="8201|00009043"/>
        <s v="8201|00009056"/>
        <s v="8201|00009060"/>
        <s v="8201|00009076"/>
        <s v="8201|00009081"/>
        <s v="8201|00009091"/>
        <s v="8201|00009105"/>
        <s v="8201|00009115"/>
        <s v="8201|00009123"/>
        <s v="8201|00009135"/>
        <s v="8201|00009142"/>
        <s v="8201|00009161"/>
        <s v="8201|00009172"/>
        <s v="8201|00009184"/>
        <s v="8201|00009192"/>
        <s v="8201|00009204"/>
        <s v="8201|00009210"/>
        <s v="8201|00009223"/>
        <s v="8201|00009235"/>
        <s v="8201|00009245"/>
        <s v="8201|00009257"/>
        <s v="8201|00009267"/>
        <s v="8201|00009270"/>
        <s v="8201|00009288"/>
        <s v="8201|00009296"/>
        <s v="8201|00009307"/>
        <s v="8201|00009316"/>
        <s v="8201|00009323"/>
        <s v="8201|00009330"/>
        <s v="8201|00009346"/>
        <s v="8201|00009356"/>
        <s v="8201|00009368"/>
        <s v="8201|00009371"/>
        <s v="8201|00009386"/>
        <s v="8201|00009395"/>
        <s v="8201|00009408"/>
        <s v="8201|00009413"/>
        <s v="8201|00009428"/>
        <s v="8201|00009438"/>
        <s v="8201|00009447"/>
        <s v="8201|00009452"/>
        <s v="8201|00009462"/>
        <s v="8201|00009470"/>
        <s v="8201|00009486"/>
        <s v="8201|00009491"/>
        <s v="8201|00009501"/>
        <s v="8201|00009514"/>
        <s v="8201|00009527"/>
        <s v="8201|00009530"/>
        <s v="8201|00009544"/>
        <s v="8201|00009555"/>
        <s v="8201|00009563"/>
        <s v="8201|00009571"/>
        <s v="8201|00009582"/>
        <s v="8201|00009598"/>
        <s v="8201|00009607"/>
        <s v="8201|00009616"/>
        <s v="8201|00009621"/>
        <s v="8201|00009632"/>
        <s v="8201|00009640"/>
        <s v="8201|00009651"/>
        <s v="8201|00009668"/>
        <s v="8201|00009675"/>
        <s v="8201|00009688"/>
        <s v="8201|00009698"/>
        <s v="8201|00009708"/>
        <s v="8201|00009710"/>
        <s v="8201|00009728"/>
        <s v="8201|00009734"/>
        <s v="8201|00009744"/>
        <s v="8201|00009752"/>
        <s v="8201|00009768"/>
        <s v="8201|00009777"/>
        <s v="8201|00009787"/>
        <s v="8201|00009798"/>
        <s v="8201|00009803"/>
        <s v="8201|00009810"/>
        <s v="8201|00009823"/>
        <s v="8201|00009836"/>
        <s v="8201|00009845"/>
        <s v="8201|00009854"/>
        <s v="8201|00009870"/>
        <s v="8201|00009887"/>
        <s v="8201|00009896"/>
        <s v="8201|00009907"/>
        <s v="8201|00009918"/>
        <s v="8201|00009923"/>
        <s v="8201|00009935"/>
        <s v="8201|00009940"/>
        <s v="8201|00009955"/>
        <s v="8201|00009962"/>
        <s v="8201|00009982"/>
        <s v="8201|00009993"/>
        <s v="8201|00010008"/>
        <s v="8201|00010014"/>
        <s v="8201|00010026"/>
        <s v="8201|00010030"/>
        <s v="8201|00010056"/>
        <s v="8201|00010061"/>
        <s v="8201|00010074"/>
        <s v="8201|00010083"/>
        <s v="8201|00010091"/>
        <s v="8201|00010103"/>
        <s v="8201|00010113"/>
        <s v="8201|00010124"/>
        <s v="8201|00010141"/>
        <s v="8201|00010152"/>
        <s v="8201|00010168"/>
        <s v="8201|00010175"/>
        <s v="8201|00010183"/>
        <s v="8201|00010193"/>
        <s v="8201|00010207"/>
        <s v="8201|00010215"/>
        <s v="8201|00010236"/>
        <s v="8201|00010242"/>
        <s v="8201|00010256"/>
        <s v="8201|00010262"/>
        <s v="8201|00010281"/>
        <s v="8201|00010295"/>
        <s v="8201|00010306"/>
        <s v="8201|00010315"/>
        <s v="8201|00010322"/>
        <s v="8201|00010338"/>
        <s v="8201|00010348"/>
        <s v="8201|00010355"/>
        <s v="8201|00010366"/>
        <s v="8201|00010373"/>
        <s v="8201|00010392"/>
        <s v="8201|00010405"/>
        <s v="8201|00010410"/>
        <s v="8201|00010423"/>
        <s v="8201|00010435"/>
        <s v="8201|00010447"/>
        <s v="8201|00010457"/>
        <s v="8201|00010462"/>
        <s v="8201|00010473"/>
        <s v="8201|00010486"/>
        <s v="8201|00010506"/>
        <s v="8201|00010517"/>
        <s v="8201|00010526"/>
        <s v="8201|00010532"/>
        <s v="8201|00010546"/>
        <s v="8201|00010557"/>
        <s v="8201|00010561"/>
        <s v="8201|00010574"/>
        <s v="8201|00010582"/>
        <s v="8201|00010594"/>
        <s v="8201|00010603"/>
        <s v="8201|00010611"/>
        <s v="8201|00010624"/>
        <s v="8201|00010630"/>
        <s v="8201|00010643"/>
        <s v="8201|00010651"/>
        <s v="8201|00010665"/>
        <s v="8201|00010677"/>
        <s v="8201|00010680"/>
        <s v="8201|00010697"/>
        <s v="8201|00010706"/>
        <s v="8201|00010712"/>
        <s v="8201|00010724"/>
        <s v="8201|00010738"/>
        <s v="8201|00010741"/>
        <s v="8201|00010753"/>
        <s v="8201|00010768"/>
        <s v="8201|00010774"/>
        <s v="8201|00010785"/>
        <s v="8201|00010792"/>
        <s v="8201|00010808"/>
        <s v="8201|00010811"/>
        <s v="8201|00010827"/>
        <s v="8201|00010841"/>
        <s v="8201|00010852"/>
        <s v="8201|00010862"/>
        <s v="8201|00010876"/>
        <s v="8201|00010888"/>
        <s v="8201|00010903"/>
        <s v="8201|00010917"/>
        <s v="8201|00010926"/>
        <s v="8201|00010935"/>
        <s v="8201|00010945"/>
        <s v="8201|00010950"/>
        <s v="8201|00010960"/>
        <s v="8201|00010975"/>
        <s v="8201|00010981"/>
        <s v="8201|00010992"/>
        <s v="8201|00011005"/>
        <s v="8201|00011017"/>
        <s v="8201|00011025"/>
        <s v="8201|00011035"/>
        <s v="8201|00011041"/>
        <s v="8201|00011053"/>
        <s v="8201|00011066"/>
        <s v="8201|00011071"/>
        <s v="8201|00011083"/>
        <s v="8201|00011098"/>
        <s v="8201|00011104"/>
        <s v="8201|00011112"/>
        <s v="8201|00011128"/>
        <s v="8201|00011131"/>
        <s v="8201|00011148"/>
        <s v="8201|00011156"/>
        <s v="8201|00011162"/>
        <s v="8201|00011178"/>
        <s v="8201|00011186"/>
        <s v="8201|00011218"/>
        <s v="8201|00011226"/>
        <s v="8201|00011233"/>
        <s v="8201|00011246"/>
        <s v="8201|00011254"/>
        <s v="8201|00011264"/>
        <s v="8201|00011277"/>
        <s v="8201|00011285"/>
        <s v="8201|00011293"/>
        <s v="8201|00011304"/>
        <s v="8201|00011318"/>
        <s v="8201|00011326"/>
        <s v="8201|00011330"/>
        <s v="8201|00011345"/>
        <s v="8201|00011355"/>
        <s v="8201|00011362"/>
        <s v="8201|00011375"/>
        <s v="8201|00011388"/>
        <s v="8201|00011391"/>
        <s v="8201|00011402"/>
        <s v="8201|00011414"/>
        <s v="8201|00011421"/>
        <s v="8201|00011430"/>
        <s v="8201|00011444"/>
        <s v="8201|00011453"/>
        <s v="8201|00011468"/>
        <s v="8201|00011474"/>
        <s v="8201|00011485"/>
        <s v="8201|00011507"/>
        <s v="8201|00011518"/>
        <s v="8201|00011527"/>
        <s v="8201|00011532"/>
        <s v="8201|00011543"/>
        <s v="8201|00011553"/>
        <s v="8201|00011561"/>
        <s v="8201|00011575"/>
        <s v="8201|00011586"/>
        <s v="8201|00011597"/>
        <s v="8201|00011601"/>
        <s v="8201|00011616"/>
        <s v="8201|00011623"/>
        <s v="8201|00011637"/>
        <s v="8201|00011646"/>
        <s v="8201|00011650"/>
        <s v="8201|00011660"/>
        <s v="8201|00011672"/>
        <s v="8201|00011681"/>
        <s v="8201|00011697"/>
        <s v="8201|00011705"/>
        <s v="8201|00011717"/>
        <s v="8201|00011726"/>
        <s v="8201|00011736"/>
        <s v="8201|00011748"/>
        <s v="8201|00011755"/>
        <s v="8201|00011760"/>
        <s v="8201|00011774"/>
        <s v="8201|00011786"/>
        <s v="8201|00011790"/>
        <s v="8201|00011804"/>
        <s v="8201|00011814"/>
        <s v="8201|00011821"/>
        <s v="8201|00011830"/>
        <s v="8201|00011847"/>
        <s v="8201|00011858"/>
        <s v="8201|00011866"/>
        <s v="8201|00011876"/>
        <s v="8201|00011888"/>
        <s v="8201|00011890"/>
        <s v="8201|00011902"/>
        <s v="8201|00011913"/>
        <s v="8201|00011920"/>
        <s v="8201|00011936"/>
        <s v="8201|00011944"/>
        <s v="8201|00011952"/>
        <s v="8201|00011966"/>
        <s v="8201|00011975"/>
        <s v="8201|00011987"/>
        <s v="8201|00011992"/>
        <s v="8201|00012001"/>
        <s v="8201|00012015"/>
        <s v="8201|00012024"/>
        <s v="8201|00012036"/>
        <s v="8201|00012048"/>
        <s v="8201|00012052"/>
        <s v="8201|00012067"/>
        <s v="8201|00012072"/>
        <s v="8201|00012086"/>
        <s v="8201|00012090"/>
        <s v="8201|00012104"/>
        <s v="8201|00012113"/>
        <s v="8201|00012123"/>
        <s v="8201|00012134"/>
        <s v="8201|00012140"/>
        <s v="8201|00012168"/>
        <s v="8201|00012176"/>
        <s v="8201|00012185"/>
        <s v="8201|00012196"/>
        <s v="8201|00012208"/>
        <s v="8201|00012210"/>
        <s v="8201|00012225"/>
        <s v="8201|00012234"/>
        <s v="8201|00012243"/>
        <s v="8201|00012257"/>
        <s v="8201|00012261"/>
        <s v="8201|00012278"/>
        <s v="8201|00012283"/>
        <s v="8201|00012297"/>
        <s v="8201|00012300"/>
        <s v="8201|00012317"/>
        <s v="8201|00012323"/>
        <s v="8201|00012336"/>
        <s v="8201|00012345"/>
        <s v="8201|00012363"/>
        <s v="8201|00012375"/>
        <s v="8201|00012382"/>
        <s v="8201|00012392"/>
        <s v="8201|00012405"/>
        <s v="8201|00012413"/>
        <s v="8201|00012428"/>
        <s v="8201|00012434"/>
        <s v="8201|00012442"/>
        <s v="8201|00012451"/>
        <s v="8201|00012466"/>
        <s v="8201|00012474"/>
        <s v="8201|00012484"/>
        <s v="8201|00012498"/>
        <s v="8201|00012508"/>
        <s v="8201|00012513"/>
        <s v="8201|00012522"/>
        <s v="8201|00012534"/>
        <s v="8201|00012557"/>
        <s v="8201|00012563"/>
        <s v="8201|00012575"/>
        <s v="8201|00012587"/>
        <s v="8201|00012591"/>
        <s v="8201|00012601"/>
        <s v="8201|00012612"/>
        <s v="8201|00012628"/>
        <s v="8201|00012635"/>
        <s v="8201|00012648"/>
        <s v="8201|00012650"/>
        <s v="8201|00012663"/>
        <s v="8201|00012674"/>
        <s v="8201|00012681"/>
        <s v="8201|00012696"/>
        <s v="8201|00012707"/>
        <s v="8201|00012718"/>
        <s v="8201|00012723"/>
        <s v="8201|00012735"/>
        <s v="8201|00012748"/>
        <s v="8201|00012751"/>
        <s v="8201|00012765"/>
        <s v="8201|00012773"/>
        <s v="8201|00012787"/>
        <s v="8201|00012791"/>
        <s v="8201|00012802"/>
        <s v="8201|00012818"/>
        <s v="8201|00012828"/>
        <s v="8201|00012832"/>
        <s v="8201|00012846"/>
        <s v="8201|00012856"/>
        <s v="8201|00012866"/>
        <s v="8201|00012878"/>
        <s v="8201|00012880"/>
        <s v="8201|00012891"/>
        <s v="8201|00012905"/>
        <s v="8201|00012917"/>
        <s v="8201|00012922"/>
        <s v="8201|00012936"/>
        <s v="8201|00012944"/>
        <s v="8201|00012954"/>
        <s v="8201|00012966"/>
        <s v="8201|00012972"/>
        <s v="8201|00012987"/>
        <s v="8201|00012990"/>
        <s v="8201|00013006"/>
        <s v="8201|00013016"/>
        <s v="8201|00013034"/>
        <s v="8201|00013041"/>
        <s v="8201|00013051"/>
        <s v="8201|00013066"/>
        <s v="8201|00013071"/>
        <s v="8201|00013088"/>
        <s v="8201|00013090"/>
        <s v="8201|00013104"/>
        <s v="8201|00013115"/>
        <s v="8201|00013125"/>
        <s v="8201|00013133"/>
        <s v="8201|00013143"/>
        <s v="8201|00013155"/>
        <s v="8201|00013166"/>
        <s v="8201|00013173"/>
        <s v="8201|00013187"/>
        <s v="8201|00013195"/>
        <s v="8201|00013202"/>
        <s v="8201|00013213"/>
        <s v="8201|00013227"/>
        <s v="8201|00013238"/>
        <s v="8201|00013241"/>
        <s v="8201|00013256"/>
        <s v="8201|00013267"/>
        <s v="8201|00013276"/>
        <s v="8201|00013282"/>
        <s v="8201|00013293"/>
        <s v="8201|00013304"/>
        <s v="8201|00013310"/>
        <s v="8201|00013338"/>
        <s v="8201|00013344"/>
        <s v="8201|00013352"/>
        <s v="8201|00013365"/>
        <s v="8201|00013376"/>
        <s v="8201|00013382"/>
        <s v="8201|00013391"/>
        <s v="8201|00013403"/>
        <s v="8201|00013410"/>
        <s v="8201|00013423"/>
        <s v="8201|00013433"/>
        <s v="8201|00013445"/>
        <s v="8201|00013458"/>
        <s v="8201|00013466"/>
        <s v="8201|00013482"/>
        <s v="8201|00013490"/>
        <s v="8201|00013504"/>
        <s v="8201|00013514"/>
        <s v="8201|00013523"/>
        <s v="8201|00013536"/>
        <s v="8201|00013540"/>
        <s v="8201|00013565"/>
        <s v="8201|00013571"/>
        <s v="8201|00013586"/>
        <s v="8201|00013596"/>
        <s v="8201|00013606"/>
        <s v="8201|00013613"/>
        <s v="8201|00013624"/>
        <s v="8201|00013636"/>
        <s v="8201|00013642"/>
        <s v="8201|00013651"/>
        <s v="8201|00013660"/>
        <s v="8201|00013672"/>
        <s v="8201|00013688"/>
        <s v="8201|00013695"/>
        <s v="8201|00013712"/>
        <s v="8201|00013726"/>
        <s v="8201|00013735"/>
        <s v="8201|00013748"/>
        <s v="8201|00013752"/>
        <s v="8201|00013763"/>
        <s v="8201|00013772"/>
        <s v="8201|00013788"/>
        <s v="8201|00013792"/>
        <s v="8201|00013817"/>
        <s v="8201|00013822"/>
        <s v="8201|00013835"/>
        <s v="8201|00013842"/>
        <s v="8201|00013857"/>
        <s v="8201|00013862"/>
        <s v="8201|00013872"/>
        <s v="8201|00013880"/>
        <s v="8201|00013891"/>
        <s v="8201|00013905"/>
        <s v="8201|00013917"/>
        <s v="8201|00013927"/>
        <s v="8201|00013937"/>
        <s v="8201|00013946"/>
        <s v="8201|00013956"/>
        <s v="8201|00013962"/>
        <s v="8201|00013974"/>
        <s v="8201|00013984"/>
        <s v="8201|00013994"/>
        <s v="8201|00014005"/>
        <s v="8201|00014011"/>
        <s v="8201|00014026"/>
        <s v="8201|00014038"/>
        <s v="8201|00014045"/>
        <s v="8201|00014051"/>
        <s v="8201|00014067"/>
        <s v="8201|00014074"/>
        <s v="8201|00014082"/>
        <s v="8201|00014098"/>
        <s v="8201|00014107"/>
        <s v="8201|00014115"/>
        <s v="8201|00014122"/>
        <s v="8201|00014134"/>
        <s v="8201|00014144"/>
        <s v="8201|00014154"/>
        <s v="8201|00014166"/>
        <s v="8201|00014172"/>
        <s v="8201|00014183"/>
        <s v="8201|00014194"/>
        <s v="8201|00014206"/>
        <s v="8201|00014211"/>
        <s v="8201|00014226"/>
        <s v="8201|00014235"/>
        <s v="8201|00014248"/>
        <s v="8201|00014255"/>
        <s v="8201|00014268"/>
        <s v="8201|00014276"/>
        <s v="8201|00014298"/>
        <s v="8201|00014305"/>
        <s v="8201|00014312"/>
        <s v="8201|00014321"/>
        <s v="8201|00014335"/>
        <s v="8201|00014347"/>
        <s v="8201|00014355"/>
        <s v="8201|00014377"/>
        <s v="8201|00014380"/>
        <s v="8201|00014395"/>
        <s v="8201|00014412"/>
        <s v="8201|00014426"/>
        <s v="8201|00014437"/>
        <s v="8201|00014440"/>
        <s v="8201|00014457"/>
        <s v="8201|00014462"/>
        <s v="8201|00014472"/>
        <s v="8201|00014486"/>
        <s v="8201|00014496"/>
        <s v="8201|00014506"/>
        <s v="8201|00014517"/>
        <s v="8201|00014525"/>
        <s v="8201|00014537"/>
        <s v="8201|00014547"/>
        <s v="8201|00014551"/>
        <s v="8201|00014561"/>
        <s v="8201|00014570"/>
        <s v="8201|00014581"/>
        <s v="8201|00014590"/>
        <s v="8201|00014601"/>
        <s v="8201|00014615"/>
        <s v="8201|00014623"/>
        <s v="8201|00014633"/>
        <s v="8201|00014642"/>
        <s v="8201|00014655"/>
        <s v="8201|00014663"/>
        <s v="8201|00014675"/>
        <s v="8201|00014683"/>
        <s v="8201|00014690"/>
        <s v="8201|00014700"/>
        <s v="8201|00014718"/>
        <s v="8201|00014726"/>
        <s v="8201|00014738"/>
        <s v="8201|00014742"/>
        <s v="8201|00014761"/>
        <s v="8201|00014774"/>
        <s v="8201|00014787"/>
        <s v="8201|00014791"/>
        <s v="8201|00014807"/>
        <s v="8201|00014815"/>
        <s v="8201|00014822"/>
        <s v="8201|00014835"/>
        <s v="8201|00014841"/>
        <s v="8201|00014851"/>
        <s v="8201|00014862"/>
        <s v="8201|00014876"/>
        <s v="8201|00014885"/>
        <s v="8201|00014893"/>
        <s v="8201|00014904"/>
        <s v="8201|00014911"/>
        <s v="8201|00014927"/>
        <s v="8201|00014935"/>
        <s v="8201|00014947"/>
        <s v="8201|00014952"/>
        <s v="8201|00014963"/>
        <s v="8201|00014977"/>
        <s v="8201|00014981"/>
        <s v="8201|00014992"/>
        <s v="8201|00015001"/>
        <s v="8201|00015010"/>
        <s v="8201|00015027"/>
        <s v="8201|00015032"/>
        <s v="8201|00015048"/>
        <s v="8201|00015051"/>
        <s v="8201|00015067"/>
        <s v="8201|00015073"/>
        <s v="8201|00015086"/>
        <s v="8201|00015097"/>
        <s v="8201|00015108"/>
        <s v="8201|00015118"/>
        <s v="8201|00015127"/>
        <s v="8201|00015131"/>
        <s v="8201|00015147"/>
        <s v="8201|00015156"/>
        <s v="8201|00015166"/>
        <s v="8201|00015177"/>
        <s v="8201|00015185"/>
        <s v="8201|00015204"/>
        <s v="8201|00015212"/>
        <s v="8201|00015220"/>
        <s v="8201|00015232"/>
        <s v="8201|00015247"/>
        <s v="8201|00015258"/>
        <s v="8201|00015260"/>
        <s v="8201|00015273"/>
        <s v="8201|00015288"/>
        <s v="8201|00015296"/>
        <s v="8201|00015305"/>
        <s v="8201|00015311"/>
        <s v="8201|00015324"/>
        <s v="8201|00015337"/>
        <s v="8201|00015342"/>
        <s v="8201|00015355"/>
        <s v="8201|00015361"/>
        <s v="8201|00015378"/>
        <s v="8201|00015380"/>
        <s v="8201|00015396"/>
        <s v="8201|00015404"/>
        <s v="8201|00015412"/>
        <s v="8201|00015427"/>
        <s v="8201|00015441"/>
        <s v="8201|00015453"/>
        <s v="8201|00015462"/>
        <s v="8201|00015471"/>
        <s v="8201|00015487"/>
        <s v="8201|00015494"/>
        <s v="8201|00015501"/>
        <s v="8201|00015511"/>
        <s v="8201|00015520"/>
        <s v="8201|00015537"/>
        <s v="8201|00015542"/>
        <s v="8201|00015554"/>
        <s v="8201|00015565"/>
        <s v="8201|00015571"/>
        <s v="8201|00015586"/>
        <s v="8201|00015590"/>
        <s v="8201|00015607"/>
        <s v="8201|00015612"/>
        <s v="8201|00015621"/>
        <s v="8201|00015637"/>
        <s v="8201|00015645"/>
        <s v="8201|00015656"/>
        <s v="8201|00015663"/>
        <s v="8201|00015673"/>
        <s v="8201|00015687"/>
        <s v="8201|00015693"/>
        <s v="8201|00015704"/>
        <s v="8201|00015714"/>
        <s v="8201|00015722"/>
        <s v="8201|00015734"/>
        <s v="8201|00015745"/>
        <s v="8201|00015755"/>
        <s v="8201|00015767"/>
        <s v="8201|00015774"/>
        <s v="8201|00015783"/>
        <s v="8201|00015794"/>
        <s v="8201|00015807"/>
        <s v="8201|00015813"/>
        <s v="8201|00015820"/>
        <s v="8201|00015830"/>
        <s v="8201|00015842"/>
        <s v="8201|00015855"/>
        <s v="8201|00015866"/>
        <s v="8201|00015872"/>
        <s v="8201|00015886"/>
        <s v="8201|00015890"/>
        <s v="8201|00015905"/>
        <s v="8201|00015918"/>
        <s v="8201|00015928"/>
        <s v="8201|00015937"/>
        <s v="8201|00015945"/>
        <s v="8201|00015955"/>
        <s v="8201|00015967"/>
        <s v="8201|00015976"/>
        <s v="8201|00015982"/>
        <s v="8201|00015992"/>
        <s v="8201|00016005"/>
        <s v="8201|00016014"/>
        <s v="8201|00016028"/>
        <s v="8201|00016032"/>
        <s v="8201|00016047"/>
        <s v="8201|00016055"/>
        <s v="8201|00016061"/>
        <s v="8201|00016072"/>
        <s v="8201|00016092"/>
        <s v="8201|00016107"/>
        <s v="8201|00016111"/>
        <s v="8201|00016120"/>
        <s v="8201|00016134"/>
        <s v="8201|00016148"/>
        <s v="8201|00016154"/>
        <s v="8201|00016164"/>
        <s v="8201|00016175"/>
        <s v="8201|00016183"/>
        <s v="8201|00016197"/>
        <s v="8201|00016203"/>
        <s v="8201|00016210"/>
        <s v="8201|00016226"/>
        <s v="8201|00016237"/>
        <s v="8201|00016246"/>
        <s v="8201|00016258"/>
        <s v="8201|00016264"/>
        <s v="8201|00016276"/>
        <s v="8201|00016287"/>
        <s v="8201|00016291"/>
        <s v="8201|00016303"/>
        <s v="8201|00016317"/>
        <s v="8201|00016325"/>
        <s v="8201|00016333"/>
        <s v="8201|00016347"/>
        <s v="8201|00016351"/>
        <s v="8201|00016368"/>
        <s v="8201|00016371"/>
        <s v="8201|00016386"/>
        <s v="8201|00016391"/>
        <s v="8201|00016402"/>
        <s v="8201|00016411"/>
        <s v="8201|00016427"/>
        <s v="8201|00016431"/>
        <s v="8201|00016442"/>
        <s v="8201|00016457"/>
        <s v="8201|00016463"/>
        <s v="8201|00016470"/>
        <s v="8201|00016481"/>
        <s v="8201|00016493"/>
        <s v="8201|00016505"/>
        <s v="8201|00016510"/>
        <s v="8201|00016523"/>
        <s v="8201|00016531"/>
        <s v="8201|00016546"/>
        <s v="8201|00016551"/>
        <s v="8201|00016561"/>
        <s v="8201|00016575"/>
        <s v="8201|00016586"/>
        <s v="8201|00016595"/>
        <s v="8201|00016608"/>
        <s v="8201|00016617"/>
        <s v="8201|00016620"/>
        <s v="8201|00016638"/>
        <s v="8201|00016648"/>
        <s v="8201|00016652"/>
        <s v="8201|00016666"/>
        <s v="8201|00016671"/>
        <s v="8201|00016687"/>
        <s v="8201|00016692"/>
        <s v="8201|00016705"/>
        <s v="8201|00016711"/>
        <s v="8201|00016727"/>
        <s v="8201|00016736"/>
        <s v="8201|00016746"/>
        <s v="8201|00016756"/>
        <s v="8201|00016760"/>
        <s v="8201|00016773"/>
        <s v="8201|00016788"/>
        <s v="8201|00016794"/>
        <s v="8201|00016808"/>
        <s v="8201|00016811"/>
        <s v="8201|00016822"/>
        <s v="8201|00016832"/>
        <s v="8201|00016841"/>
        <s v="8201|00016857"/>
        <s v="8201|00016867"/>
        <s v="8201|00016870"/>
        <s v="8201|00016882"/>
        <s v="8201|00016890"/>
        <s v="8201|00016918"/>
        <s v="8201|00016926"/>
        <s v="8201|00016938"/>
        <s v="8201|00016941"/>
        <s v="8201|00016960"/>
        <s v="8201|00016981"/>
        <s v="8201|00016990"/>
        <s v="8201|00017008"/>
        <s v="8201|00017013"/>
        <s v="8201|00017022"/>
        <s v="8201|00017030"/>
        <s v="8201|00017048"/>
        <s v="8201|00017052"/>
        <s v="8201|00017063"/>
        <s v="8201|00017075"/>
        <s v="8201|00017087"/>
        <s v="8201|00017093"/>
        <s v="8201|00017101"/>
        <s v="8201|00017113"/>
        <s v="8201|00017127"/>
        <s v="8201|00017134"/>
        <s v="8201|00017141"/>
        <s v="8201|00017150"/>
        <s v="8201|00017167"/>
        <s v="8201|00017178"/>
        <s v="8201|00017188"/>
        <s v="8201|00017193"/>
        <s v="8201|00017200"/>
        <s v="8201|00017212"/>
        <s v="8201|00017227"/>
        <s v="8201|00017236"/>
        <s v="8201|00017245"/>
        <s v="8201|00017254"/>
        <s v="8201|00017263"/>
        <s v="8201|00017274"/>
        <s v="8201|00017285"/>
        <s v="8201|00017291"/>
        <s v="8201|00017302"/>
        <s v="8201|00017316"/>
        <s v="8201|00017321"/>
        <s v="8201|00017338"/>
        <s v="8201|00017355"/>
        <s v="8201|00017362"/>
        <s v="8201|00017374"/>
        <s v="8201|00017383"/>
        <s v="8201|00017396"/>
        <s v="8201|00017403"/>
        <s v="8201|00017416"/>
        <s v="8201|00017424"/>
        <s v="8201|00017434"/>
        <s v="8201|00017441"/>
        <s v="8201|00017455"/>
        <s v="8201|00017465"/>
        <s v="8201|00017475"/>
        <s v="8201|00017481"/>
        <s v="8201|00017490"/>
        <s v="8201|00017501"/>
        <s v="8201|00017518"/>
        <s v="8201|00017521"/>
        <s v="8201|00017530"/>
        <s v="8201|00017544"/>
        <s v="8201|00017551"/>
        <s v="8201|00017567"/>
        <s v="8201|00017572"/>
        <s v="8201|00017587"/>
        <s v="8201|00017596"/>
        <s v="8201|00017600"/>
        <s v="8201|00017618"/>
        <s v="8201|00017624"/>
        <s v="8201|00017631"/>
        <s v="8201|00017643"/>
        <s v="8201|00017655"/>
        <s v="8201|00017667"/>
        <s v="8201|00017670"/>
        <s v="8201|00017684"/>
        <s v="8201|00017691"/>
        <s v="8201|00017701"/>
        <s v="8201|00017717"/>
        <s v="8201|00017724"/>
        <s v="8201|00017732"/>
        <s v="8201|00017742"/>
        <s v="8201|00017751"/>
        <s v="8201|00017768"/>
        <s v="8201|00017775"/>
        <s v="8201|00017780"/>
        <s v="8201|00017796"/>
        <s v="8201|00017807"/>
        <s v="8201|00017818"/>
        <s v="8201|00017821"/>
        <s v="8201|00017834"/>
        <s v="8201|00017843"/>
        <s v="8201|00017854"/>
        <s v="8201|00017867"/>
        <s v="8201|00017878"/>
        <s v="8201|00017883"/>
        <s v="8201|00017893"/>
        <s v="8201|00017902"/>
        <s v="8201|00017911"/>
        <s v="8201|00017925"/>
        <s v="8201|00017941"/>
        <s v="8201|00017951"/>
        <s v="8201|00017963"/>
        <s v="8201|00017977"/>
        <s v="8201|00017987"/>
        <s v="8201|00017997"/>
        <s v="8201|00018005"/>
        <s v="8201|00018018"/>
        <s v="8201|00018023"/>
        <s v="8201|00018031"/>
        <s v="8201|00018042"/>
        <s v="8201|00018058"/>
        <s v="8201|00018062"/>
        <s v="8201|00018073"/>
        <s v="8201|00018086"/>
        <s v="8201|00018098"/>
        <s v="8201|00018104"/>
        <s v="8201|00018110"/>
        <s v="8201|00018127"/>
        <s v="8201|00018134"/>
        <s v="8201|00018148"/>
        <s v="8201|00018157"/>
        <s v="8201|00018162"/>
        <s v="8201|00018180"/>
        <s v="8201|00018193"/>
        <s v="8201|00018204"/>
        <s v="8201|00018215"/>
        <s v="8201|00018221"/>
        <s v="8201|00018232"/>
        <s v="8201|00018245"/>
        <s v="8201|00018255"/>
        <s v="8201|00018268"/>
        <s v="8201|00018270"/>
        <s v="8201|00018285"/>
        <s v="8201|00018293"/>
        <s v="8201|00018302"/>
        <s v="8201|00018314"/>
        <s v="8201|00018327"/>
        <s v="8201|00018331"/>
        <s v="8201|00018347"/>
        <s v="8201|00018367"/>
        <s v="8201|00018378"/>
        <s v="8201|00018384"/>
        <s v="8201|00018395"/>
        <s v="8201|00018408"/>
        <s v="8201|00018416"/>
        <s v="8201|00018420"/>
        <s v="8201|00018436"/>
        <s v="8201|00018440"/>
        <s v="8201|00018451"/>
        <s v="8201|00018464"/>
        <s v="8201|00018476"/>
        <s v="8201|00018485"/>
        <s v="8201|00018492"/>
        <s v="8201|00018505"/>
        <s v="8201|00018516"/>
        <s v="8201|00018521"/>
        <s v="8201|00018534"/>
        <s v="8201|00018542"/>
        <s v="8201|00018550"/>
        <s v="8201|00018563"/>
        <s v="8201|00018574"/>
        <s v="8201|00018584"/>
        <s v="8201|00018597"/>
        <s v="8201|00018603"/>
        <s v="8201|00018615"/>
        <s v="8201|00018625"/>
        <s v="8201|00018630"/>
        <s v="8201|00018642"/>
        <s v="8201|00018652"/>
        <s v="8201|00018663"/>
        <s v="8201|00018676"/>
        <s v="8201|00018680"/>
        <s v="8201|00018691"/>
        <s v="8201|00018705"/>
        <s v="8201|00018710"/>
        <s v="8201|00018724"/>
        <s v="8201|00018733"/>
        <s v="8201|00018750"/>
        <s v="8201|00018768"/>
        <s v="8201|00018773"/>
        <s v="8201|00018781"/>
        <s v="8201|00018796"/>
        <s v="8201|00018808"/>
        <s v="8201|00018813"/>
        <s v="8201|00018828"/>
        <s v="8201|00018838"/>
        <s v="8201|00018842"/>
        <s v="8201|00018853"/>
        <s v="8201|00018867"/>
        <s v="8201|00018875"/>
        <s v="8201|00018883"/>
        <s v="8201|00018893"/>
        <s v="8201|00018903"/>
        <s v="8201|00018914"/>
        <s v="8201|00018924"/>
        <s v="8201|00018935"/>
        <s v="8201|00018943"/>
        <s v="8201|00018958"/>
        <s v="8201|00018967"/>
        <s v="8201|00018978"/>
        <s v="8201|00018980"/>
        <s v="8201|00019003"/>
        <s v="8201|00019013"/>
        <s v="8201|00019025"/>
        <s v="8201|00019038"/>
        <s v="8201|00019040"/>
        <s v="8201|00019058"/>
        <s v="8201|00019065"/>
        <s v="8201|00019071"/>
        <s v="8201|00019083"/>
        <s v="8201|00019092"/>
        <s v="8201|00019102"/>
        <s v="8201|00019118"/>
        <s v="8201|00019127"/>
        <s v="8201|00019136"/>
        <s v="8201|00019144"/>
        <s v="8201|00019157"/>
        <s v="8201|00019160"/>
        <s v="8201|00019177"/>
        <s v="8201|00019186"/>
        <s v="8201|00019192"/>
        <s v="8201|00019200"/>
        <s v="8201|00019213"/>
        <s v="8201|00019221"/>
        <s v="8201|00019237"/>
        <s v="8201|00019241"/>
        <s v="8201|00019255"/>
        <s v="8201|00019267"/>
        <s v="8201|00019270"/>
        <s v="8201|00019285"/>
        <s v="8201|00019292"/>
        <s v="8201|00019300"/>
        <s v="8201|00019317"/>
        <s v="8201|00019338"/>
        <s v="8201|00019340"/>
        <s v="8201|00019358"/>
        <s v="8201|00019360"/>
        <s v="8201|00019380"/>
        <s v="8201|00019390"/>
        <s v="8201|00019405"/>
        <s v="8201|00019415"/>
        <s v="8201|00019435"/>
        <s v="8201|00019441"/>
        <s v="8201|00019458"/>
        <s v="8201|00019463"/>
        <s v="8201|00019477"/>
        <s v="8201|00019481"/>
        <s v="8201|00019496"/>
        <s v="8201|00019508"/>
        <s v="8201|00019512"/>
        <s v="8201|00019527"/>
        <s v="8201|00019533"/>
        <s v="8201|00019544"/>
        <s v="8201|00019550"/>
        <s v="8201|00019560"/>
        <s v="8201|00019575"/>
        <s v="8201|00019588"/>
        <s v="8201|00019591"/>
        <s v="8201|00019608"/>
        <s v="8201|00019612"/>
        <s v="8201|00019627"/>
        <s v="8201|00019632"/>
        <s v="8201|00019645"/>
        <s v="8201|00019657"/>
        <s v="8201|00019662"/>
        <s v="8201|00019675"/>
        <s v="8201|00019682"/>
        <s v="8201|00019698"/>
        <s v="8201|00019701"/>
        <s v="8201|00019714"/>
        <s v="8201|00019720"/>
        <s v="8201|00019746"/>
        <s v="8201|00019756"/>
        <s v="8201|00019766"/>
        <s v="8201|00019786"/>
        <s v="8201|00019791"/>
        <s v="8201|00019804"/>
        <s v="8201|00019813"/>
        <s v="8201|00019825"/>
        <s v="8201|00019835"/>
        <s v="8201|00019842"/>
        <s v="8201|00019850"/>
        <s v="8201|00019862"/>
        <s v="8201|00019870"/>
        <s v="8201|00019885"/>
        <s v="8201|00019891"/>
        <s v="8201|00019900"/>
        <s v="8201|00019910"/>
        <s v="8201|00019923"/>
        <s v="8201|00019935"/>
        <s v="8201|00019940"/>
        <s v="8201|00019958"/>
        <s v="8201|00019961"/>
        <s v="8201|00019971"/>
        <s v="8201|00019980"/>
        <s v="8201|00019998"/>
        <s v="8201|00020000"/>
        <s v="8201|00020013"/>
        <s v="8201|00020024"/>
        <s v="8201|00020030"/>
        <s v="8201|00020042"/>
        <s v="8201|00020056"/>
        <s v="8201|00020063"/>
        <s v="8201|00020075"/>
        <s v="8201|00020083"/>
        <s v="8201|00020093"/>
        <s v="8201|00020105"/>
        <s v="8201|00020118"/>
        <s v="8201|00020122"/>
        <s v="8201|00020137"/>
        <s v="8201|00020140"/>
        <s v="8201|00020150"/>
        <s v="8201|00020168"/>
        <s v="8201|00020176"/>
        <s v="8201|00020187"/>
        <s v="8201|00020207"/>
        <s v="8201|00020214"/>
        <s v="8201|00020225"/>
        <s v="8201|00020238"/>
        <s v="8201|00020244"/>
        <s v="8201|00020255"/>
        <s v="8201|00020267"/>
        <s v="8201|00020277"/>
        <s v="8201|00020284"/>
        <s v="8201|00020291"/>
        <s v="8201|00020302"/>
        <s v="8201|00020315"/>
        <s v="8201|00020321"/>
        <s v="8201|00020332"/>
        <s v="8201|00020341"/>
        <s v="8201|00020357"/>
        <s v="8201|00020366"/>
        <s v="8201|00020370"/>
        <s v="8201|00020384"/>
        <s v="8201|00020396"/>
        <s v="8201|00020403"/>
        <s v="8201|00020417"/>
        <s v="8201|00020425"/>
        <s v="8201|00020432"/>
        <s v="8201|00020440"/>
        <s v="8201|00020453"/>
        <s v="8201|00020462"/>
        <s v="8201|00020476"/>
        <s v="8201|00020487"/>
        <s v="8201|00020495"/>
        <s v="8201|00020503"/>
        <s v="8201|00020515"/>
        <s v="8201|00020521"/>
        <s v="8201|00020534"/>
        <s v="8201|00020545"/>
        <s v="8201|00020555"/>
        <s v="8201|00020563"/>
        <s v="8201|00020570"/>
        <s v="8201|00020582"/>
        <s v="8201|00020598"/>
        <s v="8201|00020600"/>
        <s v="8201|00020662"/>
        <s v="8201|00020680"/>
        <s v="8201|00020690"/>
        <s v="8201|00020723"/>
        <s v="8201|00020736"/>
        <s v="8201|00020741"/>
        <s v="8201|00020753"/>
        <s v="8201|00020798"/>
        <s v="8201|00020800"/>
        <s v="8201|00020832"/>
        <s v="8201|00020854"/>
        <s v="8201|00020865"/>
        <s v="8201|00020896"/>
        <s v="8201|00020931"/>
        <s v="8201|00020950"/>
        <s v="8201|00020962"/>
        <s v="8201|00020978"/>
        <s v="8201|00020991"/>
        <s v="8201|00021005"/>
        <s v="8201|00021014"/>
        <s v="8201|00021033"/>
        <s v="8201|00021045"/>
        <s v="8201|00021057"/>
        <s v="8201|00021092"/>
        <s v="8201|00021116"/>
        <s v="8201|00021145"/>
      </sharedItems>
      <extLst>
        <ext xmlns:x15="http://schemas.microsoft.com/office/spreadsheetml/2010/11/main" uri="{4F2E5C28-24EA-4eb8-9CBF-B6C8F9C3D259}">
          <x15:cachedUniqueNames>
            <x15:cachedUniqueName index="0" name="[FactPayment].[CaseKey].&amp;[8101|00004535]"/>
            <x15:cachedUniqueName index="1" name="[FactPayment].[CaseKey].&amp;[8101|00005350]"/>
            <x15:cachedUniqueName index="2" name="[FactPayment].[CaseKey].&amp;[8101|00005504]"/>
            <x15:cachedUniqueName index="3" name="[FactPayment].[CaseKey].&amp;[8101|00005521]"/>
            <x15:cachedUniqueName index="4" name="[FactPayment].[CaseKey].&amp;[8101|00005740]"/>
            <x15:cachedUniqueName index="5" name="[FactPayment].[CaseKey].&amp;[8101|00005966]"/>
            <x15:cachedUniqueName index="6" name="[FactPayment].[CaseKey].&amp;[8101|00006117]"/>
            <x15:cachedUniqueName index="7" name="[FactPayment].[CaseKey].&amp;[8101|00006332]"/>
            <x15:cachedUniqueName index="8" name="[FactPayment].[CaseKey].&amp;[8101|00006410]"/>
            <x15:cachedUniqueName index="9" name="[FactPayment].[CaseKey].&amp;[8101|00006461]"/>
            <x15:cachedUniqueName index="10" name="[FactPayment].[CaseKey].&amp;[8101|00006472]"/>
            <x15:cachedUniqueName index="11" name="[FactPayment].[CaseKey].&amp;[8101|00006517]"/>
            <x15:cachedUniqueName index="12" name="[FactPayment].[CaseKey].&amp;[8101|00006537]"/>
            <x15:cachedUniqueName index="13" name="[FactPayment].[CaseKey].&amp;[8101|00006640]"/>
            <x15:cachedUniqueName index="14" name="[FactPayment].[CaseKey].&amp;[8101|00006844]"/>
            <x15:cachedUniqueName index="15" name="[FactPayment].[CaseKey].&amp;[8101|00007313]"/>
            <x15:cachedUniqueName index="16" name="[FactPayment].[CaseKey].&amp;[8101|00007335]"/>
            <x15:cachedUniqueName index="17" name="[FactPayment].[CaseKey].&amp;[8101|00007413]"/>
            <x15:cachedUniqueName index="18" name="[FactPayment].[CaseKey].&amp;[8101|00007486]"/>
            <x15:cachedUniqueName index="19" name="[FactPayment].[CaseKey].&amp;[8101|00007617]"/>
            <x15:cachedUniqueName index="20" name="[FactPayment].[CaseKey].&amp;[8101|00007735]"/>
            <x15:cachedUniqueName index="21" name="[FactPayment].[CaseKey].&amp;[8101|00007743]"/>
            <x15:cachedUniqueName index="22" name="[FactPayment].[CaseKey].&amp;[8101|00007755]"/>
            <x15:cachedUniqueName index="23" name="[FactPayment].[CaseKey].&amp;[8101|00007833]"/>
            <x15:cachedUniqueName index="24" name="[FactPayment].[CaseKey].&amp;[8101|00007851]"/>
            <x15:cachedUniqueName index="25" name="[FactPayment].[CaseKey].&amp;[8101|00007866]"/>
            <x15:cachedUniqueName index="26" name="[FactPayment].[CaseKey].&amp;[8101|00007881]"/>
            <x15:cachedUniqueName index="27" name="[FactPayment].[CaseKey].&amp;[8101|00007920]"/>
            <x15:cachedUniqueName index="28" name="[FactPayment].[CaseKey].&amp;[8101|00008001]"/>
            <x15:cachedUniqueName index="29" name="[FactPayment].[CaseKey].&amp;[8101|00008063]"/>
            <x15:cachedUniqueName index="30" name="[FactPayment].[CaseKey].&amp;[8101|00008092]"/>
            <x15:cachedUniqueName index="31" name="[FactPayment].[CaseKey].&amp;[8101|00008163]"/>
            <x15:cachedUniqueName index="32" name="[FactPayment].[CaseKey].&amp;[8101|00008267]"/>
            <x15:cachedUniqueName index="33" name="[FactPayment].[CaseKey].&amp;[8101|00008278]"/>
            <x15:cachedUniqueName index="34" name="[FactPayment].[CaseKey].&amp;[8101|00008305]"/>
            <x15:cachedUniqueName index="35" name="[FactPayment].[CaseKey].&amp;[8101|00008314]"/>
            <x15:cachedUniqueName index="36" name="[FactPayment].[CaseKey].&amp;[8101|00008341]"/>
            <x15:cachedUniqueName index="37" name="[FactPayment].[CaseKey].&amp;[8101|00008363]"/>
            <x15:cachedUniqueName index="38" name="[FactPayment].[CaseKey].&amp;[8101|00008456]"/>
            <x15:cachedUniqueName index="39" name="[FactPayment].[CaseKey].&amp;[8101|00008485]"/>
            <x15:cachedUniqueName index="40" name="[FactPayment].[CaseKey].&amp;[8101|00008538]"/>
            <x15:cachedUniqueName index="41" name="[FactPayment].[CaseKey].&amp;[8101|00008541]"/>
            <x15:cachedUniqueName index="42" name="[FactPayment].[CaseKey].&amp;[8101|00008628]"/>
            <x15:cachedUniqueName index="43" name="[FactPayment].[CaseKey].&amp;[8101|00008640]"/>
            <x15:cachedUniqueName index="44" name="[FactPayment].[CaseKey].&amp;[8101|00008682]"/>
            <x15:cachedUniqueName index="45" name="[FactPayment].[CaseKey].&amp;[8101|00008782]"/>
            <x15:cachedUniqueName index="46" name="[FactPayment].[CaseKey].&amp;[8101|00008795]"/>
            <x15:cachedUniqueName index="47" name="[FactPayment].[CaseKey].&amp;[8101|00008863]"/>
            <x15:cachedUniqueName index="48" name="[FactPayment].[CaseKey].&amp;[8101|00008896]"/>
            <x15:cachedUniqueName index="49" name="[FactPayment].[CaseKey].&amp;[8101|00008908]"/>
            <x15:cachedUniqueName index="50" name="[FactPayment].[CaseKey].&amp;[8101|00008918]"/>
            <x15:cachedUniqueName index="51" name="[FactPayment].[CaseKey].&amp;[8101|00008950]"/>
            <x15:cachedUniqueName index="52" name="[FactPayment].[CaseKey].&amp;[8101|00008998]"/>
            <x15:cachedUniqueName index="53" name="[FactPayment].[CaseKey].&amp;[8101|00009038]"/>
            <x15:cachedUniqueName index="54" name="[FactPayment].[CaseKey].&amp;[8101|00009060]"/>
            <x15:cachedUniqueName index="55" name="[FactPayment].[CaseKey].&amp;[8101|00009082]"/>
            <x15:cachedUniqueName index="56" name="[FactPayment].[CaseKey].&amp;[8101|00009105]"/>
            <x15:cachedUniqueName index="57" name="[FactPayment].[CaseKey].&amp;[8101|00009114]"/>
            <x15:cachedUniqueName index="58" name="[FactPayment].[CaseKey].&amp;[8101|00009127]"/>
            <x15:cachedUniqueName index="59" name="[FactPayment].[CaseKey].&amp;[8101|00009137]"/>
            <x15:cachedUniqueName index="60" name="[FactPayment].[CaseKey].&amp;[8101|00009186]"/>
            <x15:cachedUniqueName index="61" name="[FactPayment].[CaseKey].&amp;[8101|00009218]"/>
            <x15:cachedUniqueName index="62" name="[FactPayment].[CaseKey].&amp;[8101|00009275]"/>
            <x15:cachedUniqueName index="63" name="[FactPayment].[CaseKey].&amp;[8101|00009317]"/>
            <x15:cachedUniqueName index="64" name="[FactPayment].[CaseKey].&amp;[8101|00009325]"/>
            <x15:cachedUniqueName index="65" name="[FactPayment].[CaseKey].&amp;[8101|00009343]"/>
            <x15:cachedUniqueName index="66" name="[FactPayment].[CaseKey].&amp;[8101|00009350]"/>
            <x15:cachedUniqueName index="67" name="[FactPayment].[CaseKey].&amp;[8101|00009385]"/>
            <x15:cachedUniqueName index="68" name="[FactPayment].[CaseKey].&amp;[8101|00009437]"/>
            <x15:cachedUniqueName index="69" name="[FactPayment].[CaseKey].&amp;[8101|00009450]"/>
            <x15:cachedUniqueName index="70" name="[FactPayment].[CaseKey].&amp;[8101|00009464]"/>
            <x15:cachedUniqueName index="71" name="[FactPayment].[CaseKey].&amp;[8101|00009482]"/>
            <x15:cachedUniqueName index="72" name="[FactPayment].[CaseKey].&amp;[8101|00009507]"/>
            <x15:cachedUniqueName index="73" name="[FactPayment].[CaseKey].&amp;[8101|00009513]"/>
            <x15:cachedUniqueName index="74" name="[FactPayment].[CaseKey].&amp;[8101|00009538]"/>
            <x15:cachedUniqueName index="75" name="[FactPayment].[CaseKey].&amp;[8101|00009588]"/>
            <x15:cachedUniqueName index="76" name="[FactPayment].[CaseKey].&amp;[8101|00009602]"/>
            <x15:cachedUniqueName index="77" name="[FactPayment].[CaseKey].&amp;[8101|00009613]"/>
            <x15:cachedUniqueName index="78" name="[FactPayment].[CaseKey].&amp;[8101|00009621]"/>
            <x15:cachedUniqueName index="79" name="[FactPayment].[CaseKey].&amp;[8101|00009630]"/>
            <x15:cachedUniqueName index="80" name="[FactPayment].[CaseKey].&amp;[8101|00009643]"/>
            <x15:cachedUniqueName index="81" name="[FactPayment].[CaseKey].&amp;[8101|00009666]"/>
            <x15:cachedUniqueName index="82" name="[FactPayment].[CaseKey].&amp;[8101|00009676]"/>
            <x15:cachedUniqueName index="83" name="[FactPayment].[CaseKey].&amp;[8101|00009682]"/>
            <x15:cachedUniqueName index="84" name="[FactPayment].[CaseKey].&amp;[8101|00009712]"/>
            <x15:cachedUniqueName index="85" name="[FactPayment].[CaseKey].&amp;[8101|00009723]"/>
            <x15:cachedUniqueName index="86" name="[FactPayment].[CaseKey].&amp;[8101|00009751]"/>
            <x15:cachedUniqueName index="87" name="[FactPayment].[CaseKey].&amp;[8101|00009770]"/>
            <x15:cachedUniqueName index="88" name="[FactPayment].[CaseKey].&amp;[8101|00009785]"/>
            <x15:cachedUniqueName index="89" name="[FactPayment].[CaseKey].&amp;[8101|00009794]"/>
            <x15:cachedUniqueName index="90" name="[FactPayment].[CaseKey].&amp;[8101|00009814]"/>
            <x15:cachedUniqueName index="91" name="[FactPayment].[CaseKey].&amp;[8101|00009828]"/>
            <x15:cachedUniqueName index="92" name="[FactPayment].[CaseKey].&amp;[8101|00009833]"/>
            <x15:cachedUniqueName index="93" name="[FactPayment].[CaseKey].&amp;[8101|00009847]"/>
            <x15:cachedUniqueName index="94" name="[FactPayment].[CaseKey].&amp;[8101|00009855]"/>
            <x15:cachedUniqueName index="95" name="[FactPayment].[CaseKey].&amp;[8101|00009861]"/>
            <x15:cachedUniqueName index="96" name="[FactPayment].[CaseKey].&amp;[8101|00009870]"/>
            <x15:cachedUniqueName index="97" name="[FactPayment].[CaseKey].&amp;[8101|00009886]"/>
            <x15:cachedUniqueName index="98" name="[FactPayment].[CaseKey].&amp;[8101|00009892]"/>
            <x15:cachedUniqueName index="99" name="[FactPayment].[CaseKey].&amp;[8101|00009903]"/>
            <x15:cachedUniqueName index="100" name="[FactPayment].[CaseKey].&amp;[8101|00009918]"/>
            <x15:cachedUniqueName index="101" name="[FactPayment].[CaseKey].&amp;[8101|00009923]"/>
            <x15:cachedUniqueName index="102" name="[FactPayment].[CaseKey].&amp;[8101|00009935]"/>
            <x15:cachedUniqueName index="103" name="[FactPayment].[CaseKey].&amp;[8101|00009943]"/>
            <x15:cachedUniqueName index="104" name="[FactPayment].[CaseKey].&amp;[8101|00009951]"/>
            <x15:cachedUniqueName index="105" name="[FactPayment].[CaseKey].&amp;[8101|00009977]"/>
            <x15:cachedUniqueName index="106" name="[FactPayment].[CaseKey].&amp;[8101|00009985]"/>
            <x15:cachedUniqueName index="107" name="[FactPayment].[CaseKey].&amp;[8101|00009990]"/>
            <x15:cachedUniqueName index="108" name="[FactPayment].[CaseKey].&amp;[8101|00010006]"/>
            <x15:cachedUniqueName index="109" name="[FactPayment].[CaseKey].&amp;[8101|00010018]"/>
            <x15:cachedUniqueName index="110" name="[FactPayment].[CaseKey].&amp;[8101|00010025]"/>
            <x15:cachedUniqueName index="111" name="[FactPayment].[CaseKey].&amp;[8101|00010044]"/>
            <x15:cachedUniqueName index="112" name="[FactPayment].[CaseKey].&amp;[8101|00010056]"/>
            <x15:cachedUniqueName index="113" name="[FactPayment].[CaseKey].&amp;[8101|00010068]"/>
            <x15:cachedUniqueName index="114" name="[FactPayment].[CaseKey].&amp;[8101|00010076]"/>
            <x15:cachedUniqueName index="115" name="[FactPayment].[CaseKey].&amp;[8101|00010082]"/>
            <x15:cachedUniqueName index="116" name="[FactPayment].[CaseKey].&amp;[8101|00010092]"/>
            <x15:cachedUniqueName index="117" name="[FactPayment].[CaseKey].&amp;[8101|00010107]"/>
            <x15:cachedUniqueName index="118" name="[FactPayment].[CaseKey].&amp;[8101|00010114]"/>
            <x15:cachedUniqueName index="119" name="[FactPayment].[CaseKey].&amp;[8101|00010120]"/>
            <x15:cachedUniqueName index="120" name="[FactPayment].[CaseKey].&amp;[8101|00010130]"/>
            <x15:cachedUniqueName index="121" name="[FactPayment].[CaseKey].&amp;[8101|00010157]"/>
            <x15:cachedUniqueName index="122" name="[FactPayment].[CaseKey].&amp;[8101|00010178]"/>
            <x15:cachedUniqueName index="123" name="[FactPayment].[CaseKey].&amp;[8101|00010194]"/>
            <x15:cachedUniqueName index="124" name="[FactPayment].[CaseKey].&amp;[8101|00010201]"/>
            <x15:cachedUniqueName index="125" name="[FactPayment].[CaseKey].&amp;[8101|00010212]"/>
            <x15:cachedUniqueName index="126" name="[FactPayment].[CaseKey].&amp;[8101|00010227]"/>
            <x15:cachedUniqueName index="127" name="[FactPayment].[CaseKey].&amp;[8101|00010233]"/>
            <x15:cachedUniqueName index="128" name="[FactPayment].[CaseKey].&amp;[8101|00010256]"/>
            <x15:cachedUniqueName index="129" name="[FactPayment].[CaseKey].&amp;[8101|00010268]"/>
            <x15:cachedUniqueName index="130" name="[FactPayment].[CaseKey].&amp;[8101|00010282]"/>
            <x15:cachedUniqueName index="131" name="[FactPayment].[CaseKey].&amp;[8101|00010297]"/>
            <x15:cachedUniqueName index="132" name="[FactPayment].[CaseKey].&amp;[8101|00010306]"/>
            <x15:cachedUniqueName index="133" name="[FactPayment].[CaseKey].&amp;[8101|00010326]"/>
            <x15:cachedUniqueName index="134" name="[FactPayment].[CaseKey].&amp;[8101|00010335]"/>
            <x15:cachedUniqueName index="135" name="[FactPayment].[CaseKey].&amp;[8101|00010345]"/>
            <x15:cachedUniqueName index="136" name="[FactPayment].[CaseKey].&amp;[8101|00010362]"/>
            <x15:cachedUniqueName index="137" name="[FactPayment].[CaseKey].&amp;[8101|00010385]"/>
            <x15:cachedUniqueName index="138" name="[FactPayment].[CaseKey].&amp;[8101|00010390]"/>
            <x15:cachedUniqueName index="139" name="[FactPayment].[CaseKey].&amp;[8101|00010403]"/>
            <x15:cachedUniqueName index="140" name="[FactPayment].[CaseKey].&amp;[8101|00010410]"/>
            <x15:cachedUniqueName index="141" name="[FactPayment].[CaseKey].&amp;[8101|00010423]"/>
            <x15:cachedUniqueName index="142" name="[FactPayment].[CaseKey].&amp;[8101|00010437]"/>
            <x15:cachedUniqueName index="143" name="[FactPayment].[CaseKey].&amp;[8101|00010444]"/>
            <x15:cachedUniqueName index="144" name="[FactPayment].[CaseKey].&amp;[8101|00010454]"/>
            <x15:cachedUniqueName index="145" name="[FactPayment].[CaseKey].&amp;[8101|00010463]"/>
            <x15:cachedUniqueName index="146" name="[FactPayment].[CaseKey].&amp;[8101|00010476]"/>
            <x15:cachedUniqueName index="147" name="[FactPayment].[CaseKey].&amp;[8101|00010484]"/>
            <x15:cachedUniqueName index="148" name="[FactPayment].[CaseKey].&amp;[8101|00010494]"/>
            <x15:cachedUniqueName index="149" name="[FactPayment].[CaseKey].&amp;[8101|00010502]"/>
            <x15:cachedUniqueName index="150" name="[FactPayment].[CaseKey].&amp;[8101|00010512]"/>
            <x15:cachedUniqueName index="151" name="[FactPayment].[CaseKey].&amp;[8101|00010526]"/>
            <x15:cachedUniqueName index="152" name="[FactPayment].[CaseKey].&amp;[8101|00010545]"/>
            <x15:cachedUniqueName index="153" name="[FactPayment].[CaseKey].&amp;[8101|00010553]"/>
            <x15:cachedUniqueName index="154" name="[FactPayment].[CaseKey].&amp;[8101|00010568]"/>
            <x15:cachedUniqueName index="155" name="[FactPayment].[CaseKey].&amp;[8101|00010577]"/>
            <x15:cachedUniqueName index="156" name="[FactPayment].[CaseKey].&amp;[8101|00010583]"/>
            <x15:cachedUniqueName index="157" name="[FactPayment].[CaseKey].&amp;[8101|00010594]"/>
            <x15:cachedUniqueName index="158" name="[FactPayment].[CaseKey].&amp;[8101|00010604]"/>
            <x15:cachedUniqueName index="159" name="[FactPayment].[CaseKey].&amp;[8101|00010618]"/>
            <x15:cachedUniqueName index="160" name="[FactPayment].[CaseKey].&amp;[8101|00010621]"/>
            <x15:cachedUniqueName index="161" name="[FactPayment].[CaseKey].&amp;[8101|00010635]"/>
            <x15:cachedUniqueName index="162" name="[FactPayment].[CaseKey].&amp;[8101|00010648]"/>
            <x15:cachedUniqueName index="163" name="[FactPayment].[CaseKey].&amp;[8101|00010663]"/>
            <x15:cachedUniqueName index="164" name="[FactPayment].[CaseKey].&amp;[8101|00010672]"/>
            <x15:cachedUniqueName index="165" name="[FactPayment].[CaseKey].&amp;[8101|00010686]"/>
            <x15:cachedUniqueName index="166" name="[FactPayment].[CaseKey].&amp;[8101|00010690]"/>
            <x15:cachedUniqueName index="167" name="[FactPayment].[CaseKey].&amp;[8101|00010708]"/>
            <x15:cachedUniqueName index="168" name="[FactPayment].[CaseKey].&amp;[8101|00010714]"/>
            <x15:cachedUniqueName index="169" name="[FactPayment].[CaseKey].&amp;[8101|00010727]"/>
            <x15:cachedUniqueName index="170" name="[FactPayment].[CaseKey].&amp;[8101|00010735]"/>
            <x15:cachedUniqueName index="171" name="[FactPayment].[CaseKey].&amp;[8101|00010742]"/>
            <x15:cachedUniqueName index="172" name="[FactPayment].[CaseKey].&amp;[8101|00010757]"/>
            <x15:cachedUniqueName index="173" name="[FactPayment].[CaseKey].&amp;[8101|00010764]"/>
            <x15:cachedUniqueName index="174" name="[FactPayment].[CaseKey].&amp;[8101|00010776]"/>
            <x15:cachedUniqueName index="175" name="[FactPayment].[CaseKey].&amp;[8101|00010784]"/>
            <x15:cachedUniqueName index="176" name="[FactPayment].[CaseKey].&amp;[8101|00010798]"/>
            <x15:cachedUniqueName index="177" name="[FactPayment].[CaseKey].&amp;[8101|00010807]"/>
            <x15:cachedUniqueName index="178" name="[FactPayment].[CaseKey].&amp;[8101|00010811]"/>
            <x15:cachedUniqueName index="179" name="[FactPayment].[CaseKey].&amp;[8101|00010827]"/>
            <x15:cachedUniqueName index="180" name="[FactPayment].[CaseKey].&amp;[8101|00010833]"/>
            <x15:cachedUniqueName index="181" name="[FactPayment].[CaseKey].&amp;[8101|00010844]"/>
            <x15:cachedUniqueName index="182" name="[FactPayment].[CaseKey].&amp;[8101|00010853]"/>
            <x15:cachedUniqueName index="183" name="[FactPayment].[CaseKey].&amp;[8101|00010861]"/>
            <x15:cachedUniqueName index="184" name="[FactPayment].[CaseKey].&amp;[8101|00010871]"/>
            <x15:cachedUniqueName index="185" name="[FactPayment].[CaseKey].&amp;[8101|00010887]"/>
            <x15:cachedUniqueName index="186" name="[FactPayment].[CaseKey].&amp;[8101|00010895]"/>
            <x15:cachedUniqueName index="187" name="[FactPayment].[CaseKey].&amp;[8101|00010906]"/>
            <x15:cachedUniqueName index="188" name="[FactPayment].[CaseKey].&amp;[8101|00010914]"/>
            <x15:cachedUniqueName index="189" name="[FactPayment].[CaseKey].&amp;[8101|00010920]"/>
            <x15:cachedUniqueName index="190" name="[FactPayment].[CaseKey].&amp;[8101|00010940]"/>
            <x15:cachedUniqueName index="191" name="[FactPayment].[CaseKey].&amp;[8101|00010951]"/>
            <x15:cachedUniqueName index="192" name="[FactPayment].[CaseKey].&amp;[8101|00010960]"/>
            <x15:cachedUniqueName index="193" name="[FactPayment].[CaseKey].&amp;[8101|00010977]"/>
            <x15:cachedUniqueName index="194" name="[FactPayment].[CaseKey].&amp;[8101|00010982]"/>
            <x15:cachedUniqueName index="195" name="[FactPayment].[CaseKey].&amp;[8101|00010991]"/>
            <x15:cachedUniqueName index="196" name="[FactPayment].[CaseKey].&amp;[8101|00011008]"/>
            <x15:cachedUniqueName index="197" name="[FactPayment].[CaseKey].&amp;[8101|00011017]"/>
            <x15:cachedUniqueName index="198" name="[FactPayment].[CaseKey].&amp;[8101|00011024]"/>
            <x15:cachedUniqueName index="199" name="[FactPayment].[CaseKey].&amp;[8101|00011035]"/>
            <x15:cachedUniqueName index="200" name="[FactPayment].[CaseKey].&amp;[8101|00011040]"/>
            <x15:cachedUniqueName index="201" name="[FactPayment].[CaseKey].&amp;[8101|00011053]"/>
            <x15:cachedUniqueName index="202" name="[FactPayment].[CaseKey].&amp;[8101|00011068]"/>
            <x15:cachedUniqueName index="203" name="[FactPayment].[CaseKey].&amp;[8101|00011076]"/>
            <x15:cachedUniqueName index="204" name="[FactPayment].[CaseKey].&amp;[8101|00011083]"/>
            <x15:cachedUniqueName index="205" name="[FactPayment].[CaseKey].&amp;[8101|00011097]"/>
            <x15:cachedUniqueName index="206" name="[FactPayment].[CaseKey].&amp;[8101|00011103]"/>
            <x15:cachedUniqueName index="207" name="[FactPayment].[CaseKey].&amp;[8101|00011118]"/>
            <x15:cachedUniqueName index="208" name="[FactPayment].[CaseKey].&amp;[8101|00011128]"/>
            <x15:cachedUniqueName index="209" name="[FactPayment].[CaseKey].&amp;[8101|00011132]"/>
            <x15:cachedUniqueName index="210" name="[FactPayment].[CaseKey].&amp;[8101|00011142]"/>
            <x15:cachedUniqueName index="211" name="[FactPayment].[CaseKey].&amp;[8101|00011158]"/>
            <x15:cachedUniqueName index="212" name="[FactPayment].[CaseKey].&amp;[8101|00011167]"/>
            <x15:cachedUniqueName index="213" name="[FactPayment].[CaseKey].&amp;[8101|00011187]"/>
            <x15:cachedUniqueName index="214" name="[FactPayment].[CaseKey].&amp;[8101|00011191]"/>
            <x15:cachedUniqueName index="215" name="[FactPayment].[CaseKey].&amp;[8101|00011206]"/>
            <x15:cachedUniqueName index="216" name="[FactPayment].[CaseKey].&amp;[8101|00011215]"/>
            <x15:cachedUniqueName index="217" name="[FactPayment].[CaseKey].&amp;[8101|00011224]"/>
            <x15:cachedUniqueName index="218" name="[FactPayment].[CaseKey].&amp;[8101|00011237]"/>
            <x15:cachedUniqueName index="219" name="[FactPayment].[CaseKey].&amp;[8101|00011243]"/>
            <x15:cachedUniqueName index="220" name="[FactPayment].[CaseKey].&amp;[8101|00011256]"/>
            <x15:cachedUniqueName index="221" name="[FactPayment].[CaseKey].&amp;[8101|00011266]"/>
            <x15:cachedUniqueName index="222" name="[FactPayment].[CaseKey].&amp;[8101|00011285]"/>
            <x15:cachedUniqueName index="223" name="[FactPayment].[CaseKey].&amp;[8101|00011296]"/>
            <x15:cachedUniqueName index="224" name="[FactPayment].[CaseKey].&amp;[8101|00011306]"/>
            <x15:cachedUniqueName index="225" name="[FactPayment].[CaseKey].&amp;[8101|00011316]"/>
            <x15:cachedUniqueName index="226" name="[FactPayment].[CaseKey].&amp;[8101|00011324]"/>
            <x15:cachedUniqueName index="227" name="[FactPayment].[CaseKey].&amp;[8101|00011337]"/>
            <x15:cachedUniqueName index="228" name="[FactPayment].[CaseKey].&amp;[8101|00011345]"/>
            <x15:cachedUniqueName index="229" name="[FactPayment].[CaseKey].&amp;[8101|00011356]"/>
            <x15:cachedUniqueName index="230" name="[FactPayment].[CaseKey].&amp;[8101|00011361]"/>
            <x15:cachedUniqueName index="231" name="[FactPayment].[CaseKey].&amp;[8101|00011374]"/>
            <x15:cachedUniqueName index="232" name="[FactPayment].[CaseKey].&amp;[8101|00011393]"/>
            <x15:cachedUniqueName index="233" name="[FactPayment].[CaseKey].&amp;[8101|00011407]"/>
            <x15:cachedUniqueName index="234" name="[FactPayment].[CaseKey].&amp;[8101|00011417]"/>
            <x15:cachedUniqueName index="235" name="[FactPayment].[CaseKey].&amp;[8101|00011423]"/>
            <x15:cachedUniqueName index="236" name="[FactPayment].[CaseKey].&amp;[8101|00011431]"/>
            <x15:cachedUniqueName index="237" name="[FactPayment].[CaseKey].&amp;[8101|00011458]"/>
            <x15:cachedUniqueName index="238" name="[FactPayment].[CaseKey].&amp;[8101|00011464]"/>
            <x15:cachedUniqueName index="239" name="[FactPayment].[CaseKey].&amp;[8101|00011475]"/>
            <x15:cachedUniqueName index="240" name="[FactPayment].[CaseKey].&amp;[8101|00011480]"/>
            <x15:cachedUniqueName index="241" name="[FactPayment].[CaseKey].&amp;[8101|00011493]"/>
            <x15:cachedUniqueName index="242" name="[FactPayment].[CaseKey].&amp;[8101|00011502]"/>
            <x15:cachedUniqueName index="243" name="[FactPayment].[CaseKey].&amp;[8101|00011516]"/>
            <x15:cachedUniqueName index="244" name="[FactPayment].[CaseKey].&amp;[8101|00011525]"/>
            <x15:cachedUniqueName index="245" name="[FactPayment].[CaseKey].&amp;[8101|00011536]"/>
            <x15:cachedUniqueName index="246" name="[FactPayment].[CaseKey].&amp;[8101|00011544]"/>
            <x15:cachedUniqueName index="247" name="[FactPayment].[CaseKey].&amp;[8101|00011561]"/>
            <x15:cachedUniqueName index="248" name="[FactPayment].[CaseKey].&amp;[8101|00011578]"/>
            <x15:cachedUniqueName index="249" name="[FactPayment].[CaseKey].&amp;[8101|00011580]"/>
            <x15:cachedUniqueName index="250" name="[FactPayment].[CaseKey].&amp;[8101|00011603]"/>
            <x15:cachedUniqueName index="251" name="[FactPayment].[CaseKey].&amp;[8101|00011614]"/>
            <x15:cachedUniqueName index="252" name="[FactPayment].[CaseKey].&amp;[8101|00011625]"/>
            <x15:cachedUniqueName index="253" name="[FactPayment].[CaseKey].&amp;[8101|00011634]"/>
            <x15:cachedUniqueName index="254" name="[FactPayment].[CaseKey].&amp;[8101|00011644]"/>
            <x15:cachedUniqueName index="255" name="[FactPayment].[CaseKey].&amp;[8101|00011652]"/>
            <x15:cachedUniqueName index="256" name="[FactPayment].[CaseKey].&amp;[8101|00011662]"/>
            <x15:cachedUniqueName index="257" name="[FactPayment].[CaseKey].&amp;[8101|00011671]"/>
            <x15:cachedUniqueName index="258" name="[FactPayment].[CaseKey].&amp;[8101|00011684]"/>
            <x15:cachedUniqueName index="259" name="[FactPayment].[CaseKey].&amp;[8101|00011698]"/>
            <x15:cachedUniqueName index="260" name="[FactPayment].[CaseKey].&amp;[8101|00011704]"/>
            <x15:cachedUniqueName index="261" name="[FactPayment].[CaseKey].&amp;[8101|00011711]"/>
            <x15:cachedUniqueName index="262" name="[FactPayment].[CaseKey].&amp;[8101|00011725]"/>
            <x15:cachedUniqueName index="263" name="[FactPayment].[CaseKey].&amp;[8101|00011730]"/>
            <x15:cachedUniqueName index="264" name="[FactPayment].[CaseKey].&amp;[8101|00011740]"/>
            <x15:cachedUniqueName index="265" name="[FactPayment].[CaseKey].&amp;[8101|00011754]"/>
            <x15:cachedUniqueName index="266" name="[FactPayment].[CaseKey].&amp;[8101|00011771]"/>
            <x15:cachedUniqueName index="267" name="[FactPayment].[CaseKey].&amp;[8101|00011788]"/>
            <x15:cachedUniqueName index="268" name="[FactPayment].[CaseKey].&amp;[8101|00011790]"/>
            <x15:cachedUniqueName index="269" name="[FactPayment].[CaseKey].&amp;[8101|00011807]"/>
            <x15:cachedUniqueName index="270" name="[FactPayment].[CaseKey].&amp;[8101|00011816]"/>
            <x15:cachedUniqueName index="271" name="[FactPayment].[CaseKey].&amp;[8101|00011830]"/>
            <x15:cachedUniqueName index="272" name="[FactPayment].[CaseKey].&amp;[8101|00011845]"/>
            <x15:cachedUniqueName index="273" name="[FactPayment].[CaseKey].&amp;[8101|00011852]"/>
            <x15:cachedUniqueName index="274" name="[FactPayment].[CaseKey].&amp;[8101|00011867]"/>
            <x15:cachedUniqueName index="275" name="[FactPayment].[CaseKey].&amp;[8101|00011870]"/>
            <x15:cachedUniqueName index="276" name="[FactPayment].[CaseKey].&amp;[8101|00011880]"/>
            <x15:cachedUniqueName index="277" name="[FactPayment].[CaseKey].&amp;[8101|00011892]"/>
            <x15:cachedUniqueName index="278" name="[FactPayment].[CaseKey].&amp;[8101|00011900]"/>
            <x15:cachedUniqueName index="279" name="[FactPayment].[CaseKey].&amp;[8101|00011914]"/>
            <x15:cachedUniqueName index="280" name="[FactPayment].[CaseKey].&amp;[8101|00011928]"/>
            <x15:cachedUniqueName index="281" name="[FactPayment].[CaseKey].&amp;[8101|00011934]"/>
            <x15:cachedUniqueName index="282" name="[FactPayment].[CaseKey].&amp;[8101|00011942]"/>
            <x15:cachedUniqueName index="283" name="[FactPayment].[CaseKey].&amp;[8101|00011954]"/>
            <x15:cachedUniqueName index="284" name="[FactPayment].[CaseKey].&amp;[8101|00011968]"/>
            <x15:cachedUniqueName index="285" name="[FactPayment].[CaseKey].&amp;[8101|00011972]"/>
            <x15:cachedUniqueName index="286" name="[FactPayment].[CaseKey].&amp;[8101|00011981]"/>
            <x15:cachedUniqueName index="287" name="[FactPayment].[CaseKey].&amp;[8101|00011995]"/>
            <x15:cachedUniqueName index="288" name="[FactPayment].[CaseKey].&amp;[8101|00012007]"/>
            <x15:cachedUniqueName index="289" name="[FactPayment].[CaseKey].&amp;[8101|00012013]"/>
            <x15:cachedUniqueName index="290" name="[FactPayment].[CaseKey].&amp;[8101|00012027]"/>
            <x15:cachedUniqueName index="291" name="[FactPayment].[CaseKey].&amp;[8101|00012038]"/>
            <x15:cachedUniqueName index="292" name="[FactPayment].[CaseKey].&amp;[8101|00012045]"/>
            <x15:cachedUniqueName index="293" name="[FactPayment].[CaseKey].&amp;[8101|00012056]"/>
            <x15:cachedUniqueName index="294" name="[FactPayment].[CaseKey].&amp;[8101|00012061]"/>
            <x15:cachedUniqueName index="295" name="[FactPayment].[CaseKey].&amp;[8101|00012071]"/>
            <x15:cachedUniqueName index="296" name="[FactPayment].[CaseKey].&amp;[8101|00012080]"/>
            <x15:cachedUniqueName index="297" name="[FactPayment].[CaseKey].&amp;[8101|00012092]"/>
            <x15:cachedUniqueName index="298" name="[FactPayment].[CaseKey].&amp;[8101|00012106]"/>
            <x15:cachedUniqueName index="299" name="[FactPayment].[CaseKey].&amp;[8101|00012111]"/>
            <x15:cachedUniqueName index="300" name="[FactPayment].[CaseKey].&amp;[8101|00012128]"/>
            <x15:cachedUniqueName index="301" name="[FactPayment].[CaseKey].&amp;[8101|00012132]"/>
            <x15:cachedUniqueName index="302" name="[FactPayment].[CaseKey].&amp;[8101|00012146]"/>
            <x15:cachedUniqueName index="303" name="[FactPayment].[CaseKey].&amp;[8101|00012150]"/>
            <x15:cachedUniqueName index="304" name="[FactPayment].[CaseKey].&amp;[8101|00012161]"/>
            <x15:cachedUniqueName index="305" name="[FactPayment].[CaseKey].&amp;[8101|00012176]"/>
            <x15:cachedUniqueName index="306" name="[FactPayment].[CaseKey].&amp;[8101|00012192]"/>
            <x15:cachedUniqueName index="307" name="[FactPayment].[CaseKey].&amp;[8101|00012206]"/>
            <x15:cachedUniqueName index="308" name="[FactPayment].[CaseKey].&amp;[8101|00012216]"/>
            <x15:cachedUniqueName index="309" name="[FactPayment].[CaseKey].&amp;[8101|00012221]"/>
            <x15:cachedUniqueName index="310" name="[FactPayment].[CaseKey].&amp;[8101|00012230]"/>
            <x15:cachedUniqueName index="311" name="[FactPayment].[CaseKey].&amp;[8101|00012248]"/>
            <x15:cachedUniqueName index="312" name="[FactPayment].[CaseKey].&amp;[8101|00012258]"/>
            <x15:cachedUniqueName index="313" name="[FactPayment].[CaseKey].&amp;[8101|00012266]"/>
            <x15:cachedUniqueName index="314" name="[FactPayment].[CaseKey].&amp;[8101|00012274]"/>
            <x15:cachedUniqueName index="315" name="[FactPayment].[CaseKey].&amp;[8101|00012285]"/>
            <x15:cachedUniqueName index="316" name="[FactPayment].[CaseKey].&amp;[8101|00012295]"/>
            <x15:cachedUniqueName index="317" name="[FactPayment].[CaseKey].&amp;[8101|00012306]"/>
            <x15:cachedUniqueName index="318" name="[FactPayment].[CaseKey].&amp;[8101|00012315]"/>
            <x15:cachedUniqueName index="319" name="[FactPayment].[CaseKey].&amp;[8101|00012321]"/>
            <x15:cachedUniqueName index="320" name="[FactPayment].[CaseKey].&amp;[8101|00012334]"/>
            <x15:cachedUniqueName index="321" name="[FactPayment].[CaseKey].&amp;[8101|00012343]"/>
            <x15:cachedUniqueName index="322" name="[FactPayment].[CaseKey].&amp;[8101|00012356]"/>
            <x15:cachedUniqueName index="323" name="[FactPayment].[CaseKey].&amp;[8101|00012361]"/>
            <x15:cachedUniqueName index="324" name="[FactPayment].[CaseKey].&amp;[8101|00012372]"/>
            <x15:cachedUniqueName index="325" name="[FactPayment].[CaseKey].&amp;[8101|00012385]"/>
            <x15:cachedUniqueName index="326" name="[FactPayment].[CaseKey].&amp;[8101|00012391]"/>
            <x15:cachedUniqueName index="327" name="[FactPayment].[CaseKey].&amp;[8101|00012400]"/>
            <x15:cachedUniqueName index="328" name="[FactPayment].[CaseKey].&amp;[8101|00012411]"/>
            <x15:cachedUniqueName index="329" name="[FactPayment].[CaseKey].&amp;[8101|00012420]"/>
            <x15:cachedUniqueName index="330" name="[FactPayment].[CaseKey].&amp;[8101|00012434]"/>
            <x15:cachedUniqueName index="331" name="[FactPayment].[CaseKey].&amp;[8101|00012445]"/>
            <x15:cachedUniqueName index="332" name="[FactPayment].[CaseKey].&amp;[8101|00012451]"/>
            <x15:cachedUniqueName index="333" name="[FactPayment].[CaseKey].&amp;[8101|00012461]"/>
            <x15:cachedUniqueName index="334" name="[FactPayment].[CaseKey].&amp;[8101|00012478]"/>
            <x15:cachedUniqueName index="335" name="[FactPayment].[CaseKey].&amp;[8101|00012483]"/>
            <x15:cachedUniqueName index="336" name="[FactPayment].[CaseKey].&amp;[8101|00012490]"/>
            <x15:cachedUniqueName index="337" name="[FactPayment].[CaseKey].&amp;[8101|00012503]"/>
            <x15:cachedUniqueName index="338" name="[FactPayment].[CaseKey].&amp;[8101|00012511]"/>
            <x15:cachedUniqueName index="339" name="[FactPayment].[CaseKey].&amp;[8101|00012524]"/>
            <x15:cachedUniqueName index="340" name="[FactPayment].[CaseKey].&amp;[8101|00012542]"/>
            <x15:cachedUniqueName index="341" name="[FactPayment].[CaseKey].&amp;[8101|00012561]"/>
            <x15:cachedUniqueName index="342" name="[FactPayment].[CaseKey].&amp;[8101|00012574]"/>
            <x15:cachedUniqueName index="343" name="[FactPayment].[CaseKey].&amp;[8101|00012587]"/>
            <x15:cachedUniqueName index="344" name="[FactPayment].[CaseKey].&amp;[8101|00012598]"/>
            <x15:cachedUniqueName index="345" name="[FactPayment].[CaseKey].&amp;[8101|00012608]"/>
            <x15:cachedUniqueName index="346" name="[FactPayment].[CaseKey].&amp;[8101|00012618]"/>
            <x15:cachedUniqueName index="347" name="[FactPayment].[CaseKey].&amp;[8101|00012628]"/>
            <x15:cachedUniqueName index="348" name="[FactPayment].[CaseKey].&amp;[8101|00012631]"/>
            <x15:cachedUniqueName index="349" name="[FactPayment].[CaseKey].&amp;[8101|00012648]"/>
            <x15:cachedUniqueName index="350" name="[FactPayment].[CaseKey].&amp;[8101|00012651]"/>
            <x15:cachedUniqueName index="351" name="[FactPayment].[CaseKey].&amp;[8101|00012665]"/>
            <x15:cachedUniqueName index="352" name="[FactPayment].[CaseKey].&amp;[8101|00012678]"/>
            <x15:cachedUniqueName index="353" name="[FactPayment].[CaseKey].&amp;[8101|00012680]"/>
            <x15:cachedUniqueName index="354" name="[FactPayment].[CaseKey].&amp;[8101|00012697]"/>
            <x15:cachedUniqueName index="355" name="[FactPayment].[CaseKey].&amp;[8101|00012702]"/>
            <x15:cachedUniqueName index="356" name="[FactPayment].[CaseKey].&amp;[8101|00012711]"/>
            <x15:cachedUniqueName index="357" name="[FactPayment].[CaseKey].&amp;[8101|00012724]"/>
            <x15:cachedUniqueName index="358" name="[FactPayment].[CaseKey].&amp;[8101|00012737]"/>
            <x15:cachedUniqueName index="359" name="[FactPayment].[CaseKey].&amp;[8101|00012748]"/>
            <x15:cachedUniqueName index="360" name="[FactPayment].[CaseKey].&amp;[8101|00012752]"/>
            <x15:cachedUniqueName index="361" name="[FactPayment].[CaseKey].&amp;[8101|00012761]"/>
            <x15:cachedUniqueName index="362" name="[FactPayment].[CaseKey].&amp;[8101|00012770]"/>
            <x15:cachedUniqueName index="363" name="[FactPayment].[CaseKey].&amp;[8101|00012792]"/>
            <x15:cachedUniqueName index="364" name="[FactPayment].[CaseKey].&amp;[8101|00012803]"/>
            <x15:cachedUniqueName index="365" name="[FactPayment].[CaseKey].&amp;[8101|00012810]"/>
            <x15:cachedUniqueName index="366" name="[FactPayment].[CaseKey].&amp;[8101|00012824]"/>
            <x15:cachedUniqueName index="367" name="[FactPayment].[CaseKey].&amp;[8101|00012833]"/>
            <x15:cachedUniqueName index="368" name="[FactPayment].[CaseKey].&amp;[8101|00012840]"/>
            <x15:cachedUniqueName index="369" name="[FactPayment].[CaseKey].&amp;[8101|00012852]"/>
            <x15:cachedUniqueName index="370" name="[FactPayment].[CaseKey].&amp;[8101|00012867]"/>
            <x15:cachedUniqueName index="371" name="[FactPayment].[CaseKey].&amp;[8101|00012878]"/>
            <x15:cachedUniqueName index="372" name="[FactPayment].[CaseKey].&amp;[8101|00012887]"/>
            <x15:cachedUniqueName index="373" name="[FactPayment].[CaseKey].&amp;[8101|00012893]"/>
            <x15:cachedUniqueName index="374" name="[FactPayment].[CaseKey].&amp;[8101|00012905]"/>
            <x15:cachedUniqueName index="375" name="[FactPayment].[CaseKey].&amp;[8101|00012914]"/>
            <x15:cachedUniqueName index="376" name="[FactPayment].[CaseKey].&amp;[8101|00012927]"/>
            <x15:cachedUniqueName index="377" name="[FactPayment].[CaseKey].&amp;[8101|00012934]"/>
            <x15:cachedUniqueName index="378" name="[FactPayment].[CaseKey].&amp;[8101|00012945]"/>
            <x15:cachedUniqueName index="379" name="[FactPayment].[CaseKey].&amp;[8101|00012957]"/>
            <x15:cachedUniqueName index="380" name="[FactPayment].[CaseKey].&amp;[8101|00012962]"/>
            <x15:cachedUniqueName index="381" name="[FactPayment].[CaseKey].&amp;[8101|00012977]"/>
            <x15:cachedUniqueName index="382" name="[FactPayment].[CaseKey].&amp;[8101|00012987]"/>
            <x15:cachedUniqueName index="383" name="[FactPayment].[CaseKey].&amp;[8101|00012998]"/>
            <x15:cachedUniqueName index="384" name="[FactPayment].[CaseKey].&amp;[8101|00013001]"/>
            <x15:cachedUniqueName index="385" name="[FactPayment].[CaseKey].&amp;[8101|00013013]"/>
            <x15:cachedUniqueName index="386" name="[FactPayment].[CaseKey].&amp;[8101|00013027]"/>
            <x15:cachedUniqueName index="387" name="[FactPayment].[CaseKey].&amp;[8101|00013033]"/>
            <x15:cachedUniqueName index="388" name="[FactPayment].[CaseKey].&amp;[8101|00013040]"/>
            <x15:cachedUniqueName index="389" name="[FactPayment].[CaseKey].&amp;[8101|00013051]"/>
            <x15:cachedUniqueName index="390" name="[FactPayment].[CaseKey].&amp;[8101|00013068]"/>
            <x15:cachedUniqueName index="391" name="[FactPayment].[CaseKey].&amp;[8101|00013074]"/>
            <x15:cachedUniqueName index="392" name="[FactPayment].[CaseKey].&amp;[8101|00013082]"/>
            <x15:cachedUniqueName index="393" name="[FactPayment].[CaseKey].&amp;[8101|00013092]"/>
            <x15:cachedUniqueName index="394" name="[FactPayment].[CaseKey].&amp;[8101|00013106]"/>
            <x15:cachedUniqueName index="395" name="[FactPayment].[CaseKey].&amp;[8101|00013112]"/>
            <x15:cachedUniqueName index="396" name="[FactPayment].[CaseKey].&amp;[8101|00013125]"/>
            <x15:cachedUniqueName index="397" name="[FactPayment].[CaseKey].&amp;[8101|00013136]"/>
            <x15:cachedUniqueName index="398" name="[FactPayment].[CaseKey].&amp;[8101|00013157]"/>
            <x15:cachedUniqueName index="399" name="[FactPayment].[CaseKey].&amp;[8101|00013165]"/>
            <x15:cachedUniqueName index="400" name="[FactPayment].[CaseKey].&amp;[8101|00013177]"/>
            <x15:cachedUniqueName index="401" name="[FactPayment].[CaseKey].&amp;[8101|00013184]"/>
            <x15:cachedUniqueName index="402" name="[FactPayment].[CaseKey].&amp;[8101|00013190]"/>
            <x15:cachedUniqueName index="403" name="[FactPayment].[CaseKey].&amp;[8101|00013207]"/>
            <x15:cachedUniqueName index="404" name="[FactPayment].[CaseKey].&amp;[8101|00013213]"/>
            <x15:cachedUniqueName index="405" name="[FactPayment].[CaseKey].&amp;[8101|00013220]"/>
            <x15:cachedUniqueName index="406" name="[FactPayment].[CaseKey].&amp;[8101|00013238]"/>
            <x15:cachedUniqueName index="407" name="[FactPayment].[CaseKey].&amp;[8101|00013241]"/>
            <x15:cachedUniqueName index="408" name="[FactPayment].[CaseKey].&amp;[8101|00013251]"/>
            <x15:cachedUniqueName index="409" name="[FactPayment].[CaseKey].&amp;[8101|00013265]"/>
            <x15:cachedUniqueName index="410" name="[FactPayment].[CaseKey].&amp;[8101|00013271]"/>
            <x15:cachedUniqueName index="411" name="[FactPayment].[CaseKey].&amp;[8101|00013282]"/>
            <x15:cachedUniqueName index="412" name="[FactPayment].[CaseKey].&amp;[8101|00013305]"/>
            <x15:cachedUniqueName index="413" name="[FactPayment].[CaseKey].&amp;[8101|00013317]"/>
            <x15:cachedUniqueName index="414" name="[FactPayment].[CaseKey].&amp;[8101|00013322]"/>
            <x15:cachedUniqueName index="415" name="[FactPayment].[CaseKey].&amp;[8101|00013334]"/>
            <x15:cachedUniqueName index="416" name="[FactPayment].[CaseKey].&amp;[8101|00013347]"/>
            <x15:cachedUniqueName index="417" name="[FactPayment].[CaseKey].&amp;[8101|00013357]"/>
            <x15:cachedUniqueName index="418" name="[FactPayment].[CaseKey].&amp;[8101|00013365]"/>
            <x15:cachedUniqueName index="419" name="[FactPayment].[CaseKey].&amp;[8101|00013372]"/>
            <x15:cachedUniqueName index="420" name="[FactPayment].[CaseKey].&amp;[8101|00013387]"/>
            <x15:cachedUniqueName index="421" name="[FactPayment].[CaseKey].&amp;[8101|00013395]"/>
            <x15:cachedUniqueName index="422" name="[FactPayment].[CaseKey].&amp;[8101|00013406]"/>
            <x15:cachedUniqueName index="423" name="[FactPayment].[CaseKey].&amp;[8101|00013412]"/>
            <x15:cachedUniqueName index="424" name="[FactPayment].[CaseKey].&amp;[8101|00013425]"/>
            <x15:cachedUniqueName index="425" name="[FactPayment].[CaseKey].&amp;[8101|00013431]"/>
            <x15:cachedUniqueName index="426" name="[FactPayment].[CaseKey].&amp;[8101|00013445]"/>
            <x15:cachedUniqueName index="427" name="[FactPayment].[CaseKey].&amp;[8101|00013457]"/>
            <x15:cachedUniqueName index="428" name="[FactPayment].[CaseKey].&amp;[8101|00013461]"/>
            <x15:cachedUniqueName index="429" name="[FactPayment].[CaseKey].&amp;[8101|00013473]"/>
            <x15:cachedUniqueName index="430" name="[FactPayment].[CaseKey].&amp;[8101|00013496]"/>
            <x15:cachedUniqueName index="431" name="[FactPayment].[CaseKey].&amp;[8101|00013500]"/>
            <x15:cachedUniqueName index="432" name="[FactPayment].[CaseKey].&amp;[8101|00013516]"/>
            <x15:cachedUniqueName index="433" name="[FactPayment].[CaseKey].&amp;[8101|00013524]"/>
            <x15:cachedUniqueName index="434" name="[FactPayment].[CaseKey].&amp;[8101|00013534]"/>
            <x15:cachedUniqueName index="435" name="[FactPayment].[CaseKey].&amp;[8101|00013547]"/>
            <x15:cachedUniqueName index="436" name="[FactPayment].[CaseKey].&amp;[8101|00013558]"/>
            <x15:cachedUniqueName index="437" name="[FactPayment].[CaseKey].&amp;[8101|00013565]"/>
            <x15:cachedUniqueName index="438" name="[FactPayment].[CaseKey].&amp;[8101|00013573]"/>
            <x15:cachedUniqueName index="439" name="[FactPayment].[CaseKey].&amp;[8101|00013583]"/>
            <x15:cachedUniqueName index="440" name="[FactPayment].[CaseKey].&amp;[8101|00013598]"/>
            <x15:cachedUniqueName index="441" name="[FactPayment].[CaseKey].&amp;[8101|00013600]"/>
            <x15:cachedUniqueName index="442" name="[FactPayment].[CaseKey].&amp;[8101|00013636]"/>
            <x15:cachedUniqueName index="443" name="[FactPayment].[CaseKey].&amp;[8101|00013655]"/>
            <x15:cachedUniqueName index="444" name="[FactPayment].[CaseKey].&amp;[8101|00013666]"/>
            <x15:cachedUniqueName index="445" name="[FactPayment].[CaseKey].&amp;[8101|00013671]"/>
            <x15:cachedUniqueName index="446" name="[FactPayment].[CaseKey].&amp;[8101|00013680]"/>
            <x15:cachedUniqueName index="447" name="[FactPayment].[CaseKey].&amp;[8101|00013698]"/>
            <x15:cachedUniqueName index="448" name="[FactPayment].[CaseKey].&amp;[8101|00013704]"/>
            <x15:cachedUniqueName index="449" name="[FactPayment].[CaseKey].&amp;[8101|00013710]"/>
            <x15:cachedUniqueName index="450" name="[FactPayment].[CaseKey].&amp;[8101|00013720]"/>
            <x15:cachedUniqueName index="451" name="[FactPayment].[CaseKey].&amp;[8101|00013731]"/>
            <x15:cachedUniqueName index="452" name="[FactPayment].[CaseKey].&amp;[8101|00013744]"/>
            <x15:cachedUniqueName index="453" name="[FactPayment].[CaseKey].&amp;[8101|00013755]"/>
            <x15:cachedUniqueName index="454" name="[FactPayment].[CaseKey].&amp;[8101|00013763]"/>
            <x15:cachedUniqueName index="455" name="[FactPayment].[CaseKey].&amp;[8101|00013771]"/>
            <x15:cachedUniqueName index="456" name="[FactPayment].[CaseKey].&amp;[8101|00013783]"/>
            <x15:cachedUniqueName index="457" name="[FactPayment].[CaseKey].&amp;[8101|00013795]"/>
            <x15:cachedUniqueName index="458" name="[FactPayment].[CaseKey].&amp;[8101|00013802]"/>
            <x15:cachedUniqueName index="459" name="[FactPayment].[CaseKey].&amp;[8101|00013813]"/>
            <x15:cachedUniqueName index="460" name="[FactPayment].[CaseKey].&amp;[8101|00013825]"/>
            <x15:cachedUniqueName index="461" name="[FactPayment].[CaseKey].&amp;[8101|00013834]"/>
            <x15:cachedUniqueName index="462" name="[FactPayment].[CaseKey].&amp;[8101|00013848]"/>
            <x15:cachedUniqueName index="463" name="[FactPayment].[CaseKey].&amp;[8101|00013852]"/>
            <x15:cachedUniqueName index="464" name="[FactPayment].[CaseKey].&amp;[8101|00013862]"/>
            <x15:cachedUniqueName index="465" name="[FactPayment].[CaseKey].&amp;[8101|00013880]"/>
            <x15:cachedUniqueName index="466" name="[FactPayment].[CaseKey].&amp;[8101|00013894]"/>
            <x15:cachedUniqueName index="467" name="[FactPayment].[CaseKey].&amp;[8101|00013901]"/>
            <x15:cachedUniqueName index="468" name="[FactPayment].[CaseKey].&amp;[8101|00013910]"/>
            <x15:cachedUniqueName index="469" name="[FactPayment].[CaseKey].&amp;[8101|00013923]"/>
            <x15:cachedUniqueName index="470" name="[FactPayment].[CaseKey].&amp;[8101|00013935]"/>
            <x15:cachedUniqueName index="471" name="[FactPayment].[CaseKey].&amp;[8101|00013941]"/>
            <x15:cachedUniqueName index="472" name="[FactPayment].[CaseKey].&amp;[8101|00013952]"/>
            <x15:cachedUniqueName index="473" name="[FactPayment].[CaseKey].&amp;[8101|00013965]"/>
            <x15:cachedUniqueName index="474" name="[FactPayment].[CaseKey].&amp;[8101|00013972]"/>
            <x15:cachedUniqueName index="475" name="[FactPayment].[CaseKey].&amp;[8101|00013988]"/>
            <x15:cachedUniqueName index="476" name="[FactPayment].[CaseKey].&amp;[8101|00013990]"/>
            <x15:cachedUniqueName index="477" name="[FactPayment].[CaseKey].&amp;[8101|00014002]"/>
            <x15:cachedUniqueName index="478" name="[FactPayment].[CaseKey].&amp;[8101|00014012]"/>
            <x15:cachedUniqueName index="479" name="[FactPayment].[CaseKey].&amp;[8101|00014022]"/>
            <x15:cachedUniqueName index="480" name="[FactPayment].[CaseKey].&amp;[8101|00014030]"/>
            <x15:cachedUniqueName index="481" name="[FactPayment].[CaseKey].&amp;[8101|00014041]"/>
            <x15:cachedUniqueName index="482" name="[FactPayment].[CaseKey].&amp;[8101|00014054]"/>
            <x15:cachedUniqueName index="483" name="[FactPayment].[CaseKey].&amp;[8101|00014066]"/>
            <x15:cachedUniqueName index="484" name="[FactPayment].[CaseKey].&amp;[8101|00014074]"/>
            <x15:cachedUniqueName index="485" name="[FactPayment].[CaseKey].&amp;[8101|00014080]"/>
            <x15:cachedUniqueName index="486" name="[FactPayment].[CaseKey].&amp;[8101|00014096]"/>
            <x15:cachedUniqueName index="487" name="[FactPayment].[CaseKey].&amp;[8101|00014100]"/>
            <x15:cachedUniqueName index="488" name="[FactPayment].[CaseKey].&amp;[8101|00014114]"/>
            <x15:cachedUniqueName index="489" name="[FactPayment].[CaseKey].&amp;[8101|00014131]"/>
            <x15:cachedUniqueName index="490" name="[FactPayment].[CaseKey].&amp;[8101|00014155]"/>
            <x15:cachedUniqueName index="491" name="[FactPayment].[CaseKey].&amp;[8101|00014175]"/>
            <x15:cachedUniqueName index="492" name="[FactPayment].[CaseKey].&amp;[8101|00014187]"/>
            <x15:cachedUniqueName index="493" name="[FactPayment].[CaseKey].&amp;[8101|00014196]"/>
            <x15:cachedUniqueName index="494" name="[FactPayment].[CaseKey].&amp;[8101|00014204]"/>
            <x15:cachedUniqueName index="495" name="[FactPayment].[CaseKey].&amp;[8101|00014210]"/>
            <x15:cachedUniqueName index="496" name="[FactPayment].[CaseKey].&amp;[8101|00014226]"/>
            <x15:cachedUniqueName index="497" name="[FactPayment].[CaseKey].&amp;[8101|00014233]"/>
            <x15:cachedUniqueName index="498" name="[FactPayment].[CaseKey].&amp;[8101|00014244]"/>
            <x15:cachedUniqueName index="499" name="[FactPayment].[CaseKey].&amp;[8101|00014252]"/>
            <x15:cachedUniqueName index="500" name="[FactPayment].[CaseKey].&amp;[8101|00014268]"/>
            <x15:cachedUniqueName index="501" name="[FactPayment].[CaseKey].&amp;[8101|00014275]"/>
            <x15:cachedUniqueName index="502" name="[FactPayment].[CaseKey].&amp;[8101|00014284]"/>
            <x15:cachedUniqueName index="503" name="[FactPayment].[CaseKey].&amp;[8101|00014293]"/>
            <x15:cachedUniqueName index="504" name="[FactPayment].[CaseKey].&amp;[8101|00014300]"/>
            <x15:cachedUniqueName index="505" name="[FactPayment].[CaseKey].&amp;[8101|00014312]"/>
            <x15:cachedUniqueName index="506" name="[FactPayment].[CaseKey].&amp;[8101|00014323]"/>
            <x15:cachedUniqueName index="507" name="[FactPayment].[CaseKey].&amp;[8101|00014330]"/>
            <x15:cachedUniqueName index="508" name="[FactPayment].[CaseKey].&amp;[8101|00014346]"/>
            <x15:cachedUniqueName index="509" name="[FactPayment].[CaseKey].&amp;[8101|00014356]"/>
            <x15:cachedUniqueName index="510" name="[FactPayment].[CaseKey].&amp;[8101|00014366]"/>
            <x15:cachedUniqueName index="511" name="[FactPayment].[CaseKey].&amp;[8101|00014372]"/>
            <x15:cachedUniqueName index="512" name="[FactPayment].[CaseKey].&amp;[8101|00014387]"/>
            <x15:cachedUniqueName index="513" name="[FactPayment].[CaseKey].&amp;[8101|00014390]"/>
            <x15:cachedUniqueName index="514" name="[FactPayment].[CaseKey].&amp;[8101|00014405]"/>
            <x15:cachedUniqueName index="515" name="[FactPayment].[CaseKey].&amp;[8101|00014410]"/>
            <x15:cachedUniqueName index="516" name="[FactPayment].[CaseKey].&amp;[8101|00014420]"/>
            <x15:cachedUniqueName index="517" name="[FactPayment].[CaseKey].&amp;[8101|00014431]"/>
            <x15:cachedUniqueName index="518" name="[FactPayment].[CaseKey].&amp;[8101|00014446]"/>
            <x15:cachedUniqueName index="519" name="[FactPayment].[CaseKey].&amp;[8101|00014455]"/>
            <x15:cachedUniqueName index="520" name="[FactPayment].[CaseKey].&amp;[8101|00014465]"/>
            <x15:cachedUniqueName index="521" name="[FactPayment].[CaseKey].&amp;[8101|00014475]"/>
            <x15:cachedUniqueName index="522" name="[FactPayment].[CaseKey].&amp;[8101|00014481]"/>
            <x15:cachedUniqueName index="523" name="[FactPayment].[CaseKey].&amp;[8101|00014497]"/>
            <x15:cachedUniqueName index="524" name="[FactPayment].[CaseKey].&amp;[8101|00014506]"/>
            <x15:cachedUniqueName index="525" name="[FactPayment].[CaseKey].&amp;[8101|00014517]"/>
            <x15:cachedUniqueName index="526" name="[FactPayment].[CaseKey].&amp;[8101|00014520]"/>
            <x15:cachedUniqueName index="527" name="[FactPayment].[CaseKey].&amp;[8101|00014536]"/>
            <x15:cachedUniqueName index="528" name="[FactPayment].[CaseKey].&amp;[8101|00014546]"/>
            <x15:cachedUniqueName index="529" name="[FactPayment].[CaseKey].&amp;[8101|00014557]"/>
            <x15:cachedUniqueName index="530" name="[FactPayment].[CaseKey].&amp;[8101|00014562]"/>
            <x15:cachedUniqueName index="531" name="[FactPayment].[CaseKey].&amp;[8101|00014570]"/>
            <x15:cachedUniqueName index="532" name="[FactPayment].[CaseKey].&amp;[8101|00014584]"/>
            <x15:cachedUniqueName index="533" name="[FactPayment].[CaseKey].&amp;[8101|00014591]"/>
            <x15:cachedUniqueName index="534" name="[FactPayment].[CaseKey].&amp;[8101|00014602]"/>
            <x15:cachedUniqueName index="535" name="[FactPayment].[CaseKey].&amp;[8101|00014614]"/>
            <x15:cachedUniqueName index="536" name="[FactPayment].[CaseKey].&amp;[8101|00014628]"/>
            <x15:cachedUniqueName index="537" name="[FactPayment].[CaseKey].&amp;[8101|00014641]"/>
            <x15:cachedUniqueName index="538" name="[FactPayment].[CaseKey].&amp;[8101|00014655]"/>
            <x15:cachedUniqueName index="539" name="[FactPayment].[CaseKey].&amp;[8101|00014662]"/>
            <x15:cachedUniqueName index="540" name="[FactPayment].[CaseKey].&amp;[8101|00014672]"/>
            <x15:cachedUniqueName index="541" name="[FactPayment].[CaseKey].&amp;[8101|00014687]"/>
            <x15:cachedUniqueName index="542" name="[FactPayment].[CaseKey].&amp;[8101|00014698]"/>
            <x15:cachedUniqueName index="543" name="[FactPayment].[CaseKey].&amp;[8101|00014701]"/>
            <x15:cachedUniqueName index="544" name="[FactPayment].[CaseKey].&amp;[8101|00014714]"/>
            <x15:cachedUniqueName index="545" name="[FactPayment].[CaseKey].&amp;[8101|00014728]"/>
            <x15:cachedUniqueName index="546" name="[FactPayment].[CaseKey].&amp;[8101|00014735]"/>
            <x15:cachedUniqueName index="547" name="[FactPayment].[CaseKey].&amp;[8101|00014744]"/>
            <x15:cachedUniqueName index="548" name="[FactPayment].[CaseKey].&amp;[8101|00014752]"/>
            <x15:cachedUniqueName index="549" name="[FactPayment].[CaseKey].&amp;[8101|00014765]"/>
            <x15:cachedUniqueName index="550" name="[FactPayment].[CaseKey].&amp;[8101|00014777]"/>
            <x15:cachedUniqueName index="551" name="[FactPayment].[CaseKey].&amp;[8101|00014781]"/>
            <x15:cachedUniqueName index="552" name="[FactPayment].[CaseKey].&amp;[8101|00014791]"/>
            <x15:cachedUniqueName index="553" name="[FactPayment].[CaseKey].&amp;[8101|00014802]"/>
            <x15:cachedUniqueName index="554" name="[FactPayment].[CaseKey].&amp;[8101|00014812]"/>
            <x15:cachedUniqueName index="555" name="[FactPayment].[CaseKey].&amp;[8101|00014824]"/>
            <x15:cachedUniqueName index="556" name="[FactPayment].[CaseKey].&amp;[8101|00014830]"/>
            <x15:cachedUniqueName index="557" name="[FactPayment].[CaseKey].&amp;[8101|00014843]"/>
            <x15:cachedUniqueName index="558" name="[FactPayment].[CaseKey].&amp;[8101|00014850]"/>
            <x15:cachedUniqueName index="559" name="[FactPayment].[CaseKey].&amp;[8101|00014867]"/>
            <x15:cachedUniqueName index="560" name="[FactPayment].[CaseKey].&amp;[8101|00014875]"/>
            <x15:cachedUniqueName index="561" name="[FactPayment].[CaseKey].&amp;[8101|00014881]"/>
            <x15:cachedUniqueName index="562" name="[FactPayment].[CaseKey].&amp;[8101|00014896]"/>
            <x15:cachedUniqueName index="563" name="[FactPayment].[CaseKey].&amp;[8101|00014900]"/>
            <x15:cachedUniqueName index="564" name="[FactPayment].[CaseKey].&amp;[8101|00014910]"/>
            <x15:cachedUniqueName index="565" name="[FactPayment].[CaseKey].&amp;[8101|00014925]"/>
            <x15:cachedUniqueName index="566" name="[FactPayment].[CaseKey].&amp;[8101|00014934]"/>
            <x15:cachedUniqueName index="567" name="[FactPayment].[CaseKey].&amp;[8101|00014945]"/>
            <x15:cachedUniqueName index="568" name="[FactPayment].[CaseKey].&amp;[8101|00014950]"/>
            <x15:cachedUniqueName index="569" name="[FactPayment].[CaseKey].&amp;[8101|00014960]"/>
            <x15:cachedUniqueName index="570" name="[FactPayment].[CaseKey].&amp;[8101|00014977]"/>
            <x15:cachedUniqueName index="571" name="[FactPayment].[CaseKey].&amp;[8101|00014987]"/>
            <x15:cachedUniqueName index="572" name="[FactPayment].[CaseKey].&amp;[8101|00014998]"/>
            <x15:cachedUniqueName index="573" name="[FactPayment].[CaseKey].&amp;[8101|00015005]"/>
            <x15:cachedUniqueName index="574" name="[FactPayment].[CaseKey].&amp;[8101|00015024]"/>
            <x15:cachedUniqueName index="575" name="[FactPayment].[CaseKey].&amp;[8101|00015037]"/>
            <x15:cachedUniqueName index="576" name="[FactPayment].[CaseKey].&amp;[8101|00015041]"/>
            <x15:cachedUniqueName index="577" name="[FactPayment].[CaseKey].&amp;[8101|00015055]"/>
            <x15:cachedUniqueName index="578" name="[FactPayment].[CaseKey].&amp;[8101|00015061]"/>
            <x15:cachedUniqueName index="579" name="[FactPayment].[CaseKey].&amp;[8101|00015071]"/>
            <x15:cachedUniqueName index="580" name="[FactPayment].[CaseKey].&amp;[8101|00015084]"/>
            <x15:cachedUniqueName index="581" name="[FactPayment].[CaseKey].&amp;[8101|00015092]"/>
            <x15:cachedUniqueName index="582" name="[FactPayment].[CaseKey].&amp;[8101|00015100]"/>
            <x15:cachedUniqueName index="583" name="[FactPayment].[CaseKey].&amp;[8101|00015111]"/>
            <x15:cachedUniqueName index="584" name="[FactPayment].[CaseKey].&amp;[8101|00015125]"/>
            <x15:cachedUniqueName index="585" name="[FactPayment].[CaseKey].&amp;[8101|00015134]"/>
            <x15:cachedUniqueName index="586" name="[FactPayment].[CaseKey].&amp;[8101|00015150]"/>
            <x15:cachedUniqueName index="587" name="[FactPayment].[CaseKey].&amp;[8101|00015165]"/>
            <x15:cachedUniqueName index="588" name="[FactPayment].[CaseKey].&amp;[8101|00015171]"/>
            <x15:cachedUniqueName index="589" name="[FactPayment].[CaseKey].&amp;[8101|00015182]"/>
            <x15:cachedUniqueName index="590" name="[FactPayment].[CaseKey].&amp;[8101|00015191]"/>
            <x15:cachedUniqueName index="591" name="[FactPayment].[CaseKey].&amp;[8101|00015205]"/>
            <x15:cachedUniqueName index="592" name="[FactPayment].[CaseKey].&amp;[8101|00015215]"/>
            <x15:cachedUniqueName index="593" name="[FactPayment].[CaseKey].&amp;[8101|00015221]"/>
            <x15:cachedUniqueName index="594" name="[FactPayment].[CaseKey].&amp;[8101|00015236]"/>
            <x15:cachedUniqueName index="595" name="[FactPayment].[CaseKey].&amp;[8101|00015248]"/>
            <x15:cachedUniqueName index="596" name="[FactPayment].[CaseKey].&amp;[8101|00015257]"/>
            <x15:cachedUniqueName index="597" name="[FactPayment].[CaseKey].&amp;[8101|00015268]"/>
            <x15:cachedUniqueName index="598" name="[FactPayment].[CaseKey].&amp;[8101|00015288]"/>
            <x15:cachedUniqueName index="599" name="[FactPayment].[CaseKey].&amp;[8101|00015296]"/>
            <x15:cachedUniqueName index="600" name="[FactPayment].[CaseKey].&amp;[8101|00015304]"/>
            <x15:cachedUniqueName index="601" name="[FactPayment].[CaseKey].&amp;[8101|00015310]"/>
            <x15:cachedUniqueName index="602" name="[FactPayment].[CaseKey].&amp;[8101|00015327]"/>
            <x15:cachedUniqueName index="603" name="[FactPayment].[CaseKey].&amp;[8101|00015332]"/>
            <x15:cachedUniqueName index="604" name="[FactPayment].[CaseKey].&amp;[8101|00015347]"/>
            <x15:cachedUniqueName index="605" name="[FactPayment].[CaseKey].&amp;[8101|00015357]"/>
            <x15:cachedUniqueName index="606" name="[FactPayment].[CaseKey].&amp;[8101|00015368]"/>
            <x15:cachedUniqueName index="607" name="[FactPayment].[CaseKey].&amp;[8101|00015372]"/>
            <x15:cachedUniqueName index="608" name="[FactPayment].[CaseKey].&amp;[8101|00015381]"/>
            <x15:cachedUniqueName index="609" name="[FactPayment].[CaseKey].&amp;[8101|00015390]"/>
            <x15:cachedUniqueName index="610" name="[FactPayment].[CaseKey].&amp;[8101|00015407]"/>
            <x15:cachedUniqueName index="611" name="[FactPayment].[CaseKey].&amp;[8101|00015410]"/>
            <x15:cachedUniqueName index="612" name="[FactPayment].[CaseKey].&amp;[8101|00015426]"/>
            <x15:cachedUniqueName index="613" name="[FactPayment].[CaseKey].&amp;[8101|00015434]"/>
            <x15:cachedUniqueName index="614" name="[FactPayment].[CaseKey].&amp;[8101|00015440]"/>
            <x15:cachedUniqueName index="615" name="[FactPayment].[CaseKey].&amp;[8101|00015455]"/>
            <x15:cachedUniqueName index="616" name="[FactPayment].[CaseKey].&amp;[8101|00015468]"/>
            <x15:cachedUniqueName index="617" name="[FactPayment].[CaseKey].&amp;[8101|00015477]"/>
            <x15:cachedUniqueName index="618" name="[FactPayment].[CaseKey].&amp;[8101|00015491]"/>
            <x15:cachedUniqueName index="619" name="[FactPayment].[CaseKey].&amp;[8101|00015505]"/>
            <x15:cachedUniqueName index="620" name="[FactPayment].[CaseKey].&amp;[8101|00015513]"/>
            <x15:cachedUniqueName index="621" name="[FactPayment].[CaseKey].&amp;[8101|00015522]"/>
            <x15:cachedUniqueName index="622" name="[FactPayment].[CaseKey].&amp;[8101|00015538]"/>
            <x15:cachedUniqueName index="623" name="[FactPayment].[CaseKey].&amp;[8101|00015545]"/>
            <x15:cachedUniqueName index="624" name="[FactPayment].[CaseKey].&amp;[8101|00015550]"/>
            <x15:cachedUniqueName index="625" name="[FactPayment].[CaseKey].&amp;[8101|00015566]"/>
            <x15:cachedUniqueName index="626" name="[FactPayment].[CaseKey].&amp;[8101|00015573]"/>
            <x15:cachedUniqueName index="627" name="[FactPayment].[CaseKey].&amp;[8101|00015584]"/>
            <x15:cachedUniqueName index="628" name="[FactPayment].[CaseKey].&amp;[8101|00015594]"/>
            <x15:cachedUniqueName index="629" name="[FactPayment].[CaseKey].&amp;[8101|00015600]"/>
            <x15:cachedUniqueName index="630" name="[FactPayment].[CaseKey].&amp;[8101|00015613]"/>
            <x15:cachedUniqueName index="631" name="[FactPayment].[CaseKey].&amp;[8101|00015630]"/>
            <x15:cachedUniqueName index="632" name="[FactPayment].[CaseKey].&amp;[8101|00015644]"/>
            <x15:cachedUniqueName index="633" name="[FactPayment].[CaseKey].&amp;[8101|00015656]"/>
            <x15:cachedUniqueName index="634" name="[FactPayment].[CaseKey].&amp;[8101|00015667]"/>
            <x15:cachedUniqueName index="635" name="[FactPayment].[CaseKey].&amp;[8101|00015675]"/>
            <x15:cachedUniqueName index="636" name="[FactPayment].[CaseKey].&amp;[8101|00015684]"/>
            <x15:cachedUniqueName index="637" name="[FactPayment].[CaseKey].&amp;[8101|00015690]"/>
            <x15:cachedUniqueName index="638" name="[FactPayment].[CaseKey].&amp;[8101|00015708]"/>
            <x15:cachedUniqueName index="639" name="[FactPayment].[CaseKey].&amp;[8101|00015711]"/>
            <x15:cachedUniqueName index="640" name="[FactPayment].[CaseKey].&amp;[8101|00015725]"/>
            <x15:cachedUniqueName index="641" name="[FactPayment].[CaseKey].&amp;[8101|00015731]"/>
            <x15:cachedUniqueName index="642" name="[FactPayment].[CaseKey].&amp;[8101|00015748]"/>
            <x15:cachedUniqueName index="643" name="[FactPayment].[CaseKey].&amp;[8101|00015752]"/>
            <x15:cachedUniqueName index="644" name="[FactPayment].[CaseKey].&amp;[8101|00015764]"/>
            <x15:cachedUniqueName index="645" name="[FactPayment].[CaseKey].&amp;[8101|00015776]"/>
            <x15:cachedUniqueName index="646" name="[FactPayment].[CaseKey].&amp;[8101|00015793]"/>
            <x15:cachedUniqueName index="647" name="[FactPayment].[CaseKey].&amp;[8101|00015800]"/>
            <x15:cachedUniqueName index="648" name="[FactPayment].[CaseKey].&amp;[8101|00015816]"/>
            <x15:cachedUniqueName index="649" name="[FactPayment].[CaseKey].&amp;[8101|00015822]"/>
            <x15:cachedUniqueName index="650" name="[FactPayment].[CaseKey].&amp;[8101|00015835]"/>
            <x15:cachedUniqueName index="651" name="[FactPayment].[CaseKey].&amp;[8101|00015844]"/>
            <x15:cachedUniqueName index="652" name="[FactPayment].[CaseKey].&amp;[8101|00015851]"/>
            <x15:cachedUniqueName index="653" name="[FactPayment].[CaseKey].&amp;[8101|00015860]"/>
            <x15:cachedUniqueName index="654" name="[FactPayment].[CaseKey].&amp;[8101|00015878]"/>
            <x15:cachedUniqueName index="655" name="[FactPayment].[CaseKey].&amp;[8101|00015887]"/>
            <x15:cachedUniqueName index="656" name="[FactPayment].[CaseKey].&amp;[8101|00015892]"/>
            <x15:cachedUniqueName index="657" name="[FactPayment].[CaseKey].&amp;[8101|00015902]"/>
            <x15:cachedUniqueName index="658" name="[FactPayment].[CaseKey].&amp;[8101|00015910]"/>
            <x15:cachedUniqueName index="659" name="[FactPayment].[CaseKey].&amp;[8101|00015920]"/>
            <x15:cachedUniqueName index="660" name="[FactPayment].[CaseKey].&amp;[8101|00015934]"/>
            <x15:cachedUniqueName index="661" name="[FactPayment].[CaseKey].&amp;[8101|00015943]"/>
            <x15:cachedUniqueName index="662" name="[FactPayment].[CaseKey].&amp;[8101|00015957]"/>
            <x15:cachedUniqueName index="663" name="[FactPayment].[CaseKey].&amp;[8101|00015965]"/>
            <x15:cachedUniqueName index="664" name="[FactPayment].[CaseKey].&amp;[8101|00015970]"/>
            <x15:cachedUniqueName index="665" name="[FactPayment].[CaseKey].&amp;[8101|00015988]"/>
            <x15:cachedUniqueName index="666" name="[FactPayment].[CaseKey].&amp;[8101|00015991]"/>
            <x15:cachedUniqueName index="667" name="[FactPayment].[CaseKey].&amp;[8101|00016004]"/>
            <x15:cachedUniqueName index="668" name="[FactPayment].[CaseKey].&amp;[8101|00016018]"/>
            <x15:cachedUniqueName index="669" name="[FactPayment].[CaseKey].&amp;[8101|00016026]"/>
            <x15:cachedUniqueName index="670" name="[FactPayment].[CaseKey].&amp;[8101|00016036]"/>
            <x15:cachedUniqueName index="671" name="[FactPayment].[CaseKey].&amp;[8101|00016040]"/>
            <x15:cachedUniqueName index="672" name="[FactPayment].[CaseKey].&amp;[8101|00016053]"/>
            <x15:cachedUniqueName index="673" name="[FactPayment].[CaseKey].&amp;[8101|00016066]"/>
            <x15:cachedUniqueName index="674" name="[FactPayment].[CaseKey].&amp;[8101|00016075]"/>
            <x15:cachedUniqueName index="675" name="[FactPayment].[CaseKey].&amp;[8101|00016084]"/>
            <x15:cachedUniqueName index="676" name="[FactPayment].[CaseKey].&amp;[8101|00016094]"/>
            <x15:cachedUniqueName index="677" name="[FactPayment].[CaseKey].&amp;[8101|00016101]"/>
            <x15:cachedUniqueName index="678" name="[FactPayment].[CaseKey].&amp;[8101|00016117]"/>
            <x15:cachedUniqueName index="679" name="[FactPayment].[CaseKey].&amp;[8101|00016123]"/>
            <x15:cachedUniqueName index="680" name="[FactPayment].[CaseKey].&amp;[8101|00016131]"/>
            <x15:cachedUniqueName index="681" name="[FactPayment].[CaseKey].&amp;[8101|00016143]"/>
            <x15:cachedUniqueName index="682" name="[FactPayment].[CaseKey].&amp;[8101|00016154]"/>
            <x15:cachedUniqueName index="683" name="[FactPayment].[CaseKey].&amp;[8101|00016164]"/>
            <x15:cachedUniqueName index="684" name="[FactPayment].[CaseKey].&amp;[8101|00016176]"/>
            <x15:cachedUniqueName index="685" name="[FactPayment].[CaseKey].&amp;[8101|00016180]"/>
            <x15:cachedUniqueName index="686" name="[FactPayment].[CaseKey].&amp;[8101|00016191]"/>
            <x15:cachedUniqueName index="687" name="[FactPayment].[CaseKey].&amp;[8101|00016200]"/>
            <x15:cachedUniqueName index="688" name="[FactPayment].[CaseKey].&amp;[8101|00016210]"/>
            <x15:cachedUniqueName index="689" name="[FactPayment].[CaseKey].&amp;[8101|00016221]"/>
            <x15:cachedUniqueName index="690" name="[FactPayment].[CaseKey].&amp;[8101|00016236]"/>
            <x15:cachedUniqueName index="691" name="[FactPayment].[CaseKey].&amp;[8101|00016246]"/>
            <x15:cachedUniqueName index="692" name="[FactPayment].[CaseKey].&amp;[8101|00016255]"/>
            <x15:cachedUniqueName index="693" name="[FactPayment].[CaseKey].&amp;[8101|00016267]"/>
            <x15:cachedUniqueName index="694" name="[FactPayment].[CaseKey].&amp;[8101|00016270]"/>
            <x15:cachedUniqueName index="695" name="[FactPayment].[CaseKey].&amp;[8101|00016288]"/>
            <x15:cachedUniqueName index="696" name="[FactPayment].[CaseKey].&amp;[8101|00016296]"/>
            <x15:cachedUniqueName index="697" name="[FactPayment].[CaseKey].&amp;[8101|00016303]"/>
            <x15:cachedUniqueName index="698" name="[FactPayment].[CaseKey].&amp;[8101|00016318]"/>
            <x15:cachedUniqueName index="699" name="[FactPayment].[CaseKey].&amp;[8101|00016322]"/>
            <x15:cachedUniqueName index="700" name="[FactPayment].[CaseKey].&amp;[8101|00016332]"/>
            <x15:cachedUniqueName index="701" name="[FactPayment].[CaseKey].&amp;[8101|00016347]"/>
            <x15:cachedUniqueName index="702" name="[FactPayment].[CaseKey].&amp;[8101|00016353]"/>
            <x15:cachedUniqueName index="703" name="[FactPayment].[CaseKey].&amp;[8101|00016361]"/>
            <x15:cachedUniqueName index="704" name="[FactPayment].[CaseKey].&amp;[8101|00016377]"/>
            <x15:cachedUniqueName index="705" name="[FactPayment].[CaseKey].&amp;[8101|00016381]"/>
            <x15:cachedUniqueName index="706" name="[FactPayment].[CaseKey].&amp;[8101|00016398]"/>
            <x15:cachedUniqueName index="707" name="[FactPayment].[CaseKey].&amp;[8101|00016404]"/>
            <x15:cachedUniqueName index="708" name="[FactPayment].[CaseKey].&amp;[8101|00016411]"/>
            <x15:cachedUniqueName index="709" name="[FactPayment].[CaseKey].&amp;[8101|00016427]"/>
            <x15:cachedUniqueName index="710" name="[FactPayment].[CaseKey].&amp;[8101|00016437]"/>
            <x15:cachedUniqueName index="711" name="[FactPayment].[CaseKey].&amp;[8101|00016458]"/>
            <x15:cachedUniqueName index="712" name="[FactPayment].[CaseKey].&amp;[8101|00016463]"/>
            <x15:cachedUniqueName index="713" name="[FactPayment].[CaseKey].&amp;[8101|00016476]"/>
            <x15:cachedUniqueName index="714" name="[FactPayment].[CaseKey].&amp;[8101|00016488]"/>
            <x15:cachedUniqueName index="715" name="[FactPayment].[CaseKey].&amp;[8101|00016494]"/>
            <x15:cachedUniqueName index="716" name="[FactPayment].[CaseKey].&amp;[8101|00016504]"/>
            <x15:cachedUniqueName index="717" name="[FactPayment].[CaseKey].&amp;[8101|00016515]"/>
            <x15:cachedUniqueName index="718" name="[FactPayment].[CaseKey].&amp;[8101|00016531]"/>
            <x15:cachedUniqueName index="719" name="[FactPayment].[CaseKey].&amp;[8101|00016544]"/>
            <x15:cachedUniqueName index="720" name="[FactPayment].[CaseKey].&amp;[8101|00016561]"/>
            <x15:cachedUniqueName index="721" name="[FactPayment].[CaseKey].&amp;[8101|00016574]"/>
            <x15:cachedUniqueName index="722" name="[FactPayment].[CaseKey].&amp;[8101|00016585]"/>
            <x15:cachedUniqueName index="723" name="[FactPayment].[CaseKey].&amp;[8101|00016597]"/>
            <x15:cachedUniqueName index="724" name="[FactPayment].[CaseKey].&amp;[8101|00016604]"/>
            <x15:cachedUniqueName index="725" name="[FactPayment].[CaseKey].&amp;[8101|00016617]"/>
            <x15:cachedUniqueName index="726" name="[FactPayment].[CaseKey].&amp;[8101|00016628]"/>
            <x15:cachedUniqueName index="727" name="[FactPayment].[CaseKey].&amp;[8101|00016633]"/>
            <x15:cachedUniqueName index="728" name="[FactPayment].[CaseKey].&amp;[8101|00016642]"/>
            <x15:cachedUniqueName index="729" name="[FactPayment].[CaseKey].&amp;[8101|00016654]"/>
            <x15:cachedUniqueName index="730" name="[FactPayment].[CaseKey].&amp;[8101|00016660]"/>
            <x15:cachedUniqueName index="731" name="[FactPayment].[CaseKey].&amp;[8101|00016675]"/>
            <x15:cachedUniqueName index="732" name="[FactPayment].[CaseKey].&amp;[8101|00016686]"/>
            <x15:cachedUniqueName index="733" name="[FactPayment].[CaseKey].&amp;[8101|00016698]"/>
            <x15:cachedUniqueName index="734" name="[FactPayment].[CaseKey].&amp;[8101|00016705]"/>
            <x15:cachedUniqueName index="735" name="[FactPayment].[CaseKey].&amp;[8101|00016716]"/>
            <x15:cachedUniqueName index="736" name="[FactPayment].[CaseKey].&amp;[8101|00016720]"/>
            <x15:cachedUniqueName index="737" name="[FactPayment].[CaseKey].&amp;[8101|00016732]"/>
            <x15:cachedUniqueName index="738" name="[FactPayment].[CaseKey].&amp;[8101|00016748]"/>
            <x15:cachedUniqueName index="739" name="[FactPayment].[CaseKey].&amp;[8101|00016755]"/>
            <x15:cachedUniqueName index="740" name="[FactPayment].[CaseKey].&amp;[8101|00016765]"/>
            <x15:cachedUniqueName index="741" name="[FactPayment].[CaseKey].&amp;[8101|00016785]"/>
            <x15:cachedUniqueName index="742" name="[FactPayment].[CaseKey].&amp;[8101|00016797]"/>
            <x15:cachedUniqueName index="743" name="[FactPayment].[CaseKey].&amp;[8101|00016805]"/>
            <x15:cachedUniqueName index="744" name="[FactPayment].[CaseKey].&amp;[8101|00016818]"/>
            <x15:cachedUniqueName index="745" name="[FactPayment].[CaseKey].&amp;[8101|00016825]"/>
            <x15:cachedUniqueName index="746" name="[FactPayment].[CaseKey].&amp;[8101|00016834]"/>
            <x15:cachedUniqueName index="747" name="[FactPayment].[CaseKey].&amp;[8101|00016841]"/>
            <x15:cachedUniqueName index="748" name="[FactPayment].[CaseKey].&amp;[8101|00016856]"/>
            <x15:cachedUniqueName index="749" name="[FactPayment].[CaseKey].&amp;[8101|00016865]"/>
            <x15:cachedUniqueName index="750" name="[FactPayment].[CaseKey].&amp;[8101|00016872]"/>
            <x15:cachedUniqueName index="751" name="[FactPayment].[CaseKey].&amp;[8101|00016881]"/>
            <x15:cachedUniqueName index="752" name="[FactPayment].[CaseKey].&amp;[8101|00016895]"/>
            <x15:cachedUniqueName index="753" name="[FactPayment].[CaseKey].&amp;[8101|00016907]"/>
            <x15:cachedUniqueName index="754" name="[FactPayment].[CaseKey].&amp;[8101|00016912]"/>
            <x15:cachedUniqueName index="755" name="[FactPayment].[CaseKey].&amp;[8101|00016924]"/>
            <x15:cachedUniqueName index="756" name="[FactPayment].[CaseKey].&amp;[8101|00016938]"/>
            <x15:cachedUniqueName index="757" name="[FactPayment].[CaseKey].&amp;[8101|00016943]"/>
            <x15:cachedUniqueName index="758" name="[FactPayment].[CaseKey].&amp;[8101|00016956]"/>
            <x15:cachedUniqueName index="759" name="[FactPayment].[CaseKey].&amp;[8101|00016962]"/>
            <x15:cachedUniqueName index="760" name="[FactPayment].[CaseKey].&amp;[8101|00016973]"/>
            <x15:cachedUniqueName index="761" name="[FactPayment].[CaseKey].&amp;[8101|00016984]"/>
            <x15:cachedUniqueName index="762" name="[FactPayment].[CaseKey].&amp;[8101|00016995]"/>
            <x15:cachedUniqueName index="763" name="[FactPayment].[CaseKey].&amp;[8101|00017007]"/>
            <x15:cachedUniqueName index="764" name="[FactPayment].[CaseKey].&amp;[8101|00017014]"/>
            <x15:cachedUniqueName index="765" name="[FactPayment].[CaseKey].&amp;[8101|00017026]"/>
            <x15:cachedUniqueName index="766" name="[FactPayment].[CaseKey].&amp;[8101|00017031]"/>
            <x15:cachedUniqueName index="767" name="[FactPayment].[CaseKey].&amp;[8101|00017046]"/>
            <x15:cachedUniqueName index="768" name="[FactPayment].[CaseKey].&amp;[8101|00017053]"/>
            <x15:cachedUniqueName index="769" name="[FactPayment].[CaseKey].&amp;[8101|00017068]"/>
            <x15:cachedUniqueName index="770" name="[FactPayment].[CaseKey].&amp;[8101|00017076]"/>
            <x15:cachedUniqueName index="771" name="[FactPayment].[CaseKey].&amp;[8101|00017082]"/>
            <x15:cachedUniqueName index="772" name="[FactPayment].[CaseKey].&amp;[8101|00017097]"/>
            <x15:cachedUniqueName index="773" name="[FactPayment].[CaseKey].&amp;[8101|00017105]"/>
            <x15:cachedUniqueName index="774" name="[FactPayment].[CaseKey].&amp;[8101|00017112]"/>
            <x15:cachedUniqueName index="775" name="[FactPayment].[CaseKey].&amp;[8101|00017122]"/>
            <x15:cachedUniqueName index="776" name="[FactPayment].[CaseKey].&amp;[8101|00017132]"/>
            <x15:cachedUniqueName index="777" name="[FactPayment].[CaseKey].&amp;[8101|00017147]"/>
            <x15:cachedUniqueName index="778" name="[FactPayment].[CaseKey].&amp;[8101|00017153]"/>
            <x15:cachedUniqueName index="779" name="[FactPayment].[CaseKey].&amp;[8101|00017165]"/>
            <x15:cachedUniqueName index="780" name="[FactPayment].[CaseKey].&amp;[8101|00017177]"/>
            <x15:cachedUniqueName index="781" name="[FactPayment].[CaseKey].&amp;[8101|00017184]"/>
            <x15:cachedUniqueName index="782" name="[FactPayment].[CaseKey].&amp;[8101|00017198]"/>
            <x15:cachedUniqueName index="783" name="[FactPayment].[CaseKey].&amp;[8101|00017205]"/>
            <x15:cachedUniqueName index="784" name="[FactPayment].[CaseKey].&amp;[8101|00017214]"/>
            <x15:cachedUniqueName index="785" name="[FactPayment].[CaseKey].&amp;[8101|00017224]"/>
            <x15:cachedUniqueName index="786" name="[FactPayment].[CaseKey].&amp;[8101|00017232]"/>
            <x15:cachedUniqueName index="787" name="[FactPayment].[CaseKey].&amp;[8101|00017243]"/>
            <x15:cachedUniqueName index="788" name="[FactPayment].[CaseKey].&amp;[8101|00017254]"/>
            <x15:cachedUniqueName index="789" name="[FactPayment].[CaseKey].&amp;[8101|00017265]"/>
            <x15:cachedUniqueName index="790" name="[FactPayment].[CaseKey].&amp;[8101|00017284]"/>
            <x15:cachedUniqueName index="791" name="[FactPayment].[CaseKey].&amp;[8101|00017290]"/>
            <x15:cachedUniqueName index="792" name="[FactPayment].[CaseKey].&amp;[8101|00017307]"/>
            <x15:cachedUniqueName index="793" name="[FactPayment].[CaseKey].&amp;[8101|00017315]"/>
            <x15:cachedUniqueName index="794" name="[FactPayment].[CaseKey].&amp;[8101|00017324]"/>
            <x15:cachedUniqueName index="795" name="[FactPayment].[CaseKey].&amp;[8101|00017335]"/>
            <x15:cachedUniqueName index="796" name="[FactPayment].[CaseKey].&amp;[8101|00017341]"/>
            <x15:cachedUniqueName index="797" name="[FactPayment].[CaseKey].&amp;[8101|00017352]"/>
            <x15:cachedUniqueName index="798" name="[FactPayment].[CaseKey].&amp;[8101|00017360]"/>
            <x15:cachedUniqueName index="799" name="[FactPayment].[CaseKey].&amp;[8101|00017386]"/>
            <x15:cachedUniqueName index="800" name="[FactPayment].[CaseKey].&amp;[8101|00017395]"/>
            <x15:cachedUniqueName index="801" name="[FactPayment].[CaseKey].&amp;[8101|00017403]"/>
            <x15:cachedUniqueName index="802" name="[FactPayment].[CaseKey].&amp;[8101|00017414]"/>
            <x15:cachedUniqueName index="803" name="[FactPayment].[CaseKey].&amp;[8101|00017425]"/>
            <x15:cachedUniqueName index="804" name="[FactPayment].[CaseKey].&amp;[8101|00017437]"/>
            <x15:cachedUniqueName index="805" name="[FactPayment].[CaseKey].&amp;[8101|00017442]"/>
            <x15:cachedUniqueName index="806" name="[FactPayment].[CaseKey].&amp;[8101|00017450]"/>
            <x15:cachedUniqueName index="807" name="[FactPayment].[CaseKey].&amp;[8101|00017467]"/>
            <x15:cachedUniqueName index="808" name="[FactPayment].[CaseKey].&amp;[8101|00017473]"/>
            <x15:cachedUniqueName index="809" name="[FactPayment].[CaseKey].&amp;[8101|00017481]"/>
            <x15:cachedUniqueName index="810" name="[FactPayment].[CaseKey].&amp;[8101|00017496]"/>
            <x15:cachedUniqueName index="811" name="[FactPayment].[CaseKey].&amp;[8101|00017507]"/>
            <x15:cachedUniqueName index="812" name="[FactPayment].[CaseKey].&amp;[8101|00017517]"/>
            <x15:cachedUniqueName index="813" name="[FactPayment].[CaseKey].&amp;[8101|00017521]"/>
            <x15:cachedUniqueName index="814" name="[FactPayment].[CaseKey].&amp;[8101|00017531]"/>
            <x15:cachedUniqueName index="815" name="[FactPayment].[CaseKey].&amp;[8101|00017543]"/>
            <x15:cachedUniqueName index="816" name="[FactPayment].[CaseKey].&amp;[8101|00017551]"/>
            <x15:cachedUniqueName index="817" name="[FactPayment].[CaseKey].&amp;[8101|00017560]"/>
            <x15:cachedUniqueName index="818" name="[FactPayment].[CaseKey].&amp;[8101|00017577]"/>
            <x15:cachedUniqueName index="819" name="[FactPayment].[CaseKey].&amp;[8101|00017581]"/>
            <x15:cachedUniqueName index="820" name="[FactPayment].[CaseKey].&amp;[8101|00017598]"/>
            <x15:cachedUniqueName index="821" name="[FactPayment].[CaseKey].&amp;[8101|00017606]"/>
            <x15:cachedUniqueName index="822" name="[FactPayment].[CaseKey].&amp;[8101|00017616]"/>
            <x15:cachedUniqueName index="823" name="[FactPayment].[CaseKey].&amp;[8101|00017620]"/>
            <x15:cachedUniqueName index="824" name="[FactPayment].[CaseKey].&amp;[8101|00017632]"/>
            <x15:cachedUniqueName index="825" name="[FactPayment].[CaseKey].&amp;[8101|00017647]"/>
            <x15:cachedUniqueName index="826" name="[FactPayment].[CaseKey].&amp;[8101|00017657]"/>
            <x15:cachedUniqueName index="827" name="[FactPayment].[CaseKey].&amp;[8101|00017663]"/>
            <x15:cachedUniqueName index="828" name="[FactPayment].[CaseKey].&amp;[8101|00017678]"/>
            <x15:cachedUniqueName index="829" name="[FactPayment].[CaseKey].&amp;[8101|00017684]"/>
            <x15:cachedUniqueName index="830" name="[FactPayment].[CaseKey].&amp;[8101|00017693]"/>
            <x15:cachedUniqueName index="831" name="[FactPayment].[CaseKey].&amp;[8101|00017715]"/>
            <x15:cachedUniqueName index="832" name="[FactPayment].[CaseKey].&amp;[8101|00017725]"/>
            <x15:cachedUniqueName index="833" name="[FactPayment].[CaseKey].&amp;[8101|00017734]"/>
            <x15:cachedUniqueName index="834" name="[FactPayment].[CaseKey].&amp;[8101|00017740]"/>
            <x15:cachedUniqueName index="835" name="[FactPayment].[CaseKey].&amp;[8101|00017752]"/>
            <x15:cachedUniqueName index="836" name="[FactPayment].[CaseKey].&amp;[8101|00017768]"/>
            <x15:cachedUniqueName index="837" name="[FactPayment].[CaseKey].&amp;[8101|00017774]"/>
            <x15:cachedUniqueName index="838" name="[FactPayment].[CaseKey].&amp;[8101|00017783]"/>
            <x15:cachedUniqueName index="839" name="[FactPayment].[CaseKey].&amp;[8101|00017794]"/>
            <x15:cachedUniqueName index="840" name="[FactPayment].[CaseKey].&amp;[8101|00017806]"/>
            <x15:cachedUniqueName index="841" name="[FactPayment].[CaseKey].&amp;[8101|00017815]"/>
            <x15:cachedUniqueName index="842" name="[FactPayment].[CaseKey].&amp;[8101|00017823]"/>
            <x15:cachedUniqueName index="843" name="[FactPayment].[CaseKey].&amp;[8101|00017838]"/>
            <x15:cachedUniqueName index="844" name="[FactPayment].[CaseKey].&amp;[8101|00017843]"/>
            <x15:cachedUniqueName index="845" name="[FactPayment].[CaseKey].&amp;[8101|00017855]"/>
            <x15:cachedUniqueName index="846" name="[FactPayment].[CaseKey].&amp;[8101|00017862]"/>
            <x15:cachedUniqueName index="847" name="[FactPayment].[CaseKey].&amp;[8101|00017871]"/>
            <x15:cachedUniqueName index="848" name="[FactPayment].[CaseKey].&amp;[8101|00017881]"/>
            <x15:cachedUniqueName index="849" name="[FactPayment].[CaseKey].&amp;[8101|00017897]"/>
            <x15:cachedUniqueName index="850" name="[FactPayment].[CaseKey].&amp;[8101|00017907]"/>
            <x15:cachedUniqueName index="851" name="[FactPayment].[CaseKey].&amp;[8101|00017911]"/>
            <x15:cachedUniqueName index="852" name="[FactPayment].[CaseKey].&amp;[8101|00017921]"/>
            <x15:cachedUniqueName index="853" name="[FactPayment].[CaseKey].&amp;[8101|00017931]"/>
            <x15:cachedUniqueName index="854" name="[FactPayment].[CaseKey].&amp;[8101|00017941]"/>
            <x15:cachedUniqueName index="855" name="[FactPayment].[CaseKey].&amp;[8101|00017950]"/>
            <x15:cachedUniqueName index="856" name="[FactPayment].[CaseKey].&amp;[8101|00017967]"/>
            <x15:cachedUniqueName index="857" name="[FactPayment].[CaseKey].&amp;[8101|00017994]"/>
            <x15:cachedUniqueName index="858" name="[FactPayment].[CaseKey].&amp;[8101|00018005]"/>
            <x15:cachedUniqueName index="859" name="[FactPayment].[CaseKey].&amp;[8101|00018014]"/>
            <x15:cachedUniqueName index="860" name="[FactPayment].[CaseKey].&amp;[8101|00018024]"/>
            <x15:cachedUniqueName index="861" name="[FactPayment].[CaseKey].&amp;[8101|00018034]"/>
            <x15:cachedUniqueName index="862" name="[FactPayment].[CaseKey].&amp;[8101|00018046]"/>
            <x15:cachedUniqueName index="863" name="[FactPayment].[CaseKey].&amp;[8101|00018052]"/>
            <x15:cachedUniqueName index="864" name="[FactPayment].[CaseKey].&amp;[8101|00018068]"/>
            <x15:cachedUniqueName index="865" name="[FactPayment].[CaseKey].&amp;[8101|00018078]"/>
            <x15:cachedUniqueName index="866" name="[FactPayment].[CaseKey].&amp;[8101|00018088]"/>
            <x15:cachedUniqueName index="867" name="[FactPayment].[CaseKey].&amp;[8101|00018097]"/>
            <x15:cachedUniqueName index="868" name="[FactPayment].[CaseKey].&amp;[8101|00018102]"/>
            <x15:cachedUniqueName index="869" name="[FactPayment].[CaseKey].&amp;[8101|00018115]"/>
            <x15:cachedUniqueName index="870" name="[FactPayment].[CaseKey].&amp;[8101|00018123]"/>
            <x15:cachedUniqueName index="871" name="[FactPayment].[CaseKey].&amp;[8101|00018131]"/>
            <x15:cachedUniqueName index="872" name="[FactPayment].[CaseKey].&amp;[8101|00018146]"/>
            <x15:cachedUniqueName index="873" name="[FactPayment].[CaseKey].&amp;[8101|00018154]"/>
            <x15:cachedUniqueName index="874" name="[FactPayment].[CaseKey].&amp;[8101|00018165]"/>
            <x15:cachedUniqueName index="875" name="[FactPayment].[CaseKey].&amp;[8101|00018177]"/>
            <x15:cachedUniqueName index="876" name="[FactPayment].[CaseKey].&amp;[8101|00018197]"/>
            <x15:cachedUniqueName index="877" name="[FactPayment].[CaseKey].&amp;[8101|00018205]"/>
            <x15:cachedUniqueName index="878" name="[FactPayment].[CaseKey].&amp;[8101|00018218]"/>
            <x15:cachedUniqueName index="879" name="[FactPayment].[CaseKey].&amp;[8101|00018224]"/>
            <x15:cachedUniqueName index="880" name="[FactPayment].[CaseKey].&amp;[8101|00018231]"/>
            <x15:cachedUniqueName index="881" name="[FactPayment].[CaseKey].&amp;[8101|00018246]"/>
            <x15:cachedUniqueName index="882" name="[FactPayment].[CaseKey].&amp;[8101|00018255]"/>
            <x15:cachedUniqueName index="883" name="[FactPayment].[CaseKey].&amp;[8101|00018268]"/>
            <x15:cachedUniqueName index="884" name="[FactPayment].[CaseKey].&amp;[8101|00018277]"/>
            <x15:cachedUniqueName index="885" name="[FactPayment].[CaseKey].&amp;[8101|00018287]"/>
            <x15:cachedUniqueName index="886" name="[FactPayment].[CaseKey].&amp;[8101|00018293]"/>
            <x15:cachedUniqueName index="887" name="[FactPayment].[CaseKey].&amp;[8101|00018303]"/>
            <x15:cachedUniqueName index="888" name="[FactPayment].[CaseKey].&amp;[8101|00018310]"/>
            <x15:cachedUniqueName index="889" name="[FactPayment].[CaseKey].&amp;[8101|00018322]"/>
            <x15:cachedUniqueName index="890" name="[FactPayment].[CaseKey].&amp;[8101|00018330]"/>
            <x15:cachedUniqueName index="891" name="[FactPayment].[CaseKey].&amp;[8101|00018343]"/>
            <x15:cachedUniqueName index="892" name="[FactPayment].[CaseKey].&amp;[8101|00018356]"/>
            <x15:cachedUniqueName index="893" name="[FactPayment].[CaseKey].&amp;[8101|00018367]"/>
            <x15:cachedUniqueName index="894" name="[FactPayment].[CaseKey].&amp;[8101|00018371]"/>
            <x15:cachedUniqueName index="895" name="[FactPayment].[CaseKey].&amp;[8101|00018385]"/>
            <x15:cachedUniqueName index="896" name="[FactPayment].[CaseKey].&amp;[8101|00018395]"/>
            <x15:cachedUniqueName index="897" name="[FactPayment].[CaseKey].&amp;[8101|00018400]"/>
            <x15:cachedUniqueName index="898" name="[FactPayment].[CaseKey].&amp;[8101|00018413]"/>
            <x15:cachedUniqueName index="899" name="[FactPayment].[CaseKey].&amp;[8101|00018422]"/>
            <x15:cachedUniqueName index="900" name="[FactPayment].[CaseKey].&amp;[8101|00018445]"/>
            <x15:cachedUniqueName index="901" name="[FactPayment].[CaseKey].&amp;[8101|00018452]"/>
            <x15:cachedUniqueName index="902" name="[FactPayment].[CaseKey].&amp;[8101|00018461]"/>
            <x15:cachedUniqueName index="903" name="[FactPayment].[CaseKey].&amp;[8101|00018470]"/>
            <x15:cachedUniqueName index="904" name="[FactPayment].[CaseKey].&amp;[8101|00018492]"/>
            <x15:cachedUniqueName index="905" name="[FactPayment].[CaseKey].&amp;[8101|00018507]"/>
            <x15:cachedUniqueName index="906" name="[FactPayment].[CaseKey].&amp;[8101|00018517]"/>
            <x15:cachedUniqueName index="907" name="[FactPayment].[CaseKey].&amp;[8101|00018525]"/>
            <x15:cachedUniqueName index="908" name="[FactPayment].[CaseKey].&amp;[8101|00018531]"/>
            <x15:cachedUniqueName index="909" name="[FactPayment].[CaseKey].&amp;[8101|00018544]"/>
            <x15:cachedUniqueName index="910" name="[FactPayment].[CaseKey].&amp;[8101|00018552]"/>
            <x15:cachedUniqueName index="911" name="[FactPayment].[CaseKey].&amp;[8101|00018562]"/>
            <x15:cachedUniqueName index="912" name="[FactPayment].[CaseKey].&amp;[8101|00018573]"/>
            <x15:cachedUniqueName index="913" name="[FactPayment].[CaseKey].&amp;[8101|00018585]"/>
            <x15:cachedUniqueName index="914" name="[FactPayment].[CaseKey].&amp;[8101|00018595]"/>
            <x15:cachedUniqueName index="915" name="[FactPayment].[CaseKey].&amp;[8101|00018600]"/>
            <x15:cachedUniqueName index="916" name="[FactPayment].[CaseKey].&amp;[8101|00018617]"/>
            <x15:cachedUniqueName index="917" name="[FactPayment].[CaseKey].&amp;[8101|00018626]"/>
            <x15:cachedUniqueName index="918" name="[FactPayment].[CaseKey].&amp;[8101|00018636]"/>
            <x15:cachedUniqueName index="919" name="[FactPayment].[CaseKey].&amp;[8101|00018641]"/>
            <x15:cachedUniqueName index="920" name="[FactPayment].[CaseKey].&amp;[8101|00018655]"/>
            <x15:cachedUniqueName index="921" name="[FactPayment].[CaseKey].&amp;[8101|00018662]"/>
            <x15:cachedUniqueName index="922" name="[FactPayment].[CaseKey].&amp;[8101|00018675]"/>
            <x15:cachedUniqueName index="923" name="[FactPayment].[CaseKey].&amp;[8101|00018683]"/>
            <x15:cachedUniqueName index="924" name="[FactPayment].[CaseKey].&amp;[8101|00018693]"/>
            <x15:cachedUniqueName index="925" name="[FactPayment].[CaseKey].&amp;[8101|00018708]"/>
            <x15:cachedUniqueName index="926" name="[FactPayment].[CaseKey].&amp;[8101|00018710]"/>
            <x15:cachedUniqueName index="927" name="[FactPayment].[CaseKey].&amp;[8101|00018721]"/>
            <x15:cachedUniqueName index="928" name="[FactPayment].[CaseKey].&amp;[8101|00018731]"/>
            <x15:cachedUniqueName index="929" name="[FactPayment].[CaseKey].&amp;[8101|00018744]"/>
            <x15:cachedUniqueName index="930" name="[FactPayment].[CaseKey].&amp;[8101|00018762]"/>
            <x15:cachedUniqueName index="931" name="[FactPayment].[CaseKey].&amp;[8101|00018772]"/>
            <x15:cachedUniqueName index="932" name="[FactPayment].[CaseKey].&amp;[8101|00018793]"/>
            <x15:cachedUniqueName index="933" name="[FactPayment].[CaseKey].&amp;[8101|00018800]"/>
            <x15:cachedUniqueName index="934" name="[FactPayment].[CaseKey].&amp;[8101|00018818]"/>
            <x15:cachedUniqueName index="935" name="[FactPayment].[CaseKey].&amp;[8101|00018823]"/>
            <x15:cachedUniqueName index="936" name="[FactPayment].[CaseKey].&amp;[8101|00018835]"/>
            <x15:cachedUniqueName index="937" name="[FactPayment].[CaseKey].&amp;[8101|00018848]"/>
            <x15:cachedUniqueName index="938" name="[FactPayment].[CaseKey].&amp;[8101|00018854]"/>
            <x15:cachedUniqueName index="939" name="[FactPayment].[CaseKey].&amp;[8101|00018867]"/>
            <x15:cachedUniqueName index="940" name="[FactPayment].[CaseKey].&amp;[8101|00018875]"/>
            <x15:cachedUniqueName index="941" name="[FactPayment].[CaseKey].&amp;[8101|00018883]"/>
            <x15:cachedUniqueName index="942" name="[FactPayment].[CaseKey].&amp;[8101|00018898]"/>
            <x15:cachedUniqueName index="943" name="[FactPayment].[CaseKey].&amp;[8101|00018907]"/>
            <x15:cachedUniqueName index="944" name="[FactPayment].[CaseKey].&amp;[8101|00018911]"/>
            <x15:cachedUniqueName index="945" name="[FactPayment].[CaseKey].&amp;[8101|00018927]"/>
            <x15:cachedUniqueName index="946" name="[FactPayment].[CaseKey].&amp;[8101|00018931]"/>
            <x15:cachedUniqueName index="947" name="[FactPayment].[CaseKey].&amp;[8101|00018948]"/>
            <x15:cachedUniqueName index="948" name="[FactPayment].[CaseKey].&amp;[8101|00018951]"/>
            <x15:cachedUniqueName index="949" name="[FactPayment].[CaseKey].&amp;[8101|00018962]"/>
            <x15:cachedUniqueName index="950" name="[FactPayment].[CaseKey].&amp;[8101|00018976]"/>
            <x15:cachedUniqueName index="951" name="[FactPayment].[CaseKey].&amp;[8101|00018985]"/>
            <x15:cachedUniqueName index="952" name="[FactPayment].[CaseKey].&amp;[8101|00018997]"/>
            <x15:cachedUniqueName index="953" name="[FactPayment].[CaseKey].&amp;[8101|00019023]"/>
            <x15:cachedUniqueName index="954" name="[FactPayment].[CaseKey].&amp;[8101|00019035]"/>
            <x15:cachedUniqueName index="955" name="[FactPayment].[CaseKey].&amp;[8101|00019048]"/>
            <x15:cachedUniqueName index="956" name="[FactPayment].[CaseKey].&amp;[8101|00019057]"/>
            <x15:cachedUniqueName index="957" name="[FactPayment].[CaseKey].&amp;[8101|00019064]"/>
            <x15:cachedUniqueName index="958" name="[FactPayment].[CaseKey].&amp;[8101|00019074]"/>
            <x15:cachedUniqueName index="959" name="[FactPayment].[CaseKey].&amp;[8101|00019086]"/>
            <x15:cachedUniqueName index="960" name="[FactPayment].[CaseKey].&amp;[8101|00019094]"/>
            <x15:cachedUniqueName index="961" name="[FactPayment].[CaseKey].&amp;[8101|00019105]"/>
            <x15:cachedUniqueName index="962" name="[FactPayment].[CaseKey].&amp;[8101|00019115]"/>
            <x15:cachedUniqueName index="963" name="[FactPayment].[CaseKey].&amp;[8101|00019128]"/>
            <x15:cachedUniqueName index="964" name="[FactPayment].[CaseKey].&amp;[8101|00019134]"/>
            <x15:cachedUniqueName index="965" name="[FactPayment].[CaseKey].&amp;[8101|00019148]"/>
            <x15:cachedUniqueName index="966" name="[FactPayment].[CaseKey].&amp;[8101|00019151]"/>
            <x15:cachedUniqueName index="967" name="[FactPayment].[CaseKey].&amp;[8101|00019163]"/>
            <x15:cachedUniqueName index="968" name="[FactPayment].[CaseKey].&amp;[8101|00019171]"/>
            <x15:cachedUniqueName index="969" name="[FactPayment].[CaseKey].&amp;[8101|00019182]"/>
            <x15:cachedUniqueName index="970" name="[FactPayment].[CaseKey].&amp;[8101|00019192]"/>
            <x15:cachedUniqueName index="971" name="[FactPayment].[CaseKey].&amp;[8101|00019206]"/>
            <x15:cachedUniqueName index="972" name="[FactPayment].[CaseKey].&amp;[8101|00019214]"/>
            <x15:cachedUniqueName index="973" name="[FactPayment].[CaseKey].&amp;[8101|00019220]"/>
            <x15:cachedUniqueName index="974" name="[FactPayment].[CaseKey].&amp;[8101|00019235]"/>
            <x15:cachedUniqueName index="975" name="[FactPayment].[CaseKey].&amp;[8101|00019242]"/>
            <x15:cachedUniqueName index="976" name="[FactPayment].[CaseKey].&amp;[8101|00019258]"/>
            <x15:cachedUniqueName index="977" name="[FactPayment].[CaseKey].&amp;[8101|00019260]"/>
            <x15:cachedUniqueName index="978" name="[FactPayment].[CaseKey].&amp;[8101|00019270]"/>
            <x15:cachedUniqueName index="979" name="[FactPayment].[CaseKey].&amp;[8101|00019283]"/>
            <x15:cachedUniqueName index="980" name="[FactPayment].[CaseKey].&amp;[8101|00019294]"/>
            <x15:cachedUniqueName index="981" name="[FactPayment].[CaseKey].&amp;[8101|00019308]"/>
            <x15:cachedUniqueName index="982" name="[FactPayment].[CaseKey].&amp;[8101|00019312]"/>
            <x15:cachedUniqueName index="983" name="[FactPayment].[CaseKey].&amp;[8101|00019337]"/>
            <x15:cachedUniqueName index="984" name="[FactPayment].[CaseKey].&amp;[8101|00019344]"/>
            <x15:cachedUniqueName index="985" name="[FactPayment].[CaseKey].&amp;[8101|00019354]"/>
            <x15:cachedUniqueName index="986" name="[FactPayment].[CaseKey].&amp;[8101|00019360]"/>
            <x15:cachedUniqueName index="987" name="[FactPayment].[CaseKey].&amp;[8101|00019373]"/>
            <x15:cachedUniqueName index="988" name="[FactPayment].[CaseKey].&amp;[8101|00019386]"/>
            <x15:cachedUniqueName index="989" name="[FactPayment].[CaseKey].&amp;[8101|00019400]"/>
            <x15:cachedUniqueName index="990" name="[FactPayment].[CaseKey].&amp;[8101|00019413]"/>
            <x15:cachedUniqueName index="991" name="[FactPayment].[CaseKey].&amp;[8101|00019424]"/>
            <x15:cachedUniqueName index="992" name="[FactPayment].[CaseKey].&amp;[8101|00019436]"/>
            <x15:cachedUniqueName index="993" name="[FactPayment].[CaseKey].&amp;[8101|00019441]"/>
            <x15:cachedUniqueName index="994" name="[FactPayment].[CaseKey].&amp;[8101|00019456]"/>
            <x15:cachedUniqueName index="995" name="[FactPayment].[CaseKey].&amp;[8101|00019478]"/>
            <x15:cachedUniqueName index="996" name="[FactPayment].[CaseKey].&amp;[8101|00019481]"/>
            <x15:cachedUniqueName index="997" name="[FactPayment].[CaseKey].&amp;[8101|00019496]"/>
            <x15:cachedUniqueName index="998" name="[FactPayment].[CaseKey].&amp;[8101|00019504]"/>
            <x15:cachedUniqueName index="999" name="[FactPayment].[CaseKey].&amp;[8101|00019516]"/>
            <x15:cachedUniqueName index="1000" name="[FactPayment].[CaseKey].&amp;[8101|00019521]"/>
            <x15:cachedUniqueName index="1001" name="[FactPayment].[CaseKey].&amp;[8101|00019535]"/>
            <x15:cachedUniqueName index="1002" name="[FactPayment].[CaseKey].&amp;[8101|00019542]"/>
            <x15:cachedUniqueName index="1003" name="[FactPayment].[CaseKey].&amp;[8101|00019550]"/>
            <x15:cachedUniqueName index="1004" name="[FactPayment].[CaseKey].&amp;[8101|00019566]"/>
            <x15:cachedUniqueName index="1005" name="[FactPayment].[CaseKey].&amp;[8101|00019572]"/>
            <x15:cachedUniqueName index="1006" name="[FactPayment].[CaseKey].&amp;[8101|00019580]"/>
            <x15:cachedUniqueName index="1007" name="[FactPayment].[CaseKey].&amp;[8101|00019594]"/>
            <x15:cachedUniqueName index="1008" name="[FactPayment].[CaseKey].&amp;[8101|00019600]"/>
            <x15:cachedUniqueName index="1009" name="[FactPayment].[CaseKey].&amp;[8101|00019616]"/>
            <x15:cachedUniqueName index="1010" name="[FactPayment].[CaseKey].&amp;[8101|00019622]"/>
            <x15:cachedUniqueName index="1011" name="[FactPayment].[CaseKey].&amp;[8101|00019631]"/>
            <x15:cachedUniqueName index="1012" name="[FactPayment].[CaseKey].&amp;[8101|00019640]"/>
            <x15:cachedUniqueName index="1013" name="[FactPayment].[CaseKey].&amp;[8101|00019650]"/>
            <x15:cachedUniqueName index="1014" name="[FactPayment].[CaseKey].&amp;[8101|00019660]"/>
            <x15:cachedUniqueName index="1015" name="[FactPayment].[CaseKey].&amp;[8101|00019674]"/>
            <x15:cachedUniqueName index="1016" name="[FactPayment].[CaseKey].&amp;[8101|00019687]"/>
            <x15:cachedUniqueName index="1017" name="[FactPayment].[CaseKey].&amp;[8101|00019693]"/>
            <x15:cachedUniqueName index="1018" name="[FactPayment].[CaseKey].&amp;[8101|00019706]"/>
            <x15:cachedUniqueName index="1019" name="[FactPayment].[CaseKey].&amp;[8101|00019718]"/>
            <x15:cachedUniqueName index="1020" name="[FactPayment].[CaseKey].&amp;[8101|00019728]"/>
            <x15:cachedUniqueName index="1021" name="[FactPayment].[CaseKey].&amp;[8101|00019732]"/>
            <x15:cachedUniqueName index="1022" name="[FactPayment].[CaseKey].&amp;[8101|00019740]"/>
            <x15:cachedUniqueName index="1023" name="[FactPayment].[CaseKey].&amp;[8101|00019752]"/>
            <x15:cachedUniqueName index="1024" name="[FactPayment].[CaseKey].&amp;[8101|00019765]"/>
            <x15:cachedUniqueName index="1025" name="[FactPayment].[CaseKey].&amp;[8101|00019774]"/>
            <x15:cachedUniqueName index="1026" name="[FactPayment].[CaseKey].&amp;[8101|00019788]"/>
            <x15:cachedUniqueName index="1027" name="[FactPayment].[CaseKey].&amp;[8101|00019794]"/>
            <x15:cachedUniqueName index="1028" name="[FactPayment].[CaseKey].&amp;[8101|00019802]"/>
            <x15:cachedUniqueName index="1029" name="[FactPayment].[CaseKey].&amp;[8101|00019811]"/>
            <x15:cachedUniqueName index="1030" name="[FactPayment].[CaseKey].&amp;[8101|00019825]"/>
            <x15:cachedUniqueName index="1031" name="[FactPayment].[CaseKey].&amp;[8101|00019835]"/>
            <x15:cachedUniqueName index="1032" name="[FactPayment].[CaseKey].&amp;[8101|00019840]"/>
            <x15:cachedUniqueName index="1033" name="[FactPayment].[CaseKey].&amp;[8101|00019854]"/>
            <x15:cachedUniqueName index="1034" name="[FactPayment].[CaseKey].&amp;[8101|00019863]"/>
            <x15:cachedUniqueName index="1035" name="[FactPayment].[CaseKey].&amp;[8101|00019874]"/>
            <x15:cachedUniqueName index="1036" name="[FactPayment].[CaseKey].&amp;[8101|00019887]"/>
            <x15:cachedUniqueName index="1037" name="[FactPayment].[CaseKey].&amp;[8101|00019896]"/>
            <x15:cachedUniqueName index="1038" name="[FactPayment].[CaseKey].&amp;[8101|00019901]"/>
            <x15:cachedUniqueName index="1039" name="[FactPayment].[CaseKey].&amp;[8101|00019912]"/>
            <x15:cachedUniqueName index="1040" name="[FactPayment].[CaseKey].&amp;[8101|00019920]"/>
            <x15:cachedUniqueName index="1041" name="[FactPayment].[CaseKey].&amp;[8101|00019940]"/>
            <x15:cachedUniqueName index="1042" name="[FactPayment].[CaseKey].&amp;[8101|00019952]"/>
            <x15:cachedUniqueName index="1043" name="[FactPayment].[CaseKey].&amp;[8101|00019966]"/>
            <x15:cachedUniqueName index="1044" name="[FactPayment].[CaseKey].&amp;[8101|00019977]"/>
            <x15:cachedUniqueName index="1045" name="[FactPayment].[CaseKey].&amp;[8101|00019988]"/>
            <x15:cachedUniqueName index="1046" name="[FactPayment].[CaseKey].&amp;[8101|00019991]"/>
            <x15:cachedUniqueName index="1047" name="[FactPayment].[CaseKey].&amp;[8101|00020003]"/>
            <x15:cachedUniqueName index="1048" name="[FactPayment].[CaseKey].&amp;[8101|00020017]"/>
            <x15:cachedUniqueName index="1049" name="[FactPayment].[CaseKey].&amp;[8101|00020021]"/>
            <x15:cachedUniqueName index="1050" name="[FactPayment].[CaseKey].&amp;[8101|00020037]"/>
            <x15:cachedUniqueName index="1051" name="[FactPayment].[CaseKey].&amp;[8101|00020040]"/>
            <x15:cachedUniqueName index="1052" name="[FactPayment].[CaseKey].&amp;[8101|00020056]"/>
            <x15:cachedUniqueName index="1053" name="[FactPayment].[CaseKey].&amp;[8101|00020064]"/>
            <x15:cachedUniqueName index="1054" name="[FactPayment].[CaseKey].&amp;[8101|00020078]"/>
            <x15:cachedUniqueName index="1055" name="[FactPayment].[CaseKey].&amp;[8101|00020088]"/>
            <x15:cachedUniqueName index="1056" name="[FactPayment].[CaseKey].&amp;[8101|00020094]"/>
            <x15:cachedUniqueName index="1057" name="[FactPayment].[CaseKey].&amp;[8101|00020106]"/>
            <x15:cachedUniqueName index="1058" name="[FactPayment].[CaseKey].&amp;[8101|00020111]"/>
            <x15:cachedUniqueName index="1059" name="[FactPayment].[CaseKey].&amp;[8101|00020121]"/>
            <x15:cachedUniqueName index="1060" name="[FactPayment].[CaseKey].&amp;[8101|00020134]"/>
            <x15:cachedUniqueName index="1061" name="[FactPayment].[CaseKey].&amp;[8101|00020147]"/>
            <x15:cachedUniqueName index="1062" name="[FactPayment].[CaseKey].&amp;[8101|00020152]"/>
            <x15:cachedUniqueName index="1063" name="[FactPayment].[CaseKey].&amp;[8101|00020167]"/>
            <x15:cachedUniqueName index="1064" name="[FactPayment].[CaseKey].&amp;[8101|00020176]"/>
            <x15:cachedUniqueName index="1065" name="[FactPayment].[CaseKey].&amp;[8101|00020183]"/>
            <x15:cachedUniqueName index="1066" name="[FactPayment].[CaseKey].&amp;[8101|00020197]"/>
            <x15:cachedUniqueName index="1067" name="[FactPayment].[CaseKey].&amp;[8101|00020207]"/>
            <x15:cachedUniqueName index="1068" name="[FactPayment].[CaseKey].&amp;[8101|00020210]"/>
            <x15:cachedUniqueName index="1069" name="[FactPayment].[CaseKey].&amp;[8101|00020224]"/>
            <x15:cachedUniqueName index="1070" name="[FactPayment].[CaseKey].&amp;[8101|00020238]"/>
            <x15:cachedUniqueName index="1071" name="[FactPayment].[CaseKey].&amp;[8101|00020241]"/>
            <x15:cachedUniqueName index="1072" name="[FactPayment].[CaseKey].&amp;[8101|00020250]"/>
            <x15:cachedUniqueName index="1073" name="[FactPayment].[CaseKey].&amp;[8101|00020268]"/>
            <x15:cachedUniqueName index="1074" name="[FactPayment].[CaseKey].&amp;[8101|00020275]"/>
            <x15:cachedUniqueName index="1075" name="[FactPayment].[CaseKey].&amp;[8101|00020284]"/>
            <x15:cachedUniqueName index="1076" name="[FactPayment].[CaseKey].&amp;[8101|00020293]"/>
            <x15:cachedUniqueName index="1077" name="[FactPayment].[CaseKey].&amp;[8101|00020301]"/>
            <x15:cachedUniqueName index="1078" name="[FactPayment].[CaseKey].&amp;[8101|00020314]"/>
            <x15:cachedUniqueName index="1079" name="[FactPayment].[CaseKey].&amp;[8101|00020322]"/>
            <x15:cachedUniqueName index="1080" name="[FactPayment].[CaseKey].&amp;[8101|00020331]"/>
            <x15:cachedUniqueName index="1081" name="[FactPayment].[CaseKey].&amp;[8101|00020346]"/>
            <x15:cachedUniqueName index="1082" name="[FactPayment].[CaseKey].&amp;[8101|00020358]"/>
            <x15:cachedUniqueName index="1083" name="[FactPayment].[CaseKey].&amp;[8101|00020366]"/>
            <x15:cachedUniqueName index="1084" name="[FactPayment].[CaseKey].&amp;[8101|00020371]"/>
            <x15:cachedUniqueName index="1085" name="[FactPayment].[CaseKey].&amp;[8101|00020384]"/>
            <x15:cachedUniqueName index="1086" name="[FactPayment].[CaseKey].&amp;[8101|00020398]"/>
            <x15:cachedUniqueName index="1087" name="[FactPayment].[CaseKey].&amp;[8101|00020408]"/>
            <x15:cachedUniqueName index="1088" name="[FactPayment].[CaseKey].&amp;[8101|00020411]"/>
            <x15:cachedUniqueName index="1089" name="[FactPayment].[CaseKey].&amp;[8101|00020426]"/>
            <x15:cachedUniqueName index="1090" name="[FactPayment].[CaseKey].&amp;[8101|00020441]"/>
            <x15:cachedUniqueName index="1091" name="[FactPayment].[CaseKey].&amp;[8101|00020451]"/>
            <x15:cachedUniqueName index="1092" name="[FactPayment].[CaseKey].&amp;[8101|00020467]"/>
            <x15:cachedUniqueName index="1093" name="[FactPayment].[CaseKey].&amp;[8101|00020475]"/>
            <x15:cachedUniqueName index="1094" name="[FactPayment].[CaseKey].&amp;[8101|00020486]"/>
            <x15:cachedUniqueName index="1095" name="[FactPayment].[CaseKey].&amp;[8101|00020498]"/>
            <x15:cachedUniqueName index="1096" name="[FactPayment].[CaseKey].&amp;[8101|00020507]"/>
            <x15:cachedUniqueName index="1097" name="[FactPayment].[CaseKey].&amp;[8101|00020515]"/>
            <x15:cachedUniqueName index="1098" name="[FactPayment].[CaseKey].&amp;[8101|00020521]"/>
            <x15:cachedUniqueName index="1099" name="[FactPayment].[CaseKey].&amp;[8101|00020532]"/>
            <x15:cachedUniqueName index="1100" name="[FactPayment].[CaseKey].&amp;[8101|00020544]"/>
            <x15:cachedUniqueName index="1101" name="[FactPayment].[CaseKey].&amp;[8101|00020550]"/>
            <x15:cachedUniqueName index="1102" name="[FactPayment].[CaseKey].&amp;[8101|00020562]"/>
            <x15:cachedUniqueName index="1103" name="[FactPayment].[CaseKey].&amp;[8101|00020575]"/>
            <x15:cachedUniqueName index="1104" name="[FactPayment].[CaseKey].&amp;[8101|00020580]"/>
            <x15:cachedUniqueName index="1105" name="[FactPayment].[CaseKey].&amp;[8101|00020591]"/>
            <x15:cachedUniqueName index="1106" name="[FactPayment].[CaseKey].&amp;[8101|00020607]"/>
            <x15:cachedUniqueName index="1107" name="[FactPayment].[CaseKey].&amp;[8101|00020612]"/>
            <x15:cachedUniqueName index="1108" name="[FactPayment].[CaseKey].&amp;[8101|00020625]"/>
            <x15:cachedUniqueName index="1109" name="[FactPayment].[CaseKey].&amp;[8101|00020635]"/>
            <x15:cachedUniqueName index="1110" name="[FactPayment].[CaseKey].&amp;[8101|00020641]"/>
            <x15:cachedUniqueName index="1111" name="[FactPayment].[CaseKey].&amp;[8101|00020651]"/>
            <x15:cachedUniqueName index="1112" name="[FactPayment].[CaseKey].&amp;[8101|00020660]"/>
            <x15:cachedUniqueName index="1113" name="[FactPayment].[CaseKey].&amp;[8101|00020677]"/>
            <x15:cachedUniqueName index="1114" name="[FactPayment].[CaseKey].&amp;[8101|00020688]"/>
            <x15:cachedUniqueName index="1115" name="[FactPayment].[CaseKey].&amp;[8101|00020697]"/>
            <x15:cachedUniqueName index="1116" name="[FactPayment].[CaseKey].&amp;[8101|00020706]"/>
            <x15:cachedUniqueName index="1117" name="[FactPayment].[CaseKey].&amp;[8101|00020710]"/>
            <x15:cachedUniqueName index="1118" name="[FactPayment].[CaseKey].&amp;[8101|00020723]"/>
            <x15:cachedUniqueName index="1119" name="[FactPayment].[CaseKey].&amp;[8101|00020738]"/>
            <x15:cachedUniqueName index="1120" name="[FactPayment].[CaseKey].&amp;[8101|00020755]"/>
            <x15:cachedUniqueName index="1121" name="[FactPayment].[CaseKey].&amp;[8101|00020768]"/>
            <x15:cachedUniqueName index="1122" name="[FactPayment].[CaseKey].&amp;[8101|00020772]"/>
            <x15:cachedUniqueName index="1123" name="[FactPayment].[CaseKey].&amp;[8101|00020784]"/>
            <x15:cachedUniqueName index="1124" name="[FactPayment].[CaseKey].&amp;[8101|00020794]"/>
            <x15:cachedUniqueName index="1125" name="[FactPayment].[CaseKey].&amp;[8101|00020803]"/>
            <x15:cachedUniqueName index="1126" name="[FactPayment].[CaseKey].&amp;[8101|00020817]"/>
            <x15:cachedUniqueName index="1127" name="[FactPayment].[CaseKey].&amp;[8101|00020823]"/>
            <x15:cachedUniqueName index="1128" name="[FactPayment].[CaseKey].&amp;[8101|00020835]"/>
            <x15:cachedUniqueName index="1129" name="[FactPayment].[CaseKey].&amp;[8101|00020841]"/>
            <x15:cachedUniqueName index="1130" name="[FactPayment].[CaseKey].&amp;[8101|00020855]"/>
            <x15:cachedUniqueName index="1131" name="[FactPayment].[CaseKey].&amp;[8101|00020862]"/>
            <x15:cachedUniqueName index="1132" name="[FactPayment].[CaseKey].&amp;[8101|00020878]"/>
            <x15:cachedUniqueName index="1133" name="[FactPayment].[CaseKey].&amp;[8101|00020880]"/>
            <x15:cachedUniqueName index="1134" name="[FactPayment].[CaseKey].&amp;[8101|00020890]"/>
            <x15:cachedUniqueName index="1135" name="[FactPayment].[CaseKey].&amp;[8101|00020903]"/>
            <x15:cachedUniqueName index="1136" name="[FactPayment].[CaseKey].&amp;[8101|00020917]"/>
            <x15:cachedUniqueName index="1137" name="[FactPayment].[CaseKey].&amp;[8101|00020920]"/>
            <x15:cachedUniqueName index="1138" name="[FactPayment].[CaseKey].&amp;[8101|00020934]"/>
            <x15:cachedUniqueName index="1139" name="[FactPayment].[CaseKey].&amp;[8101|00020944]"/>
            <x15:cachedUniqueName index="1140" name="[FactPayment].[CaseKey].&amp;[8101|00020954]"/>
            <x15:cachedUniqueName index="1141" name="[FactPayment].[CaseKey].&amp;[8101|00020962]"/>
            <x15:cachedUniqueName index="1142" name="[FactPayment].[CaseKey].&amp;[8101|00020978]"/>
            <x15:cachedUniqueName index="1143" name="[FactPayment].[CaseKey].&amp;[8101|00020981]"/>
            <x15:cachedUniqueName index="1144" name="[FactPayment].[CaseKey].&amp;[8101|00020996]"/>
            <x15:cachedUniqueName index="1145" name="[FactPayment].[CaseKey].&amp;[8101|00021008]"/>
            <x15:cachedUniqueName index="1146" name="[FactPayment].[CaseKey].&amp;[8101|00021012]"/>
            <x15:cachedUniqueName index="1147" name="[FactPayment].[CaseKey].&amp;[8101|00021025]"/>
            <x15:cachedUniqueName index="1148" name="[FactPayment].[CaseKey].&amp;[8101|00021038]"/>
            <x15:cachedUniqueName index="1149" name="[FactPayment].[CaseKey].&amp;[8101|00021045]"/>
            <x15:cachedUniqueName index="1150" name="[FactPayment].[CaseKey].&amp;[8101|00021057]"/>
            <x15:cachedUniqueName index="1151" name="[FactPayment].[CaseKey].&amp;[8101|00021061]"/>
            <x15:cachedUniqueName index="1152" name="[FactPayment].[CaseKey].&amp;[8101|00021070]"/>
            <x15:cachedUniqueName index="1153" name="[FactPayment].[CaseKey].&amp;[8101|00021088]"/>
            <x15:cachedUniqueName index="1154" name="[FactPayment].[CaseKey].&amp;[8101|00021091]"/>
            <x15:cachedUniqueName index="1155" name="[FactPayment].[CaseKey].&amp;[8101|00021100]"/>
            <x15:cachedUniqueName index="1156" name="[FactPayment].[CaseKey].&amp;[8101|00021115]"/>
            <x15:cachedUniqueName index="1157" name="[FactPayment].[CaseKey].&amp;[8101|00021120]"/>
            <x15:cachedUniqueName index="1158" name="[FactPayment].[CaseKey].&amp;[8101|00021130]"/>
            <x15:cachedUniqueName index="1159" name="[FactPayment].[CaseKey].&amp;[8101|00021147]"/>
            <x15:cachedUniqueName index="1160" name="[FactPayment].[CaseKey].&amp;[8101|00021150]"/>
            <x15:cachedUniqueName index="1161" name="[FactPayment].[CaseKey].&amp;[8101|00021170]"/>
            <x15:cachedUniqueName index="1162" name="[FactPayment].[CaseKey].&amp;[8101|00021186]"/>
            <x15:cachedUniqueName index="1163" name="[FactPayment].[CaseKey].&amp;[8101|00021192]"/>
            <x15:cachedUniqueName index="1164" name="[FactPayment].[CaseKey].&amp;[8101|00021203]"/>
            <x15:cachedUniqueName index="1165" name="[FactPayment].[CaseKey].&amp;[8101|00021213]"/>
            <x15:cachedUniqueName index="1166" name="[FactPayment].[CaseKey].&amp;[8101|00021220]"/>
            <x15:cachedUniqueName index="1167" name="[FactPayment].[CaseKey].&amp;[8101|00021234]"/>
            <x15:cachedUniqueName index="1168" name="[FactPayment].[CaseKey].&amp;[8101|00021242]"/>
            <x15:cachedUniqueName index="1169" name="[FactPayment].[CaseKey].&amp;[8101|00021253]"/>
            <x15:cachedUniqueName index="1170" name="[FactPayment].[CaseKey].&amp;[8101|00021266]"/>
            <x15:cachedUniqueName index="1171" name="[FactPayment].[CaseKey].&amp;[8101|00021275]"/>
            <x15:cachedUniqueName index="1172" name="[FactPayment].[CaseKey].&amp;[8101|00021283]"/>
            <x15:cachedUniqueName index="1173" name="[FactPayment].[CaseKey].&amp;[8101|00021292]"/>
            <x15:cachedUniqueName index="1174" name="[FactPayment].[CaseKey].&amp;[8101|00021301]"/>
            <x15:cachedUniqueName index="1175" name="[FactPayment].[CaseKey].&amp;[8101|00021322]"/>
            <x15:cachedUniqueName index="1176" name="[FactPayment].[CaseKey].&amp;[8101|00021330]"/>
            <x15:cachedUniqueName index="1177" name="[FactPayment].[CaseKey].&amp;[8101|00021342]"/>
            <x15:cachedUniqueName index="1178" name="[FactPayment].[CaseKey].&amp;[8101|00021358]"/>
            <x15:cachedUniqueName index="1179" name="[FactPayment].[CaseKey].&amp;[8101|00021363]"/>
            <x15:cachedUniqueName index="1180" name="[FactPayment].[CaseKey].&amp;[8101|00021370]"/>
            <x15:cachedUniqueName index="1181" name="[FactPayment].[CaseKey].&amp;[8101|00021384]"/>
            <x15:cachedUniqueName index="1182" name="[FactPayment].[CaseKey].&amp;[8101|00021390]"/>
            <x15:cachedUniqueName index="1183" name="[FactPayment].[CaseKey].&amp;[8101|00021408]"/>
            <x15:cachedUniqueName index="1184" name="[FactPayment].[CaseKey].&amp;[8101|00021416]"/>
            <x15:cachedUniqueName index="1185" name="[FactPayment].[CaseKey].&amp;[8101|00021423]"/>
            <x15:cachedUniqueName index="1186" name="[FactPayment].[CaseKey].&amp;[8101|00021434]"/>
            <x15:cachedUniqueName index="1187" name="[FactPayment].[CaseKey].&amp;[8101|00021444]"/>
            <x15:cachedUniqueName index="1188" name="[FactPayment].[CaseKey].&amp;[8101|00021456]"/>
            <x15:cachedUniqueName index="1189" name="[FactPayment].[CaseKey].&amp;[8101|00021467]"/>
            <x15:cachedUniqueName index="1190" name="[FactPayment].[CaseKey].&amp;[8101|00021471]"/>
            <x15:cachedUniqueName index="1191" name="[FactPayment].[CaseKey].&amp;[8101|00021480]"/>
            <x15:cachedUniqueName index="1192" name="[FactPayment].[CaseKey].&amp;[8101|00021495]"/>
            <x15:cachedUniqueName index="1193" name="[FactPayment].[CaseKey].&amp;[8101|00021500]"/>
            <x15:cachedUniqueName index="1194" name="[FactPayment].[CaseKey].&amp;[8101|00021524]"/>
            <x15:cachedUniqueName index="1195" name="[FactPayment].[CaseKey].&amp;[8101|00021532]"/>
            <x15:cachedUniqueName index="1196" name="[FactPayment].[CaseKey].&amp;[8101|00021544]"/>
            <x15:cachedUniqueName index="1197" name="[FactPayment].[CaseKey].&amp;[8101|00021555]"/>
            <x15:cachedUniqueName index="1198" name="[FactPayment].[CaseKey].&amp;[8101|00021567]"/>
            <x15:cachedUniqueName index="1199" name="[FactPayment].[CaseKey].&amp;[8101|00021570]"/>
            <x15:cachedUniqueName index="1200" name="[FactPayment].[CaseKey].&amp;[8101|00021585]"/>
            <x15:cachedUniqueName index="1201" name="[FactPayment].[CaseKey].&amp;[8101|00021590]"/>
            <x15:cachedUniqueName index="1202" name="[FactPayment].[CaseKey].&amp;[8101|00021606]"/>
            <x15:cachedUniqueName index="1203" name="[FactPayment].[CaseKey].&amp;[8101|00021615]"/>
            <x15:cachedUniqueName index="1204" name="[FactPayment].[CaseKey].&amp;[8101|00021624]"/>
            <x15:cachedUniqueName index="1205" name="[FactPayment].[CaseKey].&amp;[8101|00021638]"/>
            <x15:cachedUniqueName index="1206" name="[FactPayment].[CaseKey].&amp;[8101|00021646]"/>
            <x15:cachedUniqueName index="1207" name="[FactPayment].[CaseKey].&amp;[8101|00021650]"/>
            <x15:cachedUniqueName index="1208" name="[FactPayment].[CaseKey].&amp;[8101|00021665]"/>
            <x15:cachedUniqueName index="1209" name="[FactPayment].[CaseKey].&amp;[8101|00021677]"/>
            <x15:cachedUniqueName index="1210" name="[FactPayment].[CaseKey].&amp;[8101|00021685]"/>
            <x15:cachedUniqueName index="1211" name="[FactPayment].[CaseKey].&amp;[8101|00021695]"/>
            <x15:cachedUniqueName index="1212" name="[FactPayment].[CaseKey].&amp;[8101|00021706]"/>
            <x15:cachedUniqueName index="1213" name="[FactPayment].[CaseKey].&amp;[8101|00021717]"/>
            <x15:cachedUniqueName index="1214" name="[FactPayment].[CaseKey].&amp;[8101|00021728]"/>
            <x15:cachedUniqueName index="1215" name="[FactPayment].[CaseKey].&amp;[8101|00021735]"/>
            <x15:cachedUniqueName index="1216" name="[FactPayment].[CaseKey].&amp;[8101|00021747]"/>
            <x15:cachedUniqueName index="1217" name="[FactPayment].[CaseKey].&amp;[8101|00021757]"/>
            <x15:cachedUniqueName index="1218" name="[FactPayment].[CaseKey].&amp;[8101|00021767]"/>
            <x15:cachedUniqueName index="1219" name="[FactPayment].[CaseKey].&amp;[8101|00021778]"/>
            <x15:cachedUniqueName index="1220" name="[FactPayment].[CaseKey].&amp;[8101|00021786]"/>
            <x15:cachedUniqueName index="1221" name="[FactPayment].[CaseKey].&amp;[8101|00021792]"/>
            <x15:cachedUniqueName index="1222" name="[FactPayment].[CaseKey].&amp;[8101|00021801]"/>
            <x15:cachedUniqueName index="1223" name="[FactPayment].[CaseKey].&amp;[8101|00021815]"/>
            <x15:cachedUniqueName index="1224" name="[FactPayment].[CaseKey].&amp;[8101|00021820]"/>
            <x15:cachedUniqueName index="1225" name="[FactPayment].[CaseKey].&amp;[8101|00021836]"/>
            <x15:cachedUniqueName index="1226" name="[FactPayment].[CaseKey].&amp;[8101|00021848]"/>
            <x15:cachedUniqueName index="1227" name="[FactPayment].[CaseKey].&amp;[8101|00021854]"/>
            <x15:cachedUniqueName index="1228" name="[FactPayment].[CaseKey].&amp;[8101|00021863]"/>
            <x15:cachedUniqueName index="1229" name="[FactPayment].[CaseKey].&amp;[8101|00021871]"/>
            <x15:cachedUniqueName index="1230" name="[FactPayment].[CaseKey].&amp;[8101|00021883]"/>
            <x15:cachedUniqueName index="1231" name="[FactPayment].[CaseKey].&amp;[8101|00021895]"/>
            <x15:cachedUniqueName index="1232" name="[FactPayment].[CaseKey].&amp;[8101|00021904]"/>
            <x15:cachedUniqueName index="1233" name="[FactPayment].[CaseKey].&amp;[8101|00021916]"/>
            <x15:cachedUniqueName index="1234" name="[FactPayment].[CaseKey].&amp;[8101|00021927]"/>
            <x15:cachedUniqueName index="1235" name="[FactPayment].[CaseKey].&amp;[8101|00021937]"/>
            <x15:cachedUniqueName index="1236" name="[FactPayment].[CaseKey].&amp;[8101|00021948]"/>
            <x15:cachedUniqueName index="1237" name="[FactPayment].[CaseKey].&amp;[8101|00021957]"/>
            <x15:cachedUniqueName index="1238" name="[FactPayment].[CaseKey].&amp;[8101|00021966]"/>
            <x15:cachedUniqueName index="1239" name="[FactPayment].[CaseKey].&amp;[8101|00021970]"/>
            <x15:cachedUniqueName index="1240" name="[FactPayment].[CaseKey].&amp;[8101|00021988]"/>
            <x15:cachedUniqueName index="1241" name="[FactPayment].[CaseKey].&amp;[8101|00021993]"/>
            <x15:cachedUniqueName index="1242" name="[FactPayment].[CaseKey].&amp;[8101|00022008]"/>
            <x15:cachedUniqueName index="1243" name="[FactPayment].[CaseKey].&amp;[8101|00022010]"/>
            <x15:cachedUniqueName index="1244" name="[FactPayment].[CaseKey].&amp;[8101|00022026]"/>
            <x15:cachedUniqueName index="1245" name="[FactPayment].[CaseKey].&amp;[8101|00022034]"/>
            <x15:cachedUniqueName index="1246" name="[FactPayment].[CaseKey].&amp;[8101|00022048]"/>
            <x15:cachedUniqueName index="1247" name="[FactPayment].[CaseKey].&amp;[8101|00022058]"/>
            <x15:cachedUniqueName index="1248" name="[FactPayment].[CaseKey].&amp;[8101|00022062]"/>
            <x15:cachedUniqueName index="1249" name="[FactPayment].[CaseKey].&amp;[8101|00022073]"/>
            <x15:cachedUniqueName index="1250" name="[FactPayment].[CaseKey].&amp;[8101|00022083]"/>
            <x15:cachedUniqueName index="1251" name="[FactPayment].[CaseKey].&amp;[8101|00022091]"/>
            <x15:cachedUniqueName index="1252" name="[FactPayment].[CaseKey].&amp;[8101|00022106]"/>
            <x15:cachedUniqueName index="1253" name="[FactPayment].[CaseKey].&amp;[8101|00022112]"/>
            <x15:cachedUniqueName index="1254" name="[FactPayment].[CaseKey].&amp;[8101|00022127]"/>
            <x15:cachedUniqueName index="1255" name="[FactPayment].[CaseKey].&amp;[8101|00022131]"/>
            <x15:cachedUniqueName index="1256" name="[FactPayment].[CaseKey].&amp;[8101|00022143]"/>
            <x15:cachedUniqueName index="1257" name="[FactPayment].[CaseKey].&amp;[8101|00022156]"/>
            <x15:cachedUniqueName index="1258" name="[FactPayment].[CaseKey].&amp;[8101|00022163]"/>
            <x15:cachedUniqueName index="1259" name="[FactPayment].[CaseKey].&amp;[8101|00022170]"/>
            <x15:cachedUniqueName index="1260" name="[FactPayment].[CaseKey].&amp;[8101|00022183]"/>
            <x15:cachedUniqueName index="1261" name="[FactPayment].[CaseKey].&amp;[8101|00022191]"/>
            <x15:cachedUniqueName index="1262" name="[FactPayment].[CaseKey].&amp;[8101|00022213]"/>
            <x15:cachedUniqueName index="1263" name="[FactPayment].[CaseKey].&amp;[8101|00022222]"/>
            <x15:cachedUniqueName index="1264" name="[FactPayment].[CaseKey].&amp;[8101|00022235]"/>
            <x15:cachedUniqueName index="1265" name="[FactPayment].[CaseKey].&amp;[8101|00022244]"/>
            <x15:cachedUniqueName index="1266" name="[FactPayment].[CaseKey].&amp;[8101|00022251]"/>
            <x15:cachedUniqueName index="1267" name="[FactPayment].[CaseKey].&amp;[8101|00022262]"/>
            <x15:cachedUniqueName index="1268" name="[FactPayment].[CaseKey].&amp;[8101|00022273]"/>
            <x15:cachedUniqueName index="1269" name="[FactPayment].[CaseKey].&amp;[8101|00022286]"/>
            <x15:cachedUniqueName index="1270" name="[FactPayment].[CaseKey].&amp;[8101|00022294]"/>
            <x15:cachedUniqueName index="1271" name="[FactPayment].[CaseKey].&amp;[8101|00022307]"/>
            <x15:cachedUniqueName index="1272" name="[FactPayment].[CaseKey].&amp;[8101|00022312]"/>
            <x15:cachedUniqueName index="1273" name="[FactPayment].[CaseKey].&amp;[8101|00022320]"/>
            <x15:cachedUniqueName index="1274" name="[FactPayment].[CaseKey].&amp;[8101|00022330]"/>
            <x15:cachedUniqueName index="1275" name="[FactPayment].[CaseKey].&amp;[8101|00022342]"/>
            <x15:cachedUniqueName index="1276" name="[FactPayment].[CaseKey].&amp;[8101|00022354]"/>
            <x15:cachedUniqueName index="1277" name="[FactPayment].[CaseKey].&amp;[8101|00022364]"/>
            <x15:cachedUniqueName index="1278" name="[FactPayment].[CaseKey].&amp;[8101|00022373]"/>
            <x15:cachedUniqueName index="1279" name="[FactPayment].[CaseKey].&amp;[8101|00022380]"/>
            <x15:cachedUniqueName index="1280" name="[FactPayment].[CaseKey].&amp;[8101|00022398]"/>
            <x15:cachedUniqueName index="1281" name="[FactPayment].[CaseKey].&amp;[8101|00022405]"/>
            <x15:cachedUniqueName index="1282" name="[FactPayment].[CaseKey].&amp;[8101|00022418]"/>
            <x15:cachedUniqueName index="1283" name="[FactPayment].[CaseKey].&amp;[8101|00022426]"/>
            <x15:cachedUniqueName index="1284" name="[FactPayment].[CaseKey].&amp;[8101|00022432]"/>
            <x15:cachedUniqueName index="1285" name="[FactPayment].[CaseKey].&amp;[8101|00022442]"/>
            <x15:cachedUniqueName index="1286" name="[FactPayment].[CaseKey].&amp;[8101|00022453]"/>
            <x15:cachedUniqueName index="1287" name="[FactPayment].[CaseKey].&amp;[8101|00022472]"/>
            <x15:cachedUniqueName index="1288" name="[FactPayment].[CaseKey].&amp;[8101|00022488]"/>
            <x15:cachedUniqueName index="1289" name="[FactPayment].[CaseKey].&amp;[8101|00022495]"/>
            <x15:cachedUniqueName index="1290" name="[FactPayment].[CaseKey].&amp;[8101|00022500]"/>
            <x15:cachedUniqueName index="1291" name="[FactPayment].[CaseKey].&amp;[8101|00022511]"/>
            <x15:cachedUniqueName index="1292" name="[FactPayment].[CaseKey].&amp;[8101|00022526]"/>
            <x15:cachedUniqueName index="1293" name="[FactPayment].[CaseKey].&amp;[8101|00022533]"/>
            <x15:cachedUniqueName index="1294" name="[FactPayment].[CaseKey].&amp;[8101|00022544]"/>
            <x15:cachedUniqueName index="1295" name="[FactPayment].[CaseKey].&amp;[8101|00022556]"/>
            <x15:cachedUniqueName index="1296" name="[FactPayment].[CaseKey].&amp;[8101|00022561]"/>
            <x15:cachedUniqueName index="1297" name="[FactPayment].[CaseKey].&amp;[8101|00022576]"/>
            <x15:cachedUniqueName index="1298" name="[FactPayment].[CaseKey].&amp;[8101|00022584]"/>
            <x15:cachedUniqueName index="1299" name="[FactPayment].[CaseKey].&amp;[8101|00022597]"/>
            <x15:cachedUniqueName index="1300" name="[FactPayment].[CaseKey].&amp;[8101|00022608]"/>
            <x15:cachedUniqueName index="1301" name="[FactPayment].[CaseKey].&amp;[8101|00022611]"/>
            <x15:cachedUniqueName index="1302" name="[FactPayment].[CaseKey].&amp;[8101|00022622]"/>
            <x15:cachedUniqueName index="1303" name="[FactPayment].[CaseKey].&amp;[8101|00022632]"/>
            <x15:cachedUniqueName index="1304" name="[FactPayment].[CaseKey].&amp;[8101|00022642]"/>
            <x15:cachedUniqueName index="1305" name="[FactPayment].[CaseKey].&amp;[8101|00022653]"/>
            <x15:cachedUniqueName index="1306" name="[FactPayment].[CaseKey].&amp;[8101|00022661]"/>
            <x15:cachedUniqueName index="1307" name="[FactPayment].[CaseKey].&amp;[8101|00022678]"/>
            <x15:cachedUniqueName index="1308" name="[FactPayment].[CaseKey].&amp;[8101|00022688]"/>
            <x15:cachedUniqueName index="1309" name="[FactPayment].[CaseKey].&amp;[8101|00022695]"/>
            <x15:cachedUniqueName index="1310" name="[FactPayment].[CaseKey].&amp;[8101|00022700]"/>
            <x15:cachedUniqueName index="1311" name="[FactPayment].[CaseKey].&amp;[8101|00022714]"/>
            <x15:cachedUniqueName index="1312" name="[FactPayment].[CaseKey].&amp;[8101|00022738]"/>
            <x15:cachedUniqueName index="1313" name="[FactPayment].[CaseKey].&amp;[8101|00022748]"/>
            <x15:cachedUniqueName index="1314" name="[FactPayment].[CaseKey].&amp;[8101|00022753]"/>
            <x15:cachedUniqueName index="1315" name="[FactPayment].[CaseKey].&amp;[8101|00022768]"/>
            <x15:cachedUniqueName index="1316" name="[FactPayment].[CaseKey].&amp;[8101|00022770]"/>
            <x15:cachedUniqueName index="1317" name="[FactPayment].[CaseKey].&amp;[8101|00022788]"/>
            <x15:cachedUniqueName index="1318" name="[FactPayment].[CaseKey].&amp;[8101|00022793]"/>
            <x15:cachedUniqueName index="1319" name="[FactPayment].[CaseKey].&amp;[8101|00022806]"/>
            <x15:cachedUniqueName index="1320" name="[FactPayment].[CaseKey].&amp;[8101|00022817]"/>
            <x15:cachedUniqueName index="1321" name="[FactPayment].[CaseKey].&amp;[8101|00022826]"/>
            <x15:cachedUniqueName index="1322" name="[FactPayment].[CaseKey].&amp;[8101|00022831]"/>
            <x15:cachedUniqueName index="1323" name="[FactPayment].[CaseKey].&amp;[8101|00022858]"/>
            <x15:cachedUniqueName index="1324" name="[FactPayment].[CaseKey].&amp;[8101|00022868]"/>
            <x15:cachedUniqueName index="1325" name="[FactPayment].[CaseKey].&amp;[8101|00022875]"/>
            <x15:cachedUniqueName index="1326" name="[FactPayment].[CaseKey].&amp;[8101|00022887]"/>
            <x15:cachedUniqueName index="1327" name="[FactPayment].[CaseKey].&amp;[8101|00022898]"/>
            <x15:cachedUniqueName index="1328" name="[FactPayment].[CaseKey].&amp;[8101|00022906]"/>
            <x15:cachedUniqueName index="1329" name="[FactPayment].[CaseKey].&amp;[8101|00022918]"/>
            <x15:cachedUniqueName index="1330" name="[FactPayment].[CaseKey].&amp;[8101|00022922]"/>
            <x15:cachedUniqueName index="1331" name="[FactPayment].[CaseKey].&amp;[8101|00022931]"/>
            <x15:cachedUniqueName index="1332" name="[FactPayment].[CaseKey].&amp;[8101|00022940]"/>
            <x15:cachedUniqueName index="1333" name="[FactPayment].[CaseKey].&amp;[8101|00022951]"/>
            <x15:cachedUniqueName index="1334" name="[FactPayment].[CaseKey].&amp;[8101|00022963]"/>
            <x15:cachedUniqueName index="1335" name="[FactPayment].[CaseKey].&amp;[8101|00022978]"/>
            <x15:cachedUniqueName index="1336" name="[FactPayment].[CaseKey].&amp;[8101|00022980]"/>
            <x15:cachedUniqueName index="1337" name="[FactPayment].[CaseKey].&amp;[8101|00022993]"/>
            <x15:cachedUniqueName index="1338" name="[FactPayment].[CaseKey].&amp;[8101|00023008]"/>
            <x15:cachedUniqueName index="1339" name="[FactPayment].[CaseKey].&amp;[8101|00023014]"/>
            <x15:cachedUniqueName index="1340" name="[FactPayment].[CaseKey].&amp;[8101|00023026]"/>
            <x15:cachedUniqueName index="1341" name="[FactPayment].[CaseKey].&amp;[8101|00023038]"/>
            <x15:cachedUniqueName index="1342" name="[FactPayment].[CaseKey].&amp;[8101|00023048]"/>
            <x15:cachedUniqueName index="1343" name="[FactPayment].[CaseKey].&amp;[8101|00023056]"/>
            <x15:cachedUniqueName index="1344" name="[FactPayment].[CaseKey].&amp;[8101|00023068]"/>
            <x15:cachedUniqueName index="1345" name="[FactPayment].[CaseKey].&amp;[8101|00023073]"/>
            <x15:cachedUniqueName index="1346" name="[FactPayment].[CaseKey].&amp;[8101|00023080]"/>
            <x15:cachedUniqueName index="1347" name="[FactPayment].[CaseKey].&amp;[8101|00023094]"/>
            <x15:cachedUniqueName index="1348" name="[FactPayment].[CaseKey].&amp;[8101|00023105]"/>
            <x15:cachedUniqueName index="1349" name="[FactPayment].[CaseKey].&amp;[8101|00023115]"/>
            <x15:cachedUniqueName index="1350" name="[FactPayment].[CaseKey].&amp;[8101|00023121]"/>
            <x15:cachedUniqueName index="1351" name="[FactPayment].[CaseKey].&amp;[8101|00023130]"/>
            <x15:cachedUniqueName index="1352" name="[FactPayment].[CaseKey].&amp;[8101|00023148]"/>
            <x15:cachedUniqueName index="1353" name="[FactPayment].[CaseKey].&amp;[8101|00023156]"/>
            <x15:cachedUniqueName index="1354" name="[FactPayment].[CaseKey].&amp;[8101|00023160]"/>
            <x15:cachedUniqueName index="1355" name="[FactPayment].[CaseKey].&amp;[8101|00023172]"/>
            <x15:cachedUniqueName index="1356" name="[FactPayment].[CaseKey].&amp;[8101|00023185]"/>
            <x15:cachedUniqueName index="1357" name="[FactPayment].[CaseKey].&amp;[8101|00023196]"/>
            <x15:cachedUniqueName index="1358" name="[FactPayment].[CaseKey].&amp;[8101|00023208]"/>
            <x15:cachedUniqueName index="1359" name="[FactPayment].[CaseKey].&amp;[8101|00023218]"/>
            <x15:cachedUniqueName index="1360" name="[FactPayment].[CaseKey].&amp;[8101|00023234]"/>
            <x15:cachedUniqueName index="1361" name="[FactPayment].[CaseKey].&amp;[8101|00023247]"/>
            <x15:cachedUniqueName index="1362" name="[FactPayment].[CaseKey].&amp;[8101|00023258]"/>
            <x15:cachedUniqueName index="1363" name="[FactPayment].[CaseKey].&amp;[8101|00023264]"/>
            <x15:cachedUniqueName index="1364" name="[FactPayment].[CaseKey].&amp;[8101|00023271]"/>
            <x15:cachedUniqueName index="1365" name="[FactPayment].[CaseKey].&amp;[8101|00023280]"/>
            <x15:cachedUniqueName index="1366" name="[FactPayment].[CaseKey].&amp;[8101|00023297]"/>
            <x15:cachedUniqueName index="1367" name="[FactPayment].[CaseKey].&amp;[8101|00023300]"/>
            <x15:cachedUniqueName index="1368" name="[FactPayment].[CaseKey].&amp;[8101|00023318]"/>
            <x15:cachedUniqueName index="1369" name="[FactPayment].[CaseKey].&amp;[8101|00023323]"/>
            <x15:cachedUniqueName index="1370" name="[FactPayment].[CaseKey].&amp;[8101|00023334]"/>
            <x15:cachedUniqueName index="1371" name="[FactPayment].[CaseKey].&amp;[8101|00023341]"/>
            <x15:cachedUniqueName index="1372" name="[FactPayment].[CaseKey].&amp;[8101|00023358]"/>
            <x15:cachedUniqueName index="1373" name="[FactPayment].[CaseKey].&amp;[8101|00023375]"/>
            <x15:cachedUniqueName index="1374" name="[FactPayment].[CaseKey].&amp;[8101|00023384]"/>
            <x15:cachedUniqueName index="1375" name="[FactPayment].[CaseKey].&amp;[8101|00023390]"/>
            <x15:cachedUniqueName index="1376" name="[FactPayment].[CaseKey].&amp;[8101|00023401]"/>
            <x15:cachedUniqueName index="1377" name="[FactPayment].[CaseKey].&amp;[8101|00023415]"/>
            <x15:cachedUniqueName index="1378" name="[FactPayment].[CaseKey].&amp;[8101|00023436]"/>
            <x15:cachedUniqueName index="1379" name="[FactPayment].[CaseKey].&amp;[8101|00023444]"/>
            <x15:cachedUniqueName index="1380" name="[FactPayment].[CaseKey].&amp;[8101|00023458]"/>
            <x15:cachedUniqueName index="1381" name="[FactPayment].[CaseKey].&amp;[8101|00023462]"/>
            <x15:cachedUniqueName index="1382" name="[FactPayment].[CaseKey].&amp;[8101|00023472]"/>
            <x15:cachedUniqueName index="1383" name="[FactPayment].[CaseKey].&amp;[8101|00023483]"/>
            <x15:cachedUniqueName index="1384" name="[FactPayment].[CaseKey].&amp;[8101|00023505]"/>
            <x15:cachedUniqueName index="1385" name="[FactPayment].[CaseKey].&amp;[8101|00023518]"/>
            <x15:cachedUniqueName index="1386" name="[FactPayment].[CaseKey].&amp;[8101|00023525]"/>
            <x15:cachedUniqueName index="1387" name="[FactPayment].[CaseKey].&amp;[8101|00023536]"/>
            <x15:cachedUniqueName index="1388" name="[FactPayment].[CaseKey].&amp;[8101|00023545]"/>
            <x15:cachedUniqueName index="1389" name="[FactPayment].[CaseKey].&amp;[8101|00023551]"/>
            <x15:cachedUniqueName index="1390" name="[FactPayment].[CaseKey].&amp;[8101|00023566]"/>
            <x15:cachedUniqueName index="1391" name="[FactPayment].[CaseKey].&amp;[8101|00023578]"/>
            <x15:cachedUniqueName index="1392" name="[FactPayment].[CaseKey].&amp;[8101|00023583]"/>
            <x15:cachedUniqueName index="1393" name="[FactPayment].[CaseKey].&amp;[8101|00023590]"/>
            <x15:cachedUniqueName index="1394" name="[FactPayment].[CaseKey].&amp;[8101|00023600]"/>
            <x15:cachedUniqueName index="1395" name="[FactPayment].[CaseKey].&amp;[8101|00023614]"/>
            <x15:cachedUniqueName index="1396" name="[FactPayment].[CaseKey].&amp;[8101|00023627]"/>
            <x15:cachedUniqueName index="1397" name="[FactPayment].[CaseKey].&amp;[8101|00023637]"/>
            <x15:cachedUniqueName index="1398" name="[FactPayment].[CaseKey].&amp;[8101|00023658]"/>
            <x15:cachedUniqueName index="1399" name="[FactPayment].[CaseKey].&amp;[8101|00023668]"/>
            <x15:cachedUniqueName index="1400" name="[FactPayment].[CaseKey].&amp;[8101|00023675]"/>
            <x15:cachedUniqueName index="1401" name="[FactPayment].[CaseKey].&amp;[8101|00023680]"/>
            <x15:cachedUniqueName index="1402" name="[FactPayment].[CaseKey].&amp;[8101|00023690]"/>
            <x15:cachedUniqueName index="1403" name="[FactPayment].[CaseKey].&amp;[8101|00023703]"/>
            <x15:cachedUniqueName index="1404" name="[FactPayment].[CaseKey].&amp;[8101|00023716]"/>
            <x15:cachedUniqueName index="1405" name="[FactPayment].[CaseKey].&amp;[8101|00023720]"/>
            <x15:cachedUniqueName index="1406" name="[FactPayment].[CaseKey].&amp;[8101|00023737]"/>
            <x15:cachedUniqueName index="1407" name="[FactPayment].[CaseKey].&amp;[8101|00023748]"/>
            <x15:cachedUniqueName index="1408" name="[FactPayment].[CaseKey].&amp;[8101|00023763]"/>
            <x15:cachedUniqueName index="1409" name="[FactPayment].[CaseKey].&amp;[8101|00023774]"/>
            <x15:cachedUniqueName index="1410" name="[FactPayment].[CaseKey].&amp;[8101|00023788]"/>
            <x15:cachedUniqueName index="1411" name="[FactPayment].[CaseKey].&amp;[8101|00023790]"/>
            <x15:cachedUniqueName index="1412" name="[FactPayment].[CaseKey].&amp;[8101|00023808]"/>
            <x15:cachedUniqueName index="1413" name="[FactPayment].[CaseKey].&amp;[8101|00023811]"/>
            <x15:cachedUniqueName index="1414" name="[FactPayment].[CaseKey].&amp;[8101|00023827]"/>
            <x15:cachedUniqueName index="1415" name="[FactPayment].[CaseKey].&amp;[8101|00023838]"/>
            <x15:cachedUniqueName index="1416" name="[FactPayment].[CaseKey].&amp;[8101|00023842]"/>
            <x15:cachedUniqueName index="1417" name="[FactPayment].[CaseKey].&amp;[8101|00023858]"/>
            <x15:cachedUniqueName index="1418" name="[FactPayment].[CaseKey].&amp;[8101|00023868]"/>
            <x15:cachedUniqueName index="1419" name="[FactPayment].[CaseKey].&amp;[8101|00023877]"/>
            <x15:cachedUniqueName index="1420" name="[FactPayment].[CaseKey].&amp;[8101|00023886]"/>
            <x15:cachedUniqueName index="1421" name="[FactPayment].[CaseKey].&amp;[8101|00023892]"/>
            <x15:cachedUniqueName index="1422" name="[FactPayment].[CaseKey].&amp;[8101|00023900]"/>
            <x15:cachedUniqueName index="1423" name="[FactPayment].[CaseKey].&amp;[8101|00023914]"/>
            <x15:cachedUniqueName index="1424" name="[FactPayment].[CaseKey].&amp;[8101|00023920]"/>
            <x15:cachedUniqueName index="1425" name="[FactPayment].[CaseKey].&amp;[8101|00023937]"/>
            <x15:cachedUniqueName index="1426" name="[FactPayment].[CaseKey].&amp;[8101|00023948]"/>
            <x15:cachedUniqueName index="1427" name="[FactPayment].[CaseKey].&amp;[8101|00023958]"/>
            <x15:cachedUniqueName index="1428" name="[FactPayment].[CaseKey].&amp;[8101|00023964]"/>
            <x15:cachedUniqueName index="1429" name="[FactPayment].[CaseKey].&amp;[8101|00023975]"/>
            <x15:cachedUniqueName index="1430" name="[FactPayment].[CaseKey].&amp;[8101|00023983]"/>
            <x15:cachedUniqueName index="1431" name="[FactPayment].[CaseKey].&amp;[8101|00023991]"/>
            <x15:cachedUniqueName index="1432" name="[FactPayment].[CaseKey].&amp;[8101|00024005]"/>
            <x15:cachedUniqueName index="1433" name="[FactPayment].[CaseKey].&amp;[8101|00024014]"/>
            <x15:cachedUniqueName index="1434" name="[FactPayment].[CaseKey].&amp;[8101|00024025]"/>
            <x15:cachedUniqueName index="1435" name="[FactPayment].[CaseKey].&amp;[8101|00024035]"/>
            <x15:cachedUniqueName index="1436" name="[FactPayment].[CaseKey].&amp;[8101|00024048]"/>
            <x15:cachedUniqueName index="1437" name="[FactPayment].[CaseKey].&amp;[8101|00024058]"/>
            <x15:cachedUniqueName index="1438" name="[FactPayment].[CaseKey].&amp;[8101|00024066]"/>
            <x15:cachedUniqueName index="1439" name="[FactPayment].[CaseKey].&amp;[8101|00024077]"/>
            <x15:cachedUniqueName index="1440" name="[FactPayment].[CaseKey].&amp;[8101|00024086]"/>
            <x15:cachedUniqueName index="1441" name="[FactPayment].[CaseKey].&amp;[8101|00024096]"/>
            <x15:cachedUniqueName index="1442" name="[FactPayment].[CaseKey].&amp;[8101|00024100]"/>
            <x15:cachedUniqueName index="1443" name="[FactPayment].[CaseKey].&amp;[8101|00024116]"/>
            <x15:cachedUniqueName index="1444" name="[FactPayment].[CaseKey].&amp;[8101|00024126]"/>
            <x15:cachedUniqueName index="1445" name="[FactPayment].[CaseKey].&amp;[8101|00024138]"/>
            <x15:cachedUniqueName index="1446" name="[FactPayment].[CaseKey].&amp;[8101|00024143]"/>
            <x15:cachedUniqueName index="1447" name="[FactPayment].[CaseKey].&amp;[8101|00024151]"/>
            <x15:cachedUniqueName index="1448" name="[FactPayment].[CaseKey].&amp;[8101|00024167]"/>
            <x15:cachedUniqueName index="1449" name="[FactPayment].[CaseKey].&amp;[8101|00024177]"/>
            <x15:cachedUniqueName index="1450" name="[FactPayment].[CaseKey].&amp;[8101|00024183]"/>
            <x15:cachedUniqueName index="1451" name="[FactPayment].[CaseKey].&amp;[8101|00024191]"/>
            <x15:cachedUniqueName index="1452" name="[FactPayment].[CaseKey].&amp;[8101|00024208]"/>
            <x15:cachedUniqueName index="1453" name="[FactPayment].[CaseKey].&amp;[8101|00024218]"/>
            <x15:cachedUniqueName index="1454" name="[FactPayment].[CaseKey].&amp;[8101|00024220]"/>
            <x15:cachedUniqueName index="1455" name="[FactPayment].[CaseKey].&amp;[8101|00024232]"/>
            <x15:cachedUniqueName index="1456" name="[FactPayment].[CaseKey].&amp;[8101|00024240]"/>
            <x15:cachedUniqueName index="1457" name="[FactPayment].[CaseKey].&amp;[8101|00024255]"/>
            <x15:cachedUniqueName index="1458" name="[FactPayment].[CaseKey].&amp;[8101|00024262]"/>
            <x15:cachedUniqueName index="1459" name="[FactPayment].[CaseKey].&amp;[8101|00024275]"/>
            <x15:cachedUniqueName index="1460" name="[FactPayment].[CaseKey].&amp;[8101|00024285]"/>
            <x15:cachedUniqueName index="1461" name="[FactPayment].[CaseKey].&amp;[8101|00024292]"/>
            <x15:cachedUniqueName index="1462" name="[FactPayment].[CaseKey].&amp;[8101|00024305]"/>
            <x15:cachedUniqueName index="1463" name="[FactPayment].[CaseKey].&amp;[8101|00024311]"/>
            <x15:cachedUniqueName index="1464" name="[FactPayment].[CaseKey].&amp;[8101|00024323]"/>
            <x15:cachedUniqueName index="1465" name="[FactPayment].[CaseKey].&amp;[8101|00024336]"/>
            <x15:cachedUniqueName index="1466" name="[FactPayment].[CaseKey].&amp;[8101|00024342]"/>
            <x15:cachedUniqueName index="1467" name="[FactPayment].[CaseKey].&amp;[8101|00024366]"/>
            <x15:cachedUniqueName index="1468" name="[FactPayment].[CaseKey].&amp;[8101|00024370]"/>
            <x15:cachedUniqueName index="1469" name="[FactPayment].[CaseKey].&amp;[8101|00024382]"/>
            <x15:cachedUniqueName index="1470" name="[FactPayment].[CaseKey].&amp;[8101|00024393]"/>
            <x15:cachedUniqueName index="1471" name="[FactPayment].[CaseKey].&amp;[8101|00024408]"/>
            <x15:cachedUniqueName index="1472" name="[FactPayment].[CaseKey].&amp;[8101|00024415]"/>
            <x15:cachedUniqueName index="1473" name="[FactPayment].[CaseKey].&amp;[8101|00024422]"/>
            <x15:cachedUniqueName index="1474" name="[FactPayment].[CaseKey].&amp;[8101|00024431]"/>
            <x15:cachedUniqueName index="1475" name="[FactPayment].[CaseKey].&amp;[8101|00024448]"/>
            <x15:cachedUniqueName index="1476" name="[FactPayment].[CaseKey].&amp;[8101|00024452]"/>
            <x15:cachedUniqueName index="1477" name="[FactPayment].[CaseKey].&amp;[8101|00024461]"/>
            <x15:cachedUniqueName index="1478" name="[FactPayment].[CaseKey].&amp;[8101|00024476]"/>
            <x15:cachedUniqueName index="1479" name="[FactPayment].[CaseKey].&amp;[8101|00024480]"/>
            <x15:cachedUniqueName index="1480" name="[FactPayment].[CaseKey].&amp;[8101|00024492]"/>
            <x15:cachedUniqueName index="1481" name="[FactPayment].[CaseKey].&amp;[8101|00024508]"/>
            <x15:cachedUniqueName index="1482" name="[FactPayment].[CaseKey].&amp;[8101|00024514]"/>
            <x15:cachedUniqueName index="1483" name="[FactPayment].[CaseKey].&amp;[8101|00024521]"/>
            <x15:cachedUniqueName index="1484" name="[FactPayment].[CaseKey].&amp;[8101|00024537]"/>
            <x15:cachedUniqueName index="1485" name="[FactPayment].[CaseKey].&amp;[8101|00024545]"/>
            <x15:cachedUniqueName index="1486" name="[FactPayment].[CaseKey].&amp;[8101|00024552]"/>
            <x15:cachedUniqueName index="1487" name="[FactPayment].[CaseKey].&amp;[8101|00024562]"/>
            <x15:cachedUniqueName index="1488" name="[FactPayment].[CaseKey].&amp;[8101|00024570]"/>
            <x15:cachedUniqueName index="1489" name="[FactPayment].[CaseKey].&amp;[8101|00024588]"/>
            <x15:cachedUniqueName index="1490" name="[FactPayment].[CaseKey].&amp;[8101|00024595]"/>
            <x15:cachedUniqueName index="1491" name="[FactPayment].[CaseKey].&amp;[8101|00024605]"/>
            <x15:cachedUniqueName index="1492" name="[FactPayment].[CaseKey].&amp;[8101|00024614]"/>
            <x15:cachedUniqueName index="1493" name="[FactPayment].[CaseKey].&amp;[8101|00024627]"/>
            <x15:cachedUniqueName index="1494" name="[FactPayment].[CaseKey].&amp;[8101|00024631]"/>
            <x15:cachedUniqueName index="1495" name="[FactPayment].[CaseKey].&amp;[8101|00024644]"/>
            <x15:cachedUniqueName index="1496" name="[FactPayment].[CaseKey].&amp;[8101|00024658]"/>
            <x15:cachedUniqueName index="1497" name="[FactPayment].[CaseKey].&amp;[8101|00024664]"/>
            <x15:cachedUniqueName index="1498" name="[FactPayment].[CaseKey].&amp;[8101|00024675]"/>
            <x15:cachedUniqueName index="1499" name="[FactPayment].[CaseKey].&amp;[8101|00024686]"/>
            <x15:cachedUniqueName index="1500" name="[FactPayment].[CaseKey].&amp;[8101|00024696]"/>
            <x15:cachedUniqueName index="1501" name="[FactPayment].[CaseKey].&amp;[8101|00024704]"/>
            <x15:cachedUniqueName index="1502" name="[FactPayment].[CaseKey].&amp;[8101|00024717]"/>
            <x15:cachedUniqueName index="1503" name="[FactPayment].[CaseKey].&amp;[8101|00024736]"/>
            <x15:cachedUniqueName index="1504" name="[FactPayment].[CaseKey].&amp;[8101|00024740]"/>
            <x15:cachedUniqueName index="1505" name="[FactPayment].[CaseKey].&amp;[8101|00024757]"/>
            <x15:cachedUniqueName index="1506" name="[FactPayment].[CaseKey].&amp;[8101|00024762]"/>
            <x15:cachedUniqueName index="1507" name="[FactPayment].[CaseKey].&amp;[8101|00024778]"/>
            <x15:cachedUniqueName index="1508" name="[FactPayment].[CaseKey].&amp;[8101|00024788]"/>
            <x15:cachedUniqueName index="1509" name="[FactPayment].[CaseKey].&amp;[8101|00024791]"/>
            <x15:cachedUniqueName index="1510" name="[FactPayment].[CaseKey].&amp;[8101|00024808]"/>
            <x15:cachedUniqueName index="1511" name="[FactPayment].[CaseKey].&amp;[8101|00024810]"/>
            <x15:cachedUniqueName index="1512" name="[FactPayment].[CaseKey].&amp;[8101|00024827]"/>
            <x15:cachedUniqueName index="1513" name="[FactPayment].[CaseKey].&amp;[8101|00024832]"/>
            <x15:cachedUniqueName index="1514" name="[FactPayment].[CaseKey].&amp;[8101|00024845]"/>
            <x15:cachedUniqueName index="1515" name="[FactPayment].[CaseKey].&amp;[8101|00024853]"/>
            <x15:cachedUniqueName index="1516" name="[FactPayment].[CaseKey].&amp;[8101|00024864]"/>
            <x15:cachedUniqueName index="1517" name="[FactPayment].[CaseKey].&amp;[8101|00024871]"/>
            <x15:cachedUniqueName index="1518" name="[FactPayment].[CaseKey].&amp;[8101|00024886]"/>
            <x15:cachedUniqueName index="1519" name="[FactPayment].[CaseKey].&amp;[8101|00024890]"/>
            <x15:cachedUniqueName index="1520" name="[FactPayment].[CaseKey].&amp;[8101|00024907]"/>
            <x15:cachedUniqueName index="1521" name="[FactPayment].[CaseKey].&amp;[8101|00024915]"/>
            <x15:cachedUniqueName index="1522" name="[FactPayment].[CaseKey].&amp;[8101|00024927]"/>
            <x15:cachedUniqueName index="1523" name="[FactPayment].[CaseKey].&amp;[8101|00024935]"/>
            <x15:cachedUniqueName index="1524" name="[FactPayment].[CaseKey].&amp;[8101|00024945]"/>
            <x15:cachedUniqueName index="1525" name="[FactPayment].[CaseKey].&amp;[8101|00024957]"/>
            <x15:cachedUniqueName index="1526" name="[FactPayment].[CaseKey].&amp;[8101|00024962]"/>
            <x15:cachedUniqueName index="1527" name="[FactPayment].[CaseKey].&amp;[8101|00024976]"/>
            <x15:cachedUniqueName index="1528" name="[FactPayment].[CaseKey].&amp;[8101|00024987]"/>
            <x15:cachedUniqueName index="1529" name="[FactPayment].[CaseKey].&amp;[8101|00024990]"/>
            <x15:cachedUniqueName index="1530" name="[FactPayment].[CaseKey].&amp;[8101|00025007]"/>
            <x15:cachedUniqueName index="1531" name="[FactPayment].[CaseKey].&amp;[8101|00025011]"/>
            <x15:cachedUniqueName index="1532" name="[FactPayment].[CaseKey].&amp;[8101|00025028]"/>
            <x15:cachedUniqueName index="1533" name="[FactPayment].[CaseKey].&amp;[8101|00025034]"/>
            <x15:cachedUniqueName index="1534" name="[FactPayment].[CaseKey].&amp;[8101|00025045]"/>
            <x15:cachedUniqueName index="1535" name="[FactPayment].[CaseKey].&amp;[8101|00025052]"/>
            <x15:cachedUniqueName index="1536" name="[FactPayment].[CaseKey].&amp;[8101|00025063]"/>
            <x15:cachedUniqueName index="1537" name="[FactPayment].[CaseKey].&amp;[8101|00025076]"/>
            <x15:cachedUniqueName index="1538" name="[FactPayment].[CaseKey].&amp;[8101|00025087]"/>
            <x15:cachedUniqueName index="1539" name="[FactPayment].[CaseKey].&amp;[8101|00025095]"/>
            <x15:cachedUniqueName index="1540" name="[FactPayment].[CaseKey].&amp;[8101|00025108]"/>
            <x15:cachedUniqueName index="1541" name="[FactPayment].[CaseKey].&amp;[8101|00025115]"/>
            <x15:cachedUniqueName index="1542" name="[FactPayment].[CaseKey].&amp;[8101|00025122]"/>
            <x15:cachedUniqueName index="1543" name="[FactPayment].[CaseKey].&amp;[8101|00025136]"/>
            <x15:cachedUniqueName index="1544" name="[FactPayment].[CaseKey].&amp;[8101|00025146]"/>
            <x15:cachedUniqueName index="1545" name="[FactPayment].[CaseKey].&amp;[8101|00025155]"/>
            <x15:cachedUniqueName index="1546" name="[FactPayment].[CaseKey].&amp;[8101|00025164]"/>
            <x15:cachedUniqueName index="1547" name="[FactPayment].[CaseKey].&amp;[8101|00025173]"/>
            <x15:cachedUniqueName index="1548" name="[FactPayment].[CaseKey].&amp;[8101|00025180]"/>
            <x15:cachedUniqueName index="1549" name="[FactPayment].[CaseKey].&amp;[8101|00025192]"/>
            <x15:cachedUniqueName index="1550" name="[FactPayment].[CaseKey].&amp;[8101|00025213]"/>
            <x15:cachedUniqueName index="1551" name="[FactPayment].[CaseKey].&amp;[8101|00025224]"/>
            <x15:cachedUniqueName index="1552" name="[FactPayment].[CaseKey].&amp;[8101|00025231]"/>
            <x15:cachedUniqueName index="1553" name="[FactPayment].[CaseKey].&amp;[8101|00025242]"/>
            <x15:cachedUniqueName index="1554" name="[FactPayment].[CaseKey].&amp;[8101|00025254]"/>
            <x15:cachedUniqueName index="1555" name="[FactPayment].[CaseKey].&amp;[8101|00025265]"/>
            <x15:cachedUniqueName index="1556" name="[FactPayment].[CaseKey].&amp;[8101|00025271]"/>
            <x15:cachedUniqueName index="1557" name="[FactPayment].[CaseKey].&amp;[8101|00025288]"/>
            <x15:cachedUniqueName index="1558" name="[FactPayment].[CaseKey].&amp;[8101|00025292]"/>
            <x15:cachedUniqueName index="1559" name="[FactPayment].[CaseKey].&amp;[8101|00025326]"/>
            <x15:cachedUniqueName index="1560" name="[FactPayment].[CaseKey].&amp;[8101|00025335]"/>
            <x15:cachedUniqueName index="1561" name="[FactPayment].[CaseKey].&amp;[8101|00025347]"/>
            <x15:cachedUniqueName index="1562" name="[FactPayment].[CaseKey].&amp;[8101|00025355]"/>
            <x15:cachedUniqueName index="1563" name="[FactPayment].[CaseKey].&amp;[8101|00025366]"/>
            <x15:cachedUniqueName index="1564" name="[FactPayment].[CaseKey].&amp;[8101|00025375]"/>
            <x15:cachedUniqueName index="1565" name="[FactPayment].[CaseKey].&amp;[8101|00025386]"/>
            <x15:cachedUniqueName index="1566" name="[FactPayment].[CaseKey].&amp;[8101|00025395]"/>
            <x15:cachedUniqueName index="1567" name="[FactPayment].[CaseKey].&amp;[8101|00025406]"/>
            <x15:cachedUniqueName index="1568" name="[FactPayment].[CaseKey].&amp;[8101|00025416]"/>
            <x15:cachedUniqueName index="1569" name="[FactPayment].[CaseKey].&amp;[8101|00025422]"/>
            <x15:cachedUniqueName index="1570" name="[FactPayment].[CaseKey].&amp;[8101|00025431]"/>
            <x15:cachedUniqueName index="1571" name="[FactPayment].[CaseKey].&amp;[8101|00025440]"/>
            <x15:cachedUniqueName index="1572" name="[FactPayment].[CaseKey].&amp;[8101|00025454]"/>
            <x15:cachedUniqueName index="1573" name="[FactPayment].[CaseKey].&amp;[8101|00025462]"/>
            <x15:cachedUniqueName index="1574" name="[FactPayment].[CaseKey].&amp;[8101|00025470]"/>
            <x15:cachedUniqueName index="1575" name="[FactPayment].[CaseKey].&amp;[8101|00025483]"/>
            <x15:cachedUniqueName index="1576" name="[FactPayment].[CaseKey].&amp;[8101|00025491]"/>
            <x15:cachedUniqueName index="1577" name="[FactPayment].[CaseKey].&amp;[8101|00025500]"/>
            <x15:cachedUniqueName index="1578" name="[FactPayment].[CaseKey].&amp;[8101|00025511]"/>
            <x15:cachedUniqueName index="1579" name="[FactPayment].[CaseKey].&amp;[8101|00025526]"/>
            <x15:cachedUniqueName index="1580" name="[FactPayment].[CaseKey].&amp;[8101|00025537]"/>
            <x15:cachedUniqueName index="1581" name="[FactPayment].[CaseKey].&amp;[8101|00025541]"/>
            <x15:cachedUniqueName index="1582" name="[FactPayment].[CaseKey].&amp;[8101|00025554]"/>
            <x15:cachedUniqueName index="1583" name="[FactPayment].[CaseKey].&amp;[8101|00025561]"/>
            <x15:cachedUniqueName index="1584" name="[FactPayment].[CaseKey].&amp;[8101|00025578]"/>
            <x15:cachedUniqueName index="1585" name="[FactPayment].[CaseKey].&amp;[8101|00025585]"/>
            <x15:cachedUniqueName index="1586" name="[FactPayment].[CaseKey].&amp;[8101|00025594]"/>
            <x15:cachedUniqueName index="1587" name="[FactPayment].[CaseKey].&amp;[8101|00025605]"/>
            <x15:cachedUniqueName index="1588" name="[FactPayment].[CaseKey].&amp;[8101|00025610]"/>
            <x15:cachedUniqueName index="1589" name="[FactPayment].[CaseKey].&amp;[8101|00025620]"/>
            <x15:cachedUniqueName index="1590" name="[FactPayment].[CaseKey].&amp;[8101|00025632]"/>
            <x15:cachedUniqueName index="1591" name="[FactPayment].[CaseKey].&amp;[8101|00025642]"/>
            <x15:cachedUniqueName index="1592" name="[FactPayment].[CaseKey].&amp;[8101|00025665]"/>
            <x15:cachedUniqueName index="1593" name="[FactPayment].[CaseKey].&amp;[8101|00025670]"/>
            <x15:cachedUniqueName index="1594" name="[FactPayment].[CaseKey].&amp;[8101|00025683]"/>
            <x15:cachedUniqueName index="1595" name="[FactPayment].[CaseKey].&amp;[8101|00025693]"/>
            <x15:cachedUniqueName index="1596" name="[FactPayment].[CaseKey].&amp;[8101|00025708]"/>
            <x15:cachedUniqueName index="1597" name="[FactPayment].[CaseKey].&amp;[8101|00025713]"/>
            <x15:cachedUniqueName index="1598" name="[FactPayment].[CaseKey].&amp;[8101|00025726]"/>
            <x15:cachedUniqueName index="1599" name="[FactPayment].[CaseKey].&amp;[8101|00025732]"/>
            <x15:cachedUniqueName index="1600" name="[FactPayment].[CaseKey].&amp;[8101|00025745]"/>
            <x15:cachedUniqueName index="1601" name="[FactPayment].[CaseKey].&amp;[8101|00025753]"/>
            <x15:cachedUniqueName index="1602" name="[FactPayment].[CaseKey].&amp;[8101|00025765]"/>
            <x15:cachedUniqueName index="1603" name="[FactPayment].[CaseKey].&amp;[8101|00025778]"/>
            <x15:cachedUniqueName index="1604" name="[FactPayment].[CaseKey].&amp;[8101|00025788]"/>
            <x15:cachedUniqueName index="1605" name="[FactPayment].[CaseKey].&amp;[8101|00025796]"/>
            <x15:cachedUniqueName index="1606" name="[FactPayment].[CaseKey].&amp;[8101|00025807]"/>
            <x15:cachedUniqueName index="1607" name="[FactPayment].[CaseKey].&amp;[8101|00025810]"/>
            <x15:cachedUniqueName index="1608" name="[FactPayment].[CaseKey].&amp;[8101|00025827]"/>
            <x15:cachedUniqueName index="1609" name="[FactPayment].[CaseKey].&amp;[8101|00025838]"/>
            <x15:cachedUniqueName index="1610" name="[FactPayment].[CaseKey].&amp;[8101|00025841]"/>
            <x15:cachedUniqueName index="1611" name="[FactPayment].[CaseKey].&amp;[8101|00025853]"/>
            <x15:cachedUniqueName index="1612" name="[FactPayment].[CaseKey].&amp;[8101|00025865]"/>
            <x15:cachedUniqueName index="1613" name="[FactPayment].[CaseKey].&amp;[8101|00025874]"/>
            <x15:cachedUniqueName index="1614" name="[FactPayment].[CaseKey].&amp;[8101|00025888]"/>
            <x15:cachedUniqueName index="1615" name="[FactPayment].[CaseKey].&amp;[8101|00025905]"/>
            <x15:cachedUniqueName index="1616" name="[FactPayment].[CaseKey].&amp;[8101|00025912]"/>
            <x15:cachedUniqueName index="1617" name="[FactPayment].[CaseKey].&amp;[8101|00025928]"/>
            <x15:cachedUniqueName index="1618" name="[FactPayment].[CaseKey].&amp;[8101|00025933]"/>
            <x15:cachedUniqueName index="1619" name="[FactPayment].[CaseKey].&amp;[8101|00025947]"/>
            <x15:cachedUniqueName index="1620" name="[FactPayment].[CaseKey].&amp;[8101|00025953]"/>
            <x15:cachedUniqueName index="1621" name="[FactPayment].[CaseKey].&amp;[8101|00025966]"/>
            <x15:cachedUniqueName index="1622" name="[FactPayment].[CaseKey].&amp;[8101|00025972]"/>
            <x15:cachedUniqueName index="1623" name="[FactPayment].[CaseKey].&amp;[8101|00025982]"/>
            <x15:cachedUniqueName index="1624" name="[FactPayment].[CaseKey].&amp;[8101|00025995]"/>
            <x15:cachedUniqueName index="1625" name="[FactPayment].[CaseKey].&amp;[8101|00026003]"/>
            <x15:cachedUniqueName index="1626" name="[FactPayment].[CaseKey].&amp;[8101|00026028]"/>
            <x15:cachedUniqueName index="1627" name="[FactPayment].[CaseKey].&amp;[8101|00026038]"/>
            <x15:cachedUniqueName index="1628" name="[FactPayment].[CaseKey].&amp;[8101|00026041]"/>
            <x15:cachedUniqueName index="1629" name="[FactPayment].[CaseKey].&amp;[8101|00026052]"/>
            <x15:cachedUniqueName index="1630" name="[FactPayment].[CaseKey].&amp;[8101|00026063]"/>
            <x15:cachedUniqueName index="1631" name="[FactPayment].[CaseKey].&amp;[8101|00026088]"/>
            <x15:cachedUniqueName index="1632" name="[FactPayment].[CaseKey].&amp;[8101|00026096]"/>
            <x15:cachedUniqueName index="1633" name="[FactPayment].[CaseKey].&amp;[8101|00026104]"/>
            <x15:cachedUniqueName index="1634" name="[FactPayment].[CaseKey].&amp;[8101|00026110]"/>
            <x15:cachedUniqueName index="1635" name="[FactPayment].[CaseKey].&amp;[8101|00026128]"/>
            <x15:cachedUniqueName index="1636" name="[FactPayment].[CaseKey].&amp;[8101|00026137]"/>
            <x15:cachedUniqueName index="1637" name="[FactPayment].[CaseKey].&amp;[8101|00026141]"/>
            <x15:cachedUniqueName index="1638" name="[FactPayment].[CaseKey].&amp;[8101|00026152]"/>
            <x15:cachedUniqueName index="1639" name="[FactPayment].[CaseKey].&amp;[8101|00026161]"/>
            <x15:cachedUniqueName index="1640" name="[FactPayment].[CaseKey].&amp;[8101|00026170]"/>
            <x15:cachedUniqueName index="1641" name="[FactPayment].[CaseKey].&amp;[8101|00026186]"/>
            <x15:cachedUniqueName index="1642" name="[FactPayment].[CaseKey].&amp;[8101|00026197]"/>
            <x15:cachedUniqueName index="1643" name="[FactPayment].[CaseKey].&amp;[8101|00026208]"/>
            <x15:cachedUniqueName index="1644" name="[FactPayment].[CaseKey].&amp;[8101|00026214]"/>
            <x15:cachedUniqueName index="1645" name="[FactPayment].[CaseKey].&amp;[8101|00026223]"/>
            <x15:cachedUniqueName index="1646" name="[FactPayment].[CaseKey].&amp;[8101|00026237]"/>
            <x15:cachedUniqueName index="1647" name="[FactPayment].[CaseKey].&amp;[8101|00026245]"/>
            <x15:cachedUniqueName index="1648" name="[FactPayment].[CaseKey].&amp;[8101|00026252]"/>
            <x15:cachedUniqueName index="1649" name="[FactPayment].[CaseKey].&amp;[8101|00026267]"/>
            <x15:cachedUniqueName index="1650" name="[FactPayment].[CaseKey].&amp;[8101|00026274]"/>
            <x15:cachedUniqueName index="1651" name="[FactPayment].[CaseKey].&amp;[8101|00026286]"/>
            <x15:cachedUniqueName index="1652" name="[FactPayment].[CaseKey].&amp;[8101|00026293]"/>
            <x15:cachedUniqueName index="1653" name="[FactPayment].[CaseKey].&amp;[8101|00026300]"/>
            <x15:cachedUniqueName index="1654" name="[FactPayment].[CaseKey].&amp;[8101|00026328]"/>
            <x15:cachedUniqueName index="1655" name="[FactPayment].[CaseKey].&amp;[8101|00026330]"/>
            <x15:cachedUniqueName index="1656" name="[FactPayment].[CaseKey].&amp;[8101|00026341]"/>
            <x15:cachedUniqueName index="1657" name="[FactPayment].[CaseKey].&amp;[8101|00026352]"/>
            <x15:cachedUniqueName index="1658" name="[FactPayment].[CaseKey].&amp;[8101|00026374]"/>
            <x15:cachedUniqueName index="1659" name="[FactPayment].[CaseKey].&amp;[8101|00026380]"/>
            <x15:cachedUniqueName index="1660" name="[FactPayment].[CaseKey].&amp;[8101|00026391]"/>
            <x15:cachedUniqueName index="1661" name="[FactPayment].[CaseKey].&amp;[8101|00026407]"/>
            <x15:cachedUniqueName index="1662" name="[FactPayment].[CaseKey].&amp;[8101|00026414]"/>
            <x15:cachedUniqueName index="1663" name="[FactPayment].[CaseKey].&amp;[8101|00026421]"/>
            <x15:cachedUniqueName index="1664" name="[FactPayment].[CaseKey].&amp;[8101|00026437]"/>
            <x15:cachedUniqueName index="1665" name="[FactPayment].[CaseKey].&amp;[8101|00026443]"/>
            <x15:cachedUniqueName index="1666" name="[FactPayment].[CaseKey].&amp;[8101|00026451]"/>
            <x15:cachedUniqueName index="1667" name="[FactPayment].[CaseKey].&amp;[8101|00026467]"/>
            <x15:cachedUniqueName index="1668" name="[FactPayment].[CaseKey].&amp;[8101|00026478]"/>
            <x15:cachedUniqueName index="1669" name="[FactPayment].[CaseKey].&amp;[8101|00026485]"/>
            <x15:cachedUniqueName index="1670" name="[FactPayment].[CaseKey].&amp;[8101|00026495]"/>
            <x15:cachedUniqueName index="1671" name="[FactPayment].[CaseKey].&amp;[8101|00026506]"/>
            <x15:cachedUniqueName index="1672" name="[FactPayment].[CaseKey].&amp;[8101|00026517]"/>
            <x15:cachedUniqueName index="1673" name="[FactPayment].[CaseKey].&amp;[8101|00026527]"/>
            <x15:cachedUniqueName index="1674" name="[FactPayment].[CaseKey].&amp;[8101|00026531]"/>
            <x15:cachedUniqueName index="1675" name="[FactPayment].[CaseKey].&amp;[8101|00026543]"/>
            <x15:cachedUniqueName index="1676" name="[FactPayment].[CaseKey].&amp;[8101|00026553]"/>
            <x15:cachedUniqueName index="1677" name="[FactPayment].[CaseKey].&amp;[8101|00026567]"/>
            <x15:cachedUniqueName index="1678" name="[FactPayment].[CaseKey].&amp;[8101|00026570]"/>
            <x15:cachedUniqueName index="1679" name="[FactPayment].[CaseKey].&amp;[8101|00026581]"/>
            <x15:cachedUniqueName index="1680" name="[FactPayment].[CaseKey].&amp;[8101|00026591]"/>
            <x15:cachedUniqueName index="1681" name="[FactPayment].[CaseKey].&amp;[8101|00026614]"/>
            <x15:cachedUniqueName index="1682" name="[FactPayment].[CaseKey].&amp;[8101|00026620]"/>
            <x15:cachedUniqueName index="1683" name="[FactPayment].[CaseKey].&amp;[8101|00026638]"/>
            <x15:cachedUniqueName index="1684" name="[FactPayment].[CaseKey].&amp;[8101|00026641]"/>
            <x15:cachedUniqueName index="1685" name="[FactPayment].[CaseKey].&amp;[8101|00026656]"/>
            <x15:cachedUniqueName index="1686" name="[FactPayment].[CaseKey].&amp;[8101|00026663]"/>
            <x15:cachedUniqueName index="1687" name="[FactPayment].[CaseKey].&amp;[8101|00026672]"/>
            <x15:cachedUniqueName index="1688" name="[FactPayment].[CaseKey].&amp;[8101|00026682]"/>
            <x15:cachedUniqueName index="1689" name="[FactPayment].[CaseKey].&amp;[8101|00026702]"/>
            <x15:cachedUniqueName index="1690" name="[FactPayment].[CaseKey].&amp;[8101|00026718]"/>
            <x15:cachedUniqueName index="1691" name="[FactPayment].[CaseKey].&amp;[8101|00026727]"/>
            <x15:cachedUniqueName index="1692" name="[FactPayment].[CaseKey].&amp;[8101|00026733]"/>
            <x15:cachedUniqueName index="1693" name="[FactPayment].[CaseKey].&amp;[8101|00026740]"/>
            <x15:cachedUniqueName index="1694" name="[FactPayment].[CaseKey].&amp;[8101|00026756]"/>
            <x15:cachedUniqueName index="1695" name="[FactPayment].[CaseKey].&amp;[8101|00026766]"/>
            <x15:cachedUniqueName index="1696" name="[FactPayment].[CaseKey].&amp;[8101|00026770]"/>
            <x15:cachedUniqueName index="1697" name="[FactPayment].[CaseKey].&amp;[8101|00026783]"/>
            <x15:cachedUniqueName index="1698" name="[FactPayment].[CaseKey].&amp;[8101|00026805]"/>
            <x15:cachedUniqueName index="1699" name="[FactPayment].[CaseKey].&amp;[8101|00026813]"/>
            <x15:cachedUniqueName index="1700" name="[FactPayment].[CaseKey].&amp;[8101|00026824]"/>
            <x15:cachedUniqueName index="1701" name="[FactPayment].[CaseKey].&amp;[8101|00026830]"/>
            <x15:cachedUniqueName index="1702" name="[FactPayment].[CaseKey].&amp;[8101|00026845]"/>
            <x15:cachedUniqueName index="1703" name="[FactPayment].[CaseKey].&amp;[8101|00026857]"/>
            <x15:cachedUniqueName index="1704" name="[FactPayment].[CaseKey].&amp;[8101|00026864]"/>
            <x15:cachedUniqueName index="1705" name="[FactPayment].[CaseKey].&amp;[8101|00026877]"/>
            <x15:cachedUniqueName index="1706" name="[FactPayment].[CaseKey].&amp;[8101|00026882]"/>
            <x15:cachedUniqueName index="1707" name="[FactPayment].[CaseKey].&amp;[8101|00026891]"/>
            <x15:cachedUniqueName index="1708" name="[FactPayment].[CaseKey].&amp;[8101|00026903]"/>
            <x15:cachedUniqueName index="1709" name="[FactPayment].[CaseKey].&amp;[8101|00026911]"/>
            <x15:cachedUniqueName index="1710" name="[FactPayment].[CaseKey].&amp;[8101|00026924]"/>
            <x15:cachedUniqueName index="1711" name="[FactPayment].[CaseKey].&amp;[8101|00026931]"/>
            <x15:cachedUniqueName index="1712" name="[FactPayment].[CaseKey].&amp;[8101|00026940]"/>
            <x15:cachedUniqueName index="1713" name="[FactPayment].[CaseKey].&amp;[8101|00026958]"/>
            <x15:cachedUniqueName index="1714" name="[FactPayment].[CaseKey].&amp;[8101|00026964]"/>
            <x15:cachedUniqueName index="1715" name="[FactPayment].[CaseKey].&amp;[8101|00026972]"/>
            <x15:cachedUniqueName index="1716" name="[FactPayment].[CaseKey].&amp;[8101|00026985]"/>
            <x15:cachedUniqueName index="1717" name="[FactPayment].[CaseKey].&amp;[8101|00026990]"/>
            <x15:cachedUniqueName index="1718" name="[FactPayment].[CaseKey].&amp;[8101|00027003]"/>
            <x15:cachedUniqueName index="1719" name="[FactPayment].[CaseKey].&amp;[8101|00027010]"/>
            <x15:cachedUniqueName index="1720" name="[FactPayment].[CaseKey].&amp;[8101|00027025]"/>
            <x15:cachedUniqueName index="1721" name="[FactPayment].[CaseKey].&amp;[8101|00027033]"/>
            <x15:cachedUniqueName index="1722" name="[FactPayment].[CaseKey].&amp;[8101|00027047]"/>
            <x15:cachedUniqueName index="1723" name="[FactPayment].[CaseKey].&amp;[8101|00027055]"/>
            <x15:cachedUniqueName index="1724" name="[FactPayment].[CaseKey].&amp;[8101|00027075]"/>
            <x15:cachedUniqueName index="1725" name="[FactPayment].[CaseKey].&amp;[8101|00027084]"/>
            <x15:cachedUniqueName index="1726" name="[FactPayment].[CaseKey].&amp;[8101|00027096]"/>
            <x15:cachedUniqueName index="1727" name="[FactPayment].[CaseKey].&amp;[8101|00027101]"/>
            <x15:cachedUniqueName index="1728" name="[FactPayment].[CaseKey].&amp;[8101|00027117]"/>
            <x15:cachedUniqueName index="1729" name="[FactPayment].[CaseKey].&amp;[8101|00027125]"/>
            <x15:cachedUniqueName index="1730" name="[FactPayment].[CaseKey].&amp;[8101|00027133]"/>
            <x15:cachedUniqueName index="1731" name="[FactPayment].[CaseKey].&amp;[8101|00027148]"/>
            <x15:cachedUniqueName index="1732" name="[FactPayment].[CaseKey].&amp;[8101|00027158]"/>
            <x15:cachedUniqueName index="1733" name="[FactPayment].[CaseKey].&amp;[8101|00027167]"/>
            <x15:cachedUniqueName index="1734" name="[FactPayment].[CaseKey].&amp;[8101|00027171]"/>
            <x15:cachedUniqueName index="1735" name="[FactPayment].[CaseKey].&amp;[8101|00027182]"/>
            <x15:cachedUniqueName index="1736" name="[FactPayment].[CaseKey].&amp;[8101|00027193]"/>
            <x15:cachedUniqueName index="1737" name="[FactPayment].[CaseKey].&amp;[8101|00027202]"/>
            <x15:cachedUniqueName index="1738" name="[FactPayment].[CaseKey].&amp;[8101|00027212]"/>
            <x15:cachedUniqueName index="1739" name="[FactPayment].[CaseKey].&amp;[8101|00027225]"/>
            <x15:cachedUniqueName index="1740" name="[FactPayment].[CaseKey].&amp;[8101|00027235]"/>
            <x15:cachedUniqueName index="1741" name="[FactPayment].[CaseKey].&amp;[8101|00027247]"/>
            <x15:cachedUniqueName index="1742" name="[FactPayment].[CaseKey].&amp;[8101|00027250]"/>
            <x15:cachedUniqueName index="1743" name="[FactPayment].[CaseKey].&amp;[8101|00027265]"/>
            <x15:cachedUniqueName index="1744" name="[FactPayment].[CaseKey].&amp;[8101|00027277]"/>
            <x15:cachedUniqueName index="1745" name="[FactPayment].[CaseKey].&amp;[8101|00027284]"/>
            <x15:cachedUniqueName index="1746" name="[FactPayment].[CaseKey].&amp;[8101|00027298]"/>
            <x15:cachedUniqueName index="1747" name="[FactPayment].[CaseKey].&amp;[8101|00027314]"/>
            <x15:cachedUniqueName index="1748" name="[FactPayment].[CaseKey].&amp;[8101|00027320]"/>
            <x15:cachedUniqueName index="1749" name="[FactPayment].[CaseKey].&amp;[8101|00027330]"/>
            <x15:cachedUniqueName index="1750" name="[FactPayment].[CaseKey].&amp;[8101|00027347]"/>
            <x15:cachedUniqueName index="1751" name="[FactPayment].[CaseKey].&amp;[8101|00027352]"/>
            <x15:cachedUniqueName index="1752" name="[FactPayment].[CaseKey].&amp;[8101|00027367]"/>
            <x15:cachedUniqueName index="1753" name="[FactPayment].[CaseKey].&amp;[8101|00027372]"/>
            <x15:cachedUniqueName index="1754" name="[FactPayment].[CaseKey].&amp;[8101|00027386]"/>
            <x15:cachedUniqueName index="1755" name="[FactPayment].[CaseKey].&amp;[8101|00027393]"/>
            <x15:cachedUniqueName index="1756" name="[FactPayment].[CaseKey].&amp;[8101|00027405]"/>
            <x15:cachedUniqueName index="1757" name="[FactPayment].[CaseKey].&amp;[8101|00027416]"/>
            <x15:cachedUniqueName index="1758" name="[FactPayment].[CaseKey].&amp;[8101|00027420]"/>
            <x15:cachedUniqueName index="1759" name="[FactPayment].[CaseKey].&amp;[8101|00027438]"/>
            <x15:cachedUniqueName index="1760" name="[FactPayment].[CaseKey].&amp;[8101|00027444]"/>
            <x15:cachedUniqueName index="1761" name="[FactPayment].[CaseKey].&amp;[8101|00027458]"/>
            <x15:cachedUniqueName index="1762" name="[FactPayment].[CaseKey].&amp;[8101|00027466]"/>
            <x15:cachedUniqueName index="1763" name="[FactPayment].[CaseKey].&amp;[8101|00027474]"/>
            <x15:cachedUniqueName index="1764" name="[FactPayment].[CaseKey].&amp;[8101|00027480]"/>
            <x15:cachedUniqueName index="1765" name="[FactPayment].[CaseKey].&amp;[8101|00027497]"/>
            <x15:cachedUniqueName index="1766" name="[FactPayment].[CaseKey].&amp;[8101|00027504]"/>
            <x15:cachedUniqueName index="1767" name="[FactPayment].[CaseKey].&amp;[8101|00027515]"/>
            <x15:cachedUniqueName index="1768" name="[FactPayment].[CaseKey].&amp;[8101|00027530]"/>
            <x15:cachedUniqueName index="1769" name="[FactPayment].[CaseKey].&amp;[8101|00027548]"/>
            <x15:cachedUniqueName index="1770" name="[FactPayment].[CaseKey].&amp;[8101|00027554]"/>
            <x15:cachedUniqueName index="1771" name="[FactPayment].[CaseKey].&amp;[8101|00027566]"/>
            <x15:cachedUniqueName index="1772" name="[FactPayment].[CaseKey].&amp;[8101|00027576]"/>
            <x15:cachedUniqueName index="1773" name="[FactPayment].[CaseKey].&amp;[8101|00027588]"/>
            <x15:cachedUniqueName index="1774" name="[FactPayment].[CaseKey].&amp;[8101|00027598]"/>
            <x15:cachedUniqueName index="1775" name="[FactPayment].[CaseKey].&amp;[8101|00027608]"/>
            <x15:cachedUniqueName index="1776" name="[FactPayment].[CaseKey].&amp;[8101|00027613]"/>
            <x15:cachedUniqueName index="1777" name="[FactPayment].[CaseKey].&amp;[8101|00027623]"/>
            <x15:cachedUniqueName index="1778" name="[FactPayment].[CaseKey].&amp;[8101|00027631]"/>
            <x15:cachedUniqueName index="1779" name="[FactPayment].[CaseKey].&amp;[8101|00027648]"/>
            <x15:cachedUniqueName index="1780" name="[FactPayment].[CaseKey].&amp;[8101|00027654]"/>
            <x15:cachedUniqueName index="1781" name="[FactPayment].[CaseKey].&amp;[8101|00027671]"/>
            <x15:cachedUniqueName index="1782" name="[FactPayment].[CaseKey].&amp;[8101|00027684]"/>
            <x15:cachedUniqueName index="1783" name="[FactPayment].[CaseKey].&amp;[8101|00027692]"/>
            <x15:cachedUniqueName index="1784" name="[FactPayment].[CaseKey].&amp;[8101|00027708]"/>
            <x15:cachedUniqueName index="1785" name="[FactPayment].[CaseKey].&amp;[8101|00027716]"/>
            <x15:cachedUniqueName index="1786" name="[FactPayment].[CaseKey].&amp;[8101|00027722]"/>
            <x15:cachedUniqueName index="1787" name="[FactPayment].[CaseKey].&amp;[8101|00027743]"/>
            <x15:cachedUniqueName index="1788" name="[FactPayment].[CaseKey].&amp;[8101|00027753]"/>
            <x15:cachedUniqueName index="1789" name="[FactPayment].[CaseKey].&amp;[8101|00027767]"/>
            <x15:cachedUniqueName index="1790" name="[FactPayment].[CaseKey].&amp;[8101|00027777]"/>
            <x15:cachedUniqueName index="1791" name="[FactPayment].[CaseKey].&amp;[8101|00027785]"/>
            <x15:cachedUniqueName index="1792" name="[FactPayment].[CaseKey].&amp;[8101|00027790]"/>
            <x15:cachedUniqueName index="1793" name="[FactPayment].[CaseKey].&amp;[8101|00027804]"/>
            <x15:cachedUniqueName index="1794" name="[FactPayment].[CaseKey].&amp;[8101|00027813]"/>
            <x15:cachedUniqueName index="1795" name="[FactPayment].[CaseKey].&amp;[8101|00027823]"/>
            <x15:cachedUniqueName index="1796" name="[FactPayment].[CaseKey].&amp;[8101|00027838]"/>
            <x15:cachedUniqueName index="1797" name="[FactPayment].[CaseKey].&amp;[8101|00027840]"/>
            <x15:cachedUniqueName index="1798" name="[FactPayment].[CaseKey].&amp;[8101|00027850]"/>
            <x15:cachedUniqueName index="1799" name="[FactPayment].[CaseKey].&amp;[8101|00027860]"/>
            <x15:cachedUniqueName index="1800" name="[FactPayment].[CaseKey].&amp;[8101|00027878]"/>
            <x15:cachedUniqueName index="1801" name="[FactPayment].[CaseKey].&amp;[8101|00027884]"/>
            <x15:cachedUniqueName index="1802" name="[FactPayment].[CaseKey].&amp;[8101|00027902]"/>
            <x15:cachedUniqueName index="1803" name="[FactPayment].[CaseKey].&amp;[8101|00027910]"/>
            <x15:cachedUniqueName index="1804" name="[FactPayment].[CaseKey].&amp;[8101|00027924]"/>
            <x15:cachedUniqueName index="1805" name="[FactPayment].[CaseKey].&amp;[8101|00027933]"/>
            <x15:cachedUniqueName index="1806" name="[FactPayment].[CaseKey].&amp;[8101|00027948]"/>
            <x15:cachedUniqueName index="1807" name="[FactPayment].[CaseKey].&amp;[8101|00027956]"/>
            <x15:cachedUniqueName index="1808" name="[FactPayment].[CaseKey].&amp;[8101|00027966]"/>
            <x15:cachedUniqueName index="1809" name="[FactPayment].[CaseKey].&amp;[8101|00027978]"/>
            <x15:cachedUniqueName index="1810" name="[FactPayment].[CaseKey].&amp;[8101|00027988]"/>
            <x15:cachedUniqueName index="1811" name="[FactPayment].[CaseKey].&amp;[8101|00028001]"/>
            <x15:cachedUniqueName index="1812" name="[FactPayment].[CaseKey].&amp;[8101|00028018]"/>
            <x15:cachedUniqueName index="1813" name="[FactPayment].[CaseKey].&amp;[8101|00028024]"/>
            <x15:cachedUniqueName index="1814" name="[FactPayment].[CaseKey].&amp;[8101|00028033]"/>
            <x15:cachedUniqueName index="1815" name="[FactPayment].[CaseKey].&amp;[8101|00028046]"/>
            <x15:cachedUniqueName index="1816" name="[FactPayment].[CaseKey].&amp;[8101|00028054]"/>
            <x15:cachedUniqueName index="1817" name="[FactPayment].[CaseKey].&amp;[8101|00028064]"/>
            <x15:cachedUniqueName index="1818" name="[FactPayment].[CaseKey].&amp;[8101|00028076]"/>
            <x15:cachedUniqueName index="1819" name="[FactPayment].[CaseKey].&amp;[8101|00028086]"/>
            <x15:cachedUniqueName index="1820" name="[FactPayment].[CaseKey].&amp;[8101|00028090]"/>
            <x15:cachedUniqueName index="1821" name="[FactPayment].[CaseKey].&amp;[8101|00028101]"/>
            <x15:cachedUniqueName index="1822" name="[FactPayment].[CaseKey].&amp;[8101|00028118]"/>
            <x15:cachedUniqueName index="1823" name="[FactPayment].[CaseKey].&amp;[8101|00028121]"/>
            <x15:cachedUniqueName index="1824" name="[FactPayment].[CaseKey].&amp;[8101|00028132]"/>
            <x15:cachedUniqueName index="1825" name="[FactPayment].[CaseKey].&amp;[8101|00028143]"/>
            <x15:cachedUniqueName index="1826" name="[FactPayment].[CaseKey].&amp;[8101|00028157]"/>
            <x15:cachedUniqueName index="1827" name="[FactPayment].[CaseKey].&amp;[8101|00028160]"/>
            <x15:cachedUniqueName index="1828" name="[FactPayment].[CaseKey].&amp;[8101|00028171]"/>
            <x15:cachedUniqueName index="1829" name="[FactPayment].[CaseKey].&amp;[8101|00028185]"/>
            <x15:cachedUniqueName index="1830" name="[FactPayment].[CaseKey].&amp;[8101|00028196]"/>
            <x15:cachedUniqueName index="1831" name="[FactPayment].[CaseKey].&amp;[8101|00028204]"/>
            <x15:cachedUniqueName index="1832" name="[FactPayment].[CaseKey].&amp;[8101|00028210]"/>
            <x15:cachedUniqueName index="1833" name="[FactPayment].[CaseKey].&amp;[8101|00028222]"/>
            <x15:cachedUniqueName index="1834" name="[FactPayment].[CaseKey].&amp;[8101|00028236]"/>
            <x15:cachedUniqueName index="1835" name="[FactPayment].[CaseKey].&amp;[8101|00028247]"/>
            <x15:cachedUniqueName index="1836" name="[FactPayment].[CaseKey].&amp;[8101|00028267]"/>
            <x15:cachedUniqueName index="1837" name="[FactPayment].[CaseKey].&amp;[8101|00028271]"/>
            <x15:cachedUniqueName index="1838" name="[FactPayment].[CaseKey].&amp;[8101|00028280]"/>
            <x15:cachedUniqueName index="1839" name="[FactPayment].[CaseKey].&amp;[8101|00028290]"/>
            <x15:cachedUniqueName index="1840" name="[FactPayment].[CaseKey].&amp;[8101|00028306]"/>
            <x15:cachedUniqueName index="1841" name="[FactPayment].[CaseKey].&amp;[8101|00028313]"/>
            <x15:cachedUniqueName index="1842" name="[FactPayment].[CaseKey].&amp;[8101|00028324]"/>
            <x15:cachedUniqueName index="1843" name="[FactPayment].[CaseKey].&amp;[8101|00028330]"/>
            <x15:cachedUniqueName index="1844" name="[FactPayment].[CaseKey].&amp;[8101|00028344]"/>
            <x15:cachedUniqueName index="1845" name="[FactPayment].[CaseKey].&amp;[8101|00028351]"/>
            <x15:cachedUniqueName index="1846" name="[FactPayment].[CaseKey].&amp;[8101|00028373]"/>
            <x15:cachedUniqueName index="1847" name="[FactPayment].[CaseKey].&amp;[8101|00028388]"/>
            <x15:cachedUniqueName index="1848" name="[FactPayment].[CaseKey].&amp;[8101|00028397]"/>
            <x15:cachedUniqueName index="1849" name="[FactPayment].[CaseKey].&amp;[8101|00028408]"/>
            <x15:cachedUniqueName index="1850" name="[FactPayment].[CaseKey].&amp;[8101|00028417]"/>
            <x15:cachedUniqueName index="1851" name="[FactPayment].[CaseKey].&amp;[8101|00028423]"/>
            <x15:cachedUniqueName index="1852" name="[FactPayment].[CaseKey].&amp;[8101|00028433]"/>
            <x15:cachedUniqueName index="1853" name="[FactPayment].[CaseKey].&amp;[8101|00028443]"/>
            <x15:cachedUniqueName index="1854" name="[FactPayment].[CaseKey].&amp;[8101|00028467]"/>
            <x15:cachedUniqueName index="1855" name="[FactPayment].[CaseKey].&amp;[8101|00028477]"/>
            <x15:cachedUniqueName index="1856" name="[FactPayment].[CaseKey].&amp;[8101|00028481]"/>
            <x15:cachedUniqueName index="1857" name="[FactPayment].[CaseKey].&amp;[8101|00028494]"/>
            <x15:cachedUniqueName index="1858" name="[FactPayment].[CaseKey].&amp;[8101|00028500]"/>
            <x15:cachedUniqueName index="1859" name="[FactPayment].[CaseKey].&amp;[8101|00028518]"/>
            <x15:cachedUniqueName index="1860" name="[FactPayment].[CaseKey].&amp;[8101|00028527]"/>
            <x15:cachedUniqueName index="1861" name="[FactPayment].[CaseKey].&amp;[8101|00028530]"/>
            <x15:cachedUniqueName index="1862" name="[FactPayment].[CaseKey].&amp;[8101|00028542]"/>
            <x15:cachedUniqueName index="1863" name="[FactPayment].[CaseKey].&amp;[8101|00028553]"/>
            <x15:cachedUniqueName index="1864" name="[FactPayment].[CaseKey].&amp;[8101|00028566]"/>
            <x15:cachedUniqueName index="1865" name="[FactPayment].[CaseKey].&amp;[8101|00028575]"/>
            <x15:cachedUniqueName index="1866" name="[FactPayment].[CaseKey].&amp;[8101|00028584]"/>
            <x15:cachedUniqueName index="1867" name="[FactPayment].[CaseKey].&amp;[8101|00028595]"/>
            <x15:cachedUniqueName index="1868" name="[FactPayment].[CaseKey].&amp;[8101|00028606]"/>
            <x15:cachedUniqueName index="1869" name="[FactPayment].[CaseKey].&amp;[8101|00028610]"/>
            <x15:cachedUniqueName index="1870" name="[FactPayment].[CaseKey].&amp;[8101|00028628]"/>
            <x15:cachedUniqueName index="1871" name="[FactPayment].[CaseKey].&amp;[8101|00028630]"/>
            <x15:cachedUniqueName index="1872" name="[FactPayment].[CaseKey].&amp;[8101|00028642]"/>
            <x15:cachedUniqueName index="1873" name="[FactPayment].[CaseKey].&amp;[8101|00028654]"/>
            <x15:cachedUniqueName index="1874" name="[FactPayment].[CaseKey].&amp;[8101|00028660]"/>
            <x15:cachedUniqueName index="1875" name="[FactPayment].[CaseKey].&amp;[8101|00028672]"/>
            <x15:cachedUniqueName index="1876" name="[FactPayment].[CaseKey].&amp;[8101|00028683]"/>
            <x15:cachedUniqueName index="1877" name="[FactPayment].[CaseKey].&amp;[8101|00028697]"/>
            <x15:cachedUniqueName index="1878" name="[FactPayment].[CaseKey].&amp;[8101|00028708]"/>
            <x15:cachedUniqueName index="1879" name="[FactPayment].[CaseKey].&amp;[8101|00028710]"/>
            <x15:cachedUniqueName index="1880" name="[FactPayment].[CaseKey].&amp;[8101|00028727]"/>
            <x15:cachedUniqueName index="1881" name="[FactPayment].[CaseKey].&amp;[8101|00028735]"/>
            <x15:cachedUniqueName index="1882" name="[FactPayment].[CaseKey].&amp;[8101|00028745]"/>
            <x15:cachedUniqueName index="1883" name="[FactPayment].[CaseKey].&amp;[8101|00028753]"/>
            <x15:cachedUniqueName index="1884" name="[FactPayment].[CaseKey].&amp;[8101|00028763]"/>
            <x15:cachedUniqueName index="1885" name="[FactPayment].[CaseKey].&amp;[8101|00028778]"/>
            <x15:cachedUniqueName index="1886" name="[FactPayment].[CaseKey].&amp;[8101|00028788]"/>
            <x15:cachedUniqueName index="1887" name="[FactPayment].[CaseKey].&amp;[8101|00028810]"/>
            <x15:cachedUniqueName index="1888" name="[FactPayment].[CaseKey].&amp;[8101|00028822]"/>
            <x15:cachedUniqueName index="1889" name="[FactPayment].[CaseKey].&amp;[8101|00028835]"/>
            <x15:cachedUniqueName index="1890" name="[FactPayment].[CaseKey].&amp;[8101|00028840]"/>
            <x15:cachedUniqueName index="1891" name="[FactPayment].[CaseKey].&amp;[8101|00028858]"/>
            <x15:cachedUniqueName index="1892" name="[FactPayment].[CaseKey].&amp;[8101|00028868]"/>
            <x15:cachedUniqueName index="1893" name="[FactPayment].[CaseKey].&amp;[8101|00028875]"/>
            <x15:cachedUniqueName index="1894" name="[FactPayment].[CaseKey].&amp;[8101|00028886]"/>
            <x15:cachedUniqueName index="1895" name="[FactPayment].[CaseKey].&amp;[8101|00028891]"/>
            <x15:cachedUniqueName index="1896" name="[FactPayment].[CaseKey].&amp;[8101|00028912]"/>
            <x15:cachedUniqueName index="1897" name="[FactPayment].[CaseKey].&amp;[8101|00028926]"/>
            <x15:cachedUniqueName index="1898" name="[FactPayment].[CaseKey].&amp;[8101|00028942]"/>
            <x15:cachedUniqueName index="1899" name="[FactPayment].[CaseKey].&amp;[8101|00028965]"/>
            <x15:cachedUniqueName index="1900" name="[FactPayment].[CaseKey].&amp;[8101|00028972]"/>
            <x15:cachedUniqueName index="1901" name="[FactPayment].[CaseKey].&amp;[8101|00028981]"/>
            <x15:cachedUniqueName index="1902" name="[FactPayment].[CaseKey].&amp;[8101|00028992]"/>
            <x15:cachedUniqueName index="1903" name="[FactPayment].[CaseKey].&amp;[8101|00029004]"/>
            <x15:cachedUniqueName index="1904" name="[FactPayment].[CaseKey].&amp;[8101|00029033]"/>
            <x15:cachedUniqueName index="1905" name="[FactPayment].[CaseKey].&amp;[8101|00029041]"/>
            <x15:cachedUniqueName index="1906" name="[FactPayment].[CaseKey].&amp;[8101|00029097]"/>
            <x15:cachedUniqueName index="1907" name="[FactPayment].[CaseKey].&amp;[8101|00029103]"/>
            <x15:cachedUniqueName index="1908" name="[FactPayment].[CaseKey].&amp;[8101|00029122]"/>
            <x15:cachedUniqueName index="1909" name="[FactPayment].[CaseKey].&amp;[8101|00029156]"/>
            <x15:cachedUniqueName index="1910" name="[FactPayment].[CaseKey].&amp;[8101|00029177]"/>
            <x15:cachedUniqueName index="1911" name="[FactPayment].[CaseKey].&amp;[8101|00029190]"/>
            <x15:cachedUniqueName index="1912" name="[FactPayment].[CaseKey].&amp;[8101|00029203]"/>
            <x15:cachedUniqueName index="1913" name="[FactPayment].[CaseKey].&amp;[8101|00029217]"/>
            <x15:cachedUniqueName index="1914" name="[FactPayment].[CaseKey].&amp;[8101|00029240]"/>
            <x15:cachedUniqueName index="1915" name="[FactPayment].[CaseKey].&amp;[8101|00029254]"/>
            <x15:cachedUniqueName index="1916" name="[FactPayment].[CaseKey].&amp;[8101|00029261]"/>
            <x15:cachedUniqueName index="1917" name="[FactPayment].[CaseKey].&amp;[8101|00029285]"/>
            <x15:cachedUniqueName index="1918" name="[FactPayment].[CaseKey].&amp;[8101|00029297]"/>
            <x15:cachedUniqueName index="1919" name="[FactPayment].[CaseKey].&amp;[8101|00029304]"/>
            <x15:cachedUniqueName index="1920" name="[FactPayment].[CaseKey].&amp;[8101|00029324]"/>
            <x15:cachedUniqueName index="1921" name="[FactPayment].[CaseKey].&amp;[8101|00029331]"/>
            <x15:cachedUniqueName index="1922" name="[FactPayment].[CaseKey].&amp;[8101|00029348]"/>
            <x15:cachedUniqueName index="1923" name="[FactPayment].[CaseKey].&amp;[8101|00029368]"/>
            <x15:cachedUniqueName index="1924" name="[FactPayment].[CaseKey].&amp;[8101|00029378]"/>
            <x15:cachedUniqueName index="1925" name="[FactPayment].[CaseKey].&amp;[8101|00029390]"/>
            <x15:cachedUniqueName index="1926" name="[FactPayment].[CaseKey].&amp;[8101|00029411]"/>
            <x15:cachedUniqueName index="1927" name="[FactPayment].[CaseKey].&amp;[8101|00029428]"/>
            <x15:cachedUniqueName index="1928" name="[FactPayment].[CaseKey].&amp;[8101|00029431]"/>
            <x15:cachedUniqueName index="1929" name="[FactPayment].[CaseKey].&amp;[8101|00029461]"/>
            <x15:cachedUniqueName index="1930" name="[FactPayment].[CaseKey].&amp;[8101|00029480]"/>
            <x15:cachedUniqueName index="1931" name="[FactPayment].[CaseKey].&amp;[8101|00029497]"/>
            <x15:cachedUniqueName index="1932" name="[FactPayment].[CaseKey].&amp;[8101|00029527]"/>
            <x15:cachedUniqueName index="1933" name="[FactPayment].[CaseKey].&amp;[8101|00029530]"/>
            <x15:cachedUniqueName index="1934" name="[FactPayment].[CaseKey].&amp;[8101|00029543]"/>
            <x15:cachedUniqueName index="1935" name="[FactPayment].[CaseKey].&amp;[8101|00029557]"/>
            <x15:cachedUniqueName index="1936" name="[FactPayment].[CaseKey].&amp;[8101|00029571]"/>
            <x15:cachedUniqueName index="1937" name="[FactPayment].[CaseKey].&amp;[8101|00029603]"/>
            <x15:cachedUniqueName index="1938" name="[FactPayment].[CaseKey].&amp;[8101|00029635]"/>
            <x15:cachedUniqueName index="1939" name="[FactPayment].[CaseKey].&amp;[8101|00029673]"/>
            <x15:cachedUniqueName index="1940" name="[FactPayment].[CaseKey].&amp;[8101|00029688]"/>
            <x15:cachedUniqueName index="1941" name="[FactPayment].[CaseKey].&amp;[8101|00029702]"/>
            <x15:cachedUniqueName index="1942" name="[FactPayment].[CaseKey].&amp;[8101|00029725]"/>
            <x15:cachedUniqueName index="1943" name="[FactPayment].[CaseKey].&amp;[8101|00029743]"/>
            <x15:cachedUniqueName index="1944" name="[FactPayment].[CaseKey].&amp;[8101|00029776]"/>
            <x15:cachedUniqueName index="1945" name="[FactPayment].[CaseKey].&amp;[8101|00029794]"/>
            <x15:cachedUniqueName index="1946" name="[FactPayment].[CaseKey].&amp;[8101|00029801]"/>
            <x15:cachedUniqueName index="1947" name="[FactPayment].[CaseKey].&amp;[8101|00029841]"/>
            <x15:cachedUniqueName index="1948" name="[FactPayment].[CaseKey].&amp;[8101|00029861]"/>
            <x15:cachedUniqueName index="1949" name="[FactPayment].[CaseKey].&amp;[8101|00029878]"/>
            <x15:cachedUniqueName index="1950" name="[FactPayment].[CaseKey].&amp;[8101|00029938]"/>
            <x15:cachedUniqueName index="1951" name="[FactPayment].[CaseKey].&amp;[8101|00030041]"/>
            <x15:cachedUniqueName index="1952" name="[FactPayment].[CaseKey].&amp;[8101|00030157]"/>
            <x15:cachedUniqueName index="1953" name="[FactPayment].[CaseKey].&amp;[8101|00030175]"/>
            <x15:cachedUniqueName index="1954" name="[FactPayment].[CaseKey].&amp;[8101|00030332]"/>
            <x15:cachedUniqueName index="1955" name="[FactPayment].[CaseKey].&amp;[8101|00030486]"/>
            <x15:cachedUniqueName index="1956" name="[FactPayment].[CaseKey].&amp;[8101|00030592]"/>
            <x15:cachedUniqueName index="1957" name="[FactPayment].[CaseKey].&amp;[8101|00030620]"/>
            <x15:cachedUniqueName index="1958" name="[FactPayment].[CaseKey].&amp;[8101|00030865]"/>
            <x15:cachedUniqueName index="1959" name="[FactPayment].[CaseKey].&amp;[8101|00030888]"/>
            <x15:cachedUniqueName index="1960" name="[FactPayment].[CaseKey].&amp;[8102|00003434]"/>
            <x15:cachedUniqueName index="1961" name="[FactPayment].[CaseKey].&amp;[8102|00003827]"/>
            <x15:cachedUniqueName index="1962" name="[FactPayment].[CaseKey].&amp;[8102|00004224]"/>
            <x15:cachedUniqueName index="1963" name="[FactPayment].[CaseKey].&amp;[8102|00004235]"/>
            <x15:cachedUniqueName index="1964" name="[FactPayment].[CaseKey].&amp;[8102|00004847]"/>
            <x15:cachedUniqueName index="1965" name="[FactPayment].[CaseKey].&amp;[8102|00004852]"/>
            <x15:cachedUniqueName index="1966" name="[FactPayment].[CaseKey].&amp;[8102|00004896]"/>
            <x15:cachedUniqueName index="1967" name="[FactPayment].[CaseKey].&amp;[8102|00005424]"/>
            <x15:cachedUniqueName index="1968" name="[FactPayment].[CaseKey].&amp;[8102|00005528]"/>
            <x15:cachedUniqueName index="1969" name="[FactPayment].[CaseKey].&amp;[8102|00005676]"/>
            <x15:cachedUniqueName index="1970" name="[FactPayment].[CaseKey].&amp;[8102|00005736]"/>
            <x15:cachedUniqueName index="1971" name="[FactPayment].[CaseKey].&amp;[8102|00005805]"/>
            <x15:cachedUniqueName index="1972" name="[FactPayment].[CaseKey].&amp;[8102|00005831]"/>
            <x15:cachedUniqueName index="1973" name="[FactPayment].[CaseKey].&amp;[8102|00005855]"/>
            <x15:cachedUniqueName index="1974" name="[FactPayment].[CaseKey].&amp;[8102|00005982]"/>
            <x15:cachedUniqueName index="1975" name="[FactPayment].[CaseKey].&amp;[8102|00005996]"/>
            <x15:cachedUniqueName index="1976" name="[FactPayment].[CaseKey].&amp;[8102|00006167]"/>
            <x15:cachedUniqueName index="1977" name="[FactPayment].[CaseKey].&amp;[8102|00006186]"/>
            <x15:cachedUniqueName index="1978" name="[FactPayment].[CaseKey].&amp;[8102|00006202]"/>
            <x15:cachedUniqueName index="1979" name="[FactPayment].[CaseKey].&amp;[8102|00006211]"/>
            <x15:cachedUniqueName index="1980" name="[FactPayment].[CaseKey].&amp;[8102|00006232]"/>
            <x15:cachedUniqueName index="1981" name="[FactPayment].[CaseKey].&amp;[8102|00006253]"/>
            <x15:cachedUniqueName index="1982" name="[FactPayment].[CaseKey].&amp;[8102|00006261]"/>
            <x15:cachedUniqueName index="1983" name="[FactPayment].[CaseKey].&amp;[8102|00006356]"/>
            <x15:cachedUniqueName index="1984" name="[FactPayment].[CaseKey].&amp;[8102|00006361]"/>
            <x15:cachedUniqueName index="1985" name="[FactPayment].[CaseKey].&amp;[8102|00006374]"/>
            <x15:cachedUniqueName index="1986" name="[FactPayment].[CaseKey].&amp;[8102|00006431]"/>
            <x15:cachedUniqueName index="1987" name="[FactPayment].[CaseKey].&amp;[8102|00006450]"/>
            <x15:cachedUniqueName index="1988" name="[FactPayment].[CaseKey].&amp;[8102|00006542]"/>
            <x15:cachedUniqueName index="1989" name="[FactPayment].[CaseKey].&amp;[8102|00006563]"/>
            <x15:cachedUniqueName index="1990" name="[FactPayment].[CaseKey].&amp;[8102|00006575]"/>
            <x15:cachedUniqueName index="1991" name="[FactPayment].[CaseKey].&amp;[8102|00006595]"/>
            <x15:cachedUniqueName index="1992" name="[FactPayment].[CaseKey].&amp;[8102|00006655]"/>
            <x15:cachedUniqueName index="1993" name="[FactPayment].[CaseKey].&amp;[8102|00006660]"/>
            <x15:cachedUniqueName index="1994" name="[FactPayment].[CaseKey].&amp;[8102|00006692]"/>
            <x15:cachedUniqueName index="1995" name="[FactPayment].[CaseKey].&amp;[8102|00006701]"/>
            <x15:cachedUniqueName index="1996" name="[FactPayment].[CaseKey].&amp;[8102|00006720]"/>
            <x15:cachedUniqueName index="1997" name="[FactPayment].[CaseKey].&amp;[8102|00006784]"/>
            <x15:cachedUniqueName index="1998" name="[FactPayment].[CaseKey].&amp;[8102|00006798]"/>
            <x15:cachedUniqueName index="1999" name="[FactPayment].[CaseKey].&amp;[8102|00006802]"/>
            <x15:cachedUniqueName index="2000" name="[FactPayment].[CaseKey].&amp;[8102|00006812]"/>
            <x15:cachedUniqueName index="2001" name="[FactPayment].[CaseKey].&amp;[8102|00006843]"/>
            <x15:cachedUniqueName index="2002" name="[FactPayment].[CaseKey].&amp;[8102|00006863]"/>
            <x15:cachedUniqueName index="2003" name="[FactPayment].[CaseKey].&amp;[8102|00006888]"/>
            <x15:cachedUniqueName index="2004" name="[FactPayment].[CaseKey].&amp;[8102|00006890]"/>
            <x15:cachedUniqueName index="2005" name="[FactPayment].[CaseKey].&amp;[8102|00006915]"/>
            <x15:cachedUniqueName index="2006" name="[FactPayment].[CaseKey].&amp;[8102|00006926]"/>
            <x15:cachedUniqueName index="2007" name="[FactPayment].[CaseKey].&amp;[8102|00006933]"/>
            <x15:cachedUniqueName index="2008" name="[FactPayment].[CaseKey].&amp;[8102|00006941]"/>
            <x15:cachedUniqueName index="2009" name="[FactPayment].[CaseKey].&amp;[8102|00006954]"/>
            <x15:cachedUniqueName index="2010" name="[FactPayment].[CaseKey].&amp;[8102|00006964]"/>
            <x15:cachedUniqueName index="2011" name="[FactPayment].[CaseKey].&amp;[8102|00006970]"/>
            <x15:cachedUniqueName index="2012" name="[FactPayment].[CaseKey].&amp;[8102|00006981]"/>
            <x15:cachedUniqueName index="2013" name="[FactPayment].[CaseKey].&amp;[8102|00006993]"/>
            <x15:cachedUniqueName index="2014" name="[FactPayment].[CaseKey].&amp;[8102|00007021]"/>
            <x15:cachedUniqueName index="2015" name="[FactPayment].[CaseKey].&amp;[8102|00007043]"/>
            <x15:cachedUniqueName index="2016" name="[FactPayment].[CaseKey].&amp;[8102|00007057]"/>
            <x15:cachedUniqueName index="2017" name="[FactPayment].[CaseKey].&amp;[8102|00007065]"/>
            <x15:cachedUniqueName index="2018" name="[FactPayment].[CaseKey].&amp;[8102|00007078]"/>
            <x15:cachedUniqueName index="2019" name="[FactPayment].[CaseKey].&amp;[8102|00007081]"/>
            <x15:cachedUniqueName index="2020" name="[FactPayment].[CaseKey].&amp;[8102|00007094]"/>
            <x15:cachedUniqueName index="2021" name="[FactPayment].[CaseKey].&amp;[8102|00007166]"/>
            <x15:cachedUniqueName index="2022" name="[FactPayment].[CaseKey].&amp;[8102|00007184]"/>
            <x15:cachedUniqueName index="2023" name="[FactPayment].[CaseKey].&amp;[8102|00007198]"/>
            <x15:cachedUniqueName index="2024" name="[FactPayment].[CaseKey].&amp;[8102|00007216]"/>
            <x15:cachedUniqueName index="2025" name="[FactPayment].[CaseKey].&amp;[8102|00007245]"/>
            <x15:cachedUniqueName index="2026" name="[FactPayment].[CaseKey].&amp;[8102|00007257]"/>
            <x15:cachedUniqueName index="2027" name="[FactPayment].[CaseKey].&amp;[8102|00007262]"/>
            <x15:cachedUniqueName index="2028" name="[FactPayment].[CaseKey].&amp;[8102|00007274]"/>
            <x15:cachedUniqueName index="2029" name="[FactPayment].[CaseKey].&amp;[8102|00007320]"/>
            <x15:cachedUniqueName index="2030" name="[FactPayment].[CaseKey].&amp;[8102|00007360]"/>
            <x15:cachedUniqueName index="2031" name="[FactPayment].[CaseKey].&amp;[8102|00007373]"/>
            <x15:cachedUniqueName index="2032" name="[FactPayment].[CaseKey].&amp;[8102|00007383]"/>
            <x15:cachedUniqueName index="2033" name="[FactPayment].[CaseKey].&amp;[8102|00007421]"/>
            <x15:cachedUniqueName index="2034" name="[FactPayment].[CaseKey].&amp;[8102|00007446]"/>
            <x15:cachedUniqueName index="2035" name="[FactPayment].[CaseKey].&amp;[8102|00007463]"/>
            <x15:cachedUniqueName index="2036" name="[FactPayment].[CaseKey].&amp;[8102|00007484]"/>
            <x15:cachedUniqueName index="2037" name="[FactPayment].[CaseKey].&amp;[8102|00007492]"/>
            <x15:cachedUniqueName index="2038" name="[FactPayment].[CaseKey].&amp;[8102|00007505]"/>
            <x15:cachedUniqueName index="2039" name="[FactPayment].[CaseKey].&amp;[8102|00007518]"/>
            <x15:cachedUniqueName index="2040" name="[FactPayment].[CaseKey].&amp;[8102|00007523]"/>
            <x15:cachedUniqueName index="2041" name="[FactPayment].[CaseKey].&amp;[8102|00007538]"/>
            <x15:cachedUniqueName index="2042" name="[FactPayment].[CaseKey].&amp;[8102|00007554]"/>
            <x15:cachedUniqueName index="2043" name="[FactPayment].[CaseKey].&amp;[8102|00007561]"/>
            <x15:cachedUniqueName index="2044" name="[FactPayment].[CaseKey].&amp;[8102|00007578]"/>
            <x15:cachedUniqueName index="2045" name="[FactPayment].[CaseKey].&amp;[8102|00007586]"/>
            <x15:cachedUniqueName index="2046" name="[FactPayment].[CaseKey].&amp;[8102|00007598]"/>
            <x15:cachedUniqueName index="2047" name="[FactPayment].[CaseKey].&amp;[8102|00007605]"/>
            <x15:cachedUniqueName index="2048" name="[FactPayment].[CaseKey].&amp;[8102|00007612]"/>
            <x15:cachedUniqueName index="2049" name="[FactPayment].[CaseKey].&amp;[8102|00007628]"/>
            <x15:cachedUniqueName index="2050" name="[FactPayment].[CaseKey].&amp;[8102|00007632]"/>
            <x15:cachedUniqueName index="2051" name="[FactPayment].[CaseKey].&amp;[8102|00007647]"/>
            <x15:cachedUniqueName index="2052" name="[FactPayment].[CaseKey].&amp;[8102|00007650]"/>
            <x15:cachedUniqueName index="2053" name="[FactPayment].[CaseKey].&amp;[8102|00007668]"/>
            <x15:cachedUniqueName index="2054" name="[FactPayment].[CaseKey].&amp;[8102|00007675]"/>
            <x15:cachedUniqueName index="2055" name="[FactPayment].[CaseKey].&amp;[8102|00007685]"/>
            <x15:cachedUniqueName index="2056" name="[FactPayment].[CaseKey].&amp;[8102|00007692]"/>
            <x15:cachedUniqueName index="2057" name="[FactPayment].[CaseKey].&amp;[8102|00007704]"/>
            <x15:cachedUniqueName index="2058" name="[FactPayment].[CaseKey].&amp;[8102|00007713]"/>
            <x15:cachedUniqueName index="2059" name="[FactPayment].[CaseKey].&amp;[8102|00007728]"/>
            <x15:cachedUniqueName index="2060" name="[FactPayment].[CaseKey].&amp;[8102|00007736]"/>
            <x15:cachedUniqueName index="2061" name="[FactPayment].[CaseKey].&amp;[8102|00007755]"/>
            <x15:cachedUniqueName index="2062" name="[FactPayment].[CaseKey].&amp;[8102|00007764]"/>
            <x15:cachedUniqueName index="2063" name="[FactPayment].[CaseKey].&amp;[8102|00007774]"/>
            <x15:cachedUniqueName index="2064" name="[FactPayment].[CaseKey].&amp;[8102|00007781]"/>
            <x15:cachedUniqueName index="2065" name="[FactPayment].[CaseKey].&amp;[8102|00007793]"/>
            <x15:cachedUniqueName index="2066" name="[FactPayment].[CaseKey].&amp;[8102|00007804]"/>
            <x15:cachedUniqueName index="2067" name="[FactPayment].[CaseKey].&amp;[8102|00007815]"/>
            <x15:cachedUniqueName index="2068" name="[FactPayment].[CaseKey].&amp;[8102|00007824]"/>
            <x15:cachedUniqueName index="2069" name="[FactPayment].[CaseKey].&amp;[8102|00007833]"/>
            <x15:cachedUniqueName index="2070" name="[FactPayment].[CaseKey].&amp;[8102|00007843]"/>
            <x15:cachedUniqueName index="2071" name="[FactPayment].[CaseKey].&amp;[8102|00007852]"/>
            <x15:cachedUniqueName index="2072" name="[FactPayment].[CaseKey].&amp;[8102|00007864]"/>
            <x15:cachedUniqueName index="2073" name="[FactPayment].[CaseKey].&amp;[8102|00007878]"/>
            <x15:cachedUniqueName index="2074" name="[FactPayment].[CaseKey].&amp;[8102|00007883]"/>
            <x15:cachedUniqueName index="2075" name="[FactPayment].[CaseKey].&amp;[8102|00007896]"/>
            <x15:cachedUniqueName index="2076" name="[FactPayment].[CaseKey].&amp;[8102|00007908]"/>
            <x15:cachedUniqueName index="2077" name="[FactPayment].[CaseKey].&amp;[8102|00007914]"/>
            <x15:cachedUniqueName index="2078" name="[FactPayment].[CaseKey].&amp;[8102|00007926]"/>
            <x15:cachedUniqueName index="2079" name="[FactPayment].[CaseKey].&amp;[8102|00007930]"/>
            <x15:cachedUniqueName index="2080" name="[FactPayment].[CaseKey].&amp;[8102|00007943]"/>
            <x15:cachedUniqueName index="2081" name="[FactPayment].[CaseKey].&amp;[8102|00007955]"/>
            <x15:cachedUniqueName index="2082" name="[FactPayment].[CaseKey].&amp;[8102|00007962]"/>
            <x15:cachedUniqueName index="2083" name="[FactPayment].[CaseKey].&amp;[8102|00007978]"/>
            <x15:cachedUniqueName index="2084" name="[FactPayment].[CaseKey].&amp;[8102|00007993]"/>
            <x15:cachedUniqueName index="2085" name="[FactPayment].[CaseKey].&amp;[8102|00008007]"/>
            <x15:cachedUniqueName index="2086" name="[FactPayment].[CaseKey].&amp;[8102|00008010]"/>
            <x15:cachedUniqueName index="2087" name="[FactPayment].[CaseKey].&amp;[8102|00008023]"/>
            <x15:cachedUniqueName index="2088" name="[FactPayment].[CaseKey].&amp;[8102|00008037]"/>
            <x15:cachedUniqueName index="2089" name="[FactPayment].[CaseKey].&amp;[8102|00008040]"/>
            <x15:cachedUniqueName index="2090" name="[FactPayment].[CaseKey].&amp;[8102|00008056]"/>
            <x15:cachedUniqueName index="2091" name="[FactPayment].[CaseKey].&amp;[8102|00008067]"/>
            <x15:cachedUniqueName index="2092" name="[FactPayment].[CaseKey].&amp;[8102|00008075]"/>
            <x15:cachedUniqueName index="2093" name="[FactPayment].[CaseKey].&amp;[8102|00008080]"/>
            <x15:cachedUniqueName index="2094" name="[FactPayment].[CaseKey].&amp;[8102|00008097]"/>
            <x15:cachedUniqueName index="2095" name="[FactPayment].[CaseKey].&amp;[8102|00008105]"/>
            <x15:cachedUniqueName index="2096" name="[FactPayment].[CaseKey].&amp;[8102|00008116]"/>
            <x15:cachedUniqueName index="2097" name="[FactPayment].[CaseKey].&amp;[8102|00008121]"/>
            <x15:cachedUniqueName index="2098" name="[FactPayment].[CaseKey].&amp;[8102|00008133]"/>
            <x15:cachedUniqueName index="2099" name="[FactPayment].[CaseKey].&amp;[8102|00008147]"/>
            <x15:cachedUniqueName index="2100" name="[FactPayment].[CaseKey].&amp;[8102|00008153]"/>
            <x15:cachedUniqueName index="2101" name="[FactPayment].[CaseKey].&amp;[8102|00008164]"/>
            <x15:cachedUniqueName index="2102" name="[FactPayment].[CaseKey].&amp;[8102|00008172]"/>
            <x15:cachedUniqueName index="2103" name="[FactPayment].[CaseKey].&amp;[8102|00008186]"/>
            <x15:cachedUniqueName index="2104" name="[FactPayment].[CaseKey].&amp;[8102|00008196]"/>
            <x15:cachedUniqueName index="2105" name="[FactPayment].[CaseKey].&amp;[8102|00008208]"/>
            <x15:cachedUniqueName index="2106" name="[FactPayment].[CaseKey].&amp;[8102|00008212]"/>
            <x15:cachedUniqueName index="2107" name="[FactPayment].[CaseKey].&amp;[8102|00008221]"/>
            <x15:cachedUniqueName index="2108" name="[FactPayment].[CaseKey].&amp;[8102|00008237]"/>
            <x15:cachedUniqueName index="2109" name="[FactPayment].[CaseKey].&amp;[8102|00008245]"/>
            <x15:cachedUniqueName index="2110" name="[FactPayment].[CaseKey].&amp;[8102|00008251]"/>
            <x15:cachedUniqueName index="2111" name="[FactPayment].[CaseKey].&amp;[8102|00008264]"/>
            <x15:cachedUniqueName index="2112" name="[FactPayment].[CaseKey].&amp;[8102|00008277]"/>
            <x15:cachedUniqueName index="2113" name="[FactPayment].[CaseKey].&amp;[8102|00008285]"/>
            <x15:cachedUniqueName index="2114" name="[FactPayment].[CaseKey].&amp;[8102|00008294]"/>
            <x15:cachedUniqueName index="2115" name="[FactPayment].[CaseKey].&amp;[8102|00008305]"/>
            <x15:cachedUniqueName index="2116" name="[FactPayment].[CaseKey].&amp;[8102|00008318]"/>
            <x15:cachedUniqueName index="2117" name="[FactPayment].[CaseKey].&amp;[8102|00008327]"/>
            <x15:cachedUniqueName index="2118" name="[FactPayment].[CaseKey].&amp;[8102|00008334]"/>
            <x15:cachedUniqueName index="2119" name="[FactPayment].[CaseKey].&amp;[8102|00008340]"/>
            <x15:cachedUniqueName index="2120" name="[FactPayment].[CaseKey].&amp;[8102|00008352]"/>
            <x15:cachedUniqueName index="2121" name="[FactPayment].[CaseKey].&amp;[8102|00008377]"/>
            <x15:cachedUniqueName index="2122" name="[FactPayment].[CaseKey].&amp;[8102|00008382]"/>
            <x15:cachedUniqueName index="2123" name="[FactPayment].[CaseKey].&amp;[8102|00008396]"/>
            <x15:cachedUniqueName index="2124" name="[FactPayment].[CaseKey].&amp;[8102|00008408]"/>
            <x15:cachedUniqueName index="2125" name="[FactPayment].[CaseKey].&amp;[8102|00008413]"/>
            <x15:cachedUniqueName index="2126" name="[FactPayment].[CaseKey].&amp;[8102|00008427]"/>
            <x15:cachedUniqueName index="2127" name="[FactPayment].[CaseKey].&amp;[8102|00008437]"/>
            <x15:cachedUniqueName index="2128" name="[FactPayment].[CaseKey].&amp;[8102|00008445]"/>
            <x15:cachedUniqueName index="2129" name="[FactPayment].[CaseKey].&amp;[8102|00008457]"/>
            <x15:cachedUniqueName index="2130" name="[FactPayment].[CaseKey].&amp;[8102|00008460]"/>
            <x15:cachedUniqueName index="2131" name="[FactPayment].[CaseKey].&amp;[8102|00008470]"/>
            <x15:cachedUniqueName index="2132" name="[FactPayment].[CaseKey].&amp;[8102|00008494]"/>
            <x15:cachedUniqueName index="2133" name="[FactPayment].[CaseKey].&amp;[8102|00008501]"/>
            <x15:cachedUniqueName index="2134" name="[FactPayment].[CaseKey].&amp;[8102|00008514]"/>
            <x15:cachedUniqueName index="2135" name="[FactPayment].[CaseKey].&amp;[8102|00008522]"/>
            <x15:cachedUniqueName index="2136" name="[FactPayment].[CaseKey].&amp;[8102|00008534]"/>
            <x15:cachedUniqueName index="2137" name="[FactPayment].[CaseKey].&amp;[8102|00008540]"/>
            <x15:cachedUniqueName index="2138" name="[FactPayment].[CaseKey].&amp;[8102|00008554]"/>
            <x15:cachedUniqueName index="2139" name="[FactPayment].[CaseKey].&amp;[8102|00008562]"/>
            <x15:cachedUniqueName index="2140" name="[FactPayment].[CaseKey].&amp;[8102|00008570]"/>
            <x15:cachedUniqueName index="2141" name="[FactPayment].[CaseKey].&amp;[8102|00008582]"/>
            <x15:cachedUniqueName index="2142" name="[FactPayment].[CaseKey].&amp;[8102|00008598]"/>
            <x15:cachedUniqueName index="2143" name="[FactPayment].[CaseKey].&amp;[8102|00008601]"/>
            <x15:cachedUniqueName index="2144" name="[FactPayment].[CaseKey].&amp;[8102|00008612]"/>
            <x15:cachedUniqueName index="2145" name="[FactPayment].[CaseKey].&amp;[8102|00008635]"/>
            <x15:cachedUniqueName index="2146" name="[FactPayment].[CaseKey].&amp;[8102|00008640]"/>
            <x15:cachedUniqueName index="2147" name="[FactPayment].[CaseKey].&amp;[8102|00008650]"/>
            <x15:cachedUniqueName index="2148" name="[FactPayment].[CaseKey].&amp;[8102|00008661]"/>
            <x15:cachedUniqueName index="2149" name="[FactPayment].[CaseKey].&amp;[8102|00008670]"/>
            <x15:cachedUniqueName index="2150" name="[FactPayment].[CaseKey].&amp;[8102|00008685]"/>
            <x15:cachedUniqueName index="2151" name="[FactPayment].[CaseKey].&amp;[8102|00008695]"/>
            <x15:cachedUniqueName index="2152" name="[FactPayment].[CaseKey].&amp;[8102|00008708]"/>
            <x15:cachedUniqueName index="2153" name="[FactPayment].[CaseKey].&amp;[8102|00008718]"/>
            <x15:cachedUniqueName index="2154" name="[FactPayment].[CaseKey].&amp;[8102|00008736]"/>
            <x15:cachedUniqueName index="2155" name="[FactPayment].[CaseKey].&amp;[8102|00008744]"/>
            <x15:cachedUniqueName index="2156" name="[FactPayment].[CaseKey].&amp;[8102|00008751]"/>
            <x15:cachedUniqueName index="2157" name="[FactPayment].[CaseKey].&amp;[8102|00008778]"/>
            <x15:cachedUniqueName index="2158" name="[FactPayment].[CaseKey].&amp;[8102|00008783]"/>
            <x15:cachedUniqueName index="2159" name="[FactPayment].[CaseKey].&amp;[8102|00008798]"/>
            <x15:cachedUniqueName index="2160" name="[FactPayment].[CaseKey].&amp;[8102|00008805]"/>
            <x15:cachedUniqueName index="2161" name="[FactPayment].[CaseKey].&amp;[8102|00008815]"/>
            <x15:cachedUniqueName index="2162" name="[FactPayment].[CaseKey].&amp;[8102|00008826]"/>
            <x15:cachedUniqueName index="2163" name="[FactPayment].[CaseKey].&amp;[8102|00008833]"/>
            <x15:cachedUniqueName index="2164" name="[FactPayment].[CaseKey].&amp;[8102|00008840]"/>
            <x15:cachedUniqueName index="2165" name="[FactPayment].[CaseKey].&amp;[8102|00008858]"/>
            <x15:cachedUniqueName index="2166" name="[FactPayment].[CaseKey].&amp;[8102|00008861]"/>
            <x15:cachedUniqueName index="2167" name="[FactPayment].[CaseKey].&amp;[8102|00008875]"/>
            <x15:cachedUniqueName index="2168" name="[FactPayment].[CaseKey].&amp;[8102|00008888]"/>
            <x15:cachedUniqueName index="2169" name="[FactPayment].[CaseKey].&amp;[8102|00008892]"/>
            <x15:cachedUniqueName index="2170" name="[FactPayment].[CaseKey].&amp;[8102|00008905]"/>
            <x15:cachedUniqueName index="2171" name="[FactPayment].[CaseKey].&amp;[8102|00008913]"/>
            <x15:cachedUniqueName index="2172" name="[FactPayment].[CaseKey].&amp;[8102|00008927]"/>
            <x15:cachedUniqueName index="2173" name="[FactPayment].[CaseKey].&amp;[8102|00008934]"/>
            <x15:cachedUniqueName index="2174" name="[FactPayment].[CaseKey].&amp;[8102|00008946]"/>
            <x15:cachedUniqueName index="2175" name="[FactPayment].[CaseKey].&amp;[8102|00008957]"/>
            <x15:cachedUniqueName index="2176" name="[FactPayment].[CaseKey].&amp;[8102|00008968]"/>
            <x15:cachedUniqueName index="2177" name="[FactPayment].[CaseKey].&amp;[8102|00008976]"/>
            <x15:cachedUniqueName index="2178" name="[FactPayment].[CaseKey].&amp;[8102|00008993]"/>
            <x15:cachedUniqueName index="2179" name="[FactPayment].[CaseKey].&amp;[8102|00009000]"/>
            <x15:cachedUniqueName index="2180" name="[FactPayment].[CaseKey].&amp;[8102|00009015]"/>
            <x15:cachedUniqueName index="2181" name="[FactPayment].[CaseKey].&amp;[8102|00009028]"/>
            <x15:cachedUniqueName index="2182" name="[FactPayment].[CaseKey].&amp;[8102|00009037]"/>
            <x15:cachedUniqueName index="2183" name="[FactPayment].[CaseKey].&amp;[8102|00009040]"/>
            <x15:cachedUniqueName index="2184" name="[FactPayment].[CaseKey].&amp;[8102|00009052]"/>
            <x15:cachedUniqueName index="2185" name="[FactPayment].[CaseKey].&amp;[8102|00009061]"/>
            <x15:cachedUniqueName index="2186" name="[FactPayment].[CaseKey].&amp;[8102|00009078]"/>
            <x15:cachedUniqueName index="2187" name="[FactPayment].[CaseKey].&amp;[8102|00009082]"/>
            <x15:cachedUniqueName index="2188" name="[FactPayment].[CaseKey].&amp;[8102|00009094]"/>
            <x15:cachedUniqueName index="2189" name="[FactPayment].[CaseKey].&amp;[8102|00009105]"/>
            <x15:cachedUniqueName index="2190" name="[FactPayment].[CaseKey].&amp;[8102|00009124]"/>
            <x15:cachedUniqueName index="2191" name="[FactPayment].[CaseKey].&amp;[8102|00009130]"/>
            <x15:cachedUniqueName index="2192" name="[FactPayment].[CaseKey].&amp;[8102|00009142]"/>
            <x15:cachedUniqueName index="2193" name="[FactPayment].[CaseKey].&amp;[8102|00009156]"/>
            <x15:cachedUniqueName index="2194" name="[FactPayment].[CaseKey].&amp;[8102|00009176]"/>
            <x15:cachedUniqueName index="2195" name="[FactPayment].[CaseKey].&amp;[8102|00009187]"/>
            <x15:cachedUniqueName index="2196" name="[FactPayment].[CaseKey].&amp;[8102|00009191]"/>
            <x15:cachedUniqueName index="2197" name="[FactPayment].[CaseKey].&amp;[8102|00009203]"/>
            <x15:cachedUniqueName index="2198" name="[FactPayment].[CaseKey].&amp;[8102|00009217]"/>
            <x15:cachedUniqueName index="2199" name="[FactPayment].[CaseKey].&amp;[8102|00009224]"/>
            <x15:cachedUniqueName index="2200" name="[FactPayment].[CaseKey].&amp;[8102|00009237]"/>
            <x15:cachedUniqueName index="2201" name="[FactPayment].[CaseKey].&amp;[8102|00009244]"/>
            <x15:cachedUniqueName index="2202" name="[FactPayment].[CaseKey].&amp;[8102|00009257]"/>
            <x15:cachedUniqueName index="2203" name="[FactPayment].[CaseKey].&amp;[8102|00009261]"/>
            <x15:cachedUniqueName index="2204" name="[FactPayment].[CaseKey].&amp;[8102|00009273]"/>
            <x15:cachedUniqueName index="2205" name="[FactPayment].[CaseKey].&amp;[8102|00009286]"/>
            <x15:cachedUniqueName index="2206" name="[FactPayment].[CaseKey].&amp;[8102|00009296]"/>
            <x15:cachedUniqueName index="2207" name="[FactPayment].[CaseKey].&amp;[8102|00009302]"/>
            <x15:cachedUniqueName index="2208" name="[FactPayment].[CaseKey].&amp;[8102|00009317]"/>
            <x15:cachedUniqueName index="2209" name="[FactPayment].[CaseKey].&amp;[8102|00009325]"/>
            <x15:cachedUniqueName index="2210" name="[FactPayment].[CaseKey].&amp;[8102|00009332]"/>
            <x15:cachedUniqueName index="2211" name="[FactPayment].[CaseKey].&amp;[8102|00009345]"/>
            <x15:cachedUniqueName index="2212" name="[FactPayment].[CaseKey].&amp;[8102|00009362]"/>
            <x15:cachedUniqueName index="2213" name="[FactPayment].[CaseKey].&amp;[8102|00009373]"/>
            <x15:cachedUniqueName index="2214" name="[FactPayment].[CaseKey].&amp;[8102|00009384]"/>
            <x15:cachedUniqueName index="2215" name="[FactPayment].[CaseKey].&amp;[8102|00009394]"/>
            <x15:cachedUniqueName index="2216" name="[FactPayment].[CaseKey].&amp;[8102|00009403]"/>
            <x15:cachedUniqueName index="2217" name="[FactPayment].[CaseKey].&amp;[8102|00009413]"/>
            <x15:cachedUniqueName index="2218" name="[FactPayment].[CaseKey].&amp;[8102|00009428]"/>
            <x15:cachedUniqueName index="2219" name="[FactPayment].[CaseKey].&amp;[8102|00009436]"/>
            <x15:cachedUniqueName index="2220" name="[FactPayment].[CaseKey].&amp;[8102|00009448]"/>
            <x15:cachedUniqueName index="2221" name="[FactPayment].[CaseKey].&amp;[8102|00009451]"/>
            <x15:cachedUniqueName index="2222" name="[FactPayment].[CaseKey].&amp;[8102|00009467]"/>
            <x15:cachedUniqueName index="2223" name="[FactPayment].[CaseKey].&amp;[8102|00009474]"/>
            <x15:cachedUniqueName index="2224" name="[FactPayment].[CaseKey].&amp;[8102|00009481]"/>
            <x15:cachedUniqueName index="2225" name="[FactPayment].[CaseKey].&amp;[8102|00009498]"/>
            <x15:cachedUniqueName index="2226" name="[FactPayment].[CaseKey].&amp;[8102|00009502]"/>
            <x15:cachedUniqueName index="2227" name="[FactPayment].[CaseKey].&amp;[8102|00009517]"/>
            <x15:cachedUniqueName index="2228" name="[FactPayment].[CaseKey].&amp;[8102|00009524]"/>
            <x15:cachedUniqueName index="2229" name="[FactPayment].[CaseKey].&amp;[8102|00009546]"/>
            <x15:cachedUniqueName index="2230" name="[FactPayment].[CaseKey].&amp;[8102|00009558]"/>
            <x15:cachedUniqueName index="2231" name="[FactPayment].[CaseKey].&amp;[8102|00009560]"/>
            <x15:cachedUniqueName index="2232" name="[FactPayment].[CaseKey].&amp;[8102|00009574]"/>
            <x15:cachedUniqueName index="2233" name="[FactPayment].[CaseKey].&amp;[8102|00009587]"/>
            <x15:cachedUniqueName index="2234" name="[FactPayment].[CaseKey].&amp;[8102|00009596]"/>
            <x15:cachedUniqueName index="2235" name="[FactPayment].[CaseKey].&amp;[8102|00009601]"/>
            <x15:cachedUniqueName index="2236" name="[FactPayment].[CaseKey].&amp;[8102|00009616]"/>
            <x15:cachedUniqueName index="2237" name="[FactPayment].[CaseKey].&amp;[8102|00009637]"/>
            <x15:cachedUniqueName index="2238" name="[FactPayment].[CaseKey].&amp;[8102|00009648]"/>
            <x15:cachedUniqueName index="2239" name="[FactPayment].[CaseKey].&amp;[8102|00009656]"/>
            <x15:cachedUniqueName index="2240" name="[FactPayment].[CaseKey].&amp;[8102|00009667]"/>
            <x15:cachedUniqueName index="2241" name="[FactPayment].[CaseKey].&amp;[8102|00009670]"/>
            <x15:cachedUniqueName index="2242" name="[FactPayment].[CaseKey].&amp;[8102|00009688]"/>
            <x15:cachedUniqueName index="2243" name="[FactPayment].[CaseKey].&amp;[8102|00009697]"/>
            <x15:cachedUniqueName index="2244" name="[FactPayment].[CaseKey].&amp;[8102|00009703]"/>
            <x15:cachedUniqueName index="2245" name="[FactPayment].[CaseKey].&amp;[8102|00009711]"/>
            <x15:cachedUniqueName index="2246" name="[FactPayment].[CaseKey].&amp;[8102|00009726]"/>
            <x15:cachedUniqueName index="2247" name="[FactPayment].[CaseKey].&amp;[8102|00009736]"/>
            <x15:cachedUniqueName index="2248" name="[FactPayment].[CaseKey].&amp;[8102|00009745]"/>
            <x15:cachedUniqueName index="2249" name="[FactPayment].[CaseKey].&amp;[8102|00009753]"/>
            <x15:cachedUniqueName index="2250" name="[FactPayment].[CaseKey].&amp;[8102|00009764]"/>
            <x15:cachedUniqueName index="2251" name="[FactPayment].[CaseKey].&amp;[8102|00009773]"/>
            <x15:cachedUniqueName index="2252" name="[FactPayment].[CaseKey].&amp;[8102|00009783]"/>
            <x15:cachedUniqueName index="2253" name="[FactPayment].[CaseKey].&amp;[8102|00009795]"/>
            <x15:cachedUniqueName index="2254" name="[FactPayment].[CaseKey].&amp;[8102|00009808]"/>
            <x15:cachedUniqueName index="2255" name="[FactPayment].[CaseKey].&amp;[8102|00009818]"/>
            <x15:cachedUniqueName index="2256" name="[FactPayment].[CaseKey].&amp;[8102|00009828]"/>
            <x15:cachedUniqueName index="2257" name="[FactPayment].[CaseKey].&amp;[8102|00009834]"/>
            <x15:cachedUniqueName index="2258" name="[FactPayment].[CaseKey].&amp;[8102|00009846]"/>
            <x15:cachedUniqueName index="2259" name="[FactPayment].[CaseKey].&amp;[8102|00009854]"/>
            <x15:cachedUniqueName index="2260" name="[FactPayment].[CaseKey].&amp;[8102|00009863]"/>
            <x15:cachedUniqueName index="2261" name="[FactPayment].[CaseKey].&amp;[8102|00009872]"/>
            <x15:cachedUniqueName index="2262" name="[FactPayment].[CaseKey].&amp;[8102|00009886]"/>
            <x15:cachedUniqueName index="2263" name="[FactPayment].[CaseKey].&amp;[8102|00009896]"/>
            <x15:cachedUniqueName index="2264" name="[FactPayment].[CaseKey].&amp;[8102|00009908]"/>
            <x15:cachedUniqueName index="2265" name="[FactPayment].[CaseKey].&amp;[8102|00009917]"/>
            <x15:cachedUniqueName index="2266" name="[FactPayment].[CaseKey].&amp;[8102|00009921]"/>
            <x15:cachedUniqueName index="2267" name="[FactPayment].[CaseKey].&amp;[8102|00009935]"/>
            <x15:cachedUniqueName index="2268" name="[FactPayment].[CaseKey].&amp;[8102|00009946]"/>
            <x15:cachedUniqueName index="2269" name="[FactPayment].[CaseKey].&amp;[8102|00009958]"/>
            <x15:cachedUniqueName index="2270" name="[FactPayment].[CaseKey].&amp;[8102|00009960]"/>
            <x15:cachedUniqueName index="2271" name="[FactPayment].[CaseKey].&amp;[8102|00009975]"/>
            <x15:cachedUniqueName index="2272" name="[FactPayment].[CaseKey].&amp;[8102|00009984]"/>
            <x15:cachedUniqueName index="2273" name="[FactPayment].[CaseKey].&amp;[8102|00009997]"/>
            <x15:cachedUniqueName index="2274" name="[FactPayment].[CaseKey].&amp;[8102|00010002]"/>
            <x15:cachedUniqueName index="2275" name="[FactPayment].[CaseKey].&amp;[8102|00010017]"/>
            <x15:cachedUniqueName index="2276" name="[FactPayment].[CaseKey].&amp;[8102|00010023]"/>
            <x15:cachedUniqueName index="2277" name="[FactPayment].[CaseKey].&amp;[8102|00010034]"/>
            <x15:cachedUniqueName index="2278" name="[FactPayment].[CaseKey].&amp;[8102|00010046]"/>
            <x15:cachedUniqueName index="2279" name="[FactPayment].[CaseKey].&amp;[8102|00010051]"/>
            <x15:cachedUniqueName index="2280" name="[FactPayment].[CaseKey].&amp;[8102|00010068]"/>
            <x15:cachedUniqueName index="2281" name="[FactPayment].[CaseKey].&amp;[8102|00010072]"/>
            <x15:cachedUniqueName index="2282" name="[FactPayment].[CaseKey].&amp;[8102|00010083]"/>
            <x15:cachedUniqueName index="2283" name="[FactPayment].[CaseKey].&amp;[8102|00010092]"/>
            <x15:cachedUniqueName index="2284" name="[FactPayment].[CaseKey].&amp;[8102|00010108]"/>
            <x15:cachedUniqueName index="2285" name="[FactPayment].[CaseKey].&amp;[8102|00010115]"/>
            <x15:cachedUniqueName index="2286" name="[FactPayment].[CaseKey].&amp;[8102|00010131]"/>
            <x15:cachedUniqueName index="2287" name="[FactPayment].[CaseKey].&amp;[8102|00010157]"/>
            <x15:cachedUniqueName index="2288" name="[FactPayment].[CaseKey].&amp;[8102|00010164]"/>
            <x15:cachedUniqueName index="2289" name="[FactPayment].[CaseKey].&amp;[8102|00010186]"/>
            <x15:cachedUniqueName index="2290" name="[FactPayment].[CaseKey].&amp;[8102|00010196]"/>
            <x15:cachedUniqueName index="2291" name="[FactPayment].[CaseKey].&amp;[8102|00010207]"/>
            <x15:cachedUniqueName index="2292" name="[FactPayment].[CaseKey].&amp;[8102|00010215]"/>
            <x15:cachedUniqueName index="2293" name="[FactPayment].[CaseKey].&amp;[8102|00010227]"/>
            <x15:cachedUniqueName index="2294" name="[FactPayment].[CaseKey].&amp;[8102|00010236]"/>
            <x15:cachedUniqueName index="2295" name="[FactPayment].[CaseKey].&amp;[8102|00010244]"/>
            <x15:cachedUniqueName index="2296" name="[FactPayment].[CaseKey].&amp;[8102|00010252]"/>
            <x15:cachedUniqueName index="2297" name="[FactPayment].[CaseKey].&amp;[8102|00010267]"/>
            <x15:cachedUniqueName index="2298" name="[FactPayment].[CaseKey].&amp;[8102|00010273]"/>
            <x15:cachedUniqueName index="2299" name="[FactPayment].[CaseKey].&amp;[8102|00010286]"/>
            <x15:cachedUniqueName index="2300" name="[FactPayment].[CaseKey].&amp;[8102|00010295]"/>
            <x15:cachedUniqueName index="2301" name="[FactPayment].[CaseKey].&amp;[8102|00010307]"/>
            <x15:cachedUniqueName index="2302" name="[FactPayment].[CaseKey].&amp;[8102|00010315]"/>
            <x15:cachedUniqueName index="2303" name="[FactPayment].[CaseKey].&amp;[8102|00010321]"/>
            <x15:cachedUniqueName index="2304" name="[FactPayment].[CaseKey].&amp;[8102|00010337]"/>
            <x15:cachedUniqueName index="2305" name="[FactPayment].[CaseKey].&amp;[8102|00010348]"/>
            <x15:cachedUniqueName index="2306" name="[FactPayment].[CaseKey].&amp;[8102|00010357]"/>
            <x15:cachedUniqueName index="2307" name="[FactPayment].[CaseKey].&amp;[8102|00010362]"/>
            <x15:cachedUniqueName index="2308" name="[FactPayment].[CaseKey].&amp;[8102|00010378]"/>
            <x15:cachedUniqueName index="2309" name="[FactPayment].[CaseKey].&amp;[8102|00010381]"/>
            <x15:cachedUniqueName index="2310" name="[FactPayment].[CaseKey].&amp;[8102|00010401]"/>
            <x15:cachedUniqueName index="2311" name="[FactPayment].[CaseKey].&amp;[8102|00010417]"/>
            <x15:cachedUniqueName index="2312" name="[FactPayment].[CaseKey].&amp;[8102|00010422]"/>
            <x15:cachedUniqueName index="2313" name="[FactPayment].[CaseKey].&amp;[8102|00010438]"/>
            <x15:cachedUniqueName index="2314" name="[FactPayment].[CaseKey].&amp;[8102|00010441]"/>
            <x15:cachedUniqueName index="2315" name="[FactPayment].[CaseKey].&amp;[8102|00010450]"/>
            <x15:cachedUniqueName index="2316" name="[FactPayment].[CaseKey].&amp;[8102|00010462]"/>
            <x15:cachedUniqueName index="2317" name="[FactPayment].[CaseKey].&amp;[8102|00010471]"/>
            <x15:cachedUniqueName index="2318" name="[FactPayment].[CaseKey].&amp;[8102|00010482]"/>
            <x15:cachedUniqueName index="2319" name="[FactPayment].[CaseKey].&amp;[8102|00010492]"/>
            <x15:cachedUniqueName index="2320" name="[FactPayment].[CaseKey].&amp;[8102|00010501]"/>
            <x15:cachedUniqueName index="2321" name="[FactPayment].[CaseKey].&amp;[8102|00010511]"/>
            <x15:cachedUniqueName index="2322" name="[FactPayment].[CaseKey].&amp;[8102|00010522]"/>
            <x15:cachedUniqueName index="2323" name="[FactPayment].[CaseKey].&amp;[8102|00010533]"/>
            <x15:cachedUniqueName index="2324" name="[FactPayment].[CaseKey].&amp;[8102|00010545]"/>
            <x15:cachedUniqueName index="2325" name="[FactPayment].[CaseKey].&amp;[8102|00010557]"/>
            <x15:cachedUniqueName index="2326" name="[FactPayment].[CaseKey].&amp;[8102|00010577]"/>
            <x15:cachedUniqueName index="2327" name="[FactPayment].[CaseKey].&amp;[8102|00010588]"/>
            <x15:cachedUniqueName index="2328" name="[FactPayment].[CaseKey].&amp;[8102|00010592]"/>
            <x15:cachedUniqueName index="2329" name="[FactPayment].[CaseKey].&amp;[8102|00010606]"/>
            <x15:cachedUniqueName index="2330" name="[FactPayment].[CaseKey].&amp;[8102|00010611]"/>
            <x15:cachedUniqueName index="2331" name="[FactPayment].[CaseKey].&amp;[8102|00010620]"/>
            <x15:cachedUniqueName index="2332" name="[FactPayment].[CaseKey].&amp;[8102|00010631]"/>
            <x15:cachedUniqueName index="2333" name="[FactPayment].[CaseKey].&amp;[8102|00010647]"/>
            <x15:cachedUniqueName index="2334" name="[FactPayment].[CaseKey].&amp;[8102|00010658]"/>
            <x15:cachedUniqueName index="2335" name="[FactPayment].[CaseKey].&amp;[8102|00010664]"/>
            <x15:cachedUniqueName index="2336" name="[FactPayment].[CaseKey].&amp;[8102|00010670]"/>
            <x15:cachedUniqueName index="2337" name="[FactPayment].[CaseKey].&amp;[8102|00010681]"/>
            <x15:cachedUniqueName index="2338" name="[FactPayment].[CaseKey].&amp;[8102|00010698]"/>
            <x15:cachedUniqueName index="2339" name="[FactPayment].[CaseKey].&amp;[8102|00010702]"/>
            <x15:cachedUniqueName index="2340" name="[FactPayment].[CaseKey].&amp;[8102|00010720]"/>
            <x15:cachedUniqueName index="2341" name="[FactPayment].[CaseKey].&amp;[8102|00010731]"/>
            <x15:cachedUniqueName index="2342" name="[FactPayment].[CaseKey].&amp;[8102|00010742]"/>
            <x15:cachedUniqueName index="2343" name="[FactPayment].[CaseKey].&amp;[8102|00010756]"/>
            <x15:cachedUniqueName index="2344" name="[FactPayment].[CaseKey].&amp;[8102|00010765]"/>
            <x15:cachedUniqueName index="2345" name="[FactPayment].[CaseKey].&amp;[8102|00010771]"/>
            <x15:cachedUniqueName index="2346" name="[FactPayment].[CaseKey].&amp;[8102|00010781]"/>
            <x15:cachedUniqueName index="2347" name="[FactPayment].[CaseKey].&amp;[8102|00010797]"/>
            <x15:cachedUniqueName index="2348" name="[FactPayment].[CaseKey].&amp;[8102|00010808]"/>
            <x15:cachedUniqueName index="2349" name="[FactPayment].[CaseKey].&amp;[8102|00010811]"/>
            <x15:cachedUniqueName index="2350" name="[FactPayment].[CaseKey].&amp;[8102|00010822]"/>
            <x15:cachedUniqueName index="2351" name="[FactPayment].[CaseKey].&amp;[8102|00010830]"/>
            <x15:cachedUniqueName index="2352" name="[FactPayment].[CaseKey].&amp;[8102|00010844]"/>
            <x15:cachedUniqueName index="2353" name="[FactPayment].[CaseKey].&amp;[8102|00010856]"/>
            <x15:cachedUniqueName index="2354" name="[FactPayment].[CaseKey].&amp;[8102|00010865]"/>
            <x15:cachedUniqueName index="2355" name="[FactPayment].[CaseKey].&amp;[8102|00010873]"/>
            <x15:cachedUniqueName index="2356" name="[FactPayment].[CaseKey].&amp;[8102|00010881]"/>
            <x15:cachedUniqueName index="2357" name="[FactPayment].[CaseKey].&amp;[8102|00010895]"/>
            <x15:cachedUniqueName index="2358" name="[FactPayment].[CaseKey].&amp;[8102|00010900]"/>
            <x15:cachedUniqueName index="2359" name="[FactPayment].[CaseKey].&amp;[8102|00010916]"/>
            <x15:cachedUniqueName index="2360" name="[FactPayment].[CaseKey].&amp;[8102|00010923]"/>
            <x15:cachedUniqueName index="2361" name="[FactPayment].[CaseKey].&amp;[8102|00010930]"/>
            <x15:cachedUniqueName index="2362" name="[FactPayment].[CaseKey].&amp;[8102|00010942]"/>
            <x15:cachedUniqueName index="2363" name="[FactPayment].[CaseKey].&amp;[8102|00010957]"/>
            <x15:cachedUniqueName index="2364" name="[FactPayment].[CaseKey].&amp;[8102|00010960]"/>
            <x15:cachedUniqueName index="2365" name="[FactPayment].[CaseKey].&amp;[8102|00010978]"/>
            <x15:cachedUniqueName index="2366" name="[FactPayment].[CaseKey].&amp;[8102|00010988]"/>
            <x15:cachedUniqueName index="2367" name="[FactPayment].[CaseKey].&amp;[8102|00010998]"/>
            <x15:cachedUniqueName index="2368" name="[FactPayment].[CaseKey].&amp;[8102|00011007]"/>
            <x15:cachedUniqueName index="2369" name="[FactPayment].[CaseKey].&amp;[8102|00011012]"/>
            <x15:cachedUniqueName index="2370" name="[FactPayment].[CaseKey].&amp;[8102|00011027]"/>
            <x15:cachedUniqueName index="2371" name="[FactPayment].[CaseKey].&amp;[8102|00011045]"/>
            <x15:cachedUniqueName index="2372" name="[FactPayment].[CaseKey].&amp;[8102|00011053]"/>
            <x15:cachedUniqueName index="2373" name="[FactPayment].[CaseKey].&amp;[8102|00011065]"/>
            <x15:cachedUniqueName index="2374" name="[FactPayment].[CaseKey].&amp;[8102|00011071]"/>
            <x15:cachedUniqueName index="2375" name="[FactPayment].[CaseKey].&amp;[8102|00011083]"/>
            <x15:cachedUniqueName index="2376" name="[FactPayment].[CaseKey].&amp;[8102|00011090]"/>
            <x15:cachedUniqueName index="2377" name="[FactPayment].[CaseKey].&amp;[8102|00011108]"/>
            <x15:cachedUniqueName index="2378" name="[FactPayment].[CaseKey].&amp;[8102|00011114]"/>
            <x15:cachedUniqueName index="2379" name="[FactPayment].[CaseKey].&amp;[8102|00011133]"/>
            <x15:cachedUniqueName index="2380" name="[FactPayment].[CaseKey].&amp;[8102|00011142]"/>
            <x15:cachedUniqueName index="2381" name="[FactPayment].[CaseKey].&amp;[8102|00011151]"/>
            <x15:cachedUniqueName index="2382" name="[FactPayment].[CaseKey].&amp;[8102|00011168]"/>
            <x15:cachedUniqueName index="2383" name="[FactPayment].[CaseKey].&amp;[8102|00011173]"/>
            <x15:cachedUniqueName index="2384" name="[FactPayment].[CaseKey].&amp;[8102|00011183]"/>
            <x15:cachedUniqueName index="2385" name="[FactPayment].[CaseKey].&amp;[8102|00011198]"/>
            <x15:cachedUniqueName index="2386" name="[FactPayment].[CaseKey].&amp;[8102|00011201]"/>
            <x15:cachedUniqueName index="2387" name="[FactPayment].[CaseKey].&amp;[8102|00011217]"/>
            <x15:cachedUniqueName index="2388" name="[FactPayment].[CaseKey].&amp;[8102|00011223]"/>
            <x15:cachedUniqueName index="2389" name="[FactPayment].[CaseKey].&amp;[8102|00011232]"/>
            <x15:cachedUniqueName index="2390" name="[FactPayment].[CaseKey].&amp;[8102|00011247]"/>
            <x15:cachedUniqueName index="2391" name="[FactPayment].[CaseKey].&amp;[8102|00011250]"/>
            <x15:cachedUniqueName index="2392" name="[FactPayment].[CaseKey].&amp;[8102|00011268]"/>
            <x15:cachedUniqueName index="2393" name="[FactPayment].[CaseKey].&amp;[8102|00011272]"/>
            <x15:cachedUniqueName index="2394" name="[FactPayment].[CaseKey].&amp;[8102|00011287]"/>
            <x15:cachedUniqueName index="2395" name="[FactPayment].[CaseKey].&amp;[8102|00011295]"/>
            <x15:cachedUniqueName index="2396" name="[FactPayment].[CaseKey].&amp;[8102|00011303]"/>
            <x15:cachedUniqueName index="2397" name="[FactPayment].[CaseKey].&amp;[8102|00011315]"/>
            <x15:cachedUniqueName index="2398" name="[FactPayment].[CaseKey].&amp;[8102|00011326]"/>
            <x15:cachedUniqueName index="2399" name="[FactPayment].[CaseKey].&amp;[8102|00011334]"/>
            <x15:cachedUniqueName index="2400" name="[FactPayment].[CaseKey].&amp;[8102|00011346]"/>
            <x15:cachedUniqueName index="2401" name="[FactPayment].[CaseKey].&amp;[8102|00011351]"/>
            <x15:cachedUniqueName index="2402" name="[FactPayment].[CaseKey].&amp;[8102|00011364]"/>
            <x15:cachedUniqueName index="2403" name="[FactPayment].[CaseKey].&amp;[8102|00011376]"/>
            <x15:cachedUniqueName index="2404" name="[FactPayment].[CaseKey].&amp;[8102|00011386]"/>
            <x15:cachedUniqueName index="2405" name="[FactPayment].[CaseKey].&amp;[8102|00011398]"/>
            <x15:cachedUniqueName index="2406" name="[FactPayment].[CaseKey].&amp;[8102|00011401]"/>
            <x15:cachedUniqueName index="2407" name="[FactPayment].[CaseKey].&amp;[8102|00011413]"/>
            <x15:cachedUniqueName index="2408" name="[FactPayment].[CaseKey].&amp;[8102|00011422]"/>
            <x15:cachedUniqueName index="2409" name="[FactPayment].[CaseKey].&amp;[8102|00011436]"/>
            <x15:cachedUniqueName index="2410" name="[FactPayment].[CaseKey].&amp;[8102|00011451]"/>
            <x15:cachedUniqueName index="2411" name="[FactPayment].[CaseKey].&amp;[8102|00011465]"/>
            <x15:cachedUniqueName index="2412" name="[FactPayment].[CaseKey].&amp;[8102|00011478]"/>
            <x15:cachedUniqueName index="2413" name="[FactPayment].[CaseKey].&amp;[8102|00011485]"/>
            <x15:cachedUniqueName index="2414" name="[FactPayment].[CaseKey].&amp;[8102|00011492]"/>
            <x15:cachedUniqueName index="2415" name="[FactPayment].[CaseKey].&amp;[8102|00011503]"/>
            <x15:cachedUniqueName index="2416" name="[FactPayment].[CaseKey].&amp;[8102|00011518]"/>
            <x15:cachedUniqueName index="2417" name="[FactPayment].[CaseKey].&amp;[8102|00011526]"/>
            <x15:cachedUniqueName index="2418" name="[FactPayment].[CaseKey].&amp;[8102|00011535]"/>
            <x15:cachedUniqueName index="2419" name="[FactPayment].[CaseKey].&amp;[8102|00011547]"/>
            <x15:cachedUniqueName index="2420" name="[FactPayment].[CaseKey].&amp;[8102|00011551]"/>
            <x15:cachedUniqueName index="2421" name="[FactPayment].[CaseKey].&amp;[8102|00011577]"/>
            <x15:cachedUniqueName index="2422" name="[FactPayment].[CaseKey].&amp;[8102|00011585]"/>
            <x15:cachedUniqueName index="2423" name="[FactPayment].[CaseKey].&amp;[8102|00011592]"/>
            <x15:cachedUniqueName index="2424" name="[FactPayment].[CaseKey].&amp;[8102|00011602]"/>
            <x15:cachedUniqueName index="2425" name="[FactPayment].[CaseKey].&amp;[8102|00011613]"/>
            <x15:cachedUniqueName index="2426" name="[FactPayment].[CaseKey].&amp;[8102|00011625]"/>
            <x15:cachedUniqueName index="2427" name="[FactPayment].[CaseKey].&amp;[8102|00011634]"/>
            <x15:cachedUniqueName index="2428" name="[FactPayment].[CaseKey].&amp;[8102|00011641]"/>
            <x15:cachedUniqueName index="2429" name="[FactPayment].[CaseKey].&amp;[8102|00011654]"/>
            <x15:cachedUniqueName index="2430" name="[FactPayment].[CaseKey].&amp;[8102|00011663]"/>
            <x15:cachedUniqueName index="2431" name="[FactPayment].[CaseKey].&amp;[8102|00011672]"/>
            <x15:cachedUniqueName index="2432" name="[FactPayment].[CaseKey].&amp;[8102|00011684]"/>
            <x15:cachedUniqueName index="2433" name="[FactPayment].[CaseKey].&amp;[8102|00011698]"/>
            <x15:cachedUniqueName index="2434" name="[FactPayment].[CaseKey].&amp;[8102|00011704]"/>
            <x15:cachedUniqueName index="2435" name="[FactPayment].[CaseKey].&amp;[8102|00011712]"/>
            <x15:cachedUniqueName index="2436" name="[FactPayment].[CaseKey].&amp;[8102|00011727]"/>
            <x15:cachedUniqueName index="2437" name="[FactPayment].[CaseKey].&amp;[8102|00011735]"/>
            <x15:cachedUniqueName index="2438" name="[FactPayment].[CaseKey].&amp;[8102|00011742]"/>
            <x15:cachedUniqueName index="2439" name="[FactPayment].[CaseKey].&amp;[8102|00011750]"/>
            <x15:cachedUniqueName index="2440" name="[FactPayment].[CaseKey].&amp;[8102|00011768]"/>
            <x15:cachedUniqueName index="2441" name="[FactPayment].[CaseKey].&amp;[8102|00011773]"/>
            <x15:cachedUniqueName index="2442" name="[FactPayment].[CaseKey].&amp;[8102|00011784]"/>
            <x15:cachedUniqueName index="2443" name="[FactPayment].[CaseKey].&amp;[8102|00011798]"/>
            <x15:cachedUniqueName index="2444" name="[FactPayment].[CaseKey].&amp;[8102|00011808]"/>
            <x15:cachedUniqueName index="2445" name="[FactPayment].[CaseKey].&amp;[8102|00011817]"/>
            <x15:cachedUniqueName index="2446" name="[FactPayment].[CaseKey].&amp;[8102|00011821]"/>
            <x15:cachedUniqueName index="2447" name="[FactPayment].[CaseKey].&amp;[8102|00011834]"/>
            <x15:cachedUniqueName index="2448" name="[FactPayment].[CaseKey].&amp;[8102|00011842]"/>
            <x15:cachedUniqueName index="2449" name="[FactPayment].[CaseKey].&amp;[8102|00011858]"/>
            <x15:cachedUniqueName index="2450" name="[FactPayment].[CaseKey].&amp;[8102|00011864]"/>
            <x15:cachedUniqueName index="2451" name="[FactPayment].[CaseKey].&amp;[8102|00011875]"/>
            <x15:cachedUniqueName index="2452" name="[FactPayment].[CaseKey].&amp;[8102|00011880]"/>
            <x15:cachedUniqueName index="2453" name="[FactPayment].[CaseKey].&amp;[8102|00011906]"/>
            <x15:cachedUniqueName index="2454" name="[FactPayment].[CaseKey].&amp;[8102|00011916]"/>
            <x15:cachedUniqueName index="2455" name="[FactPayment].[CaseKey].&amp;[8102|00011927]"/>
            <x15:cachedUniqueName index="2456" name="[FactPayment].[CaseKey].&amp;[8102|00011931]"/>
            <x15:cachedUniqueName index="2457" name="[FactPayment].[CaseKey].&amp;[8102|00011947]"/>
            <x15:cachedUniqueName index="2458" name="[FactPayment].[CaseKey].&amp;[8102|00011950]"/>
            <x15:cachedUniqueName index="2459" name="[FactPayment].[CaseKey].&amp;[8102|00011961]"/>
            <x15:cachedUniqueName index="2460" name="[FactPayment].[CaseKey].&amp;[8102|00011978]"/>
            <x15:cachedUniqueName index="2461" name="[FactPayment].[CaseKey].&amp;[8102|00011981]"/>
            <x15:cachedUniqueName index="2462" name="[FactPayment].[CaseKey].&amp;[8102|00011993]"/>
            <x15:cachedUniqueName index="2463" name="[FactPayment].[CaseKey].&amp;[8102|00012001]"/>
            <x15:cachedUniqueName index="2464" name="[FactPayment].[CaseKey].&amp;[8102|00012014]"/>
            <x15:cachedUniqueName index="2465" name="[FactPayment].[CaseKey].&amp;[8102|00012026]"/>
            <x15:cachedUniqueName index="2466" name="[FactPayment].[CaseKey].&amp;[8102|00012032]"/>
            <x15:cachedUniqueName index="2467" name="[FactPayment].[CaseKey].&amp;[8102|00012047]"/>
            <x15:cachedUniqueName index="2468" name="[FactPayment].[CaseKey].&amp;[8102|00012053]"/>
            <x15:cachedUniqueName index="2469" name="[FactPayment].[CaseKey].&amp;[8102|00012068]"/>
            <x15:cachedUniqueName index="2470" name="[FactPayment].[CaseKey].&amp;[8102|00012075]"/>
            <x15:cachedUniqueName index="2471" name="[FactPayment].[CaseKey].&amp;[8102|00012084]"/>
            <x15:cachedUniqueName index="2472" name="[FactPayment].[CaseKey].&amp;[8102|00012091]"/>
            <x15:cachedUniqueName index="2473" name="[FactPayment].[CaseKey].&amp;[8102|00012102]"/>
            <x15:cachedUniqueName index="2474" name="[FactPayment].[CaseKey].&amp;[8102|00012115]"/>
            <x15:cachedUniqueName index="2475" name="[FactPayment].[CaseKey].&amp;[8102|00012122]"/>
            <x15:cachedUniqueName index="2476" name="[FactPayment].[CaseKey].&amp;[8102|00012131]"/>
            <x15:cachedUniqueName index="2477" name="[FactPayment].[CaseKey].&amp;[8102|00012145]"/>
            <x15:cachedUniqueName index="2478" name="[FactPayment].[CaseKey].&amp;[8102|00012158]"/>
            <x15:cachedUniqueName index="2479" name="[FactPayment].[CaseKey].&amp;[8102|00012167]"/>
            <x15:cachedUniqueName index="2480" name="[FactPayment].[CaseKey].&amp;[8102|00012178]"/>
            <x15:cachedUniqueName index="2481" name="[FactPayment].[CaseKey].&amp;[8102|00012186]"/>
            <x15:cachedUniqueName index="2482" name="[FactPayment].[CaseKey].&amp;[8102|00012196]"/>
            <x15:cachedUniqueName index="2483" name="[FactPayment].[CaseKey].&amp;[8102|00012201]"/>
            <x15:cachedUniqueName index="2484" name="[FactPayment].[CaseKey].&amp;[8102|00012217]"/>
            <x15:cachedUniqueName index="2485" name="[FactPayment].[CaseKey].&amp;[8102|00012220]"/>
            <x15:cachedUniqueName index="2486" name="[FactPayment].[CaseKey].&amp;[8102|00012230]"/>
            <x15:cachedUniqueName index="2487" name="[FactPayment].[CaseKey].&amp;[8102|00012246]"/>
            <x15:cachedUniqueName index="2488" name="[FactPayment].[CaseKey].&amp;[8102|00012255]"/>
            <x15:cachedUniqueName index="2489" name="[FactPayment].[CaseKey].&amp;[8102|00012265]"/>
            <x15:cachedUniqueName index="2490" name="[FactPayment].[CaseKey].&amp;[8102|00012270]"/>
            <x15:cachedUniqueName index="2491" name="[FactPayment].[CaseKey].&amp;[8102|00012288]"/>
            <x15:cachedUniqueName index="2492" name="[FactPayment].[CaseKey].&amp;[8102|00012295]"/>
            <x15:cachedUniqueName index="2493" name="[FactPayment].[CaseKey].&amp;[8102|00012304]"/>
            <x15:cachedUniqueName index="2494" name="[FactPayment].[CaseKey].&amp;[8102|00012312]"/>
            <x15:cachedUniqueName index="2495" name="[FactPayment].[CaseKey].&amp;[8102|00012320]"/>
            <x15:cachedUniqueName index="2496" name="[FactPayment].[CaseKey].&amp;[8102|00012334]"/>
            <x15:cachedUniqueName index="2497" name="[FactPayment].[CaseKey].&amp;[8102|00012340]"/>
            <x15:cachedUniqueName index="2498" name="[FactPayment].[CaseKey].&amp;[8102|00012351]"/>
            <x15:cachedUniqueName index="2499" name="[FactPayment].[CaseKey].&amp;[8102|00012368]"/>
            <x15:cachedUniqueName index="2500" name="[FactPayment].[CaseKey].&amp;[8102|00012378]"/>
            <x15:cachedUniqueName index="2501" name="[FactPayment].[CaseKey].&amp;[8102|00012383]"/>
            <x15:cachedUniqueName index="2502" name="[FactPayment].[CaseKey].&amp;[8102|00012391]"/>
            <x15:cachedUniqueName index="2503" name="[FactPayment].[CaseKey].&amp;[8102|00012408]"/>
            <x15:cachedUniqueName index="2504" name="[FactPayment].[CaseKey].&amp;[8102|00012411]"/>
            <x15:cachedUniqueName index="2505" name="[FactPayment].[CaseKey].&amp;[8102|00012427]"/>
            <x15:cachedUniqueName index="2506" name="[FactPayment].[CaseKey].&amp;[8102|00012432]"/>
            <x15:cachedUniqueName index="2507" name="[FactPayment].[CaseKey].&amp;[8102|00012448]"/>
            <x15:cachedUniqueName index="2508" name="[FactPayment].[CaseKey].&amp;[8102|00012453]"/>
            <x15:cachedUniqueName index="2509" name="[FactPayment].[CaseKey].&amp;[8102|00012460]"/>
            <x15:cachedUniqueName index="2510" name="[FactPayment].[CaseKey].&amp;[8102|00012476]"/>
            <x15:cachedUniqueName index="2511" name="[FactPayment].[CaseKey].&amp;[8102|00012488]"/>
            <x15:cachedUniqueName index="2512" name="[FactPayment].[CaseKey].&amp;[8102|00012492]"/>
            <x15:cachedUniqueName index="2513" name="[FactPayment].[CaseKey].&amp;[8102|00012505]"/>
            <x15:cachedUniqueName index="2514" name="[FactPayment].[CaseKey].&amp;[8102|00012511]"/>
            <x15:cachedUniqueName index="2515" name="[FactPayment].[CaseKey].&amp;[8102|00012526]"/>
            <x15:cachedUniqueName index="2516" name="[FactPayment].[CaseKey].&amp;[8102|00012533]"/>
            <x15:cachedUniqueName index="2517" name="[FactPayment].[CaseKey].&amp;[8102|00012543]"/>
            <x15:cachedUniqueName index="2518" name="[FactPayment].[CaseKey].&amp;[8102|00012557]"/>
            <x15:cachedUniqueName index="2519" name="[FactPayment].[CaseKey].&amp;[8102|00012567]"/>
            <x15:cachedUniqueName index="2520" name="[FactPayment].[CaseKey].&amp;[8102|00012570]"/>
            <x15:cachedUniqueName index="2521" name="[FactPayment].[CaseKey].&amp;[8102|00012595]"/>
            <x15:cachedUniqueName index="2522" name="[FactPayment].[CaseKey].&amp;[8102|00012600]"/>
            <x15:cachedUniqueName index="2523" name="[FactPayment].[CaseKey].&amp;[8102|00012623]"/>
            <x15:cachedUniqueName index="2524" name="[FactPayment].[CaseKey].&amp;[8102|00012638]"/>
            <x15:cachedUniqueName index="2525" name="[FactPayment].[CaseKey].&amp;[8102|00012645]"/>
            <x15:cachedUniqueName index="2526" name="[FactPayment].[CaseKey].&amp;[8102|00012650]"/>
            <x15:cachedUniqueName index="2527" name="[FactPayment].[CaseKey].&amp;[8102|00012667]"/>
            <x15:cachedUniqueName index="2528" name="[FactPayment].[CaseKey].&amp;[8102|00012693]"/>
            <x15:cachedUniqueName index="2529" name="[FactPayment].[CaseKey].&amp;[8102|00012702]"/>
            <x15:cachedUniqueName index="2530" name="[FactPayment].[CaseKey].&amp;[8102|00012713]"/>
            <x15:cachedUniqueName index="2531" name="[FactPayment].[CaseKey].&amp;[8102|00012720]"/>
            <x15:cachedUniqueName index="2532" name="[FactPayment].[CaseKey].&amp;[8102|00012730]"/>
            <x15:cachedUniqueName index="2533" name="[FactPayment].[CaseKey].&amp;[8102|00012745]"/>
            <x15:cachedUniqueName index="2534" name="[FactPayment].[CaseKey].&amp;[8102|00012758]"/>
            <x15:cachedUniqueName index="2535" name="[FactPayment].[CaseKey].&amp;[8102|00012768]"/>
            <x15:cachedUniqueName index="2536" name="[FactPayment].[CaseKey].&amp;[8102|00012777]"/>
            <x15:cachedUniqueName index="2537" name="[FactPayment].[CaseKey].&amp;[8102|00012788]"/>
            <x15:cachedUniqueName index="2538" name="[FactPayment].[CaseKey].&amp;[8102|00012797]"/>
            <x15:cachedUniqueName index="2539" name="[FactPayment].[CaseKey].&amp;[8102|00012804]"/>
            <x15:cachedUniqueName index="2540" name="[FactPayment].[CaseKey].&amp;[8102|00012810]"/>
            <x15:cachedUniqueName index="2541" name="[FactPayment].[CaseKey].&amp;[8102|00012824]"/>
            <x15:cachedUniqueName index="2542" name="[FactPayment].[CaseKey].&amp;[8102|00012838]"/>
            <x15:cachedUniqueName index="2543" name="[FactPayment].[CaseKey].&amp;[8102|00012845]"/>
            <x15:cachedUniqueName index="2544" name="[FactPayment].[CaseKey].&amp;[8102|00012852]"/>
            <x15:cachedUniqueName index="2545" name="[FactPayment].[CaseKey].&amp;[8102|00012867]"/>
            <x15:cachedUniqueName index="2546" name="[FactPayment].[CaseKey].&amp;[8102|00012872]"/>
            <x15:cachedUniqueName index="2547" name="[FactPayment].[CaseKey].&amp;[8102|00012884]"/>
            <x15:cachedUniqueName index="2548" name="[FactPayment].[CaseKey].&amp;[8102|00012898]"/>
            <x15:cachedUniqueName index="2549" name="[FactPayment].[CaseKey].&amp;[8102|00012907]"/>
            <x15:cachedUniqueName index="2550" name="[FactPayment].[CaseKey].&amp;[8102|00012913]"/>
            <x15:cachedUniqueName index="2551" name="[FactPayment].[CaseKey].&amp;[8102|00012923]"/>
            <x15:cachedUniqueName index="2552" name="[FactPayment].[CaseKey].&amp;[8102|00012938]"/>
            <x15:cachedUniqueName index="2553" name="[FactPayment].[CaseKey].&amp;[8102|00012943]"/>
            <x15:cachedUniqueName index="2554" name="[FactPayment].[CaseKey].&amp;[8102|00012956]"/>
            <x15:cachedUniqueName index="2555" name="[FactPayment].[CaseKey].&amp;[8102|00012978]"/>
            <x15:cachedUniqueName index="2556" name="[FactPayment].[CaseKey].&amp;[8102|00012981]"/>
            <x15:cachedUniqueName index="2557" name="[FactPayment].[CaseKey].&amp;[8102|00012998]"/>
            <x15:cachedUniqueName index="2558" name="[FactPayment].[CaseKey].&amp;[8102|00013002]"/>
            <x15:cachedUniqueName index="2559" name="[FactPayment].[CaseKey].&amp;[8102|00013018]"/>
            <x15:cachedUniqueName index="2560" name="[FactPayment].[CaseKey].&amp;[8102|00013021]"/>
            <x15:cachedUniqueName index="2561" name="[FactPayment].[CaseKey].&amp;[8102|00013032]"/>
            <x15:cachedUniqueName index="2562" name="[FactPayment].[CaseKey].&amp;[8102|00013044]"/>
            <x15:cachedUniqueName index="2563" name="[FactPayment].[CaseKey].&amp;[8102|00013054]"/>
            <x15:cachedUniqueName index="2564" name="[FactPayment].[CaseKey].&amp;[8102|00013062]"/>
            <x15:cachedUniqueName index="2565" name="[FactPayment].[CaseKey].&amp;[8102|00013070]"/>
            <x15:cachedUniqueName index="2566" name="[FactPayment].[CaseKey].&amp;[8102|00013088]"/>
            <x15:cachedUniqueName index="2567" name="[FactPayment].[CaseKey].&amp;[8102|00013098]"/>
            <x15:cachedUniqueName index="2568" name="[FactPayment].[CaseKey].&amp;[8102|00013103]"/>
            <x15:cachedUniqueName index="2569" name="[FactPayment].[CaseKey].&amp;[8102|00013112]"/>
            <x15:cachedUniqueName index="2570" name="[FactPayment].[CaseKey].&amp;[8102|00013126]"/>
            <x15:cachedUniqueName index="2571" name="[FactPayment].[CaseKey].&amp;[8102|00013136]"/>
            <x15:cachedUniqueName index="2572" name="[FactPayment].[CaseKey].&amp;[8102|00013142]"/>
            <x15:cachedUniqueName index="2573" name="[FactPayment].[CaseKey].&amp;[8102|00013158]"/>
            <x15:cachedUniqueName index="2574" name="[FactPayment].[CaseKey].&amp;[8102|00013167]"/>
            <x15:cachedUniqueName index="2575" name="[FactPayment].[CaseKey].&amp;[8102|00013177]"/>
            <x15:cachedUniqueName index="2576" name="[FactPayment].[CaseKey].&amp;[8102|00013183]"/>
            <x15:cachedUniqueName index="2577" name="[FactPayment].[CaseKey].&amp;[8102|00013190]"/>
            <x15:cachedUniqueName index="2578" name="[FactPayment].[CaseKey].&amp;[8102|00013207]"/>
            <x15:cachedUniqueName index="2579" name="[FactPayment].[CaseKey].&amp;[8102|00013217]"/>
            <x15:cachedUniqueName index="2580" name="[FactPayment].[CaseKey].&amp;[8102|00013228]"/>
            <x15:cachedUniqueName index="2581" name="[FactPayment].[CaseKey].&amp;[8102|00013235]"/>
            <x15:cachedUniqueName index="2582" name="[FactPayment].[CaseKey].&amp;[8102|00013243]"/>
            <x15:cachedUniqueName index="2583" name="[FactPayment].[CaseKey].&amp;[8102|00013250]"/>
            <x15:cachedUniqueName index="2584" name="[FactPayment].[CaseKey].&amp;[8102|00013265]"/>
            <x15:cachedUniqueName index="2585" name="[FactPayment].[CaseKey].&amp;[8102|00013270]"/>
            <x15:cachedUniqueName index="2586" name="[FactPayment].[CaseKey].&amp;[8102|00013287]"/>
            <x15:cachedUniqueName index="2587" name="[FactPayment].[CaseKey].&amp;[8102|00013290]"/>
            <x15:cachedUniqueName index="2588" name="[FactPayment].[CaseKey].&amp;[8102|00013303]"/>
            <x15:cachedUniqueName index="2589" name="[FactPayment].[CaseKey].&amp;[8102|00013310]"/>
            <x15:cachedUniqueName index="2590" name="[FactPayment].[CaseKey].&amp;[8102|00013326]"/>
            <x15:cachedUniqueName index="2591" name="[FactPayment].[CaseKey].&amp;[8102|00013331]"/>
            <x15:cachedUniqueName index="2592" name="[FactPayment].[CaseKey].&amp;[8102|00013345]"/>
            <x15:cachedUniqueName index="2593" name="[FactPayment].[CaseKey].&amp;[8102|00013351]"/>
            <x15:cachedUniqueName index="2594" name="[FactPayment].[CaseKey].&amp;[8102|00013360]"/>
            <x15:cachedUniqueName index="2595" name="[FactPayment].[CaseKey].&amp;[8102|00013371]"/>
            <x15:cachedUniqueName index="2596" name="[FactPayment].[CaseKey].&amp;[8102|00013383]"/>
            <x15:cachedUniqueName index="2597" name="[FactPayment].[CaseKey].&amp;[8102|00013392]"/>
            <x15:cachedUniqueName index="2598" name="[FactPayment].[CaseKey].&amp;[8102|00013406]"/>
            <x15:cachedUniqueName index="2599" name="[FactPayment].[CaseKey].&amp;[8102|00013410]"/>
            <x15:cachedUniqueName index="2600" name="[FactPayment].[CaseKey].&amp;[8102|00013427]"/>
            <x15:cachedUniqueName index="2601" name="[FactPayment].[CaseKey].&amp;[8102|00013436]"/>
            <x15:cachedUniqueName index="2602" name="[FactPayment].[CaseKey].&amp;[8102|00013445]"/>
            <x15:cachedUniqueName index="2603" name="[FactPayment].[CaseKey].&amp;[8102|00013450]"/>
            <x15:cachedUniqueName index="2604" name="[FactPayment].[CaseKey].&amp;[8102|00013465]"/>
            <x15:cachedUniqueName index="2605" name="[FactPayment].[CaseKey].&amp;[8102|00013470]"/>
            <x15:cachedUniqueName index="2606" name="[FactPayment].[CaseKey].&amp;[8102|00013485]"/>
            <x15:cachedUniqueName index="2607" name="[FactPayment].[CaseKey].&amp;[8102|00013491]"/>
            <x15:cachedUniqueName index="2608" name="[FactPayment].[CaseKey].&amp;[8102|00013504]"/>
            <x15:cachedUniqueName index="2609" name="[FactPayment].[CaseKey].&amp;[8102|00013512]"/>
            <x15:cachedUniqueName index="2610" name="[FactPayment].[CaseKey].&amp;[8102|00013526]"/>
            <x15:cachedUniqueName index="2611" name="[FactPayment].[CaseKey].&amp;[8102|00013532]"/>
            <x15:cachedUniqueName index="2612" name="[FactPayment].[CaseKey].&amp;[8102|00013547]"/>
            <x15:cachedUniqueName index="2613" name="[FactPayment].[CaseKey].&amp;[8102|00013554]"/>
            <x15:cachedUniqueName index="2614" name="[FactPayment].[CaseKey].&amp;[8102|00013566]"/>
            <x15:cachedUniqueName index="2615" name="[FactPayment].[CaseKey].&amp;[8102|00013574]"/>
            <x15:cachedUniqueName index="2616" name="[FactPayment].[CaseKey].&amp;[8102|00013583]"/>
            <x15:cachedUniqueName index="2617" name="[FactPayment].[CaseKey].&amp;[8102|00013598]"/>
            <x15:cachedUniqueName index="2618" name="[FactPayment].[CaseKey].&amp;[8102|00013616]"/>
            <x15:cachedUniqueName index="2619" name="[FactPayment].[CaseKey].&amp;[8102|00013625]"/>
            <x15:cachedUniqueName index="2620" name="[FactPayment].[CaseKey].&amp;[8102|00013636]"/>
            <x15:cachedUniqueName index="2621" name="[FactPayment].[CaseKey].&amp;[8102|00013647]"/>
            <x15:cachedUniqueName index="2622" name="[FactPayment].[CaseKey].&amp;[8102|00013651]"/>
            <x15:cachedUniqueName index="2623" name="[FactPayment].[CaseKey].&amp;[8102|00013670]"/>
            <x15:cachedUniqueName index="2624" name="[FactPayment].[CaseKey].&amp;[8102|00013688]"/>
            <x15:cachedUniqueName index="2625" name="[FactPayment].[CaseKey].&amp;[8102|00013690]"/>
            <x15:cachedUniqueName index="2626" name="[FactPayment].[CaseKey].&amp;[8102|00013705]"/>
            <x15:cachedUniqueName index="2627" name="[FactPayment].[CaseKey].&amp;[8102|00013714]"/>
            <x15:cachedUniqueName index="2628" name="[FactPayment].[CaseKey].&amp;[8102|00013724]"/>
            <x15:cachedUniqueName index="2629" name="[FactPayment].[CaseKey].&amp;[8102|00013734]"/>
            <x15:cachedUniqueName index="2630" name="[FactPayment].[CaseKey].&amp;[8102|00013746]"/>
            <x15:cachedUniqueName index="2631" name="[FactPayment].[CaseKey].&amp;[8102|00013751]"/>
            <x15:cachedUniqueName index="2632" name="[FactPayment].[CaseKey].&amp;[8102|00013760]"/>
            <x15:cachedUniqueName index="2633" name="[FactPayment].[CaseKey].&amp;[8102|00013771]"/>
            <x15:cachedUniqueName index="2634" name="[FactPayment].[CaseKey].&amp;[8102|00013788]"/>
            <x15:cachedUniqueName index="2635" name="[FactPayment].[CaseKey].&amp;[8102|00013795]"/>
            <x15:cachedUniqueName index="2636" name="[FactPayment].[CaseKey].&amp;[8102|00013801]"/>
            <x15:cachedUniqueName index="2637" name="[FactPayment].[CaseKey].&amp;[8102|00013812]"/>
            <x15:cachedUniqueName index="2638" name="[FactPayment].[CaseKey].&amp;[8102|00013825]"/>
            <x15:cachedUniqueName index="2639" name="[FactPayment].[CaseKey].&amp;[8102|00013838]"/>
            <x15:cachedUniqueName index="2640" name="[FactPayment].[CaseKey].&amp;[8102|00013846]"/>
            <x15:cachedUniqueName index="2641" name="[FactPayment].[CaseKey].&amp;[8102|00013852]"/>
            <x15:cachedUniqueName index="2642" name="[FactPayment].[CaseKey].&amp;[8102|00013862]"/>
            <x15:cachedUniqueName index="2643" name="[FactPayment].[CaseKey].&amp;[8102|00013882]"/>
            <x15:cachedUniqueName index="2644" name="[FactPayment].[CaseKey].&amp;[8102|00013895]"/>
            <x15:cachedUniqueName index="2645" name="[FactPayment].[CaseKey].&amp;[8102|00013907]"/>
            <x15:cachedUniqueName index="2646" name="[FactPayment].[CaseKey].&amp;[8102|00013916]"/>
            <x15:cachedUniqueName index="2647" name="[FactPayment].[CaseKey].&amp;[8102|00013928]"/>
            <x15:cachedUniqueName index="2648" name="[FactPayment].[CaseKey].&amp;[8102|00013943]"/>
            <x15:cachedUniqueName index="2649" name="[FactPayment].[CaseKey].&amp;[8102|00013950]"/>
            <x15:cachedUniqueName index="2650" name="[FactPayment].[CaseKey].&amp;[8102|00013967]"/>
            <x15:cachedUniqueName index="2651" name="[FactPayment].[CaseKey].&amp;[8102|00013970]"/>
            <x15:cachedUniqueName index="2652" name="[FactPayment].[CaseKey].&amp;[8102|00013980]"/>
            <x15:cachedUniqueName index="2653" name="[FactPayment].[CaseKey].&amp;[8102|00013992]"/>
            <x15:cachedUniqueName index="2654" name="[FactPayment].[CaseKey].&amp;[8102|00014008]"/>
            <x15:cachedUniqueName index="2655" name="[FactPayment].[CaseKey].&amp;[8102|00014011]"/>
            <x15:cachedUniqueName index="2656" name="[FactPayment].[CaseKey].&amp;[8102|00014025]"/>
            <x15:cachedUniqueName index="2657" name="[FactPayment].[CaseKey].&amp;[8102|00014037]"/>
            <x15:cachedUniqueName index="2658" name="[FactPayment].[CaseKey].&amp;[8102|00014057]"/>
            <x15:cachedUniqueName index="2659" name="[FactPayment].[CaseKey].&amp;[8102|00014066]"/>
            <x15:cachedUniqueName index="2660" name="[FactPayment].[CaseKey].&amp;[8102|00014086]"/>
            <x15:cachedUniqueName index="2661" name="[FactPayment].[CaseKey].&amp;[8102|00014097]"/>
            <x15:cachedUniqueName index="2662" name="[FactPayment].[CaseKey].&amp;[8102|00014100]"/>
            <x15:cachedUniqueName index="2663" name="[FactPayment].[CaseKey].&amp;[8102|00014115]"/>
            <x15:cachedUniqueName index="2664" name="[FactPayment].[CaseKey].&amp;[8102|00014123]"/>
            <x15:cachedUniqueName index="2665" name="[FactPayment].[CaseKey].&amp;[8102|00014134]"/>
            <x15:cachedUniqueName index="2666" name="[FactPayment].[CaseKey].&amp;[8102|00014144]"/>
            <x15:cachedUniqueName index="2667" name="[FactPayment].[CaseKey].&amp;[8102|00014156]"/>
            <x15:cachedUniqueName index="2668" name="[FactPayment].[CaseKey].&amp;[8102|00014165]"/>
            <x15:cachedUniqueName index="2669" name="[FactPayment].[CaseKey].&amp;[8102|00014176]"/>
            <x15:cachedUniqueName index="2670" name="[FactPayment].[CaseKey].&amp;[8102|00014180]"/>
            <x15:cachedUniqueName index="2671" name="[FactPayment].[CaseKey].&amp;[8102|00014191]"/>
            <x15:cachedUniqueName index="2672" name="[FactPayment].[CaseKey].&amp;[8102|00014207]"/>
            <x15:cachedUniqueName index="2673" name="[FactPayment].[CaseKey].&amp;[8102|00014218]"/>
            <x15:cachedUniqueName index="2674" name="[FactPayment].[CaseKey].&amp;[8102|00014220]"/>
            <x15:cachedUniqueName index="2675" name="[FactPayment].[CaseKey].&amp;[8102|00014234]"/>
            <x15:cachedUniqueName index="2676" name="[FactPayment].[CaseKey].&amp;[8102|00014258]"/>
            <x15:cachedUniqueName index="2677" name="[FactPayment].[CaseKey].&amp;[8102|00014268]"/>
            <x15:cachedUniqueName index="2678" name="[FactPayment].[CaseKey].&amp;[8102|00014275]"/>
            <x15:cachedUniqueName index="2679" name="[FactPayment].[CaseKey].&amp;[8102|00014293]"/>
            <x15:cachedUniqueName index="2680" name="[FactPayment].[CaseKey].&amp;[8102|00014302]"/>
            <x15:cachedUniqueName index="2681" name="[FactPayment].[CaseKey].&amp;[8102|00014317]"/>
            <x15:cachedUniqueName index="2682" name="[FactPayment].[CaseKey].&amp;[8102|00014321]"/>
            <x15:cachedUniqueName index="2683" name="[FactPayment].[CaseKey].&amp;[8102|00014335]"/>
            <x15:cachedUniqueName index="2684" name="[FactPayment].[CaseKey].&amp;[8102|00014342]"/>
            <x15:cachedUniqueName index="2685" name="[FactPayment].[CaseKey].&amp;[8102|00014351]"/>
            <x15:cachedUniqueName index="2686" name="[FactPayment].[CaseKey].&amp;[8102|00014361]"/>
            <x15:cachedUniqueName index="2687" name="[FactPayment].[CaseKey].&amp;[8102|00014370]"/>
            <x15:cachedUniqueName index="2688" name="[FactPayment].[CaseKey].&amp;[8102|00014382]"/>
            <x15:cachedUniqueName index="2689" name="[FactPayment].[CaseKey].&amp;[8102|00014390]"/>
            <x15:cachedUniqueName index="2690" name="[FactPayment].[CaseKey].&amp;[8102|00014410]"/>
            <x15:cachedUniqueName index="2691" name="[FactPayment].[CaseKey].&amp;[8102|00014421]"/>
            <x15:cachedUniqueName index="2692" name="[FactPayment].[CaseKey].&amp;[8102|00014447]"/>
            <x15:cachedUniqueName index="2693" name="[FactPayment].[CaseKey].&amp;[8102|00014463]"/>
            <x15:cachedUniqueName index="2694" name="[FactPayment].[CaseKey].&amp;[8102|00014472]"/>
            <x15:cachedUniqueName index="2695" name="[FactPayment].[CaseKey].&amp;[8102|00014482]"/>
            <x15:cachedUniqueName index="2696" name="[FactPayment].[CaseKey].&amp;[8102|00014493]"/>
            <x15:cachedUniqueName index="2697" name="[FactPayment].[CaseKey].&amp;[8102|00014501]"/>
            <x15:cachedUniqueName index="2698" name="[FactPayment].[CaseKey].&amp;[8102|00014510]"/>
            <x15:cachedUniqueName index="2699" name="[FactPayment].[CaseKey].&amp;[8102|00014522]"/>
            <x15:cachedUniqueName index="2700" name="[FactPayment].[CaseKey].&amp;[8102|00014531]"/>
            <x15:cachedUniqueName index="2701" name="[FactPayment].[CaseKey].&amp;[8102|00014543]"/>
            <x15:cachedUniqueName index="2702" name="[FactPayment].[CaseKey].&amp;[8102|00014556]"/>
            <x15:cachedUniqueName index="2703" name="[FactPayment].[CaseKey].&amp;[8102|00014566]"/>
            <x15:cachedUniqueName index="2704" name="[FactPayment].[CaseKey].&amp;[8102|00014570]"/>
            <x15:cachedUniqueName index="2705" name="[FactPayment].[CaseKey].&amp;[8102|00014598]"/>
            <x15:cachedUniqueName index="2706" name="[FactPayment].[CaseKey].&amp;[8102|00014608]"/>
            <x15:cachedUniqueName index="2707" name="[FactPayment].[CaseKey].&amp;[8102|00014611]"/>
            <x15:cachedUniqueName index="2708" name="[FactPayment].[CaseKey].&amp;[8102|00014628]"/>
            <x15:cachedUniqueName index="2709" name="[FactPayment].[CaseKey].&amp;[8102|00014633]"/>
            <x15:cachedUniqueName index="2710" name="[FactPayment].[CaseKey].&amp;[8102|00014645]"/>
            <x15:cachedUniqueName index="2711" name="[FactPayment].[CaseKey].&amp;[8102|00014650]"/>
            <x15:cachedUniqueName index="2712" name="[FactPayment].[CaseKey].&amp;[8102|00014667]"/>
            <x15:cachedUniqueName index="2713" name="[FactPayment].[CaseKey].&amp;[8102|00014673]"/>
            <x15:cachedUniqueName index="2714" name="[FactPayment].[CaseKey].&amp;[8102|00014680]"/>
            <x15:cachedUniqueName index="2715" name="[FactPayment].[CaseKey].&amp;[8102|00014694]"/>
            <x15:cachedUniqueName index="2716" name="[FactPayment].[CaseKey].&amp;[8102|00014707]"/>
            <x15:cachedUniqueName index="2717" name="[FactPayment].[CaseKey].&amp;[8102|00014718]"/>
            <x15:cachedUniqueName index="2718" name="[FactPayment].[CaseKey].&amp;[8102|00014723]"/>
            <x15:cachedUniqueName index="2719" name="[FactPayment].[CaseKey].&amp;[8102|00014731]"/>
            <x15:cachedUniqueName index="2720" name="[FactPayment].[CaseKey].&amp;[8102|00014742]"/>
            <x15:cachedUniqueName index="2721" name="[FactPayment].[CaseKey].&amp;[8102|00014752]"/>
            <x15:cachedUniqueName index="2722" name="[FactPayment].[CaseKey].&amp;[8102|00014768]"/>
            <x15:cachedUniqueName index="2723" name="[FactPayment].[CaseKey].&amp;[8102|00014777]"/>
            <x15:cachedUniqueName index="2724" name="[FactPayment].[CaseKey].&amp;[8102|00014785]"/>
            <x15:cachedUniqueName index="2725" name="[FactPayment].[CaseKey].&amp;[8102|00014797]"/>
            <x15:cachedUniqueName index="2726" name="[FactPayment].[CaseKey].&amp;[8102|00014804]"/>
            <x15:cachedUniqueName index="2727" name="[FactPayment].[CaseKey].&amp;[8102|00014812]"/>
            <x15:cachedUniqueName index="2728" name="[FactPayment].[CaseKey].&amp;[8102|00014825]"/>
            <x15:cachedUniqueName index="2729" name="[FactPayment].[CaseKey].&amp;[8102|00014836]"/>
            <x15:cachedUniqueName index="2730" name="[FactPayment].[CaseKey].&amp;[8102|00014845]"/>
            <x15:cachedUniqueName index="2731" name="[FactPayment].[CaseKey].&amp;[8102|00014854]"/>
            <x15:cachedUniqueName index="2732" name="[FactPayment].[CaseKey].&amp;[8102|00014860]"/>
            <x15:cachedUniqueName index="2733" name="[FactPayment].[CaseKey].&amp;[8102|00014878]"/>
            <x15:cachedUniqueName index="2734" name="[FactPayment].[CaseKey].&amp;[8102|00014887]"/>
            <x15:cachedUniqueName index="2735" name="[FactPayment].[CaseKey].&amp;[8102|00014891]"/>
            <x15:cachedUniqueName index="2736" name="[FactPayment].[CaseKey].&amp;[8102|00014901]"/>
            <x15:cachedUniqueName index="2737" name="[FactPayment].[CaseKey].&amp;[8102|00014915]"/>
            <x15:cachedUniqueName index="2738" name="[FactPayment].[CaseKey].&amp;[8102|00014923]"/>
            <x15:cachedUniqueName index="2739" name="[FactPayment].[CaseKey].&amp;[8102|00014941]"/>
            <x15:cachedUniqueName index="2740" name="[FactPayment].[CaseKey].&amp;[8102|00014953]"/>
            <x15:cachedUniqueName index="2741" name="[FactPayment].[CaseKey].&amp;[8102|00014965]"/>
            <x15:cachedUniqueName index="2742" name="[FactPayment].[CaseKey].&amp;[8102|00014974]"/>
            <x15:cachedUniqueName index="2743" name="[FactPayment].[CaseKey].&amp;[8102|00014994]"/>
            <x15:cachedUniqueName index="2744" name="[FactPayment].[CaseKey].&amp;[8102|00015006]"/>
            <x15:cachedUniqueName index="2745" name="[FactPayment].[CaseKey].&amp;[8102|00015013]"/>
            <x15:cachedUniqueName index="2746" name="[FactPayment].[CaseKey].&amp;[8102|00015028]"/>
            <x15:cachedUniqueName index="2747" name="[FactPayment].[CaseKey].&amp;[8102|00015031]"/>
            <x15:cachedUniqueName index="2748" name="[FactPayment].[CaseKey].&amp;[8102|00015058]"/>
            <x15:cachedUniqueName index="2749" name="[FactPayment].[CaseKey].&amp;[8102|00015061]"/>
            <x15:cachedUniqueName index="2750" name="[FactPayment].[CaseKey].&amp;[8102|00015076]"/>
            <x15:cachedUniqueName index="2751" name="[FactPayment].[CaseKey].&amp;[8102|00015082]"/>
            <x15:cachedUniqueName index="2752" name="[FactPayment].[CaseKey].&amp;[8102|00015101]"/>
            <x15:cachedUniqueName index="2753" name="[FactPayment].[CaseKey].&amp;[8102|00015114]"/>
            <x15:cachedUniqueName index="2754" name="[FactPayment].[CaseKey].&amp;[8102|00015125]"/>
            <x15:cachedUniqueName index="2755" name="[FactPayment].[CaseKey].&amp;[8102|00015136]"/>
            <x15:cachedUniqueName index="2756" name="[FactPayment].[CaseKey].&amp;[8102|00015158]"/>
            <x15:cachedUniqueName index="2757" name="[FactPayment].[CaseKey].&amp;[8102|00015161]"/>
            <x15:cachedUniqueName index="2758" name="[FactPayment].[CaseKey].&amp;[8102|00015170]"/>
            <x15:cachedUniqueName index="2759" name="[FactPayment].[CaseKey].&amp;[8102|00015190]"/>
            <x15:cachedUniqueName index="2760" name="[FactPayment].[CaseKey].&amp;[8102|00015204]"/>
            <x15:cachedUniqueName index="2761" name="[FactPayment].[CaseKey].&amp;[8102|00015223]"/>
            <x15:cachedUniqueName index="2762" name="[FactPayment].[CaseKey].&amp;[8102|00015247]"/>
            <x15:cachedUniqueName index="2763" name="[FactPayment].[CaseKey].&amp;[8102|00015257]"/>
            <x15:cachedUniqueName index="2764" name="[FactPayment].[CaseKey].&amp;[8102|00015268]"/>
            <x15:cachedUniqueName index="2765" name="[FactPayment].[CaseKey].&amp;[8102|00015274]"/>
            <x15:cachedUniqueName index="2766" name="[FactPayment].[CaseKey].&amp;[8102|00015288]"/>
            <x15:cachedUniqueName index="2767" name="[FactPayment].[CaseKey].&amp;[8102|00015294]"/>
            <x15:cachedUniqueName index="2768" name="[FactPayment].[CaseKey].&amp;[8102|00015326]"/>
            <x15:cachedUniqueName index="2769" name="[FactPayment].[CaseKey].&amp;[8102|00015336]"/>
            <x15:cachedUniqueName index="2770" name="[FactPayment].[CaseKey].&amp;[8102|00015372]"/>
            <x15:cachedUniqueName index="2771" name="[FactPayment].[CaseKey].&amp;[8102|00015388]"/>
            <x15:cachedUniqueName index="2772" name="[FactPayment].[CaseKey].&amp;[8102|00015393]"/>
            <x15:cachedUniqueName index="2773" name="[FactPayment].[CaseKey].&amp;[8102|00015404]"/>
            <x15:cachedUniqueName index="2774" name="[FactPayment].[CaseKey].&amp;[8102|00015428]"/>
            <x15:cachedUniqueName index="2775" name="[FactPayment].[CaseKey].&amp;[8102|00015438]"/>
            <x15:cachedUniqueName index="2776" name="[FactPayment].[CaseKey].&amp;[8102|00015456]"/>
            <x15:cachedUniqueName index="2777" name="[FactPayment].[CaseKey].&amp;[8102|00015467]"/>
            <x15:cachedUniqueName index="2778" name="[FactPayment].[CaseKey].&amp;[8102|00015477]"/>
            <x15:cachedUniqueName index="2779" name="[FactPayment].[CaseKey].&amp;[8102|00015486]"/>
            <x15:cachedUniqueName index="2780" name="[FactPayment].[CaseKey].&amp;[8102|00015503]"/>
            <x15:cachedUniqueName index="2781" name="[FactPayment].[CaseKey].&amp;[8102|00015510]"/>
            <x15:cachedUniqueName index="2782" name="[FactPayment].[CaseKey].&amp;[8102|00015534]"/>
            <x15:cachedUniqueName index="2783" name="[FactPayment].[CaseKey].&amp;[8102|00015545]"/>
            <x15:cachedUniqueName index="2784" name="[FactPayment].[CaseKey].&amp;[8102|00015556]"/>
            <x15:cachedUniqueName index="2785" name="[FactPayment].[CaseKey].&amp;[8102|00015563]"/>
            <x15:cachedUniqueName index="2786" name="[FactPayment].[CaseKey].&amp;[8102|00015577]"/>
            <x15:cachedUniqueName index="2787" name="[FactPayment].[CaseKey].&amp;[8102|00015582]"/>
            <x15:cachedUniqueName index="2788" name="[FactPayment].[CaseKey].&amp;[8102|00015624]"/>
            <x15:cachedUniqueName index="2789" name="[FactPayment].[CaseKey].&amp;[8102|00015635]"/>
            <x15:cachedUniqueName index="2790" name="[FactPayment].[CaseKey].&amp;[8102|00015656]"/>
            <x15:cachedUniqueName index="2791" name="[FactPayment].[CaseKey].&amp;[8102|00015695]"/>
            <x15:cachedUniqueName index="2792" name="[FactPayment].[CaseKey].&amp;[8102|00015703]"/>
            <x15:cachedUniqueName index="2793" name="[FactPayment].[CaseKey].&amp;[8102|00015720]"/>
            <x15:cachedUniqueName index="2794" name="[FactPayment].[CaseKey].&amp;[8102|00015733]"/>
            <x15:cachedUniqueName index="2795" name="[FactPayment].[CaseKey].&amp;[8102|00015780]"/>
            <x15:cachedUniqueName index="2796" name="[FactPayment].[CaseKey].&amp;[8102|00015796]"/>
            <x15:cachedUniqueName index="2797" name="[FactPayment].[CaseKey].&amp;[8102|00015802]"/>
            <x15:cachedUniqueName index="2798" name="[FactPayment].[CaseKey].&amp;[8102|00015811]"/>
            <x15:cachedUniqueName index="2799" name="[FactPayment].[CaseKey].&amp;[8102|00015842]"/>
            <x15:cachedUniqueName index="2800" name="[FactPayment].[CaseKey].&amp;[8102|00015852]"/>
            <x15:cachedUniqueName index="2801" name="[FactPayment].[CaseKey].&amp;[8102|00015863]"/>
            <x15:cachedUniqueName index="2802" name="[FactPayment].[CaseKey].&amp;[8102|00015872]"/>
            <x15:cachedUniqueName index="2803" name="[FactPayment].[CaseKey].&amp;[8102|00015904]"/>
            <x15:cachedUniqueName index="2804" name="[FactPayment].[CaseKey].&amp;[8102|00015934]"/>
            <x15:cachedUniqueName index="2805" name="[FactPayment].[CaseKey].&amp;[8102|00015945]"/>
            <x15:cachedUniqueName index="2806" name="[FactPayment].[CaseKey].&amp;[8102|00015965]"/>
            <x15:cachedUniqueName index="2807" name="[FactPayment].[CaseKey].&amp;[8102|00015977]"/>
            <x15:cachedUniqueName index="2808" name="[FactPayment].[CaseKey].&amp;[8102|00016022]"/>
            <x15:cachedUniqueName index="2809" name="[FactPayment].[CaseKey].&amp;[8102|00016048]"/>
            <x15:cachedUniqueName index="2810" name="[FactPayment].[CaseKey].&amp;[8102|00016077]"/>
            <x15:cachedUniqueName index="2811" name="[FactPayment].[CaseKey].&amp;[8102|00016098]"/>
            <x15:cachedUniqueName index="2812" name="[FactPayment].[CaseKey].&amp;[8102|00016112]"/>
            <x15:cachedUniqueName index="2813" name="[FactPayment].[CaseKey].&amp;[8102|00016124]"/>
            <x15:cachedUniqueName index="2814" name="[FactPayment].[CaseKey].&amp;[8102|00016147]"/>
            <x15:cachedUniqueName index="2815" name="[FactPayment].[CaseKey].&amp;[8102|00016151]"/>
            <x15:cachedUniqueName index="2816" name="[FactPayment].[CaseKey].&amp;[8102|00016188]"/>
            <x15:cachedUniqueName index="2817" name="[FactPayment].[CaseKey].&amp;[8102|00016195]"/>
            <x15:cachedUniqueName index="2818" name="[FactPayment].[CaseKey].&amp;[8102|00016207]"/>
            <x15:cachedUniqueName index="2819" name="[FactPayment].[CaseKey].&amp;[8102|00016210]"/>
            <x15:cachedUniqueName index="2820" name="[FactPayment].[CaseKey].&amp;[8102|00016227]"/>
            <x15:cachedUniqueName index="2821" name="[FactPayment].[CaseKey].&amp;[8102|00016233]"/>
            <x15:cachedUniqueName index="2822" name="[FactPayment].[CaseKey].&amp;[8102|00016247]"/>
            <x15:cachedUniqueName index="2823" name="[FactPayment].[CaseKey].&amp;[8102|00016253]"/>
            <x15:cachedUniqueName index="2824" name="[FactPayment].[CaseKey].&amp;[8102|00016262]"/>
            <x15:cachedUniqueName index="2825" name="[FactPayment].[CaseKey].&amp;[8102|00016272]"/>
            <x15:cachedUniqueName index="2826" name="[FactPayment].[CaseKey].&amp;[8102|00016283]"/>
            <x15:cachedUniqueName index="2827" name="[FactPayment].[CaseKey].&amp;[8102|00016296]"/>
            <x15:cachedUniqueName index="2828" name="[FactPayment].[CaseKey].&amp;[8102|00016301]"/>
            <x15:cachedUniqueName index="2829" name="[FactPayment].[CaseKey].&amp;[8102|00016310]"/>
            <x15:cachedUniqueName index="2830" name="[FactPayment].[CaseKey].&amp;[8102|00016326]"/>
            <x15:cachedUniqueName index="2831" name="[FactPayment].[CaseKey].&amp;[8102|00016335]"/>
            <x15:cachedUniqueName index="2832" name="[FactPayment].[CaseKey].&amp;[8102|00016347]"/>
            <x15:cachedUniqueName index="2833" name="[FactPayment].[CaseKey].&amp;[8102|00016353]"/>
            <x15:cachedUniqueName index="2834" name="[FactPayment].[CaseKey].&amp;[8102|00016367]"/>
            <x15:cachedUniqueName index="2835" name="[FactPayment].[CaseKey].&amp;[8102|00016371]"/>
            <x15:cachedUniqueName index="2836" name="[FactPayment].[CaseKey].&amp;[8102|00016385]"/>
            <x15:cachedUniqueName index="2837" name="[FactPayment].[CaseKey].&amp;[8102|00016391]"/>
            <x15:cachedUniqueName index="2838" name="[FactPayment].[CaseKey].&amp;[8102|00016403]"/>
            <x15:cachedUniqueName index="2839" name="[FactPayment].[CaseKey].&amp;[8102|00016417]"/>
            <x15:cachedUniqueName index="2840" name="[FactPayment].[CaseKey].&amp;[8102|00016422]"/>
            <x15:cachedUniqueName index="2841" name="[FactPayment].[CaseKey].&amp;[8102|00016431]"/>
            <x15:cachedUniqueName index="2842" name="[FactPayment].[CaseKey].&amp;[8102|00016468]"/>
            <x15:cachedUniqueName index="2843" name="[FactPayment].[CaseKey].&amp;[8102|00016471]"/>
            <x15:cachedUniqueName index="2844" name="[FactPayment].[CaseKey].&amp;[8102|00016482]"/>
            <x15:cachedUniqueName index="2845" name="[FactPayment].[CaseKey].&amp;[8102|00016498]"/>
            <x15:cachedUniqueName index="2846" name="[FactPayment].[CaseKey].&amp;[8102|00016500]"/>
            <x15:cachedUniqueName index="2847" name="[FactPayment].[CaseKey].&amp;[8102|00016513]"/>
            <x15:cachedUniqueName index="2848" name="[FactPayment].[CaseKey].&amp;[8102|00016522]"/>
            <x15:cachedUniqueName index="2849" name="[FactPayment].[CaseKey].&amp;[8102|00016548]"/>
            <x15:cachedUniqueName index="2850" name="[FactPayment].[CaseKey].&amp;[8102|00016566]"/>
            <x15:cachedUniqueName index="2851" name="[FactPayment].[CaseKey].&amp;[8102|00016585]"/>
            <x15:cachedUniqueName index="2852" name="[FactPayment].[CaseKey].&amp;[8102|00016590]"/>
            <x15:cachedUniqueName index="2853" name="[FactPayment].[CaseKey].&amp;[8102|00016602]"/>
            <x15:cachedUniqueName index="2854" name="[FactPayment].[CaseKey].&amp;[8102|00016617]"/>
            <x15:cachedUniqueName index="2855" name="[FactPayment].[CaseKey].&amp;[8102|00016622]"/>
            <x15:cachedUniqueName index="2856" name="[FactPayment].[CaseKey].&amp;[8102|00016631]"/>
            <x15:cachedUniqueName index="2857" name="[FactPayment].[CaseKey].&amp;[8102|00016640]"/>
            <x15:cachedUniqueName index="2858" name="[FactPayment].[CaseKey].&amp;[8102|00016650]"/>
            <x15:cachedUniqueName index="2859" name="[FactPayment].[CaseKey].&amp;[8102|00016663]"/>
            <x15:cachedUniqueName index="2860" name="[FactPayment].[CaseKey].&amp;[8102|00016674]"/>
            <x15:cachedUniqueName index="2861" name="[FactPayment].[CaseKey].&amp;[8102|00016686]"/>
            <x15:cachedUniqueName index="2862" name="[FactPayment].[CaseKey].&amp;[8102|00016695]"/>
            <x15:cachedUniqueName index="2863" name="[FactPayment].[CaseKey].&amp;[8102|00016704]"/>
            <x15:cachedUniqueName index="2864" name="[FactPayment].[CaseKey].&amp;[8102|00016714]"/>
            <x15:cachedUniqueName index="2865" name="[FactPayment].[CaseKey].&amp;[8102|00016725]"/>
            <x15:cachedUniqueName index="2866" name="[FactPayment].[CaseKey].&amp;[8102|00016732]"/>
            <x15:cachedUniqueName index="2867" name="[FactPayment].[CaseKey].&amp;[8102|00016747]"/>
            <x15:cachedUniqueName index="2868" name="[FactPayment].[CaseKey].&amp;[8102|00016777]"/>
            <x15:cachedUniqueName index="2869" name="[FactPayment].[CaseKey].&amp;[8102|00016786]"/>
            <x15:cachedUniqueName index="2870" name="[FactPayment].[CaseKey].&amp;[8102|00016796]"/>
            <x15:cachedUniqueName index="2871" name="[FactPayment].[CaseKey].&amp;[8102|00016808]"/>
            <x15:cachedUniqueName index="2872" name="[FactPayment].[CaseKey].&amp;[8102|00016811]"/>
            <x15:cachedUniqueName index="2873" name="[FactPayment].[CaseKey].&amp;[8102|00016820]"/>
            <x15:cachedUniqueName index="2874" name="[FactPayment].[CaseKey].&amp;[8102|00016834]"/>
            <x15:cachedUniqueName index="2875" name="[FactPayment].[CaseKey].&amp;[8102|00016846]"/>
            <x15:cachedUniqueName index="2876" name="[FactPayment].[CaseKey].&amp;[8102|00016857]"/>
            <x15:cachedUniqueName index="2877" name="[FactPayment].[CaseKey].&amp;[8102|00016860]"/>
            <x15:cachedUniqueName index="2878" name="[FactPayment].[CaseKey].&amp;[8102|00016873]"/>
            <x15:cachedUniqueName index="2879" name="[FactPayment].[CaseKey].&amp;[8102|00016882]"/>
            <x15:cachedUniqueName index="2880" name="[FactPayment].[CaseKey].&amp;[8102|00016895]"/>
            <x15:cachedUniqueName index="2881" name="[FactPayment].[CaseKey].&amp;[8102|00016907]"/>
            <x15:cachedUniqueName index="2882" name="[FactPayment].[CaseKey].&amp;[8102|00016915]"/>
            <x15:cachedUniqueName index="2883" name="[FactPayment].[CaseKey].&amp;[8102|00016927]"/>
            <x15:cachedUniqueName index="2884" name="[FactPayment].[CaseKey].&amp;[8102|00016935]"/>
            <x15:cachedUniqueName index="2885" name="[FactPayment].[CaseKey].&amp;[8102|00016948]"/>
            <x15:cachedUniqueName index="2886" name="[FactPayment].[CaseKey].&amp;[8102|00016952]"/>
            <x15:cachedUniqueName index="2887" name="[FactPayment].[CaseKey].&amp;[8102|00016960]"/>
            <x15:cachedUniqueName index="2888" name="[FactPayment].[CaseKey].&amp;[8102|00016974]"/>
            <x15:cachedUniqueName index="2889" name="[FactPayment].[CaseKey].&amp;[8102|00016980]"/>
            <x15:cachedUniqueName index="2890" name="[FactPayment].[CaseKey].&amp;[8102|00016994]"/>
            <x15:cachedUniqueName index="2891" name="[FactPayment].[CaseKey].&amp;[8102|00017007]"/>
            <x15:cachedUniqueName index="2892" name="[FactPayment].[CaseKey].&amp;[8102|00017010]"/>
            <x15:cachedUniqueName index="2893" name="[FactPayment].[CaseKey].&amp;[8102|00017022]"/>
            <x15:cachedUniqueName index="2894" name="[FactPayment].[CaseKey].&amp;[8102|00017041]"/>
            <x15:cachedUniqueName index="2895" name="[FactPayment].[CaseKey].&amp;[8102|00017056]"/>
            <x15:cachedUniqueName index="2896" name="[FactPayment].[CaseKey].&amp;[8102|00017067]"/>
            <x15:cachedUniqueName index="2897" name="[FactPayment].[CaseKey].&amp;[8102|00017077]"/>
            <x15:cachedUniqueName index="2898" name="[FactPayment].[CaseKey].&amp;[8102|00017081]"/>
            <x15:cachedUniqueName index="2899" name="[FactPayment].[CaseKey].&amp;[8102|00017093]"/>
            <x15:cachedUniqueName index="2900" name="[FactPayment].[CaseKey].&amp;[8102|00017105]"/>
            <x15:cachedUniqueName index="2901" name="[FactPayment].[CaseKey].&amp;[8102|00017113]"/>
            <x15:cachedUniqueName index="2902" name="[FactPayment].[CaseKey].&amp;[8102|00017125]"/>
            <x15:cachedUniqueName index="2903" name="[FactPayment].[CaseKey].&amp;[8102|00017134]"/>
            <x15:cachedUniqueName index="2904" name="[FactPayment].[CaseKey].&amp;[8102|00017147]"/>
            <x15:cachedUniqueName index="2905" name="[FactPayment].[CaseKey].&amp;[8102|00017155]"/>
            <x15:cachedUniqueName index="2906" name="[FactPayment].[CaseKey].&amp;[8102|00017162]"/>
            <x15:cachedUniqueName index="2907" name="[FactPayment].[CaseKey].&amp;[8102|00017170]"/>
            <x15:cachedUniqueName index="2908" name="[FactPayment].[CaseKey].&amp;[8102|00017185]"/>
            <x15:cachedUniqueName index="2909" name="[FactPayment].[CaseKey].&amp;[8102|00017195]"/>
            <x15:cachedUniqueName index="2910" name="[FactPayment].[CaseKey].&amp;[8102|00017203]"/>
            <x15:cachedUniqueName index="2911" name="[FactPayment].[CaseKey].&amp;[8102|00017217]"/>
            <x15:cachedUniqueName index="2912" name="[FactPayment].[CaseKey].&amp;[8102|00017225]"/>
            <x15:cachedUniqueName index="2913" name="[FactPayment].[CaseKey].&amp;[8102|00017235]"/>
            <x15:cachedUniqueName index="2914" name="[FactPayment].[CaseKey].&amp;[8102|00017242]"/>
            <x15:cachedUniqueName index="2915" name="[FactPayment].[CaseKey].&amp;[8102|00017256]"/>
            <x15:cachedUniqueName index="2916" name="[FactPayment].[CaseKey].&amp;[8102|00017266]"/>
            <x15:cachedUniqueName index="2917" name="[FactPayment].[CaseKey].&amp;[8102|00017271]"/>
            <x15:cachedUniqueName index="2918" name="[FactPayment].[CaseKey].&amp;[8102|00017287]"/>
            <x15:cachedUniqueName index="2919" name="[FactPayment].[CaseKey].&amp;[8102|00017297]"/>
            <x15:cachedUniqueName index="2920" name="[FactPayment].[CaseKey].&amp;[8102|00017307]"/>
            <x15:cachedUniqueName index="2921" name="[FactPayment].[CaseKey].&amp;[8102|00017313]"/>
            <x15:cachedUniqueName index="2922" name="[FactPayment].[CaseKey].&amp;[8102|00017326]"/>
            <x15:cachedUniqueName index="2923" name="[FactPayment].[CaseKey].&amp;[8102|00017337]"/>
            <x15:cachedUniqueName index="2924" name="[FactPayment].[CaseKey].&amp;[8102|00017347]"/>
            <x15:cachedUniqueName index="2925" name="[FactPayment].[CaseKey].&amp;[8102|00017350]"/>
            <x15:cachedUniqueName index="2926" name="[FactPayment].[CaseKey].&amp;[8102|00017366]"/>
            <x15:cachedUniqueName index="2927" name="[FactPayment].[CaseKey].&amp;[8102|00017377]"/>
            <x15:cachedUniqueName index="2928" name="[FactPayment].[CaseKey].&amp;[8102|00017380]"/>
            <x15:cachedUniqueName index="2929" name="[FactPayment].[CaseKey].&amp;[8102|00017395]"/>
            <x15:cachedUniqueName index="2930" name="[FactPayment].[CaseKey].&amp;[8102|00017400]"/>
            <x15:cachedUniqueName index="2931" name="[FactPayment].[CaseKey].&amp;[8102|00017418]"/>
            <x15:cachedUniqueName index="2932" name="[FactPayment].[CaseKey].&amp;[8102|00017420]"/>
            <x15:cachedUniqueName index="2933" name="[FactPayment].[CaseKey].&amp;[8102|00017437]"/>
            <x15:cachedUniqueName index="2934" name="[FactPayment].[CaseKey].&amp;[8102|00017441]"/>
            <x15:cachedUniqueName index="2935" name="[FactPayment].[CaseKey].&amp;[8102|00017457]"/>
            <x15:cachedUniqueName index="2936" name="[FactPayment].[CaseKey].&amp;[8102|00017460]"/>
            <x15:cachedUniqueName index="2937" name="[FactPayment].[CaseKey].&amp;[8102|00017474]"/>
            <x15:cachedUniqueName index="2938" name="[FactPayment].[CaseKey].&amp;[8102|00017493]"/>
            <x15:cachedUniqueName index="2939" name="[FactPayment].[CaseKey].&amp;[8102|00017506]"/>
            <x15:cachedUniqueName index="2940" name="[FactPayment].[CaseKey].&amp;[8102|00017518]"/>
            <x15:cachedUniqueName index="2941" name="[FactPayment].[CaseKey].&amp;[8102|00017523]"/>
            <x15:cachedUniqueName index="2942" name="[FactPayment].[CaseKey].&amp;[8102|00017534]"/>
            <x15:cachedUniqueName index="2943" name="[FactPayment].[CaseKey].&amp;[8102|00017544]"/>
            <x15:cachedUniqueName index="2944" name="[FactPayment].[CaseKey].&amp;[8102|00017557]"/>
            <x15:cachedUniqueName index="2945" name="[FactPayment].[CaseKey].&amp;[8102|00017567]"/>
            <x15:cachedUniqueName index="2946" name="[FactPayment].[CaseKey].&amp;[8102|00017577]"/>
            <x15:cachedUniqueName index="2947" name="[FactPayment].[CaseKey].&amp;[8102|00017588]"/>
            <x15:cachedUniqueName index="2948" name="[FactPayment].[CaseKey].&amp;[8102|00017595]"/>
            <x15:cachedUniqueName index="2949" name="[FactPayment].[CaseKey].&amp;[8102|00017617]"/>
            <x15:cachedUniqueName index="2950" name="[FactPayment].[CaseKey].&amp;[8102|00017620]"/>
            <x15:cachedUniqueName index="2951" name="[FactPayment].[CaseKey].&amp;[8102|00017647]"/>
            <x15:cachedUniqueName index="2952" name="[FactPayment].[CaseKey].&amp;[8102|00017658]"/>
            <x15:cachedUniqueName index="2953" name="[FactPayment].[CaseKey].&amp;[8102|00017664]"/>
            <x15:cachedUniqueName index="2954" name="[FactPayment].[CaseKey].&amp;[8102|00017674]"/>
            <x15:cachedUniqueName index="2955" name="[FactPayment].[CaseKey].&amp;[8102|00017688]"/>
            <x15:cachedUniqueName index="2956" name="[FactPayment].[CaseKey].&amp;[8102|00017693]"/>
            <x15:cachedUniqueName index="2957" name="[FactPayment].[CaseKey].&amp;[8102|00017706]"/>
            <x15:cachedUniqueName index="2958" name="[FactPayment].[CaseKey].&amp;[8102|00017713]"/>
            <x15:cachedUniqueName index="2959" name="[FactPayment].[CaseKey].&amp;[8102|00017724]"/>
            <x15:cachedUniqueName index="2960" name="[FactPayment].[CaseKey].&amp;[8102|00017733]"/>
            <x15:cachedUniqueName index="2961" name="[FactPayment].[CaseKey].&amp;[8102|00017744]"/>
            <x15:cachedUniqueName index="2962" name="[FactPayment].[CaseKey].&amp;[8102|00017754]"/>
            <x15:cachedUniqueName index="2963" name="[FactPayment].[CaseKey].&amp;[8102|00017761]"/>
            <x15:cachedUniqueName index="2964" name="[FactPayment].[CaseKey].&amp;[8102|00017781]"/>
            <x15:cachedUniqueName index="2965" name="[FactPayment].[CaseKey].&amp;[8102|00017797]"/>
            <x15:cachedUniqueName index="2966" name="[FactPayment].[CaseKey].&amp;[8102|00017800]"/>
            <x15:cachedUniqueName index="2967" name="[FactPayment].[CaseKey].&amp;[8102|00017812]"/>
            <x15:cachedUniqueName index="2968" name="[FactPayment].[CaseKey].&amp;[8102|00017822]"/>
            <x15:cachedUniqueName index="2969" name="[FactPayment].[CaseKey].&amp;[8102|00017835]"/>
            <x15:cachedUniqueName index="2970" name="[FactPayment].[CaseKey].&amp;[8102|00017844]"/>
            <x15:cachedUniqueName index="2971" name="[FactPayment].[CaseKey].&amp;[8102|00017857]"/>
            <x15:cachedUniqueName index="2972" name="[FactPayment].[CaseKey].&amp;[8102|00017861]"/>
            <x15:cachedUniqueName index="2973" name="[FactPayment].[CaseKey].&amp;[8102|00017875]"/>
            <x15:cachedUniqueName index="2974" name="[FactPayment].[CaseKey].&amp;[8102|00017880]"/>
            <x15:cachedUniqueName index="2975" name="[FactPayment].[CaseKey].&amp;[8102|00017891]"/>
            <x15:cachedUniqueName index="2976" name="[FactPayment].[CaseKey].&amp;[8102|00017905]"/>
            <x15:cachedUniqueName index="2977" name="[FactPayment].[CaseKey].&amp;[8102|00017918]"/>
            <x15:cachedUniqueName index="2978" name="[FactPayment].[CaseKey].&amp;[8102|00017920]"/>
            <x15:cachedUniqueName index="2979" name="[FactPayment].[CaseKey].&amp;[8102|00017937]"/>
            <x15:cachedUniqueName index="2980" name="[FactPayment].[CaseKey].&amp;[8102|00017942]"/>
            <x15:cachedUniqueName index="2981" name="[FactPayment].[CaseKey].&amp;[8102|00017953]"/>
            <x15:cachedUniqueName index="2982" name="[FactPayment].[CaseKey].&amp;[8102|00017967]"/>
            <x15:cachedUniqueName index="2983" name="[FactPayment].[CaseKey].&amp;[8102|00017970]"/>
            <x15:cachedUniqueName index="2984" name="[FactPayment].[CaseKey].&amp;[8102|00017981]"/>
            <x15:cachedUniqueName index="2985" name="[FactPayment].[CaseKey].&amp;[8102|00017996]"/>
            <x15:cachedUniqueName index="2986" name="[FactPayment].[CaseKey].&amp;[8102|00018000]"/>
            <x15:cachedUniqueName index="2987" name="[FactPayment].[CaseKey].&amp;[8102|00018025]"/>
            <x15:cachedUniqueName index="2988" name="[FactPayment].[CaseKey].&amp;[8102|00018043]"/>
            <x15:cachedUniqueName index="2989" name="[FactPayment].[CaseKey].&amp;[8102|00018054]"/>
            <x15:cachedUniqueName index="2990" name="[FactPayment].[CaseKey].&amp;[8102|00018061]"/>
            <x15:cachedUniqueName index="2991" name="[FactPayment].[CaseKey].&amp;[8102|00018077]"/>
            <x15:cachedUniqueName index="2992" name="[FactPayment].[CaseKey].&amp;[8102|00018083]"/>
            <x15:cachedUniqueName index="2993" name="[FactPayment].[CaseKey].&amp;[8102|00018096]"/>
            <x15:cachedUniqueName index="2994" name="[FactPayment].[CaseKey].&amp;[8102|00018107]"/>
            <x15:cachedUniqueName index="2995" name="[FactPayment].[CaseKey].&amp;[8102|00018110]"/>
            <x15:cachedUniqueName index="2996" name="[FactPayment].[CaseKey].&amp;[8102|00018124]"/>
            <x15:cachedUniqueName index="2997" name="[FactPayment].[CaseKey].&amp;[8102|00018133]"/>
            <x15:cachedUniqueName index="2998" name="[FactPayment].[CaseKey].&amp;[8102|00018145]"/>
            <x15:cachedUniqueName index="2999" name="[FactPayment].[CaseKey].&amp;[8102|00018155]"/>
            <x15:cachedUniqueName index="3000" name="[FactPayment].[CaseKey].&amp;[8102|00018160]"/>
            <x15:cachedUniqueName index="3001" name="[FactPayment].[CaseKey].&amp;[8102|00018174]"/>
            <x15:cachedUniqueName index="3002" name="[FactPayment].[CaseKey].&amp;[8102|00018180]"/>
            <x15:cachedUniqueName index="3003" name="[FactPayment].[CaseKey].&amp;[8102|00018193]"/>
            <x15:cachedUniqueName index="3004" name="[FactPayment].[CaseKey].&amp;[8102|00018208]"/>
            <x15:cachedUniqueName index="3005" name="[FactPayment].[CaseKey].&amp;[8102|00018214]"/>
            <x15:cachedUniqueName index="3006" name="[FactPayment].[CaseKey].&amp;[8102|00018223]"/>
            <x15:cachedUniqueName index="3007" name="[FactPayment].[CaseKey].&amp;[8102|00018236]"/>
            <x15:cachedUniqueName index="3008" name="[FactPayment].[CaseKey].&amp;[8102|00018246]"/>
            <x15:cachedUniqueName index="3009" name="[FactPayment].[CaseKey].&amp;[8102|00018255]"/>
            <x15:cachedUniqueName index="3010" name="[FactPayment].[CaseKey].&amp;[8102|00018264]"/>
            <x15:cachedUniqueName index="3011" name="[FactPayment].[CaseKey].&amp;[8102|00018272]"/>
            <x15:cachedUniqueName index="3012" name="[FactPayment].[CaseKey].&amp;[8102|00018281]"/>
            <x15:cachedUniqueName index="3013" name="[FactPayment].[CaseKey].&amp;[8102|00018296]"/>
            <x15:cachedUniqueName index="3014" name="[FactPayment].[CaseKey].&amp;[8102|00018306]"/>
            <x15:cachedUniqueName index="3015" name="[FactPayment].[CaseKey].&amp;[8102|00018311]"/>
            <x15:cachedUniqueName index="3016" name="[FactPayment].[CaseKey].&amp;[8102|00018321]"/>
            <x15:cachedUniqueName index="3017" name="[FactPayment].[CaseKey].&amp;[8102|00018330]"/>
            <x15:cachedUniqueName index="3018" name="[FactPayment].[CaseKey].&amp;[8102|00018341]"/>
            <x15:cachedUniqueName index="3019" name="[FactPayment].[CaseKey].&amp;[8102|00018351]"/>
            <x15:cachedUniqueName index="3020" name="[FactPayment].[CaseKey].&amp;[8102|00018362]"/>
            <x15:cachedUniqueName index="3021" name="[FactPayment].[CaseKey].&amp;[8102|00018371]"/>
            <x15:cachedUniqueName index="3022" name="[FactPayment].[CaseKey].&amp;[8102|00018382]"/>
            <x15:cachedUniqueName index="3023" name="[FactPayment].[CaseKey].&amp;[8102|00018395]"/>
            <x15:cachedUniqueName index="3024" name="[FactPayment].[CaseKey].&amp;[8102|00018400]"/>
            <x15:cachedUniqueName index="3025" name="[FactPayment].[CaseKey].&amp;[8102|00018410]"/>
            <x15:cachedUniqueName index="3026" name="[FactPayment].[CaseKey].&amp;[8102|00018427]"/>
            <x15:cachedUniqueName index="3027" name="[FactPayment].[CaseKey].&amp;[8102|00018447]"/>
            <x15:cachedUniqueName index="3028" name="[FactPayment].[CaseKey].&amp;[8102|00018450]"/>
            <x15:cachedUniqueName index="3029" name="[FactPayment].[CaseKey].&amp;[8102|00018465]"/>
            <x15:cachedUniqueName index="3030" name="[FactPayment].[CaseKey].&amp;[8102|00018473]"/>
            <x15:cachedUniqueName index="3031" name="[FactPayment].[CaseKey].&amp;[8102|00018481]"/>
            <x15:cachedUniqueName index="3032" name="[FactPayment].[CaseKey].&amp;[8102|00018496]"/>
            <x15:cachedUniqueName index="3033" name="[FactPayment].[CaseKey].&amp;[8102|00018501]"/>
            <x15:cachedUniqueName index="3034" name="[FactPayment].[CaseKey].&amp;[8102|00018510]"/>
            <x15:cachedUniqueName index="3035" name="[FactPayment].[CaseKey].&amp;[8102|00018521]"/>
            <x15:cachedUniqueName index="3036" name="[FactPayment].[CaseKey].&amp;[8102|00018534]"/>
            <x15:cachedUniqueName index="3037" name="[FactPayment].[CaseKey].&amp;[8102|00018541]"/>
            <x15:cachedUniqueName index="3038" name="[FactPayment].[CaseKey].&amp;[8102|00018555]"/>
            <x15:cachedUniqueName index="3039" name="[FactPayment].[CaseKey].&amp;[8102|00018568]"/>
            <x15:cachedUniqueName index="3040" name="[FactPayment].[CaseKey].&amp;[8102|00018572]"/>
            <x15:cachedUniqueName index="3041" name="[FactPayment].[CaseKey].&amp;[8102|00018585]"/>
            <x15:cachedUniqueName index="3042" name="[FactPayment].[CaseKey].&amp;[8102|00018594]"/>
            <x15:cachedUniqueName index="3043" name="[FactPayment].[CaseKey].&amp;[8102|00018616]"/>
            <x15:cachedUniqueName index="3044" name="[FactPayment].[CaseKey].&amp;[8102|00018620]"/>
            <x15:cachedUniqueName index="3045" name="[FactPayment].[CaseKey].&amp;[8102|00018631]"/>
            <x15:cachedUniqueName index="3046" name="[FactPayment].[CaseKey].&amp;[8102|00018648]"/>
            <x15:cachedUniqueName index="3047" name="[FactPayment].[CaseKey].&amp;[8102|00018654]"/>
            <x15:cachedUniqueName index="3048" name="[FactPayment].[CaseKey].&amp;[8102|00018664]"/>
            <x15:cachedUniqueName index="3049" name="[FactPayment].[CaseKey].&amp;[8102|00018673]"/>
            <x15:cachedUniqueName index="3050" name="[FactPayment].[CaseKey].&amp;[8102|00018688]"/>
            <x15:cachedUniqueName index="3051" name="[FactPayment].[CaseKey].&amp;[8102|00018698]"/>
            <x15:cachedUniqueName index="3052" name="[FactPayment].[CaseKey].&amp;[8102|00018703]"/>
            <x15:cachedUniqueName index="3053" name="[FactPayment].[CaseKey].&amp;[8102|00018711]"/>
            <x15:cachedUniqueName index="3054" name="[FactPayment].[CaseKey].&amp;[8102|00018724]"/>
            <x15:cachedUniqueName index="3055" name="[FactPayment].[CaseKey].&amp;[8102|00018737]"/>
            <x15:cachedUniqueName index="3056" name="[FactPayment].[CaseKey].&amp;[8102|00018740]"/>
            <x15:cachedUniqueName index="3057" name="[FactPayment].[CaseKey].&amp;[8102|00018757]"/>
            <x15:cachedUniqueName index="3058" name="[FactPayment].[CaseKey].&amp;[8102|00018772]"/>
            <x15:cachedUniqueName index="3059" name="[FactPayment].[CaseKey].&amp;[8102|00018785]"/>
            <x15:cachedUniqueName index="3060" name="[FactPayment].[CaseKey].&amp;[8102|00018793]"/>
            <x15:cachedUniqueName index="3061" name="[FactPayment].[CaseKey].&amp;[8102|00018814]"/>
            <x15:cachedUniqueName index="3062" name="[FactPayment].[CaseKey].&amp;[8102|00018825]"/>
            <x15:cachedUniqueName index="3063" name="[FactPayment].[CaseKey].&amp;[8102|00018835]"/>
            <x15:cachedUniqueName index="3064" name="[FactPayment].[CaseKey].&amp;[8102|00018840]"/>
            <x15:cachedUniqueName index="3065" name="[FactPayment].[CaseKey].&amp;[8102|00018858]"/>
            <x15:cachedUniqueName index="3066" name="[FactPayment].[CaseKey].&amp;[8102|00018864]"/>
            <x15:cachedUniqueName index="3067" name="[FactPayment].[CaseKey].&amp;[8102|00018872]"/>
            <x15:cachedUniqueName index="3068" name="[FactPayment].[CaseKey].&amp;[8102|00018887]"/>
            <x15:cachedUniqueName index="3069" name="[FactPayment].[CaseKey].&amp;[8102|00018894]"/>
            <x15:cachedUniqueName index="3070" name="[FactPayment].[CaseKey].&amp;[8102|00018908]"/>
            <x15:cachedUniqueName index="3071" name="[FactPayment].[CaseKey].&amp;[8102|00018918]"/>
            <x15:cachedUniqueName index="3072" name="[FactPayment].[CaseKey].&amp;[8102|00018928]"/>
            <x15:cachedUniqueName index="3073" name="[FactPayment].[CaseKey].&amp;[8102|00018931]"/>
            <x15:cachedUniqueName index="3074" name="[FactPayment].[CaseKey].&amp;[8102|00018947]"/>
            <x15:cachedUniqueName index="3075" name="[FactPayment].[CaseKey].&amp;[8102|00018955]"/>
            <x15:cachedUniqueName index="3076" name="[FactPayment].[CaseKey].&amp;[8102|00018968]"/>
            <x15:cachedUniqueName index="3077" name="[FactPayment].[CaseKey].&amp;[8102|00018976]"/>
            <x15:cachedUniqueName index="3078" name="[FactPayment].[CaseKey].&amp;[8102|00018987]"/>
            <x15:cachedUniqueName index="3079" name="[FactPayment].[CaseKey].&amp;[8102|00019000]"/>
            <x15:cachedUniqueName index="3080" name="[FactPayment].[CaseKey].&amp;[8102|00019018]"/>
            <x15:cachedUniqueName index="3081" name="[FactPayment].[CaseKey].&amp;[8102|00019023]"/>
            <x15:cachedUniqueName index="3082" name="[FactPayment].[CaseKey].&amp;[8102|00019031]"/>
            <x15:cachedUniqueName index="3083" name="[FactPayment].[CaseKey].&amp;[8102|00019042]"/>
            <x15:cachedUniqueName index="3084" name="[FactPayment].[CaseKey].&amp;[8102|00019055]"/>
            <x15:cachedUniqueName index="3085" name="[FactPayment].[CaseKey].&amp;[8102|00019062]"/>
            <x15:cachedUniqueName index="3086" name="[FactPayment].[CaseKey].&amp;[8102|00019075]"/>
            <x15:cachedUniqueName index="3087" name="[FactPayment].[CaseKey].&amp;[8102|00019082]"/>
            <x15:cachedUniqueName index="3088" name="[FactPayment].[CaseKey].&amp;[8102|00019097]"/>
            <x15:cachedUniqueName index="3089" name="[FactPayment].[CaseKey].&amp;[8102|00019104]"/>
            <x15:cachedUniqueName index="3090" name="[FactPayment].[CaseKey].&amp;[8102|00019116]"/>
            <x15:cachedUniqueName index="3091" name="[FactPayment].[CaseKey].&amp;[8102|00019121]"/>
            <x15:cachedUniqueName index="3092" name="[FactPayment].[CaseKey].&amp;[8102|00019138]"/>
            <x15:cachedUniqueName index="3093" name="[FactPayment].[CaseKey].&amp;[8102|00019144]"/>
            <x15:cachedUniqueName index="3094" name="[FactPayment].[CaseKey].&amp;[8102|00019150]"/>
            <x15:cachedUniqueName index="3095" name="[FactPayment].[CaseKey].&amp;[8102|00019175]"/>
            <x15:cachedUniqueName index="3096" name="[FactPayment].[CaseKey].&amp;[8102|00019182]"/>
            <x15:cachedUniqueName index="3097" name="[FactPayment].[CaseKey].&amp;[8102|00019196]"/>
            <x15:cachedUniqueName index="3098" name="[FactPayment].[CaseKey].&amp;[8102|00019204]"/>
            <x15:cachedUniqueName index="3099" name="[FactPayment].[CaseKey].&amp;[8102|00019212]"/>
            <x15:cachedUniqueName index="3100" name="[FactPayment].[CaseKey].&amp;[8102|00019224]"/>
            <x15:cachedUniqueName index="3101" name="[FactPayment].[CaseKey].&amp;[8102|00019232]"/>
            <x15:cachedUniqueName index="3102" name="[FactPayment].[CaseKey].&amp;[8102|00019245]"/>
            <x15:cachedUniqueName index="3103" name="[FactPayment].[CaseKey].&amp;[8102|00019253]"/>
            <x15:cachedUniqueName index="3104" name="[FactPayment].[CaseKey].&amp;[8102|00019264]"/>
            <x15:cachedUniqueName index="3105" name="[FactPayment].[CaseKey].&amp;[8102|00019274]"/>
            <x15:cachedUniqueName index="3106" name="[FactPayment].[CaseKey].&amp;[8102|00019287]"/>
            <x15:cachedUniqueName index="3107" name="[FactPayment].[CaseKey].&amp;[8102|00019298]"/>
            <x15:cachedUniqueName index="3108" name="[FactPayment].[CaseKey].&amp;[8102|00019308]"/>
            <x15:cachedUniqueName index="3109" name="[FactPayment].[CaseKey].&amp;[8102|00019316]"/>
            <x15:cachedUniqueName index="3110" name="[FactPayment].[CaseKey].&amp;[8102|00019322]"/>
            <x15:cachedUniqueName index="3111" name="[FactPayment].[CaseKey].&amp;[8102|00019336]"/>
            <x15:cachedUniqueName index="3112" name="[FactPayment].[CaseKey].&amp;[8102|00019342]"/>
            <x15:cachedUniqueName index="3113" name="[FactPayment].[CaseKey].&amp;[8102|00019356]"/>
            <x15:cachedUniqueName index="3114" name="[FactPayment].[CaseKey].&amp;[8102|00019363]"/>
            <x15:cachedUniqueName index="3115" name="[FactPayment].[CaseKey].&amp;[8102|00019375]"/>
            <x15:cachedUniqueName index="3116" name="[FactPayment].[CaseKey].&amp;[8102|00019383]"/>
            <x15:cachedUniqueName index="3117" name="[FactPayment].[CaseKey].&amp;[8102|00019391]"/>
            <x15:cachedUniqueName index="3118" name="[FactPayment].[CaseKey].&amp;[8102|00019404]"/>
            <x15:cachedUniqueName index="3119" name="[FactPayment].[CaseKey].&amp;[8102|00019410]"/>
            <x15:cachedUniqueName index="3120" name="[FactPayment].[CaseKey].&amp;[8102|00019430]"/>
            <x15:cachedUniqueName index="3121" name="[FactPayment].[CaseKey].&amp;[8102|00019445]"/>
            <x15:cachedUniqueName index="3122" name="[FactPayment].[CaseKey].&amp;[8102|00019457]"/>
            <x15:cachedUniqueName index="3123" name="[FactPayment].[CaseKey].&amp;[8102|00019466]"/>
            <x15:cachedUniqueName index="3124" name="[FactPayment].[CaseKey].&amp;[8102|00019471]"/>
            <x15:cachedUniqueName index="3125" name="[FactPayment].[CaseKey].&amp;[8102|00019485]"/>
            <x15:cachedUniqueName index="3126" name="[FactPayment].[CaseKey].&amp;[8102|00019490]"/>
            <x15:cachedUniqueName index="3127" name="[FactPayment].[CaseKey].&amp;[8102|00019501]"/>
            <x15:cachedUniqueName index="3128" name="[FactPayment].[CaseKey].&amp;[8102|00019514]"/>
            <x15:cachedUniqueName index="3129" name="[FactPayment].[CaseKey].&amp;[8102|00019526]"/>
            <x15:cachedUniqueName index="3130" name="[FactPayment].[CaseKey].&amp;[8102|00019535]"/>
            <x15:cachedUniqueName index="3131" name="[FactPayment].[CaseKey].&amp;[8102|00019541]"/>
            <x15:cachedUniqueName index="3132" name="[FactPayment].[CaseKey].&amp;[8102|00019558]"/>
            <x15:cachedUniqueName index="3133" name="[FactPayment].[CaseKey].&amp;[8102|00019560]"/>
            <x15:cachedUniqueName index="3134" name="[FactPayment].[CaseKey].&amp;[8102|00019575]"/>
            <x15:cachedUniqueName index="3135" name="[FactPayment].[CaseKey].&amp;[8102|00019586]"/>
            <x15:cachedUniqueName index="3136" name="[FactPayment].[CaseKey].&amp;[8102|00019597]"/>
            <x15:cachedUniqueName index="3137" name="[FactPayment].[CaseKey].&amp;[8102|00019600]"/>
            <x15:cachedUniqueName index="3138" name="[FactPayment].[CaseKey].&amp;[8102|00019612]"/>
            <x15:cachedUniqueName index="3139" name="[FactPayment].[CaseKey].&amp;[8102|00019622]"/>
            <x15:cachedUniqueName index="3140" name="[FactPayment].[CaseKey].&amp;[8102|00019638]"/>
            <x15:cachedUniqueName index="3141" name="[FactPayment].[CaseKey].&amp;[8102|00019647]"/>
            <x15:cachedUniqueName index="3142" name="[FactPayment].[CaseKey].&amp;[8102|00019651]"/>
            <x15:cachedUniqueName index="3143" name="[FactPayment].[CaseKey].&amp;[8102|00019666]"/>
            <x15:cachedUniqueName index="3144" name="[FactPayment].[CaseKey].&amp;[8102|00019673]"/>
            <x15:cachedUniqueName index="3145" name="[FactPayment].[CaseKey].&amp;[8102|00019692]"/>
            <x15:cachedUniqueName index="3146" name="[FactPayment].[CaseKey].&amp;[8102|00019701]"/>
            <x15:cachedUniqueName index="3147" name="[FactPayment].[CaseKey].&amp;[8102|00019716]"/>
            <x15:cachedUniqueName index="3148" name="[FactPayment].[CaseKey].&amp;[8102|00019728]"/>
            <x15:cachedUniqueName index="3149" name="[FactPayment].[CaseKey].&amp;[8102|00019737]"/>
            <x15:cachedUniqueName index="3150" name="[FactPayment].[CaseKey].&amp;[8102|00019746]"/>
            <x15:cachedUniqueName index="3151" name="[FactPayment].[CaseKey].&amp;[8102|00019754]"/>
            <x15:cachedUniqueName index="3152" name="[FactPayment].[CaseKey].&amp;[8102|00019764]"/>
            <x15:cachedUniqueName index="3153" name="[FactPayment].[CaseKey].&amp;[8102|00019771]"/>
            <x15:cachedUniqueName index="3154" name="[FactPayment].[CaseKey].&amp;[8102|00019784]"/>
            <x15:cachedUniqueName index="3155" name="[FactPayment].[CaseKey].&amp;[8102|00019791]"/>
            <x15:cachedUniqueName index="3156" name="[FactPayment].[CaseKey].&amp;[8102|00019806]"/>
            <x15:cachedUniqueName index="3157" name="[FactPayment].[CaseKey].&amp;[8102|00019818]"/>
            <x15:cachedUniqueName index="3158" name="[FactPayment].[CaseKey].&amp;[8102|00019825]"/>
            <x15:cachedUniqueName index="3159" name="[FactPayment].[CaseKey].&amp;[8102|00019830]"/>
            <x15:cachedUniqueName index="3160" name="[FactPayment].[CaseKey].&amp;[8102|00019841]"/>
            <x15:cachedUniqueName index="3161" name="[FactPayment].[CaseKey].&amp;[8102|00019855]"/>
            <x15:cachedUniqueName index="3162" name="[FactPayment].[CaseKey].&amp;[8102|00019867]"/>
            <x15:cachedUniqueName index="3163" name="[FactPayment].[CaseKey].&amp;[8102|00019876]"/>
            <x15:cachedUniqueName index="3164" name="[FactPayment].[CaseKey].&amp;[8102|00019882]"/>
            <x15:cachedUniqueName index="3165" name="[FactPayment].[CaseKey].&amp;[8102|00019896]"/>
            <x15:cachedUniqueName index="3166" name="[FactPayment].[CaseKey].&amp;[8102|00019901]"/>
            <x15:cachedUniqueName index="3167" name="[FactPayment].[CaseKey].&amp;[8102|00019910]"/>
            <x15:cachedUniqueName index="3168" name="[FactPayment].[CaseKey].&amp;[8102|00019923]"/>
            <x15:cachedUniqueName index="3169" name="[FactPayment].[CaseKey].&amp;[8102|00019945]"/>
            <x15:cachedUniqueName index="3170" name="[FactPayment].[CaseKey].&amp;[8102|00019952]"/>
            <x15:cachedUniqueName index="3171" name="[FactPayment].[CaseKey].&amp;[8102|00019962]"/>
            <x15:cachedUniqueName index="3172" name="[FactPayment].[CaseKey].&amp;[8102|00019973]"/>
            <x15:cachedUniqueName index="3173" name="[FactPayment].[CaseKey].&amp;[8102|00019982]"/>
            <x15:cachedUniqueName index="3174" name="[FactPayment].[CaseKey].&amp;[8102|00019994]"/>
            <x15:cachedUniqueName index="3175" name="[FactPayment].[CaseKey].&amp;[8102|00020006]"/>
            <x15:cachedUniqueName index="3176" name="[FactPayment].[CaseKey].&amp;[8102|00020012]"/>
            <x15:cachedUniqueName index="3177" name="[FactPayment].[CaseKey].&amp;[8102|00020021]"/>
            <x15:cachedUniqueName index="3178" name="[FactPayment].[CaseKey].&amp;[8102|00020030]"/>
            <x15:cachedUniqueName index="3179" name="[FactPayment].[CaseKey].&amp;[8102|00020045]"/>
            <x15:cachedUniqueName index="3180" name="[FactPayment].[CaseKey].&amp;[8102|00020052]"/>
            <x15:cachedUniqueName index="3181" name="[FactPayment].[CaseKey].&amp;[8102|00020067]"/>
            <x15:cachedUniqueName index="3182" name="[FactPayment].[CaseKey].&amp;[8102|00020070]"/>
            <x15:cachedUniqueName index="3183" name="[FactPayment].[CaseKey].&amp;[8102|00020080]"/>
            <x15:cachedUniqueName index="3184" name="[FactPayment].[CaseKey].&amp;[8102|00020098]"/>
            <x15:cachedUniqueName index="3185" name="[FactPayment].[CaseKey].&amp;[8102|00020102]"/>
            <x15:cachedUniqueName index="3186" name="[FactPayment].[CaseKey].&amp;[8102|00020112]"/>
            <x15:cachedUniqueName index="3187" name="[FactPayment].[CaseKey].&amp;[8102|00020121]"/>
            <x15:cachedUniqueName index="3188" name="[FactPayment].[CaseKey].&amp;[8102|00020131]"/>
            <x15:cachedUniqueName index="3189" name="[FactPayment].[CaseKey].&amp;[8102|00020148]"/>
            <x15:cachedUniqueName index="3190" name="[FactPayment].[CaseKey].&amp;[8102|00020151]"/>
            <x15:cachedUniqueName index="3191" name="[FactPayment].[CaseKey].&amp;[8102|00020167]"/>
            <x15:cachedUniqueName index="3192" name="[FactPayment].[CaseKey].&amp;[8102|00020174]"/>
            <x15:cachedUniqueName index="3193" name="[FactPayment].[CaseKey].&amp;[8102|00020187]"/>
            <x15:cachedUniqueName index="3194" name="[FactPayment].[CaseKey].&amp;[8102|00020196]"/>
            <x15:cachedUniqueName index="3195" name="[FactPayment].[CaseKey].&amp;[8102|00020204]"/>
            <x15:cachedUniqueName index="3196" name="[FactPayment].[CaseKey].&amp;[8102|00020214]"/>
            <x15:cachedUniqueName index="3197" name="[FactPayment].[CaseKey].&amp;[8102|00020220]"/>
            <x15:cachedUniqueName index="3198" name="[FactPayment].[CaseKey].&amp;[8102|00020235]"/>
            <x15:cachedUniqueName index="3199" name="[FactPayment].[CaseKey].&amp;[8102|00020243]"/>
            <x15:cachedUniqueName index="3200" name="[FactPayment].[CaseKey].&amp;[8102|00020268]"/>
            <x15:cachedUniqueName index="3201" name="[FactPayment].[CaseKey].&amp;[8102|00020278]"/>
            <x15:cachedUniqueName index="3202" name="[FactPayment].[CaseKey].&amp;[8102|00020282]"/>
            <x15:cachedUniqueName index="3203" name="[FactPayment].[CaseKey].&amp;[8102|00020294]"/>
            <x15:cachedUniqueName index="3204" name="[FactPayment].[CaseKey].&amp;[8102|00020301]"/>
            <x15:cachedUniqueName index="3205" name="[FactPayment].[CaseKey].&amp;[8102|00020313]"/>
            <x15:cachedUniqueName index="3206" name="[FactPayment].[CaseKey].&amp;[8102|00020324]"/>
            <x15:cachedUniqueName index="3207" name="[FactPayment].[CaseKey].&amp;[8102|00020330]"/>
            <x15:cachedUniqueName index="3208" name="[FactPayment].[CaseKey].&amp;[8102|00020343]"/>
            <x15:cachedUniqueName index="3209" name="[FactPayment].[CaseKey].&amp;[8102|00020356]"/>
            <x15:cachedUniqueName index="3210" name="[FactPayment].[CaseKey].&amp;[8102|00020373]"/>
            <x15:cachedUniqueName index="3211" name="[FactPayment].[CaseKey].&amp;[8102|00020380]"/>
            <x15:cachedUniqueName index="3212" name="[FactPayment].[CaseKey].&amp;[8102|00020398]"/>
            <x15:cachedUniqueName index="3213" name="[FactPayment].[CaseKey].&amp;[8102|00020400]"/>
            <x15:cachedUniqueName index="3214" name="[FactPayment].[CaseKey].&amp;[8102|00020413]"/>
            <x15:cachedUniqueName index="3215" name="[FactPayment].[CaseKey].&amp;[8102|00020426]"/>
            <x15:cachedUniqueName index="3216" name="[FactPayment].[CaseKey].&amp;[8102|00020430]"/>
            <x15:cachedUniqueName index="3217" name="[FactPayment].[CaseKey].&amp;[8102|00020443]"/>
            <x15:cachedUniqueName index="3218" name="[FactPayment].[CaseKey].&amp;[8102|00020453]"/>
            <x15:cachedUniqueName index="3219" name="[FactPayment].[CaseKey].&amp;[8102|00020466]"/>
            <x15:cachedUniqueName index="3220" name="[FactPayment].[CaseKey].&amp;[8102|00020472]"/>
            <x15:cachedUniqueName index="3221" name="[FactPayment].[CaseKey].&amp;[8102|00020484]"/>
            <x15:cachedUniqueName index="3222" name="[FactPayment].[CaseKey].&amp;[8102|00020495]"/>
            <x15:cachedUniqueName index="3223" name="[FactPayment].[CaseKey].&amp;[8102|00020504]"/>
            <x15:cachedUniqueName index="3224" name="[FactPayment].[CaseKey].&amp;[8102|00020516]"/>
            <x15:cachedUniqueName index="3225" name="[FactPayment].[CaseKey].&amp;[8102|00020527]"/>
            <x15:cachedUniqueName index="3226" name="[FactPayment].[CaseKey].&amp;[8102|00020531]"/>
            <x15:cachedUniqueName index="3227" name="[FactPayment].[CaseKey].&amp;[8102|00020540]"/>
            <x15:cachedUniqueName index="3228" name="[FactPayment].[CaseKey].&amp;[8102|00020552]"/>
            <x15:cachedUniqueName index="3229" name="[FactPayment].[CaseKey].&amp;[8102|00020562]"/>
            <x15:cachedUniqueName index="3230" name="[FactPayment].[CaseKey].&amp;[8102|00020572]"/>
            <x15:cachedUniqueName index="3231" name="[FactPayment].[CaseKey].&amp;[8102|00020581]"/>
            <x15:cachedUniqueName index="3232" name="[FactPayment].[CaseKey].&amp;[8102|00020590]"/>
            <x15:cachedUniqueName index="3233" name="[FactPayment].[CaseKey].&amp;[8102|00020605]"/>
            <x15:cachedUniqueName index="3234" name="[FactPayment].[CaseKey].&amp;[8102|00020615]"/>
            <x15:cachedUniqueName index="3235" name="[FactPayment].[CaseKey].&amp;[8102|00020624]"/>
            <x15:cachedUniqueName index="3236" name="[FactPayment].[CaseKey].&amp;[8102|00020633]"/>
            <x15:cachedUniqueName index="3237" name="[FactPayment].[CaseKey].&amp;[8102|00020648]"/>
            <x15:cachedUniqueName index="3238" name="[FactPayment].[CaseKey].&amp;[8102|00020653]"/>
            <x15:cachedUniqueName index="3239" name="[FactPayment].[CaseKey].&amp;[8102|00020668]"/>
            <x15:cachedUniqueName index="3240" name="[FactPayment].[CaseKey].&amp;[8102|00020677]"/>
            <x15:cachedUniqueName index="3241" name="[FactPayment].[CaseKey].&amp;[8102|00020682]"/>
            <x15:cachedUniqueName index="3242" name="[FactPayment].[CaseKey].&amp;[8102|00020698]"/>
            <x15:cachedUniqueName index="3243" name="[FactPayment].[CaseKey].&amp;[8102|00020705]"/>
            <x15:cachedUniqueName index="3244" name="[FactPayment].[CaseKey].&amp;[8102|00020712]"/>
            <x15:cachedUniqueName index="3245" name="[FactPayment].[CaseKey].&amp;[8102|00020724]"/>
            <x15:cachedUniqueName index="3246" name="[FactPayment].[CaseKey].&amp;[8102|00020730]"/>
            <x15:cachedUniqueName index="3247" name="[FactPayment].[CaseKey].&amp;[8102|00020740]"/>
            <x15:cachedUniqueName index="3248" name="[FactPayment].[CaseKey].&amp;[8102|00020752]"/>
            <x15:cachedUniqueName index="3249" name="[FactPayment].[CaseKey].&amp;[8102|00020767]"/>
            <x15:cachedUniqueName index="3250" name="[FactPayment].[CaseKey].&amp;[8102|00020770]"/>
            <x15:cachedUniqueName index="3251" name="[FactPayment].[CaseKey].&amp;[8102|00020782]"/>
            <x15:cachedUniqueName index="3252" name="[FactPayment].[CaseKey].&amp;[8102|00020792]"/>
            <x15:cachedUniqueName index="3253" name="[FactPayment].[CaseKey].&amp;[8102|00020806]"/>
            <x15:cachedUniqueName index="3254" name="[FactPayment].[CaseKey].&amp;[8102|00020814]"/>
            <x15:cachedUniqueName index="3255" name="[FactPayment].[CaseKey].&amp;[8102|00020820]"/>
            <x15:cachedUniqueName index="3256" name="[FactPayment].[CaseKey].&amp;[8102|00020830]"/>
            <x15:cachedUniqueName index="3257" name="[FactPayment].[CaseKey].&amp;[8102|00020842]"/>
            <x15:cachedUniqueName index="3258" name="[FactPayment].[CaseKey].&amp;[8102|00020855]"/>
            <x15:cachedUniqueName index="3259" name="[FactPayment].[CaseKey].&amp;[8102|00020868]"/>
            <x15:cachedUniqueName index="3260" name="[FactPayment].[CaseKey].&amp;[8102|00020881]"/>
            <x15:cachedUniqueName index="3261" name="[FactPayment].[CaseKey].&amp;[8102|00020892]"/>
            <x15:cachedUniqueName index="3262" name="[FactPayment].[CaseKey].&amp;[8102|00020902]"/>
            <x15:cachedUniqueName index="3263" name="[FactPayment].[CaseKey].&amp;[8102|00020912]"/>
            <x15:cachedUniqueName index="3264" name="[FactPayment].[CaseKey].&amp;[8102|00020920]"/>
            <x15:cachedUniqueName index="3265" name="[FactPayment].[CaseKey].&amp;[8102|00020930]"/>
            <x15:cachedUniqueName index="3266" name="[FactPayment].[CaseKey].&amp;[8102|00020947]"/>
            <x15:cachedUniqueName index="3267" name="[FactPayment].[CaseKey].&amp;[8102|00020950]"/>
            <x15:cachedUniqueName index="3268" name="[FactPayment].[CaseKey].&amp;[8102|00020960]"/>
            <x15:cachedUniqueName index="3269" name="[FactPayment].[CaseKey].&amp;[8102|00020994]"/>
            <x15:cachedUniqueName index="3270" name="[FactPayment].[CaseKey].&amp;[8102|00021002]"/>
            <x15:cachedUniqueName index="3271" name="[FactPayment].[CaseKey].&amp;[8102|00021015]"/>
            <x15:cachedUniqueName index="3272" name="[FactPayment].[CaseKey].&amp;[8102|00021023]"/>
            <x15:cachedUniqueName index="3273" name="[FactPayment].[CaseKey].&amp;[8102|00021037]"/>
            <x15:cachedUniqueName index="3274" name="[FactPayment].[CaseKey].&amp;[8102|00021047]"/>
            <x15:cachedUniqueName index="3275" name="[FactPayment].[CaseKey].&amp;[8102|00021054]"/>
            <x15:cachedUniqueName index="3276" name="[FactPayment].[CaseKey].&amp;[8102|00021068]"/>
            <x15:cachedUniqueName index="3277" name="[FactPayment].[CaseKey].&amp;[8102|00021074]"/>
            <x15:cachedUniqueName index="3278" name="[FactPayment].[CaseKey].&amp;[8102|00021087]"/>
            <x15:cachedUniqueName index="3279" name="[FactPayment].[CaseKey].&amp;[8102|00021095]"/>
            <x15:cachedUniqueName index="3280" name="[FactPayment].[CaseKey].&amp;[8102|00021101]"/>
            <x15:cachedUniqueName index="3281" name="[FactPayment].[CaseKey].&amp;[8102|00021116]"/>
            <x15:cachedUniqueName index="3282" name="[FactPayment].[CaseKey].&amp;[8102|00021125]"/>
            <x15:cachedUniqueName index="3283" name="[FactPayment].[CaseKey].&amp;[8102|00021135]"/>
            <x15:cachedUniqueName index="3284" name="[FactPayment].[CaseKey].&amp;[8102|00021145]"/>
            <x15:cachedUniqueName index="3285" name="[FactPayment].[CaseKey].&amp;[8102|00021158]"/>
            <x15:cachedUniqueName index="3286" name="[FactPayment].[CaseKey].&amp;[8102|00021167]"/>
            <x15:cachedUniqueName index="3287" name="[FactPayment].[CaseKey].&amp;[8102|00021178]"/>
            <x15:cachedUniqueName index="3288" name="[FactPayment].[CaseKey].&amp;[8102|00021186]"/>
            <x15:cachedUniqueName index="3289" name="[FactPayment].[CaseKey].&amp;[8102|00021194]"/>
            <x15:cachedUniqueName index="3290" name="[FactPayment].[CaseKey].&amp;[8102|00021202]"/>
            <x15:cachedUniqueName index="3291" name="[FactPayment].[CaseKey].&amp;[8102|00021217]"/>
            <x15:cachedUniqueName index="3292" name="[FactPayment].[CaseKey].&amp;[8102|00021246]"/>
            <x15:cachedUniqueName index="3293" name="[FactPayment].[CaseKey].&amp;[8102|00021255]"/>
            <x15:cachedUniqueName index="3294" name="[FactPayment].[CaseKey].&amp;[8102|00021267]"/>
            <x15:cachedUniqueName index="3295" name="[FactPayment].[CaseKey].&amp;[8102|00021278]"/>
            <x15:cachedUniqueName index="3296" name="[FactPayment].[CaseKey].&amp;[8102|00021287]"/>
            <x15:cachedUniqueName index="3297" name="[FactPayment].[CaseKey].&amp;[8102|00021297]"/>
            <x15:cachedUniqueName index="3298" name="[FactPayment].[CaseKey].&amp;[8102|00021304]"/>
            <x15:cachedUniqueName index="3299" name="[FactPayment].[CaseKey].&amp;[8102|00021320]"/>
            <x15:cachedUniqueName index="3300" name="[FactPayment].[CaseKey].&amp;[8102|00021337]"/>
            <x15:cachedUniqueName index="3301" name="[FactPayment].[CaseKey].&amp;[8102|00021358]"/>
            <x15:cachedUniqueName index="3302" name="[FactPayment].[CaseKey].&amp;[8102|00021374]"/>
            <x15:cachedUniqueName index="3303" name="[FactPayment].[CaseKey].&amp;[8102|00021384]"/>
            <x15:cachedUniqueName index="3304" name="[FactPayment].[CaseKey].&amp;[8102|00021397]"/>
            <x15:cachedUniqueName index="3305" name="[FactPayment].[CaseKey].&amp;[8102|00021402]"/>
            <x15:cachedUniqueName index="3306" name="[FactPayment].[CaseKey].&amp;[8102|00021412]"/>
            <x15:cachedUniqueName index="3307" name="[FactPayment].[CaseKey].&amp;[8102|00021427]"/>
            <x15:cachedUniqueName index="3308" name="[FactPayment].[CaseKey].&amp;[8102|00021432]"/>
            <x15:cachedUniqueName index="3309" name="[FactPayment].[CaseKey].&amp;[8102|00021458]"/>
            <x15:cachedUniqueName index="3310" name="[FactPayment].[CaseKey].&amp;[8102|00021468]"/>
            <x15:cachedUniqueName index="3311" name="[FactPayment].[CaseKey].&amp;[8102|00021474]"/>
            <x15:cachedUniqueName index="3312" name="[FactPayment].[CaseKey].&amp;[8102|00021487]"/>
            <x15:cachedUniqueName index="3313" name="[FactPayment].[CaseKey].&amp;[8102|00021498]"/>
            <x15:cachedUniqueName index="3314" name="[FactPayment].[CaseKey].&amp;[8102|00021504]"/>
            <x15:cachedUniqueName index="3315" name="[FactPayment].[CaseKey].&amp;[8102|00021516]"/>
            <x15:cachedUniqueName index="3316" name="[FactPayment].[CaseKey].&amp;[8102|00021530]"/>
            <x15:cachedUniqueName index="3317" name="[FactPayment].[CaseKey].&amp;[8102|00021541]"/>
            <x15:cachedUniqueName index="3318" name="[FactPayment].[CaseKey].&amp;[8102|00021550]"/>
            <x15:cachedUniqueName index="3319" name="[FactPayment].[CaseKey].&amp;[8102|00021578]"/>
            <x15:cachedUniqueName index="3320" name="[FactPayment].[CaseKey].&amp;[8102|00021584]"/>
            <x15:cachedUniqueName index="3321" name="[FactPayment].[CaseKey].&amp;[8102|00021595]"/>
            <x15:cachedUniqueName index="3322" name="[FactPayment].[CaseKey].&amp;[8102|00021617]"/>
            <x15:cachedUniqueName index="3323" name="[FactPayment].[CaseKey].&amp;[8102|00021648]"/>
            <x15:cachedUniqueName index="3324" name="[FactPayment].[CaseKey].&amp;[8102|00021655]"/>
            <x15:cachedUniqueName index="3325" name="[FactPayment].[CaseKey].&amp;[8102|00021660]"/>
            <x15:cachedUniqueName index="3326" name="[FactPayment].[CaseKey].&amp;[8102|00021676]"/>
            <x15:cachedUniqueName index="3327" name="[FactPayment].[CaseKey].&amp;[8102|00021681]"/>
            <x15:cachedUniqueName index="3328" name="[FactPayment].[CaseKey].&amp;[8102|00021695]"/>
            <x15:cachedUniqueName index="3329" name="[FactPayment].[CaseKey].&amp;[8102|00021718]"/>
            <x15:cachedUniqueName index="3330" name="[FactPayment].[CaseKey].&amp;[8102|00021720]"/>
            <x15:cachedUniqueName index="3331" name="[FactPayment].[CaseKey].&amp;[8102|00021736]"/>
            <x15:cachedUniqueName index="3332" name="[FactPayment].[CaseKey].&amp;[8102|00021746]"/>
            <x15:cachedUniqueName index="3333" name="[FactPayment].[CaseKey].&amp;[8102|00021752]"/>
            <x15:cachedUniqueName index="3334" name="[FactPayment].[CaseKey].&amp;[8102|00021766]"/>
            <x15:cachedUniqueName index="3335" name="[FactPayment].[CaseKey].&amp;[8102|00021772]"/>
            <x15:cachedUniqueName index="3336" name="[FactPayment].[CaseKey].&amp;[8102|00021786]"/>
            <x15:cachedUniqueName index="3337" name="[FactPayment].[CaseKey].&amp;[8102|00021797]"/>
            <x15:cachedUniqueName index="3338" name="[FactPayment].[CaseKey].&amp;[8102|00021801]"/>
            <x15:cachedUniqueName index="3339" name="[FactPayment].[CaseKey].&amp;[8102|00021826]"/>
            <x15:cachedUniqueName index="3340" name="[FactPayment].[CaseKey].&amp;[8102|00021843]"/>
            <x15:cachedUniqueName index="3341" name="[FactPayment].[CaseKey].&amp;[8102|00021853]"/>
            <x15:cachedUniqueName index="3342" name="[FactPayment].[CaseKey].&amp;[8102|00021863]"/>
            <x15:cachedUniqueName index="3343" name="[FactPayment].[CaseKey].&amp;[8102|00021877]"/>
            <x15:cachedUniqueName index="3344" name="[FactPayment].[CaseKey].&amp;[8102|00021884]"/>
            <x15:cachedUniqueName index="3345" name="[FactPayment].[CaseKey].&amp;[8102|00021895]"/>
            <x15:cachedUniqueName index="3346" name="[FactPayment].[CaseKey].&amp;[8102|00021906]"/>
            <x15:cachedUniqueName index="3347" name="[FactPayment].[CaseKey].&amp;[8102|00021918]"/>
            <x15:cachedUniqueName index="3348" name="[FactPayment].[CaseKey].&amp;[8102|00021926]"/>
            <x15:cachedUniqueName index="3349" name="[FactPayment].[CaseKey].&amp;[8102|00021938]"/>
            <x15:cachedUniqueName index="3350" name="[FactPayment].[CaseKey].&amp;[8102|00021941]"/>
            <x15:cachedUniqueName index="3351" name="[FactPayment].[CaseKey].&amp;[8102|00021953]"/>
            <x15:cachedUniqueName index="3352" name="[FactPayment].[CaseKey].&amp;[8102|00021966]"/>
            <x15:cachedUniqueName index="3353" name="[FactPayment].[CaseKey].&amp;[8102|00021975]"/>
            <x15:cachedUniqueName index="3354" name="[FactPayment].[CaseKey].&amp;[8102|00021985]"/>
            <x15:cachedUniqueName index="3355" name="[FactPayment].[CaseKey].&amp;[8102|00021990]"/>
            <x15:cachedUniqueName index="3356" name="[FactPayment].[CaseKey].&amp;[8102|00022008]"/>
            <x15:cachedUniqueName index="3357" name="[FactPayment].[CaseKey].&amp;[8102|00022012]"/>
            <x15:cachedUniqueName index="3358" name="[FactPayment].[CaseKey].&amp;[8102|00022035]"/>
            <x15:cachedUniqueName index="3359" name="[FactPayment].[CaseKey].&amp;[8102|00022055]"/>
            <x15:cachedUniqueName index="3360" name="[FactPayment].[CaseKey].&amp;[8102|00022065]"/>
            <x15:cachedUniqueName index="3361" name="[FactPayment].[CaseKey].&amp;[8102|00022082]"/>
            <x15:cachedUniqueName index="3362" name="[FactPayment].[CaseKey].&amp;[8102|00022096]"/>
            <x15:cachedUniqueName index="3363" name="[FactPayment].[CaseKey].&amp;[8102|00022107]"/>
            <x15:cachedUniqueName index="3364" name="[FactPayment].[CaseKey].&amp;[8102|00022116]"/>
            <x15:cachedUniqueName index="3365" name="[FactPayment].[CaseKey].&amp;[8102|00022142]"/>
            <x15:cachedUniqueName index="3366" name="[FactPayment].[CaseKey].&amp;[8102|00022155]"/>
            <x15:cachedUniqueName index="3367" name="[FactPayment].[CaseKey].&amp;[8102|00022160]"/>
            <x15:cachedUniqueName index="3368" name="[FactPayment].[CaseKey].&amp;[8102|00022171]"/>
            <x15:cachedUniqueName index="3369" name="[FactPayment].[CaseKey].&amp;[8102|00022198]"/>
            <x15:cachedUniqueName index="3370" name="[FactPayment].[CaseKey].&amp;[8102|00022215]"/>
            <x15:cachedUniqueName index="3371" name="[FactPayment].[CaseKey].&amp;[8102|00022228]"/>
            <x15:cachedUniqueName index="3372" name="[FactPayment].[CaseKey].&amp;[8102|00022235]"/>
            <x15:cachedUniqueName index="3373" name="[FactPayment].[CaseKey].&amp;[8102|00022277]"/>
            <x15:cachedUniqueName index="3374" name="[FactPayment].[CaseKey].&amp;[8102|00022311]"/>
            <x15:cachedUniqueName index="3375" name="[FactPayment].[CaseKey].&amp;[8102|00022333]"/>
            <x15:cachedUniqueName index="3376" name="[FactPayment].[CaseKey].&amp;[8102|00022348]"/>
            <x15:cachedUniqueName index="3377" name="[FactPayment].[CaseKey].&amp;[8102|00022354]"/>
            <x15:cachedUniqueName index="3378" name="[FactPayment].[CaseKey].&amp;[8102|00022362]"/>
            <x15:cachedUniqueName index="3379" name="[FactPayment].[CaseKey].&amp;[8102|00022386]"/>
            <x15:cachedUniqueName index="3380" name="[FactPayment].[CaseKey].&amp;[8102|00022395]"/>
            <x15:cachedUniqueName index="3381" name="[FactPayment].[CaseKey].&amp;[8102|00022401]"/>
            <x15:cachedUniqueName index="3382" name="[FactPayment].[CaseKey].&amp;[8102|00022416]"/>
            <x15:cachedUniqueName index="3383" name="[FactPayment].[CaseKey].&amp;[8102|00022427]"/>
            <x15:cachedUniqueName index="3384" name="[FactPayment].[CaseKey].&amp;[8102|00022433]"/>
            <x15:cachedUniqueName index="3385" name="[FactPayment].[CaseKey].&amp;[8102|00022444]"/>
            <x15:cachedUniqueName index="3386" name="[FactPayment].[CaseKey].&amp;[8102|00022476]"/>
            <x15:cachedUniqueName index="3387" name="[FactPayment].[CaseKey].&amp;[8102|00022490]"/>
            <x15:cachedUniqueName index="3388" name="[FactPayment].[CaseKey].&amp;[8102|00022513]"/>
            <x15:cachedUniqueName index="3389" name="[FactPayment].[CaseKey].&amp;[8102|00022526]"/>
            <x15:cachedUniqueName index="3390" name="[FactPayment].[CaseKey].&amp;[8102|00022535]"/>
            <x15:cachedUniqueName index="3391" name="[FactPayment].[CaseKey].&amp;[8102|00022550]"/>
            <x15:cachedUniqueName index="3392" name="[FactPayment].[CaseKey].&amp;[8102|00022574]"/>
            <x15:cachedUniqueName index="3393" name="[FactPayment].[CaseKey].&amp;[8102|00022584]"/>
            <x15:cachedUniqueName index="3394" name="[FactPayment].[CaseKey].&amp;[8102|00022606]"/>
            <x15:cachedUniqueName index="3395" name="[FactPayment].[CaseKey].&amp;[8102|00022618]"/>
            <x15:cachedUniqueName index="3396" name="[FactPayment].[CaseKey].&amp;[8102|00022640]"/>
            <x15:cachedUniqueName index="3397" name="[FactPayment].[CaseKey].&amp;[8102|00022654]"/>
            <x15:cachedUniqueName index="3398" name="[FactPayment].[CaseKey].&amp;[8102|00022660]"/>
            <x15:cachedUniqueName index="3399" name="[FactPayment].[CaseKey].&amp;[8102|00022694]"/>
            <x15:cachedUniqueName index="3400" name="[FactPayment].[CaseKey].&amp;[8102|00022707]"/>
            <x15:cachedUniqueName index="3401" name="[FactPayment].[CaseKey].&amp;[8102|00022714]"/>
            <x15:cachedUniqueName index="3402" name="[FactPayment].[CaseKey].&amp;[8102|00022740]"/>
            <x15:cachedUniqueName index="3403" name="[FactPayment].[CaseKey].&amp;[8102|00022763]"/>
            <x15:cachedUniqueName index="3404" name="[FactPayment].[CaseKey].&amp;[8102|00022774]"/>
            <x15:cachedUniqueName index="3405" name="[FactPayment].[CaseKey].&amp;[8102|00022782]"/>
            <x15:cachedUniqueName index="3406" name="[FactPayment].[CaseKey].&amp;[8102|00022808]"/>
            <x15:cachedUniqueName index="3407" name="[FactPayment].[CaseKey].&amp;[8102|00022814]"/>
            <x15:cachedUniqueName index="3408" name="[FactPayment].[CaseKey].&amp;[8102|00022825]"/>
            <x15:cachedUniqueName index="3409" name="[FactPayment].[CaseKey].&amp;[8102|00022832]"/>
            <x15:cachedUniqueName index="3410" name="[FactPayment].[CaseKey].&amp;[8102|00022854]"/>
            <x15:cachedUniqueName index="3411" name="[FactPayment].[CaseKey].&amp;[8102|00022872]"/>
            <x15:cachedUniqueName index="3412" name="[FactPayment].[CaseKey].&amp;[8102|00022893]"/>
            <x15:cachedUniqueName index="3413" name="[FactPayment].[CaseKey].&amp;[8102|00023090]"/>
            <x15:cachedUniqueName index="3414" name="[FactPayment].[CaseKey].&amp;[8102|00023204]"/>
            <x15:cachedUniqueName index="3415" name="[FactPayment].[CaseKey].&amp;[8102|00023346]"/>
            <x15:cachedUniqueName index="3416" name="[FactPayment].[CaseKey].&amp;[8301|00007224]"/>
            <x15:cachedUniqueName index="3417" name="[FactPayment].[CaseKey].&amp;[8301|00007425]"/>
            <x15:cachedUniqueName index="3418" name="[FactPayment].[CaseKey].&amp;[8301|00007444]"/>
            <x15:cachedUniqueName index="3419" name="[FactPayment].[CaseKey].&amp;[8301|00007654]"/>
            <x15:cachedUniqueName index="3420" name="[FactPayment].[CaseKey].&amp;[8301|00007782]"/>
            <x15:cachedUniqueName index="3421" name="[FactPayment].[CaseKey].&amp;[8301|00007888]"/>
            <x15:cachedUniqueName index="3422" name="[FactPayment].[CaseKey].&amp;[8301|00007981]"/>
            <x15:cachedUniqueName index="3423" name="[FactPayment].[CaseKey].&amp;[8301|00008170]"/>
            <x15:cachedUniqueName index="3424" name="[FactPayment].[CaseKey].&amp;[8301|00008383]"/>
            <x15:cachedUniqueName index="3425" name="[FactPayment].[CaseKey].&amp;[8301|00008848]"/>
            <x15:cachedUniqueName index="3426" name="[FactPayment].[CaseKey].&amp;[8301|00008911]"/>
            <x15:cachedUniqueName index="3427" name="[FactPayment].[CaseKey].&amp;[8301|00009114]"/>
            <x15:cachedUniqueName index="3428" name="[FactPayment].[CaseKey].&amp;[8301|00009182]"/>
            <x15:cachedUniqueName index="3429" name="[FactPayment].[CaseKey].&amp;[8301|00009296]"/>
            <x15:cachedUniqueName index="3430" name="[FactPayment].[CaseKey].&amp;[8301|00009304]"/>
            <x15:cachedUniqueName index="3431" name="[FactPayment].[CaseKey].&amp;[8301|00009320]"/>
            <x15:cachedUniqueName index="3432" name="[FactPayment].[CaseKey].&amp;[8301|00009358]"/>
            <x15:cachedUniqueName index="3433" name="[FactPayment].[CaseKey].&amp;[8301|00009365]"/>
            <x15:cachedUniqueName index="3434" name="[FactPayment].[CaseKey].&amp;[8301|00009373]"/>
            <x15:cachedUniqueName index="3435" name="[FactPayment].[CaseKey].&amp;[8301|00009721]"/>
            <x15:cachedUniqueName index="3436" name="[FactPayment].[CaseKey].&amp;[8301|00009731]"/>
            <x15:cachedUniqueName index="3437" name="[FactPayment].[CaseKey].&amp;[8301|00009786]"/>
            <x15:cachedUniqueName index="3438" name="[FactPayment].[CaseKey].&amp;[8301|00009994]"/>
            <x15:cachedUniqueName index="3439" name="[FactPayment].[CaseKey].&amp;[8301|00010153]"/>
            <x15:cachedUniqueName index="3440" name="[FactPayment].[CaseKey].&amp;[8301|00010162]"/>
            <x15:cachedUniqueName index="3441" name="[FactPayment].[CaseKey].&amp;[8301|00010245]"/>
            <x15:cachedUniqueName index="3442" name="[FactPayment].[CaseKey].&amp;[8301|00010263]"/>
            <x15:cachedUniqueName index="3443" name="[FactPayment].[CaseKey].&amp;[8301|00010283]"/>
            <x15:cachedUniqueName index="3444" name="[FactPayment].[CaseKey].&amp;[8301|00010410]"/>
            <x15:cachedUniqueName index="3445" name="[FactPayment].[CaseKey].&amp;[8301|00010453]"/>
            <x15:cachedUniqueName index="3446" name="[FactPayment].[CaseKey].&amp;[8301|00010712]"/>
            <x15:cachedUniqueName index="3447" name="[FactPayment].[CaseKey].&amp;[8301|00010835]"/>
            <x15:cachedUniqueName index="3448" name="[FactPayment].[CaseKey].&amp;[8301|00010841]"/>
            <x15:cachedUniqueName index="3449" name="[FactPayment].[CaseKey].&amp;[8301|00010855]"/>
            <x15:cachedUniqueName index="3450" name="[FactPayment].[CaseKey].&amp;[8301|00010867]"/>
            <x15:cachedUniqueName index="3451" name="[FactPayment].[CaseKey].&amp;[8301|00010878]"/>
            <x15:cachedUniqueName index="3452" name="[FactPayment].[CaseKey].&amp;[8301|00010880]"/>
            <x15:cachedUniqueName index="3453" name="[FactPayment].[CaseKey].&amp;[8301|00010892]"/>
            <x15:cachedUniqueName index="3454" name="[FactPayment].[CaseKey].&amp;[8301|00010907]"/>
            <x15:cachedUniqueName index="3455" name="[FactPayment].[CaseKey].&amp;[8301|00010910]"/>
            <x15:cachedUniqueName index="3456" name="[FactPayment].[CaseKey].&amp;[8301|00010920]"/>
            <x15:cachedUniqueName index="3457" name="[FactPayment].[CaseKey].&amp;[8301|00010934]"/>
            <x15:cachedUniqueName index="3458" name="[FactPayment].[CaseKey].&amp;[8301|00010942]"/>
            <x15:cachedUniqueName index="3459" name="[FactPayment].[CaseKey].&amp;[8301|00010958]"/>
            <x15:cachedUniqueName index="3460" name="[FactPayment].[CaseKey].&amp;[8301|00010971]"/>
            <x15:cachedUniqueName index="3461" name="[FactPayment].[CaseKey].&amp;[8301|00010985]"/>
            <x15:cachedUniqueName index="3462" name="[FactPayment].[CaseKey].&amp;[8301|00010993]"/>
            <x15:cachedUniqueName index="3463" name="[FactPayment].[CaseKey].&amp;[8301|00011000]"/>
            <x15:cachedUniqueName index="3464" name="[FactPayment].[CaseKey].&amp;[8301|00011010]"/>
            <x15:cachedUniqueName index="3465" name="[FactPayment].[CaseKey].&amp;[8301|00011035]"/>
            <x15:cachedUniqueName index="3466" name="[FactPayment].[CaseKey].&amp;[8301|00011046]"/>
            <x15:cachedUniqueName index="3467" name="[FactPayment].[CaseKey].&amp;[8301|00011056]"/>
            <x15:cachedUniqueName index="3468" name="[FactPayment].[CaseKey].&amp;[8301|00011063]"/>
            <x15:cachedUniqueName index="3469" name="[FactPayment].[CaseKey].&amp;[8301|00011078]"/>
            <x15:cachedUniqueName index="3470" name="[FactPayment].[CaseKey].&amp;[8301|00011097]"/>
            <x15:cachedUniqueName index="3471" name="[FactPayment].[CaseKey].&amp;[8301|00011107]"/>
            <x15:cachedUniqueName index="3472" name="[FactPayment].[CaseKey].&amp;[8301|00011118]"/>
            <x15:cachedUniqueName index="3473" name="[FactPayment].[CaseKey].&amp;[8301|00011124]"/>
            <x15:cachedUniqueName index="3474" name="[FactPayment].[CaseKey].&amp;[8301|00011134]"/>
            <x15:cachedUniqueName index="3475" name="[FactPayment].[CaseKey].&amp;[8301|00011144]"/>
            <x15:cachedUniqueName index="3476" name="[FactPayment].[CaseKey].&amp;[8301|00011152]"/>
            <x15:cachedUniqueName index="3477" name="[FactPayment].[CaseKey].&amp;[8301|00011170]"/>
            <x15:cachedUniqueName index="3478" name="[FactPayment].[CaseKey].&amp;[8301|00011180]"/>
            <x15:cachedUniqueName index="3479" name="[FactPayment].[CaseKey].&amp;[8301|00011197]"/>
            <x15:cachedUniqueName index="3480" name="[FactPayment].[CaseKey].&amp;[8301|00011203]"/>
            <x15:cachedUniqueName index="3481" name="[FactPayment].[CaseKey].&amp;[8301|00011227]"/>
            <x15:cachedUniqueName index="3482" name="[FactPayment].[CaseKey].&amp;[8301|00011232]"/>
            <x15:cachedUniqueName index="3483" name="[FactPayment].[CaseKey].&amp;[8301|00011244]"/>
            <x15:cachedUniqueName index="3484" name="[FactPayment].[CaseKey].&amp;[8301|00011302]"/>
            <x15:cachedUniqueName index="3485" name="[FactPayment].[CaseKey].&amp;[8301|00011318]"/>
            <x15:cachedUniqueName index="3486" name="[FactPayment].[CaseKey].&amp;[8301|00011325]"/>
            <x15:cachedUniqueName index="3487" name="[FactPayment].[CaseKey].&amp;[8301|00011336]"/>
            <x15:cachedUniqueName index="3488" name="[FactPayment].[CaseKey].&amp;[8301|00011343]"/>
            <x15:cachedUniqueName index="3489" name="[FactPayment].[CaseKey].&amp;[8301|00011361]"/>
            <x15:cachedUniqueName index="3490" name="[FactPayment].[CaseKey].&amp;[8301|00011388]"/>
            <x15:cachedUniqueName index="3491" name="[FactPayment].[CaseKey].&amp;[8301|00011398]"/>
            <x15:cachedUniqueName index="3492" name="[FactPayment].[CaseKey].&amp;[8301|00011402]"/>
            <x15:cachedUniqueName index="3493" name="[FactPayment].[CaseKey].&amp;[8301|00011415]"/>
            <x15:cachedUniqueName index="3494" name="[FactPayment].[CaseKey].&amp;[8301|00011422]"/>
            <x15:cachedUniqueName index="3495" name="[FactPayment].[CaseKey].&amp;[8301|00011441]"/>
            <x15:cachedUniqueName index="3496" name="[FactPayment].[CaseKey].&amp;[8301|00011453]"/>
            <x15:cachedUniqueName index="3497" name="[FactPayment].[CaseKey].&amp;[8301|00011464]"/>
            <x15:cachedUniqueName index="3498" name="[FactPayment].[CaseKey].&amp;[8301|00011472]"/>
            <x15:cachedUniqueName index="3499" name="[FactPayment].[CaseKey].&amp;[8301|00011482]"/>
            <x15:cachedUniqueName index="3500" name="[FactPayment].[CaseKey].&amp;[8301|00011494]"/>
            <x15:cachedUniqueName index="3501" name="[FactPayment].[CaseKey].&amp;[8301|00011502]"/>
            <x15:cachedUniqueName index="3502" name="[FactPayment].[CaseKey].&amp;[8301|00011512]"/>
            <x15:cachedUniqueName index="3503" name="[FactPayment].[CaseKey].&amp;[8301|00011531]"/>
            <x15:cachedUniqueName index="3504" name="[FactPayment].[CaseKey].&amp;[8301|00011543]"/>
            <x15:cachedUniqueName index="3505" name="[FactPayment].[CaseKey].&amp;[8301|00011550]"/>
            <x15:cachedUniqueName index="3506" name="[FactPayment].[CaseKey].&amp;[8301|00011564]"/>
            <x15:cachedUniqueName index="3507" name="[FactPayment].[CaseKey].&amp;[8301|00011574]"/>
            <x15:cachedUniqueName index="3508" name="[FactPayment].[CaseKey].&amp;[8301|00011581]"/>
            <x15:cachedUniqueName index="3509" name="[FactPayment].[CaseKey].&amp;[8301|00011596]"/>
            <x15:cachedUniqueName index="3510" name="[FactPayment].[CaseKey].&amp;[8301|00011617]"/>
            <x15:cachedUniqueName index="3511" name="[FactPayment].[CaseKey].&amp;[8301|00011638]"/>
            <x15:cachedUniqueName index="3512" name="[FactPayment].[CaseKey].&amp;[8301|00011651]"/>
            <x15:cachedUniqueName index="3513" name="[FactPayment].[CaseKey].&amp;[8301|00011664]"/>
            <x15:cachedUniqueName index="3514" name="[FactPayment].[CaseKey].&amp;[8301|00011681]"/>
            <x15:cachedUniqueName index="3515" name="[FactPayment].[CaseKey].&amp;[8301|00011697]"/>
            <x15:cachedUniqueName index="3516" name="[FactPayment].[CaseKey].&amp;[8301|00011708]"/>
            <x15:cachedUniqueName index="3517" name="[FactPayment].[CaseKey].&amp;[8301|00011715]"/>
            <x15:cachedUniqueName index="3518" name="[FactPayment].[CaseKey].&amp;[8301|00011721]"/>
            <x15:cachedUniqueName index="3519" name="[FactPayment].[CaseKey].&amp;[8301|00011735]"/>
            <x15:cachedUniqueName index="3520" name="[FactPayment].[CaseKey].&amp;[8301|00011741]"/>
            <x15:cachedUniqueName index="3521" name="[FactPayment].[CaseKey].&amp;[8301|00011750]"/>
            <x15:cachedUniqueName index="3522" name="[FactPayment].[CaseKey].&amp;[8301|00011773]"/>
            <x15:cachedUniqueName index="3523" name="[FactPayment].[CaseKey].&amp;[8301|00011785]"/>
            <x15:cachedUniqueName index="3524" name="[FactPayment].[CaseKey].&amp;[8301|00011798]"/>
            <x15:cachedUniqueName index="3525" name="[FactPayment].[CaseKey].&amp;[8301|00011800]"/>
            <x15:cachedUniqueName index="3526" name="[FactPayment].[CaseKey].&amp;[8301|00011812]"/>
            <x15:cachedUniqueName index="3527" name="[FactPayment].[CaseKey].&amp;[8301|00011820]"/>
            <x15:cachedUniqueName index="3528" name="[FactPayment].[CaseKey].&amp;[8301|00011847]"/>
            <x15:cachedUniqueName index="3529" name="[FactPayment].[CaseKey].&amp;[8301|00011854]"/>
            <x15:cachedUniqueName index="3530" name="[FactPayment].[CaseKey].&amp;[8301|00011868]"/>
            <x15:cachedUniqueName index="3531" name="[FactPayment].[CaseKey].&amp;[8301|00011871]"/>
            <x15:cachedUniqueName index="3532" name="[FactPayment].[CaseKey].&amp;[8301|00011884]"/>
            <x15:cachedUniqueName index="3533" name="[FactPayment].[CaseKey].&amp;[8301|00011893]"/>
            <x15:cachedUniqueName index="3534" name="[FactPayment].[CaseKey].&amp;[8301|00011907]"/>
            <x15:cachedUniqueName index="3535" name="[FactPayment].[CaseKey].&amp;[8301|00011912]"/>
            <x15:cachedUniqueName index="3536" name="[FactPayment].[CaseKey].&amp;[8301|00011934]"/>
            <x15:cachedUniqueName index="3537" name="[FactPayment].[CaseKey].&amp;[8301|00011942]"/>
            <x15:cachedUniqueName index="3538" name="[FactPayment].[CaseKey].&amp;[8301|00011964]"/>
            <x15:cachedUniqueName index="3539" name="[FactPayment].[CaseKey].&amp;[8301|00011977]"/>
            <x15:cachedUniqueName index="3540" name="[FactPayment].[CaseKey].&amp;[8301|00011980]"/>
            <x15:cachedUniqueName index="3541" name="[FactPayment].[CaseKey].&amp;[8301|00011994]"/>
            <x15:cachedUniqueName index="3542" name="[FactPayment].[CaseKey].&amp;[8301|00012000]"/>
            <x15:cachedUniqueName index="3543" name="[FactPayment].[CaseKey].&amp;[8301|00012010]"/>
            <x15:cachedUniqueName index="3544" name="[FactPayment].[CaseKey].&amp;[8301|00012020]"/>
            <x15:cachedUniqueName index="3545" name="[FactPayment].[CaseKey].&amp;[8301|00012036]"/>
            <x15:cachedUniqueName index="3546" name="[FactPayment].[CaseKey].&amp;[8301|00012044]"/>
            <x15:cachedUniqueName index="3547" name="[FactPayment].[CaseKey].&amp;[8301|00012057]"/>
            <x15:cachedUniqueName index="3548" name="[FactPayment].[CaseKey].&amp;[8301|00012060]"/>
            <x15:cachedUniqueName index="3549" name="[FactPayment].[CaseKey].&amp;[8301|00012077]"/>
            <x15:cachedUniqueName index="3550" name="[FactPayment].[CaseKey].&amp;[8301|00012088]"/>
            <x15:cachedUniqueName index="3551" name="[FactPayment].[CaseKey].&amp;[8301|00012092]"/>
            <x15:cachedUniqueName index="3552" name="[FactPayment].[CaseKey].&amp;[8301|00012116]"/>
            <x15:cachedUniqueName index="3553" name="[FactPayment].[CaseKey].&amp;[8301|00012128]"/>
            <x15:cachedUniqueName index="3554" name="[FactPayment].[CaseKey].&amp;[8301|00012138]"/>
            <x15:cachedUniqueName index="3555" name="[FactPayment].[CaseKey].&amp;[8301|00012148]"/>
            <x15:cachedUniqueName index="3556" name="[FactPayment].[CaseKey].&amp;[8301|00012157]"/>
            <x15:cachedUniqueName index="3557" name="[FactPayment].[CaseKey].&amp;[8301|00012161]"/>
            <x15:cachedUniqueName index="3558" name="[FactPayment].[CaseKey].&amp;[8301|00012175]"/>
            <x15:cachedUniqueName index="3559" name="[FactPayment].[CaseKey].&amp;[8301|00012184]"/>
            <x15:cachedUniqueName index="3560" name="[FactPayment].[CaseKey].&amp;[8301|00012198]"/>
            <x15:cachedUniqueName index="3561" name="[FactPayment].[CaseKey].&amp;[8301|00012206]"/>
            <x15:cachedUniqueName index="3562" name="[FactPayment].[CaseKey].&amp;[8301|00012213]"/>
            <x15:cachedUniqueName index="3563" name="[FactPayment].[CaseKey].&amp;[8301|00012235]"/>
            <x15:cachedUniqueName index="3564" name="[FactPayment].[CaseKey].&amp;[8301|00012245]"/>
            <x15:cachedUniqueName index="3565" name="[FactPayment].[CaseKey].&amp;[8301|00012253]"/>
            <x15:cachedUniqueName index="3566" name="[FactPayment].[CaseKey].&amp;[8301|00012261]"/>
            <x15:cachedUniqueName index="3567" name="[FactPayment].[CaseKey].&amp;[8301|00012277]"/>
            <x15:cachedUniqueName index="3568" name="[FactPayment].[CaseKey].&amp;[8301|00012284]"/>
            <x15:cachedUniqueName index="3569" name="[FactPayment].[CaseKey].&amp;[8301|00012293]"/>
            <x15:cachedUniqueName index="3570" name="[FactPayment].[CaseKey].&amp;[8301|00012304]"/>
            <x15:cachedUniqueName index="3571" name="[FactPayment].[CaseKey].&amp;[8301|00012310]"/>
            <x15:cachedUniqueName index="3572" name="[FactPayment].[CaseKey].&amp;[8301|00012321]"/>
            <x15:cachedUniqueName index="3573" name="[FactPayment].[CaseKey].&amp;[8301|00012331]"/>
            <x15:cachedUniqueName index="3574" name="[FactPayment].[CaseKey].&amp;[8301|00012343]"/>
            <x15:cachedUniqueName index="3575" name="[FactPayment].[CaseKey].&amp;[8301|00012357]"/>
            <x15:cachedUniqueName index="3576" name="[FactPayment].[CaseKey].&amp;[8301|00012366]"/>
            <x15:cachedUniqueName index="3577" name="[FactPayment].[CaseKey].&amp;[8301|00012375]"/>
            <x15:cachedUniqueName index="3578" name="[FactPayment].[CaseKey].&amp;[8301|00012383]"/>
            <x15:cachedUniqueName index="3579" name="[FactPayment].[CaseKey].&amp;[8301|00012394]"/>
            <x15:cachedUniqueName index="3580" name="[FactPayment].[CaseKey].&amp;[8301|00012403]"/>
            <x15:cachedUniqueName index="3581" name="[FactPayment].[CaseKey].&amp;[8301|00012415]"/>
            <x15:cachedUniqueName index="3582" name="[FactPayment].[CaseKey].&amp;[8301|00012428]"/>
            <x15:cachedUniqueName index="3583" name="[FactPayment].[CaseKey].&amp;[8301|00012437]"/>
            <x15:cachedUniqueName index="3584" name="[FactPayment].[CaseKey].&amp;[8301|00012442]"/>
            <x15:cachedUniqueName index="3585" name="[FactPayment].[CaseKey].&amp;[8301|00012452]"/>
            <x15:cachedUniqueName index="3586" name="[FactPayment].[CaseKey].&amp;[8301|00012472]"/>
            <x15:cachedUniqueName index="3587" name="[FactPayment].[CaseKey].&amp;[8301|00012486]"/>
            <x15:cachedUniqueName index="3588" name="[FactPayment].[CaseKey].&amp;[8301|00012496]"/>
            <x15:cachedUniqueName index="3589" name="[FactPayment].[CaseKey].&amp;[8301|00012503]"/>
            <x15:cachedUniqueName index="3590" name="[FactPayment].[CaseKey].&amp;[8301|00012521]"/>
            <x15:cachedUniqueName index="3591" name="[FactPayment].[CaseKey].&amp;[8301|00012535]"/>
            <x15:cachedUniqueName index="3592" name="[FactPayment].[CaseKey].&amp;[8301|00012547]"/>
            <x15:cachedUniqueName index="3593" name="[FactPayment].[CaseKey].&amp;[8301|00012557]"/>
            <x15:cachedUniqueName index="3594" name="[FactPayment].[CaseKey].&amp;[8301|00012563]"/>
            <x15:cachedUniqueName index="3595" name="[FactPayment].[CaseKey].&amp;[8301|00012576]"/>
            <x15:cachedUniqueName index="3596" name="[FactPayment].[CaseKey].&amp;[8301|00012583]"/>
            <x15:cachedUniqueName index="3597" name="[FactPayment].[CaseKey].&amp;[8301|00012590]"/>
            <x15:cachedUniqueName index="3598" name="[FactPayment].[CaseKey].&amp;[8301|00012601]"/>
            <x15:cachedUniqueName index="3599" name="[FactPayment].[CaseKey].&amp;[8301|00012612]"/>
            <x15:cachedUniqueName index="3600" name="[FactPayment].[CaseKey].&amp;[8301|00012624]"/>
            <x15:cachedUniqueName index="3601" name="[FactPayment].[CaseKey].&amp;[8301|00012631]"/>
            <x15:cachedUniqueName index="3602" name="[FactPayment].[CaseKey].&amp;[8301|00012642]"/>
            <x15:cachedUniqueName index="3603" name="[FactPayment].[CaseKey].&amp;[8301|00012651]"/>
            <x15:cachedUniqueName index="3604" name="[FactPayment].[CaseKey].&amp;[8301|00012663]"/>
            <x15:cachedUniqueName index="3605" name="[FactPayment].[CaseKey].&amp;[8301|00012674]"/>
            <x15:cachedUniqueName index="3606" name="[FactPayment].[CaseKey].&amp;[8301|00012688]"/>
            <x15:cachedUniqueName index="3607" name="[FactPayment].[CaseKey].&amp;[8301|00012694]"/>
            <x15:cachedUniqueName index="3608" name="[FactPayment].[CaseKey].&amp;[8301|00012706]"/>
            <x15:cachedUniqueName index="3609" name="[FactPayment].[CaseKey].&amp;[8301|00012713]"/>
            <x15:cachedUniqueName index="3610" name="[FactPayment].[CaseKey].&amp;[8301|00012725]"/>
            <x15:cachedUniqueName index="3611" name="[FactPayment].[CaseKey].&amp;[8301|00012731]"/>
            <x15:cachedUniqueName index="3612" name="[FactPayment].[CaseKey].&amp;[8301|00012740]"/>
            <x15:cachedUniqueName index="3613" name="[FactPayment].[CaseKey].&amp;[8301|00012754]"/>
            <x15:cachedUniqueName index="3614" name="[FactPayment].[CaseKey].&amp;[8301|00012761]"/>
            <x15:cachedUniqueName index="3615" name="[FactPayment].[CaseKey].&amp;[8301|00012776]"/>
            <x15:cachedUniqueName index="3616" name="[FactPayment].[CaseKey].&amp;[8301|00012787]"/>
            <x15:cachedUniqueName index="3617" name="[FactPayment].[CaseKey].&amp;[8301|00012791]"/>
            <x15:cachedUniqueName index="3618" name="[FactPayment].[CaseKey].&amp;[8301|00012805]"/>
            <x15:cachedUniqueName index="3619" name="[FactPayment].[CaseKey].&amp;[8301|00012811]"/>
            <x15:cachedUniqueName index="3620" name="[FactPayment].[CaseKey].&amp;[8301|00012826]"/>
            <x15:cachedUniqueName index="3621" name="[FactPayment].[CaseKey].&amp;[8301|00012830]"/>
            <x15:cachedUniqueName index="3622" name="[FactPayment].[CaseKey].&amp;[8301|00012841]"/>
            <x15:cachedUniqueName index="3623" name="[FactPayment].[CaseKey].&amp;[8301|00012851]"/>
            <x15:cachedUniqueName index="3624" name="[FactPayment].[CaseKey].&amp;[8301|00012862]"/>
            <x15:cachedUniqueName index="3625" name="[FactPayment].[CaseKey].&amp;[8301|00012872]"/>
            <x15:cachedUniqueName index="3626" name="[FactPayment].[CaseKey].&amp;[8301|00012883]"/>
            <x15:cachedUniqueName index="3627" name="[FactPayment].[CaseKey].&amp;[8301|00012897]"/>
            <x15:cachedUniqueName index="3628" name="[FactPayment].[CaseKey].&amp;[8301|00012903]"/>
            <x15:cachedUniqueName index="3629" name="[FactPayment].[CaseKey].&amp;[8301|00012910]"/>
            <x15:cachedUniqueName index="3630" name="[FactPayment].[CaseKey].&amp;[8301|00012920]"/>
            <x15:cachedUniqueName index="3631" name="[FactPayment].[CaseKey].&amp;[8301|00012938]"/>
            <x15:cachedUniqueName index="3632" name="[FactPayment].[CaseKey].&amp;[8301|00012948]"/>
            <x15:cachedUniqueName index="3633" name="[FactPayment].[CaseKey].&amp;[8301|00012956]"/>
            <x15:cachedUniqueName index="3634" name="[FactPayment].[CaseKey].&amp;[8301|00012964]"/>
            <x15:cachedUniqueName index="3635" name="[FactPayment].[CaseKey].&amp;[8301|00012972]"/>
            <x15:cachedUniqueName index="3636" name="[FactPayment].[CaseKey].&amp;[8301|00012982]"/>
            <x15:cachedUniqueName index="3637" name="[FactPayment].[CaseKey].&amp;[8301|00012998]"/>
            <x15:cachedUniqueName index="3638" name="[FactPayment].[CaseKey].&amp;[8301|00013008]"/>
            <x15:cachedUniqueName index="3639" name="[FactPayment].[CaseKey].&amp;[8301|00013013]"/>
            <x15:cachedUniqueName index="3640" name="[FactPayment].[CaseKey].&amp;[8301|00013028]"/>
            <x15:cachedUniqueName index="3641" name="[FactPayment].[CaseKey].&amp;[8301|00013033]"/>
            <x15:cachedUniqueName index="3642" name="[FactPayment].[CaseKey].&amp;[8301|00013040]"/>
            <x15:cachedUniqueName index="3643" name="[FactPayment].[CaseKey].&amp;[8301|00013050]"/>
            <x15:cachedUniqueName index="3644" name="[FactPayment].[CaseKey].&amp;[8301|00013063]"/>
            <x15:cachedUniqueName index="3645" name="[FactPayment].[CaseKey].&amp;[8301|00013077]"/>
            <x15:cachedUniqueName index="3646" name="[FactPayment].[CaseKey].&amp;[8301|00013082]"/>
            <x15:cachedUniqueName index="3647" name="[FactPayment].[CaseKey].&amp;[8301|00013094]"/>
            <x15:cachedUniqueName index="3648" name="[FactPayment].[CaseKey].&amp;[8301|00013106]"/>
            <x15:cachedUniqueName index="3649" name="[FactPayment].[CaseKey].&amp;[8301|00013116]"/>
            <x15:cachedUniqueName index="3650" name="[FactPayment].[CaseKey].&amp;[8301|00013126]"/>
            <x15:cachedUniqueName index="3651" name="[FactPayment].[CaseKey].&amp;[8301|00013131]"/>
            <x15:cachedUniqueName index="3652" name="[FactPayment].[CaseKey].&amp;[8301|00013146]"/>
            <x15:cachedUniqueName index="3653" name="[FactPayment].[CaseKey].&amp;[8301|00013151]"/>
            <x15:cachedUniqueName index="3654" name="[FactPayment].[CaseKey].&amp;[8301|00013164]"/>
            <x15:cachedUniqueName index="3655" name="[FactPayment].[CaseKey].&amp;[8301|00013177]"/>
            <x15:cachedUniqueName index="3656" name="[FactPayment].[CaseKey].&amp;[8301|00013185]"/>
            <x15:cachedUniqueName index="3657" name="[FactPayment].[CaseKey].&amp;[8301|00013196]"/>
            <x15:cachedUniqueName index="3658" name="[FactPayment].[CaseKey].&amp;[8301|00013204]"/>
            <x15:cachedUniqueName index="3659" name="[FactPayment].[CaseKey].&amp;[8301|00013217]"/>
            <x15:cachedUniqueName index="3660" name="[FactPayment].[CaseKey].&amp;[8301|00013223]"/>
            <x15:cachedUniqueName index="3661" name="[FactPayment].[CaseKey].&amp;[8301|00013237]"/>
            <x15:cachedUniqueName index="3662" name="[FactPayment].[CaseKey].&amp;[8301|00013246]"/>
            <x15:cachedUniqueName index="3663" name="[FactPayment].[CaseKey].&amp;[8301|00013258]"/>
            <x15:cachedUniqueName index="3664" name="[FactPayment].[CaseKey].&amp;[8301|00013266]"/>
            <x15:cachedUniqueName index="3665" name="[FactPayment].[CaseKey].&amp;[8301|00013288]"/>
            <x15:cachedUniqueName index="3666" name="[FactPayment].[CaseKey].&amp;[8301|00013290]"/>
            <x15:cachedUniqueName index="3667" name="[FactPayment].[CaseKey].&amp;[8301|00013301]"/>
            <x15:cachedUniqueName index="3668" name="[FactPayment].[CaseKey].&amp;[8301|00013311]"/>
            <x15:cachedUniqueName index="3669" name="[FactPayment].[CaseKey].&amp;[8301|00013320]"/>
            <x15:cachedUniqueName index="3670" name="[FactPayment].[CaseKey].&amp;[8301|00013337]"/>
            <x15:cachedUniqueName index="3671" name="[FactPayment].[CaseKey].&amp;[8301|00013345]"/>
            <x15:cachedUniqueName index="3672" name="[FactPayment].[CaseKey].&amp;[8301|00013354]"/>
            <x15:cachedUniqueName index="3673" name="[FactPayment].[CaseKey].&amp;[8301|00013362]"/>
            <x15:cachedUniqueName index="3674" name="[FactPayment].[CaseKey].&amp;[8301|00013378]"/>
            <x15:cachedUniqueName index="3675" name="[FactPayment].[CaseKey].&amp;[8301|00013388]"/>
            <x15:cachedUniqueName index="3676" name="[FactPayment].[CaseKey].&amp;[8301|00013396]"/>
            <x15:cachedUniqueName index="3677" name="[FactPayment].[CaseKey].&amp;[8301|00013406]"/>
            <x15:cachedUniqueName index="3678" name="[FactPayment].[CaseKey].&amp;[8301|00013410]"/>
            <x15:cachedUniqueName index="3679" name="[FactPayment].[CaseKey].&amp;[8301|00013425]"/>
            <x15:cachedUniqueName index="3680" name="[FactPayment].[CaseKey].&amp;[8301|00013438]"/>
            <x15:cachedUniqueName index="3681" name="[FactPayment].[CaseKey].&amp;[8301|00013443]"/>
            <x15:cachedUniqueName index="3682" name="[FactPayment].[CaseKey].&amp;[8301|00013450]"/>
            <x15:cachedUniqueName index="3683" name="[FactPayment].[CaseKey].&amp;[8301|00013466]"/>
            <x15:cachedUniqueName index="3684" name="[FactPayment].[CaseKey].&amp;[8301|00013470]"/>
            <x15:cachedUniqueName index="3685" name="[FactPayment].[CaseKey].&amp;[8301|00013485]"/>
            <x15:cachedUniqueName index="3686" name="[FactPayment].[CaseKey].&amp;[8301|00013498]"/>
            <x15:cachedUniqueName index="3687" name="[FactPayment].[CaseKey].&amp;[8301|00013503]"/>
            <x15:cachedUniqueName index="3688" name="[FactPayment].[CaseKey].&amp;[8301|00013516]"/>
            <x15:cachedUniqueName index="3689" name="[FactPayment].[CaseKey].&amp;[8301|00013525]"/>
            <x15:cachedUniqueName index="3690" name="[FactPayment].[CaseKey].&amp;[8301|00013530]"/>
            <x15:cachedUniqueName index="3691" name="[FactPayment].[CaseKey].&amp;[8301|00013545]"/>
            <x15:cachedUniqueName index="3692" name="[FactPayment].[CaseKey].&amp;[8301|00013557]"/>
            <x15:cachedUniqueName index="3693" name="[FactPayment].[CaseKey].&amp;[8301|00013563]"/>
            <x15:cachedUniqueName index="3694" name="[FactPayment].[CaseKey].&amp;[8301|00013577]"/>
            <x15:cachedUniqueName index="3695" name="[FactPayment].[CaseKey].&amp;[8301|00013583]"/>
            <x15:cachedUniqueName index="3696" name="[FactPayment].[CaseKey].&amp;[8301|00013594]"/>
            <x15:cachedUniqueName index="3697" name="[FactPayment].[CaseKey].&amp;[8301|00013606]"/>
            <x15:cachedUniqueName index="3698" name="[FactPayment].[CaseKey].&amp;[8301|00013622]"/>
            <x15:cachedUniqueName index="3699" name="[FactPayment].[CaseKey].&amp;[8301|00013632]"/>
            <x15:cachedUniqueName index="3700" name="[FactPayment].[CaseKey].&amp;[8301|00013643]"/>
            <x15:cachedUniqueName index="3701" name="[FactPayment].[CaseKey].&amp;[8301|00013651]"/>
            <x15:cachedUniqueName index="3702" name="[FactPayment].[CaseKey].&amp;[8301|00013668]"/>
            <x15:cachedUniqueName index="3703" name="[FactPayment].[CaseKey].&amp;[8301|00013676]"/>
            <x15:cachedUniqueName index="3704" name="[FactPayment].[CaseKey].&amp;[8301|00013684]"/>
            <x15:cachedUniqueName index="3705" name="[FactPayment].[CaseKey].&amp;[8301|00013694]"/>
            <x15:cachedUniqueName index="3706" name="[FactPayment].[CaseKey].&amp;[8301|00013706]"/>
            <x15:cachedUniqueName index="3707" name="[FactPayment].[CaseKey].&amp;[8301|00013715]"/>
            <x15:cachedUniqueName index="3708" name="[FactPayment].[CaseKey].&amp;[8301|00013727]"/>
            <x15:cachedUniqueName index="3709" name="[FactPayment].[CaseKey].&amp;[8301|00013733]"/>
            <x15:cachedUniqueName index="3710" name="[FactPayment].[CaseKey].&amp;[8301|00013745]"/>
            <x15:cachedUniqueName index="3711" name="[FactPayment].[CaseKey].&amp;[8301|00013751]"/>
            <x15:cachedUniqueName index="3712" name="[FactPayment].[CaseKey].&amp;[8301|00013763]"/>
            <x15:cachedUniqueName index="3713" name="[FactPayment].[CaseKey].&amp;[8301|00013770]"/>
            <x15:cachedUniqueName index="3714" name="[FactPayment].[CaseKey].&amp;[8301|00013780]"/>
            <x15:cachedUniqueName index="3715" name="[FactPayment].[CaseKey].&amp;[8301|00013790]"/>
            <x15:cachedUniqueName index="3716" name="[FactPayment].[CaseKey].&amp;[8301|00013805]"/>
            <x15:cachedUniqueName index="3717" name="[FactPayment].[CaseKey].&amp;[8301|00013813]"/>
            <x15:cachedUniqueName index="3718" name="[FactPayment].[CaseKey].&amp;[8301|00013822]"/>
            <x15:cachedUniqueName index="3719" name="[FactPayment].[CaseKey].&amp;[8301|00013831]"/>
            <x15:cachedUniqueName index="3720" name="[FactPayment].[CaseKey].&amp;[8301|00013840]"/>
            <x15:cachedUniqueName index="3721" name="[FactPayment].[CaseKey].&amp;[8301|00013851]"/>
            <x15:cachedUniqueName index="3722" name="[FactPayment].[CaseKey].&amp;[8301|00013865]"/>
            <x15:cachedUniqueName index="3723" name="[FactPayment].[CaseKey].&amp;[8301|00013872]"/>
            <x15:cachedUniqueName index="3724" name="[FactPayment].[CaseKey].&amp;[8301|00013880]"/>
            <x15:cachedUniqueName index="3725" name="[FactPayment].[CaseKey].&amp;[8301|00013897]"/>
            <x15:cachedUniqueName index="3726" name="[FactPayment].[CaseKey].&amp;[8301|00013905]"/>
            <x15:cachedUniqueName index="3727" name="[FactPayment].[CaseKey].&amp;[8301|00013914]"/>
            <x15:cachedUniqueName index="3728" name="[FactPayment].[CaseKey].&amp;[8301|00013938]"/>
            <x15:cachedUniqueName index="3729" name="[FactPayment].[CaseKey].&amp;[8301|00013948]"/>
            <x15:cachedUniqueName index="3730" name="[FactPayment].[CaseKey].&amp;[8301|00013958]"/>
            <x15:cachedUniqueName index="3731" name="[FactPayment].[CaseKey].&amp;[8301|00013962]"/>
            <x15:cachedUniqueName index="3732" name="[FactPayment].[CaseKey].&amp;[8301|00013976]"/>
            <x15:cachedUniqueName index="3733" name="[FactPayment].[CaseKey].&amp;[8301|00013994]"/>
            <x15:cachedUniqueName index="3734" name="[FactPayment].[CaseKey].&amp;[8301|00014001]"/>
            <x15:cachedUniqueName index="3735" name="[FactPayment].[CaseKey].&amp;[8301|00014013]"/>
            <x15:cachedUniqueName index="3736" name="[FactPayment].[CaseKey].&amp;[8301|00014022]"/>
            <x15:cachedUniqueName index="3737" name="[FactPayment].[CaseKey].&amp;[8301|00014044]"/>
            <x15:cachedUniqueName index="3738" name="[FactPayment].[CaseKey].&amp;[8301|00014055]"/>
            <x15:cachedUniqueName index="3739" name="[FactPayment].[CaseKey].&amp;[8301|00014060]"/>
            <x15:cachedUniqueName index="3740" name="[FactPayment].[CaseKey].&amp;[8301|00014077]"/>
            <x15:cachedUniqueName index="3741" name="[FactPayment].[CaseKey].&amp;[8301|00014085]"/>
            <x15:cachedUniqueName index="3742" name="[FactPayment].[CaseKey].&amp;[8301|00014095]"/>
            <x15:cachedUniqueName index="3743" name="[FactPayment].[CaseKey].&amp;[8301|00014105]"/>
            <x15:cachedUniqueName index="3744" name="[FactPayment].[CaseKey].&amp;[8301|00014121]"/>
            <x15:cachedUniqueName index="3745" name="[FactPayment].[CaseKey].&amp;[8301|00014136]"/>
            <x15:cachedUniqueName index="3746" name="[FactPayment].[CaseKey].&amp;[8301|00014144]"/>
            <x15:cachedUniqueName index="3747" name="[FactPayment].[CaseKey].&amp;[8301|00014153]"/>
            <x15:cachedUniqueName index="3748" name="[FactPayment].[CaseKey].&amp;[8301|00014168]"/>
            <x15:cachedUniqueName index="3749" name="[FactPayment].[CaseKey].&amp;[8301|00014176]"/>
            <x15:cachedUniqueName index="3750" name="[FactPayment].[CaseKey].&amp;[8301|00014188]"/>
            <x15:cachedUniqueName index="3751" name="[FactPayment].[CaseKey].&amp;[8301|00014198]"/>
            <x15:cachedUniqueName index="3752" name="[FactPayment].[CaseKey].&amp;[8301|00014201]"/>
            <x15:cachedUniqueName index="3753" name="[FactPayment].[CaseKey].&amp;[8301|00014214]"/>
            <x15:cachedUniqueName index="3754" name="[FactPayment].[CaseKey].&amp;[8301|00014220]"/>
            <x15:cachedUniqueName index="3755" name="[FactPayment].[CaseKey].&amp;[8301|00014236]"/>
            <x15:cachedUniqueName index="3756" name="[FactPayment].[CaseKey].&amp;[8301|00014242]"/>
            <x15:cachedUniqueName index="3757" name="[FactPayment].[CaseKey].&amp;[8301|00014256]"/>
            <x15:cachedUniqueName index="3758" name="[FactPayment].[CaseKey].&amp;[8301|00014263]"/>
            <x15:cachedUniqueName index="3759" name="[FactPayment].[CaseKey].&amp;[8301|00014275]"/>
            <x15:cachedUniqueName index="3760" name="[FactPayment].[CaseKey].&amp;[8301|00014283]"/>
            <x15:cachedUniqueName index="3761" name="[FactPayment].[CaseKey].&amp;[8301|00014291]"/>
            <x15:cachedUniqueName index="3762" name="[FactPayment].[CaseKey].&amp;[8301|00014308]"/>
            <x15:cachedUniqueName index="3763" name="[FactPayment].[CaseKey].&amp;[8301|00014312]"/>
            <x15:cachedUniqueName index="3764" name="[FactPayment].[CaseKey].&amp;[8301|00014326]"/>
            <x15:cachedUniqueName index="3765" name="[FactPayment].[CaseKey].&amp;[8301|00014333]"/>
            <x15:cachedUniqueName index="3766" name="[FactPayment].[CaseKey].&amp;[8301|00014344]"/>
            <x15:cachedUniqueName index="3767" name="[FactPayment].[CaseKey].&amp;[8301|00014352]"/>
            <x15:cachedUniqueName index="3768" name="[FactPayment].[CaseKey].&amp;[8301|00014365]"/>
            <x15:cachedUniqueName index="3769" name="[FactPayment].[CaseKey].&amp;[8301|00014375]"/>
            <x15:cachedUniqueName index="3770" name="[FactPayment].[CaseKey].&amp;[8301|00014384]"/>
            <x15:cachedUniqueName index="3771" name="[FactPayment].[CaseKey].&amp;[8301|00014397]"/>
            <x15:cachedUniqueName index="3772" name="[FactPayment].[CaseKey].&amp;[8301|00014407]"/>
            <x15:cachedUniqueName index="3773" name="[FactPayment].[CaseKey].&amp;[8301|00014410]"/>
            <x15:cachedUniqueName index="3774" name="[FactPayment].[CaseKey].&amp;[8301|00014426]"/>
            <x15:cachedUniqueName index="3775" name="[FactPayment].[CaseKey].&amp;[8301|00014431]"/>
            <x15:cachedUniqueName index="3776" name="[FactPayment].[CaseKey].&amp;[8301|00014444]"/>
            <x15:cachedUniqueName index="3777" name="[FactPayment].[CaseKey].&amp;[8301|00014451]"/>
            <x15:cachedUniqueName index="3778" name="[FactPayment].[CaseKey].&amp;[8301|00014460]"/>
            <x15:cachedUniqueName index="3779" name="[FactPayment].[CaseKey].&amp;[8301|00014478]"/>
            <x15:cachedUniqueName index="3780" name="[FactPayment].[CaseKey].&amp;[8301|00014482]"/>
            <x15:cachedUniqueName index="3781" name="[FactPayment].[CaseKey].&amp;[8301|00014492]"/>
            <x15:cachedUniqueName index="3782" name="[FactPayment].[CaseKey].&amp;[8301|00014508]"/>
            <x15:cachedUniqueName index="3783" name="[FactPayment].[CaseKey].&amp;[8301|00014515]"/>
            <x15:cachedUniqueName index="3784" name="[FactPayment].[CaseKey].&amp;[8301|00014528]"/>
            <x15:cachedUniqueName index="3785" name="[FactPayment].[CaseKey].&amp;[8301|00014530]"/>
            <x15:cachedUniqueName index="3786" name="[FactPayment].[CaseKey].&amp;[8301|00014545]"/>
            <x15:cachedUniqueName index="3787" name="[FactPayment].[CaseKey].&amp;[8301|00014557]"/>
            <x15:cachedUniqueName index="3788" name="[FactPayment].[CaseKey].&amp;[8301|00014563]"/>
            <x15:cachedUniqueName index="3789" name="[FactPayment].[CaseKey].&amp;[8301|00014577]"/>
            <x15:cachedUniqueName index="3790" name="[FactPayment].[CaseKey].&amp;[8301|00014586]"/>
            <x15:cachedUniqueName index="3791" name="[FactPayment].[CaseKey].&amp;[8301|00014598]"/>
            <x15:cachedUniqueName index="3792" name="[FactPayment].[CaseKey].&amp;[8301|00014604]"/>
            <x15:cachedUniqueName index="3793" name="[FactPayment].[CaseKey].&amp;[8301|00014625]"/>
            <x15:cachedUniqueName index="3794" name="[FactPayment].[CaseKey].&amp;[8301|00014636]"/>
            <x15:cachedUniqueName index="3795" name="[FactPayment].[CaseKey].&amp;[8301|00014648]"/>
            <x15:cachedUniqueName index="3796" name="[FactPayment].[CaseKey].&amp;[8301|00014658]"/>
            <x15:cachedUniqueName index="3797" name="[FactPayment].[CaseKey].&amp;[8301|00014665]"/>
            <x15:cachedUniqueName index="3798" name="[FactPayment].[CaseKey].&amp;[8301|00014670]"/>
            <x15:cachedUniqueName index="3799" name="[FactPayment].[CaseKey].&amp;[8301|00014683]"/>
            <x15:cachedUniqueName index="3800" name="[FactPayment].[CaseKey].&amp;[8301|00014692]"/>
            <x15:cachedUniqueName index="3801" name="[FactPayment].[CaseKey].&amp;[8301|00014700]"/>
            <x15:cachedUniqueName index="3802" name="[FactPayment].[CaseKey].&amp;[8301|00014713]"/>
            <x15:cachedUniqueName index="3803" name="[FactPayment].[CaseKey].&amp;[8301|00014732]"/>
            <x15:cachedUniqueName index="3804" name="[FactPayment].[CaseKey].&amp;[8301|00014740]"/>
            <x15:cachedUniqueName index="3805" name="[FactPayment].[CaseKey].&amp;[8301|00014754]"/>
            <x15:cachedUniqueName index="3806" name="[FactPayment].[CaseKey].&amp;[8301|00014766]"/>
            <x15:cachedUniqueName index="3807" name="[FactPayment].[CaseKey].&amp;[8301|00014775]"/>
            <x15:cachedUniqueName index="3808" name="[FactPayment].[CaseKey].&amp;[8301|00014783]"/>
            <x15:cachedUniqueName index="3809" name="[FactPayment].[CaseKey].&amp;[8301|00014791]"/>
            <x15:cachedUniqueName index="3810" name="[FactPayment].[CaseKey].&amp;[8301|00014804]"/>
            <x15:cachedUniqueName index="3811" name="[FactPayment].[CaseKey].&amp;[8301|00014815]"/>
            <x15:cachedUniqueName index="3812" name="[FactPayment].[CaseKey].&amp;[8301|00014821]"/>
            <x15:cachedUniqueName index="3813" name="[FactPayment].[CaseKey].&amp;[8301|00014831]"/>
            <x15:cachedUniqueName index="3814" name="[FactPayment].[CaseKey].&amp;[8301|00014848]"/>
            <x15:cachedUniqueName index="3815" name="[FactPayment].[CaseKey].&amp;[8301|00014865]"/>
            <x15:cachedUniqueName index="3816" name="[FactPayment].[CaseKey].&amp;[8301|00014873]"/>
            <x15:cachedUniqueName index="3817" name="[FactPayment].[CaseKey].&amp;[8301|00014882]"/>
            <x15:cachedUniqueName index="3818" name="[FactPayment].[CaseKey].&amp;[8301|00014890]"/>
            <x15:cachedUniqueName index="3819" name="[FactPayment].[CaseKey].&amp;[8301|00014908]"/>
            <x15:cachedUniqueName index="3820" name="[FactPayment].[CaseKey].&amp;[8301|00014912]"/>
            <x15:cachedUniqueName index="3821" name="[FactPayment].[CaseKey].&amp;[8301|00014928]"/>
            <x15:cachedUniqueName index="3822" name="[FactPayment].[CaseKey].&amp;[8301|00014947]"/>
            <x15:cachedUniqueName index="3823" name="[FactPayment].[CaseKey].&amp;[8301|00014956]"/>
            <x15:cachedUniqueName index="3824" name="[FactPayment].[CaseKey].&amp;[8301|00014967]"/>
            <x15:cachedUniqueName index="3825" name="[FactPayment].[CaseKey].&amp;[8301|00014974]"/>
            <x15:cachedUniqueName index="3826" name="[FactPayment].[CaseKey].&amp;[8301|00014982]"/>
            <x15:cachedUniqueName index="3827" name="[FactPayment].[CaseKey].&amp;[8301|00014997]"/>
            <x15:cachedUniqueName index="3828" name="[FactPayment].[CaseKey].&amp;[8301|00015000]"/>
            <x15:cachedUniqueName index="3829" name="[FactPayment].[CaseKey].&amp;[8301|00015011]"/>
            <x15:cachedUniqueName index="3830" name="[FactPayment].[CaseKey].&amp;[8301|00015024]"/>
            <x15:cachedUniqueName index="3831" name="[FactPayment].[CaseKey].&amp;[8301|00015037]"/>
            <x15:cachedUniqueName index="3832" name="[FactPayment].[CaseKey].&amp;[8301|00015040]"/>
            <x15:cachedUniqueName index="3833" name="[FactPayment].[CaseKey].&amp;[8301|00015052]"/>
            <x15:cachedUniqueName index="3834" name="[FactPayment].[CaseKey].&amp;[8301|00015068]"/>
            <x15:cachedUniqueName index="3835" name="[FactPayment].[CaseKey].&amp;[8301|00015085]"/>
            <x15:cachedUniqueName index="3836" name="[FactPayment].[CaseKey].&amp;[8301|00015095]"/>
            <x15:cachedUniqueName index="3837" name="[FactPayment].[CaseKey].&amp;[8301|00015108]"/>
            <x15:cachedUniqueName index="3838" name="[FactPayment].[CaseKey].&amp;[8301|00015118]"/>
            <x15:cachedUniqueName index="3839" name="[FactPayment].[CaseKey].&amp;[8301|00015123]"/>
            <x15:cachedUniqueName index="3840" name="[FactPayment].[CaseKey].&amp;[8301|00015133]"/>
            <x15:cachedUniqueName index="3841" name="[FactPayment].[CaseKey].&amp;[8301|00015147]"/>
            <x15:cachedUniqueName index="3842" name="[FactPayment].[CaseKey].&amp;[8301|00015151]"/>
            <x15:cachedUniqueName index="3843" name="[FactPayment].[CaseKey].&amp;[8301|00015164]"/>
            <x15:cachedUniqueName index="3844" name="[FactPayment].[CaseKey].&amp;[8301|00015175]"/>
            <x15:cachedUniqueName index="3845" name="[FactPayment].[CaseKey].&amp;[8301|00015181]"/>
            <x15:cachedUniqueName index="3846" name="[FactPayment].[CaseKey].&amp;[8301|00015198]"/>
            <x15:cachedUniqueName index="3847" name="[FactPayment].[CaseKey].&amp;[8301|00015201]"/>
            <x15:cachedUniqueName index="3848" name="[FactPayment].[CaseKey].&amp;[8301|00015216]"/>
            <x15:cachedUniqueName index="3849" name="[FactPayment].[CaseKey].&amp;[8301|00015225]"/>
            <x15:cachedUniqueName index="3850" name="[FactPayment].[CaseKey].&amp;[8301|00015230]"/>
            <x15:cachedUniqueName index="3851" name="[FactPayment].[CaseKey].&amp;[8301|00015241]"/>
            <x15:cachedUniqueName index="3852" name="[FactPayment].[CaseKey].&amp;[8301|00015251]"/>
            <x15:cachedUniqueName index="3853" name="[FactPayment].[CaseKey].&amp;[8301|00015264]"/>
            <x15:cachedUniqueName index="3854" name="[FactPayment].[CaseKey].&amp;[8301|00015273]"/>
            <x15:cachedUniqueName index="3855" name="[FactPayment].[CaseKey].&amp;[8301|00015281]"/>
            <x15:cachedUniqueName index="3856" name="[FactPayment].[CaseKey].&amp;[8301|00015293]"/>
            <x15:cachedUniqueName index="3857" name="[FactPayment].[CaseKey].&amp;[8301|00015304]"/>
            <x15:cachedUniqueName index="3858" name="[FactPayment].[CaseKey].&amp;[8301|00015314]"/>
            <x15:cachedUniqueName index="3859" name="[FactPayment].[CaseKey].&amp;[8301|00015335]"/>
            <x15:cachedUniqueName index="3860" name="[FactPayment].[CaseKey].&amp;[8301|00015341]"/>
            <x15:cachedUniqueName index="3861" name="[FactPayment].[CaseKey].&amp;[8301|00015350]"/>
            <x15:cachedUniqueName index="3862" name="[FactPayment].[CaseKey].&amp;[8301|00015363]"/>
            <x15:cachedUniqueName index="3863" name="[FactPayment].[CaseKey].&amp;[8301|00015377]"/>
            <x15:cachedUniqueName index="3864" name="[FactPayment].[CaseKey].&amp;[8301|00015388]"/>
            <x15:cachedUniqueName index="3865" name="[FactPayment].[CaseKey].&amp;[8301|00015392]"/>
            <x15:cachedUniqueName index="3866" name="[FactPayment].[CaseKey].&amp;[8301|00015408]"/>
            <x15:cachedUniqueName index="3867" name="[FactPayment].[CaseKey].&amp;[8301|00015418]"/>
            <x15:cachedUniqueName index="3868" name="[FactPayment].[CaseKey].&amp;[8301|00015421]"/>
            <x15:cachedUniqueName index="3869" name="[FactPayment].[CaseKey].&amp;[8301|00015430]"/>
            <x15:cachedUniqueName index="3870" name="[FactPayment].[CaseKey].&amp;[8301|00015445]"/>
            <x15:cachedUniqueName index="3871" name="[FactPayment].[CaseKey].&amp;[8301|00015450]"/>
            <x15:cachedUniqueName index="3872" name="[FactPayment].[CaseKey].&amp;[8301|00015463]"/>
            <x15:cachedUniqueName index="3873" name="[FactPayment].[CaseKey].&amp;[8301|00015476]"/>
            <x15:cachedUniqueName index="3874" name="[FactPayment].[CaseKey].&amp;[8301|00015488]"/>
            <x15:cachedUniqueName index="3875" name="[FactPayment].[CaseKey].&amp;[8301|00015494]"/>
            <x15:cachedUniqueName index="3876" name="[FactPayment].[CaseKey].&amp;[8301|00015503]"/>
            <x15:cachedUniqueName index="3877" name="[FactPayment].[CaseKey].&amp;[8301|00015518]"/>
            <x15:cachedUniqueName index="3878" name="[FactPayment].[CaseKey].&amp;[8301|00015520]"/>
            <x15:cachedUniqueName index="3879" name="[FactPayment].[CaseKey].&amp;[8301|00015538]"/>
            <x15:cachedUniqueName index="3880" name="[FactPayment].[CaseKey].&amp;[8301|00015546]"/>
            <x15:cachedUniqueName index="3881" name="[FactPayment].[CaseKey].&amp;[8301|00015555]"/>
            <x15:cachedUniqueName index="3882" name="[FactPayment].[CaseKey].&amp;[8301|00015564]"/>
            <x15:cachedUniqueName index="3883" name="[FactPayment].[CaseKey].&amp;[8301|00015575]"/>
            <x15:cachedUniqueName index="3884" name="[FactPayment].[CaseKey].&amp;[8301|00015583]"/>
            <x15:cachedUniqueName index="3885" name="[FactPayment].[CaseKey].&amp;[8301|00015593]"/>
            <x15:cachedUniqueName index="3886" name="[FactPayment].[CaseKey].&amp;[8301|00015604]"/>
            <x15:cachedUniqueName index="3887" name="[FactPayment].[CaseKey].&amp;[8301|00015616]"/>
            <x15:cachedUniqueName index="3888" name="[FactPayment].[CaseKey].&amp;[8301|00015622]"/>
            <x15:cachedUniqueName index="3889" name="[FactPayment].[CaseKey].&amp;[8301|00015634]"/>
            <x15:cachedUniqueName index="3890" name="[FactPayment].[CaseKey].&amp;[8301|00015645]"/>
            <x15:cachedUniqueName index="3891" name="[FactPayment].[CaseKey].&amp;[8301|00015665]"/>
            <x15:cachedUniqueName index="3892" name="[FactPayment].[CaseKey].&amp;[8301|00015677]"/>
            <x15:cachedUniqueName index="3893" name="[FactPayment].[CaseKey].&amp;[8301|00015684]"/>
            <x15:cachedUniqueName index="3894" name="[FactPayment].[CaseKey].&amp;[8301|00015696]"/>
            <x15:cachedUniqueName index="3895" name="[FactPayment].[CaseKey].&amp;[8301|00015703]"/>
            <x15:cachedUniqueName index="3896" name="[FactPayment].[CaseKey].&amp;[8301|00015714]"/>
            <x15:cachedUniqueName index="3897" name="[FactPayment].[CaseKey].&amp;[8301|00015720]"/>
            <x15:cachedUniqueName index="3898" name="[FactPayment].[CaseKey].&amp;[8301|00015731]"/>
            <x15:cachedUniqueName index="3899" name="[FactPayment].[CaseKey].&amp;[8301|00015748]"/>
            <x15:cachedUniqueName index="3900" name="[FactPayment].[CaseKey].&amp;[8301|00015755]"/>
            <x15:cachedUniqueName index="3901" name="[FactPayment].[CaseKey].&amp;[8301|00015765]"/>
            <x15:cachedUniqueName index="3902" name="[FactPayment].[CaseKey].&amp;[8301|00015774]"/>
            <x15:cachedUniqueName index="3903" name="[FactPayment].[CaseKey].&amp;[8301|00015785]"/>
            <x15:cachedUniqueName index="3904" name="[FactPayment].[CaseKey].&amp;[8301|00015798]"/>
            <x15:cachedUniqueName index="3905" name="[FactPayment].[CaseKey].&amp;[8301|00015800]"/>
            <x15:cachedUniqueName index="3906" name="[FactPayment].[CaseKey].&amp;[8301|00015813]"/>
            <x15:cachedUniqueName index="3907" name="[FactPayment].[CaseKey].&amp;[8301|00015823]"/>
            <x15:cachedUniqueName index="3908" name="[FactPayment].[CaseKey].&amp;[8301|00015836]"/>
            <x15:cachedUniqueName index="3909" name="[FactPayment].[CaseKey].&amp;[8301|00015843]"/>
            <x15:cachedUniqueName index="3910" name="[FactPayment].[CaseKey].&amp;[8301|00015850]"/>
            <x15:cachedUniqueName index="3911" name="[FactPayment].[CaseKey].&amp;[8301|00015866]"/>
            <x15:cachedUniqueName index="3912" name="[FactPayment].[CaseKey].&amp;[8301|00015878]"/>
            <x15:cachedUniqueName index="3913" name="[FactPayment].[CaseKey].&amp;[8301|00015888]"/>
            <x15:cachedUniqueName index="3914" name="[FactPayment].[CaseKey].&amp;[8301|00015893]"/>
            <x15:cachedUniqueName index="3915" name="[FactPayment].[CaseKey].&amp;[8301|00015908]"/>
            <x15:cachedUniqueName index="3916" name="[FactPayment].[CaseKey].&amp;[8301|00015917]"/>
            <x15:cachedUniqueName index="3917" name="[FactPayment].[CaseKey].&amp;[8301|00015928]"/>
            <x15:cachedUniqueName index="3918" name="[FactPayment].[CaseKey].&amp;[8301|00015937]"/>
            <x15:cachedUniqueName index="3919" name="[FactPayment].[CaseKey].&amp;[8301|00015941]"/>
            <x15:cachedUniqueName index="3920" name="[FactPayment].[CaseKey].&amp;[8301|00015955]"/>
            <x15:cachedUniqueName index="3921" name="[FactPayment].[CaseKey].&amp;[8301|00015967]"/>
            <x15:cachedUniqueName index="3922" name="[FactPayment].[CaseKey].&amp;[8301|00015978]"/>
            <x15:cachedUniqueName index="3923" name="[FactPayment].[CaseKey].&amp;[8301|00015986]"/>
            <x15:cachedUniqueName index="3924" name="[FactPayment].[CaseKey].&amp;[8301|00015996]"/>
            <x15:cachedUniqueName index="3925" name="[FactPayment].[CaseKey].&amp;[8301|00016004]"/>
            <x15:cachedUniqueName index="3926" name="[FactPayment].[CaseKey].&amp;[8301|00016022]"/>
            <x15:cachedUniqueName index="3927" name="[FactPayment].[CaseKey].&amp;[8301|00016033]"/>
            <x15:cachedUniqueName index="3928" name="[FactPayment].[CaseKey].&amp;[8301|00016048]"/>
            <x15:cachedUniqueName index="3929" name="[FactPayment].[CaseKey].&amp;[8301|00016053]"/>
            <x15:cachedUniqueName index="3930" name="[FactPayment].[CaseKey].&amp;[8301|00016063]"/>
            <x15:cachedUniqueName index="3931" name="[FactPayment].[CaseKey].&amp;[8301|00016073]"/>
            <x15:cachedUniqueName index="3932" name="[FactPayment].[CaseKey].&amp;[8301|00016092]"/>
            <x15:cachedUniqueName index="3933" name="[FactPayment].[CaseKey].&amp;[8301|00016106]"/>
            <x15:cachedUniqueName index="3934" name="[FactPayment].[CaseKey].&amp;[8301|00016117]"/>
            <x15:cachedUniqueName index="3935" name="[FactPayment].[CaseKey].&amp;[8301|00016120]"/>
            <x15:cachedUniqueName index="3936" name="[FactPayment].[CaseKey].&amp;[8301|00016137]"/>
            <x15:cachedUniqueName index="3937" name="[FactPayment].[CaseKey].&amp;[8301|00016148]"/>
            <x15:cachedUniqueName index="3938" name="[FactPayment].[CaseKey].&amp;[8301|00016155]"/>
            <x15:cachedUniqueName index="3939" name="[FactPayment].[CaseKey].&amp;[8301|00016161]"/>
            <x15:cachedUniqueName index="3940" name="[FactPayment].[CaseKey].&amp;[8301|00016198]"/>
            <x15:cachedUniqueName index="3941" name="[FactPayment].[CaseKey].&amp;[8301|00016207]"/>
            <x15:cachedUniqueName index="3942" name="[FactPayment].[CaseKey].&amp;[8301|00016216]"/>
            <x15:cachedUniqueName index="3943" name="[FactPayment].[CaseKey].&amp;[8301|00016227]"/>
            <x15:cachedUniqueName index="3944" name="[FactPayment].[CaseKey].&amp;[8301|00016234]"/>
            <x15:cachedUniqueName index="3945" name="[FactPayment].[CaseKey].&amp;[8301|00016243]"/>
            <x15:cachedUniqueName index="3946" name="[FactPayment].[CaseKey].&amp;[8301|00016256]"/>
            <x15:cachedUniqueName index="3947" name="[FactPayment].[CaseKey].&amp;[8301|00016268]"/>
            <x15:cachedUniqueName index="3948" name="[FactPayment].[CaseKey].&amp;[8301|00016288]"/>
            <x15:cachedUniqueName index="3949" name="[FactPayment].[CaseKey].&amp;[8301|00016293]"/>
            <x15:cachedUniqueName index="3950" name="[FactPayment].[CaseKey].&amp;[8301|00016301]"/>
            <x15:cachedUniqueName index="3951" name="[FactPayment].[CaseKey].&amp;[8301|00016311]"/>
            <x15:cachedUniqueName index="3952" name="[FactPayment].[CaseKey].&amp;[8301|00016323]"/>
            <x15:cachedUniqueName index="3953" name="[FactPayment].[CaseKey].&amp;[8301|00016330]"/>
            <x15:cachedUniqueName index="3954" name="[FactPayment].[CaseKey].&amp;[8301|00016342]"/>
            <x15:cachedUniqueName index="3955" name="[FactPayment].[CaseKey].&amp;[8301|00016351]"/>
            <x15:cachedUniqueName index="3956" name="[FactPayment].[CaseKey].&amp;[8301|00016360]"/>
            <x15:cachedUniqueName index="3957" name="[FactPayment].[CaseKey].&amp;[8301|00016374]"/>
            <x15:cachedUniqueName index="3958" name="[FactPayment].[CaseKey].&amp;[8301|00016386]"/>
            <x15:cachedUniqueName index="3959" name="[FactPayment].[CaseKey].&amp;[8301|00016396]"/>
            <x15:cachedUniqueName index="3960" name="[FactPayment].[CaseKey].&amp;[8301|00016400]"/>
            <x15:cachedUniqueName index="3961" name="[FactPayment].[CaseKey].&amp;[8301|00016416]"/>
            <x15:cachedUniqueName index="3962" name="[FactPayment].[CaseKey].&amp;[8301|00016423]"/>
            <x15:cachedUniqueName index="3963" name="[FactPayment].[CaseKey].&amp;[8301|00016434]"/>
            <x15:cachedUniqueName index="3964" name="[FactPayment].[CaseKey].&amp;[8301|00016442]"/>
            <x15:cachedUniqueName index="3965" name="[FactPayment].[CaseKey].&amp;[8301|00016451]"/>
            <x15:cachedUniqueName index="3966" name="[FactPayment].[CaseKey].&amp;[8301|00016468]"/>
            <x15:cachedUniqueName index="3967" name="[FactPayment].[CaseKey].&amp;[8301|00016476]"/>
            <x15:cachedUniqueName index="3968" name="[FactPayment].[CaseKey].&amp;[8301|00016485]"/>
            <x15:cachedUniqueName index="3969" name="[FactPayment].[CaseKey].&amp;[8301|00016496]"/>
            <x15:cachedUniqueName index="3970" name="[FactPayment].[CaseKey].&amp;[8301|00016504]"/>
            <x15:cachedUniqueName index="3971" name="[FactPayment].[CaseKey].&amp;[8301|00016512]"/>
            <x15:cachedUniqueName index="3972" name="[FactPayment].[CaseKey].&amp;[8301|00016521]"/>
            <x15:cachedUniqueName index="3973" name="[FactPayment].[CaseKey].&amp;[8301|00016533]"/>
            <x15:cachedUniqueName index="3974" name="[FactPayment].[CaseKey].&amp;[8301|00016542]"/>
            <x15:cachedUniqueName index="3975" name="[FactPayment].[CaseKey].&amp;[8301|00016554]"/>
            <x15:cachedUniqueName index="3976" name="[FactPayment].[CaseKey].&amp;[8301|00016562]"/>
            <x15:cachedUniqueName index="3977" name="[FactPayment].[CaseKey].&amp;[8301|00016570]"/>
            <x15:cachedUniqueName index="3978" name="[FactPayment].[CaseKey].&amp;[8301|00016596]"/>
            <x15:cachedUniqueName index="3979" name="[FactPayment].[CaseKey].&amp;[8301|00016614]"/>
            <x15:cachedUniqueName index="3980" name="[FactPayment].[CaseKey].&amp;[8301|00016627]"/>
            <x15:cachedUniqueName index="3981" name="[FactPayment].[CaseKey].&amp;[8301|00016636]"/>
            <x15:cachedUniqueName index="3982" name="[FactPayment].[CaseKey].&amp;[8301|00016646]"/>
            <x15:cachedUniqueName index="3983" name="[FactPayment].[CaseKey].&amp;[8301|00016654]"/>
            <x15:cachedUniqueName index="3984" name="[FactPayment].[CaseKey].&amp;[8301|00016662]"/>
            <x15:cachedUniqueName index="3985" name="[FactPayment].[CaseKey].&amp;[8301|00016676]"/>
            <x15:cachedUniqueName index="3986" name="[FactPayment].[CaseKey].&amp;[8301|00016687]"/>
            <x15:cachedUniqueName index="3987" name="[FactPayment].[CaseKey].&amp;[8301|00016695]"/>
            <x15:cachedUniqueName index="3988" name="[FactPayment].[CaseKey].&amp;[8301|00016705]"/>
            <x15:cachedUniqueName index="3989" name="[FactPayment].[CaseKey].&amp;[8301|00016713]"/>
            <x15:cachedUniqueName index="3990" name="[FactPayment].[CaseKey].&amp;[8301|00016721]"/>
            <x15:cachedUniqueName index="3991" name="[FactPayment].[CaseKey].&amp;[8301|00016734]"/>
            <x15:cachedUniqueName index="3992" name="[FactPayment].[CaseKey].&amp;[8301|00016740]"/>
            <x15:cachedUniqueName index="3993" name="[FactPayment].[CaseKey].&amp;[8301|00016751]"/>
            <x15:cachedUniqueName index="3994" name="[FactPayment].[CaseKey].&amp;[8301|00016764]"/>
            <x15:cachedUniqueName index="3995" name="[FactPayment].[CaseKey].&amp;[8301|00016777]"/>
            <x15:cachedUniqueName index="3996" name="[FactPayment].[CaseKey].&amp;[8301|00016781]"/>
            <x15:cachedUniqueName index="3997" name="[FactPayment].[CaseKey].&amp;[8301|00016795]"/>
            <x15:cachedUniqueName index="3998" name="[FactPayment].[CaseKey].&amp;[8301|00016807]"/>
            <x15:cachedUniqueName index="3999" name="[FactPayment].[CaseKey].&amp;[8301|00016810]"/>
            <x15:cachedUniqueName index="4000" name="[FactPayment].[CaseKey].&amp;[8301|00016824]"/>
            <x15:cachedUniqueName index="4001" name="[FactPayment].[CaseKey].&amp;[8301|00016836]"/>
            <x15:cachedUniqueName index="4002" name="[FactPayment].[CaseKey].&amp;[8301|00016848]"/>
            <x15:cachedUniqueName index="4003" name="[FactPayment].[CaseKey].&amp;[8301|00016850]"/>
            <x15:cachedUniqueName index="4004" name="[FactPayment].[CaseKey].&amp;[8301|00016866]"/>
            <x15:cachedUniqueName index="4005" name="[FactPayment].[CaseKey].&amp;[8301|00016872]"/>
            <x15:cachedUniqueName index="4006" name="[FactPayment].[CaseKey].&amp;[8301|00016886]"/>
            <x15:cachedUniqueName index="4007" name="[FactPayment].[CaseKey].&amp;[8301|00016896]"/>
            <x15:cachedUniqueName index="4008" name="[FactPayment].[CaseKey].&amp;[8301|00016903]"/>
            <x15:cachedUniqueName index="4009" name="[FactPayment].[CaseKey].&amp;[8301|00016914]"/>
            <x15:cachedUniqueName index="4010" name="[FactPayment].[CaseKey].&amp;[8301|00016926]"/>
            <x15:cachedUniqueName index="4011" name="[FactPayment].[CaseKey].&amp;[8301|00016934]"/>
            <x15:cachedUniqueName index="4012" name="[FactPayment].[CaseKey].&amp;[8301|00016941]"/>
            <x15:cachedUniqueName index="4013" name="[FactPayment].[CaseKey].&amp;[8301|00016951]"/>
            <x15:cachedUniqueName index="4014" name="[FactPayment].[CaseKey].&amp;[8301|00016965]"/>
            <x15:cachedUniqueName index="4015" name="[FactPayment].[CaseKey].&amp;[8301|00016974]"/>
            <x15:cachedUniqueName index="4016" name="[FactPayment].[CaseKey].&amp;[8301|00016984]"/>
            <x15:cachedUniqueName index="4017" name="[FactPayment].[CaseKey].&amp;[8301|00016995]"/>
            <x15:cachedUniqueName index="4018" name="[FactPayment].[CaseKey].&amp;[8301|00017008]"/>
            <x15:cachedUniqueName index="4019" name="[FactPayment].[CaseKey].&amp;[8301|00017025]"/>
            <x15:cachedUniqueName index="4020" name="[FactPayment].[CaseKey].&amp;[8301|00017036]"/>
            <x15:cachedUniqueName index="4021" name="[FactPayment].[CaseKey].&amp;[8301|00017042]"/>
            <x15:cachedUniqueName index="4022" name="[FactPayment].[CaseKey].&amp;[8301|00017052]"/>
            <x15:cachedUniqueName index="4023" name="[FactPayment].[CaseKey].&amp;[8301|00017065]"/>
            <x15:cachedUniqueName index="4024" name="[FactPayment].[CaseKey].&amp;[8301|00017075]"/>
            <x15:cachedUniqueName index="4025" name="[FactPayment].[CaseKey].&amp;[8301|00017088]"/>
            <x15:cachedUniqueName index="4026" name="[FactPayment].[CaseKey].&amp;[8301|00017094]"/>
            <x15:cachedUniqueName index="4027" name="[FactPayment].[CaseKey].&amp;[8301|00017105]"/>
            <x15:cachedUniqueName index="4028" name="[FactPayment].[CaseKey].&amp;[8301|00017114]"/>
            <x15:cachedUniqueName index="4029" name="[FactPayment].[CaseKey].&amp;[8301|00017130]"/>
            <x15:cachedUniqueName index="4030" name="[FactPayment].[CaseKey].&amp;[8301|00017140]"/>
            <x15:cachedUniqueName index="4031" name="[FactPayment].[CaseKey].&amp;[8301|00017157]"/>
            <x15:cachedUniqueName index="4032" name="[FactPayment].[CaseKey].&amp;[8301|00017160]"/>
            <x15:cachedUniqueName index="4033" name="[FactPayment].[CaseKey].&amp;[8301|00017178]"/>
            <x15:cachedUniqueName index="4034" name="[FactPayment].[CaseKey].&amp;[8301|00017187]"/>
            <x15:cachedUniqueName index="4035" name="[FactPayment].[CaseKey].&amp;[8301|00017198]"/>
            <x15:cachedUniqueName index="4036" name="[FactPayment].[CaseKey].&amp;[8301|00017205]"/>
            <x15:cachedUniqueName index="4037" name="[FactPayment].[CaseKey].&amp;[8301|00017216]"/>
            <x15:cachedUniqueName index="4038" name="[FactPayment].[CaseKey].&amp;[8301|00017222]"/>
            <x15:cachedUniqueName index="4039" name="[FactPayment].[CaseKey].&amp;[8301|00017234]"/>
            <x15:cachedUniqueName index="4040" name="[FactPayment].[CaseKey].&amp;[8301|00017241]"/>
            <x15:cachedUniqueName index="4041" name="[FactPayment].[CaseKey].&amp;[8301|00017257]"/>
            <x15:cachedUniqueName index="4042" name="[FactPayment].[CaseKey].&amp;[8301|00017266]"/>
            <x15:cachedUniqueName index="4043" name="[FactPayment].[CaseKey].&amp;[8301|00017275]"/>
            <x15:cachedUniqueName index="4044" name="[FactPayment].[CaseKey].&amp;[8301|00017280]"/>
            <x15:cachedUniqueName index="4045" name="[FactPayment].[CaseKey].&amp;[8301|00017290]"/>
            <x15:cachedUniqueName index="4046" name="[FactPayment].[CaseKey].&amp;[8301|00017303]"/>
            <x15:cachedUniqueName index="4047" name="[FactPayment].[CaseKey].&amp;[8301|00017310]"/>
            <x15:cachedUniqueName index="4048" name="[FactPayment].[CaseKey].&amp;[8301|00017323]"/>
            <x15:cachedUniqueName index="4049" name="[FactPayment].[CaseKey].&amp;[8301|00017336]"/>
            <x15:cachedUniqueName index="4050" name="[FactPayment].[CaseKey].&amp;[8301|00017341]"/>
            <x15:cachedUniqueName index="4051" name="[FactPayment].[CaseKey].&amp;[8301|00017361]"/>
            <x15:cachedUniqueName index="4052" name="[FactPayment].[CaseKey].&amp;[8301|00017376]"/>
            <x15:cachedUniqueName index="4053" name="[FactPayment].[CaseKey].&amp;[8301|00017387]"/>
            <x15:cachedUniqueName index="4054" name="[FactPayment].[CaseKey].&amp;[8301|00017392]"/>
            <x15:cachedUniqueName index="4055" name="[FactPayment].[CaseKey].&amp;[8301|00017407]"/>
            <x15:cachedUniqueName index="4056" name="[FactPayment].[CaseKey].&amp;[8301|00017424]"/>
            <x15:cachedUniqueName index="4057" name="[FactPayment].[CaseKey].&amp;[8301|00017430]"/>
            <x15:cachedUniqueName index="4058" name="[FactPayment].[CaseKey].&amp;[8301|00017443]"/>
            <x15:cachedUniqueName index="4059" name="[FactPayment].[CaseKey].&amp;[8301|00017458]"/>
            <x15:cachedUniqueName index="4060" name="[FactPayment].[CaseKey].&amp;[8301|00017462]"/>
            <x15:cachedUniqueName index="4061" name="[FactPayment].[CaseKey].&amp;[8301|00017475]"/>
            <x15:cachedUniqueName index="4062" name="[FactPayment].[CaseKey].&amp;[8301|00017496]"/>
            <x15:cachedUniqueName index="4063" name="[FactPayment].[CaseKey].&amp;[8301|00017500]"/>
            <x15:cachedUniqueName index="4064" name="[FactPayment].[CaseKey].&amp;[8301|00017512]"/>
            <x15:cachedUniqueName index="4065" name="[FactPayment].[CaseKey].&amp;[8301|00017528]"/>
            <x15:cachedUniqueName index="4066" name="[FactPayment].[CaseKey].&amp;[8301|00017533]"/>
            <x15:cachedUniqueName index="4067" name="[FactPayment].[CaseKey].&amp;[8301|00017544]"/>
            <x15:cachedUniqueName index="4068" name="[FactPayment].[CaseKey].&amp;[8301|00017558]"/>
            <x15:cachedUniqueName index="4069" name="[FactPayment].[CaseKey].&amp;[8301|00017567]"/>
            <x15:cachedUniqueName index="4070" name="[FactPayment].[CaseKey].&amp;[8301|00017574]"/>
            <x15:cachedUniqueName index="4071" name="[FactPayment].[CaseKey].&amp;[8301|00017585]"/>
            <x15:cachedUniqueName index="4072" name="[FactPayment].[CaseKey].&amp;[8301|00017592]"/>
            <x15:cachedUniqueName index="4073" name="[FactPayment].[CaseKey].&amp;[8301|00017606]"/>
            <x15:cachedUniqueName index="4074" name="[FactPayment].[CaseKey].&amp;[8301|00017615]"/>
            <x15:cachedUniqueName index="4075" name="[FactPayment].[CaseKey].&amp;[8301|00017628]"/>
            <x15:cachedUniqueName index="4076" name="[FactPayment].[CaseKey].&amp;[8301|00017647]"/>
            <x15:cachedUniqueName index="4077" name="[FactPayment].[CaseKey].&amp;[8301|00017650]"/>
            <x15:cachedUniqueName index="4078" name="[FactPayment].[CaseKey].&amp;[8301|00017663]"/>
            <x15:cachedUniqueName index="4079" name="[FactPayment].[CaseKey].&amp;[8301|00017670]"/>
            <x15:cachedUniqueName index="4080" name="[FactPayment].[CaseKey].&amp;[8301|00017687]"/>
            <x15:cachedUniqueName index="4081" name="[FactPayment].[CaseKey].&amp;[8301|00017693]"/>
            <x15:cachedUniqueName index="4082" name="[FactPayment].[CaseKey].&amp;[8301|00017726]"/>
            <x15:cachedUniqueName index="4083" name="[FactPayment].[CaseKey].&amp;[8301|00017736]"/>
            <x15:cachedUniqueName index="4084" name="[FactPayment].[CaseKey].&amp;[8301|00017744]"/>
            <x15:cachedUniqueName index="4085" name="[FactPayment].[CaseKey].&amp;[8301|00017756]"/>
            <x15:cachedUniqueName index="4086" name="[FactPayment].[CaseKey].&amp;[8301|00017760]"/>
            <x15:cachedUniqueName index="4087" name="[FactPayment].[CaseKey].&amp;[8301|00017776]"/>
            <x15:cachedUniqueName index="4088" name="[FactPayment].[CaseKey].&amp;[8301|00017784]"/>
            <x15:cachedUniqueName index="4089" name="[FactPayment].[CaseKey].&amp;[8301|00017798]"/>
            <x15:cachedUniqueName index="4090" name="[FactPayment].[CaseKey].&amp;[8301|00017808]"/>
            <x15:cachedUniqueName index="4091" name="[FactPayment].[CaseKey].&amp;[8301|00017811]"/>
            <x15:cachedUniqueName index="4092" name="[FactPayment].[CaseKey].&amp;[8301|00017822]"/>
            <x15:cachedUniqueName index="4093" name="[FactPayment].[CaseKey].&amp;[8301|00017830]"/>
            <x15:cachedUniqueName index="4094" name="[FactPayment].[CaseKey].&amp;[8301|00017846]"/>
            <x15:cachedUniqueName index="4095" name="[FactPayment].[CaseKey].&amp;[8301|00017850]"/>
            <x15:cachedUniqueName index="4096" name="[FactPayment].[CaseKey].&amp;[8301|00017866]"/>
            <x15:cachedUniqueName index="4097" name="[FactPayment].[CaseKey].&amp;[8301|00017873]"/>
            <x15:cachedUniqueName index="4098" name="[FactPayment].[CaseKey].&amp;[8301|00017894]"/>
            <x15:cachedUniqueName index="4099" name="[FactPayment].[CaseKey].&amp;[8301|00017908]"/>
            <x15:cachedUniqueName index="4100" name="[FactPayment].[CaseKey].&amp;[8301|00017916]"/>
            <x15:cachedUniqueName index="4101" name="[FactPayment].[CaseKey].&amp;[8301|00017920]"/>
            <x15:cachedUniqueName index="4102" name="[FactPayment].[CaseKey].&amp;[8301|00017936]"/>
            <x15:cachedUniqueName index="4103" name="[FactPayment].[CaseKey].&amp;[8301|00017945]"/>
            <x15:cachedUniqueName index="4104" name="[FactPayment].[CaseKey].&amp;[8301|00017954]"/>
            <x15:cachedUniqueName index="4105" name="[FactPayment].[CaseKey].&amp;[8301|00017968]"/>
            <x15:cachedUniqueName index="4106" name="[FactPayment].[CaseKey].&amp;[8301|00017971]"/>
            <x15:cachedUniqueName index="4107" name="[FactPayment].[CaseKey].&amp;[8301|00017988]"/>
            <x15:cachedUniqueName index="4108" name="[FactPayment].[CaseKey].&amp;[8301|00017993]"/>
            <x15:cachedUniqueName index="4109" name="[FactPayment].[CaseKey].&amp;[8301|00018000]"/>
            <x15:cachedUniqueName index="4110" name="[FactPayment].[CaseKey].&amp;[8301|00018013]"/>
            <x15:cachedUniqueName index="4111" name="[FactPayment].[CaseKey].&amp;[8301|00018021]"/>
            <x15:cachedUniqueName index="4112" name="[FactPayment].[CaseKey].&amp;[8301|00018031]"/>
            <x15:cachedUniqueName index="4113" name="[FactPayment].[CaseKey].&amp;[8301|00018044]"/>
            <x15:cachedUniqueName index="4114" name="[FactPayment].[CaseKey].&amp;[8301|00018055]"/>
            <x15:cachedUniqueName index="4115" name="[FactPayment].[CaseKey].&amp;[8301|00018063]"/>
            <x15:cachedUniqueName index="4116" name="[FactPayment].[CaseKey].&amp;[8301|00018076]"/>
            <x15:cachedUniqueName index="4117" name="[FactPayment].[CaseKey].&amp;[8301|00018092]"/>
            <x15:cachedUniqueName index="4118" name="[FactPayment].[CaseKey].&amp;[8301|00018108]"/>
            <x15:cachedUniqueName index="4119" name="[FactPayment].[CaseKey].&amp;[8301|00018113]"/>
            <x15:cachedUniqueName index="4120" name="[FactPayment].[CaseKey].&amp;[8301|00018128]"/>
            <x15:cachedUniqueName index="4121" name="[FactPayment].[CaseKey].&amp;[8301|00018134]"/>
            <x15:cachedUniqueName index="4122" name="[FactPayment].[CaseKey].&amp;[8301|00018144]"/>
            <x15:cachedUniqueName index="4123" name="[FactPayment].[CaseKey].&amp;[8301|00018166]"/>
            <x15:cachedUniqueName index="4124" name="[FactPayment].[CaseKey].&amp;[8301|00018171]"/>
            <x15:cachedUniqueName index="4125" name="[FactPayment].[CaseKey].&amp;[8301|00018187]"/>
            <x15:cachedUniqueName index="4126" name="[FactPayment].[CaseKey].&amp;[8301|00018196]"/>
            <x15:cachedUniqueName index="4127" name="[FactPayment].[CaseKey].&amp;[8301|00018201]"/>
            <x15:cachedUniqueName index="4128" name="[FactPayment].[CaseKey].&amp;[8301|00018212]"/>
            <x15:cachedUniqueName index="4129" name="[FactPayment].[CaseKey].&amp;[8301|00018220]"/>
            <x15:cachedUniqueName index="4130" name="[FactPayment].[CaseKey].&amp;[8301|00018235]"/>
            <x15:cachedUniqueName index="4131" name="[FactPayment].[CaseKey].&amp;[8301|00018242]"/>
            <x15:cachedUniqueName index="4132" name="[FactPayment].[CaseKey].&amp;[8301|00018258]"/>
            <x15:cachedUniqueName index="4133" name="[FactPayment].[CaseKey].&amp;[8301|00018266]"/>
            <x15:cachedUniqueName index="4134" name="[FactPayment].[CaseKey].&amp;[8301|00018271]"/>
            <x15:cachedUniqueName index="4135" name="[FactPayment].[CaseKey].&amp;[8301|00018281]"/>
            <x15:cachedUniqueName index="4136" name="[FactPayment].[CaseKey].&amp;[8301|00018291]"/>
            <x15:cachedUniqueName index="4137" name="[FactPayment].[CaseKey].&amp;[8301|00018301]"/>
            <x15:cachedUniqueName index="4138" name="[FactPayment].[CaseKey].&amp;[8301|00018311]"/>
            <x15:cachedUniqueName index="4139" name="[FactPayment].[CaseKey].&amp;[8301|00018321]"/>
            <x15:cachedUniqueName index="4140" name="[FactPayment].[CaseKey].&amp;[8301|00018338]"/>
            <x15:cachedUniqueName index="4141" name="[FactPayment].[CaseKey].&amp;[8301|00018347]"/>
            <x15:cachedUniqueName index="4142" name="[FactPayment].[CaseKey].&amp;[8301|00018357]"/>
            <x15:cachedUniqueName index="4143" name="[FactPayment].[CaseKey].&amp;[8301|00018367]"/>
            <x15:cachedUniqueName index="4144" name="[FactPayment].[CaseKey].&amp;[8301|00018377]"/>
            <x15:cachedUniqueName index="4145" name="[FactPayment].[CaseKey].&amp;[8301|00018387]"/>
            <x15:cachedUniqueName index="4146" name="[FactPayment].[CaseKey].&amp;[8301|00018404]"/>
            <x15:cachedUniqueName index="4147" name="[FactPayment].[CaseKey].&amp;[8301|00018418]"/>
            <x15:cachedUniqueName index="4148" name="[FactPayment].[CaseKey].&amp;[8301|00018423]"/>
            <x15:cachedUniqueName index="4149" name="[FactPayment].[CaseKey].&amp;[8301|00018434]"/>
            <x15:cachedUniqueName index="4150" name="[FactPayment].[CaseKey].&amp;[8301|00018442]"/>
            <x15:cachedUniqueName index="4151" name="[FactPayment].[CaseKey].&amp;[8301|00018457]"/>
            <x15:cachedUniqueName index="4152" name="[FactPayment].[CaseKey].&amp;[8301|00018467]"/>
            <x15:cachedUniqueName index="4153" name="[FactPayment].[CaseKey].&amp;[8301|00018471]"/>
            <x15:cachedUniqueName index="4154" name="[FactPayment].[CaseKey].&amp;[8301|00018487]"/>
            <x15:cachedUniqueName index="4155" name="[FactPayment].[CaseKey].&amp;[8301|00018490]"/>
            <x15:cachedUniqueName index="4156" name="[FactPayment].[CaseKey].&amp;[8301|00018502]"/>
            <x15:cachedUniqueName index="4157" name="[FactPayment].[CaseKey].&amp;[8301|00018510]"/>
            <x15:cachedUniqueName index="4158" name="[FactPayment].[CaseKey].&amp;[8301|00018528]"/>
            <x15:cachedUniqueName index="4159" name="[FactPayment].[CaseKey].&amp;[8301|00018540]"/>
            <x15:cachedUniqueName index="4160" name="[FactPayment].[CaseKey].&amp;[8301|00018554]"/>
            <x15:cachedUniqueName index="4161" name="[FactPayment].[CaseKey].&amp;[8301|00018562]"/>
            <x15:cachedUniqueName index="4162" name="[FactPayment].[CaseKey].&amp;[8301|00018576]"/>
            <x15:cachedUniqueName index="4163" name="[FactPayment].[CaseKey].&amp;[8301|00018580]"/>
            <x15:cachedUniqueName index="4164" name="[FactPayment].[CaseKey].&amp;[8301|00018597]"/>
            <x15:cachedUniqueName index="4165" name="[FactPayment].[CaseKey].&amp;[8301|00018603]"/>
            <x15:cachedUniqueName index="4166" name="[FactPayment].[CaseKey].&amp;[8301|00018614]"/>
            <x15:cachedUniqueName index="4167" name="[FactPayment].[CaseKey].&amp;[8301|00018626]"/>
            <x15:cachedUniqueName index="4168" name="[FactPayment].[CaseKey].&amp;[8301|00018630]"/>
            <x15:cachedUniqueName index="4169" name="[FactPayment].[CaseKey].&amp;[8301|00018646]"/>
            <x15:cachedUniqueName index="4170" name="[FactPayment].[CaseKey].&amp;[8301|00018655]"/>
            <x15:cachedUniqueName index="4171" name="[FactPayment].[CaseKey].&amp;[8301|00018667]"/>
            <x15:cachedUniqueName index="4172" name="[FactPayment].[CaseKey].&amp;[8301|00018675]"/>
            <x15:cachedUniqueName index="4173" name="[FactPayment].[CaseKey].&amp;[8301|00018688]"/>
            <x15:cachedUniqueName index="4174" name="[FactPayment].[CaseKey].&amp;[8301|00018698]"/>
            <x15:cachedUniqueName index="4175" name="[FactPayment].[CaseKey].&amp;[8301|00018701]"/>
            <x15:cachedUniqueName index="4176" name="[FactPayment].[CaseKey].&amp;[8301|00018715]"/>
            <x15:cachedUniqueName index="4177" name="[FactPayment].[CaseKey].&amp;[8301|00018727]"/>
            <x15:cachedUniqueName index="4178" name="[FactPayment].[CaseKey].&amp;[8301|00018754]"/>
            <x15:cachedUniqueName index="4179" name="[FactPayment].[CaseKey].&amp;[8301|00018767]"/>
            <x15:cachedUniqueName index="4180" name="[FactPayment].[CaseKey].&amp;[8301|00018772]"/>
            <x15:cachedUniqueName index="4181" name="[FactPayment].[CaseKey].&amp;[8301|00018782]"/>
            <x15:cachedUniqueName index="4182" name="[FactPayment].[CaseKey].&amp;[8301|00018792]"/>
            <x15:cachedUniqueName index="4183" name="[FactPayment].[CaseKey].&amp;[8301|00018808]"/>
            <x15:cachedUniqueName index="4184" name="[FactPayment].[CaseKey].&amp;[8301|00018818]"/>
            <x15:cachedUniqueName index="4185" name="[FactPayment].[CaseKey].&amp;[8301|00018820]"/>
            <x15:cachedUniqueName index="4186" name="[FactPayment].[CaseKey].&amp;[8301|00018838]"/>
            <x15:cachedUniqueName index="4187" name="[FactPayment].[CaseKey].&amp;[8301|00018841]"/>
            <x15:cachedUniqueName index="4188" name="[FactPayment].[CaseKey].&amp;[8301|00018855]"/>
            <x15:cachedUniqueName index="4189" name="[FactPayment].[CaseKey].&amp;[8301|00018868]"/>
            <x15:cachedUniqueName index="4190" name="[FactPayment].[CaseKey].&amp;[8301|00018876]"/>
            <x15:cachedUniqueName index="4191" name="[FactPayment].[CaseKey].&amp;[8301|00018887]"/>
            <x15:cachedUniqueName index="4192" name="[FactPayment].[CaseKey].&amp;[8301|00018891]"/>
            <x15:cachedUniqueName index="4193" name="[FactPayment].[CaseKey].&amp;[8301|00018903]"/>
            <x15:cachedUniqueName index="4194" name="[FactPayment].[CaseKey].&amp;[8301|00018918]"/>
            <x15:cachedUniqueName index="4195" name="[FactPayment].[CaseKey].&amp;[8301|00018925]"/>
            <x15:cachedUniqueName index="4196" name="[FactPayment].[CaseKey].&amp;[8301|00018937]"/>
            <x15:cachedUniqueName index="4197" name="[FactPayment].[CaseKey].&amp;[8301|00018944]"/>
            <x15:cachedUniqueName index="4198" name="[FactPayment].[CaseKey].&amp;[8301|00018950]"/>
            <x15:cachedUniqueName index="4199" name="[FactPayment].[CaseKey].&amp;[8301|00018968]"/>
            <x15:cachedUniqueName index="4200" name="[FactPayment].[CaseKey].&amp;[8301|00018973]"/>
            <x15:cachedUniqueName index="4201" name="[FactPayment].[CaseKey].&amp;[8301|00018990]"/>
            <x15:cachedUniqueName index="4202" name="[FactPayment].[CaseKey].&amp;[8301|00019000]"/>
            <x15:cachedUniqueName index="4203" name="[FactPayment].[CaseKey].&amp;[8301|00019018]"/>
            <x15:cachedUniqueName index="4204" name="[FactPayment].[CaseKey].&amp;[8301|00019025]"/>
            <x15:cachedUniqueName index="4205" name="[FactPayment].[CaseKey].&amp;[8301|00019035]"/>
            <x15:cachedUniqueName index="4206" name="[FactPayment].[CaseKey].&amp;[8301|00019042]"/>
            <x15:cachedUniqueName index="4207" name="[FactPayment].[CaseKey].&amp;[8301|00019054]"/>
            <x15:cachedUniqueName index="4208" name="[FactPayment].[CaseKey].&amp;[8301|00019066]"/>
            <x15:cachedUniqueName index="4209" name="[FactPayment].[CaseKey].&amp;[8301|00019074]"/>
            <x15:cachedUniqueName index="4210" name="[FactPayment].[CaseKey].&amp;[8301|00019080]"/>
            <x15:cachedUniqueName index="4211" name="[FactPayment].[CaseKey].&amp;[8301|00019096]"/>
            <x15:cachedUniqueName index="4212" name="[FactPayment].[CaseKey].&amp;[8301|00019105]"/>
            <x15:cachedUniqueName index="4213" name="[FactPayment].[CaseKey].&amp;[8301|00019115]"/>
            <x15:cachedUniqueName index="4214" name="[FactPayment].[CaseKey].&amp;[8301|00019127]"/>
            <x15:cachedUniqueName index="4215" name="[FactPayment].[CaseKey].&amp;[8301|00019134]"/>
            <x15:cachedUniqueName index="4216" name="[FactPayment].[CaseKey].&amp;[8301|00019154]"/>
            <x15:cachedUniqueName index="4217" name="[FactPayment].[CaseKey].&amp;[8301|00019161]"/>
            <x15:cachedUniqueName index="4218" name="[FactPayment].[CaseKey].&amp;[8301|00019174]"/>
            <x15:cachedUniqueName index="4219" name="[FactPayment].[CaseKey].&amp;[8301|00019183]"/>
            <x15:cachedUniqueName index="4220" name="[FactPayment].[CaseKey].&amp;[8301|00019195]"/>
            <x15:cachedUniqueName index="4221" name="[FactPayment].[CaseKey].&amp;[8301|00019207]"/>
            <x15:cachedUniqueName index="4222" name="[FactPayment].[CaseKey].&amp;[8301|00019218]"/>
            <x15:cachedUniqueName index="4223" name="[FactPayment].[CaseKey].&amp;[8301|00019224]"/>
            <x15:cachedUniqueName index="4224" name="[FactPayment].[CaseKey].&amp;[8301|00019235]"/>
            <x15:cachedUniqueName index="4225" name="[FactPayment].[CaseKey].&amp;[8301|00019245]"/>
            <x15:cachedUniqueName index="4226" name="[FactPayment].[CaseKey].&amp;[8301|00019250]"/>
            <x15:cachedUniqueName index="4227" name="[FactPayment].[CaseKey].&amp;[8301|00019260]"/>
            <x15:cachedUniqueName index="4228" name="[FactPayment].[CaseKey].&amp;[8301|00019275]"/>
            <x15:cachedUniqueName index="4229" name="[FactPayment].[CaseKey].&amp;[8301|00019286]"/>
            <x15:cachedUniqueName index="4230" name="[FactPayment].[CaseKey].&amp;[8301|00019294]"/>
            <x15:cachedUniqueName index="4231" name="[FactPayment].[CaseKey].&amp;[8301|00019302]"/>
            <x15:cachedUniqueName index="4232" name="[FactPayment].[CaseKey].&amp;[8301|00019310]"/>
            <x15:cachedUniqueName index="4233" name="[FactPayment].[CaseKey].&amp;[8301|00019323]"/>
            <x15:cachedUniqueName index="4234" name="[FactPayment].[CaseKey].&amp;[8301|00019333]"/>
            <x15:cachedUniqueName index="4235" name="[FactPayment].[CaseKey].&amp;[8301|00019342]"/>
            <x15:cachedUniqueName index="4236" name="[FactPayment].[CaseKey].&amp;[8301|00019354]"/>
            <x15:cachedUniqueName index="4237" name="[FactPayment].[CaseKey].&amp;[8301|00019363]"/>
            <x15:cachedUniqueName index="4238" name="[FactPayment].[CaseKey].&amp;[8301|00019372]"/>
            <x15:cachedUniqueName index="4239" name="[FactPayment].[CaseKey].&amp;[8301|00019385]"/>
            <x15:cachedUniqueName index="4240" name="[FactPayment].[CaseKey].&amp;[8301|00019395]"/>
            <x15:cachedUniqueName index="4241" name="[FactPayment].[CaseKey].&amp;[8301|00019401]"/>
            <x15:cachedUniqueName index="4242" name="[FactPayment].[CaseKey].&amp;[8301|00019415]"/>
            <x15:cachedUniqueName index="4243" name="[FactPayment].[CaseKey].&amp;[8301|00019426]"/>
            <x15:cachedUniqueName index="4244" name="[FactPayment].[CaseKey].&amp;[8301|00019430]"/>
            <x15:cachedUniqueName index="4245" name="[FactPayment].[CaseKey].&amp;[8301|00019447]"/>
            <x15:cachedUniqueName index="4246" name="[FactPayment].[CaseKey].&amp;[8301|00019457]"/>
            <x15:cachedUniqueName index="4247" name="[FactPayment].[CaseKey].&amp;[8301|00019464]"/>
            <x15:cachedUniqueName index="4248" name="[FactPayment].[CaseKey].&amp;[8301|00019477]"/>
            <x15:cachedUniqueName index="4249" name="[FactPayment].[CaseKey].&amp;[8301|00019487]"/>
            <x15:cachedUniqueName index="4250" name="[FactPayment].[CaseKey].&amp;[8301|00019495]"/>
            <x15:cachedUniqueName index="4251" name="[FactPayment].[CaseKey].&amp;[8301|00019503]"/>
            <x15:cachedUniqueName index="4252" name="[FactPayment].[CaseKey].&amp;[8301|00019510]"/>
            <x15:cachedUniqueName index="4253" name="[FactPayment].[CaseKey].&amp;[8301|00019521]"/>
            <x15:cachedUniqueName index="4254" name="[FactPayment].[CaseKey].&amp;[8301|00019536]"/>
            <x15:cachedUniqueName index="4255" name="[FactPayment].[CaseKey].&amp;[8301|00019545]"/>
            <x15:cachedUniqueName index="4256" name="[FactPayment].[CaseKey].&amp;[8301|00019554]"/>
            <x15:cachedUniqueName index="4257" name="[FactPayment].[CaseKey].&amp;[8301|00019565]"/>
            <x15:cachedUniqueName index="4258" name="[FactPayment].[CaseKey].&amp;[8301|00019576]"/>
            <x15:cachedUniqueName index="4259" name="[FactPayment].[CaseKey].&amp;[8301|00019580]"/>
            <x15:cachedUniqueName index="4260" name="[FactPayment].[CaseKey].&amp;[8301|00019592]"/>
            <x15:cachedUniqueName index="4261" name="[FactPayment].[CaseKey].&amp;[8301|00019601]"/>
            <x15:cachedUniqueName index="4262" name="[FactPayment].[CaseKey].&amp;[8301|00019612]"/>
            <x15:cachedUniqueName index="4263" name="[FactPayment].[CaseKey].&amp;[8301|00019621]"/>
            <x15:cachedUniqueName index="4264" name="[FactPayment].[CaseKey].&amp;[8301|00019637]"/>
            <x15:cachedUniqueName index="4265" name="[FactPayment].[CaseKey].&amp;[8301|00019646]"/>
            <x15:cachedUniqueName index="4266" name="[FactPayment].[CaseKey].&amp;[8301|00019651]"/>
            <x15:cachedUniqueName index="4267" name="[FactPayment].[CaseKey].&amp;[8301|00019664]"/>
            <x15:cachedUniqueName index="4268" name="[FactPayment].[CaseKey].&amp;[8301|00019671]"/>
            <x15:cachedUniqueName index="4269" name="[FactPayment].[CaseKey].&amp;[8301|00019685]"/>
            <x15:cachedUniqueName index="4270" name="[FactPayment].[CaseKey].&amp;[8301|00019694]"/>
            <x15:cachedUniqueName index="4271" name="[FactPayment].[CaseKey].&amp;[8301|00019702]"/>
            <x15:cachedUniqueName index="4272" name="[FactPayment].[CaseKey].&amp;[8301|00019713]"/>
            <x15:cachedUniqueName index="4273" name="[FactPayment].[CaseKey].&amp;[8301|00019734]"/>
            <x15:cachedUniqueName index="4274" name="[FactPayment].[CaseKey].&amp;[8301|00019744]"/>
            <x15:cachedUniqueName index="4275" name="[FactPayment].[CaseKey].&amp;[8301|00019754]"/>
            <x15:cachedUniqueName index="4276" name="[FactPayment].[CaseKey].&amp;[8301|00019767]"/>
            <x15:cachedUniqueName index="4277" name="[FactPayment].[CaseKey].&amp;[8301|00019774]"/>
            <x15:cachedUniqueName index="4278" name="[FactPayment].[CaseKey].&amp;[8301|00019780]"/>
            <x15:cachedUniqueName index="4279" name="[FactPayment].[CaseKey].&amp;[8301|00019791]"/>
            <x15:cachedUniqueName index="4280" name="[FactPayment].[CaseKey].&amp;[8301|00019800]"/>
            <x15:cachedUniqueName index="4281" name="[FactPayment].[CaseKey].&amp;[8301|00019811]"/>
            <x15:cachedUniqueName index="4282" name="[FactPayment].[CaseKey].&amp;[8301|00019820]"/>
            <x15:cachedUniqueName index="4283" name="[FactPayment].[CaseKey].&amp;[8301|00019836]"/>
            <x15:cachedUniqueName index="4284" name="[FactPayment].[CaseKey].&amp;[8301|00019842]"/>
            <x15:cachedUniqueName index="4285" name="[FactPayment].[CaseKey].&amp;[8301|00019852]"/>
            <x15:cachedUniqueName index="4286" name="[FactPayment].[CaseKey].&amp;[8301|00019860]"/>
            <x15:cachedUniqueName index="4287" name="[FactPayment].[CaseKey].&amp;[8301|00019873]"/>
            <x15:cachedUniqueName index="4288" name="[FactPayment].[CaseKey].&amp;[8301|00019880]"/>
            <x15:cachedUniqueName index="4289" name="[FactPayment].[CaseKey].&amp;[8301|00019897]"/>
            <x15:cachedUniqueName index="4290" name="[FactPayment].[CaseKey].&amp;[8301|00019907]"/>
            <x15:cachedUniqueName index="4291" name="[FactPayment].[CaseKey].&amp;[8301|00019910]"/>
            <x15:cachedUniqueName index="4292" name="[FactPayment].[CaseKey].&amp;[8301|00019921]"/>
            <x15:cachedUniqueName index="4293" name="[FactPayment].[CaseKey].&amp;[8301|00019938]"/>
            <x15:cachedUniqueName index="4294" name="[FactPayment].[CaseKey].&amp;[8301|00019941]"/>
            <x15:cachedUniqueName index="4295" name="[FactPayment].[CaseKey].&amp;[8301|00019957]"/>
            <x15:cachedUniqueName index="4296" name="[FactPayment].[CaseKey].&amp;[8301|00019968]"/>
            <x15:cachedUniqueName index="4297" name="[FactPayment].[CaseKey].&amp;[8301|00019978]"/>
            <x15:cachedUniqueName index="4298" name="[FactPayment].[CaseKey].&amp;[8301|00019981]"/>
            <x15:cachedUniqueName index="4299" name="[FactPayment].[CaseKey].&amp;[8301|00020002]"/>
            <x15:cachedUniqueName index="4300" name="[FactPayment].[CaseKey].&amp;[8301|00020026]"/>
            <x15:cachedUniqueName index="4301" name="[FactPayment].[CaseKey].&amp;[8301|00020036]"/>
            <x15:cachedUniqueName index="4302" name="[FactPayment].[CaseKey].&amp;[8301|00020048]"/>
            <x15:cachedUniqueName index="4303" name="[FactPayment].[CaseKey].&amp;[8301|00020054]"/>
            <x15:cachedUniqueName index="4304" name="[FactPayment].[CaseKey].&amp;[8301|00020067]"/>
            <x15:cachedUniqueName index="4305" name="[FactPayment].[CaseKey].&amp;[8301|00020075]"/>
            <x15:cachedUniqueName index="4306" name="[FactPayment].[CaseKey].&amp;[8301|00020084]"/>
            <x15:cachedUniqueName index="4307" name="[FactPayment].[CaseKey].&amp;[8301|00020095]"/>
            <x15:cachedUniqueName index="4308" name="[FactPayment].[CaseKey].&amp;[8301|00020106]"/>
            <x15:cachedUniqueName index="4309" name="[FactPayment].[CaseKey].&amp;[8301|00020116]"/>
            <x15:cachedUniqueName index="4310" name="[FactPayment].[CaseKey].&amp;[8301|00020125]"/>
            <x15:cachedUniqueName index="4311" name="[FactPayment].[CaseKey].&amp;[8301|00020132]"/>
            <x15:cachedUniqueName index="4312" name="[FactPayment].[CaseKey].&amp;[8301|00020147]"/>
            <x15:cachedUniqueName index="4313" name="[FactPayment].[CaseKey].&amp;[8301|00020158]"/>
            <x15:cachedUniqueName index="4314" name="[FactPayment].[CaseKey].&amp;[8301|00020167]"/>
            <x15:cachedUniqueName index="4315" name="[FactPayment].[CaseKey].&amp;[8301|00020171]"/>
            <x15:cachedUniqueName index="4316" name="[FactPayment].[CaseKey].&amp;[8301|00020180]"/>
            <x15:cachedUniqueName index="4317" name="[FactPayment].[CaseKey].&amp;[8301|00020195]"/>
            <x15:cachedUniqueName index="4318" name="[FactPayment].[CaseKey].&amp;[8301|00020205]"/>
            <x15:cachedUniqueName index="4319" name="[FactPayment].[CaseKey].&amp;[8301|00020214]"/>
            <x15:cachedUniqueName index="4320" name="[FactPayment].[CaseKey].&amp;[8301|00020223]"/>
            <x15:cachedUniqueName index="4321" name="[FactPayment].[CaseKey].&amp;[8301|00020234]"/>
            <x15:cachedUniqueName index="4322" name="[FactPayment].[CaseKey].&amp;[8301|00020240]"/>
            <x15:cachedUniqueName index="4323" name="[FactPayment].[CaseKey].&amp;[8301|00020255]"/>
            <x15:cachedUniqueName index="4324" name="[FactPayment].[CaseKey].&amp;[8301|00020268]"/>
            <x15:cachedUniqueName index="4325" name="[FactPayment].[CaseKey].&amp;[8301|00020274]"/>
            <x15:cachedUniqueName index="4326" name="[FactPayment].[CaseKey].&amp;[8301|00020291]"/>
            <x15:cachedUniqueName index="4327" name="[FactPayment].[CaseKey].&amp;[8301|00020304]"/>
            <x15:cachedUniqueName index="4328" name="[FactPayment].[CaseKey].&amp;[8301|00020310]"/>
            <x15:cachedUniqueName index="4329" name="[FactPayment].[CaseKey].&amp;[8301|00020325]"/>
            <x15:cachedUniqueName index="4330" name="[FactPayment].[CaseKey].&amp;[8301|00020331]"/>
            <x15:cachedUniqueName index="4331" name="[FactPayment].[CaseKey].&amp;[8301|00020341]"/>
            <x15:cachedUniqueName index="4332" name="[FactPayment].[CaseKey].&amp;[8301|00020360]"/>
            <x15:cachedUniqueName index="4333" name="[FactPayment].[CaseKey].&amp;[8301|00020375]"/>
            <x15:cachedUniqueName index="4334" name="[FactPayment].[CaseKey].&amp;[8301|00020381]"/>
            <x15:cachedUniqueName index="4335" name="[FactPayment].[CaseKey].&amp;[8301|00020397]"/>
            <x15:cachedUniqueName index="4336" name="[FactPayment].[CaseKey].&amp;[8301|00020412]"/>
            <x15:cachedUniqueName index="4337" name="[FactPayment].[CaseKey].&amp;[8301|00020421]"/>
            <x15:cachedUniqueName index="4338" name="[FactPayment].[CaseKey].&amp;[8301|00020438]"/>
            <x15:cachedUniqueName index="4339" name="[FactPayment].[CaseKey].&amp;[8301|00020440]"/>
            <x15:cachedUniqueName index="4340" name="[FactPayment].[CaseKey].&amp;[8301|00020455]"/>
            <x15:cachedUniqueName index="4341" name="[FactPayment].[CaseKey].&amp;[8301|00020464]"/>
            <x15:cachedUniqueName index="4342" name="[FactPayment].[CaseKey].&amp;[8301|00020475]"/>
            <x15:cachedUniqueName index="4343" name="[FactPayment].[CaseKey].&amp;[8301|00020487]"/>
            <x15:cachedUniqueName index="4344" name="[FactPayment].[CaseKey].&amp;[8301|00020495]"/>
            <x15:cachedUniqueName index="4345" name="[FactPayment].[CaseKey].&amp;[8301|00020505]"/>
            <x15:cachedUniqueName index="4346" name="[FactPayment].[CaseKey].&amp;[8301|00020511]"/>
            <x15:cachedUniqueName index="4347" name="[FactPayment].[CaseKey].&amp;[8301|00020520]"/>
            <x15:cachedUniqueName index="4348" name="[FactPayment].[CaseKey].&amp;[8301|00020530]"/>
            <x15:cachedUniqueName index="4349" name="[FactPayment].[CaseKey].&amp;[8301|00020543]"/>
            <x15:cachedUniqueName index="4350" name="[FactPayment].[CaseKey].&amp;[8301|00020552]"/>
            <x15:cachedUniqueName index="4351" name="[FactPayment].[CaseKey].&amp;[8301|00020560]"/>
            <x15:cachedUniqueName index="4352" name="[FactPayment].[CaseKey].&amp;[8301|00020577]"/>
            <x15:cachedUniqueName index="4353" name="[FactPayment].[CaseKey].&amp;[8301|00020581]"/>
            <x15:cachedUniqueName index="4354" name="[FactPayment].[CaseKey].&amp;[8301|00020593]"/>
            <x15:cachedUniqueName index="4355" name="[FactPayment].[CaseKey].&amp;[8301|00020601]"/>
            <x15:cachedUniqueName index="4356" name="[FactPayment].[CaseKey].&amp;[8301|00020613]"/>
            <x15:cachedUniqueName index="4357" name="[FactPayment].[CaseKey].&amp;[8301|00020628]"/>
            <x15:cachedUniqueName index="4358" name="[FactPayment].[CaseKey].&amp;[8301|00020633]"/>
            <x15:cachedUniqueName index="4359" name="[FactPayment].[CaseKey].&amp;[8301|00020645]"/>
            <x15:cachedUniqueName index="4360" name="[FactPayment].[CaseKey].&amp;[8301|00020652]"/>
            <x15:cachedUniqueName index="4361" name="[FactPayment].[CaseKey].&amp;[8301|00020668]"/>
            <x15:cachedUniqueName index="4362" name="[FactPayment].[CaseKey].&amp;[8301|00020678]"/>
            <x15:cachedUniqueName index="4363" name="[FactPayment].[CaseKey].&amp;[8301|00020683]"/>
            <x15:cachedUniqueName index="4364" name="[FactPayment].[CaseKey].&amp;[8301|00020697]"/>
            <x15:cachedUniqueName index="4365" name="[FactPayment].[CaseKey].&amp;[8301|00020704]"/>
            <x15:cachedUniqueName index="4366" name="[FactPayment].[CaseKey].&amp;[8301|00020716]"/>
            <x15:cachedUniqueName index="4367" name="[FactPayment].[CaseKey].&amp;[8301|00020726]"/>
            <x15:cachedUniqueName index="4368" name="[FactPayment].[CaseKey].&amp;[8301|00020731]"/>
            <x15:cachedUniqueName index="4369" name="[FactPayment].[CaseKey].&amp;[8301|00020740]"/>
            <x15:cachedUniqueName index="4370" name="[FactPayment].[CaseKey].&amp;[8301|00020753]"/>
            <x15:cachedUniqueName index="4371" name="[FactPayment].[CaseKey].&amp;[8301|00020770]"/>
            <x15:cachedUniqueName index="4372" name="[FactPayment].[CaseKey].&amp;[8301|00020787]"/>
            <x15:cachedUniqueName index="4373" name="[FactPayment].[CaseKey].&amp;[8301|00020791]"/>
            <x15:cachedUniqueName index="4374" name="[FactPayment].[CaseKey].&amp;[8301|00020808]"/>
            <x15:cachedUniqueName index="4375" name="[FactPayment].[CaseKey].&amp;[8301|00020814]"/>
            <x15:cachedUniqueName index="4376" name="[FactPayment].[CaseKey].&amp;[8301|00020821]"/>
            <x15:cachedUniqueName index="4377" name="[FactPayment].[CaseKey].&amp;[8301|00020832]"/>
            <x15:cachedUniqueName index="4378" name="[FactPayment].[CaseKey].&amp;[8301|00020847]"/>
            <x15:cachedUniqueName index="4379" name="[FactPayment].[CaseKey].&amp;[8301|00020853]"/>
            <x15:cachedUniqueName index="4380" name="[FactPayment].[CaseKey].&amp;[8301|00020862]"/>
            <x15:cachedUniqueName index="4381" name="[FactPayment].[CaseKey].&amp;[8301|00020876]"/>
            <x15:cachedUniqueName index="4382" name="[FactPayment].[CaseKey].&amp;[8301|00020883]"/>
            <x15:cachedUniqueName index="4383" name="[FactPayment].[CaseKey].&amp;[8301|00020895]"/>
            <x15:cachedUniqueName index="4384" name="[FactPayment].[CaseKey].&amp;[8301|00020903]"/>
            <x15:cachedUniqueName index="4385" name="[FactPayment].[CaseKey].&amp;[8301|00020912]"/>
            <x15:cachedUniqueName index="4386" name="[FactPayment].[CaseKey].&amp;[8301|00020928]"/>
            <x15:cachedUniqueName index="4387" name="[FactPayment].[CaseKey].&amp;[8301|00020936]"/>
            <x15:cachedUniqueName index="4388" name="[FactPayment].[CaseKey].&amp;[8301|00020941]"/>
            <x15:cachedUniqueName index="4389" name="[FactPayment].[CaseKey].&amp;[8301|00020957]"/>
            <x15:cachedUniqueName index="4390" name="[FactPayment].[CaseKey].&amp;[8301|00020967]"/>
            <x15:cachedUniqueName index="4391" name="[FactPayment].[CaseKey].&amp;[8301|00020970]"/>
            <x15:cachedUniqueName index="4392" name="[FactPayment].[CaseKey].&amp;[8301|00020987]"/>
            <x15:cachedUniqueName index="4393" name="[FactPayment].[CaseKey].&amp;[8301|00020993]"/>
            <x15:cachedUniqueName index="4394" name="[FactPayment].[CaseKey].&amp;[8301|00021002]"/>
            <x15:cachedUniqueName index="4395" name="[FactPayment].[CaseKey].&amp;[8301|00021017]"/>
            <x15:cachedUniqueName index="4396" name="[FactPayment].[CaseKey].&amp;[8301|00021023]"/>
            <x15:cachedUniqueName index="4397" name="[FactPayment].[CaseKey].&amp;[8301|00021036]"/>
            <x15:cachedUniqueName index="4398" name="[FactPayment].[CaseKey].&amp;[8301|00021043]"/>
            <x15:cachedUniqueName index="4399" name="[FactPayment].[CaseKey].&amp;[8301|00021055]"/>
            <x15:cachedUniqueName index="4400" name="[FactPayment].[CaseKey].&amp;[8301|00021067]"/>
            <x15:cachedUniqueName index="4401" name="[FactPayment].[CaseKey].&amp;[8301|00021077]"/>
            <x15:cachedUniqueName index="4402" name="[FactPayment].[CaseKey].&amp;[8301|00021080]"/>
            <x15:cachedUniqueName index="4403" name="[FactPayment].[CaseKey].&amp;[8301|00021094]"/>
            <x15:cachedUniqueName index="4404" name="[FactPayment].[CaseKey].&amp;[8301|00021107]"/>
            <x15:cachedUniqueName index="4405" name="[FactPayment].[CaseKey].&amp;[8301|00021114]"/>
            <x15:cachedUniqueName index="4406" name="[FactPayment].[CaseKey].&amp;[8301|00021120]"/>
            <x15:cachedUniqueName index="4407" name="[FactPayment].[CaseKey].&amp;[8301|00021135]"/>
            <x15:cachedUniqueName index="4408" name="[FactPayment].[CaseKey].&amp;[8301|00021154]"/>
            <x15:cachedUniqueName index="4409" name="[FactPayment].[CaseKey].&amp;[8301|00021161]"/>
            <x15:cachedUniqueName index="4410" name="[FactPayment].[CaseKey].&amp;[8301|00021176]"/>
            <x15:cachedUniqueName index="4411" name="[FactPayment].[CaseKey].&amp;[8301|00021182]"/>
            <x15:cachedUniqueName index="4412" name="[FactPayment].[CaseKey].&amp;[8301|00021198]"/>
            <x15:cachedUniqueName index="4413" name="[FactPayment].[CaseKey].&amp;[8301|00021207]"/>
            <x15:cachedUniqueName index="4414" name="[FactPayment].[CaseKey].&amp;[8301|00021216]"/>
            <x15:cachedUniqueName index="4415" name="[FactPayment].[CaseKey].&amp;[8301|00021223]"/>
            <x15:cachedUniqueName index="4416" name="[FactPayment].[CaseKey].&amp;[8301|00021230]"/>
            <x15:cachedUniqueName index="4417" name="[FactPayment].[CaseKey].&amp;[8301|00021240]"/>
            <x15:cachedUniqueName index="4418" name="[FactPayment].[CaseKey].&amp;[8301|00021254]"/>
            <x15:cachedUniqueName index="4419" name="[FactPayment].[CaseKey].&amp;[8301|00021261]"/>
            <x15:cachedUniqueName index="4420" name="[FactPayment].[CaseKey].&amp;[8301|00021271]"/>
            <x15:cachedUniqueName index="4421" name="[FactPayment].[CaseKey].&amp;[8301|00021287]"/>
            <x15:cachedUniqueName index="4422" name="[FactPayment].[CaseKey].&amp;[8301|00021292]"/>
            <x15:cachedUniqueName index="4423" name="[FactPayment].[CaseKey].&amp;[8301|00021305]"/>
            <x15:cachedUniqueName index="4424" name="[FactPayment].[CaseKey].&amp;[8301|00021317]"/>
            <x15:cachedUniqueName index="4425" name="[FactPayment].[CaseKey].&amp;[8301|00021328]"/>
            <x15:cachedUniqueName index="4426" name="[FactPayment].[CaseKey].&amp;[8301|00021330]"/>
            <x15:cachedUniqueName index="4427" name="[FactPayment].[CaseKey].&amp;[8301|00021343]"/>
            <x15:cachedUniqueName index="4428" name="[FactPayment].[CaseKey].&amp;[8301|00021352]"/>
            <x15:cachedUniqueName index="4429" name="[FactPayment].[CaseKey].&amp;[8301|00021362]"/>
            <x15:cachedUniqueName index="4430" name="[FactPayment].[CaseKey].&amp;[8301|00021374]"/>
            <x15:cachedUniqueName index="4431" name="[FactPayment].[CaseKey].&amp;[8301|00021385]"/>
            <x15:cachedUniqueName index="4432" name="[FactPayment].[CaseKey].&amp;[8301|00021394]"/>
            <x15:cachedUniqueName index="4433" name="[FactPayment].[CaseKey].&amp;[8301|00021408]"/>
            <x15:cachedUniqueName index="4434" name="[FactPayment].[CaseKey].&amp;[8301|00021417]"/>
            <x15:cachedUniqueName index="4435" name="[FactPayment].[CaseKey].&amp;[8301|00021426]"/>
            <x15:cachedUniqueName index="4436" name="[FactPayment].[CaseKey].&amp;[8301|00021445]"/>
            <x15:cachedUniqueName index="4437" name="[FactPayment].[CaseKey].&amp;[8301|00021457]"/>
            <x15:cachedUniqueName index="4438" name="[FactPayment].[CaseKey].&amp;[8301|00021460]"/>
            <x15:cachedUniqueName index="4439" name="[FactPayment].[CaseKey].&amp;[8301|00021474]"/>
            <x15:cachedUniqueName index="4440" name="[FactPayment].[CaseKey].&amp;[8301|00021485]"/>
            <x15:cachedUniqueName index="4441" name="[FactPayment].[CaseKey].&amp;[8301|00021492]"/>
            <x15:cachedUniqueName index="4442" name="[FactPayment].[CaseKey].&amp;[8301|00021500]"/>
            <x15:cachedUniqueName index="4443" name="[FactPayment].[CaseKey].&amp;[8301|00021515]"/>
            <x15:cachedUniqueName index="4444" name="[FactPayment].[CaseKey].&amp;[8301|00021527]"/>
            <x15:cachedUniqueName index="4445" name="[FactPayment].[CaseKey].&amp;[8301|00021531]"/>
            <x15:cachedUniqueName index="4446" name="[FactPayment].[CaseKey].&amp;[8301|00021542]"/>
            <x15:cachedUniqueName index="4447" name="[FactPayment].[CaseKey].&amp;[8301|00021556]"/>
            <x15:cachedUniqueName index="4448" name="[FactPayment].[CaseKey].&amp;[8301|00021564]"/>
            <x15:cachedUniqueName index="4449" name="[FactPayment].[CaseKey].&amp;[8301|00021572]"/>
            <x15:cachedUniqueName index="4450" name="[FactPayment].[CaseKey].&amp;[8301|00021593]"/>
            <x15:cachedUniqueName index="4451" name="[FactPayment].[CaseKey].&amp;[8301|00021625]"/>
            <x15:cachedUniqueName index="4452" name="[FactPayment].[CaseKey].&amp;[8301|00021638]"/>
            <x15:cachedUniqueName index="4453" name="[FactPayment].[CaseKey].&amp;[8301|00021642]"/>
            <x15:cachedUniqueName index="4454" name="[FactPayment].[CaseKey].&amp;[8301|00021655]"/>
            <x15:cachedUniqueName index="4455" name="[FactPayment].[CaseKey].&amp;[8301|00021660]"/>
            <x15:cachedUniqueName index="4456" name="[FactPayment].[CaseKey].&amp;[8301|00021677]"/>
            <x15:cachedUniqueName index="4457" name="[FactPayment].[CaseKey].&amp;[8301|00021683]"/>
            <x15:cachedUniqueName index="4458" name="[FactPayment].[CaseKey].&amp;[8301|00021697]"/>
            <x15:cachedUniqueName index="4459" name="[FactPayment].[CaseKey].&amp;[8301|00021701]"/>
            <x15:cachedUniqueName index="4460" name="[FactPayment].[CaseKey].&amp;[8301|00021711]"/>
            <x15:cachedUniqueName index="4461" name="[FactPayment].[CaseKey].&amp;[8301|00021722]"/>
            <x15:cachedUniqueName index="4462" name="[FactPayment].[CaseKey].&amp;[8301|00021730]"/>
            <x15:cachedUniqueName index="4463" name="[FactPayment].[CaseKey].&amp;[8301|00021747]"/>
            <x15:cachedUniqueName index="4464" name="[FactPayment].[CaseKey].&amp;[8301|00021758]"/>
            <x15:cachedUniqueName index="4465" name="[FactPayment].[CaseKey].&amp;[8301|00021763]"/>
            <x15:cachedUniqueName index="4466" name="[FactPayment].[CaseKey].&amp;[8301|00021783]"/>
            <x15:cachedUniqueName index="4467" name="[FactPayment].[CaseKey].&amp;[8301|00021797]"/>
            <x15:cachedUniqueName index="4468" name="[FactPayment].[CaseKey].&amp;[8301|00021802]"/>
            <x15:cachedUniqueName index="4469" name="[FactPayment].[CaseKey].&amp;[8301|00021817]"/>
            <x15:cachedUniqueName index="4470" name="[FactPayment].[CaseKey].&amp;[8301|00021823]"/>
            <x15:cachedUniqueName index="4471" name="[FactPayment].[CaseKey].&amp;[8301|00021845]"/>
            <x15:cachedUniqueName index="4472" name="[FactPayment].[CaseKey].&amp;[8301|00021867]"/>
            <x15:cachedUniqueName index="4473" name="[FactPayment].[CaseKey].&amp;[8301|00021885]"/>
            <x15:cachedUniqueName index="4474" name="[FactPayment].[CaseKey].&amp;[8301|00021891]"/>
            <x15:cachedUniqueName index="4475" name="[FactPayment].[CaseKey].&amp;[8301|00021907]"/>
            <x15:cachedUniqueName index="4476" name="[FactPayment].[CaseKey].&amp;[8301|00021914]"/>
            <x15:cachedUniqueName index="4477" name="[FactPayment].[CaseKey].&amp;[8301|00021923]"/>
            <x15:cachedUniqueName index="4478" name="[FactPayment].[CaseKey].&amp;[8301|00021934]"/>
            <x15:cachedUniqueName index="4479" name="[FactPayment].[CaseKey].&amp;[8301|00021941]"/>
            <x15:cachedUniqueName index="4480" name="[FactPayment].[CaseKey].&amp;[8301|00021953]"/>
            <x15:cachedUniqueName index="4481" name="[FactPayment].[CaseKey].&amp;[8301|00021964]"/>
            <x15:cachedUniqueName index="4482" name="[FactPayment].[CaseKey].&amp;[8301|00021972]"/>
            <x15:cachedUniqueName index="4483" name="[FactPayment].[CaseKey].&amp;[8301|00021984]"/>
            <x15:cachedUniqueName index="4484" name="[FactPayment].[CaseKey].&amp;[8301|00021998]"/>
            <x15:cachedUniqueName index="4485" name="[FactPayment].[CaseKey].&amp;[8301|00022006]"/>
            <x15:cachedUniqueName index="4486" name="[FactPayment].[CaseKey].&amp;[8301|00022018]"/>
            <x15:cachedUniqueName index="4487" name="[FactPayment].[CaseKey].&amp;[8301|00022022]"/>
            <x15:cachedUniqueName index="4488" name="[FactPayment].[CaseKey].&amp;[8301|00022033]"/>
            <x15:cachedUniqueName index="4489" name="[FactPayment].[CaseKey].&amp;[8301|00022042]"/>
            <x15:cachedUniqueName index="4490" name="[FactPayment].[CaseKey].&amp;[8301|00022052]"/>
            <x15:cachedUniqueName index="4491" name="[FactPayment].[CaseKey].&amp;[8301|00022060]"/>
            <x15:cachedUniqueName index="4492" name="[FactPayment].[CaseKey].&amp;[8301|00022078]"/>
            <x15:cachedUniqueName index="4493" name="[FactPayment].[CaseKey].&amp;[8301|00022088]"/>
            <x15:cachedUniqueName index="4494" name="[FactPayment].[CaseKey].&amp;[8301|00022118]"/>
            <x15:cachedUniqueName index="4495" name="[FactPayment].[CaseKey].&amp;[8301|00022122]"/>
            <x15:cachedUniqueName index="4496" name="[FactPayment].[CaseKey].&amp;[8301|00022135]"/>
            <x15:cachedUniqueName index="4497" name="[FactPayment].[CaseKey].&amp;[8301|00022147]"/>
            <x15:cachedUniqueName index="4498" name="[FactPayment].[CaseKey].&amp;[8301|00022152]"/>
            <x15:cachedUniqueName index="4499" name="[FactPayment].[CaseKey].&amp;[8301|00022162]"/>
            <x15:cachedUniqueName index="4500" name="[FactPayment].[CaseKey].&amp;[8301|00022177]"/>
            <x15:cachedUniqueName index="4501" name="[FactPayment].[CaseKey].&amp;[8301|00022188]"/>
            <x15:cachedUniqueName index="4502" name="[FactPayment].[CaseKey].&amp;[8301|00022191]"/>
            <x15:cachedUniqueName index="4503" name="[FactPayment].[CaseKey].&amp;[8301|00022205]"/>
            <x15:cachedUniqueName index="4504" name="[FactPayment].[CaseKey].&amp;[8301|00022216]"/>
            <x15:cachedUniqueName index="4505" name="[FactPayment].[CaseKey].&amp;[8301|00022225]"/>
            <x15:cachedUniqueName index="4506" name="[FactPayment].[CaseKey].&amp;[8301|00022230]"/>
            <x15:cachedUniqueName index="4507" name="[FactPayment].[CaseKey].&amp;[8301|00022242]"/>
            <x15:cachedUniqueName index="4508" name="[FactPayment].[CaseKey].&amp;[8301|00022258]"/>
            <x15:cachedUniqueName index="4509" name="[FactPayment].[CaseKey].&amp;[8301|00022261]"/>
            <x15:cachedUniqueName index="4510" name="[FactPayment].[CaseKey].&amp;[8301|00022285]"/>
            <x15:cachedUniqueName index="4511" name="[FactPayment].[CaseKey].&amp;[8301|00022293]"/>
            <x15:cachedUniqueName index="4512" name="[FactPayment].[CaseKey].&amp;[8301|00022304]"/>
            <x15:cachedUniqueName index="4513" name="[FactPayment].[CaseKey].&amp;[8301|00022318]"/>
            <x15:cachedUniqueName index="4514" name="[FactPayment].[CaseKey].&amp;[8301|00022328]"/>
            <x15:cachedUniqueName index="4515" name="[FactPayment].[CaseKey].&amp;[8301|00022333]"/>
            <x15:cachedUniqueName index="4516" name="[FactPayment].[CaseKey].&amp;[8301|00022340]"/>
            <x15:cachedUniqueName index="4517" name="[FactPayment].[CaseKey].&amp;[8301|00022363]"/>
            <x15:cachedUniqueName index="4518" name="[FactPayment].[CaseKey].&amp;[8301|00022378]"/>
            <x15:cachedUniqueName index="4519" name="[FactPayment].[CaseKey].&amp;[8301|00022383]"/>
            <x15:cachedUniqueName index="4520" name="[FactPayment].[CaseKey].&amp;[8301|00022397]"/>
            <x15:cachedUniqueName index="4521" name="[FactPayment].[CaseKey].&amp;[8301|00022401]"/>
            <x15:cachedUniqueName index="4522" name="[FactPayment].[CaseKey].&amp;[8301|00022418]"/>
            <x15:cachedUniqueName index="4523" name="[FactPayment].[CaseKey].&amp;[8301|00022420]"/>
            <x15:cachedUniqueName index="4524" name="[FactPayment].[CaseKey].&amp;[8301|00022434]"/>
            <x15:cachedUniqueName index="4525" name="[FactPayment].[CaseKey].&amp;[8301|00022440]"/>
            <x15:cachedUniqueName index="4526" name="[FactPayment].[CaseKey].&amp;[8301|00022455]"/>
            <x15:cachedUniqueName index="4527" name="[FactPayment].[CaseKey].&amp;[8301|00022463]"/>
            <x15:cachedUniqueName index="4528" name="[FactPayment].[CaseKey].&amp;[8301|00022470]"/>
            <x15:cachedUniqueName index="4529" name="[FactPayment].[CaseKey].&amp;[8301|00022483]"/>
            <x15:cachedUniqueName index="4530" name="[FactPayment].[CaseKey].&amp;[8301|00022496]"/>
            <x15:cachedUniqueName index="4531" name="[FactPayment].[CaseKey].&amp;[8301|00022501]"/>
            <x15:cachedUniqueName index="4532" name="[FactPayment].[CaseKey].&amp;[8301|00022510]"/>
            <x15:cachedUniqueName index="4533" name="[FactPayment].[CaseKey].&amp;[8301|00022528]"/>
            <x15:cachedUniqueName index="4534" name="[FactPayment].[CaseKey].&amp;[8301|00022536]"/>
            <x15:cachedUniqueName index="4535" name="[FactPayment].[CaseKey].&amp;[8301|00022543]"/>
            <x15:cachedUniqueName index="4536" name="[FactPayment].[CaseKey].&amp;[8301|00022554]"/>
            <x15:cachedUniqueName index="4537" name="[FactPayment].[CaseKey].&amp;[8301|00022560]"/>
            <x15:cachedUniqueName index="4538" name="[FactPayment].[CaseKey].&amp;[8301|00022574]"/>
            <x15:cachedUniqueName index="4539" name="[FactPayment].[CaseKey].&amp;[8301|00022584]"/>
            <x15:cachedUniqueName index="4540" name="[FactPayment].[CaseKey].&amp;[8301|00022596]"/>
            <x15:cachedUniqueName index="4541" name="[FactPayment].[CaseKey].&amp;[8301|00022606]"/>
            <x15:cachedUniqueName index="4542" name="[FactPayment].[CaseKey].&amp;[8301|00022618]"/>
            <x15:cachedUniqueName index="4543" name="[FactPayment].[CaseKey].&amp;[8301|00022626]"/>
            <x15:cachedUniqueName index="4544" name="[FactPayment].[CaseKey].&amp;[8301|00022636]"/>
            <x15:cachedUniqueName index="4545" name="[FactPayment].[CaseKey].&amp;[8301|00022644]"/>
            <x15:cachedUniqueName index="4546" name="[FactPayment].[CaseKey].&amp;[8301|00022655]"/>
            <x15:cachedUniqueName index="4547" name="[FactPayment].[CaseKey].&amp;[8301|00022668]"/>
            <x15:cachedUniqueName index="4548" name="[FactPayment].[CaseKey].&amp;[8301|00022677]"/>
            <x15:cachedUniqueName index="4549" name="[FactPayment].[CaseKey].&amp;[8301|00022684]"/>
            <x15:cachedUniqueName index="4550" name="[FactPayment].[CaseKey].&amp;[8301|00022692]"/>
            <x15:cachedUniqueName index="4551" name="[FactPayment].[CaseKey].&amp;[8301|00022702]"/>
            <x15:cachedUniqueName index="4552" name="[FactPayment].[CaseKey].&amp;[8301|00022713]"/>
            <x15:cachedUniqueName index="4553" name="[FactPayment].[CaseKey].&amp;[8301|00022728]"/>
            <x15:cachedUniqueName index="4554" name="[FactPayment].[CaseKey].&amp;[8301|00022744]"/>
            <x15:cachedUniqueName index="4555" name="[FactPayment].[CaseKey].&amp;[8301|00022753]"/>
            <x15:cachedUniqueName index="4556" name="[FactPayment].[CaseKey].&amp;[8301|00022762]"/>
            <x15:cachedUniqueName index="4557" name="[FactPayment].[CaseKey].&amp;[8301|00022771]"/>
            <x15:cachedUniqueName index="4558" name="[FactPayment].[CaseKey].&amp;[8301|00022783]"/>
            <x15:cachedUniqueName index="4559" name="[FactPayment].[CaseKey].&amp;[8301|00022795]"/>
            <x15:cachedUniqueName index="4560" name="[FactPayment].[CaseKey].&amp;[8301|00022804]"/>
            <x15:cachedUniqueName index="4561" name="[FactPayment].[CaseKey].&amp;[8301|00022815]"/>
            <x15:cachedUniqueName index="4562" name="[FactPayment].[CaseKey].&amp;[8301|00022821]"/>
            <x15:cachedUniqueName index="4563" name="[FactPayment].[CaseKey].&amp;[8301|00022834]"/>
            <x15:cachedUniqueName index="4564" name="[FactPayment].[CaseKey].&amp;[8301|00022847]"/>
            <x15:cachedUniqueName index="4565" name="[FactPayment].[CaseKey].&amp;[8301|00022858]"/>
            <x15:cachedUniqueName index="4566" name="[FactPayment].[CaseKey].&amp;[8301|00022863]"/>
            <x15:cachedUniqueName index="4567" name="[FactPayment].[CaseKey].&amp;[8301|00022875]"/>
            <x15:cachedUniqueName index="4568" name="[FactPayment].[CaseKey].&amp;[8301|00022882]"/>
            <x15:cachedUniqueName index="4569" name="[FactPayment].[CaseKey].&amp;[8301|00022894]"/>
            <x15:cachedUniqueName index="4570" name="[FactPayment].[CaseKey].&amp;[8301|00022906]"/>
            <x15:cachedUniqueName index="4571" name="[FactPayment].[CaseKey].&amp;[8301|00022915]"/>
            <x15:cachedUniqueName index="4572" name="[FactPayment].[CaseKey].&amp;[8301|00022921]"/>
            <x15:cachedUniqueName index="4573" name="[FactPayment].[CaseKey].&amp;[8301|00022933]"/>
            <x15:cachedUniqueName index="4574" name="[FactPayment].[CaseKey].&amp;[8301|00022944]"/>
            <x15:cachedUniqueName index="4575" name="[FactPayment].[CaseKey].&amp;[8301|00022957]"/>
            <x15:cachedUniqueName index="4576" name="[FactPayment].[CaseKey].&amp;[8301|00022962]"/>
            <x15:cachedUniqueName index="4577" name="[FactPayment].[CaseKey].&amp;[8301|00022971]"/>
            <x15:cachedUniqueName index="4578" name="[FactPayment].[CaseKey].&amp;[8301|00022983]"/>
            <x15:cachedUniqueName index="4579" name="[FactPayment].[CaseKey].&amp;[8301|00022990]"/>
            <x15:cachedUniqueName index="4580" name="[FactPayment].[CaseKey].&amp;[8301|00023002]"/>
            <x15:cachedUniqueName index="4581" name="[FactPayment].[CaseKey].&amp;[8301|00023010]"/>
            <x15:cachedUniqueName index="4582" name="[FactPayment].[CaseKey].&amp;[8301|00023027]"/>
            <x15:cachedUniqueName index="4583" name="[FactPayment].[CaseKey].&amp;[8301|00023033]"/>
            <x15:cachedUniqueName index="4584" name="[FactPayment].[CaseKey].&amp;[8301|00023047]"/>
            <x15:cachedUniqueName index="4585" name="[FactPayment].[CaseKey].&amp;[8301|00023051]"/>
            <x15:cachedUniqueName index="4586" name="[FactPayment].[CaseKey].&amp;[8301|00023061]"/>
            <x15:cachedUniqueName index="4587" name="[FactPayment].[CaseKey].&amp;[8301|00023072]"/>
            <x15:cachedUniqueName index="4588" name="[FactPayment].[CaseKey].&amp;[8301|00023085]"/>
            <x15:cachedUniqueName index="4589" name="[FactPayment].[CaseKey].&amp;[8301|00023098]"/>
            <x15:cachedUniqueName index="4590" name="[FactPayment].[CaseKey].&amp;[8301|00023107]"/>
            <x15:cachedUniqueName index="4591" name="[FactPayment].[CaseKey].&amp;[8301|00023114]"/>
            <x15:cachedUniqueName index="4592" name="[FactPayment].[CaseKey].&amp;[8301|00023126]"/>
            <x15:cachedUniqueName index="4593" name="[FactPayment].[CaseKey].&amp;[8301|00023136]"/>
            <x15:cachedUniqueName index="4594" name="[FactPayment].[CaseKey].&amp;[8301|00023152]"/>
            <x15:cachedUniqueName index="4595" name="[FactPayment].[CaseKey].&amp;[8301|00023160]"/>
            <x15:cachedUniqueName index="4596" name="[FactPayment].[CaseKey].&amp;[8301|00023172]"/>
            <x15:cachedUniqueName index="4597" name="[FactPayment].[CaseKey].&amp;[8301|00023187]"/>
            <x15:cachedUniqueName index="4598" name="[FactPayment].[CaseKey].&amp;[8301|00023197]"/>
            <x15:cachedUniqueName index="4599" name="[FactPayment].[CaseKey].&amp;[8301|00023213]"/>
            <x15:cachedUniqueName index="4600" name="[FactPayment].[CaseKey].&amp;[8301|00023224]"/>
            <x15:cachedUniqueName index="4601" name="[FactPayment].[CaseKey].&amp;[8301|00023232]"/>
            <x15:cachedUniqueName index="4602" name="[FactPayment].[CaseKey].&amp;[8301|00023243]"/>
            <x15:cachedUniqueName index="4603" name="[FactPayment].[CaseKey].&amp;[8301|00023250]"/>
            <x15:cachedUniqueName index="4604" name="[FactPayment].[CaseKey].&amp;[8301|00023261]"/>
            <x15:cachedUniqueName index="4605" name="[FactPayment].[CaseKey].&amp;[8301|00023274]"/>
            <x15:cachedUniqueName index="4606" name="[FactPayment].[CaseKey].&amp;[8301|00023288]"/>
            <x15:cachedUniqueName index="4607" name="[FactPayment].[CaseKey].&amp;[8301|00023295]"/>
            <x15:cachedUniqueName index="4608" name="[FactPayment].[CaseKey].&amp;[8301|00023306]"/>
            <x15:cachedUniqueName index="4609" name="[FactPayment].[CaseKey].&amp;[8301|00023315]"/>
            <x15:cachedUniqueName index="4610" name="[FactPayment].[CaseKey].&amp;[8301|00023320]"/>
            <x15:cachedUniqueName index="4611" name="[FactPayment].[CaseKey].&amp;[8301|00023342]"/>
            <x15:cachedUniqueName index="4612" name="[FactPayment].[CaseKey].&amp;[8301|00023358]"/>
            <x15:cachedUniqueName index="4613" name="[FactPayment].[CaseKey].&amp;[8301|00023362]"/>
            <x15:cachedUniqueName index="4614" name="[FactPayment].[CaseKey].&amp;[8301|00023375]"/>
            <x15:cachedUniqueName index="4615" name="[FactPayment].[CaseKey].&amp;[8301|00023402]"/>
            <x15:cachedUniqueName index="4616" name="[FactPayment].[CaseKey].&amp;[8301|00023415]"/>
            <x15:cachedUniqueName index="4617" name="[FactPayment].[CaseKey].&amp;[8301|00023423]"/>
            <x15:cachedUniqueName index="4618" name="[FactPayment].[CaseKey].&amp;[8301|00023433]"/>
            <x15:cachedUniqueName index="4619" name="[FactPayment].[CaseKey].&amp;[8301|00023446]"/>
            <x15:cachedUniqueName index="4620" name="[FactPayment].[CaseKey].&amp;[8301|00023455]"/>
            <x15:cachedUniqueName index="4621" name="[FactPayment].[CaseKey].&amp;[8301|00023463]"/>
            <x15:cachedUniqueName index="4622" name="[FactPayment].[CaseKey].&amp;[8301|00023478]"/>
            <x15:cachedUniqueName index="4623" name="[FactPayment].[CaseKey].&amp;[8301|00023480]"/>
            <x15:cachedUniqueName index="4624" name="[FactPayment].[CaseKey].&amp;[8301|00023494]"/>
            <x15:cachedUniqueName index="4625" name="[FactPayment].[CaseKey].&amp;[8301|00023500]"/>
            <x15:cachedUniqueName index="4626" name="[FactPayment].[CaseKey].&amp;[8301|00023516]"/>
            <x15:cachedUniqueName index="4627" name="[FactPayment].[CaseKey].&amp;[8301|00023523]"/>
            <x15:cachedUniqueName index="4628" name="[FactPayment].[CaseKey].&amp;[8301|00023530]"/>
            <x15:cachedUniqueName index="4629" name="[FactPayment].[CaseKey].&amp;[8301|00023544]"/>
            <x15:cachedUniqueName index="4630" name="[FactPayment].[CaseKey].&amp;[8301|00023551]"/>
            <x15:cachedUniqueName index="4631" name="[FactPayment].[CaseKey].&amp;[8301|00023566]"/>
            <x15:cachedUniqueName index="4632" name="[FactPayment].[CaseKey].&amp;[8301|00023573]"/>
            <x15:cachedUniqueName index="4633" name="[FactPayment].[CaseKey].&amp;[8301|00023585]"/>
            <x15:cachedUniqueName index="4634" name="[FactPayment].[CaseKey].&amp;[8301|00023602]"/>
            <x15:cachedUniqueName index="4635" name="[FactPayment].[CaseKey].&amp;[8301|00023610]"/>
            <x15:cachedUniqueName index="4636" name="[FactPayment].[CaseKey].&amp;[8301|00023625]"/>
            <x15:cachedUniqueName index="4637" name="[FactPayment].[CaseKey].&amp;[8301|00023635]"/>
            <x15:cachedUniqueName index="4638" name="[FactPayment].[CaseKey].&amp;[8301|00023646]"/>
            <x15:cachedUniqueName index="4639" name="[FactPayment].[CaseKey].&amp;[8301|00023655]"/>
            <x15:cachedUniqueName index="4640" name="[FactPayment].[CaseKey].&amp;[8301|00023664]"/>
            <x15:cachedUniqueName index="4641" name="[FactPayment].[CaseKey].&amp;[8301|00023672]"/>
            <x15:cachedUniqueName index="4642" name="[FactPayment].[CaseKey].&amp;[8301|00023680]"/>
            <x15:cachedUniqueName index="4643" name="[FactPayment].[CaseKey].&amp;[8301|00023705]"/>
            <x15:cachedUniqueName index="4644" name="[FactPayment].[CaseKey].&amp;[8301|00023716]"/>
            <x15:cachedUniqueName index="4645" name="[FactPayment].[CaseKey].&amp;[8301|00023725]"/>
            <x15:cachedUniqueName index="4646" name="[FactPayment].[CaseKey].&amp;[8301|00023733]"/>
            <x15:cachedUniqueName index="4647" name="[FactPayment].[CaseKey].&amp;[8301|00023748]"/>
            <x15:cachedUniqueName index="4648" name="[FactPayment].[CaseKey].&amp;[8301|00023752]"/>
            <x15:cachedUniqueName index="4649" name="[FactPayment].[CaseKey].&amp;[8301|00023766]"/>
            <x15:cachedUniqueName index="4650" name="[FactPayment].[CaseKey].&amp;[8301|00023773]"/>
            <x15:cachedUniqueName index="4651" name="[FactPayment].[CaseKey].&amp;[8301|00023787]"/>
            <x15:cachedUniqueName index="4652" name="[FactPayment].[CaseKey].&amp;[8301|00023792]"/>
            <x15:cachedUniqueName index="4653" name="[FactPayment].[CaseKey].&amp;[8301|00023805]"/>
            <x15:cachedUniqueName index="4654" name="[FactPayment].[CaseKey].&amp;[8301|00023818]"/>
            <x15:cachedUniqueName index="4655" name="[FactPayment].[CaseKey].&amp;[8301|00023827]"/>
            <x15:cachedUniqueName index="4656" name="[FactPayment].[CaseKey].&amp;[8301|00023832]"/>
            <x15:cachedUniqueName index="4657" name="[FactPayment].[CaseKey].&amp;[8301|00023842]"/>
            <x15:cachedUniqueName index="4658" name="[FactPayment].[CaseKey].&amp;[8301|00023850]"/>
            <x15:cachedUniqueName index="4659" name="[FactPayment].[CaseKey].&amp;[8301|00023862]"/>
            <x15:cachedUniqueName index="4660" name="[FactPayment].[CaseKey].&amp;[8301|00023876]"/>
            <x15:cachedUniqueName index="4661" name="[FactPayment].[CaseKey].&amp;[8301|00023881]"/>
            <x15:cachedUniqueName index="4662" name="[FactPayment].[CaseKey].&amp;[8301|00023898]"/>
            <x15:cachedUniqueName index="4663" name="[FactPayment].[CaseKey].&amp;[8301|00023906]"/>
            <x15:cachedUniqueName index="4664" name="[FactPayment].[CaseKey].&amp;[8301|00023917]"/>
            <x15:cachedUniqueName index="4665" name="[FactPayment].[CaseKey].&amp;[8301|00023927]"/>
            <x15:cachedUniqueName index="4666" name="[FactPayment].[CaseKey].&amp;[8301|00023934]"/>
            <x15:cachedUniqueName index="4667" name="[FactPayment].[CaseKey].&amp;[8301|00023945]"/>
            <x15:cachedUniqueName index="4668" name="[FactPayment].[CaseKey].&amp;[8301|00023952]"/>
            <x15:cachedUniqueName index="4669" name="[FactPayment].[CaseKey].&amp;[8301|00023964]"/>
            <x15:cachedUniqueName index="4670" name="[FactPayment].[CaseKey].&amp;[8301|00023978]"/>
            <x15:cachedUniqueName index="4671" name="[FactPayment].[CaseKey].&amp;[8301|00023984]"/>
            <x15:cachedUniqueName index="4672" name="[FactPayment].[CaseKey].&amp;[8301|00023997]"/>
            <x15:cachedUniqueName index="4673" name="[FactPayment].[CaseKey].&amp;[8301|00024004]"/>
            <x15:cachedUniqueName index="4674" name="[FactPayment].[CaseKey].&amp;[8301|00024015]"/>
            <x15:cachedUniqueName index="4675" name="[FactPayment].[CaseKey].&amp;[8301|00024023]"/>
            <x15:cachedUniqueName index="4676" name="[FactPayment].[CaseKey].&amp;[8301|00024032]"/>
            <x15:cachedUniqueName index="4677" name="[FactPayment].[CaseKey].&amp;[8301|00024043]"/>
            <x15:cachedUniqueName index="4678" name="[FactPayment].[CaseKey].&amp;[8301|00024053]"/>
            <x15:cachedUniqueName index="4679" name="[FactPayment].[CaseKey].&amp;[8301|00024067]"/>
            <x15:cachedUniqueName index="4680" name="[FactPayment].[CaseKey].&amp;[8301|00024071]"/>
            <x15:cachedUniqueName index="4681" name="[FactPayment].[CaseKey].&amp;[8301|00024085]"/>
            <x15:cachedUniqueName index="4682" name="[FactPayment].[CaseKey].&amp;[8301|00024096]"/>
            <x15:cachedUniqueName index="4683" name="[FactPayment].[CaseKey].&amp;[8301|00024102]"/>
            <x15:cachedUniqueName index="4684" name="[FactPayment].[CaseKey].&amp;[8301|00024111]"/>
            <x15:cachedUniqueName index="4685" name="[FactPayment].[CaseKey].&amp;[8301|00024126]"/>
            <x15:cachedUniqueName index="4686" name="[FactPayment].[CaseKey].&amp;[8301|00024136]"/>
            <x15:cachedUniqueName index="4687" name="[FactPayment].[CaseKey].&amp;[8301|00024140]"/>
            <x15:cachedUniqueName index="4688" name="[FactPayment].[CaseKey].&amp;[8301|00024158]"/>
            <x15:cachedUniqueName index="4689" name="[FactPayment].[CaseKey].&amp;[8301|00024166]"/>
            <x15:cachedUniqueName index="4690" name="[FactPayment].[CaseKey].&amp;[8301|00024170]"/>
            <x15:cachedUniqueName index="4691" name="[FactPayment].[CaseKey].&amp;[8301|00024185]"/>
            <x15:cachedUniqueName index="4692" name="[FactPayment].[CaseKey].&amp;[8301|00024190]"/>
            <x15:cachedUniqueName index="4693" name="[FactPayment].[CaseKey].&amp;[8301|00024200]"/>
            <x15:cachedUniqueName index="4694" name="[FactPayment].[CaseKey].&amp;[8301|00024213]"/>
            <x15:cachedUniqueName index="4695" name="[FactPayment].[CaseKey].&amp;[8301|00024221]"/>
            <x15:cachedUniqueName index="4696" name="[FactPayment].[CaseKey].&amp;[8301|00024232]"/>
            <x15:cachedUniqueName index="4697" name="[FactPayment].[CaseKey].&amp;[8301|00024243]"/>
            <x15:cachedUniqueName index="4698" name="[FactPayment].[CaseKey].&amp;[8301|00024250]"/>
            <x15:cachedUniqueName index="4699" name="[FactPayment].[CaseKey].&amp;[8301|00024267]"/>
            <x15:cachedUniqueName index="4700" name="[FactPayment].[CaseKey].&amp;[8301|00024278]"/>
            <x15:cachedUniqueName index="4701" name="[FactPayment].[CaseKey].&amp;[8301|00024281]"/>
            <x15:cachedUniqueName index="4702" name="[FactPayment].[CaseKey].&amp;[8301|00024297]"/>
            <x15:cachedUniqueName index="4703" name="[FactPayment].[CaseKey].&amp;[8301|00024306]"/>
            <x15:cachedUniqueName index="4704" name="[FactPayment].[CaseKey].&amp;[8301|00024313]"/>
            <x15:cachedUniqueName index="4705" name="[FactPayment].[CaseKey].&amp;[8301|00024326]"/>
            <x15:cachedUniqueName index="4706" name="[FactPayment].[CaseKey].&amp;[8301|00024332]"/>
            <x15:cachedUniqueName index="4707" name="[FactPayment].[CaseKey].&amp;[8301|00024341]"/>
            <x15:cachedUniqueName index="4708" name="[FactPayment].[CaseKey].&amp;[8301|00024358]"/>
            <x15:cachedUniqueName index="4709" name="[FactPayment].[CaseKey].&amp;[8301|00024367]"/>
            <x15:cachedUniqueName index="4710" name="[FactPayment].[CaseKey].&amp;[8301|00024378]"/>
            <x15:cachedUniqueName index="4711" name="[FactPayment].[CaseKey].&amp;[8301|00024385]"/>
            <x15:cachedUniqueName index="4712" name="[FactPayment].[CaseKey].&amp;[8301|00024398]"/>
            <x15:cachedUniqueName index="4713" name="[FactPayment].[CaseKey].&amp;[8301|00024402]"/>
            <x15:cachedUniqueName index="4714" name="[FactPayment].[CaseKey].&amp;[8301|00024410]"/>
            <x15:cachedUniqueName index="4715" name="[FactPayment].[CaseKey].&amp;[8301|00024428]"/>
            <x15:cachedUniqueName index="4716" name="[FactPayment].[CaseKey].&amp;[8301|00024431]"/>
            <x15:cachedUniqueName index="4717" name="[FactPayment].[CaseKey].&amp;[8301|00024447]"/>
            <x15:cachedUniqueName index="4718" name="[FactPayment].[CaseKey].&amp;[8301|00024451]"/>
            <x15:cachedUniqueName index="4719" name="[FactPayment].[CaseKey].&amp;[8301|00024462]"/>
            <x15:cachedUniqueName index="4720" name="[FactPayment].[CaseKey].&amp;[8301|00024470]"/>
            <x15:cachedUniqueName index="4721" name="[FactPayment].[CaseKey].&amp;[8301|00024480]"/>
            <x15:cachedUniqueName index="4722" name="[FactPayment].[CaseKey].&amp;[8301|00024498]"/>
            <x15:cachedUniqueName index="4723" name="[FactPayment].[CaseKey].&amp;[8301|00024504]"/>
            <x15:cachedUniqueName index="4724" name="[FactPayment].[CaseKey].&amp;[8301|00024517]"/>
            <x15:cachedUniqueName index="4725" name="[FactPayment].[CaseKey].&amp;[8301|00024523]"/>
            <x15:cachedUniqueName index="4726" name="[FactPayment].[CaseKey].&amp;[8301|00024531]"/>
            <x15:cachedUniqueName index="4727" name="[FactPayment].[CaseKey].&amp;[8301|00024547]"/>
            <x15:cachedUniqueName index="4728" name="[FactPayment].[CaseKey].&amp;[8301|00024558]"/>
            <x15:cachedUniqueName index="4729" name="[FactPayment].[CaseKey].&amp;[8301|00024563]"/>
            <x15:cachedUniqueName index="4730" name="[FactPayment].[CaseKey].&amp;[8301|00024575]"/>
            <x15:cachedUniqueName index="4731" name="[FactPayment].[CaseKey].&amp;[8301|00024580]"/>
            <x15:cachedUniqueName index="4732" name="[FactPayment].[CaseKey].&amp;[8301|00024595]"/>
            <x15:cachedUniqueName index="4733" name="[FactPayment].[CaseKey].&amp;[8301|00024601]"/>
            <x15:cachedUniqueName index="4734" name="[FactPayment].[CaseKey].&amp;[8301|00024611]"/>
            <x15:cachedUniqueName index="4735" name="[FactPayment].[CaseKey].&amp;[8301|00024623]"/>
            <x15:cachedUniqueName index="4736" name="[FactPayment].[CaseKey].&amp;[8301|00024636]"/>
            <x15:cachedUniqueName index="4737" name="[FactPayment].[CaseKey].&amp;[8301|00024656]"/>
            <x15:cachedUniqueName index="4738" name="[FactPayment].[CaseKey].&amp;[8301|00024667]"/>
            <x15:cachedUniqueName index="4739" name="[FactPayment].[CaseKey].&amp;[8301|00024674]"/>
            <x15:cachedUniqueName index="4740" name="[FactPayment].[CaseKey].&amp;[8301|00024685]"/>
            <x15:cachedUniqueName index="4741" name="[FactPayment].[CaseKey].&amp;[8301|00024691]"/>
            <x15:cachedUniqueName index="4742" name="[FactPayment].[CaseKey].&amp;[8301|00024708]"/>
            <x15:cachedUniqueName index="4743" name="[FactPayment].[CaseKey].&amp;[8301|00024715]"/>
            <x15:cachedUniqueName index="4744" name="[FactPayment].[CaseKey].&amp;[8301|00024720]"/>
            <x15:cachedUniqueName index="4745" name="[FactPayment].[CaseKey].&amp;[8301|00024737]"/>
            <x15:cachedUniqueName index="4746" name="[FactPayment].[CaseKey].&amp;[8301|00024741]"/>
            <x15:cachedUniqueName index="4747" name="[FactPayment].[CaseKey].&amp;[8301|00024751]"/>
            <x15:cachedUniqueName index="4748" name="[FactPayment].[CaseKey].&amp;[8301|00024765]"/>
            <x15:cachedUniqueName index="4749" name="[FactPayment].[CaseKey].&amp;[8301|00024772]"/>
            <x15:cachedUniqueName index="4750" name="[FactPayment].[CaseKey].&amp;[8301|00024780]"/>
            <x15:cachedUniqueName index="4751" name="[FactPayment].[CaseKey].&amp;[8301|00024790]"/>
            <x15:cachedUniqueName index="4752" name="[FactPayment].[CaseKey].&amp;[8301|00024806]"/>
            <x15:cachedUniqueName index="4753" name="[FactPayment].[CaseKey].&amp;[8301|00024817]"/>
            <x15:cachedUniqueName index="4754" name="[FactPayment].[CaseKey].&amp;[8301|00024823]"/>
            <x15:cachedUniqueName index="4755" name="[FactPayment].[CaseKey].&amp;[8301|00024837]"/>
            <x15:cachedUniqueName index="4756" name="[FactPayment].[CaseKey].&amp;[8301|00024843]"/>
            <x15:cachedUniqueName index="4757" name="[FactPayment].[CaseKey].&amp;[8301|00024854]"/>
            <x15:cachedUniqueName index="4758" name="[FactPayment].[CaseKey].&amp;[8301|00024862]"/>
            <x15:cachedUniqueName index="4759" name="[FactPayment].[CaseKey].&amp;[8301|00024878]"/>
            <x15:cachedUniqueName index="4760" name="[FactPayment].[CaseKey].&amp;[8301|00024883]"/>
            <x15:cachedUniqueName index="4761" name="[FactPayment].[CaseKey].&amp;[8301|00024896]"/>
            <x15:cachedUniqueName index="4762" name="[FactPayment].[CaseKey].&amp;[8301|00024902]"/>
            <x15:cachedUniqueName index="4763" name="[FactPayment].[CaseKey].&amp;[8301|00024912]"/>
            <x15:cachedUniqueName index="4764" name="[FactPayment].[CaseKey].&amp;[8301|00024925]"/>
            <x15:cachedUniqueName index="4765" name="[FactPayment].[CaseKey].&amp;[8301|00024934]"/>
            <x15:cachedUniqueName index="4766" name="[FactPayment].[CaseKey].&amp;[8301|00024942]"/>
            <x15:cachedUniqueName index="4767" name="[FactPayment].[CaseKey].&amp;[8301|00024951]"/>
            <x15:cachedUniqueName index="4768" name="[FactPayment].[CaseKey].&amp;[8301|00024967]"/>
            <x15:cachedUniqueName index="4769" name="[FactPayment].[CaseKey].&amp;[8301|00024971]"/>
            <x15:cachedUniqueName index="4770" name="[FactPayment].[CaseKey].&amp;[8301|00024988]"/>
            <x15:cachedUniqueName index="4771" name="[FactPayment].[CaseKey].&amp;[8301|00024990]"/>
            <x15:cachedUniqueName index="4772" name="[FactPayment].[CaseKey].&amp;[8301|00025000]"/>
            <x15:cachedUniqueName index="4773" name="[FactPayment].[CaseKey].&amp;[8301|00025014]"/>
            <x15:cachedUniqueName index="4774" name="[FactPayment].[CaseKey].&amp;[8301|00025024]"/>
            <x15:cachedUniqueName index="4775" name="[FactPayment].[CaseKey].&amp;[8301|00025032]"/>
            <x15:cachedUniqueName index="4776" name="[FactPayment].[CaseKey].&amp;[8301|00025043]"/>
            <x15:cachedUniqueName index="4777" name="[FactPayment].[CaseKey].&amp;[8301|00025055]"/>
            <x15:cachedUniqueName index="4778" name="[FactPayment].[CaseKey].&amp;[8301|00025067]"/>
            <x15:cachedUniqueName index="4779" name="[FactPayment].[CaseKey].&amp;[8301|00025078]"/>
            <x15:cachedUniqueName index="4780" name="[FactPayment].[CaseKey].&amp;[8301|00025084]"/>
            <x15:cachedUniqueName index="4781" name="[FactPayment].[CaseKey].&amp;[8301|00025096]"/>
            <x15:cachedUniqueName index="4782" name="[FactPayment].[CaseKey].&amp;[8301|00025104]"/>
            <x15:cachedUniqueName index="4783" name="[FactPayment].[CaseKey].&amp;[8301|00025114]"/>
            <x15:cachedUniqueName index="4784" name="[FactPayment].[CaseKey].&amp;[8301|00025133]"/>
            <x15:cachedUniqueName index="4785" name="[FactPayment].[CaseKey].&amp;[8301|00025140]"/>
            <x15:cachedUniqueName index="4786" name="[FactPayment].[CaseKey].&amp;[8301|00025156]"/>
            <x15:cachedUniqueName index="4787" name="[FactPayment].[CaseKey].&amp;[8301|00025165]"/>
            <x15:cachedUniqueName index="4788" name="[FactPayment].[CaseKey].&amp;[8301|00025185]"/>
            <x15:cachedUniqueName index="4789" name="[FactPayment].[CaseKey].&amp;[8301|00025192]"/>
            <x15:cachedUniqueName index="4790" name="[FactPayment].[CaseKey].&amp;[8301|00025204]"/>
            <x15:cachedUniqueName index="4791" name="[FactPayment].[CaseKey].&amp;[8301|00025216]"/>
            <x15:cachedUniqueName index="4792" name="[FactPayment].[CaseKey].&amp;[8301|00025227]"/>
            <x15:cachedUniqueName index="4793" name="[FactPayment].[CaseKey].&amp;[8301|00025234]"/>
            <x15:cachedUniqueName index="4794" name="[FactPayment].[CaseKey].&amp;[8301|00025246]"/>
            <x15:cachedUniqueName index="4795" name="[FactPayment].[CaseKey].&amp;[8301|00025254]"/>
            <x15:cachedUniqueName index="4796" name="[FactPayment].[CaseKey].&amp;[8301|00025266]"/>
            <x15:cachedUniqueName index="4797" name="[FactPayment].[CaseKey].&amp;[8301|00025273]"/>
            <x15:cachedUniqueName index="4798" name="[FactPayment].[CaseKey].&amp;[8301|00025285]"/>
            <x15:cachedUniqueName index="4799" name="[FactPayment].[CaseKey].&amp;[8301|00025291]"/>
            <x15:cachedUniqueName index="4800" name="[FactPayment].[CaseKey].&amp;[8301|00025300]"/>
            <x15:cachedUniqueName index="4801" name="[FactPayment].[CaseKey].&amp;[8301|00025312]"/>
            <x15:cachedUniqueName index="4802" name="[FactPayment].[CaseKey].&amp;[8301|00025327]"/>
            <x15:cachedUniqueName index="4803" name="[FactPayment].[CaseKey].&amp;[8301|00025330]"/>
            <x15:cachedUniqueName index="4804" name="[FactPayment].[CaseKey].&amp;[8301|00025342]"/>
            <x15:cachedUniqueName index="4805" name="[FactPayment].[CaseKey].&amp;[8301|00025353]"/>
            <x15:cachedUniqueName index="4806" name="[FactPayment].[CaseKey].&amp;[8301|00025366]"/>
            <x15:cachedUniqueName index="4807" name="[FactPayment].[CaseKey].&amp;[8301|00025374]"/>
            <x15:cachedUniqueName index="4808" name="[FactPayment].[CaseKey].&amp;[8301|00025396]"/>
            <x15:cachedUniqueName index="4809" name="[FactPayment].[CaseKey].&amp;[8301|00025406]"/>
            <x15:cachedUniqueName index="4810" name="[FactPayment].[CaseKey].&amp;[8301|00025418]"/>
            <x15:cachedUniqueName index="4811" name="[FactPayment].[CaseKey].&amp;[8301|00025426]"/>
            <x15:cachedUniqueName index="4812" name="[FactPayment].[CaseKey].&amp;[8301|00025430]"/>
            <x15:cachedUniqueName index="4813" name="[FactPayment].[CaseKey].&amp;[8301|00025443]"/>
            <x15:cachedUniqueName index="4814" name="[FactPayment].[CaseKey].&amp;[8301|00025455]"/>
            <x15:cachedUniqueName index="4815" name="[FactPayment].[CaseKey].&amp;[8301|00025466]"/>
            <x15:cachedUniqueName index="4816" name="[FactPayment].[CaseKey].&amp;[8301|00025477]"/>
            <x15:cachedUniqueName index="4817" name="[FactPayment].[CaseKey].&amp;[8301|00025482]"/>
            <x15:cachedUniqueName index="4818" name="[FactPayment].[CaseKey].&amp;[8301|00025490]"/>
            <x15:cachedUniqueName index="4819" name="[FactPayment].[CaseKey].&amp;[8301|00025500]"/>
            <x15:cachedUniqueName index="4820" name="[FactPayment].[CaseKey].&amp;[8301|00025517]"/>
            <x15:cachedUniqueName index="4821" name="[FactPayment].[CaseKey].&amp;[8301|00025522]"/>
            <x15:cachedUniqueName index="4822" name="[FactPayment].[CaseKey].&amp;[8301|00025543]"/>
            <x15:cachedUniqueName index="4823" name="[FactPayment].[CaseKey].&amp;[8301|00025556]"/>
            <x15:cachedUniqueName index="4824" name="[FactPayment].[CaseKey].&amp;[8301|00025564]"/>
            <x15:cachedUniqueName index="4825" name="[FactPayment].[CaseKey].&amp;[8301|00025584]"/>
            <x15:cachedUniqueName index="4826" name="[FactPayment].[CaseKey].&amp;[8301|00025594]"/>
            <x15:cachedUniqueName index="4827" name="[FactPayment].[CaseKey].&amp;[8301|00025604]"/>
            <x15:cachedUniqueName index="4828" name="[FactPayment].[CaseKey].&amp;[8301|00025613]"/>
            <x15:cachedUniqueName index="4829" name="[FactPayment].[CaseKey].&amp;[8301|00025624]"/>
            <x15:cachedUniqueName index="4830" name="[FactPayment].[CaseKey].&amp;[8301|00025632]"/>
            <x15:cachedUniqueName index="4831" name="[FactPayment].[CaseKey].&amp;[8301|00025643]"/>
            <x15:cachedUniqueName index="4832" name="[FactPayment].[CaseKey].&amp;[8301|00025657]"/>
            <x15:cachedUniqueName index="4833" name="[FactPayment].[CaseKey].&amp;[8301|00025668]"/>
            <x15:cachedUniqueName index="4834" name="[FactPayment].[CaseKey].&amp;[8301|00025670]"/>
            <x15:cachedUniqueName index="4835" name="[FactPayment].[CaseKey].&amp;[8301|00025688]"/>
            <x15:cachedUniqueName index="4836" name="[FactPayment].[CaseKey].&amp;[8301|00025696]"/>
            <x15:cachedUniqueName index="4837" name="[FactPayment].[CaseKey].&amp;[8301|00025701]"/>
            <x15:cachedUniqueName index="4838" name="[FactPayment].[CaseKey].&amp;[8301|00025714]"/>
            <x15:cachedUniqueName index="4839" name="[FactPayment].[CaseKey].&amp;[8301|00025725]"/>
            <x15:cachedUniqueName index="4840" name="[FactPayment].[CaseKey].&amp;[8301|00025737]"/>
            <x15:cachedUniqueName index="4841" name="[FactPayment].[CaseKey].&amp;[8301|00025746]"/>
            <x15:cachedUniqueName index="4842" name="[FactPayment].[CaseKey].&amp;[8301|00025755]"/>
            <x15:cachedUniqueName index="4843" name="[FactPayment].[CaseKey].&amp;[8301|00025760]"/>
            <x15:cachedUniqueName index="4844" name="[FactPayment].[CaseKey].&amp;[8301|00025772]"/>
            <x15:cachedUniqueName index="4845" name="[FactPayment].[CaseKey].&amp;[8301|00025780]"/>
            <x15:cachedUniqueName index="4846" name="[FactPayment].[CaseKey].&amp;[8301|00025803]"/>
            <x15:cachedUniqueName index="4847" name="[FactPayment].[CaseKey].&amp;[8301|00025813]"/>
            <x15:cachedUniqueName index="4848" name="[FactPayment].[CaseKey].&amp;[8301|00025823]"/>
            <x15:cachedUniqueName index="4849" name="[FactPayment].[CaseKey].&amp;[8301|00025835]"/>
            <x15:cachedUniqueName index="4850" name="[FactPayment].[CaseKey].&amp;[8301|00025846]"/>
            <x15:cachedUniqueName index="4851" name="[FactPayment].[CaseKey].&amp;[8301|00025856]"/>
            <x15:cachedUniqueName index="4852" name="[FactPayment].[CaseKey].&amp;[8301|00025866]"/>
            <x15:cachedUniqueName index="4853" name="[FactPayment].[CaseKey].&amp;[8301|00025876]"/>
            <x15:cachedUniqueName index="4854" name="[FactPayment].[CaseKey].&amp;[8301|00025883]"/>
            <x15:cachedUniqueName index="4855" name="[FactPayment].[CaseKey].&amp;[8301|00025897]"/>
            <x15:cachedUniqueName index="4856" name="[FactPayment].[CaseKey].&amp;[8301|00025910]"/>
            <x15:cachedUniqueName index="4857" name="[FactPayment].[CaseKey].&amp;[8301|00025921]"/>
            <x15:cachedUniqueName index="4858" name="[FactPayment].[CaseKey].&amp;[8301|00025936]"/>
            <x15:cachedUniqueName index="4859" name="[FactPayment].[CaseKey].&amp;[8301|00025944]"/>
            <x15:cachedUniqueName index="4860" name="[FactPayment].[CaseKey].&amp;[8301|00025958]"/>
            <x15:cachedUniqueName index="4861" name="[FactPayment].[CaseKey].&amp;[8301|00025963]"/>
            <x15:cachedUniqueName index="4862" name="[FactPayment].[CaseKey].&amp;[8301|00025973]"/>
            <x15:cachedUniqueName index="4863" name="[FactPayment].[CaseKey].&amp;[8301|00025981]"/>
            <x15:cachedUniqueName index="4864" name="[FactPayment].[CaseKey].&amp;[8301|00025994]"/>
            <x15:cachedUniqueName index="4865" name="[FactPayment].[CaseKey].&amp;[8301|00026012]"/>
            <x15:cachedUniqueName index="4866" name="[FactPayment].[CaseKey].&amp;[8301|00026028]"/>
            <x15:cachedUniqueName index="4867" name="[FactPayment].[CaseKey].&amp;[8301|00026037]"/>
            <x15:cachedUniqueName index="4868" name="[FactPayment].[CaseKey].&amp;[8301|00026042]"/>
            <x15:cachedUniqueName index="4869" name="[FactPayment].[CaseKey].&amp;[8301|00026056]"/>
            <x15:cachedUniqueName index="4870" name="[FactPayment].[CaseKey].&amp;[8301|00026062]"/>
            <x15:cachedUniqueName index="4871" name="[FactPayment].[CaseKey].&amp;[8301|00026077]"/>
            <x15:cachedUniqueName index="4872" name="[FactPayment].[CaseKey].&amp;[8301|00026082]"/>
            <x15:cachedUniqueName index="4873" name="[FactPayment].[CaseKey].&amp;[8301|00026092]"/>
            <x15:cachedUniqueName index="4874" name="[FactPayment].[CaseKey].&amp;[8301|00026103]"/>
            <x15:cachedUniqueName index="4875" name="[FactPayment].[CaseKey].&amp;[8301|00026116]"/>
            <x15:cachedUniqueName index="4876" name="[FactPayment].[CaseKey].&amp;[8301|00026125]"/>
            <x15:cachedUniqueName index="4877" name="[FactPayment].[CaseKey].&amp;[8301|00026131]"/>
            <x15:cachedUniqueName index="4878" name="[FactPayment].[CaseKey].&amp;[8301|00026141]"/>
            <x15:cachedUniqueName index="4879" name="[FactPayment].[CaseKey].&amp;[8301|00026151]"/>
            <x15:cachedUniqueName index="4880" name="[FactPayment].[CaseKey].&amp;[8301|00026164]"/>
            <x15:cachedUniqueName index="4881" name="[FactPayment].[CaseKey].&amp;[8301|00026177]"/>
            <x15:cachedUniqueName index="4882" name="[FactPayment].[CaseKey].&amp;[8301|00026181]"/>
            <x15:cachedUniqueName index="4883" name="[FactPayment].[CaseKey].&amp;[8301|00026196]"/>
            <x15:cachedUniqueName index="4884" name="[FactPayment].[CaseKey].&amp;[8301|00026206]"/>
            <x15:cachedUniqueName index="4885" name="[FactPayment].[CaseKey].&amp;[8301|00026211]"/>
            <x15:cachedUniqueName index="4886" name="[FactPayment].[CaseKey].&amp;[8301|00026224]"/>
            <x15:cachedUniqueName index="4887" name="[FactPayment].[CaseKey].&amp;[8301|00026232]"/>
            <x15:cachedUniqueName index="4888" name="[FactPayment].[CaseKey].&amp;[8301|00026241]"/>
            <x15:cachedUniqueName index="4889" name="[FactPayment].[CaseKey].&amp;[8301|00026253]"/>
            <x15:cachedUniqueName index="4890" name="[FactPayment].[CaseKey].&amp;[8301|00026267]"/>
            <x15:cachedUniqueName index="4891" name="[FactPayment].[CaseKey].&amp;[8301|00026282]"/>
            <x15:cachedUniqueName index="4892" name="[FactPayment].[CaseKey].&amp;[8301|00026290]"/>
            <x15:cachedUniqueName index="4893" name="[FactPayment].[CaseKey].&amp;[8301|00026303]"/>
            <x15:cachedUniqueName index="4894" name="[FactPayment].[CaseKey].&amp;[8301|00026312]"/>
            <x15:cachedUniqueName index="4895" name="[FactPayment].[CaseKey].&amp;[8301|00026323]"/>
            <x15:cachedUniqueName index="4896" name="[FactPayment].[CaseKey].&amp;[8301|00026330]"/>
            <x15:cachedUniqueName index="4897" name="[FactPayment].[CaseKey].&amp;[8301|00026344]"/>
            <x15:cachedUniqueName index="4898" name="[FactPayment].[CaseKey].&amp;[8301|00026355]"/>
            <x15:cachedUniqueName index="4899" name="[FactPayment].[CaseKey].&amp;[8301|00026360]"/>
            <x15:cachedUniqueName index="4900" name="[FactPayment].[CaseKey].&amp;[8301|00026375]"/>
            <x15:cachedUniqueName index="4901" name="[FactPayment].[CaseKey].&amp;[8301|00026386]"/>
            <x15:cachedUniqueName index="4902" name="[FactPayment].[CaseKey].&amp;[8301|00026398]"/>
            <x15:cachedUniqueName index="4903" name="[FactPayment].[CaseKey].&amp;[8301|00026408]"/>
            <x15:cachedUniqueName index="4904" name="[FactPayment].[CaseKey].&amp;[8301|00026411]"/>
            <x15:cachedUniqueName index="4905" name="[FactPayment].[CaseKey].&amp;[8301|00026422]"/>
            <x15:cachedUniqueName index="4906" name="[FactPayment].[CaseKey].&amp;[8301|00026438]"/>
            <x15:cachedUniqueName index="4907" name="[FactPayment].[CaseKey].&amp;[8301|00026443]"/>
            <x15:cachedUniqueName index="4908" name="[FactPayment].[CaseKey].&amp;[8301|00026456]"/>
            <x15:cachedUniqueName index="4909" name="[FactPayment].[CaseKey].&amp;[8301|00026460]"/>
            <x15:cachedUniqueName index="4910" name="[FactPayment].[CaseKey].&amp;[8301|00026474]"/>
            <x15:cachedUniqueName index="4911" name="[FactPayment].[CaseKey].&amp;[8301|00026483]"/>
            <x15:cachedUniqueName index="4912" name="[FactPayment].[CaseKey].&amp;[8301|00026491]"/>
            <x15:cachedUniqueName index="4913" name="[FactPayment].[CaseKey].&amp;[8301|00026506]"/>
            <x15:cachedUniqueName index="4914" name="[FactPayment].[CaseKey].&amp;[8301|00026515]"/>
            <x15:cachedUniqueName index="4915" name="[FactPayment].[CaseKey].&amp;[8301|00026525]"/>
            <x15:cachedUniqueName index="4916" name="[FactPayment].[CaseKey].&amp;[8301|00026532]"/>
            <x15:cachedUniqueName index="4917" name="[FactPayment].[CaseKey].&amp;[8301|00026546]"/>
            <x15:cachedUniqueName index="4918" name="[FactPayment].[CaseKey].&amp;[8301|00026555]"/>
            <x15:cachedUniqueName index="4919" name="[FactPayment].[CaseKey].&amp;[8301|00026563]"/>
            <x15:cachedUniqueName index="4920" name="[FactPayment].[CaseKey].&amp;[8301|00026573]"/>
            <x15:cachedUniqueName index="4921" name="[FactPayment].[CaseKey].&amp;[8301|00026587]"/>
            <x15:cachedUniqueName index="4922" name="[FactPayment].[CaseKey].&amp;[8301|00026590]"/>
            <x15:cachedUniqueName index="4923" name="[FactPayment].[CaseKey].&amp;[8301|00026605]"/>
            <x15:cachedUniqueName index="4924" name="[FactPayment].[CaseKey].&amp;[8301|00026611]"/>
            <x15:cachedUniqueName index="4925" name="[FactPayment].[CaseKey].&amp;[8301|00026621]"/>
            <x15:cachedUniqueName index="4926" name="[FactPayment].[CaseKey].&amp;[8301|00026631]"/>
            <x15:cachedUniqueName index="4927" name="[FactPayment].[CaseKey].&amp;[8301|00026640]"/>
            <x15:cachedUniqueName index="4928" name="[FactPayment].[CaseKey].&amp;[8301|00026655]"/>
            <x15:cachedUniqueName index="4929" name="[FactPayment].[CaseKey].&amp;[8301|00026661]"/>
            <x15:cachedUniqueName index="4930" name="[FactPayment].[CaseKey].&amp;[8301|00026677]"/>
            <x15:cachedUniqueName index="4931" name="[FactPayment].[CaseKey].&amp;[8301|00026686]"/>
            <x15:cachedUniqueName index="4932" name="[FactPayment].[CaseKey].&amp;[8301|00026690]"/>
            <x15:cachedUniqueName index="4933" name="[FactPayment].[CaseKey].&amp;[8301|00026704]"/>
            <x15:cachedUniqueName index="4934" name="[FactPayment].[CaseKey].&amp;[8301|00026718]"/>
            <x15:cachedUniqueName index="4935" name="[FactPayment].[CaseKey].&amp;[8301|00026723]"/>
            <x15:cachedUniqueName index="4936" name="[FactPayment].[CaseKey].&amp;[8301|00026735]"/>
            <x15:cachedUniqueName index="4937" name="[FactPayment].[CaseKey].&amp;[8301|00026745]"/>
            <x15:cachedUniqueName index="4938" name="[FactPayment].[CaseKey].&amp;[8301|00026756]"/>
            <x15:cachedUniqueName index="4939" name="[FactPayment].[CaseKey].&amp;[8301|00026761]"/>
            <x15:cachedUniqueName index="4940" name="[FactPayment].[CaseKey].&amp;[8301|00026775]"/>
            <x15:cachedUniqueName index="4941" name="[FactPayment].[CaseKey].&amp;[8301|00026784]"/>
            <x15:cachedUniqueName index="4942" name="[FactPayment].[CaseKey].&amp;[8301|00026790]"/>
            <x15:cachedUniqueName index="4943" name="[FactPayment].[CaseKey].&amp;[8301|00026803]"/>
            <x15:cachedUniqueName index="4944" name="[FactPayment].[CaseKey].&amp;[8301|00026814]"/>
            <x15:cachedUniqueName index="4945" name="[FactPayment].[CaseKey].&amp;[8301|00026823]"/>
            <x15:cachedUniqueName index="4946" name="[FactPayment].[CaseKey].&amp;[8301|00026832]"/>
            <x15:cachedUniqueName index="4947" name="[FactPayment].[CaseKey].&amp;[8301|00026840]"/>
            <x15:cachedUniqueName index="4948" name="[FactPayment].[CaseKey].&amp;[8301|00026852]"/>
            <x15:cachedUniqueName index="4949" name="[FactPayment].[CaseKey].&amp;[8301|00026864]"/>
            <x15:cachedUniqueName index="4950" name="[FactPayment].[CaseKey].&amp;[8301|00026872]"/>
            <x15:cachedUniqueName index="4951" name="[FactPayment].[CaseKey].&amp;[8301|00026881]"/>
            <x15:cachedUniqueName index="4952" name="[FactPayment].[CaseKey].&amp;[8301|00026894]"/>
            <x15:cachedUniqueName index="4953" name="[FactPayment].[CaseKey].&amp;[8301|00026904]"/>
            <x15:cachedUniqueName index="4954" name="[FactPayment].[CaseKey].&amp;[8301|00026912]"/>
            <x15:cachedUniqueName index="4955" name="[FactPayment].[CaseKey].&amp;[8301|00026921]"/>
            <x15:cachedUniqueName index="4956" name="[FactPayment].[CaseKey].&amp;[8301|00026931]"/>
            <x15:cachedUniqueName index="4957" name="[FactPayment].[CaseKey].&amp;[8301|00026944]"/>
            <x15:cachedUniqueName index="4958" name="[FactPayment].[CaseKey].&amp;[8301|00026956]"/>
            <x15:cachedUniqueName index="4959" name="[FactPayment].[CaseKey].&amp;[8301|00026966]"/>
            <x15:cachedUniqueName index="4960" name="[FactPayment].[CaseKey].&amp;[8301|00026971]"/>
            <x15:cachedUniqueName index="4961" name="[FactPayment].[CaseKey].&amp;[8301|00026988]"/>
            <x15:cachedUniqueName index="4962" name="[FactPayment].[CaseKey].&amp;[8301|00026992]"/>
            <x15:cachedUniqueName index="4963" name="[FactPayment].[CaseKey].&amp;[8301|00027008]"/>
            <x15:cachedUniqueName index="4964" name="[FactPayment].[CaseKey].&amp;[8301|00027010]"/>
            <x15:cachedUniqueName index="4965" name="[FactPayment].[CaseKey].&amp;[8301|00027022]"/>
            <x15:cachedUniqueName index="4966" name="[FactPayment].[CaseKey].&amp;[8301|00027034]"/>
            <x15:cachedUniqueName index="4967" name="[FactPayment].[CaseKey].&amp;[8301|00027046]"/>
            <x15:cachedUniqueName index="4968" name="[FactPayment].[CaseKey].&amp;[8301|00027053]"/>
            <x15:cachedUniqueName index="4969" name="[FactPayment].[CaseKey].&amp;[8301|00027063]"/>
            <x15:cachedUniqueName index="4970" name="[FactPayment].[CaseKey].&amp;[8301|00027074]"/>
            <x15:cachedUniqueName index="4971" name="[FactPayment].[CaseKey].&amp;[8301|00027082]"/>
            <x15:cachedUniqueName index="4972" name="[FactPayment].[CaseKey].&amp;[8301|00027095]"/>
            <x15:cachedUniqueName index="4973" name="[FactPayment].[CaseKey].&amp;[8301|00027106]"/>
            <x15:cachedUniqueName index="4974" name="[FactPayment].[CaseKey].&amp;[8301|00027114]"/>
            <x15:cachedUniqueName index="4975" name="[FactPayment].[CaseKey].&amp;[8301|00027123]"/>
            <x15:cachedUniqueName index="4976" name="[FactPayment].[CaseKey].&amp;[8301|00027134]"/>
            <x15:cachedUniqueName index="4977" name="[FactPayment].[CaseKey].&amp;[8301|00027146]"/>
            <x15:cachedUniqueName index="4978" name="[FactPayment].[CaseKey].&amp;[8301|00027157]"/>
            <x15:cachedUniqueName index="4979" name="[FactPayment].[CaseKey].&amp;[8301|00027161]"/>
            <x15:cachedUniqueName index="4980" name="[FactPayment].[CaseKey].&amp;[8301|00027173]"/>
            <x15:cachedUniqueName index="4981" name="[FactPayment].[CaseKey].&amp;[8301|00027196]"/>
            <x15:cachedUniqueName index="4982" name="[FactPayment].[CaseKey].&amp;[8301|00027207]"/>
            <x15:cachedUniqueName index="4983" name="[FactPayment].[CaseKey].&amp;[8301|00027222]"/>
            <x15:cachedUniqueName index="4984" name="[FactPayment].[CaseKey].&amp;[8301|00027234]"/>
            <x15:cachedUniqueName index="4985" name="[FactPayment].[CaseKey].&amp;[8301|00027247]"/>
            <x15:cachedUniqueName index="4986" name="[FactPayment].[CaseKey].&amp;[8301|00027261]"/>
            <x15:cachedUniqueName index="4987" name="[FactPayment].[CaseKey].&amp;[8301|00027270]"/>
            <x15:cachedUniqueName index="4988" name="[FactPayment].[CaseKey].&amp;[8301|00027284]"/>
            <x15:cachedUniqueName index="4989" name="[FactPayment].[CaseKey].&amp;[8301|00027298]"/>
            <x15:cachedUniqueName index="4990" name="[FactPayment].[CaseKey].&amp;[8301|00027302]"/>
            <x15:cachedUniqueName index="4991" name="[FactPayment].[CaseKey].&amp;[8301|00027314]"/>
            <x15:cachedUniqueName index="4992" name="[FactPayment].[CaseKey].&amp;[8301|00027321]"/>
            <x15:cachedUniqueName index="4993" name="[FactPayment].[CaseKey].&amp;[8301|00027332]"/>
            <x15:cachedUniqueName index="4994" name="[FactPayment].[CaseKey].&amp;[8301|00027346]"/>
            <x15:cachedUniqueName index="4995" name="[FactPayment].[CaseKey].&amp;[8301|00027351]"/>
            <x15:cachedUniqueName index="4996" name="[FactPayment].[CaseKey].&amp;[8301|00027362]"/>
            <x15:cachedUniqueName index="4997" name="[FactPayment].[CaseKey].&amp;[8301|00027375]"/>
            <x15:cachedUniqueName index="4998" name="[FactPayment].[CaseKey].&amp;[8301|00027381]"/>
            <x15:cachedUniqueName index="4999" name="[FactPayment].[CaseKey].&amp;[8301|00027390]"/>
            <x15:cachedUniqueName index="5000" name="[FactPayment].[CaseKey].&amp;[8301|00027407]"/>
            <x15:cachedUniqueName index="5001" name="[FactPayment].[CaseKey].&amp;[8301|00027410]"/>
            <x15:cachedUniqueName index="5002" name="[FactPayment].[CaseKey].&amp;[8301|00027423]"/>
            <x15:cachedUniqueName index="5003" name="[FactPayment].[CaseKey].&amp;[8301|00027433]"/>
            <x15:cachedUniqueName index="5004" name="[FactPayment].[CaseKey].&amp;[8301|00027444]"/>
            <x15:cachedUniqueName index="5005" name="[FactPayment].[CaseKey].&amp;[8301|00027452]"/>
            <x15:cachedUniqueName index="5006" name="[FactPayment].[CaseKey].&amp;[8301|00027466]"/>
            <x15:cachedUniqueName index="5007" name="[FactPayment].[CaseKey].&amp;[8301|00027475]"/>
            <x15:cachedUniqueName index="5008" name="[FactPayment].[CaseKey].&amp;[8301|00027482]"/>
            <x15:cachedUniqueName index="5009" name="[FactPayment].[CaseKey].&amp;[8301|00027493]"/>
            <x15:cachedUniqueName index="5010" name="[FactPayment].[CaseKey].&amp;[8301|00027508]"/>
            <x15:cachedUniqueName index="5011" name="[FactPayment].[CaseKey].&amp;[8301|00027518]"/>
            <x15:cachedUniqueName index="5012" name="[FactPayment].[CaseKey].&amp;[8301|00027521]"/>
            <x15:cachedUniqueName index="5013" name="[FactPayment].[CaseKey].&amp;[8301|00027535]"/>
            <x15:cachedUniqueName index="5014" name="[FactPayment].[CaseKey].&amp;[8301|00027546]"/>
            <x15:cachedUniqueName index="5015" name="[FactPayment].[CaseKey].&amp;[8301|00027555]"/>
            <x15:cachedUniqueName index="5016" name="[FactPayment].[CaseKey].&amp;[8301|00027561]"/>
            <x15:cachedUniqueName index="5017" name="[FactPayment].[CaseKey].&amp;[8301|00027586]"/>
            <x15:cachedUniqueName index="5018" name="[FactPayment].[CaseKey].&amp;[8301|00027597]"/>
            <x15:cachedUniqueName index="5019" name="[FactPayment].[CaseKey].&amp;[8301|00027603]"/>
            <x15:cachedUniqueName index="5020" name="[FactPayment].[CaseKey].&amp;[8301|00027611]"/>
            <x15:cachedUniqueName index="5021" name="[FactPayment].[CaseKey].&amp;[8301|00027628]"/>
            <x15:cachedUniqueName index="5022" name="[FactPayment].[CaseKey].&amp;[8301|00027630]"/>
            <x15:cachedUniqueName index="5023" name="[FactPayment].[CaseKey].&amp;[8301|00027651]"/>
            <x15:cachedUniqueName index="5024" name="[FactPayment].[CaseKey].&amp;[8301|00027660]"/>
            <x15:cachedUniqueName index="5025" name="[FactPayment].[CaseKey].&amp;[8301|00027670]"/>
            <x15:cachedUniqueName index="5026" name="[FactPayment].[CaseKey].&amp;[8301|00027684]"/>
            <x15:cachedUniqueName index="5027" name="[FactPayment].[CaseKey].&amp;[8301|00027697]"/>
            <x15:cachedUniqueName index="5028" name="[FactPayment].[CaseKey].&amp;[8301|00027708]"/>
            <x15:cachedUniqueName index="5029" name="[FactPayment].[CaseKey].&amp;[8301|00027712]"/>
            <x15:cachedUniqueName index="5030" name="[FactPayment].[CaseKey].&amp;[8301|00027723]"/>
            <x15:cachedUniqueName index="5031" name="[FactPayment].[CaseKey].&amp;[8301|00027734]"/>
            <x15:cachedUniqueName index="5032" name="[FactPayment].[CaseKey].&amp;[8301|00027745]"/>
            <x15:cachedUniqueName index="5033" name="[FactPayment].[CaseKey].&amp;[8301|00027750]"/>
            <x15:cachedUniqueName index="5034" name="[FactPayment].[CaseKey].&amp;[8301|00027763]"/>
            <x15:cachedUniqueName index="5035" name="[FactPayment].[CaseKey].&amp;[8301|00027778]"/>
            <x15:cachedUniqueName index="5036" name="[FactPayment].[CaseKey].&amp;[8301|00027782]"/>
            <x15:cachedUniqueName index="5037" name="[FactPayment].[CaseKey].&amp;[8301|00027791]"/>
            <x15:cachedUniqueName index="5038" name="[FactPayment].[CaseKey].&amp;[8301|00027805]"/>
            <x15:cachedUniqueName index="5039" name="[FactPayment].[CaseKey].&amp;[8301|00027822]"/>
            <x15:cachedUniqueName index="5040" name="[FactPayment].[CaseKey].&amp;[8301|00027834]"/>
            <x15:cachedUniqueName index="5041" name="[FactPayment].[CaseKey].&amp;[8301|00027842]"/>
            <x15:cachedUniqueName index="5042" name="[FactPayment].[CaseKey].&amp;[8301|00027858]"/>
            <x15:cachedUniqueName index="5043" name="[FactPayment].[CaseKey].&amp;[8301|00027864]"/>
            <x15:cachedUniqueName index="5044" name="[FactPayment].[CaseKey].&amp;[8301|00027871]"/>
            <x15:cachedUniqueName index="5045" name="[FactPayment].[CaseKey].&amp;[8301|00027884]"/>
            <x15:cachedUniqueName index="5046" name="[FactPayment].[CaseKey].&amp;[8301|00027897]"/>
            <x15:cachedUniqueName index="5047" name="[FactPayment].[CaseKey].&amp;[8301|00027907]"/>
            <x15:cachedUniqueName index="5048" name="[FactPayment].[CaseKey].&amp;[8301|00027918]"/>
            <x15:cachedUniqueName index="5049" name="[FactPayment].[CaseKey].&amp;[8301|00027920]"/>
            <x15:cachedUniqueName index="5050" name="[FactPayment].[CaseKey].&amp;[8301|00027941]"/>
            <x15:cachedUniqueName index="5051" name="[FactPayment].[CaseKey].&amp;[8301|00027964]"/>
            <x15:cachedUniqueName index="5052" name="[FactPayment].[CaseKey].&amp;[8301|00027978]"/>
            <x15:cachedUniqueName index="5053" name="[FactPayment].[CaseKey].&amp;[8301|00027987]"/>
            <x15:cachedUniqueName index="5054" name="[FactPayment].[CaseKey].&amp;[8301|00027998]"/>
            <x15:cachedUniqueName index="5055" name="[FactPayment].[CaseKey].&amp;[8301|00028007]"/>
            <x15:cachedUniqueName index="5056" name="[FactPayment].[CaseKey].&amp;[8301|00028018]"/>
            <x15:cachedUniqueName index="5057" name="[FactPayment].[CaseKey].&amp;[8301|00028025]"/>
            <x15:cachedUniqueName index="5058" name="[FactPayment].[CaseKey].&amp;[8301|00028032]"/>
            <x15:cachedUniqueName index="5059" name="[FactPayment].[CaseKey].&amp;[8301|00028044]"/>
            <x15:cachedUniqueName index="5060" name="[FactPayment].[CaseKey].&amp;[8301|00028050]"/>
            <x15:cachedUniqueName index="5061" name="[FactPayment].[CaseKey].&amp;[8301|00028067]"/>
            <x15:cachedUniqueName index="5062" name="[FactPayment].[CaseKey].&amp;[8301|00028078]"/>
            <x15:cachedUniqueName index="5063" name="[FactPayment].[CaseKey].&amp;[8301|00028083]"/>
            <x15:cachedUniqueName index="5064" name="[FactPayment].[CaseKey].&amp;[8301|00028095]"/>
            <x15:cachedUniqueName index="5065" name="[FactPayment].[CaseKey].&amp;[8301|00028102]"/>
            <x15:cachedUniqueName index="5066" name="[FactPayment].[CaseKey].&amp;[8301|00028116]"/>
            <x15:cachedUniqueName index="5067" name="[FactPayment].[CaseKey].&amp;[8301|00028123]"/>
            <x15:cachedUniqueName index="5068" name="[FactPayment].[CaseKey].&amp;[8301|00028137]"/>
            <x15:cachedUniqueName index="5069" name="[FactPayment].[CaseKey].&amp;[8301|00028144]"/>
            <x15:cachedUniqueName index="5070" name="[FactPayment].[CaseKey].&amp;[8301|00028168]"/>
            <x15:cachedUniqueName index="5071" name="[FactPayment].[CaseKey].&amp;[8301|00028174]"/>
            <x15:cachedUniqueName index="5072" name="[FactPayment].[CaseKey].&amp;[8301|00028181]"/>
            <x15:cachedUniqueName index="5073" name="[FactPayment].[CaseKey].&amp;[8301|00028198]"/>
            <x15:cachedUniqueName index="5074" name="[FactPayment].[CaseKey].&amp;[8301|00028202]"/>
            <x15:cachedUniqueName index="5075" name="[FactPayment].[CaseKey].&amp;[8301|00028224]"/>
            <x15:cachedUniqueName index="5076" name="[FactPayment].[CaseKey].&amp;[8301|00028235]"/>
            <x15:cachedUniqueName index="5077" name="[FactPayment].[CaseKey].&amp;[8301|00028246]"/>
            <x15:cachedUniqueName index="5078" name="[FactPayment].[CaseKey].&amp;[8301|00028254]"/>
            <x15:cachedUniqueName index="5079" name="[FactPayment].[CaseKey].&amp;[8301|00028260]"/>
            <x15:cachedUniqueName index="5080" name="[FactPayment].[CaseKey].&amp;[8301|00028275]"/>
            <x15:cachedUniqueName index="5081" name="[FactPayment].[CaseKey].&amp;[8301|00028288]"/>
            <x15:cachedUniqueName index="5082" name="[FactPayment].[CaseKey].&amp;[8301|00028296]"/>
            <x15:cachedUniqueName index="5083" name="[FactPayment].[CaseKey].&amp;[8301|00028302]"/>
            <x15:cachedUniqueName index="5084" name="[FactPayment].[CaseKey].&amp;[8301|00028316]"/>
            <x15:cachedUniqueName index="5085" name="[FactPayment].[CaseKey].&amp;[8301|00028322]"/>
            <x15:cachedUniqueName index="5086" name="[FactPayment].[CaseKey].&amp;[8301|00028330]"/>
            <x15:cachedUniqueName index="5087" name="[FactPayment].[CaseKey].&amp;[8301|00028345]"/>
            <x15:cachedUniqueName index="5088" name="[FactPayment].[CaseKey].&amp;[8301|00028351]"/>
            <x15:cachedUniqueName index="5089" name="[FactPayment].[CaseKey].&amp;[8301|00028360]"/>
            <x15:cachedUniqueName index="5090" name="[FactPayment].[CaseKey].&amp;[8301|00028373]"/>
            <x15:cachedUniqueName index="5091" name="[FactPayment].[CaseKey].&amp;[8301|00028388]"/>
            <x15:cachedUniqueName index="5092" name="[FactPayment].[CaseKey].&amp;[8301|00028398]"/>
            <x15:cachedUniqueName index="5093" name="[FactPayment].[CaseKey].&amp;[8301|00028404]"/>
            <x15:cachedUniqueName index="5094" name="[FactPayment].[CaseKey].&amp;[8301|00028411]"/>
            <x15:cachedUniqueName index="5095" name="[FactPayment].[CaseKey].&amp;[8301|00028423]"/>
            <x15:cachedUniqueName index="5096" name="[FactPayment].[CaseKey].&amp;[8301|00028430]"/>
            <x15:cachedUniqueName index="5097" name="[FactPayment].[CaseKey].&amp;[8301|00028447]"/>
            <x15:cachedUniqueName index="5098" name="[FactPayment].[CaseKey].&amp;[8301|00028455]"/>
            <x15:cachedUniqueName index="5099" name="[FactPayment].[CaseKey].&amp;[8301|00028463]"/>
            <x15:cachedUniqueName index="5100" name="[FactPayment].[CaseKey].&amp;[8301|00028471]"/>
            <x15:cachedUniqueName index="5101" name="[FactPayment].[CaseKey].&amp;[8301|00028488]"/>
            <x15:cachedUniqueName index="5102" name="[FactPayment].[CaseKey].&amp;[8301|00028493]"/>
            <x15:cachedUniqueName index="5103" name="[FactPayment].[CaseKey].&amp;[8301|00028500]"/>
            <x15:cachedUniqueName index="5104" name="[FactPayment].[CaseKey].&amp;[8301|00028516]"/>
            <x15:cachedUniqueName index="5105" name="[FactPayment].[CaseKey].&amp;[8301|00028526]"/>
            <x15:cachedUniqueName index="5106" name="[FactPayment].[CaseKey].&amp;[8301|00028532]"/>
            <x15:cachedUniqueName index="5107" name="[FactPayment].[CaseKey].&amp;[8301|00028546]"/>
            <x15:cachedUniqueName index="5108" name="[FactPayment].[CaseKey].&amp;[8301|00028553]"/>
            <x15:cachedUniqueName index="5109" name="[FactPayment].[CaseKey].&amp;[8301|00028565]"/>
            <x15:cachedUniqueName index="5110" name="[FactPayment].[CaseKey].&amp;[8301|00028571]"/>
            <x15:cachedUniqueName index="5111" name="[FactPayment].[CaseKey].&amp;[8301|00028585]"/>
            <x15:cachedUniqueName index="5112" name="[FactPayment].[CaseKey].&amp;[8301|00028603]"/>
            <x15:cachedUniqueName index="5113" name="[FactPayment].[CaseKey].&amp;[8301|00028615]"/>
            <x15:cachedUniqueName index="5114" name="[FactPayment].[CaseKey].&amp;[8301|00028621]"/>
            <x15:cachedUniqueName index="5115" name="[FactPayment].[CaseKey].&amp;[8301|00028631]"/>
            <x15:cachedUniqueName index="5116" name="[FactPayment].[CaseKey].&amp;[8301|00028644]"/>
            <x15:cachedUniqueName index="5117" name="[FactPayment].[CaseKey].&amp;[8301|00028658]"/>
            <x15:cachedUniqueName index="5118" name="[FactPayment].[CaseKey].&amp;[8301|00028662]"/>
            <x15:cachedUniqueName index="5119" name="[FactPayment].[CaseKey].&amp;[8301|00028670]"/>
            <x15:cachedUniqueName index="5120" name="[FactPayment].[CaseKey].&amp;[8301|00028685]"/>
            <x15:cachedUniqueName index="5121" name="[FactPayment].[CaseKey].&amp;[8301|00028698]"/>
            <x15:cachedUniqueName index="5122" name="[FactPayment].[CaseKey].&amp;[8301|00028708]"/>
            <x15:cachedUniqueName index="5123" name="[FactPayment].[CaseKey].&amp;[8301|00028728]"/>
            <x15:cachedUniqueName index="5124" name="[FactPayment].[CaseKey].&amp;[8301|00028734]"/>
            <x15:cachedUniqueName index="5125" name="[FactPayment].[CaseKey].&amp;[8301|00028741]"/>
            <x15:cachedUniqueName index="5126" name="[FactPayment].[CaseKey].&amp;[8301|00028753]"/>
            <x15:cachedUniqueName index="5127" name="[FactPayment].[CaseKey].&amp;[8301|00028762]"/>
            <x15:cachedUniqueName index="5128" name="[FactPayment].[CaseKey].&amp;[8301|00028774]"/>
            <x15:cachedUniqueName index="5129" name="[FactPayment].[CaseKey].&amp;[8301|00028782]"/>
            <x15:cachedUniqueName index="5130" name="[FactPayment].[CaseKey].&amp;[8301|00028796]"/>
            <x15:cachedUniqueName index="5131" name="[FactPayment].[CaseKey].&amp;[8301|00028800]"/>
            <x15:cachedUniqueName index="5132" name="[FactPayment].[CaseKey].&amp;[8301|00028816]"/>
            <x15:cachedUniqueName index="5133" name="[FactPayment].[CaseKey].&amp;[8301|00028823]"/>
            <x15:cachedUniqueName index="5134" name="[FactPayment].[CaseKey].&amp;[8301|00028832]"/>
            <x15:cachedUniqueName index="5135" name="[FactPayment].[CaseKey].&amp;[8301|00028851]"/>
            <x15:cachedUniqueName index="5136" name="[FactPayment].[CaseKey].&amp;[8301|00028865]"/>
            <x15:cachedUniqueName index="5137" name="[FactPayment].[CaseKey].&amp;[8301|00028870]"/>
            <x15:cachedUniqueName index="5138" name="[FactPayment].[CaseKey].&amp;[8301|00028886]"/>
            <x15:cachedUniqueName index="5139" name="[FactPayment].[CaseKey].&amp;[8301|00028906]"/>
            <x15:cachedUniqueName index="5140" name="[FactPayment].[CaseKey].&amp;[8301|00028913]"/>
            <x15:cachedUniqueName index="5141" name="[FactPayment].[CaseKey].&amp;[8301|00028921]"/>
            <x15:cachedUniqueName index="5142" name="[FactPayment].[CaseKey].&amp;[8301|00028932]"/>
            <x15:cachedUniqueName index="5143" name="[FactPayment].[CaseKey].&amp;[8301|00028941]"/>
            <x15:cachedUniqueName index="5144" name="[FactPayment].[CaseKey].&amp;[8301|00028950]"/>
            <x15:cachedUniqueName index="5145" name="[FactPayment].[CaseKey].&amp;[8301|00028966]"/>
            <x15:cachedUniqueName index="5146" name="[FactPayment].[CaseKey].&amp;[8301|00028976]"/>
            <x15:cachedUniqueName index="5147" name="[FactPayment].[CaseKey].&amp;[8301|00028984]"/>
            <x15:cachedUniqueName index="5148" name="[FactPayment].[CaseKey].&amp;[8301|00028993]"/>
            <x15:cachedUniqueName index="5149" name="[FactPayment].[CaseKey].&amp;[8301|00029005]"/>
            <x15:cachedUniqueName index="5150" name="[FactPayment].[CaseKey].&amp;[8301|00029017]"/>
            <x15:cachedUniqueName index="5151" name="[FactPayment].[CaseKey].&amp;[8301|00029020]"/>
            <x15:cachedUniqueName index="5152" name="[FactPayment].[CaseKey].&amp;[8301|00029036]"/>
            <x15:cachedUniqueName index="5153" name="[FactPayment].[CaseKey].&amp;[8301|00029044]"/>
            <x15:cachedUniqueName index="5154" name="[FactPayment].[CaseKey].&amp;[8301|00029052]"/>
            <x15:cachedUniqueName index="5155" name="[FactPayment].[CaseKey].&amp;[8301|00029066]"/>
            <x15:cachedUniqueName index="5156" name="[FactPayment].[CaseKey].&amp;[8301|00029070]"/>
            <x15:cachedUniqueName index="5157" name="[FactPayment].[CaseKey].&amp;[8301|00029085]"/>
            <x15:cachedUniqueName index="5158" name="[FactPayment].[CaseKey].&amp;[8301|00029090]"/>
            <x15:cachedUniqueName index="5159" name="[FactPayment].[CaseKey].&amp;[8301|00029103]"/>
            <x15:cachedUniqueName index="5160" name="[FactPayment].[CaseKey].&amp;[8301|00029116]"/>
            <x15:cachedUniqueName index="5161" name="[FactPayment].[CaseKey].&amp;[8301|00029120]"/>
            <x15:cachedUniqueName index="5162" name="[FactPayment].[CaseKey].&amp;[8301|00029137]"/>
            <x15:cachedUniqueName index="5163" name="[FactPayment].[CaseKey].&amp;[8301|00029141]"/>
            <x15:cachedUniqueName index="5164" name="[FactPayment].[CaseKey].&amp;[8301|00029155]"/>
            <x15:cachedUniqueName index="5165" name="[FactPayment].[CaseKey].&amp;[8301|00029166]"/>
            <x15:cachedUniqueName index="5166" name="[FactPayment].[CaseKey].&amp;[8301|00029171]"/>
            <x15:cachedUniqueName index="5167" name="[FactPayment].[CaseKey].&amp;[8301|00029181]"/>
            <x15:cachedUniqueName index="5168" name="[FactPayment].[CaseKey].&amp;[8301|00029192]"/>
            <x15:cachedUniqueName index="5169" name="[FactPayment].[CaseKey].&amp;[8301|00029212]"/>
            <x15:cachedUniqueName index="5170" name="[FactPayment].[CaseKey].&amp;[8301|00029224]"/>
            <x15:cachedUniqueName index="5171" name="[FactPayment].[CaseKey].&amp;[8301|00029232]"/>
            <x15:cachedUniqueName index="5172" name="[FactPayment].[CaseKey].&amp;[8301|00029244]"/>
            <x15:cachedUniqueName index="5173" name="[FactPayment].[CaseKey].&amp;[8301|00029256]"/>
            <x15:cachedUniqueName index="5174" name="[FactPayment].[CaseKey].&amp;[8301|00029263]"/>
            <x15:cachedUniqueName index="5175" name="[FactPayment].[CaseKey].&amp;[8301|00029273]"/>
            <x15:cachedUniqueName index="5176" name="[FactPayment].[CaseKey].&amp;[8301|00029284]"/>
            <x15:cachedUniqueName index="5177" name="[FactPayment].[CaseKey].&amp;[8301|00029291]"/>
            <x15:cachedUniqueName index="5178" name="[FactPayment].[CaseKey].&amp;[8301|00029307]"/>
            <x15:cachedUniqueName index="5179" name="[FactPayment].[CaseKey].&amp;[8301|00029310]"/>
            <x15:cachedUniqueName index="5180" name="[FactPayment].[CaseKey].&amp;[8301|00029328]"/>
            <x15:cachedUniqueName index="5181" name="[FactPayment].[CaseKey].&amp;[8301|00029337]"/>
            <x15:cachedUniqueName index="5182" name="[FactPayment].[CaseKey].&amp;[8301|00029344]"/>
            <x15:cachedUniqueName index="5183" name="[FactPayment].[CaseKey].&amp;[8301|00029357]"/>
            <x15:cachedUniqueName index="5184" name="[FactPayment].[CaseKey].&amp;[8301|00029361]"/>
            <x15:cachedUniqueName index="5185" name="[FactPayment].[CaseKey].&amp;[8301|00029377]"/>
            <x15:cachedUniqueName index="5186" name="[FactPayment].[CaseKey].&amp;[8301|00029385]"/>
            <x15:cachedUniqueName index="5187" name="[FactPayment].[CaseKey].&amp;[8301|00029395]"/>
            <x15:cachedUniqueName index="5188" name="[FactPayment].[CaseKey].&amp;[8301|00029408]"/>
            <x15:cachedUniqueName index="5189" name="[FactPayment].[CaseKey].&amp;[8301|00029416]"/>
            <x15:cachedUniqueName index="5190" name="[FactPayment].[CaseKey].&amp;[8301|00029423]"/>
            <x15:cachedUniqueName index="5191" name="[FactPayment].[CaseKey].&amp;[8301|00029436]"/>
            <x15:cachedUniqueName index="5192" name="[FactPayment].[CaseKey].&amp;[8301|00029441]"/>
            <x15:cachedUniqueName index="5193" name="[FactPayment].[CaseKey].&amp;[8301|00029473]"/>
            <x15:cachedUniqueName index="5194" name="[FactPayment].[CaseKey].&amp;[8301|00029488]"/>
            <x15:cachedUniqueName index="5195" name="[FactPayment].[CaseKey].&amp;[8301|00029496]"/>
            <x15:cachedUniqueName index="5196" name="[FactPayment].[CaseKey].&amp;[8301|00029505]"/>
            <x15:cachedUniqueName index="5197" name="[FactPayment].[CaseKey].&amp;[8301|00029517]"/>
            <x15:cachedUniqueName index="5198" name="[FactPayment].[CaseKey].&amp;[8301|00029523]"/>
            <x15:cachedUniqueName index="5199" name="[FactPayment].[CaseKey].&amp;[8301|00029532]"/>
            <x15:cachedUniqueName index="5200" name="[FactPayment].[CaseKey].&amp;[8301|00029545]"/>
            <x15:cachedUniqueName index="5201" name="[FactPayment].[CaseKey].&amp;[8301|00029556]"/>
            <x15:cachedUniqueName index="5202" name="[FactPayment].[CaseKey].&amp;[8301|00029567]"/>
            <x15:cachedUniqueName index="5203" name="[FactPayment].[CaseKey].&amp;[8301|00029571]"/>
            <x15:cachedUniqueName index="5204" name="[FactPayment].[CaseKey].&amp;[8301|00029582]"/>
            <x15:cachedUniqueName index="5205" name="[FactPayment].[CaseKey].&amp;[8301|00029592]"/>
            <x15:cachedUniqueName index="5206" name="[FactPayment].[CaseKey].&amp;[8301|00029607]"/>
            <x15:cachedUniqueName index="5207" name="[FactPayment].[CaseKey].&amp;[8301|00029613]"/>
            <x15:cachedUniqueName index="5208" name="[FactPayment].[CaseKey].&amp;[8301|00029624]"/>
            <x15:cachedUniqueName index="5209" name="[FactPayment].[CaseKey].&amp;[8301|00029636]"/>
            <x15:cachedUniqueName index="5210" name="[FactPayment].[CaseKey].&amp;[8301|00029648]"/>
            <x15:cachedUniqueName index="5211" name="[FactPayment].[CaseKey].&amp;[8301|00029658]"/>
            <x15:cachedUniqueName index="5212" name="[FactPayment].[CaseKey].&amp;[8301|00029667]"/>
            <x15:cachedUniqueName index="5213" name="[FactPayment].[CaseKey].&amp;[8301|00029676]"/>
            <x15:cachedUniqueName index="5214" name="[FactPayment].[CaseKey].&amp;[8301|00029690]"/>
            <x15:cachedUniqueName index="5215" name="[FactPayment].[CaseKey].&amp;[8301|00029707]"/>
            <x15:cachedUniqueName index="5216" name="[FactPayment].[CaseKey].&amp;[8301|00029713]"/>
            <x15:cachedUniqueName index="5217" name="[FactPayment].[CaseKey].&amp;[8301|00029723]"/>
            <x15:cachedUniqueName index="5218" name="[FactPayment].[CaseKey].&amp;[8301|00029732]"/>
            <x15:cachedUniqueName index="5219" name="[FactPayment].[CaseKey].&amp;[8301|00029745]"/>
            <x15:cachedUniqueName index="5220" name="[FactPayment].[CaseKey].&amp;[8301|00029758]"/>
            <x15:cachedUniqueName index="5221" name="[FactPayment].[CaseKey].&amp;[8301|00029761]"/>
            <x15:cachedUniqueName index="5222" name="[FactPayment].[CaseKey].&amp;[8301|00029773]"/>
            <x15:cachedUniqueName index="5223" name="[FactPayment].[CaseKey].&amp;[8301|00029781]"/>
            <x15:cachedUniqueName index="5224" name="[FactPayment].[CaseKey].&amp;[8301|00029796]"/>
            <x15:cachedUniqueName index="5225" name="[FactPayment].[CaseKey].&amp;[8301|00029801]"/>
            <x15:cachedUniqueName index="5226" name="[FactPayment].[CaseKey].&amp;[8301|00029811]"/>
            <x15:cachedUniqueName index="5227" name="[FactPayment].[CaseKey].&amp;[8301|00029821]"/>
            <x15:cachedUniqueName index="5228" name="[FactPayment].[CaseKey].&amp;[8301|00029834]"/>
            <x15:cachedUniqueName index="5229" name="[FactPayment].[CaseKey].&amp;[8301|00029846]"/>
            <x15:cachedUniqueName index="5230" name="[FactPayment].[CaseKey].&amp;[8301|00029855]"/>
            <x15:cachedUniqueName index="5231" name="[FactPayment].[CaseKey].&amp;[8301|00029860]"/>
            <x15:cachedUniqueName index="5232" name="[FactPayment].[CaseKey].&amp;[8301|00029871]"/>
            <x15:cachedUniqueName index="5233" name="[FactPayment].[CaseKey].&amp;[8301|00029883]"/>
            <x15:cachedUniqueName index="5234" name="[FactPayment].[CaseKey].&amp;[8301|00029891]"/>
            <x15:cachedUniqueName index="5235" name="[FactPayment].[CaseKey].&amp;[8301|00029907]"/>
            <x15:cachedUniqueName index="5236" name="[FactPayment].[CaseKey].&amp;[8301|00029911]"/>
            <x15:cachedUniqueName index="5237" name="[FactPayment].[CaseKey].&amp;[8301|00029921]"/>
            <x15:cachedUniqueName index="5238" name="[FactPayment].[CaseKey].&amp;[8301|00029930]"/>
            <x15:cachedUniqueName index="5239" name="[FactPayment].[CaseKey].&amp;[8301|00029957]"/>
            <x15:cachedUniqueName index="5240" name="[FactPayment].[CaseKey].&amp;[8301|00029962]"/>
            <x15:cachedUniqueName index="5241" name="[FactPayment].[CaseKey].&amp;[8301|00029977]"/>
            <x15:cachedUniqueName index="5242" name="[FactPayment].[CaseKey].&amp;[8301|00029988]"/>
            <x15:cachedUniqueName index="5243" name="[FactPayment].[CaseKey].&amp;[8301|00029992]"/>
            <x15:cachedUniqueName index="5244" name="[FactPayment].[CaseKey].&amp;[8301|00030005]"/>
            <x15:cachedUniqueName index="5245" name="[FactPayment].[CaseKey].&amp;[8301|00030011]"/>
            <x15:cachedUniqueName index="5246" name="[FactPayment].[CaseKey].&amp;[8301|00030024]"/>
            <x15:cachedUniqueName index="5247" name="[FactPayment].[CaseKey].&amp;[8301|00030035]"/>
            <x15:cachedUniqueName index="5248" name="[FactPayment].[CaseKey].&amp;[8301|00030043]"/>
            <x15:cachedUniqueName index="5249" name="[FactPayment].[CaseKey].&amp;[8301|00030051]"/>
            <x15:cachedUniqueName index="5250" name="[FactPayment].[CaseKey].&amp;[8301|00030060]"/>
            <x15:cachedUniqueName index="5251" name="[FactPayment].[CaseKey].&amp;[8301|00030078]"/>
            <x15:cachedUniqueName index="5252" name="[FactPayment].[CaseKey].&amp;[8301|00030084]"/>
            <x15:cachedUniqueName index="5253" name="[FactPayment].[CaseKey].&amp;[8301|00030098]"/>
            <x15:cachedUniqueName index="5254" name="[FactPayment].[CaseKey].&amp;[8301|00030107]"/>
            <x15:cachedUniqueName index="5255" name="[FactPayment].[CaseKey].&amp;[8301|00030115]"/>
            <x15:cachedUniqueName index="5256" name="[FactPayment].[CaseKey].&amp;[8301|00030121]"/>
            <x15:cachedUniqueName index="5257" name="[FactPayment].[CaseKey].&amp;[8301|00030134]"/>
            <x15:cachedUniqueName index="5258" name="[FactPayment].[CaseKey].&amp;[8301|00030142]"/>
            <x15:cachedUniqueName index="5259" name="[FactPayment].[CaseKey].&amp;[8301|00030152]"/>
            <x15:cachedUniqueName index="5260" name="[FactPayment].[CaseKey].&amp;[8301|00030168]"/>
            <x15:cachedUniqueName index="5261" name="[FactPayment].[CaseKey].&amp;[8301|00030178]"/>
            <x15:cachedUniqueName index="5262" name="[FactPayment].[CaseKey].&amp;[8301|00030198]"/>
            <x15:cachedUniqueName index="5263" name="[FactPayment].[CaseKey].&amp;[8301|00030204]"/>
            <x15:cachedUniqueName index="5264" name="[FactPayment].[CaseKey].&amp;[8301|00030218]"/>
            <x15:cachedUniqueName index="5265" name="[FactPayment].[CaseKey].&amp;[8301|00030226]"/>
            <x15:cachedUniqueName index="5266" name="[FactPayment].[CaseKey].&amp;[8301|00030230]"/>
            <x15:cachedUniqueName index="5267" name="[FactPayment].[CaseKey].&amp;[8301|00030245]"/>
            <x15:cachedUniqueName index="5268" name="[FactPayment].[CaseKey].&amp;[8301|00030258]"/>
            <x15:cachedUniqueName index="5269" name="[FactPayment].[CaseKey].&amp;[8301|00030268]"/>
            <x15:cachedUniqueName index="5270" name="[FactPayment].[CaseKey].&amp;[8301|00030276]"/>
            <x15:cachedUniqueName index="5271" name="[FactPayment].[CaseKey].&amp;[8301|00030287]"/>
            <x15:cachedUniqueName index="5272" name="[FactPayment].[CaseKey].&amp;[8301|00030292]"/>
            <x15:cachedUniqueName index="5273" name="[FactPayment].[CaseKey].&amp;[8301|00030302]"/>
            <x15:cachedUniqueName index="5274" name="[FactPayment].[CaseKey].&amp;[8301|00030318]"/>
            <x15:cachedUniqueName index="5275" name="[FactPayment].[CaseKey].&amp;[8301|00030321]"/>
            <x15:cachedUniqueName index="5276" name="[FactPayment].[CaseKey].&amp;[8301|00030336]"/>
            <x15:cachedUniqueName index="5277" name="[FactPayment].[CaseKey].&amp;[8301|00030341]"/>
            <x15:cachedUniqueName index="5278" name="[FactPayment].[CaseKey].&amp;[8301|00030350]"/>
            <x15:cachedUniqueName index="5279" name="[FactPayment].[CaseKey].&amp;[8301|00030365]"/>
            <x15:cachedUniqueName index="5280" name="[FactPayment].[CaseKey].&amp;[8301|00030376]"/>
            <x15:cachedUniqueName index="5281" name="[FactPayment].[CaseKey].&amp;[8301|00030388]"/>
            <x15:cachedUniqueName index="5282" name="[FactPayment].[CaseKey].&amp;[8301|00030391]"/>
            <x15:cachedUniqueName index="5283" name="[FactPayment].[CaseKey].&amp;[8301|00030401]"/>
            <x15:cachedUniqueName index="5284" name="[FactPayment].[CaseKey].&amp;[8301|00030416]"/>
            <x15:cachedUniqueName index="5285" name="[FactPayment].[CaseKey].&amp;[8301|00030431]"/>
            <x15:cachedUniqueName index="5286" name="[FactPayment].[CaseKey].&amp;[8301|00030441]"/>
            <x15:cachedUniqueName index="5287" name="[FactPayment].[CaseKey].&amp;[8301|00030458]"/>
            <x15:cachedUniqueName index="5288" name="[FactPayment].[CaseKey].&amp;[8301|00030465]"/>
            <x15:cachedUniqueName index="5289" name="[FactPayment].[CaseKey].&amp;[8301|00030478]"/>
            <x15:cachedUniqueName index="5290" name="[FactPayment].[CaseKey].&amp;[8301|00030485]"/>
            <x15:cachedUniqueName index="5291" name="[FactPayment].[CaseKey].&amp;[8301|00030495]"/>
            <x15:cachedUniqueName index="5292" name="[FactPayment].[CaseKey].&amp;[8301|00030501]"/>
            <x15:cachedUniqueName index="5293" name="[FactPayment].[CaseKey].&amp;[8301|00030511]"/>
            <x15:cachedUniqueName index="5294" name="[FactPayment].[CaseKey].&amp;[8301|00030525]"/>
            <x15:cachedUniqueName index="5295" name="[FactPayment].[CaseKey].&amp;[8301|00030530]"/>
            <x15:cachedUniqueName index="5296" name="[FactPayment].[CaseKey].&amp;[8301|00030546]"/>
            <x15:cachedUniqueName index="5297" name="[FactPayment].[CaseKey].&amp;[8301|00030554]"/>
            <x15:cachedUniqueName index="5298" name="[FactPayment].[CaseKey].&amp;[8301|00030566]"/>
            <x15:cachedUniqueName index="5299" name="[FactPayment].[CaseKey].&amp;[8301|00030576]"/>
            <x15:cachedUniqueName index="5300" name="[FactPayment].[CaseKey].&amp;[8301|00030584]"/>
            <x15:cachedUniqueName index="5301" name="[FactPayment].[CaseKey].&amp;[8301|00030593]"/>
            <x15:cachedUniqueName index="5302" name="[FactPayment].[CaseKey].&amp;[8301|00030603]"/>
            <x15:cachedUniqueName index="5303" name="[FactPayment].[CaseKey].&amp;[8301|00030610]"/>
            <x15:cachedUniqueName index="5304" name="[FactPayment].[CaseKey].&amp;[8301|00030625]"/>
            <x15:cachedUniqueName index="5305" name="[FactPayment].[CaseKey].&amp;[8301|00030631]"/>
            <x15:cachedUniqueName index="5306" name="[FactPayment].[CaseKey].&amp;[8301|00030643]"/>
            <x15:cachedUniqueName index="5307" name="[FactPayment].[CaseKey].&amp;[8301|00030653]"/>
            <x15:cachedUniqueName index="5308" name="[FactPayment].[CaseKey].&amp;[8301|00030664]"/>
            <x15:cachedUniqueName index="5309" name="[FactPayment].[CaseKey].&amp;[8301|00030678]"/>
            <x15:cachedUniqueName index="5310" name="[FactPayment].[CaseKey].&amp;[8301|00030680]"/>
            <x15:cachedUniqueName index="5311" name="[FactPayment].[CaseKey].&amp;[8301|00030692]"/>
            <x15:cachedUniqueName index="5312" name="[FactPayment].[CaseKey].&amp;[8301|00030702]"/>
            <x15:cachedUniqueName index="5313" name="[FactPayment].[CaseKey].&amp;[8301|00030711]"/>
            <x15:cachedUniqueName index="5314" name="[FactPayment].[CaseKey].&amp;[8301|00030728]"/>
            <x15:cachedUniqueName index="5315" name="[FactPayment].[CaseKey].&amp;[8301|00030737]"/>
            <x15:cachedUniqueName index="5316" name="[FactPayment].[CaseKey].&amp;[8301|00030744]"/>
            <x15:cachedUniqueName index="5317" name="[FactPayment].[CaseKey].&amp;[8301|00030766]"/>
            <x15:cachedUniqueName index="5318" name="[FactPayment].[CaseKey].&amp;[8301|00030777]"/>
            <x15:cachedUniqueName index="5319" name="[FactPayment].[CaseKey].&amp;[8301|00030784]"/>
            <x15:cachedUniqueName index="5320" name="[FactPayment].[CaseKey].&amp;[8301|00030797]"/>
            <x15:cachedUniqueName index="5321" name="[FactPayment].[CaseKey].&amp;[8301|00030806]"/>
            <x15:cachedUniqueName index="5322" name="[FactPayment].[CaseKey].&amp;[8301|00030813]"/>
            <x15:cachedUniqueName index="5323" name="[FactPayment].[CaseKey].&amp;[8301|00030828]"/>
            <x15:cachedUniqueName index="5324" name="[FactPayment].[CaseKey].&amp;[8301|00030837]"/>
            <x15:cachedUniqueName index="5325" name="[FactPayment].[CaseKey].&amp;[8301|00030851]"/>
            <x15:cachedUniqueName index="5326" name="[FactPayment].[CaseKey].&amp;[8301|00030865]"/>
            <x15:cachedUniqueName index="5327" name="[FactPayment].[CaseKey].&amp;[8301|00030873]"/>
            <x15:cachedUniqueName index="5328" name="[FactPayment].[CaseKey].&amp;[8301|00030886]"/>
            <x15:cachedUniqueName index="5329" name="[FactPayment].[CaseKey].&amp;[8301|00030896]"/>
            <x15:cachedUniqueName index="5330" name="[FactPayment].[CaseKey].&amp;[8301|00030908]"/>
            <x15:cachedUniqueName index="5331" name="[FactPayment].[CaseKey].&amp;[8301|00030916]"/>
            <x15:cachedUniqueName index="5332" name="[FactPayment].[CaseKey].&amp;[8301|00030923]"/>
            <x15:cachedUniqueName index="5333" name="[FactPayment].[CaseKey].&amp;[8301|00030931]"/>
            <x15:cachedUniqueName index="5334" name="[FactPayment].[CaseKey].&amp;[8301|00030947]"/>
            <x15:cachedUniqueName index="5335" name="[FactPayment].[CaseKey].&amp;[8301|00030957]"/>
            <x15:cachedUniqueName index="5336" name="[FactPayment].[CaseKey].&amp;[8301|00030963]"/>
            <x15:cachedUniqueName index="5337" name="[FactPayment].[CaseKey].&amp;[8301|00030978]"/>
            <x15:cachedUniqueName index="5338" name="[FactPayment].[CaseKey].&amp;[8301|00030981]"/>
            <x15:cachedUniqueName index="5339" name="[FactPayment].[CaseKey].&amp;[8301|00030995]"/>
            <x15:cachedUniqueName index="5340" name="[FactPayment].[CaseKey].&amp;[8301|00031003]"/>
            <x15:cachedUniqueName index="5341" name="[FactPayment].[CaseKey].&amp;[8301|00031016]"/>
            <x15:cachedUniqueName index="5342" name="[FactPayment].[CaseKey].&amp;[8301|00031024]"/>
            <x15:cachedUniqueName index="5343" name="[FactPayment].[CaseKey].&amp;[8301|00031033]"/>
            <x15:cachedUniqueName index="5344" name="[FactPayment].[CaseKey].&amp;[8301|00031045]"/>
            <x15:cachedUniqueName index="5345" name="[FactPayment].[CaseKey].&amp;[8301|00031055]"/>
            <x15:cachedUniqueName index="5346" name="[FactPayment].[CaseKey].&amp;[8301|00031065]"/>
            <x15:cachedUniqueName index="5347" name="[FactPayment].[CaseKey].&amp;[8301|00031070]"/>
            <x15:cachedUniqueName index="5348" name="[FactPayment].[CaseKey].&amp;[8301|00031082]"/>
            <x15:cachedUniqueName index="5349" name="[FactPayment].[CaseKey].&amp;[8301|00031097]"/>
            <x15:cachedUniqueName index="5350" name="[FactPayment].[CaseKey].&amp;[8301|00031100]"/>
            <x15:cachedUniqueName index="5351" name="[FactPayment].[CaseKey].&amp;[8301|00031112]"/>
            <x15:cachedUniqueName index="5352" name="[FactPayment].[CaseKey].&amp;[8301|00031124]"/>
            <x15:cachedUniqueName index="5353" name="[FactPayment].[CaseKey].&amp;[8301|00031132]"/>
            <x15:cachedUniqueName index="5354" name="[FactPayment].[CaseKey].&amp;[8301|00031141]"/>
            <x15:cachedUniqueName index="5355" name="[FactPayment].[CaseKey].&amp;[8301|00031152]"/>
            <x15:cachedUniqueName index="5356" name="[FactPayment].[CaseKey].&amp;[8301|00031178]"/>
            <x15:cachedUniqueName index="5357" name="[FactPayment].[CaseKey].&amp;[8301|00031188]"/>
            <x15:cachedUniqueName index="5358" name="[FactPayment].[CaseKey].&amp;[8301|00031193]"/>
            <x15:cachedUniqueName index="5359" name="[FactPayment].[CaseKey].&amp;[8301|00031205]"/>
            <x15:cachedUniqueName index="5360" name="[FactPayment].[CaseKey].&amp;[8301|00031212]"/>
            <x15:cachedUniqueName index="5361" name="[FactPayment].[CaseKey].&amp;[8301|00031225]"/>
            <x15:cachedUniqueName index="5362" name="[FactPayment].[CaseKey].&amp;[8301|00031237]"/>
            <x15:cachedUniqueName index="5363" name="[FactPayment].[CaseKey].&amp;[8301|00031243]"/>
            <x15:cachedUniqueName index="5364" name="[FactPayment].[CaseKey].&amp;[8301|00031258]"/>
            <x15:cachedUniqueName index="5365" name="[FactPayment].[CaseKey].&amp;[8301|00031264]"/>
            <x15:cachedUniqueName index="5366" name="[FactPayment].[CaseKey].&amp;[8301|00031272]"/>
            <x15:cachedUniqueName index="5367" name="[FactPayment].[CaseKey].&amp;[8301|00031286]"/>
            <x15:cachedUniqueName index="5368" name="[FactPayment].[CaseKey].&amp;[8301|00031294]"/>
            <x15:cachedUniqueName index="5369" name="[FactPayment].[CaseKey].&amp;[8301|00031304]"/>
            <x15:cachedUniqueName index="5370" name="[FactPayment].[CaseKey].&amp;[8301|00031314]"/>
            <x15:cachedUniqueName index="5371" name="[FactPayment].[CaseKey].&amp;[8301|00031327]"/>
            <x15:cachedUniqueName index="5372" name="[FactPayment].[CaseKey].&amp;[8301|00031331]"/>
            <x15:cachedUniqueName index="5373" name="[FactPayment].[CaseKey].&amp;[8301|00031346]"/>
            <x15:cachedUniqueName index="5374" name="[FactPayment].[CaseKey].&amp;[8301|00031352]"/>
            <x15:cachedUniqueName index="5375" name="[FactPayment].[CaseKey].&amp;[8301|00031366]"/>
            <x15:cachedUniqueName index="5376" name="[FactPayment].[CaseKey].&amp;[8301|00031373]"/>
            <x15:cachedUniqueName index="5377" name="[FactPayment].[CaseKey].&amp;[8301|00031385]"/>
            <x15:cachedUniqueName index="5378" name="[FactPayment].[CaseKey].&amp;[8301|00031395]"/>
            <x15:cachedUniqueName index="5379" name="[FactPayment].[CaseKey].&amp;[8301|00031401]"/>
            <x15:cachedUniqueName index="5380" name="[FactPayment].[CaseKey].&amp;[8301|00031418]"/>
            <x15:cachedUniqueName index="5381" name="[FactPayment].[CaseKey].&amp;[8301|00031428]"/>
            <x15:cachedUniqueName index="5382" name="[FactPayment].[CaseKey].&amp;[8301|00031434]"/>
            <x15:cachedUniqueName index="5383" name="[FactPayment].[CaseKey].&amp;[8301|00031443]"/>
            <x15:cachedUniqueName index="5384" name="[FactPayment].[CaseKey].&amp;[8301|00031455]"/>
            <x15:cachedUniqueName index="5385" name="[FactPayment].[CaseKey].&amp;[8301|00031462]"/>
            <x15:cachedUniqueName index="5386" name="[FactPayment].[CaseKey].&amp;[8301|00031475]"/>
            <x15:cachedUniqueName index="5387" name="[FactPayment].[CaseKey].&amp;[8301|00031481]"/>
            <x15:cachedUniqueName index="5388" name="[FactPayment].[CaseKey].&amp;[8301|00031493]"/>
            <x15:cachedUniqueName index="5389" name="[FactPayment].[CaseKey].&amp;[8301|00031503]"/>
            <x15:cachedUniqueName index="5390" name="[FactPayment].[CaseKey].&amp;[8301|00031513]"/>
            <x15:cachedUniqueName index="5391" name="[FactPayment].[CaseKey].&amp;[8301|00031521]"/>
            <x15:cachedUniqueName index="5392" name="[FactPayment].[CaseKey].&amp;[8301|00031537]"/>
            <x15:cachedUniqueName index="5393" name="[FactPayment].[CaseKey].&amp;[8301|00031542]"/>
            <x15:cachedUniqueName index="5394" name="[FactPayment].[CaseKey].&amp;[8301|00031557]"/>
            <x15:cachedUniqueName index="5395" name="[FactPayment].[CaseKey].&amp;[8301|00031566]"/>
            <x15:cachedUniqueName index="5396" name="[FactPayment].[CaseKey].&amp;[8301|00031577]"/>
            <x15:cachedUniqueName index="5397" name="[FactPayment].[CaseKey].&amp;[8301|00031586]"/>
            <x15:cachedUniqueName index="5398" name="[FactPayment].[CaseKey].&amp;[8301|00031595]"/>
            <x15:cachedUniqueName index="5399" name="[FactPayment].[CaseKey].&amp;[8301|00031605]"/>
            <x15:cachedUniqueName index="5400" name="[FactPayment].[CaseKey].&amp;[8301|00031616]"/>
            <x15:cachedUniqueName index="5401" name="[FactPayment].[CaseKey].&amp;[8301|00031622]"/>
            <x15:cachedUniqueName index="5402" name="[FactPayment].[CaseKey].&amp;[8301|00031633]"/>
            <x15:cachedUniqueName index="5403" name="[FactPayment].[CaseKey].&amp;[8301|00031643]"/>
            <x15:cachedUniqueName index="5404" name="[FactPayment].[CaseKey].&amp;[8301|00031658]"/>
            <x15:cachedUniqueName index="5405" name="[FactPayment].[CaseKey].&amp;[8301|00031668]"/>
            <x15:cachedUniqueName index="5406" name="[FactPayment].[CaseKey].&amp;[8301|00031674]"/>
            <x15:cachedUniqueName index="5407" name="[FactPayment].[CaseKey].&amp;[8301|00031687]"/>
            <x15:cachedUniqueName index="5408" name="[FactPayment].[CaseKey].&amp;[8301|00031698]"/>
            <x15:cachedUniqueName index="5409" name="[FactPayment].[CaseKey].&amp;[8301|00031705]"/>
            <x15:cachedUniqueName index="5410" name="[FactPayment].[CaseKey].&amp;[8301|00031715]"/>
            <x15:cachedUniqueName index="5411" name="[FactPayment].[CaseKey].&amp;[8301|00031720]"/>
            <x15:cachedUniqueName index="5412" name="[FactPayment].[CaseKey].&amp;[8301|00031731]"/>
            <x15:cachedUniqueName index="5413" name="[FactPayment].[CaseKey].&amp;[8301|00031746]"/>
            <x15:cachedUniqueName index="5414" name="[FactPayment].[CaseKey].&amp;[8301|00031757]"/>
            <x15:cachedUniqueName index="5415" name="[FactPayment].[CaseKey].&amp;[8301|00031762]"/>
            <x15:cachedUniqueName index="5416" name="[FactPayment].[CaseKey].&amp;[8301|00031773]"/>
            <x15:cachedUniqueName index="5417" name="[FactPayment].[CaseKey].&amp;[8301|00031791]"/>
            <x15:cachedUniqueName index="5418" name="[FactPayment].[CaseKey].&amp;[8301|00031802]"/>
            <x15:cachedUniqueName index="5419" name="[FactPayment].[CaseKey].&amp;[8301|00031810]"/>
            <x15:cachedUniqueName index="5420" name="[FactPayment].[CaseKey].&amp;[8301|00031823]"/>
            <x15:cachedUniqueName index="5421" name="[FactPayment].[CaseKey].&amp;[8301|00031836]"/>
            <x15:cachedUniqueName index="5422" name="[FactPayment].[CaseKey].&amp;[8301|00031847]"/>
            <x15:cachedUniqueName index="5423" name="[FactPayment].[CaseKey].&amp;[8301|00031851]"/>
            <x15:cachedUniqueName index="5424" name="[FactPayment].[CaseKey].&amp;[8301|00031863]"/>
            <x15:cachedUniqueName index="5425" name="[FactPayment].[CaseKey].&amp;[8301|00031877]"/>
            <x15:cachedUniqueName index="5426" name="[FactPayment].[CaseKey].&amp;[8301|00031888]"/>
            <x15:cachedUniqueName index="5427" name="[FactPayment].[CaseKey].&amp;[8301|00031897]"/>
            <x15:cachedUniqueName index="5428" name="[FactPayment].[CaseKey].&amp;[8301|00031902]"/>
            <x15:cachedUniqueName index="5429" name="[FactPayment].[CaseKey].&amp;[8301|00031914]"/>
            <x15:cachedUniqueName index="5430" name="[FactPayment].[CaseKey].&amp;[8301|00031926]"/>
            <x15:cachedUniqueName index="5431" name="[FactPayment].[CaseKey].&amp;[8301|00031933]"/>
            <x15:cachedUniqueName index="5432" name="[FactPayment].[CaseKey].&amp;[8301|00031940]"/>
            <x15:cachedUniqueName index="5433" name="[FactPayment].[CaseKey].&amp;[8301|00031954]"/>
            <x15:cachedUniqueName index="5434" name="[FactPayment].[CaseKey].&amp;[8301|00031983]"/>
            <x15:cachedUniqueName index="5435" name="[FactPayment].[CaseKey].&amp;[8301|00031993]"/>
            <x15:cachedUniqueName index="5436" name="[FactPayment].[CaseKey].&amp;[8301|00032008]"/>
            <x15:cachedUniqueName index="5437" name="[FactPayment].[CaseKey].&amp;[8301|00032011]"/>
            <x15:cachedUniqueName index="5438" name="[FactPayment].[CaseKey].&amp;[8301|00032028]"/>
            <x15:cachedUniqueName index="5439" name="[FactPayment].[CaseKey].&amp;[8301|00032035]"/>
            <x15:cachedUniqueName index="5440" name="[FactPayment].[CaseKey].&amp;[8301|00032044]"/>
            <x15:cachedUniqueName index="5441" name="[FactPayment].[CaseKey].&amp;[8301|00032054]"/>
            <x15:cachedUniqueName index="5442" name="[FactPayment].[CaseKey].&amp;[8301|00032065]"/>
            <x15:cachedUniqueName index="5443" name="[FactPayment].[CaseKey].&amp;[8301|00032072]"/>
            <x15:cachedUniqueName index="5444" name="[FactPayment].[CaseKey].&amp;[8301|00032087]"/>
            <x15:cachedUniqueName index="5445" name="[FactPayment].[CaseKey].&amp;[8301|00032090]"/>
            <x15:cachedUniqueName index="5446" name="[FactPayment].[CaseKey].&amp;[8301|00032105]"/>
            <x15:cachedUniqueName index="5447" name="[FactPayment].[CaseKey].&amp;[8301|00032110]"/>
            <x15:cachedUniqueName index="5448" name="[FactPayment].[CaseKey].&amp;[8301|00032124]"/>
            <x15:cachedUniqueName index="5449" name="[FactPayment].[CaseKey].&amp;[8301|00032130]"/>
            <x15:cachedUniqueName index="5450" name="[FactPayment].[CaseKey].&amp;[8301|00032148]"/>
            <x15:cachedUniqueName index="5451" name="[FactPayment].[CaseKey].&amp;[8301|00032153]"/>
            <x15:cachedUniqueName index="5452" name="[FactPayment].[CaseKey].&amp;[8301|00032167]"/>
            <x15:cachedUniqueName index="5453" name="[FactPayment].[CaseKey].&amp;[8301|00032178]"/>
            <x15:cachedUniqueName index="5454" name="[FactPayment].[CaseKey].&amp;[8301|00032182]"/>
            <x15:cachedUniqueName index="5455" name="[FactPayment].[CaseKey].&amp;[8301|00032195]"/>
            <x15:cachedUniqueName index="5456" name="[FactPayment].[CaseKey].&amp;[8301|00032200]"/>
            <x15:cachedUniqueName index="5457" name="[FactPayment].[CaseKey].&amp;[8301|00032213]"/>
            <x15:cachedUniqueName index="5458" name="[FactPayment].[CaseKey].&amp;[8301|00032224]"/>
            <x15:cachedUniqueName index="5459" name="[FactPayment].[CaseKey].&amp;[8301|00032236]"/>
            <x15:cachedUniqueName index="5460" name="[FactPayment].[CaseKey].&amp;[8301|00032245]"/>
            <x15:cachedUniqueName index="5461" name="[FactPayment].[CaseKey].&amp;[8301|00032252]"/>
            <x15:cachedUniqueName index="5462" name="[FactPayment].[CaseKey].&amp;[8301|00032261]"/>
            <x15:cachedUniqueName index="5463" name="[FactPayment].[CaseKey].&amp;[8301|00032277]"/>
            <x15:cachedUniqueName index="5464" name="[FactPayment].[CaseKey].&amp;[8301|00032284]"/>
            <x15:cachedUniqueName index="5465" name="[FactPayment].[CaseKey].&amp;[8301|00032292]"/>
            <x15:cachedUniqueName index="5466" name="[FactPayment].[CaseKey].&amp;[8301|00032303]"/>
            <x15:cachedUniqueName index="5467" name="[FactPayment].[CaseKey].&amp;[8301|00032312]"/>
            <x15:cachedUniqueName index="5468" name="[FactPayment].[CaseKey].&amp;[8301|00032326]"/>
            <x15:cachedUniqueName index="5469" name="[FactPayment].[CaseKey].&amp;[8301|00032331]"/>
            <x15:cachedUniqueName index="5470" name="[FactPayment].[CaseKey].&amp;[8301|00032347]"/>
            <x15:cachedUniqueName index="5471" name="[FactPayment].[CaseKey].&amp;[8301|00032350]"/>
            <x15:cachedUniqueName index="5472" name="[FactPayment].[CaseKey].&amp;[8301|00032367]"/>
            <x15:cachedUniqueName index="5473" name="[FactPayment].[CaseKey].&amp;[8301|00032374]"/>
            <x15:cachedUniqueName index="5474" name="[FactPayment].[CaseKey].&amp;[8301|00032386]"/>
            <x15:cachedUniqueName index="5475" name="[FactPayment].[CaseKey].&amp;[8301|00032395]"/>
            <x15:cachedUniqueName index="5476" name="[FactPayment].[CaseKey].&amp;[8301|00032401]"/>
            <x15:cachedUniqueName index="5477" name="[FactPayment].[CaseKey].&amp;[8301|00032416]"/>
            <x15:cachedUniqueName index="5478" name="[FactPayment].[CaseKey].&amp;[8301|00032423]"/>
            <x15:cachedUniqueName index="5479" name="[FactPayment].[CaseKey].&amp;[8301|00032435]"/>
            <x15:cachedUniqueName index="5480" name="[FactPayment].[CaseKey].&amp;[8301|00032444]"/>
            <x15:cachedUniqueName index="5481" name="[FactPayment].[CaseKey].&amp;[8301|00032453]"/>
            <x15:cachedUniqueName index="5482" name="[FactPayment].[CaseKey].&amp;[8301|00032465]"/>
            <x15:cachedUniqueName index="5483" name="[FactPayment].[CaseKey].&amp;[8301|00032472]"/>
            <x15:cachedUniqueName index="5484" name="[FactPayment].[CaseKey].&amp;[8301|00032486]"/>
            <x15:cachedUniqueName index="5485" name="[FactPayment].[CaseKey].&amp;[8301|00032497]"/>
            <x15:cachedUniqueName index="5486" name="[FactPayment].[CaseKey].&amp;[8301|00032501]"/>
            <x15:cachedUniqueName index="5487" name="[FactPayment].[CaseKey].&amp;[8301|00032516]"/>
            <x15:cachedUniqueName index="5488" name="[FactPayment].[CaseKey].&amp;[8301|00032520]"/>
            <x15:cachedUniqueName index="5489" name="[FactPayment].[CaseKey].&amp;[8301|00032537]"/>
            <x15:cachedUniqueName index="5490" name="[FactPayment].[CaseKey].&amp;[8301|00032543]"/>
            <x15:cachedUniqueName index="5491" name="[FactPayment].[CaseKey].&amp;[8301|00032558]"/>
            <x15:cachedUniqueName index="5492" name="[FactPayment].[CaseKey].&amp;[8301|00032568]"/>
            <x15:cachedUniqueName index="5493" name="[FactPayment].[CaseKey].&amp;[8301|00032570]"/>
            <x15:cachedUniqueName index="5494" name="[FactPayment].[CaseKey].&amp;[8301|00032590]"/>
            <x15:cachedUniqueName index="5495" name="[FactPayment].[CaseKey].&amp;[8301|00032601]"/>
            <x15:cachedUniqueName index="5496" name="[FactPayment].[CaseKey].&amp;[8301|00032616]"/>
            <x15:cachedUniqueName index="5497" name="[FactPayment].[CaseKey].&amp;[8301|00032623]"/>
            <x15:cachedUniqueName index="5498" name="[FactPayment].[CaseKey].&amp;[8301|00032643]"/>
            <x15:cachedUniqueName index="5499" name="[FactPayment].[CaseKey].&amp;[8301|00032650]"/>
            <x15:cachedUniqueName index="5500" name="[FactPayment].[CaseKey].&amp;[8301|00032660]"/>
            <x15:cachedUniqueName index="5501" name="[FactPayment].[CaseKey].&amp;[8301|00032678]"/>
            <x15:cachedUniqueName index="5502" name="[FactPayment].[CaseKey].&amp;[8301|00032680]"/>
            <x15:cachedUniqueName index="5503" name="[FactPayment].[CaseKey].&amp;[8301|00032694]"/>
            <x15:cachedUniqueName index="5504" name="[FactPayment].[CaseKey].&amp;[8301|00032708]"/>
            <x15:cachedUniqueName index="5505" name="[FactPayment].[CaseKey].&amp;[8301|00032714]"/>
            <x15:cachedUniqueName index="5506" name="[FactPayment].[CaseKey].&amp;[8301|00032727]"/>
            <x15:cachedUniqueName index="5507" name="[FactPayment].[CaseKey].&amp;[8301|00032733]"/>
            <x15:cachedUniqueName index="5508" name="[FactPayment].[CaseKey].&amp;[8301|00032747]"/>
            <x15:cachedUniqueName index="5509" name="[FactPayment].[CaseKey].&amp;[8301|00032757]"/>
            <x15:cachedUniqueName index="5510" name="[FactPayment].[CaseKey].&amp;[8301|00032765]"/>
            <x15:cachedUniqueName index="5511" name="[FactPayment].[CaseKey].&amp;[8301|00032778]"/>
            <x15:cachedUniqueName index="5512" name="[FactPayment].[CaseKey].&amp;[8301|00032782]"/>
            <x15:cachedUniqueName index="5513" name="[FactPayment].[CaseKey].&amp;[8301|00032798]"/>
            <x15:cachedUniqueName index="5514" name="[FactPayment].[CaseKey].&amp;[8301|00032805]"/>
            <x15:cachedUniqueName index="5515" name="[FactPayment].[CaseKey].&amp;[8301|00032811]"/>
            <x15:cachedUniqueName index="5516" name="[FactPayment].[CaseKey].&amp;[8301|00032823]"/>
            <x15:cachedUniqueName index="5517" name="[FactPayment].[CaseKey].&amp;[8301|00032837]"/>
            <x15:cachedUniqueName index="5518" name="[FactPayment].[CaseKey].&amp;[8301|00032854]"/>
            <x15:cachedUniqueName index="5519" name="[FactPayment].[CaseKey].&amp;[8301|00032868]"/>
            <x15:cachedUniqueName index="5520" name="[FactPayment].[CaseKey].&amp;[8301|00032877]"/>
            <x15:cachedUniqueName index="5521" name="[FactPayment].[CaseKey].&amp;[8301|00032880]"/>
            <x15:cachedUniqueName index="5522" name="[FactPayment].[CaseKey].&amp;[8301|00032891]"/>
            <x15:cachedUniqueName index="5523" name="[FactPayment].[CaseKey].&amp;[8301|00032907]"/>
            <x15:cachedUniqueName index="5524" name="[FactPayment].[CaseKey].&amp;[8301|00032912]"/>
            <x15:cachedUniqueName index="5525" name="[FactPayment].[CaseKey].&amp;[8301|00032921]"/>
            <x15:cachedUniqueName index="5526" name="[FactPayment].[CaseKey].&amp;[8301|00032937]"/>
            <x15:cachedUniqueName index="5527" name="[FactPayment].[CaseKey].&amp;[8301|00032940]"/>
            <x15:cachedUniqueName index="5528" name="[FactPayment].[CaseKey].&amp;[8301|00032955]"/>
            <x15:cachedUniqueName index="5529" name="[FactPayment].[CaseKey].&amp;[8301|00032961]"/>
            <x15:cachedUniqueName index="5530" name="[FactPayment].[CaseKey].&amp;[8301|00032972]"/>
            <x15:cachedUniqueName index="5531" name="[FactPayment].[CaseKey].&amp;[8301|00032981]"/>
            <x15:cachedUniqueName index="5532" name="[FactPayment].[CaseKey].&amp;[8301|00032993]"/>
            <x15:cachedUniqueName index="5533" name="[FactPayment].[CaseKey].&amp;[8301|00033007]"/>
            <x15:cachedUniqueName index="5534" name="[FactPayment].[CaseKey].&amp;[8301|00033018]"/>
            <x15:cachedUniqueName index="5535" name="[FactPayment].[CaseKey].&amp;[8301|00033027]"/>
            <x15:cachedUniqueName index="5536" name="[FactPayment].[CaseKey].&amp;[8301|00033037]"/>
            <x15:cachedUniqueName index="5537" name="[FactPayment].[CaseKey].&amp;[8301|00033045]"/>
            <x15:cachedUniqueName index="5538" name="[FactPayment].[CaseKey].&amp;[8301|00033054]"/>
            <x15:cachedUniqueName index="5539" name="[FactPayment].[CaseKey].&amp;[8301|00033062]"/>
            <x15:cachedUniqueName index="5540" name="[FactPayment].[CaseKey].&amp;[8301|00033076]"/>
            <x15:cachedUniqueName index="5541" name="[FactPayment].[CaseKey].&amp;[8301|00033080]"/>
            <x15:cachedUniqueName index="5542" name="[FactPayment].[CaseKey].&amp;[8301|00033090]"/>
            <x15:cachedUniqueName index="5543" name="[FactPayment].[CaseKey].&amp;[8301|00033105]"/>
            <x15:cachedUniqueName index="5544" name="[FactPayment].[CaseKey].&amp;[8301|00033112]"/>
            <x15:cachedUniqueName index="5545" name="[FactPayment].[CaseKey].&amp;[8301|00033128]"/>
            <x15:cachedUniqueName index="5546" name="[FactPayment].[CaseKey].&amp;[8301|00033155]"/>
            <x15:cachedUniqueName index="5547" name="[FactPayment].[CaseKey].&amp;[8301|00033162]"/>
            <x15:cachedUniqueName index="5548" name="[FactPayment].[CaseKey].&amp;[8301|00033171]"/>
            <x15:cachedUniqueName index="5549" name="[FactPayment].[CaseKey].&amp;[8301|00033186]"/>
            <x15:cachedUniqueName index="5550" name="[FactPayment].[CaseKey].&amp;[8301|00033192]"/>
            <x15:cachedUniqueName index="5551" name="[FactPayment].[CaseKey].&amp;[8301|00033205]"/>
            <x15:cachedUniqueName index="5552" name="[FactPayment].[CaseKey].&amp;[8301|00033213]"/>
            <x15:cachedUniqueName index="5553" name="[FactPayment].[CaseKey].&amp;[8301|00033228]"/>
            <x15:cachedUniqueName index="5554" name="[FactPayment].[CaseKey].&amp;[8301|00033233]"/>
            <x15:cachedUniqueName index="5555" name="[FactPayment].[CaseKey].&amp;[8301|00033247]"/>
            <x15:cachedUniqueName index="5556" name="[FactPayment].[CaseKey].&amp;[8301|00033258]"/>
            <x15:cachedUniqueName index="5557" name="[FactPayment].[CaseKey].&amp;[8301|00033265]"/>
            <x15:cachedUniqueName index="5558" name="[FactPayment].[CaseKey].&amp;[8301|00033270]"/>
            <x15:cachedUniqueName index="5559" name="[FactPayment].[CaseKey].&amp;[8301|00033285]"/>
            <x15:cachedUniqueName index="5560" name="[FactPayment].[CaseKey].&amp;[8301|00033294]"/>
            <x15:cachedUniqueName index="5561" name="[FactPayment].[CaseKey].&amp;[8301|00033303]"/>
            <x15:cachedUniqueName index="5562" name="[FactPayment].[CaseKey].&amp;[8301|00033310]"/>
            <x15:cachedUniqueName index="5563" name="[FactPayment].[CaseKey].&amp;[8301|00033320]"/>
            <x15:cachedUniqueName index="5564" name="[FactPayment].[CaseKey].&amp;[8301|00033332]"/>
            <x15:cachedUniqueName index="5565" name="[FactPayment].[CaseKey].&amp;[8301|00033345]"/>
            <x15:cachedUniqueName index="5566" name="[FactPayment].[CaseKey].&amp;[8301|00033350]"/>
            <x15:cachedUniqueName index="5567" name="[FactPayment].[CaseKey].&amp;[8301|00033361]"/>
            <x15:cachedUniqueName index="5568" name="[FactPayment].[CaseKey].&amp;[8301|00033375]"/>
            <x15:cachedUniqueName index="5569" name="[FactPayment].[CaseKey].&amp;[8301|00033382]"/>
            <x15:cachedUniqueName index="5570" name="[FactPayment].[CaseKey].&amp;[8301|00033391]"/>
            <x15:cachedUniqueName index="5571" name="[FactPayment].[CaseKey].&amp;[8301|00033407]"/>
            <x15:cachedUniqueName index="5572" name="[FactPayment].[CaseKey].&amp;[8301|00033410]"/>
            <x15:cachedUniqueName index="5573" name="[FactPayment].[CaseKey].&amp;[8301|00033420]"/>
            <x15:cachedUniqueName index="5574" name="[FactPayment].[CaseKey].&amp;[8301|00033437]"/>
            <x15:cachedUniqueName index="5575" name="[FactPayment].[CaseKey].&amp;[8301|00033442]"/>
            <x15:cachedUniqueName index="5576" name="[FactPayment].[CaseKey].&amp;[8301|00033453]"/>
            <x15:cachedUniqueName index="5577" name="[FactPayment].[CaseKey].&amp;[8301|00033460]"/>
            <x15:cachedUniqueName index="5578" name="[FactPayment].[CaseKey].&amp;[8301|00033473]"/>
            <x15:cachedUniqueName index="5579" name="[FactPayment].[CaseKey].&amp;[8301|00033486]"/>
            <x15:cachedUniqueName index="5580" name="[FactPayment].[CaseKey].&amp;[8301|00033491]"/>
            <x15:cachedUniqueName index="5581" name="[FactPayment].[CaseKey].&amp;[8301|00033500]"/>
            <x15:cachedUniqueName index="5582" name="[FactPayment].[CaseKey].&amp;[8301|00033512]"/>
            <x15:cachedUniqueName index="5583" name="[FactPayment].[CaseKey].&amp;[8301|00033538]"/>
            <x15:cachedUniqueName index="5584" name="[FactPayment].[CaseKey].&amp;[8301|00033548]"/>
            <x15:cachedUniqueName index="5585" name="[FactPayment].[CaseKey].&amp;[8301|00033550]"/>
            <x15:cachedUniqueName index="5586" name="[FactPayment].[CaseKey].&amp;[8301|00033560]"/>
            <x15:cachedUniqueName index="5587" name="[FactPayment].[CaseKey].&amp;[8301|00033572]"/>
            <x15:cachedUniqueName index="5588" name="[FactPayment].[CaseKey].&amp;[8301|00033580]"/>
            <x15:cachedUniqueName index="5589" name="[FactPayment].[CaseKey].&amp;[8301|00033595]"/>
            <x15:cachedUniqueName index="5590" name="[FactPayment].[CaseKey].&amp;[8301|00033607]"/>
            <x15:cachedUniqueName index="5591" name="[FactPayment].[CaseKey].&amp;[8301|00033615]"/>
            <x15:cachedUniqueName index="5592" name="[FactPayment].[CaseKey].&amp;[8301|00033623]"/>
            <x15:cachedUniqueName index="5593" name="[FactPayment].[CaseKey].&amp;[8301|00033635]"/>
            <x15:cachedUniqueName index="5594" name="[FactPayment].[CaseKey].&amp;[8301|00033646]"/>
            <x15:cachedUniqueName index="5595" name="[FactPayment].[CaseKey].&amp;[8301|00033654]"/>
            <x15:cachedUniqueName index="5596" name="[FactPayment].[CaseKey].&amp;[8301|00033675]"/>
            <x15:cachedUniqueName index="5597" name="[FactPayment].[CaseKey].&amp;[8301|00033688]"/>
            <x15:cachedUniqueName index="5598" name="[FactPayment].[CaseKey].&amp;[8301|00033698]"/>
            <x15:cachedUniqueName index="5599" name="[FactPayment].[CaseKey].&amp;[8301|00033704]"/>
            <x15:cachedUniqueName index="5600" name="[FactPayment].[CaseKey].&amp;[8301|00033715]"/>
            <x15:cachedUniqueName index="5601" name="[FactPayment].[CaseKey].&amp;[8301|00033722]"/>
            <x15:cachedUniqueName index="5602" name="[FactPayment].[CaseKey].&amp;[8301|00033747]"/>
            <x15:cachedUniqueName index="5603" name="[FactPayment].[CaseKey].&amp;[8301|00033756]"/>
            <x15:cachedUniqueName index="5604" name="[FactPayment].[CaseKey].&amp;[8301|00033764]"/>
            <x15:cachedUniqueName index="5605" name="[FactPayment].[CaseKey].&amp;[8301|00033778]"/>
            <x15:cachedUniqueName index="5606" name="[FactPayment].[CaseKey].&amp;[8301|00033784]"/>
            <x15:cachedUniqueName index="5607" name="[FactPayment].[CaseKey].&amp;[8301|00033794]"/>
            <x15:cachedUniqueName index="5608" name="[FactPayment].[CaseKey].&amp;[8301|00033803]"/>
            <x15:cachedUniqueName index="5609" name="[FactPayment].[CaseKey].&amp;[8301|00033813]"/>
            <x15:cachedUniqueName index="5610" name="[FactPayment].[CaseKey].&amp;[8301|00033827]"/>
            <x15:cachedUniqueName index="5611" name="[FactPayment].[CaseKey].&amp;[8301|00033834]"/>
            <x15:cachedUniqueName index="5612" name="[FactPayment].[CaseKey].&amp;[8301|00033845]"/>
            <x15:cachedUniqueName index="5613" name="[FactPayment].[CaseKey].&amp;[8301|00033856]"/>
            <x15:cachedUniqueName index="5614" name="[FactPayment].[CaseKey].&amp;[8301|00033860]"/>
            <x15:cachedUniqueName index="5615" name="[FactPayment].[CaseKey].&amp;[8301|00033872]"/>
            <x15:cachedUniqueName index="5616" name="[FactPayment].[CaseKey].&amp;[8301|00033881]"/>
            <x15:cachedUniqueName index="5617" name="[FactPayment].[CaseKey].&amp;[8301|00033905]"/>
            <x15:cachedUniqueName index="5618" name="[FactPayment].[CaseKey].&amp;[8301|00033914]"/>
            <x15:cachedUniqueName index="5619" name="[FactPayment].[CaseKey].&amp;[8301|00033920]"/>
            <x15:cachedUniqueName index="5620" name="[FactPayment].[CaseKey].&amp;[8301|00033948]"/>
            <x15:cachedUniqueName index="5621" name="[FactPayment].[CaseKey].&amp;[8301|00033951]"/>
            <x15:cachedUniqueName index="5622" name="[FactPayment].[CaseKey].&amp;[8301|00033962]"/>
            <x15:cachedUniqueName index="5623" name="[FactPayment].[CaseKey].&amp;[8301|00033971]"/>
            <x15:cachedUniqueName index="5624" name="[FactPayment].[CaseKey].&amp;[8301|00033985]"/>
            <x15:cachedUniqueName index="5625" name="[FactPayment].[CaseKey].&amp;[8301|00033993]"/>
            <x15:cachedUniqueName index="5626" name="[FactPayment].[CaseKey].&amp;[8301|00034007]"/>
            <x15:cachedUniqueName index="5627" name="[FactPayment].[CaseKey].&amp;[8301|00034015]"/>
            <x15:cachedUniqueName index="5628" name="[FactPayment].[CaseKey].&amp;[8301|00034020]"/>
            <x15:cachedUniqueName index="5629" name="[FactPayment].[CaseKey].&amp;[8301|00034036]"/>
            <x15:cachedUniqueName index="5630" name="[FactPayment].[CaseKey].&amp;[8301|00034054]"/>
            <x15:cachedUniqueName index="5631" name="[FactPayment].[CaseKey].&amp;[8301|00034064]"/>
            <x15:cachedUniqueName index="5632" name="[FactPayment].[CaseKey].&amp;[8301|00034072]"/>
            <x15:cachedUniqueName index="5633" name="[FactPayment].[CaseKey].&amp;[8301|00034087]"/>
            <x15:cachedUniqueName index="5634" name="[FactPayment].[CaseKey].&amp;[8301|00034098]"/>
            <x15:cachedUniqueName index="5635" name="[FactPayment].[CaseKey].&amp;[8301|00034104]"/>
            <x15:cachedUniqueName index="5636" name="[FactPayment].[CaseKey].&amp;[8301|00034115]"/>
            <x15:cachedUniqueName index="5637" name="[FactPayment].[CaseKey].&amp;[8301|00034126]"/>
            <x15:cachedUniqueName index="5638" name="[FactPayment].[CaseKey].&amp;[8301|00034138]"/>
            <x15:cachedUniqueName index="5639" name="[FactPayment].[CaseKey].&amp;[8301|00034148]"/>
            <x15:cachedUniqueName index="5640" name="[FactPayment].[CaseKey].&amp;[8301|00034164]"/>
            <x15:cachedUniqueName index="5641" name="[FactPayment].[CaseKey].&amp;[8301|00034172]"/>
            <x15:cachedUniqueName index="5642" name="[FactPayment].[CaseKey].&amp;[8301|00034187]"/>
            <x15:cachedUniqueName index="5643" name="[FactPayment].[CaseKey].&amp;[8301|00034192]"/>
            <x15:cachedUniqueName index="5644" name="[FactPayment].[CaseKey].&amp;[8301|00034205]"/>
            <x15:cachedUniqueName index="5645" name="[FactPayment].[CaseKey].&amp;[8301|00034213]"/>
            <x15:cachedUniqueName index="5646" name="[FactPayment].[CaseKey].&amp;[8301|00034227]"/>
            <x15:cachedUniqueName index="5647" name="[FactPayment].[CaseKey].&amp;[8301|00034235]"/>
            <x15:cachedUniqueName index="5648" name="[FactPayment].[CaseKey].&amp;[8301|00034245]"/>
            <x15:cachedUniqueName index="5649" name="[FactPayment].[CaseKey].&amp;[8301|00034262]"/>
            <x15:cachedUniqueName index="5650" name="[FactPayment].[CaseKey].&amp;[8301|00034277]"/>
            <x15:cachedUniqueName index="5651" name="[FactPayment].[CaseKey].&amp;[8301|00034282]"/>
            <x15:cachedUniqueName index="5652" name="[FactPayment].[CaseKey].&amp;[8301|00034297]"/>
            <x15:cachedUniqueName index="5653" name="[FactPayment].[CaseKey].&amp;[8301|00034306]"/>
            <x15:cachedUniqueName index="5654" name="[FactPayment].[CaseKey].&amp;[8301|00034316]"/>
            <x15:cachedUniqueName index="5655" name="[FactPayment].[CaseKey].&amp;[8301|00034323]"/>
            <x15:cachedUniqueName index="5656" name="[FactPayment].[CaseKey].&amp;[8301|00034331]"/>
            <x15:cachedUniqueName index="5657" name="[FactPayment].[CaseKey].&amp;[8301|00034347]"/>
            <x15:cachedUniqueName index="5658" name="[FactPayment].[CaseKey].&amp;[8301|00034355]"/>
            <x15:cachedUniqueName index="5659" name="[FactPayment].[CaseKey].&amp;[8301|00034361]"/>
            <x15:cachedUniqueName index="5660" name="[FactPayment].[CaseKey].&amp;[8301|00034376]"/>
            <x15:cachedUniqueName index="5661" name="[FactPayment].[CaseKey].&amp;[8301|00034388]"/>
            <x15:cachedUniqueName index="5662" name="[FactPayment].[CaseKey].&amp;[8301|00034396]"/>
            <x15:cachedUniqueName index="5663" name="[FactPayment].[CaseKey].&amp;[8301|00034400]"/>
            <x15:cachedUniqueName index="5664" name="[FactPayment].[CaseKey].&amp;[8301|00034422]"/>
            <x15:cachedUniqueName index="5665" name="[FactPayment].[CaseKey].&amp;[8301|00034435]"/>
            <x15:cachedUniqueName index="5666" name="[FactPayment].[CaseKey].&amp;[8301|00034440]"/>
            <x15:cachedUniqueName index="5667" name="[FactPayment].[CaseKey].&amp;[8301|00034456]"/>
            <x15:cachedUniqueName index="5668" name="[FactPayment].[CaseKey].&amp;[8301|00034464]"/>
            <x15:cachedUniqueName index="5669" name="[FactPayment].[CaseKey].&amp;[8301|00034478]"/>
            <x15:cachedUniqueName index="5670" name="[FactPayment].[CaseKey].&amp;[8301|00034482]"/>
            <x15:cachedUniqueName index="5671" name="[FactPayment].[CaseKey].&amp;[8301|00034514]"/>
            <x15:cachedUniqueName index="5672" name="[FactPayment].[CaseKey].&amp;[8301|00034533]"/>
            <x15:cachedUniqueName index="5673" name="[FactPayment].[CaseKey].&amp;[8301|00034543]"/>
            <x15:cachedUniqueName index="5674" name="[FactPayment].[CaseKey].&amp;[8301|00034553]"/>
            <x15:cachedUniqueName index="5675" name="[FactPayment].[CaseKey].&amp;[8301|00034566]"/>
            <x15:cachedUniqueName index="5676" name="[FactPayment].[CaseKey].&amp;[8301|00034578]"/>
            <x15:cachedUniqueName index="5677" name="[FactPayment].[CaseKey].&amp;[8301|00034587]"/>
            <x15:cachedUniqueName index="5678" name="[FactPayment].[CaseKey].&amp;[8301|00034598]"/>
            <x15:cachedUniqueName index="5679" name="[FactPayment].[CaseKey].&amp;[8301|00034606]"/>
            <x15:cachedUniqueName index="5680" name="[FactPayment].[CaseKey].&amp;[8301|00034614]"/>
            <x15:cachedUniqueName index="5681" name="[FactPayment].[CaseKey].&amp;[8301|00034623]"/>
            <x15:cachedUniqueName index="5682" name="[FactPayment].[CaseKey].&amp;[8301|00034637]"/>
            <x15:cachedUniqueName index="5683" name="[FactPayment].[CaseKey].&amp;[8301|00034650]"/>
            <x15:cachedUniqueName index="5684" name="[FactPayment].[CaseKey].&amp;[8301|00034665]"/>
            <x15:cachedUniqueName index="5685" name="[FactPayment].[CaseKey].&amp;[8301|00034671]"/>
            <x15:cachedUniqueName index="5686" name="[FactPayment].[CaseKey].&amp;[8301|00034702]"/>
            <x15:cachedUniqueName index="5687" name="[FactPayment].[CaseKey].&amp;[8301|00034724]"/>
            <x15:cachedUniqueName index="5688" name="[FactPayment].[CaseKey].&amp;[8301|00034734]"/>
            <x15:cachedUniqueName index="5689" name="[FactPayment].[CaseKey].&amp;[8301|00034746]"/>
            <x15:cachedUniqueName index="5690" name="[FactPayment].[CaseKey].&amp;[8301|00034768]"/>
            <x15:cachedUniqueName index="5691" name="[FactPayment].[CaseKey].&amp;[8301|00034771]"/>
            <x15:cachedUniqueName index="5692" name="[FactPayment].[CaseKey].&amp;[8301|00034783]"/>
            <x15:cachedUniqueName index="5693" name="[FactPayment].[CaseKey].&amp;[8301|00034797]"/>
            <x15:cachedUniqueName index="5694" name="[FactPayment].[CaseKey].&amp;[8301|00034800]"/>
            <x15:cachedUniqueName index="5695" name="[FactPayment].[CaseKey].&amp;[8301|00034811]"/>
            <x15:cachedUniqueName index="5696" name="[FactPayment].[CaseKey].&amp;[8301|00034831]"/>
            <x15:cachedUniqueName index="5697" name="[FactPayment].[CaseKey].&amp;[8301|00034862]"/>
            <x15:cachedUniqueName index="5698" name="[FactPayment].[CaseKey].&amp;[8301|00034876]"/>
            <x15:cachedUniqueName index="5699" name="[FactPayment].[CaseKey].&amp;[8301|00034888]"/>
            <x15:cachedUniqueName index="5700" name="[FactPayment].[CaseKey].&amp;[8301|00034891]"/>
            <x15:cachedUniqueName index="5701" name="[FactPayment].[CaseKey].&amp;[8301|00034903]"/>
            <x15:cachedUniqueName index="5702" name="[FactPayment].[CaseKey].&amp;[8301|00034912]"/>
            <x15:cachedUniqueName index="5703" name="[FactPayment].[CaseKey].&amp;[8301|00034921]"/>
            <x15:cachedUniqueName index="5704" name="[FactPayment].[CaseKey].&amp;[8301|00034936]"/>
            <x15:cachedUniqueName index="5705" name="[FactPayment].[CaseKey].&amp;[8301|00034940]"/>
            <x15:cachedUniqueName index="5706" name="[FactPayment].[CaseKey].&amp;[8301|00034953]"/>
            <x15:cachedUniqueName index="5707" name="[FactPayment].[CaseKey].&amp;[8301|00034962]"/>
            <x15:cachedUniqueName index="5708" name="[FactPayment].[CaseKey].&amp;[8301|00034982]"/>
            <x15:cachedUniqueName index="5709" name="[FactPayment].[CaseKey].&amp;[8301|00034991]"/>
            <x15:cachedUniqueName index="5710" name="[FactPayment].[CaseKey].&amp;[8301|00035007]"/>
            <x15:cachedUniqueName index="5711" name="[FactPayment].[CaseKey].&amp;[8301|00035010]"/>
            <x15:cachedUniqueName index="5712" name="[FactPayment].[CaseKey].&amp;[8301|00035028]"/>
            <x15:cachedUniqueName index="5713" name="[FactPayment].[CaseKey].&amp;[8301|00035034]"/>
            <x15:cachedUniqueName index="5714" name="[FactPayment].[CaseKey].&amp;[8301|00035064]"/>
            <x15:cachedUniqueName index="5715" name="[FactPayment].[CaseKey].&amp;[8301|00035074]"/>
            <x15:cachedUniqueName index="5716" name="[FactPayment].[CaseKey].&amp;[8301|00035085]"/>
            <x15:cachedUniqueName index="5717" name="[FactPayment].[CaseKey].&amp;[8301|00035102]"/>
            <x15:cachedUniqueName index="5718" name="[FactPayment].[CaseKey].&amp;[8301|00035113]"/>
            <x15:cachedUniqueName index="5719" name="[FactPayment].[CaseKey].&amp;[8301|00035120]"/>
            <x15:cachedUniqueName index="5720" name="[FactPayment].[CaseKey].&amp;[8301|00035142]"/>
            <x15:cachedUniqueName index="5721" name="[FactPayment].[CaseKey].&amp;[8301|00035156]"/>
            <x15:cachedUniqueName index="5722" name="[FactPayment].[CaseKey].&amp;[8301|00035168]"/>
            <x15:cachedUniqueName index="5723" name="[FactPayment].[CaseKey].&amp;[8301|00035174]"/>
            <x15:cachedUniqueName index="5724" name="[FactPayment].[CaseKey].&amp;[8301|00035185]"/>
            <x15:cachedUniqueName index="5725" name="[FactPayment].[CaseKey].&amp;[8301|00035192]"/>
            <x15:cachedUniqueName index="5726" name="[FactPayment].[CaseKey].&amp;[8301|00035200]"/>
            <x15:cachedUniqueName index="5727" name="[FactPayment].[CaseKey].&amp;[8301|00035214]"/>
            <x15:cachedUniqueName index="5728" name="[FactPayment].[CaseKey].&amp;[8301|00035226]"/>
            <x15:cachedUniqueName index="5729" name="[FactPayment].[CaseKey].&amp;[8301|00035238]"/>
            <x15:cachedUniqueName index="5730" name="[FactPayment].[CaseKey].&amp;[8301|00035258]"/>
            <x15:cachedUniqueName index="5731" name="[FactPayment].[CaseKey].&amp;[8301|00035260]"/>
            <x15:cachedUniqueName index="5732" name="[FactPayment].[CaseKey].&amp;[8301|00035288]"/>
            <x15:cachedUniqueName index="5733" name="[FactPayment].[CaseKey].&amp;[8301|00035297]"/>
            <x15:cachedUniqueName index="5734" name="[FactPayment].[CaseKey].&amp;[8301|00035300]"/>
            <x15:cachedUniqueName index="5735" name="[FactPayment].[CaseKey].&amp;[8301|00035317]"/>
            <x15:cachedUniqueName index="5736" name="[FactPayment].[CaseKey].&amp;[8301|00035337]"/>
            <x15:cachedUniqueName index="5737" name="[FactPayment].[CaseKey].&amp;[8301|00035344]"/>
            <x15:cachedUniqueName index="5738" name="[FactPayment].[CaseKey].&amp;[8301|00035355]"/>
            <x15:cachedUniqueName index="5739" name="[FactPayment].[CaseKey].&amp;[8301|00035360]"/>
            <x15:cachedUniqueName index="5740" name="[FactPayment].[CaseKey].&amp;[8301|00035374]"/>
            <x15:cachedUniqueName index="5741" name="[FactPayment].[CaseKey].&amp;[8301|00035380]"/>
            <x15:cachedUniqueName index="5742" name="[FactPayment].[CaseKey].&amp;[8301|00035402]"/>
            <x15:cachedUniqueName index="5743" name="[FactPayment].[CaseKey].&amp;[8301|00035417]"/>
            <x15:cachedUniqueName index="5744" name="[FactPayment].[CaseKey].&amp;[8301|00035447]"/>
            <x15:cachedUniqueName index="5745" name="[FactPayment].[CaseKey].&amp;[8301|00035456]"/>
            <x15:cachedUniqueName index="5746" name="[FactPayment].[CaseKey].&amp;[8301|00035470]"/>
            <x15:cachedUniqueName index="5747" name="[FactPayment].[CaseKey].&amp;[8301|00035523]"/>
            <x15:cachedUniqueName index="5748" name="[FactPayment].[CaseKey].&amp;[8301|00035544]"/>
            <x15:cachedUniqueName index="5749" name="[FactPayment].[CaseKey].&amp;[8301|00035557]"/>
            <x15:cachedUniqueName index="5750" name="[FactPayment].[CaseKey].&amp;[8301|00035564]"/>
            <x15:cachedUniqueName index="5751" name="[FactPayment].[CaseKey].&amp;[8301|00035652]"/>
            <x15:cachedUniqueName index="5752" name="[FactPayment].[CaseKey].&amp;[8301|00035678]"/>
            <x15:cachedUniqueName index="5753" name="[FactPayment].[CaseKey].&amp;[8301|00035706]"/>
            <x15:cachedUniqueName index="5754" name="[FactPayment].[CaseKey].&amp;[8301|00035738]"/>
            <x15:cachedUniqueName index="5755" name="[FactPayment].[CaseKey].&amp;[8301|00035741]"/>
            <x15:cachedUniqueName index="5756" name="[FactPayment].[CaseKey].&amp;[8301|00035803]"/>
            <x15:cachedUniqueName index="5757" name="[FactPayment].[CaseKey].&amp;[8301|00035815]"/>
            <x15:cachedUniqueName index="5758" name="[FactPayment].[CaseKey].&amp;[8301|00035931]"/>
            <x15:cachedUniqueName index="5759" name="[FactPayment].[CaseKey].&amp;[8301|00035968]"/>
            <x15:cachedUniqueName index="5760" name="[FactPayment].[CaseKey].&amp;[8301|00036034]"/>
            <x15:cachedUniqueName index="5761" name="[FactPayment].[CaseKey].&amp;[8301|00036048]"/>
            <x15:cachedUniqueName index="5762" name="[FactPayment].[CaseKey].&amp;[8301|00036081]"/>
            <x15:cachedUniqueName index="5763" name="[FactPayment].[CaseKey].&amp;[8301|00036201]"/>
            <x15:cachedUniqueName index="5764" name="[FactPayment].[CaseKey].&amp;[8301|00036222]"/>
            <x15:cachedUniqueName index="5765" name="[FactPayment].[CaseKey].&amp;[8301|00036233]"/>
            <x15:cachedUniqueName index="5766" name="[FactPayment].[CaseKey].&amp;[8302|00003888]"/>
            <x15:cachedUniqueName index="5767" name="[FactPayment].[CaseKey].&amp;[8302|00004507]"/>
            <x15:cachedUniqueName index="5768" name="[FactPayment].[CaseKey].&amp;[8302|00005467]"/>
            <x15:cachedUniqueName index="5769" name="[FactPayment].[CaseKey].&amp;[8302|00005707]"/>
            <x15:cachedUniqueName index="5770" name="[FactPayment].[CaseKey].&amp;[8302|00006570]"/>
            <x15:cachedUniqueName index="5771" name="[FactPayment].[CaseKey].&amp;[8302|00006597]"/>
            <x15:cachedUniqueName index="5772" name="[FactPayment].[CaseKey].&amp;[8302|00007312]"/>
            <x15:cachedUniqueName index="5773" name="[FactPayment].[CaseKey].&amp;[8302|00007323]"/>
            <x15:cachedUniqueName index="5774" name="[FactPayment].[CaseKey].&amp;[8302|00007447]"/>
            <x15:cachedUniqueName index="5775" name="[FactPayment].[CaseKey].&amp;[8302|00007626]"/>
            <x15:cachedUniqueName index="5776" name="[FactPayment].[CaseKey].&amp;[8302|00007651]"/>
            <x15:cachedUniqueName index="5777" name="[FactPayment].[CaseKey].&amp;[8302|00007687]"/>
            <x15:cachedUniqueName index="5778" name="[FactPayment].[CaseKey].&amp;[8302|00007693]"/>
            <x15:cachedUniqueName index="5779" name="[FactPayment].[CaseKey].&amp;[8302|00007763]"/>
            <x15:cachedUniqueName index="5780" name="[FactPayment].[CaseKey].&amp;[8302|00007887]"/>
            <x15:cachedUniqueName index="5781" name="[FactPayment].[CaseKey].&amp;[8302|00008238]"/>
            <x15:cachedUniqueName index="5782" name="[FactPayment].[CaseKey].&amp;[8302|00008263]"/>
            <x15:cachedUniqueName index="5783" name="[FactPayment].[CaseKey].&amp;[8302|00008302]"/>
            <x15:cachedUniqueName index="5784" name="[FactPayment].[CaseKey].&amp;[8302|00008355]"/>
            <x15:cachedUniqueName index="5785" name="[FactPayment].[CaseKey].&amp;[8302|00008402]"/>
            <x15:cachedUniqueName index="5786" name="[FactPayment].[CaseKey].&amp;[8302|00008421]"/>
            <x15:cachedUniqueName index="5787" name="[FactPayment].[CaseKey].&amp;[8302|00008450]"/>
            <x15:cachedUniqueName index="5788" name="[FactPayment].[CaseKey].&amp;[8302|00008501]"/>
            <x15:cachedUniqueName index="5789" name="[FactPayment].[CaseKey].&amp;[8302|00008607]"/>
            <x15:cachedUniqueName index="5790" name="[FactPayment].[CaseKey].&amp;[8302|00008633]"/>
            <x15:cachedUniqueName index="5791" name="[FactPayment].[CaseKey].&amp;[8302|00008686]"/>
            <x15:cachedUniqueName index="5792" name="[FactPayment].[CaseKey].&amp;[8302|00008711]"/>
            <x15:cachedUniqueName index="5793" name="[FactPayment].[CaseKey].&amp;[8302|00008746]"/>
            <x15:cachedUniqueName index="5794" name="[FactPayment].[CaseKey].&amp;[8302|00008776]"/>
            <x15:cachedUniqueName index="5795" name="[FactPayment].[CaseKey].&amp;[8302|00008957]"/>
            <x15:cachedUniqueName index="5796" name="[FactPayment].[CaseKey].&amp;[8302|00008988]"/>
            <x15:cachedUniqueName index="5797" name="[FactPayment].[CaseKey].&amp;[8302|00008990]"/>
            <x15:cachedUniqueName index="5798" name="[FactPayment].[CaseKey].&amp;[8302|00009002]"/>
            <x15:cachedUniqueName index="5799" name="[FactPayment].[CaseKey].&amp;[8302|00009018]"/>
            <x15:cachedUniqueName index="5800" name="[FactPayment].[CaseKey].&amp;[8302|00009038]"/>
            <x15:cachedUniqueName index="5801" name="[FactPayment].[CaseKey].&amp;[8302|00009046]"/>
            <x15:cachedUniqueName index="5802" name="[FactPayment].[CaseKey].&amp;[8302|00009053]"/>
            <x15:cachedUniqueName index="5803" name="[FactPayment].[CaseKey].&amp;[8302|00009068]"/>
            <x15:cachedUniqueName index="5804" name="[FactPayment].[CaseKey].&amp;[8302|00009082]"/>
            <x15:cachedUniqueName index="5805" name="[FactPayment].[CaseKey].&amp;[8302|00009093]"/>
            <x15:cachedUniqueName index="5806" name="[FactPayment].[CaseKey].&amp;[8302|00009107]"/>
            <x15:cachedUniqueName index="5807" name="[FactPayment].[CaseKey].&amp;[8302|00009122]"/>
            <x15:cachedUniqueName index="5808" name="[FactPayment].[CaseKey].&amp;[8302|00009132]"/>
            <x15:cachedUniqueName index="5809" name="[FactPayment].[CaseKey].&amp;[8302|00009166]"/>
            <x15:cachedUniqueName index="5810" name="[FactPayment].[CaseKey].&amp;[8302|00009172]"/>
            <x15:cachedUniqueName index="5811" name="[FactPayment].[CaseKey].&amp;[8302|00009182]"/>
            <x15:cachedUniqueName index="5812" name="[FactPayment].[CaseKey].&amp;[8302|00009197]"/>
            <x15:cachedUniqueName index="5813" name="[FactPayment].[CaseKey].&amp;[8302|00009232]"/>
            <x15:cachedUniqueName index="5814" name="[FactPayment].[CaseKey].&amp;[8302|00009245]"/>
            <x15:cachedUniqueName index="5815" name="[FactPayment].[CaseKey].&amp;[8302|00009253]"/>
            <x15:cachedUniqueName index="5816" name="[FactPayment].[CaseKey].&amp;[8302|00009270]"/>
            <x15:cachedUniqueName index="5817" name="[FactPayment].[CaseKey].&amp;[8302|00009287]"/>
            <x15:cachedUniqueName index="5818" name="[FactPayment].[CaseKey].&amp;[8302|00009305]"/>
            <x15:cachedUniqueName index="5819" name="[FactPayment].[CaseKey].&amp;[8302|00009317]"/>
            <x15:cachedUniqueName index="5820" name="[FactPayment].[CaseKey].&amp;[8302|00009323]"/>
            <x15:cachedUniqueName index="5821" name="[FactPayment].[CaseKey].&amp;[8302|00009336]"/>
            <x15:cachedUniqueName index="5822" name="[FactPayment].[CaseKey].&amp;[8302|00009346]"/>
            <x15:cachedUniqueName index="5823" name="[FactPayment].[CaseKey].&amp;[8302|00009366]"/>
            <x15:cachedUniqueName index="5824" name="[FactPayment].[CaseKey].&amp;[8302|00009371]"/>
            <x15:cachedUniqueName index="5825" name="[FactPayment].[CaseKey].&amp;[8302|00009394]"/>
            <x15:cachedUniqueName index="5826" name="[FactPayment].[CaseKey].&amp;[8302|00009408]"/>
            <x15:cachedUniqueName index="5827" name="[FactPayment].[CaseKey].&amp;[8302|00009425]"/>
            <x15:cachedUniqueName index="5828" name="[FactPayment].[CaseKey].&amp;[8302|00009438]"/>
            <x15:cachedUniqueName index="5829" name="[FactPayment].[CaseKey].&amp;[8302|00009442]"/>
            <x15:cachedUniqueName index="5830" name="[FactPayment].[CaseKey].&amp;[8302|00009456]"/>
            <x15:cachedUniqueName index="5831" name="[FactPayment].[CaseKey].&amp;[8302|00009468]"/>
            <x15:cachedUniqueName index="5832" name="[FactPayment].[CaseKey].&amp;[8302|00009476]"/>
            <x15:cachedUniqueName index="5833" name="[FactPayment].[CaseKey].&amp;[8302|00009480]"/>
            <x15:cachedUniqueName index="5834" name="[FactPayment].[CaseKey].&amp;[8302|00009496]"/>
            <x15:cachedUniqueName index="5835" name="[FactPayment].[CaseKey].&amp;[8302|00009504]"/>
            <x15:cachedUniqueName index="5836" name="[FactPayment].[CaseKey].&amp;[8302|00009511]"/>
            <x15:cachedUniqueName index="5837" name="[FactPayment].[CaseKey].&amp;[8302|00009521]"/>
            <x15:cachedUniqueName index="5838" name="[FactPayment].[CaseKey].&amp;[8302|00009544]"/>
            <x15:cachedUniqueName index="5839" name="[FactPayment].[CaseKey].&amp;[8302|00009555]"/>
            <x15:cachedUniqueName index="5840" name="[FactPayment].[CaseKey].&amp;[8302|00009562]"/>
            <x15:cachedUniqueName index="5841" name="[FactPayment].[CaseKey].&amp;[8302|00009588]"/>
            <x15:cachedUniqueName index="5842" name="[FactPayment].[CaseKey].&amp;[8302|00009592]"/>
            <x15:cachedUniqueName index="5843" name="[FactPayment].[CaseKey].&amp;[8302|00009603]"/>
            <x15:cachedUniqueName index="5844" name="[FactPayment].[CaseKey].&amp;[8302|00009618]"/>
            <x15:cachedUniqueName index="5845" name="[FactPayment].[CaseKey].&amp;[8302|00009620]"/>
            <x15:cachedUniqueName index="5846" name="[FactPayment].[CaseKey].&amp;[8302|00009637]"/>
            <x15:cachedUniqueName index="5847" name="[FactPayment].[CaseKey].&amp;[8302|00009640]"/>
            <x15:cachedUniqueName index="5848" name="[FactPayment].[CaseKey].&amp;[8302|00009658]"/>
            <x15:cachedUniqueName index="5849" name="[FactPayment].[CaseKey].&amp;[8302|00009671]"/>
            <x15:cachedUniqueName index="5850" name="[FactPayment].[CaseKey].&amp;[8302|00009686]"/>
            <x15:cachedUniqueName index="5851" name="[FactPayment].[CaseKey].&amp;[8302|00009693]"/>
            <x15:cachedUniqueName index="5852" name="[FactPayment].[CaseKey].&amp;[8302|00009712]"/>
            <x15:cachedUniqueName index="5853" name="[FactPayment].[CaseKey].&amp;[8302|00009727]"/>
            <x15:cachedUniqueName index="5854" name="[FactPayment].[CaseKey].&amp;[8302|00009732]"/>
            <x15:cachedUniqueName index="5855" name="[FactPayment].[CaseKey].&amp;[8302|00009745]"/>
            <x15:cachedUniqueName index="5856" name="[FactPayment].[CaseKey].&amp;[8302|00009755]"/>
            <x15:cachedUniqueName index="5857" name="[FactPayment].[CaseKey].&amp;[8302|00009773]"/>
            <x15:cachedUniqueName index="5858" name="[FactPayment].[CaseKey].&amp;[8302|00009785]"/>
            <x15:cachedUniqueName index="5859" name="[FactPayment].[CaseKey].&amp;[8302|00009794]"/>
            <x15:cachedUniqueName index="5860" name="[FactPayment].[CaseKey].&amp;[8302|00009823]"/>
            <x15:cachedUniqueName index="5861" name="[FactPayment].[CaseKey].&amp;[8302|00009831]"/>
            <x15:cachedUniqueName index="5862" name="[FactPayment].[CaseKey].&amp;[8302|00009840]"/>
            <x15:cachedUniqueName index="5863" name="[FactPayment].[CaseKey].&amp;[8302|00009865]"/>
            <x15:cachedUniqueName index="5864" name="[FactPayment].[CaseKey].&amp;[8302|00009876]"/>
            <x15:cachedUniqueName index="5865" name="[FactPayment].[CaseKey].&amp;[8302|00009888]"/>
            <x15:cachedUniqueName index="5866" name="[FactPayment].[CaseKey].&amp;[8302|00009891]"/>
            <x15:cachedUniqueName index="5867" name="[FactPayment].[CaseKey].&amp;[8302|00009904]"/>
            <x15:cachedUniqueName index="5868" name="[FactPayment].[CaseKey].&amp;[8302|00009915]"/>
            <x15:cachedUniqueName index="5869" name="[FactPayment].[CaseKey].&amp;[8302|00009932]"/>
            <x15:cachedUniqueName index="5870" name="[FactPayment].[CaseKey].&amp;[8302|00009947]"/>
            <x15:cachedUniqueName index="5871" name="[FactPayment].[CaseKey].&amp;[8302|00009955]"/>
            <x15:cachedUniqueName index="5872" name="[FactPayment].[CaseKey].&amp;[8302|00009960]"/>
            <x15:cachedUniqueName index="5873" name="[FactPayment].[CaseKey].&amp;[8302|00009977]"/>
            <x15:cachedUniqueName index="5874" name="[FactPayment].[CaseKey].&amp;[8302|00009984]"/>
            <x15:cachedUniqueName index="5875" name="[FactPayment].[CaseKey].&amp;[8302|00009993]"/>
            <x15:cachedUniqueName index="5876" name="[FactPayment].[CaseKey].&amp;[8302|00010006]"/>
            <x15:cachedUniqueName index="5877" name="[FactPayment].[CaseKey].&amp;[8302|00010016]"/>
            <x15:cachedUniqueName index="5878" name="[FactPayment].[CaseKey].&amp;[8302|00010023]"/>
            <x15:cachedUniqueName index="5879" name="[FactPayment].[CaseKey].&amp;[8302|00010034]"/>
            <x15:cachedUniqueName index="5880" name="[FactPayment].[CaseKey].&amp;[8302|00010053]"/>
            <x15:cachedUniqueName index="5881" name="[FactPayment].[CaseKey].&amp;[8302|00010068]"/>
            <x15:cachedUniqueName index="5882" name="[FactPayment].[CaseKey].&amp;[8302|00010073]"/>
            <x15:cachedUniqueName index="5883" name="[FactPayment].[CaseKey].&amp;[8302|00010083]"/>
            <x15:cachedUniqueName index="5884" name="[FactPayment].[CaseKey].&amp;[8302|00010095]"/>
            <x15:cachedUniqueName index="5885" name="[FactPayment].[CaseKey].&amp;[8302|00010108]"/>
            <x15:cachedUniqueName index="5886" name="[FactPayment].[CaseKey].&amp;[8302|00010112]"/>
            <x15:cachedUniqueName index="5887" name="[FactPayment].[CaseKey].&amp;[8302|00010126]"/>
            <x15:cachedUniqueName index="5888" name="[FactPayment].[CaseKey].&amp;[8302|00010135]"/>
            <x15:cachedUniqueName index="5889" name="[FactPayment].[CaseKey].&amp;[8302|00010148]"/>
            <x15:cachedUniqueName index="5890" name="[FactPayment].[CaseKey].&amp;[8302|00010152]"/>
            <x15:cachedUniqueName index="5891" name="[FactPayment].[CaseKey].&amp;[8302|00010167]"/>
            <x15:cachedUniqueName index="5892" name="[FactPayment].[CaseKey].&amp;[8302|00010176]"/>
            <x15:cachedUniqueName index="5893" name="[FactPayment].[CaseKey].&amp;[8302|00010182]"/>
            <x15:cachedUniqueName index="5894" name="[FactPayment].[CaseKey].&amp;[8302|00010197]"/>
            <x15:cachedUniqueName index="5895" name="[FactPayment].[CaseKey].&amp;[8302|00010202]"/>
            <x15:cachedUniqueName index="5896" name="[FactPayment].[CaseKey].&amp;[8302|00010210]"/>
            <x15:cachedUniqueName index="5897" name="[FactPayment].[CaseKey].&amp;[8302|00010220]"/>
            <x15:cachedUniqueName index="5898" name="[FactPayment].[CaseKey].&amp;[8302|00010234]"/>
            <x15:cachedUniqueName index="5899" name="[FactPayment].[CaseKey].&amp;[8302|00010243]"/>
            <x15:cachedUniqueName index="5900" name="[FactPayment].[CaseKey].&amp;[8302|00010256]"/>
            <x15:cachedUniqueName index="5901" name="[FactPayment].[CaseKey].&amp;[8302|00010273]"/>
            <x15:cachedUniqueName index="5902" name="[FactPayment].[CaseKey].&amp;[8302|00010287]"/>
            <x15:cachedUniqueName index="5903" name="[FactPayment].[CaseKey].&amp;[8302|00010298]"/>
            <x15:cachedUniqueName index="5904" name="[FactPayment].[CaseKey].&amp;[8302|00010308]"/>
            <x15:cachedUniqueName index="5905" name="[FactPayment].[CaseKey].&amp;[8302|00010311]"/>
            <x15:cachedUniqueName index="5906" name="[FactPayment].[CaseKey].&amp;[8302|00010321]"/>
            <x15:cachedUniqueName index="5907" name="[FactPayment].[CaseKey].&amp;[8302|00010337]"/>
            <x15:cachedUniqueName index="5908" name="[FactPayment].[CaseKey].&amp;[8302|00010343]"/>
            <x15:cachedUniqueName index="5909" name="[FactPayment].[CaseKey].&amp;[8302|00010355]"/>
            <x15:cachedUniqueName index="5910" name="[FactPayment].[CaseKey].&amp;[8302|00010363]"/>
            <x15:cachedUniqueName index="5911" name="[FactPayment].[CaseKey].&amp;[8302|00010377]"/>
            <x15:cachedUniqueName index="5912" name="[FactPayment].[CaseKey].&amp;[8302|00010387]"/>
            <x15:cachedUniqueName index="5913" name="[FactPayment].[CaseKey].&amp;[8302|00010394]"/>
            <x15:cachedUniqueName index="5914" name="[FactPayment].[CaseKey].&amp;[8302|00010403]"/>
            <x15:cachedUniqueName index="5915" name="[FactPayment].[CaseKey].&amp;[8302|00010412]"/>
            <x15:cachedUniqueName index="5916" name="[FactPayment].[CaseKey].&amp;[8302|00010427]"/>
            <x15:cachedUniqueName index="5917" name="[FactPayment].[CaseKey].&amp;[8302|00010432]"/>
            <x15:cachedUniqueName index="5918" name="[FactPayment].[CaseKey].&amp;[8302|00010448]"/>
            <x15:cachedUniqueName index="5919" name="[FactPayment].[CaseKey].&amp;[8302|00010457]"/>
            <x15:cachedUniqueName index="5920" name="[FactPayment].[CaseKey].&amp;[8302|00010466]"/>
            <x15:cachedUniqueName index="5921" name="[FactPayment].[CaseKey].&amp;[8302|00010470]"/>
            <x15:cachedUniqueName index="5922" name="[FactPayment].[CaseKey].&amp;[8302|00010481]"/>
            <x15:cachedUniqueName index="5923" name="[FactPayment].[CaseKey].&amp;[8302|00010490]"/>
            <x15:cachedUniqueName index="5924" name="[FactPayment].[CaseKey].&amp;[8302|00010507]"/>
            <x15:cachedUniqueName index="5925" name="[FactPayment].[CaseKey].&amp;[8302|00010515]"/>
            <x15:cachedUniqueName index="5926" name="[FactPayment].[CaseKey].&amp;[8302|00010520]"/>
            <x15:cachedUniqueName index="5927" name="[FactPayment].[CaseKey].&amp;[8302|00010538]"/>
            <x15:cachedUniqueName index="5928" name="[FactPayment].[CaseKey].&amp;[8302|00010554]"/>
            <x15:cachedUniqueName index="5929" name="[FactPayment].[CaseKey].&amp;[8302|00010560]"/>
            <x15:cachedUniqueName index="5930" name="[FactPayment].[CaseKey].&amp;[8302|00010570]"/>
            <x15:cachedUniqueName index="5931" name="[FactPayment].[CaseKey].&amp;[8302|00010581]"/>
            <x15:cachedUniqueName index="5932" name="[FactPayment].[CaseKey].&amp;[8302|00010590]"/>
            <x15:cachedUniqueName index="5933" name="[FactPayment].[CaseKey].&amp;[8302|00010605]"/>
            <x15:cachedUniqueName index="5934" name="[FactPayment].[CaseKey].&amp;[8302|00010611]"/>
            <x15:cachedUniqueName index="5935" name="[FactPayment].[CaseKey].&amp;[8302|00010628]"/>
            <x15:cachedUniqueName index="5936" name="[FactPayment].[CaseKey].&amp;[8302|00010634]"/>
            <x15:cachedUniqueName index="5937" name="[FactPayment].[CaseKey].&amp;[8302|00010648]"/>
            <x15:cachedUniqueName index="5938" name="[FactPayment].[CaseKey].&amp;[8302|00010653]"/>
            <x15:cachedUniqueName index="5939" name="[FactPayment].[CaseKey].&amp;[8302|00010664]"/>
            <x15:cachedUniqueName index="5940" name="[FactPayment].[CaseKey].&amp;[8302|00010670]"/>
            <x15:cachedUniqueName index="5941" name="[FactPayment].[CaseKey].&amp;[8302|00010683]"/>
            <x15:cachedUniqueName index="5942" name="[FactPayment].[CaseKey].&amp;[8302|00010696]"/>
            <x15:cachedUniqueName index="5943" name="[FactPayment].[CaseKey].&amp;[8302|00010702]"/>
            <x15:cachedUniqueName index="5944" name="[FactPayment].[CaseKey].&amp;[8302|00010711]"/>
            <x15:cachedUniqueName index="5945" name="[FactPayment].[CaseKey].&amp;[8302|00010724]"/>
            <x15:cachedUniqueName index="5946" name="[FactPayment].[CaseKey].&amp;[8302|00010735]"/>
            <x15:cachedUniqueName index="5947" name="[FactPayment].[CaseKey].&amp;[8302|00010742]"/>
            <x15:cachedUniqueName index="5948" name="[FactPayment].[CaseKey].&amp;[8302|00010757]"/>
            <x15:cachedUniqueName index="5949" name="[FactPayment].[CaseKey].&amp;[8302|00010770]"/>
            <x15:cachedUniqueName index="5950" name="[FactPayment].[CaseKey].&amp;[8302|00010786]"/>
            <x15:cachedUniqueName index="5951" name="[FactPayment].[CaseKey].&amp;[8302|00010793]"/>
            <x15:cachedUniqueName index="5952" name="[FactPayment].[CaseKey].&amp;[8302|00010806]"/>
            <x15:cachedUniqueName index="5953" name="[FactPayment].[CaseKey].&amp;[8302|00010814]"/>
            <x15:cachedUniqueName index="5954" name="[FactPayment].[CaseKey].&amp;[8302|00010822]"/>
            <x15:cachedUniqueName index="5955" name="[FactPayment].[CaseKey].&amp;[8302|00010833]"/>
            <x15:cachedUniqueName index="5956" name="[FactPayment].[CaseKey].&amp;[8302|00010846]"/>
            <x15:cachedUniqueName index="5957" name="[FactPayment].[CaseKey].&amp;[8302|00010854]"/>
            <x15:cachedUniqueName index="5958" name="[FactPayment].[CaseKey].&amp;[8302|00010861]"/>
            <x15:cachedUniqueName index="5959" name="[FactPayment].[CaseKey].&amp;[8302|00010877]"/>
            <x15:cachedUniqueName index="5960" name="[FactPayment].[CaseKey].&amp;[8302|00010888]"/>
            <x15:cachedUniqueName index="5961" name="[FactPayment].[CaseKey].&amp;[8302|00010893]"/>
            <x15:cachedUniqueName index="5962" name="[FactPayment].[CaseKey].&amp;[8302|00010914]"/>
            <x15:cachedUniqueName index="5963" name="[FactPayment].[CaseKey].&amp;[8302|00010927]"/>
            <x15:cachedUniqueName index="5964" name="[FactPayment].[CaseKey].&amp;[8302|00010946]"/>
            <x15:cachedUniqueName index="5965" name="[FactPayment].[CaseKey].&amp;[8302|00010952]"/>
            <x15:cachedUniqueName index="5966" name="[FactPayment].[CaseKey].&amp;[8302|00010964]"/>
            <x15:cachedUniqueName index="5967" name="[FactPayment].[CaseKey].&amp;[8302|00010971]"/>
            <x15:cachedUniqueName index="5968" name="[FactPayment].[CaseKey].&amp;[8302|00010986]"/>
            <x15:cachedUniqueName index="5969" name="[FactPayment].[CaseKey].&amp;[8302|00010996]"/>
            <x15:cachedUniqueName index="5970" name="[FactPayment].[CaseKey].&amp;[8302|00011007]"/>
            <x15:cachedUniqueName index="5971" name="[FactPayment].[CaseKey].&amp;[8302|00011023]"/>
            <x15:cachedUniqueName index="5972" name="[FactPayment].[CaseKey].&amp;[8302|00011035]"/>
            <x15:cachedUniqueName index="5973" name="[FactPayment].[CaseKey].&amp;[8302|00011045]"/>
            <x15:cachedUniqueName index="5974" name="[FactPayment].[CaseKey].&amp;[8302|00011057]"/>
            <x15:cachedUniqueName index="5975" name="[FactPayment].[CaseKey].&amp;[8302|00011062]"/>
            <x15:cachedUniqueName index="5976" name="[FactPayment].[CaseKey].&amp;[8302|00011072]"/>
            <x15:cachedUniqueName index="5977" name="[FactPayment].[CaseKey].&amp;[8302|00011087]"/>
            <x15:cachedUniqueName index="5978" name="[FactPayment].[CaseKey].&amp;[8302|00011090]"/>
            <x15:cachedUniqueName index="5979" name="[FactPayment].[CaseKey].&amp;[8302|00011101]"/>
            <x15:cachedUniqueName index="5980" name="[FactPayment].[CaseKey].&amp;[8302|00011114]"/>
            <x15:cachedUniqueName index="5981" name="[FactPayment].[CaseKey].&amp;[8302|00011123]"/>
            <x15:cachedUniqueName index="5982" name="[FactPayment].[CaseKey].&amp;[8302|00011138]"/>
            <x15:cachedUniqueName index="5983" name="[FactPayment].[CaseKey].&amp;[8302|00011144]"/>
            <x15:cachedUniqueName index="5984" name="[FactPayment].[CaseKey].&amp;[8302|00011155]"/>
            <x15:cachedUniqueName index="5985" name="[FactPayment].[CaseKey].&amp;[8302|00011163]"/>
            <x15:cachedUniqueName index="5986" name="[FactPayment].[CaseKey].&amp;[8302|00011178]"/>
            <x15:cachedUniqueName index="5987" name="[FactPayment].[CaseKey].&amp;[8302|00011180]"/>
            <x15:cachedUniqueName index="5988" name="[FactPayment].[CaseKey].&amp;[8302|00011193]"/>
            <x15:cachedUniqueName index="5989" name="[FactPayment].[CaseKey].&amp;[8302|00011201]"/>
            <x15:cachedUniqueName index="5990" name="[FactPayment].[CaseKey].&amp;[8302|00011216]"/>
            <x15:cachedUniqueName index="5991" name="[FactPayment].[CaseKey].&amp;[8302|00011226]"/>
            <x15:cachedUniqueName index="5992" name="[FactPayment].[CaseKey].&amp;[8302|00011231]"/>
            <x15:cachedUniqueName index="5993" name="[FactPayment].[CaseKey].&amp;[8302|00011242]"/>
            <x15:cachedUniqueName index="5994" name="[FactPayment].[CaseKey].&amp;[8302|00011252]"/>
            <x15:cachedUniqueName index="5995" name="[FactPayment].[CaseKey].&amp;[8302|00011263]"/>
            <x15:cachedUniqueName index="5996" name="[FactPayment].[CaseKey].&amp;[8302|00011272]"/>
            <x15:cachedUniqueName index="5997" name="[FactPayment].[CaseKey].&amp;[8302|00011284]"/>
            <x15:cachedUniqueName index="5998" name="[FactPayment].[CaseKey].&amp;[8302|00011295]"/>
            <x15:cachedUniqueName index="5999" name="[FactPayment].[CaseKey].&amp;[8302|00011305]"/>
            <x15:cachedUniqueName index="6000" name="[FactPayment].[CaseKey].&amp;[8302|00011315]"/>
            <x15:cachedUniqueName index="6001" name="[FactPayment].[CaseKey].&amp;[8302|00011346]"/>
            <x15:cachedUniqueName index="6002" name="[FactPayment].[CaseKey].&amp;[8302|00011356]"/>
            <x15:cachedUniqueName index="6003" name="[FactPayment].[CaseKey].&amp;[8302|00011375]"/>
            <x15:cachedUniqueName index="6004" name="[FactPayment].[CaseKey].&amp;[8302|00011387]"/>
            <x15:cachedUniqueName index="6005" name="[FactPayment].[CaseKey].&amp;[8302|00011392]"/>
            <x15:cachedUniqueName index="6006" name="[FactPayment].[CaseKey].&amp;[8302|00011403]"/>
            <x15:cachedUniqueName index="6007" name="[FactPayment].[CaseKey].&amp;[8302|00011417]"/>
            <x15:cachedUniqueName index="6008" name="[FactPayment].[CaseKey].&amp;[8302|00011438]"/>
            <x15:cachedUniqueName index="6009" name="[FactPayment].[CaseKey].&amp;[8302|00011444]"/>
            <x15:cachedUniqueName index="6010" name="[FactPayment].[CaseKey].&amp;[8302|00011454]"/>
            <x15:cachedUniqueName index="6011" name="[FactPayment].[CaseKey].&amp;[8302|00011462]"/>
            <x15:cachedUniqueName index="6012" name="[FactPayment].[CaseKey].&amp;[8302|00011478]"/>
            <x15:cachedUniqueName index="6013" name="[FactPayment].[CaseKey].&amp;[8302|00011484]"/>
            <x15:cachedUniqueName index="6014" name="[FactPayment].[CaseKey].&amp;[8302|00011496]"/>
            <x15:cachedUniqueName index="6015" name="[FactPayment].[CaseKey].&amp;[8302|00011501]"/>
            <x15:cachedUniqueName index="6016" name="[FactPayment].[CaseKey].&amp;[8302|00011512]"/>
            <x15:cachedUniqueName index="6017" name="[FactPayment].[CaseKey].&amp;[8302|00011525]"/>
            <x15:cachedUniqueName index="6018" name="[FactPayment].[CaseKey].&amp;[8302|00011530]"/>
            <x15:cachedUniqueName index="6019" name="[FactPayment].[CaseKey].&amp;[8302|00011541]"/>
            <x15:cachedUniqueName index="6020" name="[FactPayment].[CaseKey].&amp;[8302|00011552]"/>
            <x15:cachedUniqueName index="6021" name="[FactPayment].[CaseKey].&amp;[8302|00011560]"/>
            <x15:cachedUniqueName index="6022" name="[FactPayment].[CaseKey].&amp;[8302|00011570]"/>
            <x15:cachedUniqueName index="6023" name="[FactPayment].[CaseKey].&amp;[8302|00011585]"/>
            <x15:cachedUniqueName index="6024" name="[FactPayment].[CaseKey].&amp;[8302|00011594]"/>
            <x15:cachedUniqueName index="6025" name="[FactPayment].[CaseKey].&amp;[8302|00011600]"/>
            <x15:cachedUniqueName index="6026" name="[FactPayment].[CaseKey].&amp;[8302|00011611]"/>
            <x15:cachedUniqueName index="6027" name="[FactPayment].[CaseKey].&amp;[8302|00011626]"/>
            <x15:cachedUniqueName index="6028" name="[FactPayment].[CaseKey].&amp;[8302|00011631]"/>
            <x15:cachedUniqueName index="6029" name="[FactPayment].[CaseKey].&amp;[8302|00011640]"/>
            <x15:cachedUniqueName index="6030" name="[FactPayment].[CaseKey].&amp;[8302|00011650]"/>
            <x15:cachedUniqueName index="6031" name="[FactPayment].[CaseKey].&amp;[8302|00011664]"/>
            <x15:cachedUniqueName index="6032" name="[FactPayment].[CaseKey].&amp;[8302|00011671]"/>
            <x15:cachedUniqueName index="6033" name="[FactPayment].[CaseKey].&amp;[8302|00011686]"/>
            <x15:cachedUniqueName index="6034" name="[FactPayment].[CaseKey].&amp;[8302|00011690]"/>
            <x15:cachedUniqueName index="6035" name="[FactPayment].[CaseKey].&amp;[8302|00011700]"/>
            <x15:cachedUniqueName index="6036" name="[FactPayment].[CaseKey].&amp;[8302|00011711]"/>
            <x15:cachedUniqueName index="6037" name="[FactPayment].[CaseKey].&amp;[8302|00011725]"/>
            <x15:cachedUniqueName index="6038" name="[FactPayment].[CaseKey].&amp;[8302|00011738]"/>
            <x15:cachedUniqueName index="6039" name="[FactPayment].[CaseKey].&amp;[8302|00011741]"/>
            <x15:cachedUniqueName index="6040" name="[FactPayment].[CaseKey].&amp;[8302|00011750]"/>
            <x15:cachedUniqueName index="6041" name="[FactPayment].[CaseKey].&amp;[8302|00011760]"/>
            <x15:cachedUniqueName index="6042" name="[FactPayment].[CaseKey].&amp;[8302|00011775]"/>
            <x15:cachedUniqueName index="6043" name="[FactPayment].[CaseKey].&amp;[8302|00011792]"/>
            <x15:cachedUniqueName index="6044" name="[FactPayment].[CaseKey].&amp;[8302|00011800]"/>
            <x15:cachedUniqueName index="6045" name="[FactPayment].[CaseKey].&amp;[8302|00011810]"/>
            <x15:cachedUniqueName index="6046" name="[FactPayment].[CaseKey].&amp;[8302|00011827]"/>
            <x15:cachedUniqueName index="6047" name="[FactPayment].[CaseKey].&amp;[8302|00011831]"/>
            <x15:cachedUniqueName index="6048" name="[FactPayment].[CaseKey].&amp;[8302|00011842]"/>
            <x15:cachedUniqueName index="6049" name="[FactPayment].[CaseKey].&amp;[8302|00011857]"/>
            <x15:cachedUniqueName index="6050" name="[FactPayment].[CaseKey].&amp;[8302|00011864]"/>
            <x15:cachedUniqueName index="6051" name="[FactPayment].[CaseKey].&amp;[8302|00011875]"/>
            <x15:cachedUniqueName index="6052" name="[FactPayment].[CaseKey].&amp;[8302|00011887]"/>
            <x15:cachedUniqueName index="6053" name="[FactPayment].[CaseKey].&amp;[8302|00011892]"/>
            <x15:cachedUniqueName index="6054" name="[FactPayment].[CaseKey].&amp;[8302|00011908]"/>
            <x15:cachedUniqueName index="6055" name="[FactPayment].[CaseKey].&amp;[8302|00011918]"/>
            <x15:cachedUniqueName index="6056" name="[FactPayment].[CaseKey].&amp;[8302|00011921]"/>
            <x15:cachedUniqueName index="6057" name="[FactPayment].[CaseKey].&amp;[8302|00011938]"/>
            <x15:cachedUniqueName index="6058" name="[FactPayment].[CaseKey].&amp;[8302|00011943]"/>
            <x15:cachedUniqueName index="6059" name="[FactPayment].[CaseKey].&amp;[8302|00011954]"/>
            <x15:cachedUniqueName index="6060" name="[FactPayment].[CaseKey].&amp;[8302|00011963]"/>
            <x15:cachedUniqueName index="6061" name="[FactPayment].[CaseKey].&amp;[8302|00011975]"/>
            <x15:cachedUniqueName index="6062" name="[FactPayment].[CaseKey].&amp;[8302|00011984]"/>
            <x15:cachedUniqueName index="6063" name="[FactPayment].[CaseKey].&amp;[8302|00012000]"/>
            <x15:cachedUniqueName index="6064" name="[FactPayment].[CaseKey].&amp;[8302|00012010]"/>
            <x15:cachedUniqueName index="6065" name="[FactPayment].[CaseKey].&amp;[8302|00012020]"/>
            <x15:cachedUniqueName index="6066" name="[FactPayment].[CaseKey].&amp;[8302|00012032]"/>
            <x15:cachedUniqueName index="6067" name="[FactPayment].[CaseKey].&amp;[8302|00012047]"/>
            <x15:cachedUniqueName index="6068" name="[FactPayment].[CaseKey].&amp;[8302|00012053]"/>
            <x15:cachedUniqueName index="6069" name="[FactPayment].[CaseKey].&amp;[8302|00012062]"/>
            <x15:cachedUniqueName index="6070" name="[FactPayment].[CaseKey].&amp;[8302|00012071]"/>
            <x15:cachedUniqueName index="6071" name="[FactPayment].[CaseKey].&amp;[8302|00012082]"/>
            <x15:cachedUniqueName index="6072" name="[FactPayment].[CaseKey].&amp;[8302|00012093]"/>
            <x15:cachedUniqueName index="6073" name="[FactPayment].[CaseKey].&amp;[8302|00012102]"/>
            <x15:cachedUniqueName index="6074" name="[FactPayment].[CaseKey].&amp;[8302|00012111]"/>
            <x15:cachedUniqueName index="6075" name="[FactPayment].[CaseKey].&amp;[8302|00012137]"/>
            <x15:cachedUniqueName index="6076" name="[FactPayment].[CaseKey].&amp;[8302|00012145]"/>
            <x15:cachedUniqueName index="6077" name="[FactPayment].[CaseKey].&amp;[8302|00012168]"/>
            <x15:cachedUniqueName index="6078" name="[FactPayment].[CaseKey].&amp;[8302|00012175]"/>
            <x15:cachedUniqueName index="6079" name="[FactPayment].[CaseKey].&amp;[8302|00012182]"/>
            <x15:cachedUniqueName index="6080" name="[FactPayment].[CaseKey].&amp;[8302|00012198]"/>
            <x15:cachedUniqueName index="6081" name="[FactPayment].[CaseKey].&amp;[8302|00012204]"/>
            <x15:cachedUniqueName index="6082" name="[FactPayment].[CaseKey].&amp;[8302|00012217]"/>
            <x15:cachedUniqueName index="6083" name="[FactPayment].[CaseKey].&amp;[8302|00012223]"/>
            <x15:cachedUniqueName index="6084" name="[FactPayment].[CaseKey].&amp;[8302|00012238]"/>
            <x15:cachedUniqueName index="6085" name="[FactPayment].[CaseKey].&amp;[8302|00012247]"/>
            <x15:cachedUniqueName index="6086" name="[FactPayment].[CaseKey].&amp;[8302|00012250]"/>
            <x15:cachedUniqueName index="6087" name="[FactPayment].[CaseKey].&amp;[8302|00012266]"/>
            <x15:cachedUniqueName index="6088" name="[FactPayment].[CaseKey].&amp;[8302|00012271]"/>
            <x15:cachedUniqueName index="6089" name="[FactPayment].[CaseKey].&amp;[8302|00012283]"/>
            <x15:cachedUniqueName index="6090" name="[FactPayment].[CaseKey].&amp;[8302|00012296]"/>
            <x15:cachedUniqueName index="6091" name="[FactPayment].[CaseKey].&amp;[8302|00012301]"/>
            <x15:cachedUniqueName index="6092" name="[FactPayment].[CaseKey].&amp;[8302|00012312]"/>
            <x15:cachedUniqueName index="6093" name="[FactPayment].[CaseKey].&amp;[8302|00012325]"/>
            <x15:cachedUniqueName index="6094" name="[FactPayment].[CaseKey].&amp;[8302|00012338]"/>
            <x15:cachedUniqueName index="6095" name="[FactPayment].[CaseKey].&amp;[8302|00012342]"/>
            <x15:cachedUniqueName index="6096" name="[FactPayment].[CaseKey].&amp;[8302|00012354]"/>
            <x15:cachedUniqueName index="6097" name="[FactPayment].[CaseKey].&amp;[8302|00012368]"/>
            <x15:cachedUniqueName index="6098" name="[FactPayment].[CaseKey].&amp;[8302|00012377]"/>
            <x15:cachedUniqueName index="6099" name="[FactPayment].[CaseKey].&amp;[8302|00012381]"/>
            <x15:cachedUniqueName index="6100" name="[FactPayment].[CaseKey].&amp;[8302|00012397]"/>
            <x15:cachedUniqueName index="6101" name="[FactPayment].[CaseKey].&amp;[8302|00012400]"/>
            <x15:cachedUniqueName index="6102" name="[FactPayment].[CaseKey].&amp;[8302|00012413]"/>
            <x15:cachedUniqueName index="6103" name="[FactPayment].[CaseKey].&amp;[8302|00012421]"/>
            <x15:cachedUniqueName index="6104" name="[FactPayment].[CaseKey].&amp;[8302|00012434]"/>
            <x15:cachedUniqueName index="6105" name="[FactPayment].[CaseKey].&amp;[8302|00012446]"/>
            <x15:cachedUniqueName index="6106" name="[FactPayment].[CaseKey].&amp;[8302|00012452]"/>
            <x15:cachedUniqueName index="6107" name="[FactPayment].[CaseKey].&amp;[8302|00012475]"/>
            <x15:cachedUniqueName index="6108" name="[FactPayment].[CaseKey].&amp;[8302|00012481]"/>
            <x15:cachedUniqueName index="6109" name="[FactPayment].[CaseKey].&amp;[8302|00012504]"/>
            <x15:cachedUniqueName index="6110" name="[FactPayment].[CaseKey].&amp;[8302|00012513]"/>
            <x15:cachedUniqueName index="6111" name="[FactPayment].[CaseKey].&amp;[8302|00012523]"/>
            <x15:cachedUniqueName index="6112" name="[FactPayment].[CaseKey].&amp;[8302|00012537]"/>
            <x15:cachedUniqueName index="6113" name="[FactPayment].[CaseKey].&amp;[8302|00012546]"/>
            <x15:cachedUniqueName index="6114" name="[FactPayment].[CaseKey].&amp;[8302|00012552]"/>
            <x15:cachedUniqueName index="6115" name="[FactPayment].[CaseKey].&amp;[8302|00012566]"/>
            <x15:cachedUniqueName index="6116" name="[FactPayment].[CaseKey].&amp;[8302|00012572]"/>
            <x15:cachedUniqueName index="6117" name="[FactPayment].[CaseKey].&amp;[8302|00012587]"/>
            <x15:cachedUniqueName index="6118" name="[FactPayment].[CaseKey].&amp;[8302|00012592]"/>
            <x15:cachedUniqueName index="6119" name="[FactPayment].[CaseKey].&amp;[8302|00012604]"/>
            <x15:cachedUniqueName index="6120" name="[FactPayment].[CaseKey].&amp;[8302|00012610]"/>
            <x15:cachedUniqueName index="6121" name="[FactPayment].[CaseKey].&amp;[8302|00012624]"/>
            <x15:cachedUniqueName index="6122" name="[FactPayment].[CaseKey].&amp;[8302|00012646]"/>
            <x15:cachedUniqueName index="6123" name="[FactPayment].[CaseKey].&amp;[8302|00012653]"/>
            <x15:cachedUniqueName index="6124" name="[FactPayment].[CaseKey].&amp;[8302|00012664]"/>
            <x15:cachedUniqueName index="6125" name="[FactPayment].[CaseKey].&amp;[8302|00012681]"/>
            <x15:cachedUniqueName index="6126" name="[FactPayment].[CaseKey].&amp;[8302|00012693]"/>
            <x15:cachedUniqueName index="6127" name="[FactPayment].[CaseKey].&amp;[8302|00012703]"/>
            <x15:cachedUniqueName index="6128" name="[FactPayment].[CaseKey].&amp;[8302|00012713]"/>
            <x15:cachedUniqueName index="6129" name="[FactPayment].[CaseKey].&amp;[8302|00012725]"/>
            <x15:cachedUniqueName index="6130" name="[FactPayment].[CaseKey].&amp;[8302|00012736]"/>
            <x15:cachedUniqueName index="6131" name="[FactPayment].[CaseKey].&amp;[8302|00012740]"/>
            <x15:cachedUniqueName index="6132" name="[FactPayment].[CaseKey].&amp;[8302|00012753]"/>
            <x15:cachedUniqueName index="6133" name="[FactPayment].[CaseKey].&amp;[8302|00012768]"/>
            <x15:cachedUniqueName index="6134" name="[FactPayment].[CaseKey].&amp;[8302|00012780]"/>
            <x15:cachedUniqueName index="6135" name="[FactPayment].[CaseKey].&amp;[8302|00012792]"/>
            <x15:cachedUniqueName index="6136" name="[FactPayment].[CaseKey].&amp;[8302|00012806]"/>
            <x15:cachedUniqueName index="6137" name="[FactPayment].[CaseKey].&amp;[8302|00012811]"/>
            <x15:cachedUniqueName index="6138" name="[FactPayment].[CaseKey].&amp;[8302|00012828]"/>
            <x15:cachedUniqueName index="6139" name="[FactPayment].[CaseKey].&amp;[8302|00012833]"/>
            <x15:cachedUniqueName index="6140" name="[FactPayment].[CaseKey].&amp;[8302|00012845]"/>
            <x15:cachedUniqueName index="6141" name="[FactPayment].[CaseKey].&amp;[8302|00012850]"/>
            <x15:cachedUniqueName index="6142" name="[FactPayment].[CaseKey].&amp;[8302|00012861]"/>
            <x15:cachedUniqueName index="6143" name="[FactPayment].[CaseKey].&amp;[8302|00012876]"/>
            <x15:cachedUniqueName index="6144" name="[FactPayment].[CaseKey].&amp;[8302|00012897]"/>
            <x15:cachedUniqueName index="6145" name="[FactPayment].[CaseKey].&amp;[8302|00012900]"/>
            <x15:cachedUniqueName index="6146" name="[FactPayment].[CaseKey].&amp;[8302|00012928]"/>
            <x15:cachedUniqueName index="6147" name="[FactPayment].[CaseKey].&amp;[8302|00012934]"/>
            <x15:cachedUniqueName index="6148" name="[FactPayment].[CaseKey].&amp;[8302|00012945]"/>
            <x15:cachedUniqueName index="6149" name="[FactPayment].[CaseKey].&amp;[8302|00012954]"/>
            <x15:cachedUniqueName index="6150" name="[FactPayment].[CaseKey].&amp;[8302|00012967]"/>
            <x15:cachedUniqueName index="6151" name="[FactPayment].[CaseKey].&amp;[8302|00012970]"/>
            <x15:cachedUniqueName index="6152" name="[FactPayment].[CaseKey].&amp;[8302|00012986]"/>
            <x15:cachedUniqueName index="6153" name="[FactPayment].[CaseKey].&amp;[8302|00012997]"/>
            <x15:cachedUniqueName index="6154" name="[FactPayment].[CaseKey].&amp;[8302|00013008]"/>
            <x15:cachedUniqueName index="6155" name="[FactPayment].[CaseKey].&amp;[8302|00013010]"/>
            <x15:cachedUniqueName index="6156" name="[FactPayment].[CaseKey].&amp;[8302|00013026]"/>
            <x15:cachedUniqueName index="6157" name="[FactPayment].[CaseKey].&amp;[8302|00013038]"/>
            <x15:cachedUniqueName index="6158" name="[FactPayment].[CaseKey].&amp;[8302|00013044]"/>
            <x15:cachedUniqueName index="6159" name="[FactPayment].[CaseKey].&amp;[8302|00013057]"/>
            <x15:cachedUniqueName index="6160" name="[FactPayment].[CaseKey].&amp;[8302|00013062]"/>
            <x15:cachedUniqueName index="6161" name="[FactPayment].[CaseKey].&amp;[8302|00013078]"/>
            <x15:cachedUniqueName index="6162" name="[FactPayment].[CaseKey].&amp;[8302|00013084]"/>
            <x15:cachedUniqueName index="6163" name="[FactPayment].[CaseKey].&amp;[8302|00013090]"/>
            <x15:cachedUniqueName index="6164" name="[FactPayment].[CaseKey].&amp;[8302|00013101]"/>
            <x15:cachedUniqueName index="6165" name="[FactPayment].[CaseKey].&amp;[8302|00013114]"/>
            <x15:cachedUniqueName index="6166" name="[FactPayment].[CaseKey].&amp;[8302|00013121]"/>
            <x15:cachedUniqueName index="6167" name="[FactPayment].[CaseKey].&amp;[8302|00013132]"/>
            <x15:cachedUniqueName index="6168" name="[FactPayment].[CaseKey].&amp;[8302|00013148]"/>
            <x15:cachedUniqueName index="6169" name="[FactPayment].[CaseKey].&amp;[8302|00013154]"/>
            <x15:cachedUniqueName index="6170" name="[FactPayment].[CaseKey].&amp;[8302|00013161]"/>
            <x15:cachedUniqueName index="6171" name="[FactPayment].[CaseKey].&amp;[8302|00013175]"/>
            <x15:cachedUniqueName index="6172" name="[FactPayment].[CaseKey].&amp;[8302|00013183]"/>
            <x15:cachedUniqueName index="6173" name="[FactPayment].[CaseKey].&amp;[8302|00013194]"/>
            <x15:cachedUniqueName index="6174" name="[FactPayment].[CaseKey].&amp;[8302|00013200]"/>
            <x15:cachedUniqueName index="6175" name="[FactPayment].[CaseKey].&amp;[8302|00013210]"/>
            <x15:cachedUniqueName index="6176" name="[FactPayment].[CaseKey].&amp;[8302|00013226]"/>
            <x15:cachedUniqueName index="6177" name="[FactPayment].[CaseKey].&amp;[8302|00013238]"/>
            <x15:cachedUniqueName index="6178" name="[FactPayment].[CaseKey].&amp;[8302|00013246]"/>
            <x15:cachedUniqueName index="6179" name="[FactPayment].[CaseKey].&amp;[8302|00013258]"/>
            <x15:cachedUniqueName index="6180" name="[FactPayment].[CaseKey].&amp;[8302|00013266]"/>
            <x15:cachedUniqueName index="6181" name="[FactPayment].[CaseKey].&amp;[8302|00013274]"/>
            <x15:cachedUniqueName index="6182" name="[FactPayment].[CaseKey].&amp;[8302|00013288]"/>
            <x15:cachedUniqueName index="6183" name="[FactPayment].[CaseKey].&amp;[8302|00013295]"/>
            <x15:cachedUniqueName index="6184" name="[FactPayment].[CaseKey].&amp;[8302|00013306]"/>
            <x15:cachedUniqueName index="6185" name="[FactPayment].[CaseKey].&amp;[8302|00013316]"/>
            <x15:cachedUniqueName index="6186" name="[FactPayment].[CaseKey].&amp;[8302|00013324]"/>
            <x15:cachedUniqueName index="6187" name="[FactPayment].[CaseKey].&amp;[8302|00013337]"/>
            <x15:cachedUniqueName index="6188" name="[FactPayment].[CaseKey].&amp;[8302|00013343]"/>
            <x15:cachedUniqueName index="6189" name="[FactPayment].[CaseKey].&amp;[8302|00013353]"/>
            <x15:cachedUniqueName index="6190" name="[FactPayment].[CaseKey].&amp;[8302|00013362]"/>
            <x15:cachedUniqueName index="6191" name="[FactPayment].[CaseKey].&amp;[8302|00013371]"/>
            <x15:cachedUniqueName index="6192" name="[FactPayment].[CaseKey].&amp;[8302|00013380]"/>
            <x15:cachedUniqueName index="6193" name="[FactPayment].[CaseKey].&amp;[8302|00013391]"/>
            <x15:cachedUniqueName index="6194" name="[FactPayment].[CaseKey].&amp;[8302|00013404]"/>
            <x15:cachedUniqueName index="6195" name="[FactPayment].[CaseKey].&amp;[8302|00013414]"/>
            <x15:cachedUniqueName index="6196" name="[FactPayment].[CaseKey].&amp;[8302|00013427]"/>
            <x15:cachedUniqueName index="6197" name="[FactPayment].[CaseKey].&amp;[8302|00013432]"/>
            <x15:cachedUniqueName index="6198" name="[FactPayment].[CaseKey].&amp;[8302|00013440]"/>
            <x15:cachedUniqueName index="6199" name="[FactPayment].[CaseKey].&amp;[8302|00013452]"/>
            <x15:cachedUniqueName index="6200" name="[FactPayment].[CaseKey].&amp;[8302|00013468]"/>
            <x15:cachedUniqueName index="6201" name="[FactPayment].[CaseKey].&amp;[8302|00013475]"/>
            <x15:cachedUniqueName index="6202" name="[FactPayment].[CaseKey].&amp;[8302|00013487]"/>
            <x15:cachedUniqueName index="6203" name="[FactPayment].[CaseKey].&amp;[8302|00013498]"/>
            <x15:cachedUniqueName index="6204" name="[FactPayment].[CaseKey].&amp;[8302|00013506]"/>
            <x15:cachedUniqueName index="6205" name="[FactPayment].[CaseKey].&amp;[8302|00013517]"/>
            <x15:cachedUniqueName index="6206" name="[FactPayment].[CaseKey].&amp;[8302|00013522]"/>
            <x15:cachedUniqueName index="6207" name="[FactPayment].[CaseKey].&amp;[8302|00013548]"/>
            <x15:cachedUniqueName index="6208" name="[FactPayment].[CaseKey].&amp;[8302|00013551]"/>
            <x15:cachedUniqueName index="6209" name="[FactPayment].[CaseKey].&amp;[8302|00013567]"/>
            <x15:cachedUniqueName index="6210" name="[FactPayment].[CaseKey].&amp;[8302|00013578]"/>
            <x15:cachedUniqueName index="6211" name="[FactPayment].[CaseKey].&amp;[8302|00013582]"/>
            <x15:cachedUniqueName index="6212" name="[FactPayment].[CaseKey].&amp;[8302|00013592]"/>
            <x15:cachedUniqueName index="6213" name="[FactPayment].[CaseKey].&amp;[8302|00013608]"/>
            <x15:cachedUniqueName index="6214" name="[FactPayment].[CaseKey].&amp;[8302|00013617]"/>
            <x15:cachedUniqueName index="6215" name="[FactPayment].[CaseKey].&amp;[8302|00013635]"/>
            <x15:cachedUniqueName index="6216" name="[FactPayment].[CaseKey].&amp;[8302|00013646]"/>
            <x15:cachedUniqueName index="6217" name="[FactPayment].[CaseKey].&amp;[8302|00013651]"/>
            <x15:cachedUniqueName index="6218" name="[FactPayment].[CaseKey].&amp;[8302|00013666]"/>
            <x15:cachedUniqueName index="6219" name="[FactPayment].[CaseKey].&amp;[8302|00013678]"/>
            <x15:cachedUniqueName index="6220" name="[FactPayment].[CaseKey].&amp;[8302|00013682]"/>
            <x15:cachedUniqueName index="6221" name="[FactPayment].[CaseKey].&amp;[8302|00013696]"/>
            <x15:cachedUniqueName index="6222" name="[FactPayment].[CaseKey].&amp;[8302|00013707]"/>
            <x15:cachedUniqueName index="6223" name="[FactPayment].[CaseKey].&amp;[8302|00013715]"/>
            <x15:cachedUniqueName index="6224" name="[FactPayment].[CaseKey].&amp;[8302|00013726]"/>
            <x15:cachedUniqueName index="6225" name="[FactPayment].[CaseKey].&amp;[8302|00013747]"/>
            <x15:cachedUniqueName index="6226" name="[FactPayment].[CaseKey].&amp;[8302|00013750]"/>
            <x15:cachedUniqueName index="6227" name="[FactPayment].[CaseKey].&amp;[8302|00013767]"/>
            <x15:cachedUniqueName index="6228" name="[FactPayment].[CaseKey].&amp;[8302|00013778]"/>
            <x15:cachedUniqueName index="6229" name="[FactPayment].[CaseKey].&amp;[8302|00013781]"/>
            <x15:cachedUniqueName index="6230" name="[FactPayment].[CaseKey].&amp;[8302|00013792]"/>
            <x15:cachedUniqueName index="6231" name="[FactPayment].[CaseKey].&amp;[8302|00013803]"/>
            <x15:cachedUniqueName index="6232" name="[FactPayment].[CaseKey].&amp;[8302|00013810]"/>
            <x15:cachedUniqueName index="6233" name="[FactPayment].[CaseKey].&amp;[8302|00013828]"/>
            <x15:cachedUniqueName index="6234" name="[FactPayment].[CaseKey].&amp;[8302|00013835]"/>
            <x15:cachedUniqueName index="6235" name="[FactPayment].[CaseKey].&amp;[8302|00013842]"/>
            <x15:cachedUniqueName index="6236" name="[FactPayment].[CaseKey].&amp;[8302|00013857]"/>
            <x15:cachedUniqueName index="6237" name="[FactPayment].[CaseKey].&amp;[8302|00013867]"/>
            <x15:cachedUniqueName index="6238" name="[FactPayment].[CaseKey].&amp;[8302|00013875]"/>
            <x15:cachedUniqueName index="6239" name="[FactPayment].[CaseKey].&amp;[8302|00013883]"/>
            <x15:cachedUniqueName index="6240" name="[FactPayment].[CaseKey].&amp;[8302|00013892]"/>
            <x15:cachedUniqueName index="6241" name="[FactPayment].[CaseKey].&amp;[8302|00013906]"/>
            <x15:cachedUniqueName index="6242" name="[FactPayment].[CaseKey].&amp;[8302|00013917]"/>
            <x15:cachedUniqueName index="6243" name="[FactPayment].[CaseKey].&amp;[8302|00013926]"/>
            <x15:cachedUniqueName index="6244" name="[FactPayment].[CaseKey].&amp;[8302|00013932]"/>
            <x15:cachedUniqueName index="6245" name="[FactPayment].[CaseKey].&amp;[8302|00013946]"/>
            <x15:cachedUniqueName index="6246" name="[FactPayment].[CaseKey].&amp;[8302|00013953]"/>
            <x15:cachedUniqueName index="6247" name="[FactPayment].[CaseKey].&amp;[8302|00013960]"/>
            <x15:cachedUniqueName index="6248" name="[FactPayment].[CaseKey].&amp;[8302|00013971]"/>
            <x15:cachedUniqueName index="6249" name="[FactPayment].[CaseKey].&amp;[8302|00013985]"/>
            <x15:cachedUniqueName index="6250" name="[FactPayment].[CaseKey].&amp;[8302|00013990]"/>
            <x15:cachedUniqueName index="6251" name="[FactPayment].[CaseKey].&amp;[8302|00014001]"/>
            <x15:cachedUniqueName index="6252" name="[FactPayment].[CaseKey].&amp;[8302|00014017]"/>
            <x15:cachedUniqueName index="6253" name="[FactPayment].[CaseKey].&amp;[8302|00014020]"/>
            <x15:cachedUniqueName index="6254" name="[FactPayment].[CaseKey].&amp;[8302|00014037]"/>
            <x15:cachedUniqueName index="6255" name="[FactPayment].[CaseKey].&amp;[8302|00014040]"/>
            <x15:cachedUniqueName index="6256" name="[FactPayment].[CaseKey].&amp;[8302|00014055]"/>
            <x15:cachedUniqueName index="6257" name="[FactPayment].[CaseKey].&amp;[8302|00014068]"/>
            <x15:cachedUniqueName index="6258" name="[FactPayment].[CaseKey].&amp;[8302|00014077]"/>
            <x15:cachedUniqueName index="6259" name="[FactPayment].[CaseKey].&amp;[8302|00014082]"/>
            <x15:cachedUniqueName index="6260" name="[FactPayment].[CaseKey].&amp;[8302|00014096]"/>
            <x15:cachedUniqueName index="6261" name="[FactPayment].[CaseKey].&amp;[8302|00014107]"/>
            <x15:cachedUniqueName index="6262" name="[FactPayment].[CaseKey].&amp;[8302|00014115]"/>
            <x15:cachedUniqueName index="6263" name="[FactPayment].[CaseKey].&amp;[8302|00014130]"/>
            <x15:cachedUniqueName index="6264" name="[FactPayment].[CaseKey].&amp;[8302|00014141]"/>
            <x15:cachedUniqueName index="6265" name="[FactPayment].[CaseKey].&amp;[8302|00014157]"/>
            <x15:cachedUniqueName index="6266" name="[FactPayment].[CaseKey].&amp;[8302|00014160]"/>
            <x15:cachedUniqueName index="6267" name="[FactPayment].[CaseKey].&amp;[8302|00014171]"/>
            <x15:cachedUniqueName index="6268" name="[FactPayment].[CaseKey].&amp;[8302|00014187]"/>
            <x15:cachedUniqueName index="6269" name="[FactPayment].[CaseKey].&amp;[8302|00014194]"/>
            <x15:cachedUniqueName index="6270" name="[FactPayment].[CaseKey].&amp;[8302|00014200]"/>
            <x15:cachedUniqueName index="6271" name="[FactPayment].[CaseKey].&amp;[8302|00014215]"/>
            <x15:cachedUniqueName index="6272" name="[FactPayment].[CaseKey].&amp;[8302|00014221]"/>
            <x15:cachedUniqueName index="6273" name="[FactPayment].[CaseKey].&amp;[8302|00014233]"/>
            <x15:cachedUniqueName index="6274" name="[FactPayment].[CaseKey].&amp;[8302|00014241]"/>
            <x15:cachedUniqueName index="6275" name="[FactPayment].[CaseKey].&amp;[8302|00014267]"/>
            <x15:cachedUniqueName index="6276" name="[FactPayment].[CaseKey].&amp;[8302|00014270]"/>
            <x15:cachedUniqueName index="6277" name="[FactPayment].[CaseKey].&amp;[8302|00014286]"/>
            <x15:cachedUniqueName index="6278" name="[FactPayment].[CaseKey].&amp;[8302|00014293]"/>
            <x15:cachedUniqueName index="6279" name="[FactPayment].[CaseKey].&amp;[8302|00014305]"/>
            <x15:cachedUniqueName index="6280" name="[FactPayment].[CaseKey].&amp;[8302|00014317]"/>
            <x15:cachedUniqueName index="6281" name="[FactPayment].[CaseKey].&amp;[8302|00014324]"/>
            <x15:cachedUniqueName index="6282" name="[FactPayment].[CaseKey].&amp;[8302|00014335]"/>
            <x15:cachedUniqueName index="6283" name="[FactPayment].[CaseKey].&amp;[8302|00014345]"/>
            <x15:cachedUniqueName index="6284" name="[FactPayment].[CaseKey].&amp;[8302|00014353]"/>
            <x15:cachedUniqueName index="6285" name="[FactPayment].[CaseKey].&amp;[8302|00014363]"/>
            <x15:cachedUniqueName index="6286" name="[FactPayment].[CaseKey].&amp;[8302|00014375]"/>
            <x15:cachedUniqueName index="6287" name="[FactPayment].[CaseKey].&amp;[8302|00014386]"/>
            <x15:cachedUniqueName index="6288" name="[FactPayment].[CaseKey].&amp;[8302|00014395]"/>
            <x15:cachedUniqueName index="6289" name="[FactPayment].[CaseKey].&amp;[8302|00014402]"/>
            <x15:cachedUniqueName index="6290" name="[FactPayment].[CaseKey].&amp;[8302|00014411]"/>
            <x15:cachedUniqueName index="6291" name="[FactPayment].[CaseKey].&amp;[8302|00014428]"/>
            <x15:cachedUniqueName index="6292" name="[FactPayment].[CaseKey].&amp;[8302|00014430]"/>
            <x15:cachedUniqueName index="6293" name="[FactPayment].[CaseKey].&amp;[8302|00014445]"/>
            <x15:cachedUniqueName index="6294" name="[FactPayment].[CaseKey].&amp;[8302|00014454]"/>
            <x15:cachedUniqueName index="6295" name="[FactPayment].[CaseKey].&amp;[8302|00014465]"/>
            <x15:cachedUniqueName index="6296" name="[FactPayment].[CaseKey].&amp;[8302|00014472]"/>
            <x15:cachedUniqueName index="6297" name="[FactPayment].[CaseKey].&amp;[8302|00014486]"/>
            <x15:cachedUniqueName index="6298" name="[FactPayment].[CaseKey].&amp;[8302|00014492]"/>
            <x15:cachedUniqueName index="6299" name="[FactPayment].[CaseKey].&amp;[8302|00014506]"/>
            <x15:cachedUniqueName index="6300" name="[FactPayment].[CaseKey].&amp;[8302|00014517]"/>
            <x15:cachedUniqueName index="6301" name="[FactPayment].[CaseKey].&amp;[8302|00014534]"/>
            <x15:cachedUniqueName index="6302" name="[FactPayment].[CaseKey].&amp;[8302|00014541]"/>
            <x15:cachedUniqueName index="6303" name="[FactPayment].[CaseKey].&amp;[8302|00014556]"/>
            <x15:cachedUniqueName index="6304" name="[FactPayment].[CaseKey].&amp;[8302|00014574]"/>
            <x15:cachedUniqueName index="6305" name="[FactPayment].[CaseKey].&amp;[8302|00014594]"/>
            <x15:cachedUniqueName index="6306" name="[FactPayment].[CaseKey].&amp;[8302|00014607]"/>
            <x15:cachedUniqueName index="6307" name="[FactPayment].[CaseKey].&amp;[8302|00014615]"/>
            <x15:cachedUniqueName index="6308" name="[FactPayment].[CaseKey].&amp;[8302|00014628]"/>
            <x15:cachedUniqueName index="6309" name="[FactPayment].[CaseKey].&amp;[8302|00014631]"/>
            <x15:cachedUniqueName index="6310" name="[FactPayment].[CaseKey].&amp;[8302|00014642]"/>
            <x15:cachedUniqueName index="6311" name="[FactPayment].[CaseKey].&amp;[8302|00014655]"/>
            <x15:cachedUniqueName index="6312" name="[FactPayment].[CaseKey].&amp;[8302|00014662]"/>
            <x15:cachedUniqueName index="6313" name="[FactPayment].[CaseKey].&amp;[8302|00014674]"/>
            <x15:cachedUniqueName index="6314" name="[FactPayment].[CaseKey].&amp;[8302|00014686]"/>
            <x15:cachedUniqueName index="6315" name="[FactPayment].[CaseKey].&amp;[8302|00014695]"/>
            <x15:cachedUniqueName index="6316" name="[FactPayment].[CaseKey].&amp;[8302|00014701]"/>
            <x15:cachedUniqueName index="6317" name="[FactPayment].[CaseKey].&amp;[8302|00014716]"/>
            <x15:cachedUniqueName index="6318" name="[FactPayment].[CaseKey].&amp;[8302|00014724]"/>
            <x15:cachedUniqueName index="6319" name="[FactPayment].[CaseKey].&amp;[8302|00014733]"/>
            <x15:cachedUniqueName index="6320" name="[FactPayment].[CaseKey].&amp;[8302|00014742]"/>
            <x15:cachedUniqueName index="6321" name="[FactPayment].[CaseKey].&amp;[8302|00014752]"/>
            <x15:cachedUniqueName index="6322" name="[FactPayment].[CaseKey].&amp;[8302|00014763]"/>
            <x15:cachedUniqueName index="6323" name="[FactPayment].[CaseKey].&amp;[8302|00014780]"/>
            <x15:cachedUniqueName index="6324" name="[FactPayment].[CaseKey].&amp;[8302|00014808]"/>
            <x15:cachedUniqueName index="6325" name="[FactPayment].[CaseKey].&amp;[8302|00014814]"/>
            <x15:cachedUniqueName index="6326" name="[FactPayment].[CaseKey].&amp;[8302|00014826]"/>
            <x15:cachedUniqueName index="6327" name="[FactPayment].[CaseKey].&amp;[8302|00014837]"/>
            <x15:cachedUniqueName index="6328" name="[FactPayment].[CaseKey].&amp;[8302|00014842]"/>
            <x15:cachedUniqueName index="6329" name="[FactPayment].[CaseKey].&amp;[8302|00014856]"/>
            <x15:cachedUniqueName index="6330" name="[FactPayment].[CaseKey].&amp;[8302|00014861]"/>
            <x15:cachedUniqueName index="6331" name="[FactPayment].[CaseKey].&amp;[8302|00014876]"/>
            <x15:cachedUniqueName index="6332" name="[FactPayment].[CaseKey].&amp;[8302|00014880]"/>
            <x15:cachedUniqueName index="6333" name="[FactPayment].[CaseKey].&amp;[8302|00014897]"/>
            <x15:cachedUniqueName index="6334" name="[FactPayment].[CaseKey].&amp;[8302|00014908]"/>
            <x15:cachedUniqueName index="6335" name="[FactPayment].[CaseKey].&amp;[8302|00014910]"/>
            <x15:cachedUniqueName index="6336" name="[FactPayment].[CaseKey].&amp;[8302|00014920]"/>
            <x15:cachedUniqueName index="6337" name="[FactPayment].[CaseKey].&amp;[8302|00014931]"/>
            <x15:cachedUniqueName index="6338" name="[FactPayment].[CaseKey].&amp;[8302|00014940]"/>
            <x15:cachedUniqueName index="6339" name="[FactPayment].[CaseKey].&amp;[8302|00014953]"/>
            <x15:cachedUniqueName index="6340" name="[FactPayment].[CaseKey].&amp;[8302|00014964]"/>
            <x15:cachedUniqueName index="6341" name="[FactPayment].[CaseKey].&amp;[8302|00014974]"/>
            <x15:cachedUniqueName index="6342" name="[FactPayment].[CaseKey].&amp;[8302|00014984]"/>
            <x15:cachedUniqueName index="6343" name="[FactPayment].[CaseKey].&amp;[8302|00014990]"/>
            <x15:cachedUniqueName index="6344" name="[FactPayment].[CaseKey].&amp;[8302|00015002]"/>
            <x15:cachedUniqueName index="6345" name="[FactPayment].[CaseKey].&amp;[8302|00015014]"/>
            <x15:cachedUniqueName index="6346" name="[FactPayment].[CaseKey].&amp;[8302|00015022]"/>
            <x15:cachedUniqueName index="6347" name="[FactPayment].[CaseKey].&amp;[8302|00015034]"/>
            <x15:cachedUniqueName index="6348" name="[FactPayment].[CaseKey].&amp;[8302|00015043]"/>
            <x15:cachedUniqueName index="6349" name="[FactPayment].[CaseKey].&amp;[8302|00015053]"/>
            <x15:cachedUniqueName index="6350" name="[FactPayment].[CaseKey].&amp;[8302|00015061]"/>
            <x15:cachedUniqueName index="6351" name="[FactPayment].[CaseKey].&amp;[8302|00015073]"/>
            <x15:cachedUniqueName index="6352" name="[FactPayment].[CaseKey].&amp;[8302|00015095]"/>
            <x15:cachedUniqueName index="6353" name="[FactPayment].[CaseKey].&amp;[8302|00015101]"/>
            <x15:cachedUniqueName index="6354" name="[FactPayment].[CaseKey].&amp;[8302|00015115]"/>
            <x15:cachedUniqueName index="6355" name="[FactPayment].[CaseKey].&amp;[8302|00015120]"/>
            <x15:cachedUniqueName index="6356" name="[FactPayment].[CaseKey].&amp;[8302|00015134]"/>
            <x15:cachedUniqueName index="6357" name="[FactPayment].[CaseKey].&amp;[8302|00015140]"/>
            <x15:cachedUniqueName index="6358" name="[FactPayment].[CaseKey].&amp;[8302|00015157]"/>
            <x15:cachedUniqueName index="6359" name="[FactPayment].[CaseKey].&amp;[8302|00015175]"/>
            <x15:cachedUniqueName index="6360" name="[FactPayment].[CaseKey].&amp;[8302|00015186]"/>
            <x15:cachedUniqueName index="6361" name="[FactPayment].[CaseKey].&amp;[8302|00015195]"/>
            <x15:cachedUniqueName index="6362" name="[FactPayment].[CaseKey].&amp;[8302|00015206]"/>
            <x15:cachedUniqueName index="6363" name="[FactPayment].[CaseKey].&amp;[8302|00015214]"/>
            <x15:cachedUniqueName index="6364" name="[FactPayment].[CaseKey].&amp;[8302|00015223]"/>
            <x15:cachedUniqueName index="6365" name="[FactPayment].[CaseKey].&amp;[8302|00015236]"/>
            <x15:cachedUniqueName index="6366" name="[FactPayment].[CaseKey].&amp;[8302|00015240]"/>
            <x15:cachedUniqueName index="6367" name="[FactPayment].[CaseKey].&amp;[8302|00015260]"/>
            <x15:cachedUniqueName index="6368" name="[FactPayment].[CaseKey].&amp;[8302|00015272]"/>
            <x15:cachedUniqueName index="6369" name="[FactPayment].[CaseKey].&amp;[8302|00015286]"/>
            <x15:cachedUniqueName index="6370" name="[FactPayment].[CaseKey].&amp;[8302|00015295]"/>
            <x15:cachedUniqueName index="6371" name="[FactPayment].[CaseKey].&amp;[8302|00015307]"/>
            <x15:cachedUniqueName index="6372" name="[FactPayment].[CaseKey].&amp;[8302|00015311]"/>
            <x15:cachedUniqueName index="6373" name="[FactPayment].[CaseKey].&amp;[8302|00015322]"/>
            <x15:cachedUniqueName index="6374" name="[FactPayment].[CaseKey].&amp;[8302|00015331]"/>
            <x15:cachedUniqueName index="6375" name="[FactPayment].[CaseKey].&amp;[8302|00015345]"/>
            <x15:cachedUniqueName index="6376" name="[FactPayment].[CaseKey].&amp;[8302|00015352]"/>
            <x15:cachedUniqueName index="6377" name="[FactPayment].[CaseKey].&amp;[8302|00015366]"/>
            <x15:cachedUniqueName index="6378" name="[FactPayment].[CaseKey].&amp;[8302|00015378]"/>
            <x15:cachedUniqueName index="6379" name="[FactPayment].[CaseKey].&amp;[8302|00015382]"/>
            <x15:cachedUniqueName index="6380" name="[FactPayment].[CaseKey].&amp;[8302|00015394]"/>
            <x15:cachedUniqueName index="6381" name="[FactPayment].[CaseKey].&amp;[8302|00015405]"/>
            <x15:cachedUniqueName index="6382" name="[FactPayment].[CaseKey].&amp;[8302|00015416]"/>
            <x15:cachedUniqueName index="6383" name="[FactPayment].[CaseKey].&amp;[8302|00015423]"/>
            <x15:cachedUniqueName index="6384" name="[FactPayment].[CaseKey].&amp;[8302|00015433]"/>
            <x15:cachedUniqueName index="6385" name="[FactPayment].[CaseKey].&amp;[8302|00015442]"/>
            <x15:cachedUniqueName index="6386" name="[FactPayment].[CaseKey].&amp;[8302|00015456]"/>
            <x15:cachedUniqueName index="6387" name="[FactPayment].[CaseKey].&amp;[8302|00015460]"/>
            <x15:cachedUniqueName index="6388" name="[FactPayment].[CaseKey].&amp;[8302|00015472]"/>
            <x15:cachedUniqueName index="6389" name="[FactPayment].[CaseKey].&amp;[8302|00015482]"/>
            <x15:cachedUniqueName index="6390" name="[FactPayment].[CaseKey].&amp;[8302|00015495]"/>
            <x15:cachedUniqueName index="6391" name="[FactPayment].[CaseKey].&amp;[8302|00015504]"/>
            <x15:cachedUniqueName index="6392" name="[FactPayment].[CaseKey].&amp;[8302|00015517]"/>
            <x15:cachedUniqueName index="6393" name="[FactPayment].[CaseKey].&amp;[8302|00015528]"/>
            <x15:cachedUniqueName index="6394" name="[FactPayment].[CaseKey].&amp;[8302|00015532]"/>
            <x15:cachedUniqueName index="6395" name="[FactPayment].[CaseKey].&amp;[8302|00015546]"/>
            <x15:cachedUniqueName index="6396" name="[FactPayment].[CaseKey].&amp;[8302|00015552]"/>
            <x15:cachedUniqueName index="6397" name="[FactPayment].[CaseKey].&amp;[8302|00015567]"/>
            <x15:cachedUniqueName index="6398" name="[FactPayment].[CaseKey].&amp;[8302|00015574]"/>
            <x15:cachedUniqueName index="6399" name="[FactPayment].[CaseKey].&amp;[8302|00015588]"/>
            <x15:cachedUniqueName index="6400" name="[FactPayment].[CaseKey].&amp;[8302|00015592]"/>
            <x15:cachedUniqueName index="6401" name="[FactPayment].[CaseKey].&amp;[8302|00015606]"/>
            <x15:cachedUniqueName index="6402" name="[FactPayment].[CaseKey].&amp;[8302|00015610]"/>
            <x15:cachedUniqueName index="6403" name="[FactPayment].[CaseKey].&amp;[8302|00015621]"/>
            <x15:cachedUniqueName index="6404" name="[FactPayment].[CaseKey].&amp;[8302|00015631]"/>
            <x15:cachedUniqueName index="6405" name="[FactPayment].[CaseKey].&amp;[8302|00015641]"/>
            <x15:cachedUniqueName index="6406" name="[FactPayment].[CaseKey].&amp;[8302|00015656]"/>
            <x15:cachedUniqueName index="6407" name="[FactPayment].[CaseKey].&amp;[8302|00015664]"/>
            <x15:cachedUniqueName index="6408" name="[FactPayment].[CaseKey].&amp;[8302|00015674]"/>
            <x15:cachedUniqueName index="6409" name="[FactPayment].[CaseKey].&amp;[8302|00015681]"/>
            <x15:cachedUniqueName index="6410" name="[FactPayment].[CaseKey].&amp;[8302|00015691]"/>
            <x15:cachedUniqueName index="6411" name="[FactPayment].[CaseKey].&amp;[8302|00015705]"/>
            <x15:cachedUniqueName index="6412" name="[FactPayment].[CaseKey].&amp;[8302|00015710]"/>
            <x15:cachedUniqueName index="6413" name="[FactPayment].[CaseKey].&amp;[8302|00015726]"/>
            <x15:cachedUniqueName index="6414" name="[FactPayment].[CaseKey].&amp;[8302|00015734]"/>
            <x15:cachedUniqueName index="6415" name="[FactPayment].[CaseKey].&amp;[8302|00015754]"/>
            <x15:cachedUniqueName index="6416" name="[FactPayment].[CaseKey].&amp;[8302|00015768]"/>
            <x15:cachedUniqueName index="6417" name="[FactPayment].[CaseKey].&amp;[8302|00015771]"/>
            <x15:cachedUniqueName index="6418" name="[FactPayment].[CaseKey].&amp;[8302|00015784]"/>
            <x15:cachedUniqueName index="6419" name="[FactPayment].[CaseKey].&amp;[8302|00015798]"/>
            <x15:cachedUniqueName index="6420" name="[FactPayment].[CaseKey].&amp;[8302|00015803]"/>
            <x15:cachedUniqueName index="6421" name="[FactPayment].[CaseKey].&amp;[8302|00015810]"/>
            <x15:cachedUniqueName index="6422" name="[FactPayment].[CaseKey].&amp;[8302|00015824]"/>
            <x15:cachedUniqueName index="6423" name="[FactPayment].[CaseKey].&amp;[8302|00015834]"/>
            <x15:cachedUniqueName index="6424" name="[FactPayment].[CaseKey].&amp;[8302|00015840]"/>
            <x15:cachedUniqueName index="6425" name="[FactPayment].[CaseKey].&amp;[8302|00015856]"/>
            <x15:cachedUniqueName index="6426" name="[FactPayment].[CaseKey].&amp;[8302|00015865]"/>
            <x15:cachedUniqueName index="6427" name="[FactPayment].[CaseKey].&amp;[8302|00015871]"/>
            <x15:cachedUniqueName index="6428" name="[FactPayment].[CaseKey].&amp;[8302|00015883]"/>
            <x15:cachedUniqueName index="6429" name="[FactPayment].[CaseKey].&amp;[8302|00015891]"/>
            <x15:cachedUniqueName index="6430" name="[FactPayment].[CaseKey].&amp;[8302|00015917]"/>
            <x15:cachedUniqueName index="6431" name="[FactPayment].[CaseKey].&amp;[8302|00015922]"/>
            <x15:cachedUniqueName index="6432" name="[FactPayment].[CaseKey].&amp;[8302|00015932]"/>
            <x15:cachedUniqueName index="6433" name="[FactPayment].[CaseKey].&amp;[8302|00015940]"/>
            <x15:cachedUniqueName index="6434" name="[FactPayment].[CaseKey].&amp;[8302|00015953]"/>
            <x15:cachedUniqueName index="6435" name="[FactPayment].[CaseKey].&amp;[8302|00015978]"/>
            <x15:cachedUniqueName index="6436" name="[FactPayment].[CaseKey].&amp;[8302|00015984]"/>
            <x15:cachedUniqueName index="6437" name="[FactPayment].[CaseKey].&amp;[8302|00015990]"/>
            <x15:cachedUniqueName index="6438" name="[FactPayment].[CaseKey].&amp;[8302|00016003]"/>
            <x15:cachedUniqueName index="6439" name="[FactPayment].[CaseKey].&amp;[8302|00016015]"/>
            <x15:cachedUniqueName index="6440" name="[FactPayment].[CaseKey].&amp;[8302|00016026]"/>
            <x15:cachedUniqueName index="6441" name="[FactPayment].[CaseKey].&amp;[8302|00016038]"/>
            <x15:cachedUniqueName index="6442" name="[FactPayment].[CaseKey].&amp;[8302|00016044]"/>
            <x15:cachedUniqueName index="6443" name="[FactPayment].[CaseKey].&amp;[8302|00016052]"/>
            <x15:cachedUniqueName index="6444" name="[FactPayment].[CaseKey].&amp;[8302|00016064]"/>
            <x15:cachedUniqueName index="6445" name="[FactPayment].[CaseKey].&amp;[8302|00016074]"/>
            <x15:cachedUniqueName index="6446" name="[FactPayment].[CaseKey].&amp;[8302|00016084]"/>
            <x15:cachedUniqueName index="6447" name="[FactPayment].[CaseKey].&amp;[8302|00016098]"/>
            <x15:cachedUniqueName index="6448" name="[FactPayment].[CaseKey].&amp;[8302|00016105]"/>
            <x15:cachedUniqueName index="6449" name="[FactPayment].[CaseKey].&amp;[8302|00016117]"/>
            <x15:cachedUniqueName index="6450" name="[FactPayment].[CaseKey].&amp;[8302|00016124]"/>
            <x15:cachedUniqueName index="6451" name="[FactPayment].[CaseKey].&amp;[8302|00016130]"/>
            <x15:cachedUniqueName index="6452" name="[FactPayment].[CaseKey].&amp;[8302|00016141]"/>
            <x15:cachedUniqueName index="6453" name="[FactPayment].[CaseKey].&amp;[8302|00016177]"/>
            <x15:cachedUniqueName index="6454" name="[FactPayment].[CaseKey].&amp;[8302|00016182]"/>
            <x15:cachedUniqueName index="6455" name="[FactPayment].[CaseKey].&amp;[8302|00016194]"/>
            <x15:cachedUniqueName index="6456" name="[FactPayment].[CaseKey].&amp;[8302|00016204]"/>
            <x15:cachedUniqueName index="6457" name="[FactPayment].[CaseKey].&amp;[8302|00016211]"/>
            <x15:cachedUniqueName index="6458" name="[FactPayment].[CaseKey].&amp;[8302|00016222]"/>
            <x15:cachedUniqueName index="6459" name="[FactPayment].[CaseKey].&amp;[8302|00016235]"/>
            <x15:cachedUniqueName index="6460" name="[FactPayment].[CaseKey].&amp;[8302|00016242]"/>
            <x15:cachedUniqueName index="6461" name="[FactPayment].[CaseKey].&amp;[8302|00016258]"/>
            <x15:cachedUniqueName index="6462" name="[FactPayment].[CaseKey].&amp;[8302|00016266]"/>
            <x15:cachedUniqueName index="6463" name="[FactPayment].[CaseKey].&amp;[8302|00016276]"/>
            <x15:cachedUniqueName index="6464" name="[FactPayment].[CaseKey].&amp;[8302|00016281]"/>
            <x15:cachedUniqueName index="6465" name="[FactPayment].[CaseKey].&amp;[8302|00016291]"/>
            <x15:cachedUniqueName index="6466" name="[FactPayment].[CaseKey].&amp;[8302|00016302]"/>
            <x15:cachedUniqueName index="6467" name="[FactPayment].[CaseKey].&amp;[8302|00016315]"/>
            <x15:cachedUniqueName index="6468" name="[FactPayment].[CaseKey].&amp;[8302|00016327]"/>
            <x15:cachedUniqueName index="6469" name="[FactPayment].[CaseKey].&amp;[8302|00016333]"/>
            <x15:cachedUniqueName index="6470" name="[FactPayment].[CaseKey].&amp;[8302|00016341]"/>
            <x15:cachedUniqueName index="6471" name="[FactPayment].[CaseKey].&amp;[8302|00016356]"/>
            <x15:cachedUniqueName index="6472" name="[FactPayment].[CaseKey].&amp;[8302|00016367]"/>
            <x15:cachedUniqueName index="6473" name="[FactPayment].[CaseKey].&amp;[8302|00016377]"/>
            <x15:cachedUniqueName index="6474" name="[FactPayment].[CaseKey].&amp;[8302|00016388]"/>
            <x15:cachedUniqueName index="6475" name="[FactPayment].[CaseKey].&amp;[8302|00016394]"/>
            <x15:cachedUniqueName index="6476" name="[FactPayment].[CaseKey].&amp;[8302|00016401]"/>
            <x15:cachedUniqueName index="6477" name="[FactPayment].[CaseKey].&amp;[8302|00016411]"/>
            <x15:cachedUniqueName index="6478" name="[FactPayment].[CaseKey].&amp;[8302|00016422]"/>
            <x15:cachedUniqueName index="6479" name="[FactPayment].[CaseKey].&amp;[8302|00016435]"/>
            <x15:cachedUniqueName index="6480" name="[FactPayment].[CaseKey].&amp;[8302|00016445]"/>
            <x15:cachedUniqueName index="6481" name="[FactPayment].[CaseKey].&amp;[8302|00016450]"/>
            <x15:cachedUniqueName index="6482" name="[FactPayment].[CaseKey].&amp;[8302|00016462]"/>
            <x15:cachedUniqueName index="6483" name="[FactPayment].[CaseKey].&amp;[8302|00016474]"/>
            <x15:cachedUniqueName index="6484" name="[FactPayment].[CaseKey].&amp;[8302|00016488]"/>
            <x15:cachedUniqueName index="6485" name="[FactPayment].[CaseKey].&amp;[8302|00016492]"/>
            <x15:cachedUniqueName index="6486" name="[FactPayment].[CaseKey].&amp;[8302|00016528]"/>
            <x15:cachedUniqueName index="6487" name="[FactPayment].[CaseKey].&amp;[8302|00016530]"/>
            <x15:cachedUniqueName index="6488" name="[FactPayment].[CaseKey].&amp;[8302|00016541]"/>
            <x15:cachedUniqueName index="6489" name="[FactPayment].[CaseKey].&amp;[8302|00016552]"/>
            <x15:cachedUniqueName index="6490" name="[FactPayment].[CaseKey].&amp;[8302|00016563]"/>
            <x15:cachedUniqueName index="6491" name="[FactPayment].[CaseKey].&amp;[8302|00016572]"/>
            <x15:cachedUniqueName index="6492" name="[FactPayment].[CaseKey].&amp;[8302|00016588]"/>
            <x15:cachedUniqueName index="6493" name="[FactPayment].[CaseKey].&amp;[8302|00016598]"/>
            <x15:cachedUniqueName index="6494" name="[FactPayment].[CaseKey].&amp;[8302|00016606]"/>
            <x15:cachedUniqueName index="6495" name="[FactPayment].[CaseKey].&amp;[8302|00016618]"/>
            <x15:cachedUniqueName index="6496" name="[FactPayment].[CaseKey].&amp;[8302|00016622]"/>
            <x15:cachedUniqueName index="6497" name="[FactPayment].[CaseKey].&amp;[8302|00016638]"/>
            <x15:cachedUniqueName index="6498" name="[FactPayment].[CaseKey].&amp;[8302|00016646]"/>
            <x15:cachedUniqueName index="6499" name="[FactPayment].[CaseKey].&amp;[8302|00016656]"/>
            <x15:cachedUniqueName index="6500" name="[FactPayment].[CaseKey].&amp;[8302|00016660]"/>
            <x15:cachedUniqueName index="6501" name="[FactPayment].[CaseKey].&amp;[8302|00016674]"/>
            <x15:cachedUniqueName index="6502" name="[FactPayment].[CaseKey].&amp;[8302|00016680]"/>
            <x15:cachedUniqueName index="6503" name="[FactPayment].[CaseKey].&amp;[8302|00016696]"/>
            <x15:cachedUniqueName index="6504" name="[FactPayment].[CaseKey].&amp;[8302|00016703]"/>
            <x15:cachedUniqueName index="6505" name="[FactPayment].[CaseKey].&amp;[8302|00016716]"/>
            <x15:cachedUniqueName index="6506" name="[FactPayment].[CaseKey].&amp;[8302|00016722]"/>
            <x15:cachedUniqueName index="6507" name="[FactPayment].[CaseKey].&amp;[8302|00016738]"/>
            <x15:cachedUniqueName index="6508" name="[FactPayment].[CaseKey].&amp;[8302|00016741]"/>
            <x15:cachedUniqueName index="6509" name="[FactPayment].[CaseKey].&amp;[8302|00016755]"/>
            <x15:cachedUniqueName index="6510" name="[FactPayment].[CaseKey].&amp;[8302|00016773]"/>
            <x15:cachedUniqueName index="6511" name="[FactPayment].[CaseKey].&amp;[8302|00016787]"/>
            <x15:cachedUniqueName index="6512" name="[FactPayment].[CaseKey].&amp;[8302|00016798]"/>
            <x15:cachedUniqueName index="6513" name="[FactPayment].[CaseKey].&amp;[8302|00016802]"/>
            <x15:cachedUniqueName index="6514" name="[FactPayment].[CaseKey].&amp;[8302|00016814]"/>
            <x15:cachedUniqueName index="6515" name="[FactPayment].[CaseKey].&amp;[8302|00016823]"/>
            <x15:cachedUniqueName index="6516" name="[FactPayment].[CaseKey].&amp;[8302|00016836]"/>
            <x15:cachedUniqueName index="6517" name="[FactPayment].[CaseKey].&amp;[8302|00016842]"/>
            <x15:cachedUniqueName index="6518" name="[FactPayment].[CaseKey].&amp;[8302|00016856]"/>
            <x15:cachedUniqueName index="6519" name="[FactPayment].[CaseKey].&amp;[8302|00016871]"/>
            <x15:cachedUniqueName index="6520" name="[FactPayment].[CaseKey].&amp;[8302|00016881]"/>
            <x15:cachedUniqueName index="6521" name="[FactPayment].[CaseKey].&amp;[8302|00016904]"/>
            <x15:cachedUniqueName index="6522" name="[FactPayment].[CaseKey].&amp;[8302|00016913]"/>
            <x15:cachedUniqueName index="6523" name="[FactPayment].[CaseKey].&amp;[8302|00016921]"/>
            <x15:cachedUniqueName index="6524" name="[FactPayment].[CaseKey].&amp;[8302|00016932]"/>
            <x15:cachedUniqueName index="6525" name="[FactPayment].[CaseKey].&amp;[8302|00016942]"/>
            <x15:cachedUniqueName index="6526" name="[FactPayment].[CaseKey].&amp;[8302|00016956]"/>
            <x15:cachedUniqueName index="6527" name="[FactPayment].[CaseKey].&amp;[8302|00016967]"/>
            <x15:cachedUniqueName index="6528" name="[FactPayment].[CaseKey].&amp;[8302|00016974]"/>
            <x15:cachedUniqueName index="6529" name="[FactPayment].[CaseKey].&amp;[8302|00016981]"/>
            <x15:cachedUniqueName index="6530" name="[FactPayment].[CaseKey].&amp;[8302|00017005]"/>
            <x15:cachedUniqueName index="6531" name="[FactPayment].[CaseKey].&amp;[8302|00017010]"/>
            <x15:cachedUniqueName index="6532" name="[FactPayment].[CaseKey].&amp;[8302|00017022]"/>
            <x15:cachedUniqueName index="6533" name="[FactPayment].[CaseKey].&amp;[8302|00017038]"/>
            <x15:cachedUniqueName index="6534" name="[FactPayment].[CaseKey].&amp;[8302|00017044]"/>
            <x15:cachedUniqueName index="6535" name="[FactPayment].[CaseKey].&amp;[8302|00017053]"/>
            <x15:cachedUniqueName index="6536" name="[FactPayment].[CaseKey].&amp;[8302|00017063]"/>
            <x15:cachedUniqueName index="6537" name="[FactPayment].[CaseKey].&amp;[8302|00017078]"/>
            <x15:cachedUniqueName index="6538" name="[FactPayment].[CaseKey].&amp;[8302|00017087]"/>
            <x15:cachedUniqueName index="6539" name="[FactPayment].[CaseKey].&amp;[8302|00017096]"/>
            <x15:cachedUniqueName index="6540" name="[FactPayment].[CaseKey].&amp;[8302|00017108]"/>
            <x15:cachedUniqueName index="6541" name="[FactPayment].[CaseKey].&amp;[8302|00017117]"/>
            <x15:cachedUniqueName index="6542" name="[FactPayment].[CaseKey].&amp;[8302|00017126]"/>
            <x15:cachedUniqueName index="6543" name="[FactPayment].[CaseKey].&amp;[8302|00017141]"/>
            <x15:cachedUniqueName index="6544" name="[FactPayment].[CaseKey].&amp;[8302|00017151]"/>
            <x15:cachedUniqueName index="6545" name="[FactPayment].[CaseKey].&amp;[8302|00017168]"/>
            <x15:cachedUniqueName index="6546" name="[FactPayment].[CaseKey].&amp;[8302|00017173]"/>
            <x15:cachedUniqueName index="6547" name="[FactPayment].[CaseKey].&amp;[8302|00017180]"/>
            <x15:cachedUniqueName index="6548" name="[FactPayment].[CaseKey].&amp;[8302|00017198]"/>
            <x15:cachedUniqueName index="6549" name="[FactPayment].[CaseKey].&amp;[8302|00017205]"/>
            <x15:cachedUniqueName index="6550" name="[FactPayment].[CaseKey].&amp;[8302|00017221]"/>
            <x15:cachedUniqueName index="6551" name="[FactPayment].[CaseKey].&amp;[8302|00017234]"/>
            <x15:cachedUniqueName index="6552" name="[FactPayment].[CaseKey].&amp;[8302|00017248]"/>
            <x15:cachedUniqueName index="6553" name="[FactPayment].[CaseKey].&amp;[8302|00017257]"/>
            <x15:cachedUniqueName index="6554" name="[FactPayment].[CaseKey].&amp;[8302|00017265]"/>
            <x15:cachedUniqueName index="6555" name="[FactPayment].[CaseKey].&amp;[8302|00017284]"/>
            <x15:cachedUniqueName index="6556" name="[FactPayment].[CaseKey].&amp;[8302|00017292]"/>
            <x15:cachedUniqueName index="6557" name="[FactPayment].[CaseKey].&amp;[8302|00017300]"/>
            <x15:cachedUniqueName index="6558" name="[FactPayment].[CaseKey].&amp;[8302|00017316]"/>
            <x15:cachedUniqueName index="6559" name="[FactPayment].[CaseKey].&amp;[8302|00017322]"/>
            <x15:cachedUniqueName index="6560" name="[FactPayment].[CaseKey].&amp;[8302|00017335]"/>
            <x15:cachedUniqueName index="6561" name="[FactPayment].[CaseKey].&amp;[8302|00017346]"/>
            <x15:cachedUniqueName index="6562" name="[FactPayment].[CaseKey].&amp;[8302|00017354]"/>
            <x15:cachedUniqueName index="6563" name="[FactPayment].[CaseKey].&amp;[8302|00017367]"/>
            <x15:cachedUniqueName index="6564" name="[FactPayment].[CaseKey].&amp;[8302|00017374]"/>
            <x15:cachedUniqueName index="6565" name="[FactPayment].[CaseKey].&amp;[8302|00017384]"/>
            <x15:cachedUniqueName index="6566" name="[FactPayment].[CaseKey].&amp;[8302|00017391]"/>
            <x15:cachedUniqueName index="6567" name="[FactPayment].[CaseKey].&amp;[8302|00017400]"/>
            <x15:cachedUniqueName index="6568" name="[FactPayment].[CaseKey].&amp;[8302|00017410]"/>
            <x15:cachedUniqueName index="6569" name="[FactPayment].[CaseKey].&amp;[8302|00017421]"/>
            <x15:cachedUniqueName index="6570" name="[FactPayment].[CaseKey].&amp;[8302|00017432]"/>
            <x15:cachedUniqueName index="6571" name="[FactPayment].[CaseKey].&amp;[8302|00017441]"/>
            <x15:cachedUniqueName index="6572" name="[FactPayment].[CaseKey].&amp;[8302|00017454]"/>
            <x15:cachedUniqueName index="6573" name="[FactPayment].[CaseKey].&amp;[8302|00017463]"/>
            <x15:cachedUniqueName index="6574" name="[FactPayment].[CaseKey].&amp;[8302|00017472]"/>
            <x15:cachedUniqueName index="6575" name="[FactPayment].[CaseKey].&amp;[8302|00017488]"/>
            <x15:cachedUniqueName index="6576" name="[FactPayment].[CaseKey].&amp;[8302|00017496]"/>
            <x15:cachedUniqueName index="6577" name="[FactPayment].[CaseKey].&amp;[8302|00017516]"/>
            <x15:cachedUniqueName index="6578" name="[FactPayment].[CaseKey].&amp;[8302|00017528]"/>
            <x15:cachedUniqueName index="6579" name="[FactPayment].[CaseKey].&amp;[8302|00017533]"/>
            <x15:cachedUniqueName index="6580" name="[FactPayment].[CaseKey].&amp;[8302|00017543]"/>
            <x15:cachedUniqueName index="6581" name="[FactPayment].[CaseKey].&amp;[8302|00017551]"/>
            <x15:cachedUniqueName index="6582" name="[FactPayment].[CaseKey].&amp;[8302|00017562]"/>
            <x15:cachedUniqueName index="6583" name="[FactPayment].[CaseKey].&amp;[8302|00017575]"/>
            <x15:cachedUniqueName index="6584" name="[FactPayment].[CaseKey].&amp;[8302|00017584]"/>
            <x15:cachedUniqueName index="6585" name="[FactPayment].[CaseKey].&amp;[8302|00017595]"/>
            <x15:cachedUniqueName index="6586" name="[FactPayment].[CaseKey].&amp;[8302|00017607]"/>
            <x15:cachedUniqueName index="6587" name="[FactPayment].[CaseKey].&amp;[8302|00017612]"/>
            <x15:cachedUniqueName index="6588" name="[FactPayment].[CaseKey].&amp;[8302|00017624]"/>
            <x15:cachedUniqueName index="6589" name="[FactPayment].[CaseKey].&amp;[8302|00017638]"/>
            <x15:cachedUniqueName index="6590" name="[FactPayment].[CaseKey].&amp;[8302|00017641]"/>
            <x15:cachedUniqueName index="6591" name="[FactPayment].[CaseKey].&amp;[8302|00017654]"/>
            <x15:cachedUniqueName index="6592" name="[FactPayment].[CaseKey].&amp;[8302|00017662]"/>
            <x15:cachedUniqueName index="6593" name="[FactPayment].[CaseKey].&amp;[8302|00017673]"/>
            <x15:cachedUniqueName index="6594" name="[FactPayment].[CaseKey].&amp;[8302|00017685]"/>
            <x15:cachedUniqueName index="6595" name="[FactPayment].[CaseKey].&amp;[8302|00017692]"/>
            <x15:cachedUniqueName index="6596" name="[FactPayment].[CaseKey].&amp;[8302|00017707]"/>
            <x15:cachedUniqueName index="6597" name="[FactPayment].[CaseKey].&amp;[8302|00017718]"/>
            <x15:cachedUniqueName index="6598" name="[FactPayment].[CaseKey].&amp;[8302|00017720]"/>
            <x15:cachedUniqueName index="6599" name="[FactPayment].[CaseKey].&amp;[8302|00017737]"/>
            <x15:cachedUniqueName index="6600" name="[FactPayment].[CaseKey].&amp;[8302|00017740]"/>
            <x15:cachedUniqueName index="6601" name="[FactPayment].[CaseKey].&amp;[8302|00017755]"/>
            <x15:cachedUniqueName index="6602" name="[FactPayment].[CaseKey].&amp;[8302|00017765]"/>
            <x15:cachedUniqueName index="6603" name="[FactPayment].[CaseKey].&amp;[8302|00017773]"/>
            <x15:cachedUniqueName index="6604" name="[FactPayment].[CaseKey].&amp;[8302|00017785]"/>
            <x15:cachedUniqueName index="6605" name="[FactPayment].[CaseKey].&amp;[8302|00017790]"/>
            <x15:cachedUniqueName index="6606" name="[FactPayment].[CaseKey].&amp;[8302|00017802]"/>
            <x15:cachedUniqueName index="6607" name="[FactPayment].[CaseKey].&amp;[8302|00017818]"/>
            <x15:cachedUniqueName index="6608" name="[FactPayment].[CaseKey].&amp;[8302|00017820]"/>
            <x15:cachedUniqueName index="6609" name="[FactPayment].[CaseKey].&amp;[8302|00017833]"/>
            <x15:cachedUniqueName index="6610" name="[FactPayment].[CaseKey].&amp;[8302|00017855]"/>
            <x15:cachedUniqueName index="6611" name="[FactPayment].[CaseKey].&amp;[8302|00017862]"/>
            <x15:cachedUniqueName index="6612" name="[FactPayment].[CaseKey].&amp;[8302|00017872]"/>
            <x15:cachedUniqueName index="6613" name="[FactPayment].[CaseKey].&amp;[8302|00017881]"/>
            <x15:cachedUniqueName index="6614" name="[FactPayment].[CaseKey].&amp;[8302|00017895]"/>
            <x15:cachedUniqueName index="6615" name="[FactPayment].[CaseKey].&amp;[8302|00017908]"/>
            <x15:cachedUniqueName index="6616" name="[FactPayment].[CaseKey].&amp;[8302|00017918]"/>
            <x15:cachedUniqueName index="6617" name="[FactPayment].[CaseKey].&amp;[8302|00017926]"/>
            <x15:cachedUniqueName index="6618" name="[FactPayment].[CaseKey].&amp;[8302|00017930]"/>
            <x15:cachedUniqueName index="6619" name="[FactPayment].[CaseKey].&amp;[8302|00017948]"/>
            <x15:cachedUniqueName index="6620" name="[FactPayment].[CaseKey].&amp;[8302|00017956]"/>
            <x15:cachedUniqueName index="6621" name="[FactPayment].[CaseKey].&amp;[8302|00017960]"/>
            <x15:cachedUniqueName index="6622" name="[FactPayment].[CaseKey].&amp;[8302|00017970]"/>
            <x15:cachedUniqueName index="6623" name="[FactPayment].[CaseKey].&amp;[8302|00017984]"/>
            <x15:cachedUniqueName index="6624" name="[FactPayment].[CaseKey].&amp;[8302|00017997]"/>
            <x15:cachedUniqueName index="6625" name="[FactPayment].[CaseKey].&amp;[8302|00018005]"/>
            <x15:cachedUniqueName index="6626" name="[FactPayment].[CaseKey].&amp;[8302|00018010]"/>
            <x15:cachedUniqueName index="6627" name="[FactPayment].[CaseKey].&amp;[8302|00018027]"/>
            <x15:cachedUniqueName index="6628" name="[FactPayment].[CaseKey].&amp;[8302|00018034]"/>
            <x15:cachedUniqueName index="6629" name="[FactPayment].[CaseKey].&amp;[8302|00018041]"/>
            <x15:cachedUniqueName index="6630" name="[FactPayment].[CaseKey].&amp;[8302|00018058]"/>
            <x15:cachedUniqueName index="6631" name="[FactPayment].[CaseKey].&amp;[8302|00018064]"/>
            <x15:cachedUniqueName index="6632" name="[FactPayment].[CaseKey].&amp;[8302|00018071]"/>
            <x15:cachedUniqueName index="6633" name="[FactPayment].[CaseKey].&amp;[8302|00018082]"/>
            <x15:cachedUniqueName index="6634" name="[FactPayment].[CaseKey].&amp;[8302|00018097]"/>
            <x15:cachedUniqueName index="6635" name="[FactPayment].[CaseKey].&amp;[8302|00018107]"/>
            <x15:cachedUniqueName index="6636" name="[FactPayment].[CaseKey].&amp;[8302|00018135]"/>
            <x15:cachedUniqueName index="6637" name="[FactPayment].[CaseKey].&amp;[8302|00018143]"/>
            <x15:cachedUniqueName index="6638" name="[FactPayment].[CaseKey].&amp;[8302|00018154]"/>
            <x15:cachedUniqueName index="6639" name="[FactPayment].[CaseKey].&amp;[8302|00018166]"/>
            <x15:cachedUniqueName index="6640" name="[FactPayment].[CaseKey].&amp;[8302|00018171]"/>
            <x15:cachedUniqueName index="6641" name="[FactPayment].[CaseKey].&amp;[8302|00018180]"/>
            <x15:cachedUniqueName index="6642" name="[FactPayment].[CaseKey].&amp;[8302|00018196]"/>
            <x15:cachedUniqueName index="6643" name="[FactPayment].[CaseKey].&amp;[8302|00018203]"/>
            <x15:cachedUniqueName index="6644" name="[FactPayment].[CaseKey].&amp;[8302|00018215]"/>
            <x15:cachedUniqueName index="6645" name="[FactPayment].[CaseKey].&amp;[8302|00018220]"/>
            <x15:cachedUniqueName index="6646" name="[FactPayment].[CaseKey].&amp;[8302|00018231]"/>
            <x15:cachedUniqueName index="6647" name="[FactPayment].[CaseKey].&amp;[8302|00018245]"/>
            <x15:cachedUniqueName index="6648" name="[FactPayment].[CaseKey].&amp;[8302|00018253]"/>
            <x15:cachedUniqueName index="6649" name="[FactPayment].[CaseKey].&amp;[8302|00018263]"/>
            <x15:cachedUniqueName index="6650" name="[FactPayment].[CaseKey].&amp;[8302|00018276]"/>
            <x15:cachedUniqueName index="6651" name="[FactPayment].[CaseKey].&amp;[8302|00018288]"/>
            <x15:cachedUniqueName index="6652" name="[FactPayment].[CaseKey].&amp;[8302|00018297]"/>
            <x15:cachedUniqueName index="6653" name="[FactPayment].[CaseKey].&amp;[8302|00018308]"/>
            <x15:cachedUniqueName index="6654" name="[FactPayment].[CaseKey].&amp;[8302|00018310]"/>
            <x15:cachedUniqueName index="6655" name="[FactPayment].[CaseKey].&amp;[8302|00018328]"/>
            <x15:cachedUniqueName index="6656" name="[FactPayment].[CaseKey].&amp;[8302|00018333]"/>
            <x15:cachedUniqueName index="6657" name="[FactPayment].[CaseKey].&amp;[8302|00018344]"/>
            <x15:cachedUniqueName index="6658" name="[FactPayment].[CaseKey].&amp;[8302|00018351]"/>
            <x15:cachedUniqueName index="6659" name="[FactPayment].[CaseKey].&amp;[8302|00018365]"/>
            <x15:cachedUniqueName index="6660" name="[FactPayment].[CaseKey].&amp;[8302|00018373]"/>
            <x15:cachedUniqueName index="6661" name="[FactPayment].[CaseKey].&amp;[8302|00018387]"/>
            <x15:cachedUniqueName index="6662" name="[FactPayment].[CaseKey].&amp;[8302|00018391]"/>
            <x15:cachedUniqueName index="6663" name="[FactPayment].[CaseKey].&amp;[8302|00018407]"/>
            <x15:cachedUniqueName index="6664" name="[FactPayment].[CaseKey].&amp;[8302|00018418]"/>
            <x15:cachedUniqueName index="6665" name="[FactPayment].[CaseKey].&amp;[8302|00018426]"/>
            <x15:cachedUniqueName index="6666" name="[FactPayment].[CaseKey].&amp;[8302|00018433]"/>
            <x15:cachedUniqueName index="6667" name="[FactPayment].[CaseKey].&amp;[8302|00018443]"/>
            <x15:cachedUniqueName index="6668" name="[FactPayment].[CaseKey].&amp;[8302|00018454]"/>
            <x15:cachedUniqueName index="6669" name="[FactPayment].[CaseKey].&amp;[8302|00018465]"/>
            <x15:cachedUniqueName index="6670" name="[FactPayment].[CaseKey].&amp;[8302|00018471]"/>
            <x15:cachedUniqueName index="6671" name="[FactPayment].[CaseKey].&amp;[8302|00018486]"/>
            <x15:cachedUniqueName index="6672" name="[FactPayment].[CaseKey].&amp;[8302|00018494]"/>
            <x15:cachedUniqueName index="6673" name="[FactPayment].[CaseKey].&amp;[8302|00018505]"/>
            <x15:cachedUniqueName index="6674" name="[FactPayment].[CaseKey].&amp;[8302|00018512]"/>
            <x15:cachedUniqueName index="6675" name="[FactPayment].[CaseKey].&amp;[8302|00018528]"/>
            <x15:cachedUniqueName index="6676" name="[FactPayment].[CaseKey].&amp;[8302|00018537]"/>
            <x15:cachedUniqueName index="6677" name="[FactPayment].[CaseKey].&amp;[8302|00018543]"/>
            <x15:cachedUniqueName index="6678" name="[FactPayment].[CaseKey].&amp;[8302|00018551]"/>
            <x15:cachedUniqueName index="6679" name="[FactPayment].[CaseKey].&amp;[8302|00018560]"/>
            <x15:cachedUniqueName index="6680" name="[FactPayment].[CaseKey].&amp;[8302|00018573]"/>
            <x15:cachedUniqueName index="6681" name="[FactPayment].[CaseKey].&amp;[8302|00018587]"/>
            <x15:cachedUniqueName index="6682" name="[FactPayment].[CaseKey].&amp;[8302|00018592]"/>
            <x15:cachedUniqueName index="6683" name="[FactPayment].[CaseKey].&amp;[8302|00018600]"/>
            <x15:cachedUniqueName index="6684" name="[FactPayment].[CaseKey].&amp;[8302|00018614]"/>
            <x15:cachedUniqueName index="6685" name="[FactPayment].[CaseKey].&amp;[8302|00018627]"/>
            <x15:cachedUniqueName index="6686" name="[FactPayment].[CaseKey].&amp;[8302|00018632]"/>
            <x15:cachedUniqueName index="6687" name="[FactPayment].[CaseKey].&amp;[8302|00018641]"/>
            <x15:cachedUniqueName index="6688" name="[FactPayment].[CaseKey].&amp;[8302|00018654]"/>
            <x15:cachedUniqueName index="6689" name="[FactPayment].[CaseKey].&amp;[8302|00018663]"/>
            <x15:cachedUniqueName index="6690" name="[FactPayment].[CaseKey].&amp;[8302|00018677]"/>
            <x15:cachedUniqueName index="6691" name="[FactPayment].[CaseKey].&amp;[8302|00018686]"/>
            <x15:cachedUniqueName index="6692" name="[FactPayment].[CaseKey].&amp;[8302|00018698]"/>
            <x15:cachedUniqueName index="6693" name="[FactPayment].[CaseKey].&amp;[8302|00018706]"/>
            <x15:cachedUniqueName index="6694" name="[FactPayment].[CaseKey].&amp;[8302|00018711]"/>
            <x15:cachedUniqueName index="6695" name="[FactPayment].[CaseKey].&amp;[8302|00018727]"/>
            <x15:cachedUniqueName index="6696" name="[FactPayment].[CaseKey].&amp;[8302|00018733]"/>
            <x15:cachedUniqueName index="6697" name="[FactPayment].[CaseKey].&amp;[8302|00018748]"/>
            <x15:cachedUniqueName index="6698" name="[FactPayment].[CaseKey].&amp;[8302|00018755]"/>
            <x15:cachedUniqueName index="6699" name="[FactPayment].[CaseKey].&amp;[8302|00018767]"/>
            <x15:cachedUniqueName index="6700" name="[FactPayment].[CaseKey].&amp;[8302|00018778]"/>
            <x15:cachedUniqueName index="6701" name="[FactPayment].[CaseKey].&amp;[8302|00018781]"/>
            <x15:cachedUniqueName index="6702" name="[FactPayment].[CaseKey].&amp;[8302|00018790]"/>
            <x15:cachedUniqueName index="6703" name="[FactPayment].[CaseKey].&amp;[8302|00018803]"/>
            <x15:cachedUniqueName index="6704" name="[FactPayment].[CaseKey].&amp;[8302|00018814]"/>
            <x15:cachedUniqueName index="6705" name="[FactPayment].[CaseKey].&amp;[8302|00018825]"/>
            <x15:cachedUniqueName index="6706" name="[FactPayment].[CaseKey].&amp;[8302|00018830]"/>
            <x15:cachedUniqueName index="6707" name="[FactPayment].[CaseKey].&amp;[8302|00018847]"/>
            <x15:cachedUniqueName index="6708" name="[FactPayment].[CaseKey].&amp;[8302|00018853]"/>
            <x15:cachedUniqueName index="6709" name="[FactPayment].[CaseKey].&amp;[8302|00018865]"/>
            <x15:cachedUniqueName index="6710" name="[FactPayment].[CaseKey].&amp;[8302|00018871]"/>
            <x15:cachedUniqueName index="6711" name="[FactPayment].[CaseKey].&amp;[8302|00018888]"/>
            <x15:cachedUniqueName index="6712" name="[FactPayment].[CaseKey].&amp;[8302|00018893]"/>
            <x15:cachedUniqueName index="6713" name="[FactPayment].[CaseKey].&amp;[8302|00018905]"/>
            <x15:cachedUniqueName index="6714" name="[FactPayment].[CaseKey].&amp;[8302|00018916]"/>
            <x15:cachedUniqueName index="6715" name="[FactPayment].[CaseKey].&amp;[8302|00018920]"/>
            <x15:cachedUniqueName index="6716" name="[FactPayment].[CaseKey].&amp;[8302|00018934]"/>
            <x15:cachedUniqueName index="6717" name="[FactPayment].[CaseKey].&amp;[8302|00018942]"/>
            <x15:cachedUniqueName index="6718" name="[FactPayment].[CaseKey].&amp;[8302|00018950]"/>
            <x15:cachedUniqueName index="6719" name="[FactPayment].[CaseKey].&amp;[8302|00018960]"/>
            <x15:cachedUniqueName index="6720" name="[FactPayment].[CaseKey].&amp;[8302|00018972]"/>
            <x15:cachedUniqueName index="6721" name="[FactPayment].[CaseKey].&amp;[8302|00018985]"/>
            <x15:cachedUniqueName index="6722" name="[FactPayment].[CaseKey].&amp;[8302|00018994]"/>
            <x15:cachedUniqueName index="6723" name="[FactPayment].[CaseKey].&amp;[8302|00019006]"/>
            <x15:cachedUniqueName index="6724" name="[FactPayment].[CaseKey].&amp;[8302|00019012]"/>
            <x15:cachedUniqueName index="6725" name="[FactPayment].[CaseKey].&amp;[8302|00019033]"/>
            <x15:cachedUniqueName index="6726" name="[FactPayment].[CaseKey].&amp;[8302|00019052]"/>
            <x15:cachedUniqueName index="6727" name="[FactPayment].[CaseKey].&amp;[8302|00019066]"/>
            <x15:cachedUniqueName index="6728" name="[FactPayment].[CaseKey].&amp;[8302|00019077]"/>
            <x15:cachedUniqueName index="6729" name="[FactPayment].[CaseKey].&amp;[8302|00019082]"/>
            <x15:cachedUniqueName index="6730" name="[FactPayment].[CaseKey].&amp;[8302|00019093]"/>
            <x15:cachedUniqueName index="6731" name="[FactPayment].[CaseKey].&amp;[8302|00019105]"/>
            <x15:cachedUniqueName index="6732" name="[FactPayment].[CaseKey].&amp;[8302|00019117]"/>
            <x15:cachedUniqueName index="6733" name="[FactPayment].[CaseKey].&amp;[8302|00019121]"/>
            <x15:cachedUniqueName index="6734" name="[FactPayment].[CaseKey].&amp;[8302|00019133]"/>
            <x15:cachedUniqueName index="6735" name="[FactPayment].[CaseKey].&amp;[8302|00019145]"/>
            <x15:cachedUniqueName index="6736" name="[FactPayment].[CaseKey].&amp;[8302|00019151]"/>
            <x15:cachedUniqueName index="6737" name="[FactPayment].[CaseKey].&amp;[8302|00019161]"/>
            <x15:cachedUniqueName index="6738" name="[FactPayment].[CaseKey].&amp;[8302|00019175]"/>
            <x15:cachedUniqueName index="6739" name="[FactPayment].[CaseKey].&amp;[8302|00019186]"/>
            <x15:cachedUniqueName index="6740" name="[FactPayment].[CaseKey].&amp;[8302|00019197]"/>
            <x15:cachedUniqueName index="6741" name="[FactPayment].[CaseKey].&amp;[8302|00019202]"/>
            <x15:cachedUniqueName index="6742" name="[FactPayment].[CaseKey].&amp;[8302|00019216]"/>
            <x15:cachedUniqueName index="6743" name="[FactPayment].[CaseKey].&amp;[8302|00019226]"/>
            <x15:cachedUniqueName index="6744" name="[FactPayment].[CaseKey].&amp;[8302|00019240]"/>
            <x15:cachedUniqueName index="6745" name="[FactPayment].[CaseKey].&amp;[8302|00019255]"/>
            <x15:cachedUniqueName index="6746" name="[FactPayment].[CaseKey].&amp;[8302|00019267]"/>
            <x15:cachedUniqueName index="6747" name="[FactPayment].[CaseKey].&amp;[8302|00019276]"/>
            <x15:cachedUniqueName index="6748" name="[FactPayment].[CaseKey].&amp;[8302|00019285]"/>
            <x15:cachedUniqueName index="6749" name="[FactPayment].[CaseKey].&amp;[8302|00019298]"/>
            <x15:cachedUniqueName index="6750" name="[FactPayment].[CaseKey].&amp;[8302|00019302]"/>
            <x15:cachedUniqueName index="6751" name="[FactPayment].[CaseKey].&amp;[8302|00019317]"/>
            <x15:cachedUniqueName index="6752" name="[FactPayment].[CaseKey].&amp;[8302|00019327]"/>
            <x15:cachedUniqueName index="6753" name="[FactPayment].[CaseKey].&amp;[8302|00019338]"/>
            <x15:cachedUniqueName index="6754" name="[FactPayment].[CaseKey].&amp;[8302|00019345]"/>
            <x15:cachedUniqueName index="6755" name="[FactPayment].[CaseKey].&amp;[8302|00019351]"/>
            <x15:cachedUniqueName index="6756" name="[FactPayment].[CaseKey].&amp;[8302|00019365]"/>
            <x15:cachedUniqueName index="6757" name="[FactPayment].[CaseKey].&amp;[8302|00019372]"/>
            <x15:cachedUniqueName index="6758" name="[FactPayment].[CaseKey].&amp;[8302|00019387]"/>
            <x15:cachedUniqueName index="6759" name="[FactPayment].[CaseKey].&amp;[8302|00019390]"/>
            <x15:cachedUniqueName index="6760" name="[FactPayment].[CaseKey].&amp;[8302|00019402]"/>
            <x15:cachedUniqueName index="6761" name="[FactPayment].[CaseKey].&amp;[8302|00019414]"/>
            <x15:cachedUniqueName index="6762" name="[FactPayment].[CaseKey].&amp;[8302|00019425]"/>
            <x15:cachedUniqueName index="6763" name="[FactPayment].[CaseKey].&amp;[8302|00019433]"/>
            <x15:cachedUniqueName index="6764" name="[FactPayment].[CaseKey].&amp;[8302|00019441]"/>
            <x15:cachedUniqueName index="6765" name="[FactPayment].[CaseKey].&amp;[8302|00019452]"/>
            <x15:cachedUniqueName index="6766" name="[FactPayment].[CaseKey].&amp;[8302|00019462]"/>
            <x15:cachedUniqueName index="6767" name="[FactPayment].[CaseKey].&amp;[8302|00019478]"/>
            <x15:cachedUniqueName index="6768" name="[FactPayment].[CaseKey].&amp;[8302|00019480]"/>
            <x15:cachedUniqueName index="6769" name="[FactPayment].[CaseKey].&amp;[8302|00019494]"/>
            <x15:cachedUniqueName index="6770" name="[FactPayment].[CaseKey].&amp;[8302|00019508]"/>
            <x15:cachedUniqueName index="6771" name="[FactPayment].[CaseKey].&amp;[8302|00019516]"/>
            <x15:cachedUniqueName index="6772" name="[FactPayment].[CaseKey].&amp;[8302|00019520]"/>
            <x15:cachedUniqueName index="6773" name="[FactPayment].[CaseKey].&amp;[8302|00019534]"/>
            <x15:cachedUniqueName index="6774" name="[FactPayment].[CaseKey].&amp;[8302|00019547]"/>
            <x15:cachedUniqueName index="6775" name="[FactPayment].[CaseKey].&amp;[8302|00019554]"/>
            <x15:cachedUniqueName index="6776" name="[FactPayment].[CaseKey].&amp;[8302|00019568]"/>
            <x15:cachedUniqueName index="6777" name="[FactPayment].[CaseKey].&amp;[8302|00019573]"/>
            <x15:cachedUniqueName index="6778" name="[FactPayment].[CaseKey].&amp;[8302|00019594]"/>
            <x15:cachedUniqueName index="6779" name="[FactPayment].[CaseKey].&amp;[8302|00019618]"/>
            <x15:cachedUniqueName index="6780" name="[FactPayment].[CaseKey].&amp;[8302|00019626]"/>
            <x15:cachedUniqueName index="6781" name="[FactPayment].[CaseKey].&amp;[8302|00019631]"/>
            <x15:cachedUniqueName index="6782" name="[FactPayment].[CaseKey].&amp;[8302|00019644]"/>
            <x15:cachedUniqueName index="6783" name="[FactPayment].[CaseKey].&amp;[8302|00019652]"/>
            <x15:cachedUniqueName index="6784" name="[FactPayment].[CaseKey].&amp;[8302|00019660]"/>
            <x15:cachedUniqueName index="6785" name="[FactPayment].[CaseKey].&amp;[8302|00019671]"/>
            <x15:cachedUniqueName index="6786" name="[FactPayment].[CaseKey].&amp;[8302|00019684]"/>
            <x15:cachedUniqueName index="6787" name="[FactPayment].[CaseKey].&amp;[8302|00019691]"/>
            <x15:cachedUniqueName index="6788" name="[FactPayment].[CaseKey].&amp;[8302|00019707]"/>
            <x15:cachedUniqueName index="6789" name="[FactPayment].[CaseKey].&amp;[8302|00019714]"/>
            <x15:cachedUniqueName index="6790" name="[FactPayment].[CaseKey].&amp;[8302|00019721]"/>
            <x15:cachedUniqueName index="6791" name="[FactPayment].[CaseKey].&amp;[8302|00019738]"/>
            <x15:cachedUniqueName index="6792" name="[FactPayment].[CaseKey].&amp;[8302|00019741]"/>
            <x15:cachedUniqueName index="6793" name="[FactPayment].[CaseKey].&amp;[8302|00019751]"/>
            <x15:cachedUniqueName index="6794" name="[FactPayment].[CaseKey].&amp;[8302|00019762]"/>
            <x15:cachedUniqueName index="6795" name="[FactPayment].[CaseKey].&amp;[8302|00019774]"/>
            <x15:cachedUniqueName index="6796" name="[FactPayment].[CaseKey].&amp;[8302|00019788]"/>
            <x15:cachedUniqueName index="6797" name="[FactPayment].[CaseKey].&amp;[8302|00019793]"/>
            <x15:cachedUniqueName index="6798" name="[FactPayment].[CaseKey].&amp;[8302|00019802]"/>
            <x15:cachedUniqueName index="6799" name="[FactPayment].[CaseKey].&amp;[8302|00019813]"/>
            <x15:cachedUniqueName index="6800" name="[FactPayment].[CaseKey].&amp;[8302|00019826]"/>
            <x15:cachedUniqueName index="6801" name="[FactPayment].[CaseKey].&amp;[8302|00019835]"/>
            <x15:cachedUniqueName index="6802" name="[FactPayment].[CaseKey].&amp;[8302|00019848]"/>
            <x15:cachedUniqueName index="6803" name="[FactPayment].[CaseKey].&amp;[8302|00019855]"/>
            <x15:cachedUniqueName index="6804" name="[FactPayment].[CaseKey].&amp;[8302|00019868]"/>
            <x15:cachedUniqueName index="6805" name="[FactPayment].[CaseKey].&amp;[8302|00019871]"/>
            <x15:cachedUniqueName index="6806" name="[FactPayment].[CaseKey].&amp;[8302|00019887]"/>
            <x15:cachedUniqueName index="6807" name="[FactPayment].[CaseKey].&amp;[8302|00019896]"/>
            <x15:cachedUniqueName index="6808" name="[FactPayment].[CaseKey].&amp;[8302|00019902]"/>
            <x15:cachedUniqueName index="6809" name="[FactPayment].[CaseKey].&amp;[8302|00019913]"/>
            <x15:cachedUniqueName index="6810" name="[FactPayment].[CaseKey].&amp;[8302|00019933]"/>
            <x15:cachedUniqueName index="6811" name="[FactPayment].[CaseKey].&amp;[8302|00019943]"/>
            <x15:cachedUniqueName index="6812" name="[FactPayment].[CaseKey].&amp;[8302|00019956]"/>
            <x15:cachedUniqueName index="6813" name="[FactPayment].[CaseKey].&amp;[8302|00019965]"/>
            <x15:cachedUniqueName index="6814" name="[FactPayment].[CaseKey].&amp;[8302|00019971]"/>
            <x15:cachedUniqueName index="6815" name="[FactPayment].[CaseKey].&amp;[8302|00019986]"/>
            <x15:cachedUniqueName index="6816" name="[FactPayment].[CaseKey].&amp;[8302|00019995]"/>
            <x15:cachedUniqueName index="6817" name="[FactPayment].[CaseKey].&amp;[8302|00020004]"/>
            <x15:cachedUniqueName index="6818" name="[FactPayment].[CaseKey].&amp;[8302|00020015]"/>
            <x15:cachedUniqueName index="6819" name="[FactPayment].[CaseKey].&amp;[8302|00020024]"/>
            <x15:cachedUniqueName index="6820" name="[FactPayment].[CaseKey].&amp;[8302|00020038]"/>
            <x15:cachedUniqueName index="6821" name="[FactPayment].[CaseKey].&amp;[8302|00020040]"/>
            <x15:cachedUniqueName index="6822" name="[FactPayment].[CaseKey].&amp;[8302|00020058]"/>
            <x15:cachedUniqueName index="6823" name="[FactPayment].[CaseKey].&amp;[8302|00020067]"/>
            <x15:cachedUniqueName index="6824" name="[FactPayment].[CaseKey].&amp;[8302|00020071]"/>
            <x15:cachedUniqueName index="6825" name="[FactPayment].[CaseKey].&amp;[8302|00020080]"/>
            <x15:cachedUniqueName index="6826" name="[FactPayment].[CaseKey].&amp;[8302|00020097]"/>
            <x15:cachedUniqueName index="6827" name="[FactPayment].[CaseKey].&amp;[8302|00020101]"/>
            <x15:cachedUniqueName index="6828" name="[FactPayment].[CaseKey].&amp;[8302|00020111]"/>
            <x15:cachedUniqueName index="6829" name="[FactPayment].[CaseKey].&amp;[8302|00020124]"/>
            <x15:cachedUniqueName index="6830" name="[FactPayment].[CaseKey].&amp;[8302|00020135]"/>
            <x15:cachedUniqueName index="6831" name="[FactPayment].[CaseKey].&amp;[8302|00020156]"/>
            <x15:cachedUniqueName index="6832" name="[FactPayment].[CaseKey].&amp;[8302|00020161]"/>
            <x15:cachedUniqueName index="6833" name="[FactPayment].[CaseKey].&amp;[8302|00020171]"/>
            <x15:cachedUniqueName index="6834" name="[FactPayment].[CaseKey].&amp;[8302|00020183]"/>
            <x15:cachedUniqueName index="6835" name="[FactPayment].[CaseKey].&amp;[8302|00020193]"/>
            <x15:cachedUniqueName index="6836" name="[FactPayment].[CaseKey].&amp;[8302|00020201]"/>
            <x15:cachedUniqueName index="6837" name="[FactPayment].[CaseKey].&amp;[8302|00020210]"/>
            <x15:cachedUniqueName index="6838" name="[FactPayment].[CaseKey].&amp;[8302|00020225]"/>
            <x15:cachedUniqueName index="6839" name="[FactPayment].[CaseKey].&amp;[8302|00020231]"/>
            <x15:cachedUniqueName index="6840" name="[FactPayment].[CaseKey].&amp;[8302|00020244]"/>
            <x15:cachedUniqueName index="6841" name="[FactPayment].[CaseKey].&amp;[8302|00020254]"/>
            <x15:cachedUniqueName index="6842" name="[FactPayment].[CaseKey].&amp;[8302|00020261]"/>
            <x15:cachedUniqueName index="6843" name="[FactPayment].[CaseKey].&amp;[8302|00020278]"/>
            <x15:cachedUniqueName index="6844" name="[FactPayment].[CaseKey].&amp;[8302|00020287]"/>
            <x15:cachedUniqueName index="6845" name="[FactPayment].[CaseKey].&amp;[8302|00020292]"/>
            <x15:cachedUniqueName index="6846" name="[FactPayment].[CaseKey].&amp;[8302|00020302]"/>
            <x15:cachedUniqueName index="6847" name="[FactPayment].[CaseKey].&amp;[8302|00020318]"/>
            <x15:cachedUniqueName index="6848" name="[FactPayment].[CaseKey].&amp;[8302|00020328]"/>
            <x15:cachedUniqueName index="6849" name="[FactPayment].[CaseKey].&amp;[8302|00020330]"/>
            <x15:cachedUniqueName index="6850" name="[FactPayment].[CaseKey].&amp;[8302|00020344]"/>
            <x15:cachedUniqueName index="6851" name="[FactPayment].[CaseKey].&amp;[8302|00020357]"/>
            <x15:cachedUniqueName index="6852" name="[FactPayment].[CaseKey].&amp;[8302|00020367]"/>
            <x15:cachedUniqueName index="6853" name="[FactPayment].[CaseKey].&amp;[8302|00020373]"/>
            <x15:cachedUniqueName index="6854" name="[FactPayment].[CaseKey].&amp;[8302|00020381]"/>
            <x15:cachedUniqueName index="6855" name="[FactPayment].[CaseKey].&amp;[8302|00020397]"/>
            <x15:cachedUniqueName index="6856" name="[FactPayment].[CaseKey].&amp;[8302|00020408]"/>
            <x15:cachedUniqueName index="6857" name="[FactPayment].[CaseKey].&amp;[8302|00020410]"/>
            <x15:cachedUniqueName index="6858" name="[FactPayment].[CaseKey].&amp;[8302|00020422]"/>
            <x15:cachedUniqueName index="6859" name="[FactPayment].[CaseKey].&amp;[8302|00020435]"/>
            <x15:cachedUniqueName index="6860" name="[FactPayment].[CaseKey].&amp;[8302|00020442]"/>
            <x15:cachedUniqueName index="6861" name="[FactPayment].[CaseKey].&amp;[8302|00020451]"/>
            <x15:cachedUniqueName index="6862" name="[FactPayment].[CaseKey].&amp;[8302|00020460]"/>
            <x15:cachedUniqueName index="6863" name="[FactPayment].[CaseKey].&amp;[8302|00020474]"/>
            <x15:cachedUniqueName index="6864" name="[FactPayment].[CaseKey].&amp;[8302|00020487]"/>
            <x15:cachedUniqueName index="6865" name="[FactPayment].[CaseKey].&amp;[8302|00020496]"/>
            <x15:cachedUniqueName index="6866" name="[FactPayment].[CaseKey].&amp;[8302|00020507]"/>
            <x15:cachedUniqueName index="6867" name="[FactPayment].[CaseKey].&amp;[8302|00020513]"/>
            <x15:cachedUniqueName index="6868" name="[FactPayment].[CaseKey].&amp;[8302|00020524]"/>
            <x15:cachedUniqueName index="6869" name="[FactPayment].[CaseKey].&amp;[8302|00020534]"/>
            <x15:cachedUniqueName index="6870" name="[FactPayment].[CaseKey].&amp;[8302|00020544]"/>
            <x15:cachedUniqueName index="6871" name="[FactPayment].[CaseKey].&amp;[8302|00020555]"/>
            <x15:cachedUniqueName index="6872" name="[FactPayment].[CaseKey].&amp;[8302|00020565]"/>
            <x15:cachedUniqueName index="6873" name="[FactPayment].[CaseKey].&amp;[8302|00020584]"/>
            <x15:cachedUniqueName index="6874" name="[FactPayment].[CaseKey].&amp;[8302|00020598]"/>
            <x15:cachedUniqueName index="6875" name="[FactPayment].[CaseKey].&amp;[8302|00020605]"/>
            <x15:cachedUniqueName index="6876" name="[FactPayment].[CaseKey].&amp;[8302|00020611]"/>
            <x15:cachedUniqueName index="6877" name="[FactPayment].[CaseKey].&amp;[8302|00020628]"/>
            <x15:cachedUniqueName index="6878" name="[FactPayment].[CaseKey].&amp;[8302|00020638]"/>
            <x15:cachedUniqueName index="6879" name="[FactPayment].[CaseKey].&amp;[8302|00020643]"/>
            <x15:cachedUniqueName index="6880" name="[FactPayment].[CaseKey].&amp;[8302|00020657]"/>
            <x15:cachedUniqueName index="6881" name="[FactPayment].[CaseKey].&amp;[8302|00020660]"/>
            <x15:cachedUniqueName index="6882" name="[FactPayment].[CaseKey].&amp;[8302|00020673]"/>
            <x15:cachedUniqueName index="6883" name="[FactPayment].[CaseKey].&amp;[8302|00020682]"/>
            <x15:cachedUniqueName index="6884" name="[FactPayment].[CaseKey].&amp;[8302|00020694]"/>
            <x15:cachedUniqueName index="6885" name="[FactPayment].[CaseKey].&amp;[8302|00020707]"/>
            <x15:cachedUniqueName index="6886" name="[FactPayment].[CaseKey].&amp;[8302|00020712]"/>
            <x15:cachedUniqueName index="6887" name="[FactPayment].[CaseKey].&amp;[8302|00020723]"/>
            <x15:cachedUniqueName index="6888" name="[FactPayment].[CaseKey].&amp;[8302|00020737]"/>
            <x15:cachedUniqueName index="6889" name="[FactPayment].[CaseKey].&amp;[8302|00020740]"/>
            <x15:cachedUniqueName index="6890" name="[FactPayment].[CaseKey].&amp;[8302|00020754]"/>
            <x15:cachedUniqueName index="6891" name="[FactPayment].[CaseKey].&amp;[8302|00020760]"/>
            <x15:cachedUniqueName index="6892" name="[FactPayment].[CaseKey].&amp;[8302|00020770]"/>
            <x15:cachedUniqueName index="6893" name="[FactPayment].[CaseKey].&amp;[8302|00020783]"/>
            <x15:cachedUniqueName index="6894" name="[FactPayment].[CaseKey].&amp;[8302|00020794]"/>
            <x15:cachedUniqueName index="6895" name="[FactPayment].[CaseKey].&amp;[8302|00020804]"/>
            <x15:cachedUniqueName index="6896" name="[FactPayment].[CaseKey].&amp;[8302|00020813]"/>
            <x15:cachedUniqueName index="6897" name="[FactPayment].[CaseKey].&amp;[8302|00020828]"/>
            <x15:cachedUniqueName index="6898" name="[FactPayment].[CaseKey].&amp;[8302|00020834]"/>
            <x15:cachedUniqueName index="6899" name="[FactPayment].[CaseKey].&amp;[8302|00020846]"/>
            <x15:cachedUniqueName index="6900" name="[FactPayment].[CaseKey].&amp;[8302|00020852]"/>
            <x15:cachedUniqueName index="6901" name="[FactPayment].[CaseKey].&amp;[8302|00020868]"/>
            <x15:cachedUniqueName index="6902" name="[FactPayment].[CaseKey].&amp;[8302|00020870]"/>
            <x15:cachedUniqueName index="6903" name="[FactPayment].[CaseKey].&amp;[8302|00020888]"/>
            <x15:cachedUniqueName index="6904" name="[FactPayment].[CaseKey].&amp;[8302|00020896]"/>
            <x15:cachedUniqueName index="6905" name="[FactPayment].[CaseKey].&amp;[8302|00020905]"/>
            <x15:cachedUniqueName index="6906" name="[FactPayment].[CaseKey].&amp;[8302|00020910]"/>
            <x15:cachedUniqueName index="6907" name="[FactPayment].[CaseKey].&amp;[8302|00020921]"/>
            <x15:cachedUniqueName index="6908" name="[FactPayment].[CaseKey].&amp;[8302|00020935]"/>
            <x15:cachedUniqueName index="6909" name="[FactPayment].[CaseKey].&amp;[8302|00020943]"/>
            <x15:cachedUniqueName index="6910" name="[FactPayment].[CaseKey].&amp;[8302|00020951]"/>
            <x15:cachedUniqueName index="6911" name="[FactPayment].[CaseKey].&amp;[8302|00020963]"/>
            <x15:cachedUniqueName index="6912" name="[FactPayment].[CaseKey].&amp;[8302|00020974]"/>
            <x15:cachedUniqueName index="6913" name="[FactPayment].[CaseKey].&amp;[8302|00020980]"/>
            <x15:cachedUniqueName index="6914" name="[FactPayment].[CaseKey].&amp;[8302|00020995]"/>
            <x15:cachedUniqueName index="6915" name="[FactPayment].[CaseKey].&amp;[8302|00021004]"/>
            <x15:cachedUniqueName index="6916" name="[FactPayment].[CaseKey].&amp;[8302|00021013]"/>
            <x15:cachedUniqueName index="6917" name="[FactPayment].[CaseKey].&amp;[8302|00021023]"/>
            <x15:cachedUniqueName index="6918" name="[FactPayment].[CaseKey].&amp;[8302|00021037]"/>
            <x15:cachedUniqueName index="6919" name="[FactPayment].[CaseKey].&amp;[8302|00021048]"/>
            <x15:cachedUniqueName index="6920" name="[FactPayment].[CaseKey].&amp;[8302|00021051]"/>
            <x15:cachedUniqueName index="6921" name="[FactPayment].[CaseKey].&amp;[8302|00021067]"/>
            <x15:cachedUniqueName index="6922" name="[FactPayment].[CaseKey].&amp;[8302|00021077]"/>
            <x15:cachedUniqueName index="6923" name="[FactPayment].[CaseKey].&amp;[8302|00021086]"/>
            <x15:cachedUniqueName index="6924" name="[FactPayment].[CaseKey].&amp;[8302|00021092]"/>
            <x15:cachedUniqueName index="6925" name="[FactPayment].[CaseKey].&amp;[8302|00021101]"/>
            <x15:cachedUniqueName index="6926" name="[FactPayment].[CaseKey].&amp;[8302|00021113]"/>
            <x15:cachedUniqueName index="6927" name="[FactPayment].[CaseKey].&amp;[8302|00021121]"/>
            <x15:cachedUniqueName index="6928" name="[FactPayment].[CaseKey].&amp;[8302|00021135]"/>
            <x15:cachedUniqueName index="6929" name="[FactPayment].[CaseKey].&amp;[8302|00021145]"/>
            <x15:cachedUniqueName index="6930" name="[FactPayment].[CaseKey].&amp;[8302|00021152]"/>
            <x15:cachedUniqueName index="6931" name="[FactPayment].[CaseKey].&amp;[8302|00021165]"/>
            <x15:cachedUniqueName index="6932" name="[FactPayment].[CaseKey].&amp;[8302|00021177]"/>
            <x15:cachedUniqueName index="6933" name="[FactPayment].[CaseKey].&amp;[8302|00021186]"/>
            <x15:cachedUniqueName index="6934" name="[FactPayment].[CaseKey].&amp;[8302|00021195]"/>
            <x15:cachedUniqueName index="6935" name="[FactPayment].[CaseKey].&amp;[8302|00021208]"/>
            <x15:cachedUniqueName index="6936" name="[FactPayment].[CaseKey].&amp;[8302|00021214]"/>
            <x15:cachedUniqueName index="6937" name="[FactPayment].[CaseKey].&amp;[8302|00021226]"/>
            <x15:cachedUniqueName index="6938" name="[FactPayment].[CaseKey].&amp;[8302|00021235]"/>
            <x15:cachedUniqueName index="6939" name="[FactPayment].[CaseKey].&amp;[8302|00021244]"/>
            <x15:cachedUniqueName index="6940" name="[FactPayment].[CaseKey].&amp;[8302|00021258]"/>
            <x15:cachedUniqueName index="6941" name="[FactPayment].[CaseKey].&amp;[8302|00021261]"/>
            <x15:cachedUniqueName index="6942" name="[FactPayment].[CaseKey].&amp;[8302|00021276]"/>
            <x15:cachedUniqueName index="6943" name="[FactPayment].[CaseKey].&amp;[8302|00021284]"/>
            <x15:cachedUniqueName index="6944" name="[FactPayment].[CaseKey].&amp;[8302|00021297]"/>
            <x15:cachedUniqueName index="6945" name="[FactPayment].[CaseKey].&amp;[8302|00021300]"/>
            <x15:cachedUniqueName index="6946" name="[FactPayment].[CaseKey].&amp;[8302|00021317]"/>
            <x15:cachedUniqueName index="6947" name="[FactPayment].[CaseKey].&amp;[8302|00021324]"/>
            <x15:cachedUniqueName index="6948" name="[FactPayment].[CaseKey].&amp;[8302|00021331]"/>
            <x15:cachedUniqueName index="6949" name="[FactPayment].[CaseKey].&amp;[8302|00021347]"/>
            <x15:cachedUniqueName index="6950" name="[FactPayment].[CaseKey].&amp;[8302|00021350]"/>
            <x15:cachedUniqueName index="6951" name="[FactPayment].[CaseKey].&amp;[8302|00021366]"/>
            <x15:cachedUniqueName index="6952" name="[FactPayment].[CaseKey].&amp;[8302|00021376]"/>
            <x15:cachedUniqueName index="6953" name="[FactPayment].[CaseKey].&amp;[8302|00021387]"/>
            <x15:cachedUniqueName index="6954" name="[FactPayment].[CaseKey].&amp;[8302|00021396]"/>
            <x15:cachedUniqueName index="6955" name="[FactPayment].[CaseKey].&amp;[8302|00021408]"/>
            <x15:cachedUniqueName index="6956" name="[FactPayment].[CaseKey].&amp;[8302|00021418]"/>
            <x15:cachedUniqueName index="6957" name="[FactPayment].[CaseKey].&amp;[8302|00021427]"/>
            <x15:cachedUniqueName index="6958" name="[FactPayment].[CaseKey].&amp;[8302|00021435]"/>
            <x15:cachedUniqueName index="6959" name="[FactPayment].[CaseKey].&amp;[8302|00021442]"/>
            <x15:cachedUniqueName index="6960" name="[FactPayment].[CaseKey].&amp;[8302|00021451]"/>
            <x15:cachedUniqueName index="6961" name="[FactPayment].[CaseKey].&amp;[8302|00021466]"/>
            <x15:cachedUniqueName index="6962" name="[FactPayment].[CaseKey].&amp;[8302|00021471]"/>
            <x15:cachedUniqueName index="6963" name="[FactPayment].[CaseKey].&amp;[8302|00021480]"/>
            <x15:cachedUniqueName index="6964" name="[FactPayment].[CaseKey].&amp;[8302|00021495]"/>
            <x15:cachedUniqueName index="6965" name="[FactPayment].[CaseKey].&amp;[8302|00021500]"/>
            <x15:cachedUniqueName index="6966" name="[FactPayment].[CaseKey].&amp;[8302|00021515]"/>
            <x15:cachedUniqueName index="6967" name="[FactPayment].[CaseKey].&amp;[8302|00021527]"/>
            <x15:cachedUniqueName index="6968" name="[FactPayment].[CaseKey].&amp;[8302|00021537]"/>
            <x15:cachedUniqueName index="6969" name="[FactPayment].[CaseKey].&amp;[8302|00021548]"/>
            <x15:cachedUniqueName index="6970" name="[FactPayment].[CaseKey].&amp;[8302|00021555]"/>
            <x15:cachedUniqueName index="6971" name="[FactPayment].[CaseKey].&amp;[8302|00021563]"/>
            <x15:cachedUniqueName index="6972" name="[FactPayment].[CaseKey].&amp;[8302|00021594]"/>
            <x15:cachedUniqueName index="6973" name="[FactPayment].[CaseKey].&amp;[8302|00021607]"/>
            <x15:cachedUniqueName index="6974" name="[FactPayment].[CaseKey].&amp;[8302|00021610]"/>
            <x15:cachedUniqueName index="6975" name="[FactPayment].[CaseKey].&amp;[8302|00021622]"/>
            <x15:cachedUniqueName index="6976" name="[FactPayment].[CaseKey].&amp;[8302|00021633]"/>
            <x15:cachedUniqueName index="6977" name="[FactPayment].[CaseKey].&amp;[8302|00021645]"/>
            <x15:cachedUniqueName index="6978" name="[FactPayment].[CaseKey].&amp;[8302|00021653]"/>
            <x15:cachedUniqueName index="6979" name="[FactPayment].[CaseKey].&amp;[8302|00021662]"/>
            <x15:cachedUniqueName index="6980" name="[FactPayment].[CaseKey].&amp;[8302|00021670]"/>
            <x15:cachedUniqueName index="6981" name="[FactPayment].[CaseKey].&amp;[8302|00021682]"/>
            <x15:cachedUniqueName index="6982" name="[FactPayment].[CaseKey].&amp;[8302|00021698]"/>
            <x15:cachedUniqueName index="6983" name="[FactPayment].[CaseKey].&amp;[8302|00021704]"/>
            <x15:cachedUniqueName index="6984" name="[FactPayment].[CaseKey].&amp;[8302|00021717]"/>
            <x15:cachedUniqueName index="6985" name="[FactPayment].[CaseKey].&amp;[8302|00021720]"/>
            <x15:cachedUniqueName index="6986" name="[FactPayment].[CaseKey].&amp;[8302|00021735]"/>
            <x15:cachedUniqueName index="6987" name="[FactPayment].[CaseKey].&amp;[8302|00021742]"/>
            <x15:cachedUniqueName index="6988" name="[FactPayment].[CaseKey].&amp;[8302|00021753]"/>
            <x15:cachedUniqueName index="6989" name="[FactPayment].[CaseKey].&amp;[8302|00021763]"/>
            <x15:cachedUniqueName index="6990" name="[FactPayment].[CaseKey].&amp;[8302|00021788]"/>
            <x15:cachedUniqueName index="6991" name="[FactPayment].[CaseKey].&amp;[8302|00021792]"/>
            <x15:cachedUniqueName index="6992" name="[FactPayment].[CaseKey].&amp;[8302|00021803]"/>
            <x15:cachedUniqueName index="6993" name="[FactPayment].[CaseKey].&amp;[8302|00021816]"/>
            <x15:cachedUniqueName index="6994" name="[FactPayment].[CaseKey].&amp;[8302|00021826]"/>
            <x15:cachedUniqueName index="6995" name="[FactPayment].[CaseKey].&amp;[8302|00021836]"/>
            <x15:cachedUniqueName index="6996" name="[FactPayment].[CaseKey].&amp;[8302|00021846]"/>
            <x15:cachedUniqueName index="6997" name="[FactPayment].[CaseKey].&amp;[8302|00021850]"/>
            <x15:cachedUniqueName index="6998" name="[FactPayment].[CaseKey].&amp;[8302|00021860]"/>
            <x15:cachedUniqueName index="6999" name="[FactPayment].[CaseKey].&amp;[8302|00021870]"/>
            <x15:cachedUniqueName index="7000" name="[FactPayment].[CaseKey].&amp;[8302|00021890]"/>
            <x15:cachedUniqueName index="7001" name="[FactPayment].[CaseKey].&amp;[8302|00021904]"/>
            <x15:cachedUniqueName index="7002" name="[FactPayment].[CaseKey].&amp;[8302|00021916]"/>
            <x15:cachedUniqueName index="7003" name="[FactPayment].[CaseKey].&amp;[8302|00021920]"/>
            <x15:cachedUniqueName index="7004" name="[FactPayment].[CaseKey].&amp;[8302|00021933]"/>
            <x15:cachedUniqueName index="7005" name="[FactPayment].[CaseKey].&amp;[8302|00021942]"/>
            <x15:cachedUniqueName index="7006" name="[FactPayment].[CaseKey].&amp;[8302|00021950]"/>
            <x15:cachedUniqueName index="7007" name="[FactPayment].[CaseKey].&amp;[8302|00021961]"/>
            <x15:cachedUniqueName index="7008" name="[FactPayment].[CaseKey].&amp;[8302|00021973]"/>
            <x15:cachedUniqueName index="7009" name="[FactPayment].[CaseKey].&amp;[8302|00021980]"/>
            <x15:cachedUniqueName index="7010" name="[FactPayment].[CaseKey].&amp;[8302|00021994]"/>
            <x15:cachedUniqueName index="7011" name="[FactPayment].[CaseKey].&amp;[8302|00022007]"/>
            <x15:cachedUniqueName index="7012" name="[FactPayment].[CaseKey].&amp;[8302|00022010]"/>
            <x15:cachedUniqueName index="7013" name="[FactPayment].[CaseKey].&amp;[8302|00022026]"/>
            <x15:cachedUniqueName index="7014" name="[FactPayment].[CaseKey].&amp;[8302|00022031]"/>
            <x15:cachedUniqueName index="7015" name="[FactPayment].[CaseKey].&amp;[8302|00022046]"/>
            <x15:cachedUniqueName index="7016" name="[FactPayment].[CaseKey].&amp;[8302|00022052]"/>
            <x15:cachedUniqueName index="7017" name="[FactPayment].[CaseKey].&amp;[8302|00022061]"/>
            <x15:cachedUniqueName index="7018" name="[FactPayment].[CaseKey].&amp;[8302|00022076]"/>
            <x15:cachedUniqueName index="7019" name="[FactPayment].[CaseKey].&amp;[8302|00022087]"/>
            <x15:cachedUniqueName index="7020" name="[FactPayment].[CaseKey].&amp;[8302|00022093]"/>
            <x15:cachedUniqueName index="7021" name="[FactPayment].[CaseKey].&amp;[8302|00022106]"/>
            <x15:cachedUniqueName index="7022" name="[FactPayment].[CaseKey].&amp;[8302|00022111]"/>
            <x15:cachedUniqueName index="7023" name="[FactPayment].[CaseKey].&amp;[8302|00022122]"/>
            <x15:cachedUniqueName index="7024" name="[FactPayment].[CaseKey].&amp;[8302|00022130]"/>
            <x15:cachedUniqueName index="7025" name="[FactPayment].[CaseKey].&amp;[8302|00022145]"/>
            <x15:cachedUniqueName index="7026" name="[FactPayment].[CaseKey].&amp;[8302|00022151]"/>
            <x15:cachedUniqueName index="7027" name="[FactPayment].[CaseKey].&amp;[8302|00022161]"/>
            <x15:cachedUniqueName index="7028" name="[FactPayment].[CaseKey].&amp;[8302|00022180]"/>
            <x15:cachedUniqueName index="7029" name="[FactPayment].[CaseKey].&amp;[8302|00022191]"/>
            <x15:cachedUniqueName index="7030" name="[FactPayment].[CaseKey].&amp;[8302|00022201]"/>
            <x15:cachedUniqueName index="7031" name="[FactPayment].[CaseKey].&amp;[8302|00022213]"/>
            <x15:cachedUniqueName index="7032" name="[FactPayment].[CaseKey].&amp;[8302|00022226]"/>
            <x15:cachedUniqueName index="7033" name="[FactPayment].[CaseKey].&amp;[8302|00022233]"/>
            <x15:cachedUniqueName index="7034" name="[FactPayment].[CaseKey].&amp;[8302|00022242]"/>
            <x15:cachedUniqueName index="7035" name="[FactPayment].[CaseKey].&amp;[8302|00022251]"/>
            <x15:cachedUniqueName index="7036" name="[FactPayment].[CaseKey].&amp;[8302|00022260]"/>
            <x15:cachedUniqueName index="7037" name="[FactPayment].[CaseKey].&amp;[8302|00022271]"/>
            <x15:cachedUniqueName index="7038" name="[FactPayment].[CaseKey].&amp;[8302|00022288]"/>
            <x15:cachedUniqueName index="7039" name="[FactPayment].[CaseKey].&amp;[8302|00022290]"/>
            <x15:cachedUniqueName index="7040" name="[FactPayment].[CaseKey].&amp;[8302|00022306]"/>
            <x15:cachedUniqueName index="7041" name="[FactPayment].[CaseKey].&amp;[8302|00022311]"/>
            <x15:cachedUniqueName index="7042" name="[FactPayment].[CaseKey].&amp;[8302|00022325]"/>
            <x15:cachedUniqueName index="7043" name="[FactPayment].[CaseKey].&amp;[8302|00022332]"/>
            <x15:cachedUniqueName index="7044" name="[FactPayment].[CaseKey].&amp;[8302|00022345]"/>
            <x15:cachedUniqueName index="7045" name="[FactPayment].[CaseKey].&amp;[8302|00022351]"/>
            <x15:cachedUniqueName index="7046" name="[FactPayment].[CaseKey].&amp;[8302|00022360]"/>
            <x15:cachedUniqueName index="7047" name="[FactPayment].[CaseKey].&amp;[8302|00022378]"/>
            <x15:cachedUniqueName index="7048" name="[FactPayment].[CaseKey].&amp;[8302|00022386]"/>
            <x15:cachedUniqueName index="7049" name="[FactPayment].[CaseKey].&amp;[8302|00022394]"/>
            <x15:cachedUniqueName index="7050" name="[FactPayment].[CaseKey].&amp;[8302|00022401]"/>
            <x15:cachedUniqueName index="7051" name="[FactPayment].[CaseKey].&amp;[8302|00022414]"/>
            <x15:cachedUniqueName index="7052" name="[FactPayment].[CaseKey].&amp;[8302|00022424]"/>
            <x15:cachedUniqueName index="7053" name="[FactPayment].[CaseKey].&amp;[8302|00022430]"/>
            <x15:cachedUniqueName index="7054" name="[FactPayment].[CaseKey].&amp;[8302|00022448]"/>
            <x15:cachedUniqueName index="7055" name="[FactPayment].[CaseKey].&amp;[8302|00022458]"/>
            <x15:cachedUniqueName index="7056" name="[FactPayment].[CaseKey].&amp;[8302|00022461]"/>
            <x15:cachedUniqueName index="7057" name="[FactPayment].[CaseKey].&amp;[8302|00022475]"/>
            <x15:cachedUniqueName index="7058" name="[FactPayment].[CaseKey].&amp;[8302|00022481]"/>
            <x15:cachedUniqueName index="7059" name="[FactPayment].[CaseKey].&amp;[8302|00022490]"/>
            <x15:cachedUniqueName index="7060" name="[FactPayment].[CaseKey].&amp;[8302|00022506]"/>
            <x15:cachedUniqueName index="7061" name="[FactPayment].[CaseKey].&amp;[8302|00022514]"/>
            <x15:cachedUniqueName index="7062" name="[FactPayment].[CaseKey].&amp;[8302|00022520]"/>
            <x15:cachedUniqueName index="7063" name="[FactPayment].[CaseKey].&amp;[8302|00022532]"/>
            <x15:cachedUniqueName index="7064" name="[FactPayment].[CaseKey].&amp;[8302|00022546]"/>
            <x15:cachedUniqueName index="7065" name="[FactPayment].[CaseKey].&amp;[8302|00022558]"/>
            <x15:cachedUniqueName index="7066" name="[FactPayment].[CaseKey].&amp;[8302|00022562]"/>
            <x15:cachedUniqueName index="7067" name="[FactPayment].[CaseKey].&amp;[8302|00022578]"/>
            <x15:cachedUniqueName index="7068" name="[FactPayment].[CaseKey].&amp;[8302|00022586]"/>
            <x15:cachedUniqueName index="7069" name="[FactPayment].[CaseKey].&amp;[8302|00022591]"/>
            <x15:cachedUniqueName index="7070" name="[FactPayment].[CaseKey].&amp;[8302|00022607]"/>
            <x15:cachedUniqueName index="7071" name="[FactPayment].[CaseKey].&amp;[8302|00022612]"/>
            <x15:cachedUniqueName index="7072" name="[FactPayment].[CaseKey].&amp;[8302|00022623]"/>
            <x15:cachedUniqueName index="7073" name="[FactPayment].[CaseKey].&amp;[8302|00022643]"/>
            <x15:cachedUniqueName index="7074" name="[FactPayment].[CaseKey].&amp;[8302|00022655]"/>
            <x15:cachedUniqueName index="7075" name="[FactPayment].[CaseKey].&amp;[8302|00022667]"/>
            <x15:cachedUniqueName index="7076" name="[FactPayment].[CaseKey].&amp;[8302|00022677]"/>
            <x15:cachedUniqueName index="7077" name="[FactPayment].[CaseKey].&amp;[8302|00022680]"/>
            <x15:cachedUniqueName index="7078" name="[FactPayment].[CaseKey].&amp;[8302|00022702]"/>
            <x15:cachedUniqueName index="7079" name="[FactPayment].[CaseKey].&amp;[8302|00022710]"/>
            <x15:cachedUniqueName index="7080" name="[FactPayment].[CaseKey].&amp;[8302|00022726]"/>
            <x15:cachedUniqueName index="7081" name="[FactPayment].[CaseKey].&amp;[8302|00022735]"/>
            <x15:cachedUniqueName index="7082" name="[FactPayment].[CaseKey].&amp;[8302|00022740]"/>
            <x15:cachedUniqueName index="7083" name="[FactPayment].[CaseKey].&amp;[8302|00022758]"/>
            <x15:cachedUniqueName index="7084" name="[FactPayment].[CaseKey].&amp;[8302|00022766]"/>
            <x15:cachedUniqueName index="7085" name="[FactPayment].[CaseKey].&amp;[8302|00022777]"/>
            <x15:cachedUniqueName index="7086" name="[FactPayment].[CaseKey].&amp;[8302|00022786]"/>
            <x15:cachedUniqueName index="7087" name="[FactPayment].[CaseKey].&amp;[8302|00022793]"/>
            <x15:cachedUniqueName index="7088" name="[FactPayment].[CaseKey].&amp;[8302|00022804]"/>
            <x15:cachedUniqueName index="7089" name="[FactPayment].[CaseKey].&amp;[8302|00022813]"/>
            <x15:cachedUniqueName index="7090" name="[FactPayment].[CaseKey].&amp;[8302|00022825]"/>
            <x15:cachedUniqueName index="7091" name="[FactPayment].[CaseKey].&amp;[8302|00022831]"/>
            <x15:cachedUniqueName index="7092" name="[FactPayment].[CaseKey].&amp;[8302|00022846]"/>
            <x15:cachedUniqueName index="7093" name="[FactPayment].[CaseKey].&amp;[8302|00022852]"/>
            <x15:cachedUniqueName index="7094" name="[FactPayment].[CaseKey].&amp;[8302|00022864]"/>
            <x15:cachedUniqueName index="7095" name="[FactPayment].[CaseKey].&amp;[8302|00022871]"/>
            <x15:cachedUniqueName index="7096" name="[FactPayment].[CaseKey].&amp;[8302|00022882]"/>
            <x15:cachedUniqueName index="7097" name="[FactPayment].[CaseKey].&amp;[8302|00022896]"/>
            <x15:cachedUniqueName index="7098" name="[FactPayment].[CaseKey].&amp;[8302|00022907]"/>
            <x15:cachedUniqueName index="7099" name="[FactPayment].[CaseKey].&amp;[8302|00022915]"/>
            <x15:cachedUniqueName index="7100" name="[FactPayment].[CaseKey].&amp;[8302|00022926]"/>
            <x15:cachedUniqueName index="7101" name="[FactPayment].[CaseKey].&amp;[8302|00022935]"/>
            <x15:cachedUniqueName index="7102" name="[FactPayment].[CaseKey].&amp;[8302|00022941]"/>
            <x15:cachedUniqueName index="7103" name="[FactPayment].[CaseKey].&amp;[8302|00022954]"/>
            <x15:cachedUniqueName index="7104" name="[FactPayment].[CaseKey].&amp;[8302|00022968]"/>
            <x15:cachedUniqueName index="7105" name="[FactPayment].[CaseKey].&amp;[8302|00022977]"/>
            <x15:cachedUniqueName index="7106" name="[FactPayment].[CaseKey].&amp;[8302|00022985]"/>
            <x15:cachedUniqueName index="7107" name="[FactPayment].[CaseKey].&amp;[8302|00022991]"/>
            <x15:cachedUniqueName index="7108" name="[FactPayment].[CaseKey].&amp;[8302|00023000]"/>
            <x15:cachedUniqueName index="7109" name="[FactPayment].[CaseKey].&amp;[8302|00023010]"/>
            <x15:cachedUniqueName index="7110" name="[FactPayment].[CaseKey].&amp;[8302|00023027]"/>
            <x15:cachedUniqueName index="7111" name="[FactPayment].[CaseKey].&amp;[8302|00023033]"/>
            <x15:cachedUniqueName index="7112" name="[FactPayment].[CaseKey].&amp;[8302|00023047]"/>
            <x15:cachedUniqueName index="7113" name="[FactPayment].[CaseKey].&amp;[8302|00023051]"/>
            <x15:cachedUniqueName index="7114" name="[FactPayment].[CaseKey].&amp;[8302|00023061]"/>
            <x15:cachedUniqueName index="7115" name="[FactPayment].[CaseKey].&amp;[8302|00023073]"/>
            <x15:cachedUniqueName index="7116" name="[FactPayment].[CaseKey].&amp;[8302|00023082]"/>
            <x15:cachedUniqueName index="7117" name="[FactPayment].[CaseKey].&amp;[8302|00023091]"/>
            <x15:cachedUniqueName index="7118" name="[FactPayment].[CaseKey].&amp;[8302|00023104]"/>
            <x15:cachedUniqueName index="7119" name="[FactPayment].[CaseKey].&amp;[8302|00023111]"/>
            <x15:cachedUniqueName index="7120" name="[FactPayment].[CaseKey].&amp;[8302|00023123]"/>
            <x15:cachedUniqueName index="7121" name="[FactPayment].[CaseKey].&amp;[8302|00023138]"/>
            <x15:cachedUniqueName index="7122" name="[FactPayment].[CaseKey].&amp;[8302|00023152]"/>
            <x15:cachedUniqueName index="7123" name="[FactPayment].[CaseKey].&amp;[8302|00023166]"/>
            <x15:cachedUniqueName index="7124" name="[FactPayment].[CaseKey].&amp;[8302|00023178]"/>
            <x15:cachedUniqueName index="7125" name="[FactPayment].[CaseKey].&amp;[8302|00023180]"/>
            <x15:cachedUniqueName index="7126" name="[FactPayment].[CaseKey].&amp;[8302|00023194]"/>
            <x15:cachedUniqueName index="7127" name="[FactPayment].[CaseKey].&amp;[8302|00023202]"/>
            <x15:cachedUniqueName index="7128" name="[FactPayment].[CaseKey].&amp;[8302|00023214]"/>
            <x15:cachedUniqueName index="7129" name="[FactPayment].[CaseKey].&amp;[8302|00023225]"/>
            <x15:cachedUniqueName index="7130" name="[FactPayment].[CaseKey].&amp;[8302|00023241]"/>
            <x15:cachedUniqueName index="7131" name="[FactPayment].[CaseKey].&amp;[8302|00023254]"/>
            <x15:cachedUniqueName index="7132" name="[FactPayment].[CaseKey].&amp;[8302|00023262]"/>
            <x15:cachedUniqueName index="7133" name="[FactPayment].[CaseKey].&amp;[8302|00023276]"/>
            <x15:cachedUniqueName index="7134" name="[FactPayment].[CaseKey].&amp;[8302|00023281]"/>
            <x15:cachedUniqueName index="7135" name="[FactPayment].[CaseKey].&amp;[8302|00023293]"/>
            <x15:cachedUniqueName index="7136" name="[FactPayment].[CaseKey].&amp;[8302|00023308]"/>
            <x15:cachedUniqueName index="7137" name="[FactPayment].[CaseKey].&amp;[8302|00023315]"/>
            <x15:cachedUniqueName index="7138" name="[FactPayment].[CaseKey].&amp;[8302|00023336]"/>
            <x15:cachedUniqueName index="7139" name="[FactPayment].[CaseKey].&amp;[8302|00023348]"/>
            <x15:cachedUniqueName index="7140" name="[FactPayment].[CaseKey].&amp;[8302|00023352]"/>
            <x15:cachedUniqueName index="7141" name="[FactPayment].[CaseKey].&amp;[8302|00023375]"/>
            <x15:cachedUniqueName index="7142" name="[FactPayment].[CaseKey].&amp;[8302|00023381]"/>
            <x15:cachedUniqueName index="7143" name="[FactPayment].[CaseKey].&amp;[8302|00023391]"/>
            <x15:cachedUniqueName index="7144" name="[FactPayment].[CaseKey].&amp;[8302|00023403]"/>
            <x15:cachedUniqueName index="7145" name="[FactPayment].[CaseKey].&amp;[8302|00023410]"/>
            <x15:cachedUniqueName index="7146" name="[FactPayment].[CaseKey].&amp;[8302|00023427]"/>
            <x15:cachedUniqueName index="7147" name="[FactPayment].[CaseKey].&amp;[8302|00023433]"/>
            <x15:cachedUniqueName index="7148" name="[FactPayment].[CaseKey].&amp;[8302|00023445]"/>
            <x15:cachedUniqueName index="7149" name="[FactPayment].[CaseKey].&amp;[8302|00023456]"/>
            <x15:cachedUniqueName index="7150" name="[FactPayment].[CaseKey].&amp;[8302|00023466]"/>
            <x15:cachedUniqueName index="7151" name="[FactPayment].[CaseKey].&amp;[8302|00023470]"/>
            <x15:cachedUniqueName index="7152" name="[FactPayment].[CaseKey].&amp;[8302|00023482]"/>
            <x15:cachedUniqueName index="7153" name="[FactPayment].[CaseKey].&amp;[8302|00023492]"/>
            <x15:cachedUniqueName index="7154" name="[FactPayment].[CaseKey].&amp;[8302|00023506]"/>
            <x15:cachedUniqueName index="7155" name="[FactPayment].[CaseKey].&amp;[8302|00023516]"/>
            <x15:cachedUniqueName index="7156" name="[FactPayment].[CaseKey].&amp;[8302|00023524]"/>
            <x15:cachedUniqueName index="7157" name="[FactPayment].[CaseKey].&amp;[8302|00023537]"/>
            <x15:cachedUniqueName index="7158" name="[FactPayment].[CaseKey].&amp;[8302|00023540]"/>
            <x15:cachedUniqueName index="7159" name="[FactPayment].[CaseKey].&amp;[8302|00023550]"/>
            <x15:cachedUniqueName index="7160" name="[FactPayment].[CaseKey].&amp;[8302|00023568]"/>
            <x15:cachedUniqueName index="7161" name="[FactPayment].[CaseKey].&amp;[8302|00023574]"/>
            <x15:cachedUniqueName index="7162" name="[FactPayment].[CaseKey].&amp;[8302|00023585]"/>
            <x15:cachedUniqueName index="7163" name="[FactPayment].[CaseKey].&amp;[8302|00023593]"/>
            <x15:cachedUniqueName index="7164" name="[FactPayment].[CaseKey].&amp;[8302|00023607]"/>
            <x15:cachedUniqueName index="7165" name="[FactPayment].[CaseKey].&amp;[8302|00023616]"/>
            <x15:cachedUniqueName index="7166" name="[FactPayment].[CaseKey].&amp;[8302|00023620]"/>
            <x15:cachedUniqueName index="7167" name="[FactPayment].[CaseKey].&amp;[8302|00023638]"/>
            <x15:cachedUniqueName index="7168" name="[FactPayment].[CaseKey].&amp;[8302|00023643]"/>
            <x15:cachedUniqueName index="7169" name="[FactPayment].[CaseKey].&amp;[8302|00023652]"/>
            <x15:cachedUniqueName index="7170" name="[FactPayment].[CaseKey].&amp;[8302|00023664]"/>
            <x15:cachedUniqueName index="7171" name="[FactPayment].[CaseKey].&amp;[8302|00023671]"/>
            <x15:cachedUniqueName index="7172" name="[FactPayment].[CaseKey].&amp;[8302|00023688]"/>
            <x15:cachedUniqueName index="7173" name="[FactPayment].[CaseKey].&amp;[8302|00023698]"/>
            <x15:cachedUniqueName index="7174" name="[FactPayment].[CaseKey].&amp;[8302|00023704]"/>
            <x15:cachedUniqueName index="7175" name="[FactPayment].[CaseKey].&amp;[8302|00023728]"/>
            <x15:cachedUniqueName index="7176" name="[FactPayment].[CaseKey].&amp;[8302|00023733]"/>
            <x15:cachedUniqueName index="7177" name="[FactPayment].[CaseKey].&amp;[8302|00023743]"/>
            <x15:cachedUniqueName index="7178" name="[FactPayment].[CaseKey].&amp;[8302|00023755]"/>
            <x15:cachedUniqueName index="7179" name="[FactPayment].[CaseKey].&amp;[8302|00023763]"/>
            <x15:cachedUniqueName index="7180" name="[FactPayment].[CaseKey].&amp;[8302|00023774]"/>
            <x15:cachedUniqueName index="7181" name="[FactPayment].[CaseKey].&amp;[8302|00023795]"/>
            <x15:cachedUniqueName index="7182" name="[FactPayment].[CaseKey].&amp;[8302|00023805]"/>
            <x15:cachedUniqueName index="7183" name="[FactPayment].[CaseKey].&amp;[8302|00023815]"/>
            <x15:cachedUniqueName index="7184" name="[FactPayment].[CaseKey].&amp;[8302|00023836]"/>
            <x15:cachedUniqueName index="7185" name="[FactPayment].[CaseKey].&amp;[8302|00023852]"/>
            <x15:cachedUniqueName index="7186" name="[FactPayment].[CaseKey].&amp;[8302|00023860]"/>
            <x15:cachedUniqueName index="7187" name="[FactPayment].[CaseKey].&amp;[8302|00023888]"/>
            <x15:cachedUniqueName index="7188" name="[FactPayment].[CaseKey].&amp;[8302|00023894]"/>
            <x15:cachedUniqueName index="7189" name="[FactPayment].[CaseKey].&amp;[8302|00023905]"/>
            <x15:cachedUniqueName index="7190" name="[FactPayment].[CaseKey].&amp;[8302|00023910]"/>
            <x15:cachedUniqueName index="7191" name="[FactPayment].[CaseKey].&amp;[8302|00023927]"/>
            <x15:cachedUniqueName index="7192" name="[FactPayment].[CaseKey].&amp;[8302|00023937]"/>
            <x15:cachedUniqueName index="7193" name="[FactPayment].[CaseKey].&amp;[8302|00023948]"/>
            <x15:cachedUniqueName index="7194" name="[FactPayment].[CaseKey].&amp;[8302|00023954]"/>
            <x15:cachedUniqueName index="7195" name="[FactPayment].[CaseKey].&amp;[8302|00023964]"/>
            <x15:cachedUniqueName index="7196" name="[FactPayment].[CaseKey].&amp;[8302|00023974]"/>
            <x15:cachedUniqueName index="7197" name="[FactPayment].[CaseKey].&amp;[8302|00023994]"/>
            <x15:cachedUniqueName index="7198" name="[FactPayment].[CaseKey].&amp;[8302|00024002]"/>
            <x15:cachedUniqueName index="7199" name="[FactPayment].[CaseKey].&amp;[8302|00024016]"/>
            <x15:cachedUniqueName index="7200" name="[FactPayment].[CaseKey].&amp;[8302|00024021]"/>
            <x15:cachedUniqueName index="7201" name="[FactPayment].[CaseKey].&amp;[8302|00024030]"/>
            <x15:cachedUniqueName index="7202" name="[FactPayment].[CaseKey].&amp;[8302|00024047]"/>
            <x15:cachedUniqueName index="7203" name="[FactPayment].[CaseKey].&amp;[8302|00024054]"/>
            <x15:cachedUniqueName index="7204" name="[FactPayment].[CaseKey].&amp;[8302|00024067]"/>
            <x15:cachedUniqueName index="7205" name="[FactPayment].[CaseKey].&amp;[8302|00024080]"/>
            <x15:cachedUniqueName index="7206" name="[FactPayment].[CaseKey].&amp;[8302|00024097]"/>
            <x15:cachedUniqueName index="7207" name="[FactPayment].[CaseKey].&amp;[8302|00024103]"/>
            <x15:cachedUniqueName index="7208" name="[FactPayment].[CaseKey].&amp;[8302|00024111]"/>
            <x15:cachedUniqueName index="7209" name="[FactPayment].[CaseKey].&amp;[8302|00024122]"/>
            <x15:cachedUniqueName index="7210" name="[FactPayment].[CaseKey].&amp;[8302|00024138]"/>
            <x15:cachedUniqueName index="7211" name="[FactPayment].[CaseKey].&amp;[8302|00024145]"/>
            <x15:cachedUniqueName index="7212" name="[FactPayment].[CaseKey].&amp;[8302|00024155]"/>
            <x15:cachedUniqueName index="7213" name="[FactPayment].[CaseKey].&amp;[8302|00024168]"/>
            <x15:cachedUniqueName index="7214" name="[FactPayment].[CaseKey].&amp;[8302|00024174]"/>
            <x15:cachedUniqueName index="7215" name="[FactPayment].[CaseKey].&amp;[8302|00024183]"/>
            <x15:cachedUniqueName index="7216" name="[FactPayment].[CaseKey].&amp;[8302|00024191]"/>
            <x15:cachedUniqueName index="7217" name="[FactPayment].[CaseKey].&amp;[8302|00024201]"/>
            <x15:cachedUniqueName index="7218" name="[FactPayment].[CaseKey].&amp;[8302|00024213]"/>
            <x15:cachedUniqueName index="7219" name="[FactPayment].[CaseKey].&amp;[8302|00024220]"/>
            <x15:cachedUniqueName index="7220" name="[FactPayment].[CaseKey].&amp;[8302|00024237]"/>
            <x15:cachedUniqueName index="7221" name="[FactPayment].[CaseKey].&amp;[8302|00024246]"/>
            <x15:cachedUniqueName index="7222" name="[FactPayment].[CaseKey].&amp;[8302|00024251]"/>
            <x15:cachedUniqueName index="7223" name="[FactPayment].[CaseKey].&amp;[8302|00024260]"/>
            <x15:cachedUniqueName index="7224" name="[FactPayment].[CaseKey].&amp;[8302|00024272]"/>
            <x15:cachedUniqueName index="7225" name="[FactPayment].[CaseKey].&amp;[8302|00024283]"/>
            <x15:cachedUniqueName index="7226" name="[FactPayment].[CaseKey].&amp;[8302|00024297]"/>
            <x15:cachedUniqueName index="7227" name="[FactPayment].[CaseKey].&amp;[8302|00024300]"/>
            <x15:cachedUniqueName index="7228" name="[FactPayment].[CaseKey].&amp;[8302|00024312]"/>
            <x15:cachedUniqueName index="7229" name="[FactPayment].[CaseKey].&amp;[8302|00024321]"/>
            <x15:cachedUniqueName index="7230" name="[FactPayment].[CaseKey].&amp;[8302|00024331]"/>
            <x15:cachedUniqueName index="7231" name="[FactPayment].[CaseKey].&amp;[8302|00024344]"/>
            <x15:cachedUniqueName index="7232" name="[FactPayment].[CaseKey].&amp;[8302|00024352]"/>
            <x15:cachedUniqueName index="7233" name="[FactPayment].[CaseKey].&amp;[8302|00024362]"/>
            <x15:cachedUniqueName index="7234" name="[FactPayment].[CaseKey].&amp;[8302|00024377]"/>
            <x15:cachedUniqueName index="7235" name="[FactPayment].[CaseKey].&amp;[8302|00024385]"/>
            <x15:cachedUniqueName index="7236" name="[FactPayment].[CaseKey].&amp;[8302|00024391]"/>
            <x15:cachedUniqueName index="7237" name="[FactPayment].[CaseKey].&amp;[8302|00024403]"/>
            <x15:cachedUniqueName index="7238" name="[FactPayment].[CaseKey].&amp;[8302|00024414]"/>
            <x15:cachedUniqueName index="7239" name="[FactPayment].[CaseKey].&amp;[8302|00024427]"/>
            <x15:cachedUniqueName index="7240" name="[FactPayment].[CaseKey].&amp;[8302|00024431]"/>
            <x15:cachedUniqueName index="7241" name="[FactPayment].[CaseKey].&amp;[8302|00024446]"/>
            <x15:cachedUniqueName index="7242" name="[FactPayment].[CaseKey].&amp;[8302|00024456]"/>
            <x15:cachedUniqueName index="7243" name="[FactPayment].[CaseKey].&amp;[8302|00024464]"/>
            <x15:cachedUniqueName index="7244" name="[FactPayment].[CaseKey].&amp;[8302|00024478]"/>
            <x15:cachedUniqueName index="7245" name="[FactPayment].[CaseKey].&amp;[8302|00024482]"/>
            <x15:cachedUniqueName index="7246" name="[FactPayment].[CaseKey].&amp;[8302|00024490]"/>
            <x15:cachedUniqueName index="7247" name="[FactPayment].[CaseKey].&amp;[8302|00024502]"/>
            <x15:cachedUniqueName index="7248" name="[FactPayment].[CaseKey].&amp;[8302|00024516]"/>
            <x15:cachedUniqueName index="7249" name="[FactPayment].[CaseKey].&amp;[8302|00024520]"/>
            <x15:cachedUniqueName index="7250" name="[FactPayment].[CaseKey].&amp;[8302|00024536]"/>
            <x15:cachedUniqueName index="7251" name="[FactPayment].[CaseKey].&amp;[8302|00024540]"/>
            <x15:cachedUniqueName index="7252" name="[FactPayment].[CaseKey].&amp;[8302|00024557]"/>
            <x15:cachedUniqueName index="7253" name="[FactPayment].[CaseKey].&amp;[8302|00024565]"/>
            <x15:cachedUniqueName index="7254" name="[FactPayment].[CaseKey].&amp;[8302|00024578]"/>
            <x15:cachedUniqueName index="7255" name="[FactPayment].[CaseKey].&amp;[8302|00024580]"/>
            <x15:cachedUniqueName index="7256" name="[FactPayment].[CaseKey].&amp;[8302|00024596]"/>
            <x15:cachedUniqueName index="7257" name="[FactPayment].[CaseKey].&amp;[8302|00024600]"/>
            <x15:cachedUniqueName index="7258" name="[FactPayment].[CaseKey].&amp;[8302|00024615]"/>
            <x15:cachedUniqueName index="7259" name="[FactPayment].[CaseKey].&amp;[8302|00024622]"/>
            <x15:cachedUniqueName index="7260" name="[FactPayment].[CaseKey].&amp;[8302|00024633]"/>
            <x15:cachedUniqueName index="7261" name="[FactPayment].[CaseKey].&amp;[8302|00024642]"/>
            <x15:cachedUniqueName index="7262" name="[FactPayment].[CaseKey].&amp;[8302|00024651]"/>
            <x15:cachedUniqueName index="7263" name="[FactPayment].[CaseKey].&amp;[8302|00024667]"/>
            <x15:cachedUniqueName index="7264" name="[FactPayment].[CaseKey].&amp;[8302|00024674]"/>
            <x15:cachedUniqueName index="7265" name="[FactPayment].[CaseKey].&amp;[8302|00024681]"/>
            <x15:cachedUniqueName index="7266" name="[FactPayment].[CaseKey].&amp;[8302|00024698]"/>
            <x15:cachedUniqueName index="7267" name="[FactPayment].[CaseKey].&amp;[8302|00024703]"/>
            <x15:cachedUniqueName index="7268" name="[FactPayment].[CaseKey].&amp;[8302|00024711]"/>
            <x15:cachedUniqueName index="7269" name="[FactPayment].[CaseKey].&amp;[8302|00024723]"/>
            <x15:cachedUniqueName index="7270" name="[FactPayment].[CaseKey].&amp;[8302|00024736]"/>
            <x15:cachedUniqueName index="7271" name="[FactPayment].[CaseKey].&amp;[8302|00024746]"/>
            <x15:cachedUniqueName index="7272" name="[FactPayment].[CaseKey].&amp;[8302|00024756]"/>
            <x15:cachedUniqueName index="7273" name="[FactPayment].[CaseKey].&amp;[8302|00024768]"/>
            <x15:cachedUniqueName index="7274" name="[FactPayment].[CaseKey].&amp;[8302|00024775]"/>
            <x15:cachedUniqueName index="7275" name="[FactPayment].[CaseKey].&amp;[8302|00024786]"/>
            <x15:cachedUniqueName index="7276" name="[FactPayment].[CaseKey].&amp;[8302|00024796]"/>
            <x15:cachedUniqueName index="7277" name="[FactPayment].[CaseKey].&amp;[8302|00024803]"/>
            <x15:cachedUniqueName index="7278" name="[FactPayment].[CaseKey].&amp;[8302|00024813]"/>
            <x15:cachedUniqueName index="7279" name="[FactPayment].[CaseKey].&amp;[8302|00024824]"/>
            <x15:cachedUniqueName index="7280" name="[FactPayment].[CaseKey].&amp;[8302|00024833]"/>
            <x15:cachedUniqueName index="7281" name="[FactPayment].[CaseKey].&amp;[8302|00024844]"/>
            <x15:cachedUniqueName index="7282" name="[FactPayment].[CaseKey].&amp;[8302|00024855]"/>
            <x15:cachedUniqueName index="7283" name="[FactPayment].[CaseKey].&amp;[8302|00024868]"/>
            <x15:cachedUniqueName index="7284" name="[FactPayment].[CaseKey].&amp;[8302|00024872]"/>
            <x15:cachedUniqueName index="7285" name="[FactPayment].[CaseKey].&amp;[8302|00024882]"/>
            <x15:cachedUniqueName index="7286" name="[FactPayment].[CaseKey].&amp;[8302|00024894]"/>
            <x15:cachedUniqueName index="7287" name="[FactPayment].[CaseKey].&amp;[8302|00024905]"/>
            <x15:cachedUniqueName index="7288" name="[FactPayment].[CaseKey].&amp;[8302|00024917]"/>
            <x15:cachedUniqueName index="7289" name="[FactPayment].[CaseKey].&amp;[8302|00024925]"/>
            <x15:cachedUniqueName index="7290" name="[FactPayment].[CaseKey].&amp;[8302|00024936]"/>
            <x15:cachedUniqueName index="7291" name="[FactPayment].[CaseKey].&amp;[8302|00024941]"/>
            <x15:cachedUniqueName index="7292" name="[FactPayment].[CaseKey].&amp;[8302|00024958]"/>
            <x15:cachedUniqueName index="7293" name="[FactPayment].[CaseKey].&amp;[8302|00024965]"/>
            <x15:cachedUniqueName index="7294" name="[FactPayment].[CaseKey].&amp;[8302|00024975]"/>
            <x15:cachedUniqueName index="7295" name="[FactPayment].[CaseKey].&amp;[8302|00024980]"/>
            <x15:cachedUniqueName index="7296" name="[FactPayment].[CaseKey].&amp;[8302|00024992]"/>
            <x15:cachedUniqueName index="7297" name="[FactPayment].[CaseKey].&amp;[8302|00025008]"/>
            <x15:cachedUniqueName index="7298" name="[FactPayment].[CaseKey].&amp;[8302|00025018]"/>
            <x15:cachedUniqueName index="7299" name="[FactPayment].[CaseKey].&amp;[8302|00025028]"/>
            <x15:cachedUniqueName index="7300" name="[FactPayment].[CaseKey].&amp;[8302|00025034]"/>
            <x15:cachedUniqueName index="7301" name="[FactPayment].[CaseKey].&amp;[8302|00025046]"/>
            <x15:cachedUniqueName index="7302" name="[FactPayment].[CaseKey].&amp;[8302|00025054]"/>
            <x15:cachedUniqueName index="7303" name="[FactPayment].[CaseKey].&amp;[8302|00025071]"/>
            <x15:cachedUniqueName index="7304" name="[FactPayment].[CaseKey].&amp;[8302|00025088]"/>
            <x15:cachedUniqueName index="7305" name="[FactPayment].[CaseKey].&amp;[8302|00025097]"/>
            <x15:cachedUniqueName index="7306" name="[FactPayment].[CaseKey].&amp;[8302|00025100]"/>
            <x15:cachedUniqueName index="7307" name="[FactPayment].[CaseKey].&amp;[8302|00025113]"/>
            <x15:cachedUniqueName index="7308" name="[FactPayment].[CaseKey].&amp;[8302|00025123]"/>
            <x15:cachedUniqueName index="7309" name="[FactPayment].[CaseKey].&amp;[8302|00025136]"/>
            <x15:cachedUniqueName index="7310" name="[FactPayment].[CaseKey].&amp;[8302|00025144]"/>
            <x15:cachedUniqueName index="7311" name="[FactPayment].[CaseKey].&amp;[8302|00025151]"/>
            <x15:cachedUniqueName index="7312" name="[FactPayment].[CaseKey].&amp;[8302|00025163]"/>
            <x15:cachedUniqueName index="7313" name="[FactPayment].[CaseKey].&amp;[8302|00025171]"/>
            <x15:cachedUniqueName index="7314" name="[FactPayment].[CaseKey].&amp;[8302|00025185]"/>
            <x15:cachedUniqueName index="7315" name="[FactPayment].[CaseKey].&amp;[8302|00025197]"/>
            <x15:cachedUniqueName index="7316" name="[FactPayment].[CaseKey].&amp;[8302|00025200]"/>
            <x15:cachedUniqueName index="7317" name="[FactPayment].[CaseKey].&amp;[8302|00025211]"/>
            <x15:cachedUniqueName index="7318" name="[FactPayment].[CaseKey].&amp;[8302|00025226]"/>
            <x15:cachedUniqueName index="7319" name="[FactPayment].[CaseKey].&amp;[8302|00025235]"/>
            <x15:cachedUniqueName index="7320" name="[FactPayment].[CaseKey].&amp;[8302|00025241]"/>
            <x15:cachedUniqueName index="7321" name="[FactPayment].[CaseKey].&amp;[8302|00025260]"/>
            <x15:cachedUniqueName index="7322" name="[FactPayment].[CaseKey].&amp;[8302|00025271]"/>
            <x15:cachedUniqueName index="7323" name="[FactPayment].[CaseKey].&amp;[8302|00025281]"/>
            <x15:cachedUniqueName index="7324" name="[FactPayment].[CaseKey].&amp;[8302|00025298]"/>
            <x15:cachedUniqueName index="7325" name="[FactPayment].[CaseKey].&amp;[8302|00025307]"/>
            <x15:cachedUniqueName index="7326" name="[FactPayment].[CaseKey].&amp;[8302|00025317]"/>
            <x15:cachedUniqueName index="7327" name="[FactPayment].[CaseKey].&amp;[8302|00025320]"/>
            <x15:cachedUniqueName index="7328" name="[FactPayment].[CaseKey].&amp;[8302|00025332]"/>
            <x15:cachedUniqueName index="7329" name="[FactPayment].[CaseKey].&amp;[8302|00025345]"/>
            <x15:cachedUniqueName index="7330" name="[FactPayment].[CaseKey].&amp;[8302|00025352]"/>
            <x15:cachedUniqueName index="7331" name="[FactPayment].[CaseKey].&amp;[8302|00025367]"/>
            <x15:cachedUniqueName index="7332" name="[FactPayment].[CaseKey].&amp;[8302|00025370]"/>
            <x15:cachedUniqueName index="7333" name="[FactPayment].[CaseKey].&amp;[8302|00025384]"/>
            <x15:cachedUniqueName index="7334" name="[FactPayment].[CaseKey].&amp;[8302|00025396]"/>
            <x15:cachedUniqueName index="7335" name="[FactPayment].[CaseKey].&amp;[8302|00025405]"/>
            <x15:cachedUniqueName index="7336" name="[FactPayment].[CaseKey].&amp;[8302|00025413]"/>
            <x15:cachedUniqueName index="7337" name="[FactPayment].[CaseKey].&amp;[8302|00025426]"/>
            <x15:cachedUniqueName index="7338" name="[FactPayment].[CaseKey].&amp;[8302|00025438]"/>
            <x15:cachedUniqueName index="7339" name="[FactPayment].[CaseKey].&amp;[8302|00025447]"/>
            <x15:cachedUniqueName index="7340" name="[FactPayment].[CaseKey].&amp;[8302|00025462]"/>
            <x15:cachedUniqueName index="7341" name="[FactPayment].[CaseKey].&amp;[8302|00025470]"/>
            <x15:cachedUniqueName index="7342" name="[FactPayment].[CaseKey].&amp;[8302|00025481]"/>
            <x15:cachedUniqueName index="7343" name="[FactPayment].[CaseKey].&amp;[8302|00025497]"/>
            <x15:cachedUniqueName index="7344" name="[FactPayment].[CaseKey].&amp;[8302|00025500]"/>
            <x15:cachedUniqueName index="7345" name="[FactPayment].[CaseKey].&amp;[8302|00025510]"/>
            <x15:cachedUniqueName index="7346" name="[FactPayment].[CaseKey].&amp;[8302|00025522]"/>
            <x15:cachedUniqueName index="7347" name="[FactPayment].[CaseKey].&amp;[8302|00025537]"/>
            <x15:cachedUniqueName index="7348" name="[FactPayment].[CaseKey].&amp;[8302|00025547]"/>
            <x15:cachedUniqueName index="7349" name="[FactPayment].[CaseKey].&amp;[8302|00025550]"/>
            <x15:cachedUniqueName index="7350" name="[FactPayment].[CaseKey].&amp;[8302|00025566]"/>
            <x15:cachedUniqueName index="7351" name="[FactPayment].[CaseKey].&amp;[8302|00025574]"/>
            <x15:cachedUniqueName index="7352" name="[FactPayment].[CaseKey].&amp;[8302|00025585]"/>
            <x15:cachedUniqueName index="7353" name="[FactPayment].[CaseKey].&amp;[8302|00025597]"/>
            <x15:cachedUniqueName index="7354" name="[FactPayment].[CaseKey].&amp;[8302|00025608]"/>
            <x15:cachedUniqueName index="7355" name="[FactPayment].[CaseKey].&amp;[8302|00025616]"/>
            <x15:cachedUniqueName index="7356" name="[FactPayment].[CaseKey].&amp;[8302|00025627]"/>
            <x15:cachedUniqueName index="7357" name="[FactPayment].[CaseKey].&amp;[8302|00025636]"/>
            <x15:cachedUniqueName index="7358" name="[FactPayment].[CaseKey].&amp;[8302|00025645]"/>
            <x15:cachedUniqueName index="7359" name="[FactPayment].[CaseKey].&amp;[8302|00025657]"/>
            <x15:cachedUniqueName index="7360" name="[FactPayment].[CaseKey].&amp;[8302|00025668]"/>
            <x15:cachedUniqueName index="7361" name="[FactPayment].[CaseKey].&amp;[8302|00025675]"/>
            <x15:cachedUniqueName index="7362" name="[FactPayment].[CaseKey].&amp;[8302|00025686]"/>
            <x15:cachedUniqueName index="7363" name="[FactPayment].[CaseKey].&amp;[8302|00025693]"/>
            <x15:cachedUniqueName index="7364" name="[FactPayment].[CaseKey].&amp;[8302|00025700]"/>
            <x15:cachedUniqueName index="7365" name="[FactPayment].[CaseKey].&amp;[8302|00025725]"/>
            <x15:cachedUniqueName index="7366" name="[FactPayment].[CaseKey].&amp;[8302|00025733]"/>
            <x15:cachedUniqueName index="7367" name="[FactPayment].[CaseKey].&amp;[8302|00025746]"/>
            <x15:cachedUniqueName index="7368" name="[FactPayment].[CaseKey].&amp;[8302|00025754]"/>
            <x15:cachedUniqueName index="7369" name="[FactPayment].[CaseKey].&amp;[8302|00025766]"/>
            <x15:cachedUniqueName index="7370" name="[FactPayment].[CaseKey].&amp;[8302|00025775]"/>
            <x15:cachedUniqueName index="7371" name="[FactPayment].[CaseKey].&amp;[8302|00025784]"/>
            <x15:cachedUniqueName index="7372" name="[FactPayment].[CaseKey].&amp;[8302|00025798]"/>
            <x15:cachedUniqueName index="7373" name="[FactPayment].[CaseKey].&amp;[8302|00025806]"/>
            <x15:cachedUniqueName index="7374" name="[FactPayment].[CaseKey].&amp;[8302|00025810]"/>
            <x15:cachedUniqueName index="7375" name="[FactPayment].[CaseKey].&amp;[8302|00025836]"/>
            <x15:cachedUniqueName index="7376" name="[FactPayment].[CaseKey].&amp;[8302|00025842]"/>
            <x15:cachedUniqueName index="7377" name="[FactPayment].[CaseKey].&amp;[8302|00025854]"/>
            <x15:cachedUniqueName index="7378" name="[FactPayment].[CaseKey].&amp;[8302|00025863]"/>
            <x15:cachedUniqueName index="7379" name="[FactPayment].[CaseKey].&amp;[8302|00025872]"/>
            <x15:cachedUniqueName index="7380" name="[FactPayment].[CaseKey].&amp;[8302|00025887]"/>
            <x15:cachedUniqueName index="7381" name="[FactPayment].[CaseKey].&amp;[8302|00025897]"/>
            <x15:cachedUniqueName index="7382" name="[FactPayment].[CaseKey].&amp;[8302|00025901]"/>
            <x15:cachedUniqueName index="7383" name="[FactPayment].[CaseKey].&amp;[8302|00025910]"/>
            <x15:cachedUniqueName index="7384" name="[FactPayment].[CaseKey].&amp;[8302|00025920]"/>
            <x15:cachedUniqueName index="7385" name="[FactPayment].[CaseKey].&amp;[8302|00025946]"/>
            <x15:cachedUniqueName index="7386" name="[FactPayment].[CaseKey].&amp;[8302|00025954]"/>
            <x15:cachedUniqueName index="7387" name="[FactPayment].[CaseKey].&amp;[8302|00025974]"/>
            <x15:cachedUniqueName index="7388" name="[FactPayment].[CaseKey].&amp;[8302|00025996]"/>
            <x15:cachedUniqueName index="7389" name="[FactPayment].[CaseKey].&amp;[8302|00026005]"/>
            <x15:cachedUniqueName index="7390" name="[FactPayment].[CaseKey].&amp;[8302|00026012]"/>
            <x15:cachedUniqueName index="7391" name="[FactPayment].[CaseKey].&amp;[8302|00026022]"/>
            <x15:cachedUniqueName index="7392" name="[FactPayment].[CaseKey].&amp;[8302|00026034]"/>
            <x15:cachedUniqueName index="7393" name="[FactPayment].[CaseKey].&amp;[8302|00026044]"/>
            <x15:cachedUniqueName index="7394" name="[FactPayment].[CaseKey].&amp;[8302|00026056]"/>
            <x15:cachedUniqueName index="7395" name="[FactPayment].[CaseKey].&amp;[8302|00026061]"/>
            <x15:cachedUniqueName index="7396" name="[FactPayment].[CaseKey].&amp;[8302|00026072]"/>
            <x15:cachedUniqueName index="7397" name="[FactPayment].[CaseKey].&amp;[8302|00026087]"/>
            <x15:cachedUniqueName index="7398" name="[FactPayment].[CaseKey].&amp;[8302|00026096]"/>
            <x15:cachedUniqueName index="7399" name="[FactPayment].[CaseKey].&amp;[8302|00026100]"/>
            <x15:cachedUniqueName index="7400" name="[FactPayment].[CaseKey].&amp;[8302|00026117]"/>
            <x15:cachedUniqueName index="7401" name="[FactPayment].[CaseKey].&amp;[8302|00026128]"/>
            <x15:cachedUniqueName index="7402" name="[FactPayment].[CaseKey].&amp;[8302|00026133]"/>
            <x15:cachedUniqueName index="7403" name="[FactPayment].[CaseKey].&amp;[8302|00026145]"/>
            <x15:cachedUniqueName index="7404" name="[FactPayment].[CaseKey].&amp;[8302|00026155]"/>
            <x15:cachedUniqueName index="7405" name="[FactPayment].[CaseKey].&amp;[8302|00026164]"/>
            <x15:cachedUniqueName index="7406" name="[FactPayment].[CaseKey].&amp;[8302|00026178]"/>
            <x15:cachedUniqueName index="7407" name="[FactPayment].[CaseKey].&amp;[8302|00026197]"/>
            <x15:cachedUniqueName index="7408" name="[FactPayment].[CaseKey].&amp;[8302|00026200]"/>
            <x15:cachedUniqueName index="7409" name="[FactPayment].[CaseKey].&amp;[8302|00026211]"/>
            <x15:cachedUniqueName index="7410" name="[FactPayment].[CaseKey].&amp;[8302|00026226]"/>
            <x15:cachedUniqueName index="7411" name="[FactPayment].[CaseKey].&amp;[8302|00026242]"/>
            <x15:cachedUniqueName index="7412" name="[FactPayment].[CaseKey].&amp;[8302|00026254]"/>
            <x15:cachedUniqueName index="7413" name="[FactPayment].[CaseKey].&amp;[8302|00026263]"/>
            <x15:cachedUniqueName index="7414" name="[FactPayment].[CaseKey].&amp;[8302|00026277]"/>
            <x15:cachedUniqueName index="7415" name="[FactPayment].[CaseKey].&amp;[8302|00026288]"/>
            <x15:cachedUniqueName index="7416" name="[FactPayment].[CaseKey].&amp;[8302|00026292]"/>
            <x15:cachedUniqueName index="7417" name="[FactPayment].[CaseKey].&amp;[8302|00026305]"/>
            <x15:cachedUniqueName index="7418" name="[FactPayment].[CaseKey].&amp;[8302|00026315]"/>
            <x15:cachedUniqueName index="7419" name="[FactPayment].[CaseKey].&amp;[8302|00026320]"/>
            <x15:cachedUniqueName index="7420" name="[FactPayment].[CaseKey].&amp;[8302|00026334]"/>
            <x15:cachedUniqueName index="7421" name="[FactPayment].[CaseKey].&amp;[8302|00026342]"/>
            <x15:cachedUniqueName index="7422" name="[FactPayment].[CaseKey].&amp;[8302|00026354]"/>
            <x15:cachedUniqueName index="7423" name="[FactPayment].[CaseKey].&amp;[8302|00026367]"/>
            <x15:cachedUniqueName index="7424" name="[FactPayment].[CaseKey].&amp;[8302|00026371]"/>
            <x15:cachedUniqueName index="7425" name="[FactPayment].[CaseKey].&amp;[8302|00026383]"/>
            <x15:cachedUniqueName index="7426" name="[FactPayment].[CaseKey].&amp;[8302|00026394]"/>
            <x15:cachedUniqueName index="7427" name="[FactPayment].[CaseKey].&amp;[8302|00026400]"/>
            <x15:cachedUniqueName index="7428" name="[FactPayment].[CaseKey].&amp;[8302|00026412]"/>
            <x15:cachedUniqueName index="7429" name="[FactPayment].[CaseKey].&amp;[8302|00026430]"/>
            <x15:cachedUniqueName index="7430" name="[FactPayment].[CaseKey].&amp;[8302|00026440]"/>
            <x15:cachedUniqueName index="7431" name="[FactPayment].[CaseKey].&amp;[8302|00026453]"/>
            <x15:cachedUniqueName index="7432" name="[FactPayment].[CaseKey].&amp;[8302|00026464]"/>
            <x15:cachedUniqueName index="7433" name="[FactPayment].[CaseKey].&amp;[8302|00026472]"/>
            <x15:cachedUniqueName index="7434" name="[FactPayment].[CaseKey].&amp;[8302|00026486]"/>
            <x15:cachedUniqueName index="7435" name="[FactPayment].[CaseKey].&amp;[8302|00026495]"/>
            <x15:cachedUniqueName index="7436" name="[FactPayment].[CaseKey].&amp;[8302|00026508]"/>
            <x15:cachedUniqueName index="7437" name="[FactPayment].[CaseKey].&amp;[8302|00026515]"/>
            <x15:cachedUniqueName index="7438" name="[FactPayment].[CaseKey].&amp;[8302|00026528]"/>
            <x15:cachedUniqueName index="7439" name="[FactPayment].[CaseKey].&amp;[8302|00026536]"/>
            <x15:cachedUniqueName index="7440" name="[FactPayment].[CaseKey].&amp;[8302|00026540]"/>
            <x15:cachedUniqueName index="7441" name="[FactPayment].[CaseKey].&amp;[8302|00026557]"/>
            <x15:cachedUniqueName index="7442" name="[FactPayment].[CaseKey].&amp;[8302|00026566]"/>
            <x15:cachedUniqueName index="7443" name="[FactPayment].[CaseKey].&amp;[8302|00026576]"/>
            <x15:cachedUniqueName index="7444" name="[FactPayment].[CaseKey].&amp;[8302|00026588]"/>
            <x15:cachedUniqueName index="7445" name="[FactPayment].[CaseKey].&amp;[8302|00026590]"/>
            <x15:cachedUniqueName index="7446" name="[FactPayment].[CaseKey].&amp;[8302|00026602]"/>
            <x15:cachedUniqueName index="7447" name="[FactPayment].[CaseKey].&amp;[8302|00026617]"/>
            <x15:cachedUniqueName index="7448" name="[FactPayment].[CaseKey].&amp;[8302|00026627]"/>
            <x15:cachedUniqueName index="7449" name="[FactPayment].[CaseKey].&amp;[8302|00026637]"/>
            <x15:cachedUniqueName index="7450" name="[FactPayment].[CaseKey].&amp;[8302|00026644]"/>
            <x15:cachedUniqueName index="7451" name="[FactPayment].[CaseKey].&amp;[8302|00026651]"/>
            <x15:cachedUniqueName index="7452" name="[FactPayment].[CaseKey].&amp;[8302|00026665]"/>
            <x15:cachedUniqueName index="7453" name="[FactPayment].[CaseKey].&amp;[8302|00026677]"/>
            <x15:cachedUniqueName index="7454" name="[FactPayment].[CaseKey].&amp;[8302|00026682]"/>
            <x15:cachedUniqueName index="7455" name="[FactPayment].[CaseKey].&amp;[8302|00026696]"/>
            <x15:cachedUniqueName index="7456" name="[FactPayment].[CaseKey].&amp;[8302|00026705]"/>
            <x15:cachedUniqueName index="7457" name="[FactPayment].[CaseKey].&amp;[8302|00026718]"/>
            <x15:cachedUniqueName index="7458" name="[FactPayment].[CaseKey].&amp;[8302|00026728]"/>
            <x15:cachedUniqueName index="7459" name="[FactPayment].[CaseKey].&amp;[8302|00026746]"/>
            <x15:cachedUniqueName index="7460" name="[FactPayment].[CaseKey].&amp;[8302|00026752]"/>
            <x15:cachedUniqueName index="7461" name="[FactPayment].[CaseKey].&amp;[8302|00026763]"/>
            <x15:cachedUniqueName index="7462" name="[FactPayment].[CaseKey].&amp;[8302|00026774]"/>
            <x15:cachedUniqueName index="7463" name="[FactPayment].[CaseKey].&amp;[8302|00026785]"/>
            <x15:cachedUniqueName index="7464" name="[FactPayment].[CaseKey].&amp;[8302|00026790]"/>
            <x15:cachedUniqueName index="7465" name="[FactPayment].[CaseKey].&amp;[8302|00026810]"/>
            <x15:cachedUniqueName index="7466" name="[FactPayment].[CaseKey].&amp;[8302|00026824]"/>
            <x15:cachedUniqueName index="7467" name="[FactPayment].[CaseKey].&amp;[8302|00026833]"/>
            <x15:cachedUniqueName index="7468" name="[FactPayment].[CaseKey].&amp;[8302|00026844]"/>
            <x15:cachedUniqueName index="7469" name="[FactPayment].[CaseKey].&amp;[8302|00026856]"/>
            <x15:cachedUniqueName index="7470" name="[FactPayment].[CaseKey].&amp;[8302|00026865]"/>
            <x15:cachedUniqueName index="7471" name="[FactPayment].[CaseKey].&amp;[8302|00026873]"/>
            <x15:cachedUniqueName index="7472" name="[FactPayment].[CaseKey].&amp;[8302|00026888]"/>
            <x15:cachedUniqueName index="7473" name="[FactPayment].[CaseKey].&amp;[8302|00026890]"/>
            <x15:cachedUniqueName index="7474" name="[FactPayment].[CaseKey].&amp;[8302|00026902]"/>
            <x15:cachedUniqueName index="7475" name="[FactPayment].[CaseKey].&amp;[8302|00026911]"/>
            <x15:cachedUniqueName index="7476" name="[FactPayment].[CaseKey].&amp;[8302|00026925]"/>
            <x15:cachedUniqueName index="7477" name="[FactPayment].[CaseKey].&amp;[8302|00026934]"/>
            <x15:cachedUniqueName index="7478" name="[FactPayment].[CaseKey].&amp;[8302|00026945]"/>
            <x15:cachedUniqueName index="7479" name="[FactPayment].[CaseKey].&amp;[8302|00026953]"/>
            <x15:cachedUniqueName index="7480" name="[FactPayment].[CaseKey].&amp;[8302|00026961]"/>
            <x15:cachedUniqueName index="7481" name="[FactPayment].[CaseKey].&amp;[8302|00026973]"/>
            <x15:cachedUniqueName index="7482" name="[FactPayment].[CaseKey].&amp;[8302|00026987]"/>
            <x15:cachedUniqueName index="7483" name="[FactPayment].[CaseKey].&amp;[8302|00026994]"/>
            <x15:cachedUniqueName index="7484" name="[FactPayment].[CaseKey].&amp;[8302|00027006]"/>
            <x15:cachedUniqueName index="7485" name="[FactPayment].[CaseKey].&amp;[8302|00027013]"/>
            <x15:cachedUniqueName index="7486" name="[FactPayment].[CaseKey].&amp;[8302|00027022]"/>
            <x15:cachedUniqueName index="7487" name="[FactPayment].[CaseKey].&amp;[8302|00027032]"/>
            <x15:cachedUniqueName index="7488" name="[FactPayment].[CaseKey].&amp;[8302|00027050]"/>
            <x15:cachedUniqueName index="7489" name="[FactPayment].[CaseKey].&amp;[8302|00027060]"/>
            <x15:cachedUniqueName index="7490" name="[FactPayment].[CaseKey].&amp;[8302|00027076]"/>
            <x15:cachedUniqueName index="7491" name="[FactPayment].[CaseKey].&amp;[8302|00027087]"/>
            <x15:cachedUniqueName index="7492" name="[FactPayment].[CaseKey].&amp;[8302|00027092]"/>
            <x15:cachedUniqueName index="7493" name="[FactPayment].[CaseKey].&amp;[8302|00027106]"/>
            <x15:cachedUniqueName index="7494" name="[FactPayment].[CaseKey].&amp;[8302|00027115]"/>
            <x15:cachedUniqueName index="7495" name="[FactPayment].[CaseKey].&amp;[8302|00027123]"/>
            <x15:cachedUniqueName index="7496" name="[FactPayment].[CaseKey].&amp;[8302|00027134]"/>
            <x15:cachedUniqueName index="7497" name="[FactPayment].[CaseKey].&amp;[8302|00027146]"/>
            <x15:cachedUniqueName index="7498" name="[FactPayment].[CaseKey].&amp;[8302|00027155]"/>
            <x15:cachedUniqueName index="7499" name="[FactPayment].[CaseKey].&amp;[8302|00027161]"/>
            <x15:cachedUniqueName index="7500" name="[FactPayment].[CaseKey].&amp;[8302|00027176]"/>
            <x15:cachedUniqueName index="7501" name="[FactPayment].[CaseKey].&amp;[8302|00027184]"/>
            <x15:cachedUniqueName index="7502" name="[FactPayment].[CaseKey].&amp;[8302|00027198]"/>
            <x15:cachedUniqueName index="7503" name="[FactPayment].[CaseKey].&amp;[8302|00027207]"/>
            <x15:cachedUniqueName index="7504" name="[FactPayment].[CaseKey].&amp;[8302|00027212]"/>
            <x15:cachedUniqueName index="7505" name="[FactPayment].[CaseKey].&amp;[8302|00027227]"/>
            <x15:cachedUniqueName index="7506" name="[FactPayment].[CaseKey].&amp;[8302|00027230]"/>
            <x15:cachedUniqueName index="7507" name="[FactPayment].[CaseKey].&amp;[8302|00027248]"/>
            <x15:cachedUniqueName index="7508" name="[FactPayment].[CaseKey].&amp;[8302|00027255]"/>
            <x15:cachedUniqueName index="7509" name="[FactPayment].[CaseKey].&amp;[8302|00027261]"/>
            <x15:cachedUniqueName index="7510" name="[FactPayment].[CaseKey].&amp;[8302|00027276]"/>
            <x15:cachedUniqueName index="7511" name="[FactPayment].[CaseKey].&amp;[8302|00027288]"/>
            <x15:cachedUniqueName index="7512" name="[FactPayment].[CaseKey].&amp;[8302|00027291]"/>
            <x15:cachedUniqueName index="7513" name="[FactPayment].[CaseKey].&amp;[8302|00027300]"/>
            <x15:cachedUniqueName index="7514" name="[FactPayment].[CaseKey].&amp;[8302|00027311]"/>
            <x15:cachedUniqueName index="7515" name="[FactPayment].[CaseKey].&amp;[8302|00027321]"/>
            <x15:cachedUniqueName index="7516" name="[FactPayment].[CaseKey].&amp;[8302|00027333]"/>
            <x15:cachedUniqueName index="7517" name="[FactPayment].[CaseKey].&amp;[8302|00027345]"/>
            <x15:cachedUniqueName index="7518" name="[FactPayment].[CaseKey].&amp;[8302|00027353]"/>
            <x15:cachedUniqueName index="7519" name="[FactPayment].[CaseKey].&amp;[8302|00027365]"/>
            <x15:cachedUniqueName index="7520" name="[FactPayment].[CaseKey].&amp;[8302|00027372]"/>
            <x15:cachedUniqueName index="7521" name="[FactPayment].[CaseKey].&amp;[8302|00027381]"/>
            <x15:cachedUniqueName index="7522" name="[FactPayment].[CaseKey].&amp;[8302|00027398]"/>
            <x15:cachedUniqueName index="7523" name="[FactPayment].[CaseKey].&amp;[8302|00027400]"/>
            <x15:cachedUniqueName index="7524" name="[FactPayment].[CaseKey].&amp;[8302|00027414]"/>
            <x15:cachedUniqueName index="7525" name="[FactPayment].[CaseKey].&amp;[8302|00027438]"/>
            <x15:cachedUniqueName index="7526" name="[FactPayment].[CaseKey].&amp;[8302|00027443]"/>
            <x15:cachedUniqueName index="7527" name="[FactPayment].[CaseKey].&amp;[8302|00027457]"/>
            <x15:cachedUniqueName index="7528" name="[FactPayment].[CaseKey].&amp;[8302|00027461]"/>
            <x15:cachedUniqueName index="7529" name="[FactPayment].[CaseKey].&amp;[8302|00027478]"/>
            <x15:cachedUniqueName index="7530" name="[FactPayment].[CaseKey].&amp;[8302|00027481]"/>
            <x15:cachedUniqueName index="7531" name="[FactPayment].[CaseKey].&amp;[8302|00027495]"/>
            <x15:cachedUniqueName index="7532" name="[FactPayment].[CaseKey].&amp;[8302|00027501]"/>
            <x15:cachedUniqueName index="7533" name="[FactPayment].[CaseKey].&amp;[8302|00027514]"/>
            <x15:cachedUniqueName index="7534" name="[FactPayment].[CaseKey].&amp;[8302|00027527]"/>
            <x15:cachedUniqueName index="7535" name="[FactPayment].[CaseKey].&amp;[8302|00027532]"/>
            <x15:cachedUniqueName index="7536" name="[FactPayment].[CaseKey].&amp;[8302|00027540]"/>
            <x15:cachedUniqueName index="7537" name="[FactPayment].[CaseKey].&amp;[8302|00027552]"/>
            <x15:cachedUniqueName index="7538" name="[FactPayment].[CaseKey].&amp;[8302|00027563]"/>
            <x15:cachedUniqueName index="7539" name="[FactPayment].[CaseKey].&amp;[8302|00027578]"/>
            <x15:cachedUniqueName index="7540" name="[FactPayment].[CaseKey].&amp;[8302|00027583]"/>
            <x15:cachedUniqueName index="7541" name="[FactPayment].[CaseKey].&amp;[8302|00027592]"/>
            <x15:cachedUniqueName index="7542" name="[FactPayment].[CaseKey].&amp;[8302|00027603]"/>
            <x15:cachedUniqueName index="7543" name="[FactPayment].[CaseKey].&amp;[8302|00027617]"/>
            <x15:cachedUniqueName index="7544" name="[FactPayment].[CaseKey].&amp;[8302|00027626]"/>
            <x15:cachedUniqueName index="7545" name="[FactPayment].[CaseKey].&amp;[8302|00027633]"/>
            <x15:cachedUniqueName index="7546" name="[FactPayment].[CaseKey].&amp;[8302|00027643]"/>
            <x15:cachedUniqueName index="7547" name="[FactPayment].[CaseKey].&amp;[8302|00027656]"/>
            <x15:cachedUniqueName index="7548" name="[FactPayment].[CaseKey].&amp;[8302|00027665]"/>
            <x15:cachedUniqueName index="7549" name="[FactPayment].[CaseKey].&amp;[8302|00027678]"/>
            <x15:cachedUniqueName index="7550" name="[FactPayment].[CaseKey].&amp;[8302|00027683]"/>
            <x15:cachedUniqueName index="7551" name="[FactPayment].[CaseKey].&amp;[8302|00027692]"/>
            <x15:cachedUniqueName index="7552" name="[FactPayment].[CaseKey].&amp;[8302|00027701]"/>
            <x15:cachedUniqueName index="7553" name="[FactPayment].[CaseKey].&amp;[8302|00027724]"/>
            <x15:cachedUniqueName index="7554" name="[FactPayment].[CaseKey].&amp;[8302|00027735]"/>
            <x15:cachedUniqueName index="7555" name="[FactPayment].[CaseKey].&amp;[8302|00027748]"/>
            <x15:cachedUniqueName index="7556" name="[FactPayment].[CaseKey].&amp;[8302|00027762]"/>
            <x15:cachedUniqueName index="7557" name="[FactPayment].[CaseKey].&amp;[8302|00027771]"/>
            <x15:cachedUniqueName index="7558" name="[FactPayment].[CaseKey].&amp;[8302|00027784]"/>
            <x15:cachedUniqueName index="7559" name="[FactPayment].[CaseKey].&amp;[8302|00027793]"/>
            <x15:cachedUniqueName index="7560" name="[FactPayment].[CaseKey].&amp;[8302|00027804]"/>
            <x15:cachedUniqueName index="7561" name="[FactPayment].[CaseKey].&amp;[8302|00027837]"/>
            <x15:cachedUniqueName index="7562" name="[FactPayment].[CaseKey].&amp;[8302|00027847]"/>
            <x15:cachedUniqueName index="7563" name="[FactPayment].[CaseKey].&amp;[8302|00027853]"/>
            <x15:cachedUniqueName index="7564" name="[FactPayment].[CaseKey].&amp;[8302|00027876]"/>
            <x15:cachedUniqueName index="7565" name="[FactPayment].[CaseKey].&amp;[8302|00027926]"/>
            <x15:cachedUniqueName index="7566" name="[FactPayment].[CaseKey].&amp;[8302|00027932]"/>
            <x15:cachedUniqueName index="7567" name="[FactPayment].[CaseKey].&amp;[8302|00027957]"/>
            <x15:cachedUniqueName index="7568" name="[FactPayment].[CaseKey].&amp;[8302|00027964]"/>
            <x15:cachedUniqueName index="7569" name="[FactPayment].[CaseKey].&amp;[8302|00027974]"/>
            <x15:cachedUniqueName index="7570" name="[FactPayment].[CaseKey].&amp;[8302|00027991]"/>
            <x15:cachedUniqueName index="7571" name="[FactPayment].[CaseKey].&amp;[8302|00028005]"/>
            <x15:cachedUniqueName index="7572" name="[FactPayment].[CaseKey].&amp;[8302|00028016]"/>
            <x15:cachedUniqueName index="7573" name="[FactPayment].[CaseKey].&amp;[8302|00028025]"/>
            <x15:cachedUniqueName index="7574" name="[FactPayment].[CaseKey].&amp;[8302|00028035]"/>
            <x15:cachedUniqueName index="7575" name="[FactPayment].[CaseKey].&amp;[8302|00028044]"/>
            <x15:cachedUniqueName index="7576" name="[FactPayment].[CaseKey].&amp;[8302|00028067]"/>
            <x15:cachedUniqueName index="7577" name="[FactPayment].[CaseKey].&amp;[8302|00028112]"/>
            <x15:cachedUniqueName index="7578" name="[FactPayment].[CaseKey].&amp;[8302|00028131]"/>
            <x15:cachedUniqueName index="7579" name="[FactPayment].[CaseKey].&amp;[8302|00028143]"/>
            <x15:cachedUniqueName index="7580" name="[FactPayment].[CaseKey].&amp;[8302|00028152]"/>
            <x15:cachedUniqueName index="7581" name="[FactPayment].[CaseKey].&amp;[8302|00028167]"/>
            <x15:cachedUniqueName index="7582" name="[FactPayment].[CaseKey].&amp;[8302|00028173]"/>
            <x15:cachedUniqueName index="7583" name="[FactPayment].[CaseKey].&amp;[8302|00028186]"/>
            <x15:cachedUniqueName index="7584" name="[FactPayment].[CaseKey].&amp;[8302|00028192]"/>
            <x15:cachedUniqueName index="7585" name="[FactPayment].[CaseKey].&amp;[8302|00028206]"/>
            <x15:cachedUniqueName index="7586" name="[FactPayment].[CaseKey].&amp;[8302|00028213]"/>
            <x15:cachedUniqueName index="7587" name="[FactPayment].[CaseKey].&amp;[8302|00028227]"/>
            <x15:cachedUniqueName index="7588" name="[FactPayment].[CaseKey].&amp;[8302|00028248]"/>
            <x15:cachedUniqueName index="7589" name="[FactPayment].[CaseKey].&amp;[8302|00028253]"/>
            <x15:cachedUniqueName index="7590" name="[FactPayment].[CaseKey].&amp;[8302|00028266]"/>
            <x15:cachedUniqueName index="7591" name="[FactPayment].[CaseKey].&amp;[8302|00028272]"/>
            <x15:cachedUniqueName index="7592" name="[FactPayment].[CaseKey].&amp;[8302|00028287]"/>
            <x15:cachedUniqueName index="7593" name="[FactPayment].[CaseKey].&amp;[8302|00028296]"/>
            <x15:cachedUniqueName index="7594" name="[FactPayment].[CaseKey].&amp;[8302|00028306]"/>
            <x15:cachedUniqueName index="7595" name="[FactPayment].[CaseKey].&amp;[8302|00028327]"/>
            <x15:cachedUniqueName index="7596" name="[FactPayment].[CaseKey].&amp;[8302|00028330]"/>
            <x15:cachedUniqueName index="7597" name="[FactPayment].[CaseKey].&amp;[8302|00028345]"/>
            <x15:cachedUniqueName index="7598" name="[FactPayment].[CaseKey].&amp;[8302|00028357]"/>
            <x15:cachedUniqueName index="7599" name="[FactPayment].[CaseKey].&amp;[8302|00028362]"/>
            <x15:cachedUniqueName index="7600" name="[FactPayment].[CaseKey].&amp;[8302|00028383]"/>
            <x15:cachedUniqueName index="7601" name="[FactPayment].[CaseKey].&amp;[8302|00028391]"/>
            <x15:cachedUniqueName index="7602" name="[FactPayment].[CaseKey].&amp;[8302|00028401]"/>
            <x15:cachedUniqueName index="7603" name="[FactPayment].[CaseKey].&amp;[8302|00028415]"/>
            <x15:cachedUniqueName index="7604" name="[FactPayment].[CaseKey].&amp;[8302|00028426]"/>
            <x15:cachedUniqueName index="7605" name="[FactPayment].[CaseKey].&amp;[8302|00028432]"/>
            <x15:cachedUniqueName index="7606" name="[FactPayment].[CaseKey].&amp;[8302|00028445]"/>
            <x15:cachedUniqueName index="7607" name="[FactPayment].[CaseKey].&amp;[8302|00028473]"/>
            <x15:cachedUniqueName index="7608" name="[FactPayment].[CaseKey].&amp;[8302|00028483]"/>
            <x15:cachedUniqueName index="7609" name="[FactPayment].[CaseKey].&amp;[8302|00028506]"/>
            <x15:cachedUniqueName index="7610" name="[FactPayment].[CaseKey].&amp;[8302|00028518]"/>
            <x15:cachedUniqueName index="7611" name="[FactPayment].[CaseKey].&amp;[8302|00028531]"/>
            <x15:cachedUniqueName index="7612" name="[FactPayment].[CaseKey].&amp;[8302|00028545]"/>
            <x15:cachedUniqueName index="7613" name="[FactPayment].[CaseKey].&amp;[8302|00028552]"/>
            <x15:cachedUniqueName index="7614" name="[FactPayment].[CaseKey].&amp;[8302|00028564]"/>
            <x15:cachedUniqueName index="7615" name="[FactPayment].[CaseKey].&amp;[8302|00028577]"/>
            <x15:cachedUniqueName index="7616" name="[FactPayment].[CaseKey].&amp;[8302|00028583]"/>
            <x15:cachedUniqueName index="7617" name="[FactPayment].[CaseKey].&amp;[8302|00028608]"/>
            <x15:cachedUniqueName index="7618" name="[FactPayment].[CaseKey].&amp;[8302|00028614]"/>
            <x15:cachedUniqueName index="7619" name="[FactPayment].[CaseKey].&amp;[8302|00028624]"/>
            <x15:cachedUniqueName index="7620" name="[FactPayment].[CaseKey].&amp;[8302|00028630]"/>
            <x15:cachedUniqueName index="7621" name="[FactPayment].[CaseKey].&amp;[8302|00028641]"/>
            <x15:cachedUniqueName index="7622" name="[FactPayment].[CaseKey].&amp;[8302|00028694]"/>
            <x15:cachedUniqueName index="7623" name="[FactPayment].[CaseKey].&amp;[8302|00028711]"/>
            <x15:cachedUniqueName index="7624" name="[FactPayment].[CaseKey].&amp;[8302|00028730]"/>
            <x15:cachedUniqueName index="7625" name="[FactPayment].[CaseKey].&amp;[8302|00028783]"/>
            <x15:cachedUniqueName index="7626" name="[FactPayment].[CaseKey].&amp;[8302|00028805]"/>
            <x15:cachedUniqueName index="7627" name="[FactPayment].[CaseKey].&amp;[8302|00028817]"/>
            <x15:cachedUniqueName index="7628" name="[FactPayment].[CaseKey].&amp;[8302|00028858]"/>
            <x15:cachedUniqueName index="7629" name="[FactPayment].[CaseKey].&amp;[8302|00028877]"/>
            <x15:cachedUniqueName index="7630" name="[FactPayment].[CaseKey].&amp;[8302|00028960]"/>
            <x15:cachedUniqueName index="7631" name="[FactPayment].[CaseKey].&amp;[8302|00029126]"/>
            <x15:cachedUniqueName index="7632" name="[FactPayment].[CaseKey].&amp;[8302|00029134]"/>
            <x15:cachedUniqueName index="7633" name="[FactPayment].[CaseKey].&amp;[8302|00029157]"/>
            <x15:cachedUniqueName index="7634" name="[FactPayment].[CaseKey].&amp;[8302|00029165]"/>
            <x15:cachedUniqueName index="7635" name="[FactPayment].[CaseKey].&amp;[8302|00029280]"/>
            <x15:cachedUniqueName index="7636" name="[FactPayment].[CaseKey].&amp;[8302|00029291]"/>
            <x15:cachedUniqueName index="7637" name="[FactPayment].[CaseKey].&amp;[8201|00004224]"/>
            <x15:cachedUniqueName index="7638" name="[FactPayment].[CaseKey].&amp;[8201|00004346]"/>
            <x15:cachedUniqueName index="7639" name="[FactPayment].[CaseKey].&amp;[8201|00004524]"/>
            <x15:cachedUniqueName index="7640" name="[FactPayment].[CaseKey].&amp;[8201|00004655]"/>
            <x15:cachedUniqueName index="7641" name="[FactPayment].[CaseKey].&amp;[8201|00004812]"/>
            <x15:cachedUniqueName index="7642" name="[FactPayment].[CaseKey].&amp;[8201|00005054]"/>
            <x15:cachedUniqueName index="7643" name="[FactPayment].[CaseKey].&amp;[8201|00005085]"/>
            <x15:cachedUniqueName index="7644" name="[FactPayment].[CaseKey].&amp;[8201|00005107]"/>
            <x15:cachedUniqueName index="7645" name="[FactPayment].[CaseKey].&amp;[8201|00005132]"/>
            <x15:cachedUniqueName index="7646" name="[FactPayment].[CaseKey].&amp;[8201|00005374]"/>
            <x15:cachedUniqueName index="7647" name="[FactPayment].[CaseKey].&amp;[8201|00005381]"/>
            <x15:cachedUniqueName index="7648" name="[FactPayment].[CaseKey].&amp;[8201|00005414]"/>
            <x15:cachedUniqueName index="7649" name="[FactPayment].[CaseKey].&amp;[8201|00005438]"/>
            <x15:cachedUniqueName index="7650" name="[FactPayment].[CaseKey].&amp;[8201|00005478]"/>
            <x15:cachedUniqueName index="7651" name="[FactPayment].[CaseKey].&amp;[8201|00005642]"/>
            <x15:cachedUniqueName index="7652" name="[FactPayment].[CaseKey].&amp;[8201|00005651]"/>
            <x15:cachedUniqueName index="7653" name="[FactPayment].[CaseKey].&amp;[8201|00005754]"/>
            <x15:cachedUniqueName index="7654" name="[FactPayment].[CaseKey].&amp;[8201|00005772]"/>
            <x15:cachedUniqueName index="7655" name="[FactPayment].[CaseKey].&amp;[8201|00005784]"/>
            <x15:cachedUniqueName index="7656" name="[FactPayment].[CaseKey].&amp;[8201|00005798]"/>
            <x15:cachedUniqueName index="7657" name="[FactPayment].[CaseKey].&amp;[8201|00005801]"/>
            <x15:cachedUniqueName index="7658" name="[FactPayment].[CaseKey].&amp;[8201|00005834]"/>
            <x15:cachedUniqueName index="7659" name="[FactPayment].[CaseKey].&amp;[8201|00005842]"/>
            <x15:cachedUniqueName index="7660" name="[FactPayment].[CaseKey].&amp;[8201|00005872]"/>
            <x15:cachedUniqueName index="7661" name="[FactPayment].[CaseKey].&amp;[8201|00005945]"/>
            <x15:cachedUniqueName index="7662" name="[FactPayment].[CaseKey].&amp;[8201|00005956]"/>
            <x15:cachedUniqueName index="7663" name="[FactPayment].[CaseKey].&amp;[8201|00005963]"/>
            <x15:cachedUniqueName index="7664" name="[FactPayment].[CaseKey].&amp;[8201|00005980]"/>
            <x15:cachedUniqueName index="7665" name="[FactPayment].[CaseKey].&amp;[8201|00006018]"/>
            <x15:cachedUniqueName index="7666" name="[FactPayment].[CaseKey].&amp;[8201|00006026]"/>
            <x15:cachedUniqueName index="7667" name="[FactPayment].[CaseKey].&amp;[8201|00006048]"/>
            <x15:cachedUniqueName index="7668" name="[FactPayment].[CaseKey].&amp;[8201|00006088]"/>
            <x15:cachedUniqueName index="7669" name="[FactPayment].[CaseKey].&amp;[8201|00006092]"/>
            <x15:cachedUniqueName index="7670" name="[FactPayment].[CaseKey].&amp;[8201|00006114]"/>
            <x15:cachedUniqueName index="7671" name="[FactPayment].[CaseKey].&amp;[8201|00006261]"/>
            <x15:cachedUniqueName index="7672" name="[FactPayment].[CaseKey].&amp;[8201|00006357]"/>
            <x15:cachedUniqueName index="7673" name="[FactPayment].[CaseKey].&amp;[8201|00006374]"/>
            <x15:cachedUniqueName index="7674" name="[FactPayment].[CaseKey].&amp;[8201|00006398]"/>
            <x15:cachedUniqueName index="7675" name="[FactPayment].[CaseKey].&amp;[8201|00006405]"/>
            <x15:cachedUniqueName index="7676" name="[FactPayment].[CaseKey].&amp;[8201|00006416]"/>
            <x15:cachedUniqueName index="7677" name="[FactPayment].[CaseKey].&amp;[8201|00006438]"/>
            <x15:cachedUniqueName index="7678" name="[FactPayment].[CaseKey].&amp;[8201|00006440]"/>
            <x15:cachedUniqueName index="7679" name="[FactPayment].[CaseKey].&amp;[8201|00006461]"/>
            <x15:cachedUniqueName index="7680" name="[FactPayment].[CaseKey].&amp;[8201|00006476]"/>
            <x15:cachedUniqueName index="7681" name="[FactPayment].[CaseKey].&amp;[8201|00006520]"/>
            <x15:cachedUniqueName index="7682" name="[FactPayment].[CaseKey].&amp;[8201|00006586]"/>
            <x15:cachedUniqueName index="7683" name="[FactPayment].[CaseKey].&amp;[8201|00006618]"/>
            <x15:cachedUniqueName index="7684" name="[FactPayment].[CaseKey].&amp;[8201|00006620]"/>
            <x15:cachedUniqueName index="7685" name="[FactPayment].[CaseKey].&amp;[8201|00006638]"/>
            <x15:cachedUniqueName index="7686" name="[FactPayment].[CaseKey].&amp;[8201|00006656]"/>
            <x15:cachedUniqueName index="7687" name="[FactPayment].[CaseKey].&amp;[8201|00006687]"/>
            <x15:cachedUniqueName index="7688" name="[FactPayment].[CaseKey].&amp;[8201|00006692]"/>
            <x15:cachedUniqueName index="7689" name="[FactPayment].[CaseKey].&amp;[8201|00006701]"/>
            <x15:cachedUniqueName index="7690" name="[FactPayment].[CaseKey].&amp;[8201|00006718]"/>
            <x15:cachedUniqueName index="7691" name="[FactPayment].[CaseKey].&amp;[8201|00006724]"/>
            <x15:cachedUniqueName index="7692" name="[FactPayment].[CaseKey].&amp;[8201|00006730]"/>
            <x15:cachedUniqueName index="7693" name="[FactPayment].[CaseKey].&amp;[8201|00006752]"/>
            <x15:cachedUniqueName index="7694" name="[FactPayment].[CaseKey].&amp;[8201|00006788]"/>
            <x15:cachedUniqueName index="7695" name="[FactPayment].[CaseKey].&amp;[8201|00006794]"/>
            <x15:cachedUniqueName index="7696" name="[FactPayment].[CaseKey].&amp;[8201|00006825]"/>
            <x15:cachedUniqueName index="7697" name="[FactPayment].[CaseKey].&amp;[8201|00006853]"/>
            <x15:cachedUniqueName index="7698" name="[FactPayment].[CaseKey].&amp;[8201|00006863]"/>
            <x15:cachedUniqueName index="7699" name="[FactPayment].[CaseKey].&amp;[8201|00006878]"/>
            <x15:cachedUniqueName index="7700" name="[FactPayment].[CaseKey].&amp;[8201|00006882]"/>
            <x15:cachedUniqueName index="7701" name="[FactPayment].[CaseKey].&amp;[8201|00006895]"/>
            <x15:cachedUniqueName index="7702" name="[FactPayment].[CaseKey].&amp;[8201|00006903]"/>
            <x15:cachedUniqueName index="7703" name="[FactPayment].[CaseKey].&amp;[8201|00006914]"/>
            <x15:cachedUniqueName index="7704" name="[FactPayment].[CaseKey].&amp;[8201|00006920]"/>
            <x15:cachedUniqueName index="7705" name="[FactPayment].[CaseKey].&amp;[8201|00006932]"/>
            <x15:cachedUniqueName index="7706" name="[FactPayment].[CaseKey].&amp;[8201|00006944]"/>
            <x15:cachedUniqueName index="7707" name="[FactPayment].[CaseKey].&amp;[8201|00006955]"/>
            <x15:cachedUniqueName index="7708" name="[FactPayment].[CaseKey].&amp;[8201|00006961]"/>
            <x15:cachedUniqueName index="7709" name="[FactPayment].[CaseKey].&amp;[8201|00006970]"/>
            <x15:cachedUniqueName index="7710" name="[FactPayment].[CaseKey].&amp;[8201|00006987]"/>
            <x15:cachedUniqueName index="7711" name="[FactPayment].[CaseKey].&amp;[8201|00006992]"/>
            <x15:cachedUniqueName index="7712" name="[FactPayment].[CaseKey].&amp;[8201|00007005]"/>
            <x15:cachedUniqueName index="7713" name="[FactPayment].[CaseKey].&amp;[8201|00007013]"/>
            <x15:cachedUniqueName index="7714" name="[FactPayment].[CaseKey].&amp;[8201|00007025]"/>
            <x15:cachedUniqueName index="7715" name="[FactPayment].[CaseKey].&amp;[8201|00007033]"/>
            <x15:cachedUniqueName index="7716" name="[FactPayment].[CaseKey].&amp;[8201|00007043]"/>
            <x15:cachedUniqueName index="7717" name="[FactPayment].[CaseKey].&amp;[8201|00007065]"/>
            <x15:cachedUniqueName index="7718" name="[FactPayment].[CaseKey].&amp;[8201|00007075]"/>
            <x15:cachedUniqueName index="7719" name="[FactPayment].[CaseKey].&amp;[8201|00007081]"/>
            <x15:cachedUniqueName index="7720" name="[FactPayment].[CaseKey].&amp;[8201|00007107]"/>
            <x15:cachedUniqueName index="7721" name="[FactPayment].[CaseKey].&amp;[8201|00007114]"/>
            <x15:cachedUniqueName index="7722" name="[FactPayment].[CaseKey].&amp;[8201|00007126]"/>
            <x15:cachedUniqueName index="7723" name="[FactPayment].[CaseKey].&amp;[8201|00007136]"/>
            <x15:cachedUniqueName index="7724" name="[FactPayment].[CaseKey].&amp;[8201|00007143]"/>
            <x15:cachedUniqueName index="7725" name="[FactPayment].[CaseKey].&amp;[8201|00007155]"/>
            <x15:cachedUniqueName index="7726" name="[FactPayment].[CaseKey].&amp;[8201|00007160]"/>
            <x15:cachedUniqueName index="7727" name="[FactPayment].[CaseKey].&amp;[8201|00007178]"/>
            <x15:cachedUniqueName index="7728" name="[FactPayment].[CaseKey].&amp;[8201|00007181]"/>
            <x15:cachedUniqueName index="7729" name="[FactPayment].[CaseKey].&amp;[8201|00007194]"/>
            <x15:cachedUniqueName index="7730" name="[FactPayment].[CaseKey].&amp;[8201|00007208]"/>
            <x15:cachedUniqueName index="7731" name="[FactPayment].[CaseKey].&amp;[8201|00007217]"/>
            <x15:cachedUniqueName index="7732" name="[FactPayment].[CaseKey].&amp;[8201|00007228]"/>
            <x15:cachedUniqueName index="7733" name="[FactPayment].[CaseKey].&amp;[8201|00007238]"/>
            <x15:cachedUniqueName index="7734" name="[FactPayment].[CaseKey].&amp;[8201|00007245]"/>
            <x15:cachedUniqueName index="7735" name="[FactPayment].[CaseKey].&amp;[8201|00007254]"/>
            <x15:cachedUniqueName index="7736" name="[FactPayment].[CaseKey].&amp;[8201|00007261]"/>
            <x15:cachedUniqueName index="7737" name="[FactPayment].[CaseKey].&amp;[8201|00007277]"/>
            <x15:cachedUniqueName index="7738" name="[FactPayment].[CaseKey].&amp;[8201|00007281]"/>
            <x15:cachedUniqueName index="7739" name="[FactPayment].[CaseKey].&amp;[8201|00007306]"/>
            <x15:cachedUniqueName index="7740" name="[FactPayment].[CaseKey].&amp;[8201|00007318]"/>
            <x15:cachedUniqueName index="7741" name="[FactPayment].[CaseKey].&amp;[8201|00007322]"/>
            <x15:cachedUniqueName index="7742" name="[FactPayment].[CaseKey].&amp;[8201|00007337]"/>
            <x15:cachedUniqueName index="7743" name="[FactPayment].[CaseKey].&amp;[8201|00007343]"/>
            <x15:cachedUniqueName index="7744" name="[FactPayment].[CaseKey].&amp;[8201|00007366]"/>
            <x15:cachedUniqueName index="7745" name="[FactPayment].[CaseKey].&amp;[8201|00007370]"/>
            <x15:cachedUniqueName index="7746" name="[FactPayment].[CaseKey].&amp;[8201|00007386]"/>
            <x15:cachedUniqueName index="7747" name="[FactPayment].[CaseKey].&amp;[8201|00007398]"/>
            <x15:cachedUniqueName index="7748" name="[FactPayment].[CaseKey].&amp;[8201|00007416]"/>
            <x15:cachedUniqueName index="7749" name="[FactPayment].[CaseKey].&amp;[8201|00007425]"/>
            <x15:cachedUniqueName index="7750" name="[FactPayment].[CaseKey].&amp;[8201|00007430]"/>
            <x15:cachedUniqueName index="7751" name="[FactPayment].[CaseKey].&amp;[8201|00007444]"/>
            <x15:cachedUniqueName index="7752" name="[FactPayment].[CaseKey].&amp;[8201|00007457]"/>
            <x15:cachedUniqueName index="7753" name="[FactPayment].[CaseKey].&amp;[8201|00007465]"/>
            <x15:cachedUniqueName index="7754" name="[FactPayment].[CaseKey].&amp;[8201|00007475]"/>
            <x15:cachedUniqueName index="7755" name="[FactPayment].[CaseKey].&amp;[8201|00007481]"/>
            <x15:cachedUniqueName index="7756" name="[FactPayment].[CaseKey].&amp;[8201|00007491]"/>
            <x15:cachedUniqueName index="7757" name="[FactPayment].[CaseKey].&amp;[8201|00007507]"/>
            <x15:cachedUniqueName index="7758" name="[FactPayment].[CaseKey].&amp;[8201|00007515]"/>
            <x15:cachedUniqueName index="7759" name="[FactPayment].[CaseKey].&amp;[8201|00007524]"/>
            <x15:cachedUniqueName index="7760" name="[FactPayment].[CaseKey].&amp;[8201|00007538]"/>
            <x15:cachedUniqueName index="7761" name="[FactPayment].[CaseKey].&amp;[8201|00007548]"/>
            <x15:cachedUniqueName index="7762" name="[FactPayment].[CaseKey].&amp;[8201|00007551]"/>
            <x15:cachedUniqueName index="7763" name="[FactPayment].[CaseKey].&amp;[8201|00007566]"/>
            <x15:cachedUniqueName index="7764" name="[FactPayment].[CaseKey].&amp;[8201|00007571]"/>
            <x15:cachedUniqueName index="7765" name="[FactPayment].[CaseKey].&amp;[8201|00007580]"/>
            <x15:cachedUniqueName index="7766" name="[FactPayment].[CaseKey].&amp;[8201|00007590]"/>
            <x15:cachedUniqueName index="7767" name="[FactPayment].[CaseKey].&amp;[8201|00007606]"/>
            <x15:cachedUniqueName index="7768" name="[FactPayment].[CaseKey].&amp;[8201|00007612]"/>
            <x15:cachedUniqueName index="7769" name="[FactPayment].[CaseKey].&amp;[8201|00007625]"/>
            <x15:cachedUniqueName index="7770" name="[FactPayment].[CaseKey].&amp;[8201|00007647]"/>
            <x15:cachedUniqueName index="7771" name="[FactPayment].[CaseKey].&amp;[8201|00007656]"/>
            <x15:cachedUniqueName index="7772" name="[FactPayment].[CaseKey].&amp;[8201|00007662]"/>
            <x15:cachedUniqueName index="7773" name="[FactPayment].[CaseKey].&amp;[8201|00007673]"/>
            <x15:cachedUniqueName index="7774" name="[FactPayment].[CaseKey].&amp;[8201|00007687]"/>
            <x15:cachedUniqueName index="7775" name="[FactPayment].[CaseKey].&amp;[8201|00007693]"/>
            <x15:cachedUniqueName index="7776" name="[FactPayment].[CaseKey].&amp;[8201|00007707]"/>
            <x15:cachedUniqueName index="7777" name="[FactPayment].[CaseKey].&amp;[8201|00007713]"/>
            <x15:cachedUniqueName index="7778" name="[FactPayment].[CaseKey].&amp;[8201|00007722]"/>
            <x15:cachedUniqueName index="7779" name="[FactPayment].[CaseKey].&amp;[8201|00007730]"/>
            <x15:cachedUniqueName index="7780" name="[FactPayment].[CaseKey].&amp;[8201|00007743]"/>
            <x15:cachedUniqueName index="7781" name="[FactPayment].[CaseKey].&amp;[8201|00007756]"/>
            <x15:cachedUniqueName index="7782" name="[FactPayment].[CaseKey].&amp;[8201|00007763]"/>
            <x15:cachedUniqueName index="7783" name="[FactPayment].[CaseKey].&amp;[8201|00007773]"/>
            <x15:cachedUniqueName index="7784" name="[FactPayment].[CaseKey].&amp;[8201|00007785]"/>
            <x15:cachedUniqueName index="7785" name="[FactPayment].[CaseKey].&amp;[8201|00007798]"/>
            <x15:cachedUniqueName index="7786" name="[FactPayment].[CaseKey].&amp;[8201|00007801]"/>
            <x15:cachedUniqueName index="7787" name="[FactPayment].[CaseKey].&amp;[8201|00007815]"/>
            <x15:cachedUniqueName index="7788" name="[FactPayment].[CaseKey].&amp;[8201|00007823]"/>
            <x15:cachedUniqueName index="7789" name="[FactPayment].[CaseKey].&amp;[8201|00007833]"/>
            <x15:cachedUniqueName index="7790" name="[FactPayment].[CaseKey].&amp;[8201|00007854]"/>
            <x15:cachedUniqueName index="7791" name="[FactPayment].[CaseKey].&amp;[8201|00007860]"/>
            <x15:cachedUniqueName index="7792" name="[FactPayment].[CaseKey].&amp;[8201|00007872]"/>
            <x15:cachedUniqueName index="7793" name="[FactPayment].[CaseKey].&amp;[8201|00007886]"/>
            <x15:cachedUniqueName index="7794" name="[FactPayment].[CaseKey].&amp;[8201|00007894]"/>
            <x15:cachedUniqueName index="7795" name="[FactPayment].[CaseKey].&amp;[8201|00007900]"/>
            <x15:cachedUniqueName index="7796" name="[FactPayment].[CaseKey].&amp;[8201|00007911]"/>
            <x15:cachedUniqueName index="7797" name="[FactPayment].[CaseKey].&amp;[8201|00007922]"/>
            <x15:cachedUniqueName index="7798" name="[FactPayment].[CaseKey].&amp;[8201|00007936]"/>
            <x15:cachedUniqueName index="7799" name="[FactPayment].[CaseKey].&amp;[8201|00007942]"/>
            <x15:cachedUniqueName index="7800" name="[FactPayment].[CaseKey].&amp;[8201|00007950]"/>
            <x15:cachedUniqueName index="7801" name="[FactPayment].[CaseKey].&amp;[8201|00007971]"/>
            <x15:cachedUniqueName index="7802" name="[FactPayment].[CaseKey].&amp;[8201|00007985]"/>
            <x15:cachedUniqueName index="7803" name="[FactPayment].[CaseKey].&amp;[8201|00007996]"/>
            <x15:cachedUniqueName index="7804" name="[FactPayment].[CaseKey].&amp;[8201|00008002]"/>
            <x15:cachedUniqueName index="7805" name="[FactPayment].[CaseKey].&amp;[8201|00008016]"/>
            <x15:cachedUniqueName index="7806" name="[FactPayment].[CaseKey].&amp;[8201|00008025]"/>
            <x15:cachedUniqueName index="7807" name="[FactPayment].[CaseKey].&amp;[8201|00008030]"/>
            <x15:cachedUniqueName index="7808" name="[FactPayment].[CaseKey].&amp;[8201|00008047]"/>
            <x15:cachedUniqueName index="7809" name="[FactPayment].[CaseKey].&amp;[8201|00008051]"/>
            <x15:cachedUniqueName index="7810" name="[FactPayment].[CaseKey].&amp;[8201|00008068]"/>
            <x15:cachedUniqueName index="7811" name="[FactPayment].[CaseKey].&amp;[8201|00008072]"/>
            <x15:cachedUniqueName index="7812" name="[FactPayment].[CaseKey].&amp;[8201|00008081]"/>
            <x15:cachedUniqueName index="7813" name="[FactPayment].[CaseKey].&amp;[8201|00008096]"/>
            <x15:cachedUniqueName index="7814" name="[FactPayment].[CaseKey].&amp;[8201|00008108]"/>
            <x15:cachedUniqueName index="7815" name="[FactPayment].[CaseKey].&amp;[8201|00008114]"/>
            <x15:cachedUniqueName index="7816" name="[FactPayment].[CaseKey].&amp;[8201|00008126]"/>
            <x15:cachedUniqueName index="7817" name="[FactPayment].[CaseKey].&amp;[8201|00008137]"/>
            <x15:cachedUniqueName index="7818" name="[FactPayment].[CaseKey].&amp;[8201|00008141]"/>
            <x15:cachedUniqueName index="7819" name="[FactPayment].[CaseKey].&amp;[8201|00008153]"/>
            <x15:cachedUniqueName index="7820" name="[FactPayment].[CaseKey].&amp;[8201|00008164]"/>
            <x15:cachedUniqueName index="7821" name="[FactPayment].[CaseKey].&amp;[8201|00008177]"/>
            <x15:cachedUniqueName index="7822" name="[FactPayment].[CaseKey].&amp;[8201|00008182]"/>
            <x15:cachedUniqueName index="7823" name="[FactPayment].[CaseKey].&amp;[8201|00008191]"/>
            <x15:cachedUniqueName index="7824" name="[FactPayment].[CaseKey].&amp;[8201|00008203]"/>
            <x15:cachedUniqueName index="7825" name="[FactPayment].[CaseKey].&amp;[8201|00008212]"/>
            <x15:cachedUniqueName index="7826" name="[FactPayment].[CaseKey].&amp;[8201|00008220]"/>
            <x15:cachedUniqueName index="7827" name="[FactPayment].[CaseKey].&amp;[8201|00008241]"/>
            <x15:cachedUniqueName index="7828" name="[FactPayment].[CaseKey].&amp;[8201|00008252]"/>
            <x15:cachedUniqueName index="7829" name="[FactPayment].[CaseKey].&amp;[8201|00008274]"/>
            <x15:cachedUniqueName index="7830" name="[FactPayment].[CaseKey].&amp;[8201|00008296]"/>
            <x15:cachedUniqueName index="7831" name="[FactPayment].[CaseKey].&amp;[8201|00008310]"/>
            <x15:cachedUniqueName index="7832" name="[FactPayment].[CaseKey].&amp;[8201|00008323]"/>
            <x15:cachedUniqueName index="7833" name="[FactPayment].[CaseKey].&amp;[8201|00008335]"/>
            <x15:cachedUniqueName index="7834" name="[FactPayment].[CaseKey].&amp;[8201|00008342]"/>
            <x15:cachedUniqueName index="7835" name="[FactPayment].[CaseKey].&amp;[8201|00008354]"/>
            <x15:cachedUniqueName index="7836" name="[FactPayment].[CaseKey].&amp;[8201|00008365]"/>
            <x15:cachedUniqueName index="7837" name="[FactPayment].[CaseKey].&amp;[8201|00008376]"/>
            <x15:cachedUniqueName index="7838" name="[FactPayment].[CaseKey].&amp;[8201|00008380]"/>
            <x15:cachedUniqueName index="7839" name="[FactPayment].[CaseKey].&amp;[8201|00008395]"/>
            <x15:cachedUniqueName index="7840" name="[FactPayment].[CaseKey].&amp;[8201|00008410]"/>
            <x15:cachedUniqueName index="7841" name="[FactPayment].[CaseKey].&amp;[8201|00008423]"/>
            <x15:cachedUniqueName index="7842" name="[FactPayment].[CaseKey].&amp;[8201|00008438]"/>
            <x15:cachedUniqueName index="7843" name="[FactPayment].[CaseKey].&amp;[8201|00008444]"/>
            <x15:cachedUniqueName index="7844" name="[FactPayment].[CaseKey].&amp;[8201|00008455]"/>
            <x15:cachedUniqueName index="7845" name="[FactPayment].[CaseKey].&amp;[8201|00008460]"/>
            <x15:cachedUniqueName index="7846" name="[FactPayment].[CaseKey].&amp;[8201|00008470]"/>
            <x15:cachedUniqueName index="7847" name="[FactPayment].[CaseKey].&amp;[8201|00008481]"/>
            <x15:cachedUniqueName index="7848" name="[FactPayment].[CaseKey].&amp;[8201|00008507]"/>
            <x15:cachedUniqueName index="7849" name="[FactPayment].[CaseKey].&amp;[8201|00008511]"/>
            <x15:cachedUniqueName index="7850" name="[FactPayment].[CaseKey].&amp;[8201|00008527]"/>
            <x15:cachedUniqueName index="7851" name="[FactPayment].[CaseKey].&amp;[8201|00008531]"/>
            <x15:cachedUniqueName index="7852" name="[FactPayment].[CaseKey].&amp;[8201|00008546]"/>
            <x15:cachedUniqueName index="7853" name="[FactPayment].[CaseKey].&amp;[8201|00008556]"/>
            <x15:cachedUniqueName index="7854" name="[FactPayment].[CaseKey].&amp;[8201|00008563]"/>
            <x15:cachedUniqueName index="7855" name="[FactPayment].[CaseKey].&amp;[8201|00008573]"/>
            <x15:cachedUniqueName index="7856" name="[FactPayment].[CaseKey].&amp;[8201|00008583]"/>
            <x15:cachedUniqueName index="7857" name="[FactPayment].[CaseKey].&amp;[8201|00008597]"/>
            <x15:cachedUniqueName index="7858" name="[FactPayment].[CaseKey].&amp;[8201|00008606]"/>
            <x15:cachedUniqueName index="7859" name="[FactPayment].[CaseKey].&amp;[8201|00008616]"/>
            <x15:cachedUniqueName index="7860" name="[FactPayment].[CaseKey].&amp;[8201|00008626]"/>
            <x15:cachedUniqueName index="7861" name="[FactPayment].[CaseKey].&amp;[8201|00008637]"/>
            <x15:cachedUniqueName index="7862" name="[FactPayment].[CaseKey].&amp;[8201|00008640]"/>
            <x15:cachedUniqueName index="7863" name="[FactPayment].[CaseKey].&amp;[8201|00008655]"/>
            <x15:cachedUniqueName index="7864" name="[FactPayment].[CaseKey].&amp;[8201|00008672]"/>
            <x15:cachedUniqueName index="7865" name="[FactPayment].[CaseKey].&amp;[8201|00008688]"/>
            <x15:cachedUniqueName index="7866" name="[FactPayment].[CaseKey].&amp;[8201|00008691]"/>
            <x15:cachedUniqueName index="7867" name="[FactPayment].[CaseKey].&amp;[8201|00008702]"/>
            <x15:cachedUniqueName index="7868" name="[FactPayment].[CaseKey].&amp;[8201|00008711]"/>
            <x15:cachedUniqueName index="7869" name="[FactPayment].[CaseKey].&amp;[8201|00008720]"/>
            <x15:cachedUniqueName index="7870" name="[FactPayment].[CaseKey].&amp;[8201|00008731]"/>
            <x15:cachedUniqueName index="7871" name="[FactPayment].[CaseKey].&amp;[8201|00008747]"/>
            <x15:cachedUniqueName index="7872" name="[FactPayment].[CaseKey].&amp;[8201|00008752]"/>
            <x15:cachedUniqueName index="7873" name="[FactPayment].[CaseKey].&amp;[8201|00008768]"/>
            <x15:cachedUniqueName index="7874" name="[FactPayment].[CaseKey].&amp;[8201|00008774]"/>
            <x15:cachedUniqueName index="7875" name="[FactPayment].[CaseKey].&amp;[8201|00008787]"/>
            <x15:cachedUniqueName index="7876" name="[FactPayment].[CaseKey].&amp;[8201|00008805]"/>
            <x15:cachedUniqueName index="7877" name="[FactPayment].[CaseKey].&amp;[8201|00008817]"/>
            <x15:cachedUniqueName index="7878" name="[FactPayment].[CaseKey].&amp;[8201|00008821]"/>
            <x15:cachedUniqueName index="7879" name="[FactPayment].[CaseKey].&amp;[8201|00008838]"/>
            <x15:cachedUniqueName index="7880" name="[FactPayment].[CaseKey].&amp;[8201|00008842]"/>
            <x15:cachedUniqueName index="7881" name="[FactPayment].[CaseKey].&amp;[8201|00008857]"/>
            <x15:cachedUniqueName index="7882" name="[FactPayment].[CaseKey].&amp;[8201|00008867]"/>
            <x15:cachedUniqueName index="7883" name="[FactPayment].[CaseKey].&amp;[8201|00008871]"/>
            <x15:cachedUniqueName index="7884" name="[FactPayment].[CaseKey].&amp;[8201|00008885]"/>
            <x15:cachedUniqueName index="7885" name="[FactPayment].[CaseKey].&amp;[8201|00008897]"/>
            <x15:cachedUniqueName index="7886" name="[FactPayment].[CaseKey].&amp;[8201|00008908]"/>
            <x15:cachedUniqueName index="7887" name="[FactPayment].[CaseKey].&amp;[8201|00008916]"/>
            <x15:cachedUniqueName index="7888" name="[FactPayment].[CaseKey].&amp;[8201|00008931]"/>
            <x15:cachedUniqueName index="7889" name="[FactPayment].[CaseKey].&amp;[8201|00008945]"/>
            <x15:cachedUniqueName index="7890" name="[FactPayment].[CaseKey].&amp;[8201|00008954]"/>
            <x15:cachedUniqueName index="7891" name="[FactPayment].[CaseKey].&amp;[8201|00008961]"/>
            <x15:cachedUniqueName index="7892" name="[FactPayment].[CaseKey].&amp;[8201|00008975]"/>
            <x15:cachedUniqueName index="7893" name="[FactPayment].[CaseKey].&amp;[8201|00008983]"/>
            <x15:cachedUniqueName index="7894" name="[FactPayment].[CaseKey].&amp;[8201|00008998]"/>
            <x15:cachedUniqueName index="7895" name="[FactPayment].[CaseKey].&amp;[8201|00009004]"/>
            <x15:cachedUniqueName index="7896" name="[FactPayment].[CaseKey].&amp;[8201|00009016]"/>
            <x15:cachedUniqueName index="7897" name="[FactPayment].[CaseKey].&amp;[8201|00009037]"/>
            <x15:cachedUniqueName index="7898" name="[FactPayment].[CaseKey].&amp;[8201|00009043]"/>
            <x15:cachedUniqueName index="7899" name="[FactPayment].[CaseKey].&amp;[8201|00009056]"/>
            <x15:cachedUniqueName index="7900" name="[FactPayment].[CaseKey].&amp;[8201|00009060]"/>
            <x15:cachedUniqueName index="7901" name="[FactPayment].[CaseKey].&amp;[8201|00009076]"/>
            <x15:cachedUniqueName index="7902" name="[FactPayment].[CaseKey].&amp;[8201|00009081]"/>
            <x15:cachedUniqueName index="7903" name="[FactPayment].[CaseKey].&amp;[8201|00009091]"/>
            <x15:cachedUniqueName index="7904" name="[FactPayment].[CaseKey].&amp;[8201|00009105]"/>
            <x15:cachedUniqueName index="7905" name="[FactPayment].[CaseKey].&amp;[8201|00009115]"/>
            <x15:cachedUniqueName index="7906" name="[FactPayment].[CaseKey].&amp;[8201|00009123]"/>
            <x15:cachedUniqueName index="7907" name="[FactPayment].[CaseKey].&amp;[8201|00009135]"/>
            <x15:cachedUniqueName index="7908" name="[FactPayment].[CaseKey].&amp;[8201|00009142]"/>
            <x15:cachedUniqueName index="7909" name="[FactPayment].[CaseKey].&amp;[8201|00009161]"/>
            <x15:cachedUniqueName index="7910" name="[FactPayment].[CaseKey].&amp;[8201|00009172]"/>
            <x15:cachedUniqueName index="7911" name="[FactPayment].[CaseKey].&amp;[8201|00009184]"/>
            <x15:cachedUniqueName index="7912" name="[FactPayment].[CaseKey].&amp;[8201|00009192]"/>
            <x15:cachedUniqueName index="7913" name="[FactPayment].[CaseKey].&amp;[8201|00009204]"/>
            <x15:cachedUniqueName index="7914" name="[FactPayment].[CaseKey].&amp;[8201|00009210]"/>
            <x15:cachedUniqueName index="7915" name="[FactPayment].[CaseKey].&amp;[8201|00009223]"/>
            <x15:cachedUniqueName index="7916" name="[FactPayment].[CaseKey].&amp;[8201|00009235]"/>
            <x15:cachedUniqueName index="7917" name="[FactPayment].[CaseKey].&amp;[8201|00009245]"/>
            <x15:cachedUniqueName index="7918" name="[FactPayment].[CaseKey].&amp;[8201|00009257]"/>
            <x15:cachedUniqueName index="7919" name="[FactPayment].[CaseKey].&amp;[8201|00009267]"/>
            <x15:cachedUniqueName index="7920" name="[FactPayment].[CaseKey].&amp;[8201|00009270]"/>
            <x15:cachedUniqueName index="7921" name="[FactPayment].[CaseKey].&amp;[8201|00009288]"/>
            <x15:cachedUniqueName index="7922" name="[FactPayment].[CaseKey].&amp;[8201|00009296]"/>
            <x15:cachedUniqueName index="7923" name="[FactPayment].[CaseKey].&amp;[8201|00009307]"/>
            <x15:cachedUniqueName index="7924" name="[FactPayment].[CaseKey].&amp;[8201|00009316]"/>
            <x15:cachedUniqueName index="7925" name="[FactPayment].[CaseKey].&amp;[8201|00009323]"/>
            <x15:cachedUniqueName index="7926" name="[FactPayment].[CaseKey].&amp;[8201|00009330]"/>
            <x15:cachedUniqueName index="7927" name="[FactPayment].[CaseKey].&amp;[8201|00009346]"/>
            <x15:cachedUniqueName index="7928" name="[FactPayment].[CaseKey].&amp;[8201|00009356]"/>
            <x15:cachedUniqueName index="7929" name="[FactPayment].[CaseKey].&amp;[8201|00009368]"/>
            <x15:cachedUniqueName index="7930" name="[FactPayment].[CaseKey].&amp;[8201|00009371]"/>
            <x15:cachedUniqueName index="7931" name="[FactPayment].[CaseKey].&amp;[8201|00009386]"/>
            <x15:cachedUniqueName index="7932" name="[FactPayment].[CaseKey].&amp;[8201|00009395]"/>
            <x15:cachedUniqueName index="7933" name="[FactPayment].[CaseKey].&amp;[8201|00009408]"/>
            <x15:cachedUniqueName index="7934" name="[FactPayment].[CaseKey].&amp;[8201|00009413]"/>
            <x15:cachedUniqueName index="7935" name="[FactPayment].[CaseKey].&amp;[8201|00009428]"/>
            <x15:cachedUniqueName index="7936" name="[FactPayment].[CaseKey].&amp;[8201|00009438]"/>
            <x15:cachedUniqueName index="7937" name="[FactPayment].[CaseKey].&amp;[8201|00009447]"/>
            <x15:cachedUniqueName index="7938" name="[FactPayment].[CaseKey].&amp;[8201|00009452]"/>
            <x15:cachedUniqueName index="7939" name="[FactPayment].[CaseKey].&amp;[8201|00009462]"/>
            <x15:cachedUniqueName index="7940" name="[FactPayment].[CaseKey].&amp;[8201|00009470]"/>
            <x15:cachedUniqueName index="7941" name="[FactPayment].[CaseKey].&amp;[8201|00009486]"/>
            <x15:cachedUniqueName index="7942" name="[FactPayment].[CaseKey].&amp;[8201|00009491]"/>
            <x15:cachedUniqueName index="7943" name="[FactPayment].[CaseKey].&amp;[8201|00009501]"/>
            <x15:cachedUniqueName index="7944" name="[FactPayment].[CaseKey].&amp;[8201|00009514]"/>
            <x15:cachedUniqueName index="7945" name="[FactPayment].[CaseKey].&amp;[8201|00009527]"/>
            <x15:cachedUniqueName index="7946" name="[FactPayment].[CaseKey].&amp;[8201|00009530]"/>
            <x15:cachedUniqueName index="7947" name="[FactPayment].[CaseKey].&amp;[8201|00009544]"/>
            <x15:cachedUniqueName index="7948" name="[FactPayment].[CaseKey].&amp;[8201|00009555]"/>
            <x15:cachedUniqueName index="7949" name="[FactPayment].[CaseKey].&amp;[8201|00009563]"/>
            <x15:cachedUniqueName index="7950" name="[FactPayment].[CaseKey].&amp;[8201|00009571]"/>
            <x15:cachedUniqueName index="7951" name="[FactPayment].[CaseKey].&amp;[8201|00009582]"/>
            <x15:cachedUniqueName index="7952" name="[FactPayment].[CaseKey].&amp;[8201|00009598]"/>
            <x15:cachedUniqueName index="7953" name="[FactPayment].[CaseKey].&amp;[8201|00009607]"/>
            <x15:cachedUniqueName index="7954" name="[FactPayment].[CaseKey].&amp;[8201|00009616]"/>
            <x15:cachedUniqueName index="7955" name="[FactPayment].[CaseKey].&amp;[8201|00009621]"/>
            <x15:cachedUniqueName index="7956" name="[FactPayment].[CaseKey].&amp;[8201|00009632]"/>
            <x15:cachedUniqueName index="7957" name="[FactPayment].[CaseKey].&amp;[8201|00009640]"/>
            <x15:cachedUniqueName index="7958" name="[FactPayment].[CaseKey].&amp;[8201|00009651]"/>
            <x15:cachedUniqueName index="7959" name="[FactPayment].[CaseKey].&amp;[8201|00009668]"/>
            <x15:cachedUniqueName index="7960" name="[FactPayment].[CaseKey].&amp;[8201|00009675]"/>
            <x15:cachedUniqueName index="7961" name="[FactPayment].[CaseKey].&amp;[8201|00009688]"/>
            <x15:cachedUniqueName index="7962" name="[FactPayment].[CaseKey].&amp;[8201|00009698]"/>
            <x15:cachedUniqueName index="7963" name="[FactPayment].[CaseKey].&amp;[8201|00009708]"/>
            <x15:cachedUniqueName index="7964" name="[FactPayment].[CaseKey].&amp;[8201|00009710]"/>
            <x15:cachedUniqueName index="7965" name="[FactPayment].[CaseKey].&amp;[8201|00009728]"/>
            <x15:cachedUniqueName index="7966" name="[FactPayment].[CaseKey].&amp;[8201|00009734]"/>
            <x15:cachedUniqueName index="7967" name="[FactPayment].[CaseKey].&amp;[8201|00009744]"/>
            <x15:cachedUniqueName index="7968" name="[FactPayment].[CaseKey].&amp;[8201|00009752]"/>
            <x15:cachedUniqueName index="7969" name="[FactPayment].[CaseKey].&amp;[8201|00009768]"/>
            <x15:cachedUniqueName index="7970" name="[FactPayment].[CaseKey].&amp;[8201|00009777]"/>
            <x15:cachedUniqueName index="7971" name="[FactPayment].[CaseKey].&amp;[8201|00009787]"/>
            <x15:cachedUniqueName index="7972" name="[FactPayment].[CaseKey].&amp;[8201|00009798]"/>
            <x15:cachedUniqueName index="7973" name="[FactPayment].[CaseKey].&amp;[8201|00009803]"/>
            <x15:cachedUniqueName index="7974" name="[FactPayment].[CaseKey].&amp;[8201|00009810]"/>
            <x15:cachedUniqueName index="7975" name="[FactPayment].[CaseKey].&amp;[8201|00009823]"/>
            <x15:cachedUniqueName index="7976" name="[FactPayment].[CaseKey].&amp;[8201|00009836]"/>
            <x15:cachedUniqueName index="7977" name="[FactPayment].[CaseKey].&amp;[8201|00009845]"/>
            <x15:cachedUniqueName index="7978" name="[FactPayment].[CaseKey].&amp;[8201|00009854]"/>
            <x15:cachedUniqueName index="7979" name="[FactPayment].[CaseKey].&amp;[8201|00009870]"/>
            <x15:cachedUniqueName index="7980" name="[FactPayment].[CaseKey].&amp;[8201|00009887]"/>
            <x15:cachedUniqueName index="7981" name="[FactPayment].[CaseKey].&amp;[8201|00009896]"/>
            <x15:cachedUniqueName index="7982" name="[FactPayment].[CaseKey].&amp;[8201|00009907]"/>
            <x15:cachedUniqueName index="7983" name="[FactPayment].[CaseKey].&amp;[8201|00009918]"/>
            <x15:cachedUniqueName index="7984" name="[FactPayment].[CaseKey].&amp;[8201|00009923]"/>
            <x15:cachedUniqueName index="7985" name="[FactPayment].[CaseKey].&amp;[8201|00009935]"/>
            <x15:cachedUniqueName index="7986" name="[FactPayment].[CaseKey].&amp;[8201|00009940]"/>
            <x15:cachedUniqueName index="7987" name="[FactPayment].[CaseKey].&amp;[8201|00009955]"/>
            <x15:cachedUniqueName index="7988" name="[FactPayment].[CaseKey].&amp;[8201|00009962]"/>
            <x15:cachedUniqueName index="7989" name="[FactPayment].[CaseKey].&amp;[8201|00009982]"/>
            <x15:cachedUniqueName index="7990" name="[FactPayment].[CaseKey].&amp;[8201|00009993]"/>
            <x15:cachedUniqueName index="7991" name="[FactPayment].[CaseKey].&amp;[8201|00010008]"/>
            <x15:cachedUniqueName index="7992" name="[FactPayment].[CaseKey].&amp;[8201|00010014]"/>
            <x15:cachedUniqueName index="7993" name="[FactPayment].[CaseKey].&amp;[8201|00010026]"/>
            <x15:cachedUniqueName index="7994" name="[FactPayment].[CaseKey].&amp;[8201|00010030]"/>
            <x15:cachedUniqueName index="7995" name="[FactPayment].[CaseKey].&amp;[8201|00010056]"/>
            <x15:cachedUniqueName index="7996" name="[FactPayment].[CaseKey].&amp;[8201|00010061]"/>
            <x15:cachedUniqueName index="7997" name="[FactPayment].[CaseKey].&amp;[8201|00010074]"/>
            <x15:cachedUniqueName index="7998" name="[FactPayment].[CaseKey].&amp;[8201|00010083]"/>
            <x15:cachedUniqueName index="7999" name="[FactPayment].[CaseKey].&amp;[8201|00010091]"/>
            <x15:cachedUniqueName index="8000" name="[FactPayment].[CaseKey].&amp;[8201|00010103]"/>
            <x15:cachedUniqueName index="8001" name="[FactPayment].[CaseKey].&amp;[8201|00010113]"/>
            <x15:cachedUniqueName index="8002" name="[FactPayment].[CaseKey].&amp;[8201|00010124]"/>
            <x15:cachedUniqueName index="8003" name="[FactPayment].[CaseKey].&amp;[8201|00010141]"/>
            <x15:cachedUniqueName index="8004" name="[FactPayment].[CaseKey].&amp;[8201|00010152]"/>
            <x15:cachedUniqueName index="8005" name="[FactPayment].[CaseKey].&amp;[8201|00010168]"/>
            <x15:cachedUniqueName index="8006" name="[FactPayment].[CaseKey].&amp;[8201|00010175]"/>
            <x15:cachedUniqueName index="8007" name="[FactPayment].[CaseKey].&amp;[8201|00010183]"/>
            <x15:cachedUniqueName index="8008" name="[FactPayment].[CaseKey].&amp;[8201|00010193]"/>
            <x15:cachedUniqueName index="8009" name="[FactPayment].[CaseKey].&amp;[8201|00010207]"/>
            <x15:cachedUniqueName index="8010" name="[FactPayment].[CaseKey].&amp;[8201|00010215]"/>
            <x15:cachedUniqueName index="8011" name="[FactPayment].[CaseKey].&amp;[8201|00010236]"/>
            <x15:cachedUniqueName index="8012" name="[FactPayment].[CaseKey].&amp;[8201|00010242]"/>
            <x15:cachedUniqueName index="8013" name="[FactPayment].[CaseKey].&amp;[8201|00010256]"/>
            <x15:cachedUniqueName index="8014" name="[FactPayment].[CaseKey].&amp;[8201|00010262]"/>
            <x15:cachedUniqueName index="8015" name="[FactPayment].[CaseKey].&amp;[8201|00010281]"/>
            <x15:cachedUniqueName index="8016" name="[FactPayment].[CaseKey].&amp;[8201|00010295]"/>
            <x15:cachedUniqueName index="8017" name="[FactPayment].[CaseKey].&amp;[8201|00010306]"/>
            <x15:cachedUniqueName index="8018" name="[FactPayment].[CaseKey].&amp;[8201|00010315]"/>
            <x15:cachedUniqueName index="8019" name="[FactPayment].[CaseKey].&amp;[8201|00010322]"/>
            <x15:cachedUniqueName index="8020" name="[FactPayment].[CaseKey].&amp;[8201|00010338]"/>
            <x15:cachedUniqueName index="8021" name="[FactPayment].[CaseKey].&amp;[8201|00010348]"/>
            <x15:cachedUniqueName index="8022" name="[FactPayment].[CaseKey].&amp;[8201|00010355]"/>
            <x15:cachedUniqueName index="8023" name="[FactPayment].[CaseKey].&amp;[8201|00010366]"/>
            <x15:cachedUniqueName index="8024" name="[FactPayment].[CaseKey].&amp;[8201|00010373]"/>
            <x15:cachedUniqueName index="8025" name="[FactPayment].[CaseKey].&amp;[8201|00010392]"/>
            <x15:cachedUniqueName index="8026" name="[FactPayment].[CaseKey].&amp;[8201|00010405]"/>
            <x15:cachedUniqueName index="8027" name="[FactPayment].[CaseKey].&amp;[8201|00010410]"/>
            <x15:cachedUniqueName index="8028" name="[FactPayment].[CaseKey].&amp;[8201|00010423]"/>
            <x15:cachedUniqueName index="8029" name="[FactPayment].[CaseKey].&amp;[8201|00010435]"/>
            <x15:cachedUniqueName index="8030" name="[FactPayment].[CaseKey].&amp;[8201|00010447]"/>
            <x15:cachedUniqueName index="8031" name="[FactPayment].[CaseKey].&amp;[8201|00010457]"/>
            <x15:cachedUniqueName index="8032" name="[FactPayment].[CaseKey].&amp;[8201|00010462]"/>
            <x15:cachedUniqueName index="8033" name="[FactPayment].[CaseKey].&amp;[8201|00010473]"/>
            <x15:cachedUniqueName index="8034" name="[FactPayment].[CaseKey].&amp;[8201|00010486]"/>
            <x15:cachedUniqueName index="8035" name="[FactPayment].[CaseKey].&amp;[8201|00010506]"/>
            <x15:cachedUniqueName index="8036" name="[FactPayment].[CaseKey].&amp;[8201|00010517]"/>
            <x15:cachedUniqueName index="8037" name="[FactPayment].[CaseKey].&amp;[8201|00010526]"/>
            <x15:cachedUniqueName index="8038" name="[FactPayment].[CaseKey].&amp;[8201|00010532]"/>
            <x15:cachedUniqueName index="8039" name="[FactPayment].[CaseKey].&amp;[8201|00010546]"/>
            <x15:cachedUniqueName index="8040" name="[FactPayment].[CaseKey].&amp;[8201|00010557]"/>
            <x15:cachedUniqueName index="8041" name="[FactPayment].[CaseKey].&amp;[8201|00010561]"/>
            <x15:cachedUniqueName index="8042" name="[FactPayment].[CaseKey].&amp;[8201|00010574]"/>
            <x15:cachedUniqueName index="8043" name="[FactPayment].[CaseKey].&amp;[8201|00010582]"/>
            <x15:cachedUniqueName index="8044" name="[FactPayment].[CaseKey].&amp;[8201|00010594]"/>
            <x15:cachedUniqueName index="8045" name="[FactPayment].[CaseKey].&amp;[8201|00010603]"/>
            <x15:cachedUniqueName index="8046" name="[FactPayment].[CaseKey].&amp;[8201|00010611]"/>
            <x15:cachedUniqueName index="8047" name="[FactPayment].[CaseKey].&amp;[8201|00010624]"/>
            <x15:cachedUniqueName index="8048" name="[FactPayment].[CaseKey].&amp;[8201|00010630]"/>
            <x15:cachedUniqueName index="8049" name="[FactPayment].[CaseKey].&amp;[8201|00010643]"/>
            <x15:cachedUniqueName index="8050" name="[FactPayment].[CaseKey].&amp;[8201|00010651]"/>
            <x15:cachedUniqueName index="8051" name="[FactPayment].[CaseKey].&amp;[8201|00010665]"/>
            <x15:cachedUniqueName index="8052" name="[FactPayment].[CaseKey].&amp;[8201|00010677]"/>
            <x15:cachedUniqueName index="8053" name="[FactPayment].[CaseKey].&amp;[8201|00010680]"/>
            <x15:cachedUniqueName index="8054" name="[FactPayment].[CaseKey].&amp;[8201|00010697]"/>
            <x15:cachedUniqueName index="8055" name="[FactPayment].[CaseKey].&amp;[8201|00010706]"/>
            <x15:cachedUniqueName index="8056" name="[FactPayment].[CaseKey].&amp;[8201|00010712]"/>
            <x15:cachedUniqueName index="8057" name="[FactPayment].[CaseKey].&amp;[8201|00010724]"/>
            <x15:cachedUniqueName index="8058" name="[FactPayment].[CaseKey].&amp;[8201|00010738]"/>
            <x15:cachedUniqueName index="8059" name="[FactPayment].[CaseKey].&amp;[8201|00010741]"/>
            <x15:cachedUniqueName index="8060" name="[FactPayment].[CaseKey].&amp;[8201|00010753]"/>
            <x15:cachedUniqueName index="8061" name="[FactPayment].[CaseKey].&amp;[8201|00010768]"/>
            <x15:cachedUniqueName index="8062" name="[FactPayment].[CaseKey].&amp;[8201|00010774]"/>
            <x15:cachedUniqueName index="8063" name="[FactPayment].[CaseKey].&amp;[8201|00010785]"/>
            <x15:cachedUniqueName index="8064" name="[FactPayment].[CaseKey].&amp;[8201|00010792]"/>
            <x15:cachedUniqueName index="8065" name="[FactPayment].[CaseKey].&amp;[8201|00010808]"/>
            <x15:cachedUniqueName index="8066" name="[FactPayment].[CaseKey].&amp;[8201|00010811]"/>
            <x15:cachedUniqueName index="8067" name="[FactPayment].[CaseKey].&amp;[8201|00010827]"/>
            <x15:cachedUniqueName index="8068" name="[FactPayment].[CaseKey].&amp;[8201|00010841]"/>
            <x15:cachedUniqueName index="8069" name="[FactPayment].[CaseKey].&amp;[8201|00010852]"/>
            <x15:cachedUniqueName index="8070" name="[FactPayment].[CaseKey].&amp;[8201|00010862]"/>
            <x15:cachedUniqueName index="8071" name="[FactPayment].[CaseKey].&amp;[8201|00010876]"/>
            <x15:cachedUniqueName index="8072" name="[FactPayment].[CaseKey].&amp;[8201|00010888]"/>
            <x15:cachedUniqueName index="8073" name="[FactPayment].[CaseKey].&amp;[8201|00010903]"/>
            <x15:cachedUniqueName index="8074" name="[FactPayment].[CaseKey].&amp;[8201|00010917]"/>
            <x15:cachedUniqueName index="8075" name="[FactPayment].[CaseKey].&amp;[8201|00010926]"/>
            <x15:cachedUniqueName index="8076" name="[FactPayment].[CaseKey].&amp;[8201|00010935]"/>
            <x15:cachedUniqueName index="8077" name="[FactPayment].[CaseKey].&amp;[8201|00010945]"/>
            <x15:cachedUniqueName index="8078" name="[FactPayment].[CaseKey].&amp;[8201|00010950]"/>
            <x15:cachedUniqueName index="8079" name="[FactPayment].[CaseKey].&amp;[8201|00010960]"/>
            <x15:cachedUniqueName index="8080" name="[FactPayment].[CaseKey].&amp;[8201|00010975]"/>
            <x15:cachedUniqueName index="8081" name="[FactPayment].[CaseKey].&amp;[8201|00010981]"/>
            <x15:cachedUniqueName index="8082" name="[FactPayment].[CaseKey].&amp;[8201|00010992]"/>
            <x15:cachedUniqueName index="8083" name="[FactPayment].[CaseKey].&amp;[8201|00011005]"/>
            <x15:cachedUniqueName index="8084" name="[FactPayment].[CaseKey].&amp;[8201|00011017]"/>
            <x15:cachedUniqueName index="8085" name="[FactPayment].[CaseKey].&amp;[8201|00011025]"/>
            <x15:cachedUniqueName index="8086" name="[FactPayment].[CaseKey].&amp;[8201|00011035]"/>
            <x15:cachedUniqueName index="8087" name="[FactPayment].[CaseKey].&amp;[8201|00011041]"/>
            <x15:cachedUniqueName index="8088" name="[FactPayment].[CaseKey].&amp;[8201|00011053]"/>
            <x15:cachedUniqueName index="8089" name="[FactPayment].[CaseKey].&amp;[8201|00011066]"/>
            <x15:cachedUniqueName index="8090" name="[FactPayment].[CaseKey].&amp;[8201|00011071]"/>
            <x15:cachedUniqueName index="8091" name="[FactPayment].[CaseKey].&amp;[8201|00011083]"/>
            <x15:cachedUniqueName index="8092" name="[FactPayment].[CaseKey].&amp;[8201|00011098]"/>
            <x15:cachedUniqueName index="8093" name="[FactPayment].[CaseKey].&amp;[8201|00011104]"/>
            <x15:cachedUniqueName index="8094" name="[FactPayment].[CaseKey].&amp;[8201|00011112]"/>
            <x15:cachedUniqueName index="8095" name="[FactPayment].[CaseKey].&amp;[8201|00011128]"/>
            <x15:cachedUniqueName index="8096" name="[FactPayment].[CaseKey].&amp;[8201|00011131]"/>
            <x15:cachedUniqueName index="8097" name="[FactPayment].[CaseKey].&amp;[8201|00011148]"/>
            <x15:cachedUniqueName index="8098" name="[FactPayment].[CaseKey].&amp;[8201|00011156]"/>
            <x15:cachedUniqueName index="8099" name="[FactPayment].[CaseKey].&amp;[8201|00011162]"/>
            <x15:cachedUniqueName index="8100" name="[FactPayment].[CaseKey].&amp;[8201|00011178]"/>
            <x15:cachedUniqueName index="8101" name="[FactPayment].[CaseKey].&amp;[8201|00011186]"/>
            <x15:cachedUniqueName index="8102" name="[FactPayment].[CaseKey].&amp;[8201|00011218]"/>
            <x15:cachedUniqueName index="8103" name="[FactPayment].[CaseKey].&amp;[8201|00011226]"/>
            <x15:cachedUniqueName index="8104" name="[FactPayment].[CaseKey].&amp;[8201|00011233]"/>
            <x15:cachedUniqueName index="8105" name="[FactPayment].[CaseKey].&amp;[8201|00011246]"/>
            <x15:cachedUniqueName index="8106" name="[FactPayment].[CaseKey].&amp;[8201|00011254]"/>
            <x15:cachedUniqueName index="8107" name="[FactPayment].[CaseKey].&amp;[8201|00011264]"/>
            <x15:cachedUniqueName index="8108" name="[FactPayment].[CaseKey].&amp;[8201|00011277]"/>
            <x15:cachedUniqueName index="8109" name="[FactPayment].[CaseKey].&amp;[8201|00011285]"/>
            <x15:cachedUniqueName index="8110" name="[FactPayment].[CaseKey].&amp;[8201|00011293]"/>
            <x15:cachedUniqueName index="8111" name="[FactPayment].[CaseKey].&amp;[8201|00011304]"/>
            <x15:cachedUniqueName index="8112" name="[FactPayment].[CaseKey].&amp;[8201|00011318]"/>
            <x15:cachedUniqueName index="8113" name="[FactPayment].[CaseKey].&amp;[8201|00011326]"/>
            <x15:cachedUniqueName index="8114" name="[FactPayment].[CaseKey].&amp;[8201|00011330]"/>
            <x15:cachedUniqueName index="8115" name="[FactPayment].[CaseKey].&amp;[8201|00011345]"/>
            <x15:cachedUniqueName index="8116" name="[FactPayment].[CaseKey].&amp;[8201|00011355]"/>
            <x15:cachedUniqueName index="8117" name="[FactPayment].[CaseKey].&amp;[8201|00011362]"/>
            <x15:cachedUniqueName index="8118" name="[FactPayment].[CaseKey].&amp;[8201|00011375]"/>
            <x15:cachedUniqueName index="8119" name="[FactPayment].[CaseKey].&amp;[8201|00011388]"/>
            <x15:cachedUniqueName index="8120" name="[FactPayment].[CaseKey].&amp;[8201|00011391]"/>
            <x15:cachedUniqueName index="8121" name="[FactPayment].[CaseKey].&amp;[8201|00011402]"/>
            <x15:cachedUniqueName index="8122" name="[FactPayment].[CaseKey].&amp;[8201|00011414]"/>
            <x15:cachedUniqueName index="8123" name="[FactPayment].[CaseKey].&amp;[8201|00011421]"/>
            <x15:cachedUniqueName index="8124" name="[FactPayment].[CaseKey].&amp;[8201|00011430]"/>
            <x15:cachedUniqueName index="8125" name="[FactPayment].[CaseKey].&amp;[8201|00011444]"/>
            <x15:cachedUniqueName index="8126" name="[FactPayment].[CaseKey].&amp;[8201|00011453]"/>
            <x15:cachedUniqueName index="8127" name="[FactPayment].[CaseKey].&amp;[8201|00011468]"/>
            <x15:cachedUniqueName index="8128" name="[FactPayment].[CaseKey].&amp;[8201|00011474]"/>
            <x15:cachedUniqueName index="8129" name="[FactPayment].[CaseKey].&amp;[8201|00011485]"/>
            <x15:cachedUniqueName index="8130" name="[FactPayment].[CaseKey].&amp;[8201|00011507]"/>
            <x15:cachedUniqueName index="8131" name="[FactPayment].[CaseKey].&amp;[8201|00011518]"/>
            <x15:cachedUniqueName index="8132" name="[FactPayment].[CaseKey].&amp;[8201|00011527]"/>
            <x15:cachedUniqueName index="8133" name="[FactPayment].[CaseKey].&amp;[8201|00011532]"/>
            <x15:cachedUniqueName index="8134" name="[FactPayment].[CaseKey].&amp;[8201|00011543]"/>
            <x15:cachedUniqueName index="8135" name="[FactPayment].[CaseKey].&amp;[8201|00011553]"/>
            <x15:cachedUniqueName index="8136" name="[FactPayment].[CaseKey].&amp;[8201|00011561]"/>
            <x15:cachedUniqueName index="8137" name="[FactPayment].[CaseKey].&amp;[8201|00011575]"/>
            <x15:cachedUniqueName index="8138" name="[FactPayment].[CaseKey].&amp;[8201|00011586]"/>
            <x15:cachedUniqueName index="8139" name="[FactPayment].[CaseKey].&amp;[8201|00011597]"/>
            <x15:cachedUniqueName index="8140" name="[FactPayment].[CaseKey].&amp;[8201|00011601]"/>
            <x15:cachedUniqueName index="8141" name="[FactPayment].[CaseKey].&amp;[8201|00011616]"/>
            <x15:cachedUniqueName index="8142" name="[FactPayment].[CaseKey].&amp;[8201|00011623]"/>
            <x15:cachedUniqueName index="8143" name="[FactPayment].[CaseKey].&amp;[8201|00011637]"/>
            <x15:cachedUniqueName index="8144" name="[FactPayment].[CaseKey].&amp;[8201|00011646]"/>
            <x15:cachedUniqueName index="8145" name="[FactPayment].[CaseKey].&amp;[8201|00011650]"/>
            <x15:cachedUniqueName index="8146" name="[FactPayment].[CaseKey].&amp;[8201|00011660]"/>
            <x15:cachedUniqueName index="8147" name="[FactPayment].[CaseKey].&amp;[8201|00011672]"/>
            <x15:cachedUniqueName index="8148" name="[FactPayment].[CaseKey].&amp;[8201|00011681]"/>
            <x15:cachedUniqueName index="8149" name="[FactPayment].[CaseKey].&amp;[8201|00011697]"/>
            <x15:cachedUniqueName index="8150" name="[FactPayment].[CaseKey].&amp;[8201|00011705]"/>
            <x15:cachedUniqueName index="8151" name="[FactPayment].[CaseKey].&amp;[8201|00011717]"/>
            <x15:cachedUniqueName index="8152" name="[FactPayment].[CaseKey].&amp;[8201|00011726]"/>
            <x15:cachedUniqueName index="8153" name="[FactPayment].[CaseKey].&amp;[8201|00011736]"/>
            <x15:cachedUniqueName index="8154" name="[FactPayment].[CaseKey].&amp;[8201|00011748]"/>
            <x15:cachedUniqueName index="8155" name="[FactPayment].[CaseKey].&amp;[8201|00011755]"/>
            <x15:cachedUniqueName index="8156" name="[FactPayment].[CaseKey].&amp;[8201|00011760]"/>
            <x15:cachedUniqueName index="8157" name="[FactPayment].[CaseKey].&amp;[8201|00011774]"/>
            <x15:cachedUniqueName index="8158" name="[FactPayment].[CaseKey].&amp;[8201|00011786]"/>
            <x15:cachedUniqueName index="8159" name="[FactPayment].[CaseKey].&amp;[8201|00011790]"/>
            <x15:cachedUniqueName index="8160" name="[FactPayment].[CaseKey].&amp;[8201|00011804]"/>
            <x15:cachedUniqueName index="8161" name="[FactPayment].[CaseKey].&amp;[8201|00011814]"/>
            <x15:cachedUniqueName index="8162" name="[FactPayment].[CaseKey].&amp;[8201|00011821]"/>
            <x15:cachedUniqueName index="8163" name="[FactPayment].[CaseKey].&amp;[8201|00011830]"/>
            <x15:cachedUniqueName index="8164" name="[FactPayment].[CaseKey].&amp;[8201|00011847]"/>
            <x15:cachedUniqueName index="8165" name="[FactPayment].[CaseKey].&amp;[8201|00011858]"/>
            <x15:cachedUniqueName index="8166" name="[FactPayment].[CaseKey].&amp;[8201|00011866]"/>
            <x15:cachedUniqueName index="8167" name="[FactPayment].[CaseKey].&amp;[8201|00011876]"/>
            <x15:cachedUniqueName index="8168" name="[FactPayment].[CaseKey].&amp;[8201|00011888]"/>
            <x15:cachedUniqueName index="8169" name="[FactPayment].[CaseKey].&amp;[8201|00011890]"/>
            <x15:cachedUniqueName index="8170" name="[FactPayment].[CaseKey].&amp;[8201|00011902]"/>
            <x15:cachedUniqueName index="8171" name="[FactPayment].[CaseKey].&amp;[8201|00011913]"/>
            <x15:cachedUniqueName index="8172" name="[FactPayment].[CaseKey].&amp;[8201|00011920]"/>
            <x15:cachedUniqueName index="8173" name="[FactPayment].[CaseKey].&amp;[8201|00011936]"/>
            <x15:cachedUniqueName index="8174" name="[FactPayment].[CaseKey].&amp;[8201|00011944]"/>
            <x15:cachedUniqueName index="8175" name="[FactPayment].[CaseKey].&amp;[8201|00011952]"/>
            <x15:cachedUniqueName index="8176" name="[FactPayment].[CaseKey].&amp;[8201|00011966]"/>
            <x15:cachedUniqueName index="8177" name="[FactPayment].[CaseKey].&amp;[8201|00011975]"/>
            <x15:cachedUniqueName index="8178" name="[FactPayment].[CaseKey].&amp;[8201|00011987]"/>
            <x15:cachedUniqueName index="8179" name="[FactPayment].[CaseKey].&amp;[8201|00011992]"/>
            <x15:cachedUniqueName index="8180" name="[FactPayment].[CaseKey].&amp;[8201|00012001]"/>
            <x15:cachedUniqueName index="8181" name="[FactPayment].[CaseKey].&amp;[8201|00012015]"/>
            <x15:cachedUniqueName index="8182" name="[FactPayment].[CaseKey].&amp;[8201|00012024]"/>
            <x15:cachedUniqueName index="8183" name="[FactPayment].[CaseKey].&amp;[8201|00012036]"/>
            <x15:cachedUniqueName index="8184" name="[FactPayment].[CaseKey].&amp;[8201|00012048]"/>
            <x15:cachedUniqueName index="8185" name="[FactPayment].[CaseKey].&amp;[8201|00012052]"/>
            <x15:cachedUniqueName index="8186" name="[FactPayment].[CaseKey].&amp;[8201|00012067]"/>
            <x15:cachedUniqueName index="8187" name="[FactPayment].[CaseKey].&amp;[8201|00012072]"/>
            <x15:cachedUniqueName index="8188" name="[FactPayment].[CaseKey].&amp;[8201|00012086]"/>
            <x15:cachedUniqueName index="8189" name="[FactPayment].[CaseKey].&amp;[8201|00012090]"/>
            <x15:cachedUniqueName index="8190" name="[FactPayment].[CaseKey].&amp;[8201|00012104]"/>
            <x15:cachedUniqueName index="8191" name="[FactPayment].[CaseKey].&amp;[8201|00012113]"/>
            <x15:cachedUniqueName index="8192" name="[FactPayment].[CaseKey].&amp;[8201|00012123]"/>
            <x15:cachedUniqueName index="8193" name="[FactPayment].[CaseKey].&amp;[8201|00012134]"/>
            <x15:cachedUniqueName index="8194" name="[FactPayment].[CaseKey].&amp;[8201|00012140]"/>
            <x15:cachedUniqueName index="8195" name="[FactPayment].[CaseKey].&amp;[8201|00012168]"/>
            <x15:cachedUniqueName index="8196" name="[FactPayment].[CaseKey].&amp;[8201|00012176]"/>
            <x15:cachedUniqueName index="8197" name="[FactPayment].[CaseKey].&amp;[8201|00012185]"/>
            <x15:cachedUniqueName index="8198" name="[FactPayment].[CaseKey].&amp;[8201|00012196]"/>
            <x15:cachedUniqueName index="8199" name="[FactPayment].[CaseKey].&amp;[8201|00012208]"/>
            <x15:cachedUniqueName index="8200" name="[FactPayment].[CaseKey].&amp;[8201|00012210]"/>
            <x15:cachedUniqueName index="8201" name="[FactPayment].[CaseKey].&amp;[8201|00012225]"/>
            <x15:cachedUniqueName index="8202" name="[FactPayment].[CaseKey].&amp;[8201|00012234]"/>
            <x15:cachedUniqueName index="8203" name="[FactPayment].[CaseKey].&amp;[8201|00012243]"/>
            <x15:cachedUniqueName index="8204" name="[FactPayment].[CaseKey].&amp;[8201|00012257]"/>
            <x15:cachedUniqueName index="8205" name="[FactPayment].[CaseKey].&amp;[8201|00012261]"/>
            <x15:cachedUniqueName index="8206" name="[FactPayment].[CaseKey].&amp;[8201|00012278]"/>
            <x15:cachedUniqueName index="8207" name="[FactPayment].[CaseKey].&amp;[8201|00012283]"/>
            <x15:cachedUniqueName index="8208" name="[FactPayment].[CaseKey].&amp;[8201|00012297]"/>
            <x15:cachedUniqueName index="8209" name="[FactPayment].[CaseKey].&amp;[8201|00012300]"/>
            <x15:cachedUniqueName index="8210" name="[FactPayment].[CaseKey].&amp;[8201|00012317]"/>
            <x15:cachedUniqueName index="8211" name="[FactPayment].[CaseKey].&amp;[8201|00012323]"/>
            <x15:cachedUniqueName index="8212" name="[FactPayment].[CaseKey].&amp;[8201|00012336]"/>
            <x15:cachedUniqueName index="8213" name="[FactPayment].[CaseKey].&amp;[8201|00012345]"/>
            <x15:cachedUniqueName index="8214" name="[FactPayment].[CaseKey].&amp;[8201|00012363]"/>
            <x15:cachedUniqueName index="8215" name="[FactPayment].[CaseKey].&amp;[8201|00012375]"/>
            <x15:cachedUniqueName index="8216" name="[FactPayment].[CaseKey].&amp;[8201|00012382]"/>
            <x15:cachedUniqueName index="8217" name="[FactPayment].[CaseKey].&amp;[8201|00012392]"/>
            <x15:cachedUniqueName index="8218" name="[FactPayment].[CaseKey].&amp;[8201|00012405]"/>
            <x15:cachedUniqueName index="8219" name="[FactPayment].[CaseKey].&amp;[8201|00012413]"/>
            <x15:cachedUniqueName index="8220" name="[FactPayment].[CaseKey].&amp;[8201|00012428]"/>
            <x15:cachedUniqueName index="8221" name="[FactPayment].[CaseKey].&amp;[8201|00012434]"/>
            <x15:cachedUniqueName index="8222" name="[FactPayment].[CaseKey].&amp;[8201|00012442]"/>
            <x15:cachedUniqueName index="8223" name="[FactPayment].[CaseKey].&amp;[8201|00012451]"/>
            <x15:cachedUniqueName index="8224" name="[FactPayment].[CaseKey].&amp;[8201|00012466]"/>
            <x15:cachedUniqueName index="8225" name="[FactPayment].[CaseKey].&amp;[8201|00012474]"/>
            <x15:cachedUniqueName index="8226" name="[FactPayment].[CaseKey].&amp;[8201|00012484]"/>
            <x15:cachedUniqueName index="8227" name="[FactPayment].[CaseKey].&amp;[8201|00012498]"/>
            <x15:cachedUniqueName index="8228" name="[FactPayment].[CaseKey].&amp;[8201|00012508]"/>
            <x15:cachedUniqueName index="8229" name="[FactPayment].[CaseKey].&amp;[8201|00012513]"/>
            <x15:cachedUniqueName index="8230" name="[FactPayment].[CaseKey].&amp;[8201|00012522]"/>
            <x15:cachedUniqueName index="8231" name="[FactPayment].[CaseKey].&amp;[8201|00012534]"/>
            <x15:cachedUniqueName index="8232" name="[FactPayment].[CaseKey].&amp;[8201|00012557]"/>
            <x15:cachedUniqueName index="8233" name="[FactPayment].[CaseKey].&amp;[8201|00012563]"/>
            <x15:cachedUniqueName index="8234" name="[FactPayment].[CaseKey].&amp;[8201|00012575]"/>
            <x15:cachedUniqueName index="8235" name="[FactPayment].[CaseKey].&amp;[8201|00012587]"/>
            <x15:cachedUniqueName index="8236" name="[FactPayment].[CaseKey].&amp;[8201|00012591]"/>
            <x15:cachedUniqueName index="8237" name="[FactPayment].[CaseKey].&amp;[8201|00012601]"/>
            <x15:cachedUniqueName index="8238" name="[FactPayment].[CaseKey].&amp;[8201|00012612]"/>
            <x15:cachedUniqueName index="8239" name="[FactPayment].[CaseKey].&amp;[8201|00012628]"/>
            <x15:cachedUniqueName index="8240" name="[FactPayment].[CaseKey].&amp;[8201|00012635]"/>
            <x15:cachedUniqueName index="8241" name="[FactPayment].[CaseKey].&amp;[8201|00012648]"/>
            <x15:cachedUniqueName index="8242" name="[FactPayment].[CaseKey].&amp;[8201|00012650]"/>
            <x15:cachedUniqueName index="8243" name="[FactPayment].[CaseKey].&amp;[8201|00012663]"/>
            <x15:cachedUniqueName index="8244" name="[FactPayment].[CaseKey].&amp;[8201|00012674]"/>
            <x15:cachedUniqueName index="8245" name="[FactPayment].[CaseKey].&amp;[8201|00012681]"/>
            <x15:cachedUniqueName index="8246" name="[FactPayment].[CaseKey].&amp;[8201|00012696]"/>
            <x15:cachedUniqueName index="8247" name="[FactPayment].[CaseKey].&amp;[8201|00012707]"/>
            <x15:cachedUniqueName index="8248" name="[FactPayment].[CaseKey].&amp;[8201|00012718]"/>
            <x15:cachedUniqueName index="8249" name="[FactPayment].[CaseKey].&amp;[8201|00012723]"/>
            <x15:cachedUniqueName index="8250" name="[FactPayment].[CaseKey].&amp;[8201|00012735]"/>
            <x15:cachedUniqueName index="8251" name="[FactPayment].[CaseKey].&amp;[8201|00012748]"/>
            <x15:cachedUniqueName index="8252" name="[FactPayment].[CaseKey].&amp;[8201|00012751]"/>
            <x15:cachedUniqueName index="8253" name="[FactPayment].[CaseKey].&amp;[8201|00012765]"/>
            <x15:cachedUniqueName index="8254" name="[FactPayment].[CaseKey].&amp;[8201|00012773]"/>
            <x15:cachedUniqueName index="8255" name="[FactPayment].[CaseKey].&amp;[8201|00012787]"/>
            <x15:cachedUniqueName index="8256" name="[FactPayment].[CaseKey].&amp;[8201|00012791]"/>
            <x15:cachedUniqueName index="8257" name="[FactPayment].[CaseKey].&amp;[8201|00012802]"/>
            <x15:cachedUniqueName index="8258" name="[FactPayment].[CaseKey].&amp;[8201|00012818]"/>
            <x15:cachedUniqueName index="8259" name="[FactPayment].[CaseKey].&amp;[8201|00012828]"/>
            <x15:cachedUniqueName index="8260" name="[FactPayment].[CaseKey].&amp;[8201|00012832]"/>
            <x15:cachedUniqueName index="8261" name="[FactPayment].[CaseKey].&amp;[8201|00012846]"/>
            <x15:cachedUniqueName index="8262" name="[FactPayment].[CaseKey].&amp;[8201|00012856]"/>
            <x15:cachedUniqueName index="8263" name="[FactPayment].[CaseKey].&amp;[8201|00012866]"/>
            <x15:cachedUniqueName index="8264" name="[FactPayment].[CaseKey].&amp;[8201|00012878]"/>
            <x15:cachedUniqueName index="8265" name="[FactPayment].[CaseKey].&amp;[8201|00012880]"/>
            <x15:cachedUniqueName index="8266" name="[FactPayment].[CaseKey].&amp;[8201|00012891]"/>
            <x15:cachedUniqueName index="8267" name="[FactPayment].[CaseKey].&amp;[8201|00012905]"/>
            <x15:cachedUniqueName index="8268" name="[FactPayment].[CaseKey].&amp;[8201|00012917]"/>
            <x15:cachedUniqueName index="8269" name="[FactPayment].[CaseKey].&amp;[8201|00012922]"/>
            <x15:cachedUniqueName index="8270" name="[FactPayment].[CaseKey].&amp;[8201|00012936]"/>
            <x15:cachedUniqueName index="8271" name="[FactPayment].[CaseKey].&amp;[8201|00012944]"/>
            <x15:cachedUniqueName index="8272" name="[FactPayment].[CaseKey].&amp;[8201|00012954]"/>
            <x15:cachedUniqueName index="8273" name="[FactPayment].[CaseKey].&amp;[8201|00012966]"/>
            <x15:cachedUniqueName index="8274" name="[FactPayment].[CaseKey].&amp;[8201|00012972]"/>
            <x15:cachedUniqueName index="8275" name="[FactPayment].[CaseKey].&amp;[8201|00012987]"/>
            <x15:cachedUniqueName index="8276" name="[FactPayment].[CaseKey].&amp;[8201|00012990]"/>
            <x15:cachedUniqueName index="8277" name="[FactPayment].[CaseKey].&amp;[8201|00013006]"/>
            <x15:cachedUniqueName index="8278" name="[FactPayment].[CaseKey].&amp;[8201|00013016]"/>
            <x15:cachedUniqueName index="8279" name="[FactPayment].[CaseKey].&amp;[8201|00013034]"/>
            <x15:cachedUniqueName index="8280" name="[FactPayment].[CaseKey].&amp;[8201|00013041]"/>
            <x15:cachedUniqueName index="8281" name="[FactPayment].[CaseKey].&amp;[8201|00013051]"/>
            <x15:cachedUniqueName index="8282" name="[FactPayment].[CaseKey].&amp;[8201|00013066]"/>
            <x15:cachedUniqueName index="8283" name="[FactPayment].[CaseKey].&amp;[8201|00013071]"/>
            <x15:cachedUniqueName index="8284" name="[FactPayment].[CaseKey].&amp;[8201|00013088]"/>
            <x15:cachedUniqueName index="8285" name="[FactPayment].[CaseKey].&amp;[8201|00013090]"/>
            <x15:cachedUniqueName index="8286" name="[FactPayment].[CaseKey].&amp;[8201|00013104]"/>
            <x15:cachedUniqueName index="8287" name="[FactPayment].[CaseKey].&amp;[8201|00013115]"/>
            <x15:cachedUniqueName index="8288" name="[FactPayment].[CaseKey].&amp;[8201|00013125]"/>
            <x15:cachedUniqueName index="8289" name="[FactPayment].[CaseKey].&amp;[8201|00013133]"/>
            <x15:cachedUniqueName index="8290" name="[FactPayment].[CaseKey].&amp;[8201|00013143]"/>
            <x15:cachedUniqueName index="8291" name="[FactPayment].[CaseKey].&amp;[8201|00013155]"/>
            <x15:cachedUniqueName index="8292" name="[FactPayment].[CaseKey].&amp;[8201|00013166]"/>
            <x15:cachedUniqueName index="8293" name="[FactPayment].[CaseKey].&amp;[8201|00013173]"/>
            <x15:cachedUniqueName index="8294" name="[FactPayment].[CaseKey].&amp;[8201|00013187]"/>
            <x15:cachedUniqueName index="8295" name="[FactPayment].[CaseKey].&amp;[8201|00013195]"/>
            <x15:cachedUniqueName index="8296" name="[FactPayment].[CaseKey].&amp;[8201|00013202]"/>
            <x15:cachedUniqueName index="8297" name="[FactPayment].[CaseKey].&amp;[8201|00013213]"/>
            <x15:cachedUniqueName index="8298" name="[FactPayment].[CaseKey].&amp;[8201|00013227]"/>
            <x15:cachedUniqueName index="8299" name="[FactPayment].[CaseKey].&amp;[8201|00013238]"/>
            <x15:cachedUniqueName index="8300" name="[FactPayment].[CaseKey].&amp;[8201|00013241]"/>
            <x15:cachedUniqueName index="8301" name="[FactPayment].[CaseKey].&amp;[8201|00013256]"/>
            <x15:cachedUniqueName index="8302" name="[FactPayment].[CaseKey].&amp;[8201|00013267]"/>
            <x15:cachedUniqueName index="8303" name="[FactPayment].[CaseKey].&amp;[8201|00013276]"/>
            <x15:cachedUniqueName index="8304" name="[FactPayment].[CaseKey].&amp;[8201|00013282]"/>
            <x15:cachedUniqueName index="8305" name="[FactPayment].[CaseKey].&amp;[8201|00013293]"/>
            <x15:cachedUniqueName index="8306" name="[FactPayment].[CaseKey].&amp;[8201|00013304]"/>
            <x15:cachedUniqueName index="8307" name="[FactPayment].[CaseKey].&amp;[8201|00013310]"/>
            <x15:cachedUniqueName index="8308" name="[FactPayment].[CaseKey].&amp;[8201|00013338]"/>
            <x15:cachedUniqueName index="8309" name="[FactPayment].[CaseKey].&amp;[8201|00013344]"/>
            <x15:cachedUniqueName index="8310" name="[FactPayment].[CaseKey].&amp;[8201|00013352]"/>
            <x15:cachedUniqueName index="8311" name="[FactPayment].[CaseKey].&amp;[8201|00013365]"/>
            <x15:cachedUniqueName index="8312" name="[FactPayment].[CaseKey].&amp;[8201|00013376]"/>
            <x15:cachedUniqueName index="8313" name="[FactPayment].[CaseKey].&amp;[8201|00013382]"/>
            <x15:cachedUniqueName index="8314" name="[FactPayment].[CaseKey].&amp;[8201|00013391]"/>
            <x15:cachedUniqueName index="8315" name="[FactPayment].[CaseKey].&amp;[8201|00013403]"/>
            <x15:cachedUniqueName index="8316" name="[FactPayment].[CaseKey].&amp;[8201|00013410]"/>
            <x15:cachedUniqueName index="8317" name="[FactPayment].[CaseKey].&amp;[8201|00013423]"/>
            <x15:cachedUniqueName index="8318" name="[FactPayment].[CaseKey].&amp;[8201|00013433]"/>
            <x15:cachedUniqueName index="8319" name="[FactPayment].[CaseKey].&amp;[8201|00013445]"/>
            <x15:cachedUniqueName index="8320" name="[FactPayment].[CaseKey].&amp;[8201|00013458]"/>
            <x15:cachedUniqueName index="8321" name="[FactPayment].[CaseKey].&amp;[8201|00013466]"/>
            <x15:cachedUniqueName index="8322" name="[FactPayment].[CaseKey].&amp;[8201|00013482]"/>
            <x15:cachedUniqueName index="8323" name="[FactPayment].[CaseKey].&amp;[8201|00013490]"/>
            <x15:cachedUniqueName index="8324" name="[FactPayment].[CaseKey].&amp;[8201|00013504]"/>
            <x15:cachedUniqueName index="8325" name="[FactPayment].[CaseKey].&amp;[8201|00013514]"/>
            <x15:cachedUniqueName index="8326" name="[FactPayment].[CaseKey].&amp;[8201|00013523]"/>
            <x15:cachedUniqueName index="8327" name="[FactPayment].[CaseKey].&amp;[8201|00013536]"/>
            <x15:cachedUniqueName index="8328" name="[FactPayment].[CaseKey].&amp;[8201|00013540]"/>
            <x15:cachedUniqueName index="8329" name="[FactPayment].[CaseKey].&amp;[8201|00013565]"/>
            <x15:cachedUniqueName index="8330" name="[FactPayment].[CaseKey].&amp;[8201|00013571]"/>
            <x15:cachedUniqueName index="8331" name="[FactPayment].[CaseKey].&amp;[8201|00013586]"/>
            <x15:cachedUniqueName index="8332" name="[FactPayment].[CaseKey].&amp;[8201|00013596]"/>
            <x15:cachedUniqueName index="8333" name="[FactPayment].[CaseKey].&amp;[8201|00013606]"/>
            <x15:cachedUniqueName index="8334" name="[FactPayment].[CaseKey].&amp;[8201|00013613]"/>
            <x15:cachedUniqueName index="8335" name="[FactPayment].[CaseKey].&amp;[8201|00013624]"/>
            <x15:cachedUniqueName index="8336" name="[FactPayment].[CaseKey].&amp;[8201|00013636]"/>
            <x15:cachedUniqueName index="8337" name="[FactPayment].[CaseKey].&amp;[8201|00013642]"/>
            <x15:cachedUniqueName index="8338" name="[FactPayment].[CaseKey].&amp;[8201|00013651]"/>
            <x15:cachedUniqueName index="8339" name="[FactPayment].[CaseKey].&amp;[8201|00013660]"/>
            <x15:cachedUniqueName index="8340" name="[FactPayment].[CaseKey].&amp;[8201|00013672]"/>
            <x15:cachedUniqueName index="8341" name="[FactPayment].[CaseKey].&amp;[8201|00013688]"/>
            <x15:cachedUniqueName index="8342" name="[FactPayment].[CaseKey].&amp;[8201|00013695]"/>
            <x15:cachedUniqueName index="8343" name="[FactPayment].[CaseKey].&amp;[8201|00013712]"/>
            <x15:cachedUniqueName index="8344" name="[FactPayment].[CaseKey].&amp;[8201|00013726]"/>
            <x15:cachedUniqueName index="8345" name="[FactPayment].[CaseKey].&amp;[8201|00013735]"/>
            <x15:cachedUniqueName index="8346" name="[FactPayment].[CaseKey].&amp;[8201|00013748]"/>
            <x15:cachedUniqueName index="8347" name="[FactPayment].[CaseKey].&amp;[8201|00013752]"/>
            <x15:cachedUniqueName index="8348" name="[FactPayment].[CaseKey].&amp;[8201|00013763]"/>
            <x15:cachedUniqueName index="8349" name="[FactPayment].[CaseKey].&amp;[8201|00013772]"/>
            <x15:cachedUniqueName index="8350" name="[FactPayment].[CaseKey].&amp;[8201|00013788]"/>
            <x15:cachedUniqueName index="8351" name="[FactPayment].[CaseKey].&amp;[8201|00013792]"/>
            <x15:cachedUniqueName index="8352" name="[FactPayment].[CaseKey].&amp;[8201|00013817]"/>
            <x15:cachedUniqueName index="8353" name="[FactPayment].[CaseKey].&amp;[8201|00013822]"/>
            <x15:cachedUniqueName index="8354" name="[FactPayment].[CaseKey].&amp;[8201|00013835]"/>
            <x15:cachedUniqueName index="8355" name="[FactPayment].[CaseKey].&amp;[8201|00013842]"/>
            <x15:cachedUniqueName index="8356" name="[FactPayment].[CaseKey].&amp;[8201|00013857]"/>
            <x15:cachedUniqueName index="8357" name="[FactPayment].[CaseKey].&amp;[8201|00013862]"/>
            <x15:cachedUniqueName index="8358" name="[FactPayment].[CaseKey].&amp;[8201|00013872]"/>
            <x15:cachedUniqueName index="8359" name="[FactPayment].[CaseKey].&amp;[8201|00013880]"/>
            <x15:cachedUniqueName index="8360" name="[FactPayment].[CaseKey].&amp;[8201|00013891]"/>
            <x15:cachedUniqueName index="8361" name="[FactPayment].[CaseKey].&amp;[8201|00013905]"/>
            <x15:cachedUniqueName index="8362" name="[FactPayment].[CaseKey].&amp;[8201|00013917]"/>
            <x15:cachedUniqueName index="8363" name="[FactPayment].[CaseKey].&amp;[8201|00013927]"/>
            <x15:cachedUniqueName index="8364" name="[FactPayment].[CaseKey].&amp;[8201|00013937]"/>
            <x15:cachedUniqueName index="8365" name="[FactPayment].[CaseKey].&amp;[8201|00013946]"/>
            <x15:cachedUniqueName index="8366" name="[FactPayment].[CaseKey].&amp;[8201|00013956]"/>
            <x15:cachedUniqueName index="8367" name="[FactPayment].[CaseKey].&amp;[8201|00013962]"/>
            <x15:cachedUniqueName index="8368" name="[FactPayment].[CaseKey].&amp;[8201|00013974]"/>
            <x15:cachedUniqueName index="8369" name="[FactPayment].[CaseKey].&amp;[8201|00013984]"/>
            <x15:cachedUniqueName index="8370" name="[FactPayment].[CaseKey].&amp;[8201|00013994]"/>
            <x15:cachedUniqueName index="8371" name="[FactPayment].[CaseKey].&amp;[8201|00014005]"/>
            <x15:cachedUniqueName index="8372" name="[FactPayment].[CaseKey].&amp;[8201|00014011]"/>
            <x15:cachedUniqueName index="8373" name="[FactPayment].[CaseKey].&amp;[8201|00014026]"/>
            <x15:cachedUniqueName index="8374" name="[FactPayment].[CaseKey].&amp;[8201|00014038]"/>
            <x15:cachedUniqueName index="8375" name="[FactPayment].[CaseKey].&amp;[8201|00014045]"/>
            <x15:cachedUniqueName index="8376" name="[FactPayment].[CaseKey].&amp;[8201|00014051]"/>
            <x15:cachedUniqueName index="8377" name="[FactPayment].[CaseKey].&amp;[8201|00014067]"/>
            <x15:cachedUniqueName index="8378" name="[FactPayment].[CaseKey].&amp;[8201|00014074]"/>
            <x15:cachedUniqueName index="8379" name="[FactPayment].[CaseKey].&amp;[8201|00014082]"/>
            <x15:cachedUniqueName index="8380" name="[FactPayment].[CaseKey].&amp;[8201|00014098]"/>
            <x15:cachedUniqueName index="8381" name="[FactPayment].[CaseKey].&amp;[8201|00014107]"/>
            <x15:cachedUniqueName index="8382" name="[FactPayment].[CaseKey].&amp;[8201|00014115]"/>
            <x15:cachedUniqueName index="8383" name="[FactPayment].[CaseKey].&amp;[8201|00014122]"/>
            <x15:cachedUniqueName index="8384" name="[FactPayment].[CaseKey].&amp;[8201|00014134]"/>
            <x15:cachedUniqueName index="8385" name="[FactPayment].[CaseKey].&amp;[8201|00014144]"/>
            <x15:cachedUniqueName index="8386" name="[FactPayment].[CaseKey].&amp;[8201|00014154]"/>
            <x15:cachedUniqueName index="8387" name="[FactPayment].[CaseKey].&amp;[8201|00014166]"/>
            <x15:cachedUniqueName index="8388" name="[FactPayment].[CaseKey].&amp;[8201|00014172]"/>
            <x15:cachedUniqueName index="8389" name="[FactPayment].[CaseKey].&amp;[8201|00014183]"/>
            <x15:cachedUniqueName index="8390" name="[FactPayment].[CaseKey].&amp;[8201|00014194]"/>
            <x15:cachedUniqueName index="8391" name="[FactPayment].[CaseKey].&amp;[8201|00014206]"/>
            <x15:cachedUniqueName index="8392" name="[FactPayment].[CaseKey].&amp;[8201|00014211]"/>
            <x15:cachedUniqueName index="8393" name="[FactPayment].[CaseKey].&amp;[8201|00014226]"/>
            <x15:cachedUniqueName index="8394" name="[FactPayment].[CaseKey].&amp;[8201|00014235]"/>
            <x15:cachedUniqueName index="8395" name="[FactPayment].[CaseKey].&amp;[8201|00014248]"/>
            <x15:cachedUniqueName index="8396" name="[FactPayment].[CaseKey].&amp;[8201|00014255]"/>
            <x15:cachedUniqueName index="8397" name="[FactPayment].[CaseKey].&amp;[8201|00014268]"/>
            <x15:cachedUniqueName index="8398" name="[FactPayment].[CaseKey].&amp;[8201|00014276]"/>
            <x15:cachedUniqueName index="8399" name="[FactPayment].[CaseKey].&amp;[8201|00014298]"/>
            <x15:cachedUniqueName index="8400" name="[FactPayment].[CaseKey].&amp;[8201|00014305]"/>
            <x15:cachedUniqueName index="8401" name="[FactPayment].[CaseKey].&amp;[8201|00014312]"/>
            <x15:cachedUniqueName index="8402" name="[FactPayment].[CaseKey].&amp;[8201|00014321]"/>
            <x15:cachedUniqueName index="8403" name="[FactPayment].[CaseKey].&amp;[8201|00014335]"/>
            <x15:cachedUniqueName index="8404" name="[FactPayment].[CaseKey].&amp;[8201|00014347]"/>
            <x15:cachedUniqueName index="8405" name="[FactPayment].[CaseKey].&amp;[8201|00014355]"/>
            <x15:cachedUniqueName index="8406" name="[FactPayment].[CaseKey].&amp;[8201|00014377]"/>
            <x15:cachedUniqueName index="8407" name="[FactPayment].[CaseKey].&amp;[8201|00014380]"/>
            <x15:cachedUniqueName index="8408" name="[FactPayment].[CaseKey].&amp;[8201|00014395]"/>
            <x15:cachedUniqueName index="8409" name="[FactPayment].[CaseKey].&amp;[8201|00014412]"/>
            <x15:cachedUniqueName index="8410" name="[FactPayment].[CaseKey].&amp;[8201|00014426]"/>
            <x15:cachedUniqueName index="8411" name="[FactPayment].[CaseKey].&amp;[8201|00014437]"/>
            <x15:cachedUniqueName index="8412" name="[FactPayment].[CaseKey].&amp;[8201|00014440]"/>
            <x15:cachedUniqueName index="8413" name="[FactPayment].[CaseKey].&amp;[8201|00014457]"/>
            <x15:cachedUniqueName index="8414" name="[FactPayment].[CaseKey].&amp;[8201|00014462]"/>
            <x15:cachedUniqueName index="8415" name="[FactPayment].[CaseKey].&amp;[8201|00014472]"/>
            <x15:cachedUniqueName index="8416" name="[FactPayment].[CaseKey].&amp;[8201|00014486]"/>
            <x15:cachedUniqueName index="8417" name="[FactPayment].[CaseKey].&amp;[8201|00014496]"/>
            <x15:cachedUniqueName index="8418" name="[FactPayment].[CaseKey].&amp;[8201|00014506]"/>
            <x15:cachedUniqueName index="8419" name="[FactPayment].[CaseKey].&amp;[8201|00014517]"/>
            <x15:cachedUniqueName index="8420" name="[FactPayment].[CaseKey].&amp;[8201|00014525]"/>
            <x15:cachedUniqueName index="8421" name="[FactPayment].[CaseKey].&amp;[8201|00014537]"/>
            <x15:cachedUniqueName index="8422" name="[FactPayment].[CaseKey].&amp;[8201|00014547]"/>
            <x15:cachedUniqueName index="8423" name="[FactPayment].[CaseKey].&amp;[8201|00014551]"/>
            <x15:cachedUniqueName index="8424" name="[FactPayment].[CaseKey].&amp;[8201|00014561]"/>
            <x15:cachedUniqueName index="8425" name="[FactPayment].[CaseKey].&amp;[8201|00014570]"/>
            <x15:cachedUniqueName index="8426" name="[FactPayment].[CaseKey].&amp;[8201|00014581]"/>
            <x15:cachedUniqueName index="8427" name="[FactPayment].[CaseKey].&amp;[8201|00014590]"/>
            <x15:cachedUniqueName index="8428" name="[FactPayment].[CaseKey].&amp;[8201|00014601]"/>
            <x15:cachedUniqueName index="8429" name="[FactPayment].[CaseKey].&amp;[8201|00014615]"/>
            <x15:cachedUniqueName index="8430" name="[FactPayment].[CaseKey].&amp;[8201|00014623]"/>
            <x15:cachedUniqueName index="8431" name="[FactPayment].[CaseKey].&amp;[8201|00014633]"/>
            <x15:cachedUniqueName index="8432" name="[FactPayment].[CaseKey].&amp;[8201|00014642]"/>
            <x15:cachedUniqueName index="8433" name="[FactPayment].[CaseKey].&amp;[8201|00014655]"/>
            <x15:cachedUniqueName index="8434" name="[FactPayment].[CaseKey].&amp;[8201|00014663]"/>
            <x15:cachedUniqueName index="8435" name="[FactPayment].[CaseKey].&amp;[8201|00014675]"/>
            <x15:cachedUniqueName index="8436" name="[FactPayment].[CaseKey].&amp;[8201|00014683]"/>
            <x15:cachedUniqueName index="8437" name="[FactPayment].[CaseKey].&amp;[8201|00014690]"/>
            <x15:cachedUniqueName index="8438" name="[FactPayment].[CaseKey].&amp;[8201|00014700]"/>
            <x15:cachedUniqueName index="8439" name="[FactPayment].[CaseKey].&amp;[8201|00014718]"/>
            <x15:cachedUniqueName index="8440" name="[FactPayment].[CaseKey].&amp;[8201|00014726]"/>
            <x15:cachedUniqueName index="8441" name="[FactPayment].[CaseKey].&amp;[8201|00014738]"/>
            <x15:cachedUniqueName index="8442" name="[FactPayment].[CaseKey].&amp;[8201|00014742]"/>
            <x15:cachedUniqueName index="8443" name="[FactPayment].[CaseKey].&amp;[8201|00014761]"/>
            <x15:cachedUniqueName index="8444" name="[FactPayment].[CaseKey].&amp;[8201|00014774]"/>
            <x15:cachedUniqueName index="8445" name="[FactPayment].[CaseKey].&amp;[8201|00014787]"/>
            <x15:cachedUniqueName index="8446" name="[FactPayment].[CaseKey].&amp;[8201|00014791]"/>
            <x15:cachedUniqueName index="8447" name="[FactPayment].[CaseKey].&amp;[8201|00014807]"/>
            <x15:cachedUniqueName index="8448" name="[FactPayment].[CaseKey].&amp;[8201|00014815]"/>
            <x15:cachedUniqueName index="8449" name="[FactPayment].[CaseKey].&amp;[8201|00014822]"/>
            <x15:cachedUniqueName index="8450" name="[FactPayment].[CaseKey].&amp;[8201|00014835]"/>
            <x15:cachedUniqueName index="8451" name="[FactPayment].[CaseKey].&amp;[8201|00014841]"/>
            <x15:cachedUniqueName index="8452" name="[FactPayment].[CaseKey].&amp;[8201|00014851]"/>
            <x15:cachedUniqueName index="8453" name="[FactPayment].[CaseKey].&amp;[8201|00014862]"/>
            <x15:cachedUniqueName index="8454" name="[FactPayment].[CaseKey].&amp;[8201|00014876]"/>
            <x15:cachedUniqueName index="8455" name="[FactPayment].[CaseKey].&amp;[8201|00014885]"/>
            <x15:cachedUniqueName index="8456" name="[FactPayment].[CaseKey].&amp;[8201|00014893]"/>
            <x15:cachedUniqueName index="8457" name="[FactPayment].[CaseKey].&amp;[8201|00014904]"/>
            <x15:cachedUniqueName index="8458" name="[FactPayment].[CaseKey].&amp;[8201|00014911]"/>
            <x15:cachedUniqueName index="8459" name="[FactPayment].[CaseKey].&amp;[8201|00014927]"/>
            <x15:cachedUniqueName index="8460" name="[FactPayment].[CaseKey].&amp;[8201|00014935]"/>
            <x15:cachedUniqueName index="8461" name="[FactPayment].[CaseKey].&amp;[8201|00014947]"/>
            <x15:cachedUniqueName index="8462" name="[FactPayment].[CaseKey].&amp;[8201|00014952]"/>
            <x15:cachedUniqueName index="8463" name="[FactPayment].[CaseKey].&amp;[8201|00014963]"/>
            <x15:cachedUniqueName index="8464" name="[FactPayment].[CaseKey].&amp;[8201|00014977]"/>
            <x15:cachedUniqueName index="8465" name="[FactPayment].[CaseKey].&amp;[8201|00014981]"/>
            <x15:cachedUniqueName index="8466" name="[FactPayment].[CaseKey].&amp;[8201|00014992]"/>
            <x15:cachedUniqueName index="8467" name="[FactPayment].[CaseKey].&amp;[8201|00015001]"/>
            <x15:cachedUniqueName index="8468" name="[FactPayment].[CaseKey].&amp;[8201|00015010]"/>
            <x15:cachedUniqueName index="8469" name="[FactPayment].[CaseKey].&amp;[8201|00015027]"/>
            <x15:cachedUniqueName index="8470" name="[FactPayment].[CaseKey].&amp;[8201|00015032]"/>
            <x15:cachedUniqueName index="8471" name="[FactPayment].[CaseKey].&amp;[8201|00015048]"/>
            <x15:cachedUniqueName index="8472" name="[FactPayment].[CaseKey].&amp;[8201|00015051]"/>
            <x15:cachedUniqueName index="8473" name="[FactPayment].[CaseKey].&amp;[8201|00015067]"/>
            <x15:cachedUniqueName index="8474" name="[FactPayment].[CaseKey].&amp;[8201|00015073]"/>
            <x15:cachedUniqueName index="8475" name="[FactPayment].[CaseKey].&amp;[8201|00015086]"/>
            <x15:cachedUniqueName index="8476" name="[FactPayment].[CaseKey].&amp;[8201|00015097]"/>
            <x15:cachedUniqueName index="8477" name="[FactPayment].[CaseKey].&amp;[8201|00015108]"/>
            <x15:cachedUniqueName index="8478" name="[FactPayment].[CaseKey].&amp;[8201|00015118]"/>
            <x15:cachedUniqueName index="8479" name="[FactPayment].[CaseKey].&amp;[8201|00015127]"/>
            <x15:cachedUniqueName index="8480" name="[FactPayment].[CaseKey].&amp;[8201|00015131]"/>
            <x15:cachedUniqueName index="8481" name="[FactPayment].[CaseKey].&amp;[8201|00015147]"/>
            <x15:cachedUniqueName index="8482" name="[FactPayment].[CaseKey].&amp;[8201|00015156]"/>
            <x15:cachedUniqueName index="8483" name="[FactPayment].[CaseKey].&amp;[8201|00015166]"/>
            <x15:cachedUniqueName index="8484" name="[FactPayment].[CaseKey].&amp;[8201|00015177]"/>
            <x15:cachedUniqueName index="8485" name="[FactPayment].[CaseKey].&amp;[8201|00015185]"/>
            <x15:cachedUniqueName index="8486" name="[FactPayment].[CaseKey].&amp;[8201|00015204]"/>
            <x15:cachedUniqueName index="8487" name="[FactPayment].[CaseKey].&amp;[8201|00015212]"/>
            <x15:cachedUniqueName index="8488" name="[FactPayment].[CaseKey].&amp;[8201|00015220]"/>
            <x15:cachedUniqueName index="8489" name="[FactPayment].[CaseKey].&amp;[8201|00015232]"/>
            <x15:cachedUniqueName index="8490" name="[FactPayment].[CaseKey].&amp;[8201|00015247]"/>
            <x15:cachedUniqueName index="8491" name="[FactPayment].[CaseKey].&amp;[8201|00015258]"/>
            <x15:cachedUniqueName index="8492" name="[FactPayment].[CaseKey].&amp;[8201|00015260]"/>
            <x15:cachedUniqueName index="8493" name="[FactPayment].[CaseKey].&amp;[8201|00015273]"/>
            <x15:cachedUniqueName index="8494" name="[FactPayment].[CaseKey].&amp;[8201|00015288]"/>
            <x15:cachedUniqueName index="8495" name="[FactPayment].[CaseKey].&amp;[8201|00015296]"/>
            <x15:cachedUniqueName index="8496" name="[FactPayment].[CaseKey].&amp;[8201|00015305]"/>
            <x15:cachedUniqueName index="8497" name="[FactPayment].[CaseKey].&amp;[8201|00015311]"/>
            <x15:cachedUniqueName index="8498" name="[FactPayment].[CaseKey].&amp;[8201|00015324]"/>
            <x15:cachedUniqueName index="8499" name="[FactPayment].[CaseKey].&amp;[8201|00015337]"/>
            <x15:cachedUniqueName index="8500" name="[FactPayment].[CaseKey].&amp;[8201|00015342]"/>
            <x15:cachedUniqueName index="8501" name="[FactPayment].[CaseKey].&amp;[8201|00015355]"/>
            <x15:cachedUniqueName index="8502" name="[FactPayment].[CaseKey].&amp;[8201|00015361]"/>
            <x15:cachedUniqueName index="8503" name="[FactPayment].[CaseKey].&amp;[8201|00015378]"/>
            <x15:cachedUniqueName index="8504" name="[FactPayment].[CaseKey].&amp;[8201|00015380]"/>
            <x15:cachedUniqueName index="8505" name="[FactPayment].[CaseKey].&amp;[8201|00015396]"/>
            <x15:cachedUniqueName index="8506" name="[FactPayment].[CaseKey].&amp;[8201|00015404]"/>
            <x15:cachedUniqueName index="8507" name="[FactPayment].[CaseKey].&amp;[8201|00015412]"/>
            <x15:cachedUniqueName index="8508" name="[FactPayment].[CaseKey].&amp;[8201|00015427]"/>
            <x15:cachedUniqueName index="8509" name="[FactPayment].[CaseKey].&amp;[8201|00015441]"/>
            <x15:cachedUniqueName index="8510" name="[FactPayment].[CaseKey].&amp;[8201|00015453]"/>
            <x15:cachedUniqueName index="8511" name="[FactPayment].[CaseKey].&amp;[8201|00015462]"/>
            <x15:cachedUniqueName index="8512" name="[FactPayment].[CaseKey].&amp;[8201|00015471]"/>
            <x15:cachedUniqueName index="8513" name="[FactPayment].[CaseKey].&amp;[8201|00015487]"/>
            <x15:cachedUniqueName index="8514" name="[FactPayment].[CaseKey].&amp;[8201|00015494]"/>
            <x15:cachedUniqueName index="8515" name="[FactPayment].[CaseKey].&amp;[8201|00015501]"/>
            <x15:cachedUniqueName index="8516" name="[FactPayment].[CaseKey].&amp;[8201|00015511]"/>
            <x15:cachedUniqueName index="8517" name="[FactPayment].[CaseKey].&amp;[8201|00015520]"/>
            <x15:cachedUniqueName index="8518" name="[FactPayment].[CaseKey].&amp;[8201|00015537]"/>
            <x15:cachedUniqueName index="8519" name="[FactPayment].[CaseKey].&amp;[8201|00015542]"/>
            <x15:cachedUniqueName index="8520" name="[FactPayment].[CaseKey].&amp;[8201|00015554]"/>
            <x15:cachedUniqueName index="8521" name="[FactPayment].[CaseKey].&amp;[8201|00015565]"/>
            <x15:cachedUniqueName index="8522" name="[FactPayment].[CaseKey].&amp;[8201|00015571]"/>
            <x15:cachedUniqueName index="8523" name="[FactPayment].[CaseKey].&amp;[8201|00015586]"/>
            <x15:cachedUniqueName index="8524" name="[FactPayment].[CaseKey].&amp;[8201|00015590]"/>
            <x15:cachedUniqueName index="8525" name="[FactPayment].[CaseKey].&amp;[8201|00015607]"/>
            <x15:cachedUniqueName index="8526" name="[FactPayment].[CaseKey].&amp;[8201|00015612]"/>
            <x15:cachedUniqueName index="8527" name="[FactPayment].[CaseKey].&amp;[8201|00015621]"/>
            <x15:cachedUniqueName index="8528" name="[FactPayment].[CaseKey].&amp;[8201|00015637]"/>
            <x15:cachedUniqueName index="8529" name="[FactPayment].[CaseKey].&amp;[8201|00015645]"/>
            <x15:cachedUniqueName index="8530" name="[FactPayment].[CaseKey].&amp;[8201|00015656]"/>
            <x15:cachedUniqueName index="8531" name="[FactPayment].[CaseKey].&amp;[8201|00015663]"/>
            <x15:cachedUniqueName index="8532" name="[FactPayment].[CaseKey].&amp;[8201|00015673]"/>
            <x15:cachedUniqueName index="8533" name="[FactPayment].[CaseKey].&amp;[8201|00015687]"/>
            <x15:cachedUniqueName index="8534" name="[FactPayment].[CaseKey].&amp;[8201|00015693]"/>
            <x15:cachedUniqueName index="8535" name="[FactPayment].[CaseKey].&amp;[8201|00015704]"/>
            <x15:cachedUniqueName index="8536" name="[FactPayment].[CaseKey].&amp;[8201|00015714]"/>
            <x15:cachedUniqueName index="8537" name="[FactPayment].[CaseKey].&amp;[8201|00015722]"/>
            <x15:cachedUniqueName index="8538" name="[FactPayment].[CaseKey].&amp;[8201|00015734]"/>
            <x15:cachedUniqueName index="8539" name="[FactPayment].[CaseKey].&amp;[8201|00015745]"/>
            <x15:cachedUniqueName index="8540" name="[FactPayment].[CaseKey].&amp;[8201|00015755]"/>
            <x15:cachedUniqueName index="8541" name="[FactPayment].[CaseKey].&amp;[8201|00015767]"/>
            <x15:cachedUniqueName index="8542" name="[FactPayment].[CaseKey].&amp;[8201|00015774]"/>
            <x15:cachedUniqueName index="8543" name="[FactPayment].[CaseKey].&amp;[8201|00015783]"/>
            <x15:cachedUniqueName index="8544" name="[FactPayment].[CaseKey].&amp;[8201|00015794]"/>
            <x15:cachedUniqueName index="8545" name="[FactPayment].[CaseKey].&amp;[8201|00015807]"/>
            <x15:cachedUniqueName index="8546" name="[FactPayment].[CaseKey].&amp;[8201|00015813]"/>
            <x15:cachedUniqueName index="8547" name="[FactPayment].[CaseKey].&amp;[8201|00015820]"/>
            <x15:cachedUniqueName index="8548" name="[FactPayment].[CaseKey].&amp;[8201|00015830]"/>
            <x15:cachedUniqueName index="8549" name="[FactPayment].[CaseKey].&amp;[8201|00015842]"/>
            <x15:cachedUniqueName index="8550" name="[FactPayment].[CaseKey].&amp;[8201|00015855]"/>
            <x15:cachedUniqueName index="8551" name="[FactPayment].[CaseKey].&amp;[8201|00015866]"/>
            <x15:cachedUniqueName index="8552" name="[FactPayment].[CaseKey].&amp;[8201|00015872]"/>
            <x15:cachedUniqueName index="8553" name="[FactPayment].[CaseKey].&amp;[8201|00015886]"/>
            <x15:cachedUniqueName index="8554" name="[FactPayment].[CaseKey].&amp;[8201|00015890]"/>
            <x15:cachedUniqueName index="8555" name="[FactPayment].[CaseKey].&amp;[8201|00015905]"/>
            <x15:cachedUniqueName index="8556" name="[FactPayment].[CaseKey].&amp;[8201|00015918]"/>
            <x15:cachedUniqueName index="8557" name="[FactPayment].[CaseKey].&amp;[8201|00015928]"/>
            <x15:cachedUniqueName index="8558" name="[FactPayment].[CaseKey].&amp;[8201|00015937]"/>
            <x15:cachedUniqueName index="8559" name="[FactPayment].[CaseKey].&amp;[8201|00015945]"/>
            <x15:cachedUniqueName index="8560" name="[FactPayment].[CaseKey].&amp;[8201|00015955]"/>
            <x15:cachedUniqueName index="8561" name="[FactPayment].[CaseKey].&amp;[8201|00015967]"/>
            <x15:cachedUniqueName index="8562" name="[FactPayment].[CaseKey].&amp;[8201|00015976]"/>
            <x15:cachedUniqueName index="8563" name="[FactPayment].[CaseKey].&amp;[8201|00015982]"/>
            <x15:cachedUniqueName index="8564" name="[FactPayment].[CaseKey].&amp;[8201|00015992]"/>
            <x15:cachedUniqueName index="8565" name="[FactPayment].[CaseKey].&amp;[8201|00016005]"/>
            <x15:cachedUniqueName index="8566" name="[FactPayment].[CaseKey].&amp;[8201|00016014]"/>
            <x15:cachedUniqueName index="8567" name="[FactPayment].[CaseKey].&amp;[8201|00016028]"/>
            <x15:cachedUniqueName index="8568" name="[FactPayment].[CaseKey].&amp;[8201|00016032]"/>
            <x15:cachedUniqueName index="8569" name="[FactPayment].[CaseKey].&amp;[8201|00016047]"/>
            <x15:cachedUniqueName index="8570" name="[FactPayment].[CaseKey].&amp;[8201|00016055]"/>
            <x15:cachedUniqueName index="8571" name="[FactPayment].[CaseKey].&amp;[8201|00016061]"/>
            <x15:cachedUniqueName index="8572" name="[FactPayment].[CaseKey].&amp;[8201|00016072]"/>
            <x15:cachedUniqueName index="8573" name="[FactPayment].[CaseKey].&amp;[8201|00016092]"/>
            <x15:cachedUniqueName index="8574" name="[FactPayment].[CaseKey].&amp;[8201|00016107]"/>
            <x15:cachedUniqueName index="8575" name="[FactPayment].[CaseKey].&amp;[8201|00016111]"/>
            <x15:cachedUniqueName index="8576" name="[FactPayment].[CaseKey].&amp;[8201|00016120]"/>
            <x15:cachedUniqueName index="8577" name="[FactPayment].[CaseKey].&amp;[8201|00016134]"/>
            <x15:cachedUniqueName index="8578" name="[FactPayment].[CaseKey].&amp;[8201|00016148]"/>
            <x15:cachedUniqueName index="8579" name="[FactPayment].[CaseKey].&amp;[8201|00016154]"/>
            <x15:cachedUniqueName index="8580" name="[FactPayment].[CaseKey].&amp;[8201|00016164]"/>
            <x15:cachedUniqueName index="8581" name="[FactPayment].[CaseKey].&amp;[8201|00016175]"/>
            <x15:cachedUniqueName index="8582" name="[FactPayment].[CaseKey].&amp;[8201|00016183]"/>
            <x15:cachedUniqueName index="8583" name="[FactPayment].[CaseKey].&amp;[8201|00016197]"/>
            <x15:cachedUniqueName index="8584" name="[FactPayment].[CaseKey].&amp;[8201|00016203]"/>
            <x15:cachedUniqueName index="8585" name="[FactPayment].[CaseKey].&amp;[8201|00016210]"/>
            <x15:cachedUniqueName index="8586" name="[FactPayment].[CaseKey].&amp;[8201|00016226]"/>
            <x15:cachedUniqueName index="8587" name="[FactPayment].[CaseKey].&amp;[8201|00016237]"/>
            <x15:cachedUniqueName index="8588" name="[FactPayment].[CaseKey].&amp;[8201|00016246]"/>
            <x15:cachedUniqueName index="8589" name="[FactPayment].[CaseKey].&amp;[8201|00016258]"/>
            <x15:cachedUniqueName index="8590" name="[FactPayment].[CaseKey].&amp;[8201|00016264]"/>
            <x15:cachedUniqueName index="8591" name="[FactPayment].[CaseKey].&amp;[8201|00016276]"/>
            <x15:cachedUniqueName index="8592" name="[FactPayment].[CaseKey].&amp;[8201|00016287]"/>
            <x15:cachedUniqueName index="8593" name="[FactPayment].[CaseKey].&amp;[8201|00016291]"/>
            <x15:cachedUniqueName index="8594" name="[FactPayment].[CaseKey].&amp;[8201|00016303]"/>
            <x15:cachedUniqueName index="8595" name="[FactPayment].[CaseKey].&amp;[8201|00016317]"/>
            <x15:cachedUniqueName index="8596" name="[FactPayment].[CaseKey].&amp;[8201|00016325]"/>
            <x15:cachedUniqueName index="8597" name="[FactPayment].[CaseKey].&amp;[8201|00016333]"/>
            <x15:cachedUniqueName index="8598" name="[FactPayment].[CaseKey].&amp;[8201|00016347]"/>
            <x15:cachedUniqueName index="8599" name="[FactPayment].[CaseKey].&amp;[8201|00016351]"/>
            <x15:cachedUniqueName index="8600" name="[FactPayment].[CaseKey].&amp;[8201|00016368]"/>
            <x15:cachedUniqueName index="8601" name="[FactPayment].[CaseKey].&amp;[8201|00016371]"/>
            <x15:cachedUniqueName index="8602" name="[FactPayment].[CaseKey].&amp;[8201|00016386]"/>
            <x15:cachedUniqueName index="8603" name="[FactPayment].[CaseKey].&amp;[8201|00016391]"/>
            <x15:cachedUniqueName index="8604" name="[FactPayment].[CaseKey].&amp;[8201|00016402]"/>
            <x15:cachedUniqueName index="8605" name="[FactPayment].[CaseKey].&amp;[8201|00016411]"/>
            <x15:cachedUniqueName index="8606" name="[FactPayment].[CaseKey].&amp;[8201|00016427]"/>
            <x15:cachedUniqueName index="8607" name="[FactPayment].[CaseKey].&amp;[8201|00016431]"/>
            <x15:cachedUniqueName index="8608" name="[FactPayment].[CaseKey].&amp;[8201|00016442]"/>
            <x15:cachedUniqueName index="8609" name="[FactPayment].[CaseKey].&amp;[8201|00016457]"/>
            <x15:cachedUniqueName index="8610" name="[FactPayment].[CaseKey].&amp;[8201|00016463]"/>
            <x15:cachedUniqueName index="8611" name="[FactPayment].[CaseKey].&amp;[8201|00016470]"/>
            <x15:cachedUniqueName index="8612" name="[FactPayment].[CaseKey].&amp;[8201|00016481]"/>
            <x15:cachedUniqueName index="8613" name="[FactPayment].[CaseKey].&amp;[8201|00016493]"/>
            <x15:cachedUniqueName index="8614" name="[FactPayment].[CaseKey].&amp;[8201|00016505]"/>
            <x15:cachedUniqueName index="8615" name="[FactPayment].[CaseKey].&amp;[8201|00016510]"/>
            <x15:cachedUniqueName index="8616" name="[FactPayment].[CaseKey].&amp;[8201|00016523]"/>
            <x15:cachedUniqueName index="8617" name="[FactPayment].[CaseKey].&amp;[8201|00016531]"/>
            <x15:cachedUniqueName index="8618" name="[FactPayment].[CaseKey].&amp;[8201|00016546]"/>
            <x15:cachedUniqueName index="8619" name="[FactPayment].[CaseKey].&amp;[8201|00016551]"/>
            <x15:cachedUniqueName index="8620" name="[FactPayment].[CaseKey].&amp;[8201|00016561]"/>
            <x15:cachedUniqueName index="8621" name="[FactPayment].[CaseKey].&amp;[8201|00016575]"/>
            <x15:cachedUniqueName index="8622" name="[FactPayment].[CaseKey].&amp;[8201|00016586]"/>
            <x15:cachedUniqueName index="8623" name="[FactPayment].[CaseKey].&amp;[8201|00016595]"/>
            <x15:cachedUniqueName index="8624" name="[FactPayment].[CaseKey].&amp;[8201|00016608]"/>
            <x15:cachedUniqueName index="8625" name="[FactPayment].[CaseKey].&amp;[8201|00016617]"/>
            <x15:cachedUniqueName index="8626" name="[FactPayment].[CaseKey].&amp;[8201|00016620]"/>
            <x15:cachedUniqueName index="8627" name="[FactPayment].[CaseKey].&amp;[8201|00016638]"/>
            <x15:cachedUniqueName index="8628" name="[FactPayment].[CaseKey].&amp;[8201|00016648]"/>
            <x15:cachedUniqueName index="8629" name="[FactPayment].[CaseKey].&amp;[8201|00016652]"/>
            <x15:cachedUniqueName index="8630" name="[FactPayment].[CaseKey].&amp;[8201|00016666]"/>
            <x15:cachedUniqueName index="8631" name="[FactPayment].[CaseKey].&amp;[8201|00016671]"/>
            <x15:cachedUniqueName index="8632" name="[FactPayment].[CaseKey].&amp;[8201|00016687]"/>
            <x15:cachedUniqueName index="8633" name="[FactPayment].[CaseKey].&amp;[8201|00016692]"/>
            <x15:cachedUniqueName index="8634" name="[FactPayment].[CaseKey].&amp;[8201|00016705]"/>
            <x15:cachedUniqueName index="8635" name="[FactPayment].[CaseKey].&amp;[8201|00016711]"/>
            <x15:cachedUniqueName index="8636" name="[FactPayment].[CaseKey].&amp;[8201|00016727]"/>
            <x15:cachedUniqueName index="8637" name="[FactPayment].[CaseKey].&amp;[8201|00016736]"/>
            <x15:cachedUniqueName index="8638" name="[FactPayment].[CaseKey].&amp;[8201|00016746]"/>
            <x15:cachedUniqueName index="8639" name="[FactPayment].[CaseKey].&amp;[8201|00016756]"/>
            <x15:cachedUniqueName index="8640" name="[FactPayment].[CaseKey].&amp;[8201|00016760]"/>
            <x15:cachedUniqueName index="8641" name="[FactPayment].[CaseKey].&amp;[8201|00016773]"/>
            <x15:cachedUniqueName index="8642" name="[FactPayment].[CaseKey].&amp;[8201|00016788]"/>
            <x15:cachedUniqueName index="8643" name="[FactPayment].[CaseKey].&amp;[8201|00016794]"/>
            <x15:cachedUniqueName index="8644" name="[FactPayment].[CaseKey].&amp;[8201|00016808]"/>
            <x15:cachedUniqueName index="8645" name="[FactPayment].[CaseKey].&amp;[8201|00016811]"/>
            <x15:cachedUniqueName index="8646" name="[FactPayment].[CaseKey].&amp;[8201|00016822]"/>
            <x15:cachedUniqueName index="8647" name="[FactPayment].[CaseKey].&amp;[8201|00016832]"/>
            <x15:cachedUniqueName index="8648" name="[FactPayment].[CaseKey].&amp;[8201|00016841]"/>
            <x15:cachedUniqueName index="8649" name="[FactPayment].[CaseKey].&amp;[8201|00016857]"/>
            <x15:cachedUniqueName index="8650" name="[FactPayment].[CaseKey].&amp;[8201|00016867]"/>
            <x15:cachedUniqueName index="8651" name="[FactPayment].[CaseKey].&amp;[8201|00016870]"/>
            <x15:cachedUniqueName index="8652" name="[FactPayment].[CaseKey].&amp;[8201|00016882]"/>
            <x15:cachedUniqueName index="8653" name="[FactPayment].[CaseKey].&amp;[8201|00016890]"/>
            <x15:cachedUniqueName index="8654" name="[FactPayment].[CaseKey].&amp;[8201|00016918]"/>
            <x15:cachedUniqueName index="8655" name="[FactPayment].[CaseKey].&amp;[8201|00016926]"/>
            <x15:cachedUniqueName index="8656" name="[FactPayment].[CaseKey].&amp;[8201|00016938]"/>
            <x15:cachedUniqueName index="8657" name="[FactPayment].[CaseKey].&amp;[8201|00016941]"/>
            <x15:cachedUniqueName index="8658" name="[FactPayment].[CaseKey].&amp;[8201|00016960]"/>
            <x15:cachedUniqueName index="8659" name="[FactPayment].[CaseKey].&amp;[8201|00016981]"/>
            <x15:cachedUniqueName index="8660" name="[FactPayment].[CaseKey].&amp;[8201|00016990]"/>
            <x15:cachedUniqueName index="8661" name="[FactPayment].[CaseKey].&amp;[8201|00017008]"/>
            <x15:cachedUniqueName index="8662" name="[FactPayment].[CaseKey].&amp;[8201|00017013]"/>
            <x15:cachedUniqueName index="8663" name="[FactPayment].[CaseKey].&amp;[8201|00017022]"/>
            <x15:cachedUniqueName index="8664" name="[FactPayment].[CaseKey].&amp;[8201|00017030]"/>
            <x15:cachedUniqueName index="8665" name="[FactPayment].[CaseKey].&amp;[8201|00017048]"/>
            <x15:cachedUniqueName index="8666" name="[FactPayment].[CaseKey].&amp;[8201|00017052]"/>
            <x15:cachedUniqueName index="8667" name="[FactPayment].[CaseKey].&amp;[8201|00017063]"/>
            <x15:cachedUniqueName index="8668" name="[FactPayment].[CaseKey].&amp;[8201|00017075]"/>
            <x15:cachedUniqueName index="8669" name="[FactPayment].[CaseKey].&amp;[8201|00017087]"/>
            <x15:cachedUniqueName index="8670" name="[FactPayment].[CaseKey].&amp;[8201|00017093]"/>
            <x15:cachedUniqueName index="8671" name="[FactPayment].[CaseKey].&amp;[8201|00017101]"/>
            <x15:cachedUniqueName index="8672" name="[FactPayment].[CaseKey].&amp;[8201|00017113]"/>
            <x15:cachedUniqueName index="8673" name="[FactPayment].[CaseKey].&amp;[8201|00017127]"/>
            <x15:cachedUniqueName index="8674" name="[FactPayment].[CaseKey].&amp;[8201|00017134]"/>
            <x15:cachedUniqueName index="8675" name="[FactPayment].[CaseKey].&amp;[8201|00017141]"/>
            <x15:cachedUniqueName index="8676" name="[FactPayment].[CaseKey].&amp;[8201|00017150]"/>
            <x15:cachedUniqueName index="8677" name="[FactPayment].[CaseKey].&amp;[8201|00017167]"/>
            <x15:cachedUniqueName index="8678" name="[FactPayment].[CaseKey].&amp;[8201|00017178]"/>
            <x15:cachedUniqueName index="8679" name="[FactPayment].[CaseKey].&amp;[8201|00017188]"/>
            <x15:cachedUniqueName index="8680" name="[FactPayment].[CaseKey].&amp;[8201|00017193]"/>
            <x15:cachedUniqueName index="8681" name="[FactPayment].[CaseKey].&amp;[8201|00017200]"/>
            <x15:cachedUniqueName index="8682" name="[FactPayment].[CaseKey].&amp;[8201|00017212]"/>
            <x15:cachedUniqueName index="8683" name="[FactPayment].[CaseKey].&amp;[8201|00017227]"/>
            <x15:cachedUniqueName index="8684" name="[FactPayment].[CaseKey].&amp;[8201|00017236]"/>
            <x15:cachedUniqueName index="8685" name="[FactPayment].[CaseKey].&amp;[8201|00017245]"/>
            <x15:cachedUniqueName index="8686" name="[FactPayment].[CaseKey].&amp;[8201|00017254]"/>
            <x15:cachedUniqueName index="8687" name="[FactPayment].[CaseKey].&amp;[8201|00017263]"/>
            <x15:cachedUniqueName index="8688" name="[FactPayment].[CaseKey].&amp;[8201|00017274]"/>
            <x15:cachedUniqueName index="8689" name="[FactPayment].[CaseKey].&amp;[8201|00017285]"/>
            <x15:cachedUniqueName index="8690" name="[FactPayment].[CaseKey].&amp;[8201|00017291]"/>
            <x15:cachedUniqueName index="8691" name="[FactPayment].[CaseKey].&amp;[8201|00017302]"/>
            <x15:cachedUniqueName index="8692" name="[FactPayment].[CaseKey].&amp;[8201|00017316]"/>
            <x15:cachedUniqueName index="8693" name="[FactPayment].[CaseKey].&amp;[8201|00017321]"/>
            <x15:cachedUniqueName index="8694" name="[FactPayment].[CaseKey].&amp;[8201|00017338]"/>
            <x15:cachedUniqueName index="8695" name="[FactPayment].[CaseKey].&amp;[8201|00017355]"/>
            <x15:cachedUniqueName index="8696" name="[FactPayment].[CaseKey].&amp;[8201|00017362]"/>
            <x15:cachedUniqueName index="8697" name="[FactPayment].[CaseKey].&amp;[8201|00017374]"/>
            <x15:cachedUniqueName index="8698" name="[FactPayment].[CaseKey].&amp;[8201|00017383]"/>
            <x15:cachedUniqueName index="8699" name="[FactPayment].[CaseKey].&amp;[8201|00017396]"/>
            <x15:cachedUniqueName index="8700" name="[FactPayment].[CaseKey].&amp;[8201|00017403]"/>
            <x15:cachedUniqueName index="8701" name="[FactPayment].[CaseKey].&amp;[8201|00017416]"/>
            <x15:cachedUniqueName index="8702" name="[FactPayment].[CaseKey].&amp;[8201|00017424]"/>
            <x15:cachedUniqueName index="8703" name="[FactPayment].[CaseKey].&amp;[8201|00017434]"/>
            <x15:cachedUniqueName index="8704" name="[FactPayment].[CaseKey].&amp;[8201|00017441]"/>
            <x15:cachedUniqueName index="8705" name="[FactPayment].[CaseKey].&amp;[8201|00017455]"/>
            <x15:cachedUniqueName index="8706" name="[FactPayment].[CaseKey].&amp;[8201|00017465]"/>
            <x15:cachedUniqueName index="8707" name="[FactPayment].[CaseKey].&amp;[8201|00017475]"/>
            <x15:cachedUniqueName index="8708" name="[FactPayment].[CaseKey].&amp;[8201|00017481]"/>
            <x15:cachedUniqueName index="8709" name="[FactPayment].[CaseKey].&amp;[8201|00017490]"/>
            <x15:cachedUniqueName index="8710" name="[FactPayment].[CaseKey].&amp;[8201|00017501]"/>
            <x15:cachedUniqueName index="8711" name="[FactPayment].[CaseKey].&amp;[8201|00017518]"/>
            <x15:cachedUniqueName index="8712" name="[FactPayment].[CaseKey].&amp;[8201|00017521]"/>
            <x15:cachedUniqueName index="8713" name="[FactPayment].[CaseKey].&amp;[8201|00017530]"/>
            <x15:cachedUniqueName index="8714" name="[FactPayment].[CaseKey].&amp;[8201|00017544]"/>
            <x15:cachedUniqueName index="8715" name="[FactPayment].[CaseKey].&amp;[8201|00017551]"/>
            <x15:cachedUniqueName index="8716" name="[FactPayment].[CaseKey].&amp;[8201|00017567]"/>
            <x15:cachedUniqueName index="8717" name="[FactPayment].[CaseKey].&amp;[8201|00017572]"/>
            <x15:cachedUniqueName index="8718" name="[FactPayment].[CaseKey].&amp;[8201|00017587]"/>
            <x15:cachedUniqueName index="8719" name="[FactPayment].[CaseKey].&amp;[8201|00017596]"/>
            <x15:cachedUniqueName index="8720" name="[FactPayment].[CaseKey].&amp;[8201|00017600]"/>
            <x15:cachedUniqueName index="8721" name="[FactPayment].[CaseKey].&amp;[8201|00017618]"/>
            <x15:cachedUniqueName index="8722" name="[FactPayment].[CaseKey].&amp;[8201|00017624]"/>
            <x15:cachedUniqueName index="8723" name="[FactPayment].[CaseKey].&amp;[8201|00017631]"/>
            <x15:cachedUniqueName index="8724" name="[FactPayment].[CaseKey].&amp;[8201|00017643]"/>
            <x15:cachedUniqueName index="8725" name="[FactPayment].[CaseKey].&amp;[8201|00017655]"/>
            <x15:cachedUniqueName index="8726" name="[FactPayment].[CaseKey].&amp;[8201|00017667]"/>
            <x15:cachedUniqueName index="8727" name="[FactPayment].[CaseKey].&amp;[8201|00017670]"/>
            <x15:cachedUniqueName index="8728" name="[FactPayment].[CaseKey].&amp;[8201|00017684]"/>
            <x15:cachedUniqueName index="8729" name="[FactPayment].[CaseKey].&amp;[8201|00017691]"/>
            <x15:cachedUniqueName index="8730" name="[FactPayment].[CaseKey].&amp;[8201|00017701]"/>
            <x15:cachedUniqueName index="8731" name="[FactPayment].[CaseKey].&amp;[8201|00017717]"/>
            <x15:cachedUniqueName index="8732" name="[FactPayment].[CaseKey].&amp;[8201|00017724]"/>
            <x15:cachedUniqueName index="8733" name="[FactPayment].[CaseKey].&amp;[8201|00017732]"/>
            <x15:cachedUniqueName index="8734" name="[FactPayment].[CaseKey].&amp;[8201|00017742]"/>
            <x15:cachedUniqueName index="8735" name="[FactPayment].[CaseKey].&amp;[8201|00017751]"/>
            <x15:cachedUniqueName index="8736" name="[FactPayment].[CaseKey].&amp;[8201|00017768]"/>
            <x15:cachedUniqueName index="8737" name="[FactPayment].[CaseKey].&amp;[8201|00017775]"/>
            <x15:cachedUniqueName index="8738" name="[FactPayment].[CaseKey].&amp;[8201|00017780]"/>
            <x15:cachedUniqueName index="8739" name="[FactPayment].[CaseKey].&amp;[8201|00017796]"/>
            <x15:cachedUniqueName index="8740" name="[FactPayment].[CaseKey].&amp;[8201|00017807]"/>
            <x15:cachedUniqueName index="8741" name="[FactPayment].[CaseKey].&amp;[8201|00017818]"/>
            <x15:cachedUniqueName index="8742" name="[FactPayment].[CaseKey].&amp;[8201|00017821]"/>
            <x15:cachedUniqueName index="8743" name="[FactPayment].[CaseKey].&amp;[8201|00017834]"/>
            <x15:cachedUniqueName index="8744" name="[FactPayment].[CaseKey].&amp;[8201|00017843]"/>
            <x15:cachedUniqueName index="8745" name="[FactPayment].[CaseKey].&amp;[8201|00017854]"/>
            <x15:cachedUniqueName index="8746" name="[FactPayment].[CaseKey].&amp;[8201|00017867]"/>
            <x15:cachedUniqueName index="8747" name="[FactPayment].[CaseKey].&amp;[8201|00017878]"/>
            <x15:cachedUniqueName index="8748" name="[FactPayment].[CaseKey].&amp;[8201|00017883]"/>
            <x15:cachedUniqueName index="8749" name="[FactPayment].[CaseKey].&amp;[8201|00017893]"/>
            <x15:cachedUniqueName index="8750" name="[FactPayment].[CaseKey].&amp;[8201|00017902]"/>
            <x15:cachedUniqueName index="8751" name="[FactPayment].[CaseKey].&amp;[8201|00017911]"/>
            <x15:cachedUniqueName index="8752" name="[FactPayment].[CaseKey].&amp;[8201|00017925]"/>
            <x15:cachedUniqueName index="8753" name="[FactPayment].[CaseKey].&amp;[8201|00017941]"/>
            <x15:cachedUniqueName index="8754" name="[FactPayment].[CaseKey].&amp;[8201|00017951]"/>
            <x15:cachedUniqueName index="8755" name="[FactPayment].[CaseKey].&amp;[8201|00017963]"/>
            <x15:cachedUniqueName index="8756" name="[FactPayment].[CaseKey].&amp;[8201|00017977]"/>
            <x15:cachedUniqueName index="8757" name="[FactPayment].[CaseKey].&amp;[8201|00017987]"/>
            <x15:cachedUniqueName index="8758" name="[FactPayment].[CaseKey].&amp;[8201|00017997]"/>
            <x15:cachedUniqueName index="8759" name="[FactPayment].[CaseKey].&amp;[8201|00018005]"/>
            <x15:cachedUniqueName index="8760" name="[FactPayment].[CaseKey].&amp;[8201|00018018]"/>
            <x15:cachedUniqueName index="8761" name="[FactPayment].[CaseKey].&amp;[8201|00018023]"/>
            <x15:cachedUniqueName index="8762" name="[FactPayment].[CaseKey].&amp;[8201|00018031]"/>
            <x15:cachedUniqueName index="8763" name="[FactPayment].[CaseKey].&amp;[8201|00018042]"/>
            <x15:cachedUniqueName index="8764" name="[FactPayment].[CaseKey].&amp;[8201|00018058]"/>
            <x15:cachedUniqueName index="8765" name="[FactPayment].[CaseKey].&amp;[8201|00018062]"/>
            <x15:cachedUniqueName index="8766" name="[FactPayment].[CaseKey].&amp;[8201|00018073]"/>
            <x15:cachedUniqueName index="8767" name="[FactPayment].[CaseKey].&amp;[8201|00018086]"/>
            <x15:cachedUniqueName index="8768" name="[FactPayment].[CaseKey].&amp;[8201|00018098]"/>
            <x15:cachedUniqueName index="8769" name="[FactPayment].[CaseKey].&amp;[8201|00018104]"/>
            <x15:cachedUniqueName index="8770" name="[FactPayment].[CaseKey].&amp;[8201|00018110]"/>
            <x15:cachedUniqueName index="8771" name="[FactPayment].[CaseKey].&amp;[8201|00018127]"/>
            <x15:cachedUniqueName index="8772" name="[FactPayment].[CaseKey].&amp;[8201|00018134]"/>
            <x15:cachedUniqueName index="8773" name="[FactPayment].[CaseKey].&amp;[8201|00018148]"/>
            <x15:cachedUniqueName index="8774" name="[FactPayment].[CaseKey].&amp;[8201|00018157]"/>
            <x15:cachedUniqueName index="8775" name="[FactPayment].[CaseKey].&amp;[8201|00018162]"/>
            <x15:cachedUniqueName index="8776" name="[FactPayment].[CaseKey].&amp;[8201|00018180]"/>
            <x15:cachedUniqueName index="8777" name="[FactPayment].[CaseKey].&amp;[8201|00018193]"/>
            <x15:cachedUniqueName index="8778" name="[FactPayment].[CaseKey].&amp;[8201|00018204]"/>
            <x15:cachedUniqueName index="8779" name="[FactPayment].[CaseKey].&amp;[8201|00018215]"/>
            <x15:cachedUniqueName index="8780" name="[FactPayment].[CaseKey].&amp;[8201|00018221]"/>
            <x15:cachedUniqueName index="8781" name="[FactPayment].[CaseKey].&amp;[8201|00018232]"/>
            <x15:cachedUniqueName index="8782" name="[FactPayment].[CaseKey].&amp;[8201|00018245]"/>
            <x15:cachedUniqueName index="8783" name="[FactPayment].[CaseKey].&amp;[8201|00018255]"/>
            <x15:cachedUniqueName index="8784" name="[FactPayment].[CaseKey].&amp;[8201|00018268]"/>
            <x15:cachedUniqueName index="8785" name="[FactPayment].[CaseKey].&amp;[8201|00018270]"/>
            <x15:cachedUniqueName index="8786" name="[FactPayment].[CaseKey].&amp;[8201|00018285]"/>
            <x15:cachedUniqueName index="8787" name="[FactPayment].[CaseKey].&amp;[8201|00018293]"/>
            <x15:cachedUniqueName index="8788" name="[FactPayment].[CaseKey].&amp;[8201|00018302]"/>
            <x15:cachedUniqueName index="8789" name="[FactPayment].[CaseKey].&amp;[8201|00018314]"/>
            <x15:cachedUniqueName index="8790" name="[FactPayment].[CaseKey].&amp;[8201|00018327]"/>
            <x15:cachedUniqueName index="8791" name="[FactPayment].[CaseKey].&amp;[8201|00018331]"/>
            <x15:cachedUniqueName index="8792" name="[FactPayment].[CaseKey].&amp;[8201|00018347]"/>
            <x15:cachedUniqueName index="8793" name="[FactPayment].[CaseKey].&amp;[8201|00018367]"/>
            <x15:cachedUniqueName index="8794" name="[FactPayment].[CaseKey].&amp;[8201|00018378]"/>
            <x15:cachedUniqueName index="8795" name="[FactPayment].[CaseKey].&amp;[8201|00018384]"/>
            <x15:cachedUniqueName index="8796" name="[FactPayment].[CaseKey].&amp;[8201|00018395]"/>
            <x15:cachedUniqueName index="8797" name="[FactPayment].[CaseKey].&amp;[8201|00018408]"/>
            <x15:cachedUniqueName index="8798" name="[FactPayment].[CaseKey].&amp;[8201|00018416]"/>
            <x15:cachedUniqueName index="8799" name="[FactPayment].[CaseKey].&amp;[8201|00018420]"/>
            <x15:cachedUniqueName index="8800" name="[FactPayment].[CaseKey].&amp;[8201|00018436]"/>
            <x15:cachedUniqueName index="8801" name="[FactPayment].[CaseKey].&amp;[8201|00018440]"/>
            <x15:cachedUniqueName index="8802" name="[FactPayment].[CaseKey].&amp;[8201|00018451]"/>
            <x15:cachedUniqueName index="8803" name="[FactPayment].[CaseKey].&amp;[8201|00018464]"/>
            <x15:cachedUniqueName index="8804" name="[FactPayment].[CaseKey].&amp;[8201|00018476]"/>
            <x15:cachedUniqueName index="8805" name="[FactPayment].[CaseKey].&amp;[8201|00018485]"/>
            <x15:cachedUniqueName index="8806" name="[FactPayment].[CaseKey].&amp;[8201|00018492]"/>
            <x15:cachedUniqueName index="8807" name="[FactPayment].[CaseKey].&amp;[8201|00018505]"/>
            <x15:cachedUniqueName index="8808" name="[FactPayment].[CaseKey].&amp;[8201|00018516]"/>
            <x15:cachedUniqueName index="8809" name="[FactPayment].[CaseKey].&amp;[8201|00018521]"/>
            <x15:cachedUniqueName index="8810" name="[FactPayment].[CaseKey].&amp;[8201|00018534]"/>
            <x15:cachedUniqueName index="8811" name="[FactPayment].[CaseKey].&amp;[8201|00018542]"/>
            <x15:cachedUniqueName index="8812" name="[FactPayment].[CaseKey].&amp;[8201|00018550]"/>
            <x15:cachedUniqueName index="8813" name="[FactPayment].[CaseKey].&amp;[8201|00018563]"/>
            <x15:cachedUniqueName index="8814" name="[FactPayment].[CaseKey].&amp;[8201|00018574]"/>
            <x15:cachedUniqueName index="8815" name="[FactPayment].[CaseKey].&amp;[8201|00018584]"/>
            <x15:cachedUniqueName index="8816" name="[FactPayment].[CaseKey].&amp;[8201|00018597]"/>
            <x15:cachedUniqueName index="8817" name="[FactPayment].[CaseKey].&amp;[8201|00018603]"/>
            <x15:cachedUniqueName index="8818" name="[FactPayment].[CaseKey].&amp;[8201|00018615]"/>
            <x15:cachedUniqueName index="8819" name="[FactPayment].[CaseKey].&amp;[8201|00018625]"/>
            <x15:cachedUniqueName index="8820" name="[FactPayment].[CaseKey].&amp;[8201|00018630]"/>
            <x15:cachedUniqueName index="8821" name="[FactPayment].[CaseKey].&amp;[8201|00018642]"/>
            <x15:cachedUniqueName index="8822" name="[FactPayment].[CaseKey].&amp;[8201|00018652]"/>
            <x15:cachedUniqueName index="8823" name="[FactPayment].[CaseKey].&amp;[8201|00018663]"/>
            <x15:cachedUniqueName index="8824" name="[FactPayment].[CaseKey].&amp;[8201|00018676]"/>
            <x15:cachedUniqueName index="8825" name="[FactPayment].[CaseKey].&amp;[8201|00018680]"/>
            <x15:cachedUniqueName index="8826" name="[FactPayment].[CaseKey].&amp;[8201|00018691]"/>
            <x15:cachedUniqueName index="8827" name="[FactPayment].[CaseKey].&amp;[8201|00018705]"/>
            <x15:cachedUniqueName index="8828" name="[FactPayment].[CaseKey].&amp;[8201|00018710]"/>
            <x15:cachedUniqueName index="8829" name="[FactPayment].[CaseKey].&amp;[8201|00018724]"/>
            <x15:cachedUniqueName index="8830" name="[FactPayment].[CaseKey].&amp;[8201|00018733]"/>
            <x15:cachedUniqueName index="8831" name="[FactPayment].[CaseKey].&amp;[8201|00018750]"/>
            <x15:cachedUniqueName index="8832" name="[FactPayment].[CaseKey].&amp;[8201|00018768]"/>
            <x15:cachedUniqueName index="8833" name="[FactPayment].[CaseKey].&amp;[8201|00018773]"/>
            <x15:cachedUniqueName index="8834" name="[FactPayment].[CaseKey].&amp;[8201|00018781]"/>
            <x15:cachedUniqueName index="8835" name="[FactPayment].[CaseKey].&amp;[8201|00018796]"/>
            <x15:cachedUniqueName index="8836" name="[FactPayment].[CaseKey].&amp;[8201|00018808]"/>
            <x15:cachedUniqueName index="8837" name="[FactPayment].[CaseKey].&amp;[8201|00018813]"/>
            <x15:cachedUniqueName index="8838" name="[FactPayment].[CaseKey].&amp;[8201|00018828]"/>
            <x15:cachedUniqueName index="8839" name="[FactPayment].[CaseKey].&amp;[8201|00018838]"/>
            <x15:cachedUniqueName index="8840" name="[FactPayment].[CaseKey].&amp;[8201|00018842]"/>
            <x15:cachedUniqueName index="8841" name="[FactPayment].[CaseKey].&amp;[8201|00018853]"/>
            <x15:cachedUniqueName index="8842" name="[FactPayment].[CaseKey].&amp;[8201|00018867]"/>
            <x15:cachedUniqueName index="8843" name="[FactPayment].[CaseKey].&amp;[8201|00018875]"/>
            <x15:cachedUniqueName index="8844" name="[FactPayment].[CaseKey].&amp;[8201|00018883]"/>
            <x15:cachedUniqueName index="8845" name="[FactPayment].[CaseKey].&amp;[8201|00018893]"/>
            <x15:cachedUniqueName index="8846" name="[FactPayment].[CaseKey].&amp;[8201|00018903]"/>
            <x15:cachedUniqueName index="8847" name="[FactPayment].[CaseKey].&amp;[8201|00018914]"/>
            <x15:cachedUniqueName index="8848" name="[FactPayment].[CaseKey].&amp;[8201|00018924]"/>
            <x15:cachedUniqueName index="8849" name="[FactPayment].[CaseKey].&amp;[8201|00018935]"/>
            <x15:cachedUniqueName index="8850" name="[FactPayment].[CaseKey].&amp;[8201|00018943]"/>
            <x15:cachedUniqueName index="8851" name="[FactPayment].[CaseKey].&amp;[8201|00018958]"/>
            <x15:cachedUniqueName index="8852" name="[FactPayment].[CaseKey].&amp;[8201|00018967]"/>
            <x15:cachedUniqueName index="8853" name="[FactPayment].[CaseKey].&amp;[8201|00018978]"/>
            <x15:cachedUniqueName index="8854" name="[FactPayment].[CaseKey].&amp;[8201|00018980]"/>
            <x15:cachedUniqueName index="8855" name="[FactPayment].[CaseKey].&amp;[8201|00019003]"/>
            <x15:cachedUniqueName index="8856" name="[FactPayment].[CaseKey].&amp;[8201|00019013]"/>
            <x15:cachedUniqueName index="8857" name="[FactPayment].[CaseKey].&amp;[8201|00019025]"/>
            <x15:cachedUniqueName index="8858" name="[FactPayment].[CaseKey].&amp;[8201|00019038]"/>
            <x15:cachedUniqueName index="8859" name="[FactPayment].[CaseKey].&amp;[8201|00019040]"/>
            <x15:cachedUniqueName index="8860" name="[FactPayment].[CaseKey].&amp;[8201|00019058]"/>
            <x15:cachedUniqueName index="8861" name="[FactPayment].[CaseKey].&amp;[8201|00019065]"/>
            <x15:cachedUniqueName index="8862" name="[FactPayment].[CaseKey].&amp;[8201|00019071]"/>
            <x15:cachedUniqueName index="8863" name="[FactPayment].[CaseKey].&amp;[8201|00019083]"/>
            <x15:cachedUniqueName index="8864" name="[FactPayment].[CaseKey].&amp;[8201|00019092]"/>
            <x15:cachedUniqueName index="8865" name="[FactPayment].[CaseKey].&amp;[8201|00019102]"/>
            <x15:cachedUniqueName index="8866" name="[FactPayment].[CaseKey].&amp;[8201|00019118]"/>
            <x15:cachedUniqueName index="8867" name="[FactPayment].[CaseKey].&amp;[8201|00019127]"/>
            <x15:cachedUniqueName index="8868" name="[FactPayment].[CaseKey].&amp;[8201|00019136]"/>
            <x15:cachedUniqueName index="8869" name="[FactPayment].[CaseKey].&amp;[8201|00019144]"/>
            <x15:cachedUniqueName index="8870" name="[FactPayment].[CaseKey].&amp;[8201|00019157]"/>
            <x15:cachedUniqueName index="8871" name="[FactPayment].[CaseKey].&amp;[8201|00019160]"/>
            <x15:cachedUniqueName index="8872" name="[FactPayment].[CaseKey].&amp;[8201|00019177]"/>
            <x15:cachedUniqueName index="8873" name="[FactPayment].[CaseKey].&amp;[8201|00019186]"/>
            <x15:cachedUniqueName index="8874" name="[FactPayment].[CaseKey].&amp;[8201|00019192]"/>
            <x15:cachedUniqueName index="8875" name="[FactPayment].[CaseKey].&amp;[8201|00019200]"/>
            <x15:cachedUniqueName index="8876" name="[FactPayment].[CaseKey].&amp;[8201|00019213]"/>
            <x15:cachedUniqueName index="8877" name="[FactPayment].[CaseKey].&amp;[8201|00019221]"/>
            <x15:cachedUniqueName index="8878" name="[FactPayment].[CaseKey].&amp;[8201|00019237]"/>
            <x15:cachedUniqueName index="8879" name="[FactPayment].[CaseKey].&amp;[8201|00019241]"/>
            <x15:cachedUniqueName index="8880" name="[FactPayment].[CaseKey].&amp;[8201|00019255]"/>
            <x15:cachedUniqueName index="8881" name="[FactPayment].[CaseKey].&amp;[8201|00019267]"/>
            <x15:cachedUniqueName index="8882" name="[FactPayment].[CaseKey].&amp;[8201|00019270]"/>
            <x15:cachedUniqueName index="8883" name="[FactPayment].[CaseKey].&amp;[8201|00019285]"/>
            <x15:cachedUniqueName index="8884" name="[FactPayment].[CaseKey].&amp;[8201|00019292]"/>
            <x15:cachedUniqueName index="8885" name="[FactPayment].[CaseKey].&amp;[8201|00019300]"/>
            <x15:cachedUniqueName index="8886" name="[FactPayment].[CaseKey].&amp;[8201|00019317]"/>
            <x15:cachedUniqueName index="8887" name="[FactPayment].[CaseKey].&amp;[8201|00019338]"/>
            <x15:cachedUniqueName index="8888" name="[FactPayment].[CaseKey].&amp;[8201|00019340]"/>
            <x15:cachedUniqueName index="8889" name="[FactPayment].[CaseKey].&amp;[8201|00019358]"/>
            <x15:cachedUniqueName index="8890" name="[FactPayment].[CaseKey].&amp;[8201|00019360]"/>
            <x15:cachedUniqueName index="8891" name="[FactPayment].[CaseKey].&amp;[8201|00019380]"/>
            <x15:cachedUniqueName index="8892" name="[FactPayment].[CaseKey].&amp;[8201|00019390]"/>
            <x15:cachedUniqueName index="8893" name="[FactPayment].[CaseKey].&amp;[8201|00019405]"/>
            <x15:cachedUniqueName index="8894" name="[FactPayment].[CaseKey].&amp;[8201|00019415]"/>
            <x15:cachedUniqueName index="8895" name="[FactPayment].[CaseKey].&amp;[8201|00019435]"/>
            <x15:cachedUniqueName index="8896" name="[FactPayment].[CaseKey].&amp;[8201|00019441]"/>
            <x15:cachedUniqueName index="8897" name="[FactPayment].[CaseKey].&amp;[8201|00019458]"/>
            <x15:cachedUniqueName index="8898" name="[FactPayment].[CaseKey].&amp;[8201|00019463]"/>
            <x15:cachedUniqueName index="8899" name="[FactPayment].[CaseKey].&amp;[8201|00019477]"/>
            <x15:cachedUniqueName index="8900" name="[FactPayment].[CaseKey].&amp;[8201|00019481]"/>
            <x15:cachedUniqueName index="8901" name="[FactPayment].[CaseKey].&amp;[8201|00019496]"/>
            <x15:cachedUniqueName index="8902" name="[FactPayment].[CaseKey].&amp;[8201|00019508]"/>
            <x15:cachedUniqueName index="8903" name="[FactPayment].[CaseKey].&amp;[8201|00019512]"/>
            <x15:cachedUniqueName index="8904" name="[FactPayment].[CaseKey].&amp;[8201|00019527]"/>
            <x15:cachedUniqueName index="8905" name="[FactPayment].[CaseKey].&amp;[8201|00019533]"/>
            <x15:cachedUniqueName index="8906" name="[FactPayment].[CaseKey].&amp;[8201|00019544]"/>
            <x15:cachedUniqueName index="8907" name="[FactPayment].[CaseKey].&amp;[8201|00019550]"/>
            <x15:cachedUniqueName index="8908" name="[FactPayment].[CaseKey].&amp;[8201|00019560]"/>
            <x15:cachedUniqueName index="8909" name="[FactPayment].[CaseKey].&amp;[8201|00019575]"/>
            <x15:cachedUniqueName index="8910" name="[FactPayment].[CaseKey].&amp;[8201|00019588]"/>
            <x15:cachedUniqueName index="8911" name="[FactPayment].[CaseKey].&amp;[8201|00019591]"/>
            <x15:cachedUniqueName index="8912" name="[FactPayment].[CaseKey].&amp;[8201|00019608]"/>
            <x15:cachedUniqueName index="8913" name="[FactPayment].[CaseKey].&amp;[8201|00019612]"/>
            <x15:cachedUniqueName index="8914" name="[FactPayment].[CaseKey].&amp;[8201|00019627]"/>
            <x15:cachedUniqueName index="8915" name="[FactPayment].[CaseKey].&amp;[8201|00019632]"/>
            <x15:cachedUniqueName index="8916" name="[FactPayment].[CaseKey].&amp;[8201|00019645]"/>
            <x15:cachedUniqueName index="8917" name="[FactPayment].[CaseKey].&amp;[8201|00019657]"/>
            <x15:cachedUniqueName index="8918" name="[FactPayment].[CaseKey].&amp;[8201|00019662]"/>
            <x15:cachedUniqueName index="8919" name="[FactPayment].[CaseKey].&amp;[8201|00019675]"/>
            <x15:cachedUniqueName index="8920" name="[FactPayment].[CaseKey].&amp;[8201|00019682]"/>
            <x15:cachedUniqueName index="8921" name="[FactPayment].[CaseKey].&amp;[8201|00019698]"/>
            <x15:cachedUniqueName index="8922" name="[FactPayment].[CaseKey].&amp;[8201|00019701]"/>
            <x15:cachedUniqueName index="8923" name="[FactPayment].[CaseKey].&amp;[8201|00019714]"/>
            <x15:cachedUniqueName index="8924" name="[FactPayment].[CaseKey].&amp;[8201|00019720]"/>
            <x15:cachedUniqueName index="8925" name="[FactPayment].[CaseKey].&amp;[8201|00019746]"/>
            <x15:cachedUniqueName index="8926" name="[FactPayment].[CaseKey].&amp;[8201|00019756]"/>
            <x15:cachedUniqueName index="8927" name="[FactPayment].[CaseKey].&amp;[8201|00019766]"/>
            <x15:cachedUniqueName index="8928" name="[FactPayment].[CaseKey].&amp;[8201|00019786]"/>
            <x15:cachedUniqueName index="8929" name="[FactPayment].[CaseKey].&amp;[8201|00019791]"/>
            <x15:cachedUniqueName index="8930" name="[FactPayment].[CaseKey].&amp;[8201|00019804]"/>
            <x15:cachedUniqueName index="8931" name="[FactPayment].[CaseKey].&amp;[8201|00019813]"/>
            <x15:cachedUniqueName index="8932" name="[FactPayment].[CaseKey].&amp;[8201|00019825]"/>
            <x15:cachedUniqueName index="8933" name="[FactPayment].[CaseKey].&amp;[8201|00019835]"/>
            <x15:cachedUniqueName index="8934" name="[FactPayment].[CaseKey].&amp;[8201|00019842]"/>
            <x15:cachedUniqueName index="8935" name="[FactPayment].[CaseKey].&amp;[8201|00019850]"/>
            <x15:cachedUniqueName index="8936" name="[FactPayment].[CaseKey].&amp;[8201|00019862]"/>
            <x15:cachedUniqueName index="8937" name="[FactPayment].[CaseKey].&amp;[8201|00019870]"/>
            <x15:cachedUniqueName index="8938" name="[FactPayment].[CaseKey].&amp;[8201|00019885]"/>
            <x15:cachedUniqueName index="8939" name="[FactPayment].[CaseKey].&amp;[8201|00019891]"/>
            <x15:cachedUniqueName index="8940" name="[FactPayment].[CaseKey].&amp;[8201|00019900]"/>
            <x15:cachedUniqueName index="8941" name="[FactPayment].[CaseKey].&amp;[8201|00019910]"/>
            <x15:cachedUniqueName index="8942" name="[FactPayment].[CaseKey].&amp;[8201|00019923]"/>
            <x15:cachedUniqueName index="8943" name="[FactPayment].[CaseKey].&amp;[8201|00019935]"/>
            <x15:cachedUniqueName index="8944" name="[FactPayment].[CaseKey].&amp;[8201|00019940]"/>
            <x15:cachedUniqueName index="8945" name="[FactPayment].[CaseKey].&amp;[8201|00019958]"/>
            <x15:cachedUniqueName index="8946" name="[FactPayment].[CaseKey].&amp;[8201|00019961]"/>
            <x15:cachedUniqueName index="8947" name="[FactPayment].[CaseKey].&amp;[8201|00019971]"/>
            <x15:cachedUniqueName index="8948" name="[FactPayment].[CaseKey].&amp;[8201|00019980]"/>
            <x15:cachedUniqueName index="8949" name="[FactPayment].[CaseKey].&amp;[8201|00019998]"/>
            <x15:cachedUniqueName index="8950" name="[FactPayment].[CaseKey].&amp;[8201|00020000]"/>
            <x15:cachedUniqueName index="8951" name="[FactPayment].[CaseKey].&amp;[8201|00020013]"/>
            <x15:cachedUniqueName index="8952" name="[FactPayment].[CaseKey].&amp;[8201|00020024]"/>
            <x15:cachedUniqueName index="8953" name="[FactPayment].[CaseKey].&amp;[8201|00020030]"/>
            <x15:cachedUniqueName index="8954" name="[FactPayment].[CaseKey].&amp;[8201|00020042]"/>
            <x15:cachedUniqueName index="8955" name="[FactPayment].[CaseKey].&amp;[8201|00020056]"/>
            <x15:cachedUniqueName index="8956" name="[FactPayment].[CaseKey].&amp;[8201|00020063]"/>
            <x15:cachedUniqueName index="8957" name="[FactPayment].[CaseKey].&amp;[8201|00020075]"/>
            <x15:cachedUniqueName index="8958" name="[FactPayment].[CaseKey].&amp;[8201|00020083]"/>
            <x15:cachedUniqueName index="8959" name="[FactPayment].[CaseKey].&amp;[8201|00020093]"/>
            <x15:cachedUniqueName index="8960" name="[FactPayment].[CaseKey].&amp;[8201|00020105]"/>
            <x15:cachedUniqueName index="8961" name="[FactPayment].[CaseKey].&amp;[8201|00020118]"/>
            <x15:cachedUniqueName index="8962" name="[FactPayment].[CaseKey].&amp;[8201|00020122]"/>
            <x15:cachedUniqueName index="8963" name="[FactPayment].[CaseKey].&amp;[8201|00020137]"/>
            <x15:cachedUniqueName index="8964" name="[FactPayment].[CaseKey].&amp;[8201|00020140]"/>
            <x15:cachedUniqueName index="8965" name="[FactPayment].[CaseKey].&amp;[8201|00020150]"/>
            <x15:cachedUniqueName index="8966" name="[FactPayment].[CaseKey].&amp;[8201|00020168]"/>
            <x15:cachedUniqueName index="8967" name="[FactPayment].[CaseKey].&amp;[8201|00020176]"/>
            <x15:cachedUniqueName index="8968" name="[FactPayment].[CaseKey].&amp;[8201|00020187]"/>
            <x15:cachedUniqueName index="8969" name="[FactPayment].[CaseKey].&amp;[8201|00020207]"/>
            <x15:cachedUniqueName index="8970" name="[FactPayment].[CaseKey].&amp;[8201|00020214]"/>
            <x15:cachedUniqueName index="8971" name="[FactPayment].[CaseKey].&amp;[8201|00020225]"/>
            <x15:cachedUniqueName index="8972" name="[FactPayment].[CaseKey].&amp;[8201|00020238]"/>
            <x15:cachedUniqueName index="8973" name="[FactPayment].[CaseKey].&amp;[8201|00020244]"/>
            <x15:cachedUniqueName index="8974" name="[FactPayment].[CaseKey].&amp;[8201|00020255]"/>
            <x15:cachedUniqueName index="8975" name="[FactPayment].[CaseKey].&amp;[8201|00020267]"/>
            <x15:cachedUniqueName index="8976" name="[FactPayment].[CaseKey].&amp;[8201|00020277]"/>
            <x15:cachedUniqueName index="8977" name="[FactPayment].[CaseKey].&amp;[8201|00020284]"/>
            <x15:cachedUniqueName index="8978" name="[FactPayment].[CaseKey].&amp;[8201|00020291]"/>
            <x15:cachedUniqueName index="8979" name="[FactPayment].[CaseKey].&amp;[8201|00020302]"/>
            <x15:cachedUniqueName index="8980" name="[FactPayment].[CaseKey].&amp;[8201|00020315]"/>
            <x15:cachedUniqueName index="8981" name="[FactPayment].[CaseKey].&amp;[8201|00020321]"/>
            <x15:cachedUniqueName index="8982" name="[FactPayment].[CaseKey].&amp;[8201|00020332]"/>
            <x15:cachedUniqueName index="8983" name="[FactPayment].[CaseKey].&amp;[8201|00020341]"/>
            <x15:cachedUniqueName index="8984" name="[FactPayment].[CaseKey].&amp;[8201|00020357]"/>
            <x15:cachedUniqueName index="8985" name="[FactPayment].[CaseKey].&amp;[8201|00020366]"/>
            <x15:cachedUniqueName index="8986" name="[FactPayment].[CaseKey].&amp;[8201|00020370]"/>
            <x15:cachedUniqueName index="8987" name="[FactPayment].[CaseKey].&amp;[8201|00020384]"/>
            <x15:cachedUniqueName index="8988" name="[FactPayment].[CaseKey].&amp;[8201|00020396]"/>
            <x15:cachedUniqueName index="8989" name="[FactPayment].[CaseKey].&amp;[8201|00020403]"/>
            <x15:cachedUniqueName index="8990" name="[FactPayment].[CaseKey].&amp;[8201|00020417]"/>
            <x15:cachedUniqueName index="8991" name="[FactPayment].[CaseKey].&amp;[8201|00020425]"/>
            <x15:cachedUniqueName index="8992" name="[FactPayment].[CaseKey].&amp;[8201|00020432]"/>
            <x15:cachedUniqueName index="8993" name="[FactPayment].[CaseKey].&amp;[8201|00020440]"/>
            <x15:cachedUniqueName index="8994" name="[FactPayment].[CaseKey].&amp;[8201|00020453]"/>
            <x15:cachedUniqueName index="8995" name="[FactPayment].[CaseKey].&amp;[8201|00020462]"/>
            <x15:cachedUniqueName index="8996" name="[FactPayment].[CaseKey].&amp;[8201|00020476]"/>
            <x15:cachedUniqueName index="8997" name="[FactPayment].[CaseKey].&amp;[8201|00020487]"/>
            <x15:cachedUniqueName index="8998" name="[FactPayment].[CaseKey].&amp;[8201|00020495]"/>
            <x15:cachedUniqueName index="8999" name="[FactPayment].[CaseKey].&amp;[8201|00020503]"/>
            <x15:cachedUniqueName index="9000" name="[FactPayment].[CaseKey].&amp;[8201|00020515]"/>
            <x15:cachedUniqueName index="9001" name="[FactPayment].[CaseKey].&amp;[8201|00020521]"/>
            <x15:cachedUniqueName index="9002" name="[FactPayment].[CaseKey].&amp;[8201|00020534]"/>
            <x15:cachedUniqueName index="9003" name="[FactPayment].[CaseKey].&amp;[8201|00020545]"/>
            <x15:cachedUniqueName index="9004" name="[FactPayment].[CaseKey].&amp;[8201|00020555]"/>
            <x15:cachedUniqueName index="9005" name="[FactPayment].[CaseKey].&amp;[8201|00020563]"/>
            <x15:cachedUniqueName index="9006" name="[FactPayment].[CaseKey].&amp;[8201|00020570]"/>
            <x15:cachedUniqueName index="9007" name="[FactPayment].[CaseKey].&amp;[8201|00020582]"/>
            <x15:cachedUniqueName index="9008" name="[FactPayment].[CaseKey].&amp;[8201|00020598]"/>
            <x15:cachedUniqueName index="9009" name="[FactPayment].[CaseKey].&amp;[8201|00020600]"/>
            <x15:cachedUniqueName index="9010" name="[FactPayment].[CaseKey].&amp;[8201|00020662]"/>
            <x15:cachedUniqueName index="9011" name="[FactPayment].[CaseKey].&amp;[8201|00020680]"/>
            <x15:cachedUniqueName index="9012" name="[FactPayment].[CaseKey].&amp;[8201|00020690]"/>
            <x15:cachedUniqueName index="9013" name="[FactPayment].[CaseKey].&amp;[8201|00020723]"/>
            <x15:cachedUniqueName index="9014" name="[FactPayment].[CaseKey].&amp;[8201|00020736]"/>
            <x15:cachedUniqueName index="9015" name="[FactPayment].[CaseKey].&amp;[8201|00020741]"/>
            <x15:cachedUniqueName index="9016" name="[FactPayment].[CaseKey].&amp;[8201|00020753]"/>
            <x15:cachedUniqueName index="9017" name="[FactPayment].[CaseKey].&amp;[8201|00020798]"/>
            <x15:cachedUniqueName index="9018" name="[FactPayment].[CaseKey].&amp;[8201|00020800]"/>
            <x15:cachedUniqueName index="9019" name="[FactPayment].[CaseKey].&amp;[8201|00020832]"/>
            <x15:cachedUniqueName index="9020" name="[FactPayment].[CaseKey].&amp;[8201|00020854]"/>
            <x15:cachedUniqueName index="9021" name="[FactPayment].[CaseKey].&amp;[8201|00020865]"/>
            <x15:cachedUniqueName index="9022" name="[FactPayment].[CaseKey].&amp;[8201|00020896]"/>
            <x15:cachedUniqueName index="9023" name="[FactPayment].[CaseKey].&amp;[8201|00020931]"/>
            <x15:cachedUniqueName index="9024" name="[FactPayment].[CaseKey].&amp;[8201|00020950]"/>
            <x15:cachedUniqueName index="9025" name="[FactPayment].[CaseKey].&amp;[8201|00020962]"/>
            <x15:cachedUniqueName index="9026" name="[FactPayment].[CaseKey].&amp;[8201|00020978]"/>
            <x15:cachedUniqueName index="9027" name="[FactPayment].[CaseKey].&amp;[8201|00020991]"/>
            <x15:cachedUniqueName index="9028" name="[FactPayment].[CaseKey].&amp;[8201|00021005]"/>
            <x15:cachedUniqueName index="9029" name="[FactPayment].[CaseKey].&amp;[8201|00021014]"/>
            <x15:cachedUniqueName index="9030" name="[FactPayment].[CaseKey].&amp;[8201|00021033]"/>
            <x15:cachedUniqueName index="9031" name="[FactPayment].[CaseKey].&amp;[8201|00021045]"/>
            <x15:cachedUniqueName index="9032" name="[FactPayment].[CaseKey].&amp;[8201|00021057]"/>
            <x15:cachedUniqueName index="9033" name="[FactPayment].[CaseKey].&amp;[8201|00021092]"/>
            <x15:cachedUniqueName index="9034" name="[FactPayment].[CaseKey].&amp;[8201|00021116]"/>
            <x15:cachedUniqueName index="9035" name="[FactPayment].[CaseKey].&amp;[8201|00021145]"/>
          </x15:cachedUniqueNames>
        </ext>
      </extLst>
    </cacheField>
    <cacheField name="[Measures].[Paid TRY]" caption="Paid TRY" numFmtId="0" hierarchy="209" level="32767"/>
    <cacheField name="[Measures].[Paid Original]" caption="Paid Original" numFmtId="0" hierarchy="210" level="32767"/>
    <cacheField name="[Measures].[Cover Amount Case]" caption="Cover Amount Case" numFmtId="0" hierarchy="322" level="32767"/>
    <cacheField name="[Measures].[Sum Insured Case]" caption="Sum Insured Case" numFmtId="0" hierarchy="323" level="32767"/>
    <cacheField name="[Measures].[Initial Reserve Case]" caption="Initial Reserve Case" numFmtId="0" hierarchy="324" level="32767"/>
    <cacheField name="[Measures].[Paid Net TRY]" caption="Paid Net TRY" numFmtId="0" hierarchy="225" level="32767"/>
    <cacheField name="[Measures].[Paid Deductible TRY]" caption="Paid Deductible TRY" numFmtId="0" hierarchy="226" level="32767"/>
    <cacheField name="[DimDate].[MonthsFromActive].[MonthsFromActive]" caption="MonthsFromActive" numFmtId="0" hierarchy="55"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9"/>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2" memberValueDatatype="130" unbalanced="0">
      <fieldsUsage count="2">
        <fieldUsage x="-1"/>
        <fieldUsage x="1"/>
      </fieldsUsage>
    </cacheHierarchy>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oneField="1">
      <fieldsUsage count="1">
        <fieldUsage x="2"/>
      </fieldsUsage>
    </cacheHierarchy>
    <cacheHierarchy uniqueName="[Measures].[Paid Original]" caption="Paid Original" measure="1" displayFolder="" measureGroup="FactPayment" count="0" oneField="1">
      <fieldsUsage count="1">
        <fieldUsage x="3"/>
      </fieldsUsage>
    </cacheHierarchy>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oneField="1">
      <fieldsUsage count="1">
        <fieldUsage x="7"/>
      </fieldsUsage>
    </cacheHierarchy>
    <cacheHierarchy uniqueName="[Measures].[Paid Deductible TRY]" caption="Paid Deductible TRY" measure="1" displayFolder="" measureGroup="FactPayment" count="0" oneField="1">
      <fieldsUsage count="1">
        <fieldUsage x="8"/>
      </fieldsUsage>
    </cacheHierarchy>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oneField="1">
      <fieldsUsage count="1">
        <fieldUsage x="4"/>
      </fieldsUsage>
    </cacheHierarchy>
    <cacheHierarchy uniqueName="[Measures].[Sum Insured Case]" caption="Sum Insured Case" measure="1" displayFolder="" measureGroup="FactPayment" count="0" oneField="1">
      <fieldsUsage count="1">
        <fieldUsage x="5"/>
      </fieldsUsage>
    </cacheHierarchy>
    <cacheHierarchy uniqueName="[Measures].[Initial Reserve Case]" caption="Initial Reserve Case" measure="1" displayFolder="" measureGroup="FactPayment" count="0" oneField="1">
      <fieldsUsage count="1">
        <fieldUsage x="6"/>
      </fieldsUsage>
    </cacheHierarchy>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37268519" createdVersion="6" refreshedVersion="8" minRefreshableVersion="3" recordCount="0" supportSubquery="1" supportAdvancedDrill="1" xr:uid="{A972F2F4-0512-4AF7-82EC-C0E40B6C89AB}">
  <cacheSource type="external" connectionId="22"/>
  <cacheFields count="7">
    <cacheField name="[DimSegment].[Segment].[Segment]" caption="Segment" numFmtId="0" hierarchy="79" level="1">
      <sharedItems count="3">
        <s v="Life"/>
        <s v="Non-life"/>
        <s v="Pension"/>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s>
        </ext>
      </extLst>
    </cacheField>
    <cacheField name="[DimDate].[YearMonth].[YearMonth]" caption="YearMonth" numFmtId="0" hierarchy="50" level="1">
      <sharedItems count="24">
        <s v="2024-09"/>
        <s v="2024-10"/>
        <s v="2024-11"/>
        <s v="2024-12"/>
        <s v="2025-01"/>
        <s v="2025-02"/>
        <s v="2025-03"/>
        <s v="2025-04"/>
        <s v="2025-05"/>
        <s v="2025-06"/>
        <s v="2025-07"/>
        <s v="2025-08"/>
        <s v="2025-09"/>
        <s v="2025-10"/>
        <s v="2025-11"/>
        <s v="2025-12"/>
        <s v="2026-01"/>
        <s v="2026-02"/>
        <s v="2026-03"/>
        <s v="2026-04"/>
        <s v="2026-05"/>
        <s v="2026-06"/>
        <s v="2026-07"/>
        <s v="2026-08"/>
      </sharedItems>
      <extLst>
        <ext xmlns:x15="http://schemas.microsoft.com/office/spreadsheetml/2010/11/main" uri="{4F2E5C28-24EA-4eb8-9CBF-B6C8F9C3D259}">
          <x15:cachedUniqueNames>
            <x15:cachedUniqueName index="0" name="[DimDate].[YearMonth].&amp;[2024-09]"/>
            <x15:cachedUniqueName index="1" name="[DimDate].[YearMonth].&amp;[2024-10]"/>
            <x15:cachedUniqueName index="2" name="[DimDate].[YearMonth].&amp;[2024-11]"/>
            <x15:cachedUniqueName index="3" name="[DimDate].[YearMonth].&amp;[2024-12]"/>
            <x15:cachedUniqueName index="4" name="[DimDate].[YearMonth].&amp;[2025-01]"/>
            <x15:cachedUniqueName index="5" name="[DimDate].[YearMonth].&amp;[2025-02]"/>
            <x15:cachedUniqueName index="6" name="[DimDate].[YearMonth].&amp;[2025-03]"/>
            <x15:cachedUniqueName index="7" name="[DimDate].[YearMonth].&amp;[2025-04]"/>
            <x15:cachedUniqueName index="8" name="[DimDate].[YearMonth].&amp;[2025-05]"/>
            <x15:cachedUniqueName index="9" name="[DimDate].[YearMonth].&amp;[2025-06]"/>
            <x15:cachedUniqueName index="10" name="[DimDate].[YearMonth].&amp;[2025-07]"/>
            <x15:cachedUniqueName index="11" name="[DimDate].[YearMonth].&amp;[2025-08]"/>
            <x15:cachedUniqueName index="12" name="[DimDate].[YearMonth].&amp;[2025-09]"/>
            <x15:cachedUniqueName index="13" name="[DimDate].[YearMonth].&amp;[2025-10]"/>
            <x15:cachedUniqueName index="14" name="[DimDate].[YearMonth].&amp;[2025-11]"/>
            <x15:cachedUniqueName index="15" name="[DimDate].[YearMonth].&amp;[2025-12]"/>
            <x15:cachedUniqueName index="16" name="[DimDate].[YearMonth].&amp;[2026-01]"/>
            <x15:cachedUniqueName index="17" name="[DimDate].[YearMonth].&amp;[2026-02]"/>
            <x15:cachedUniqueName index="18" name="[DimDate].[YearMonth].&amp;[2026-03]"/>
            <x15:cachedUniqueName index="19" name="[DimDate].[YearMonth].&amp;[2026-04]"/>
            <x15:cachedUniqueName index="20" name="[DimDate].[YearMonth].&amp;[2026-05]"/>
            <x15:cachedUniqueName index="21" name="[DimDate].[YearMonth].&amp;[2026-06]"/>
            <x15:cachedUniqueName index="22" name="[DimDate].[YearMonth].&amp;[2026-07]"/>
            <x15:cachedUniqueName index="23" name="[DimDate].[YearMonth].&amp;[2026-08]"/>
          </x15:cachedUniqueNames>
        </ext>
      </extLst>
    </cacheField>
    <cacheField name="[DimPaymentNature].[PaymentNature].[PaymentNature]" caption="PaymentNature" numFmtId="0" hierarchy="70" level="1">
      <sharedItems count="11">
        <s v="ANNUITY"/>
        <s v="CLAIM"/>
        <s v="DEATH"/>
        <s v="MATURITY"/>
        <s v="SURRENDER"/>
        <s v="OTHER"/>
        <s v="REFUND"/>
        <s v="EXIT"/>
        <s v="PARTIAL_WITHDRAWAL"/>
        <s v="RETIREMENT_BENEFIT"/>
        <s v="TRANSFER_OUT"/>
      </sharedItems>
      <extLst>
        <ext xmlns:x15="http://schemas.microsoft.com/office/spreadsheetml/2010/11/main" uri="{4F2E5C28-24EA-4eb8-9CBF-B6C8F9C3D259}">
          <x15:cachedUniqueNames>
            <x15:cachedUniqueName index="0" name="[DimPaymentNature].[PaymentNature].&amp;[ANNUITY]"/>
            <x15:cachedUniqueName index="1" name="[DimPaymentNature].[PaymentNature].&amp;[CLAIM]"/>
            <x15:cachedUniqueName index="2" name="[DimPaymentNature].[PaymentNature].&amp;[DEATH]"/>
            <x15:cachedUniqueName index="3" name="[DimPaymentNature].[PaymentNature].&amp;[MATURITY]"/>
            <x15:cachedUniqueName index="4" name="[DimPaymentNature].[PaymentNature].&amp;[SURRENDER]"/>
            <x15:cachedUniqueName index="5" name="[DimPaymentNature].[PaymentNature].&amp;[OTHER]"/>
            <x15:cachedUniqueName index="6" name="[DimPaymentNature].[PaymentNature].&amp;[REFUND]"/>
            <x15:cachedUniqueName index="7" name="[DimPaymentNature].[PaymentNature].&amp;[EXIT]"/>
            <x15:cachedUniqueName index="8" name="[DimPaymentNature].[PaymentNature].&amp;[PARTIAL_WITHDRAWAL]"/>
            <x15:cachedUniqueName index="9" name="[DimPaymentNature].[PaymentNature].&amp;[RETIREMENT_BENEFIT]"/>
            <x15:cachedUniqueName index="10" name="[DimPaymentNature].[PaymentNature].&amp;[TRANSFER_OUT]"/>
          </x15:cachedUniqueNames>
        </ext>
      </extLst>
    </cacheField>
    <cacheField name="[DimPaymentNature].[ReasonCode].[ReasonCode]" caption="ReasonCode" numFmtId="0" hierarchy="69" level="1">
      <sharedItems count="26">
        <s v="LIFE_ANNUITY"/>
        <s v="LIFE_CI"/>
        <s v="LIFE_DISABILITY"/>
        <s v="LIFE_DEATH"/>
        <s v="LIFE_MATURITY"/>
        <s v="LIFE_SURRENDER"/>
        <s v="ACCIDENT_PA"/>
        <s v="ENGINEERING_CAR"/>
        <s v="FIRE_BUILDING"/>
        <s v="FIRE_CONTENTS"/>
        <s v="HEALTH_INPATIENT"/>
        <s v="HEALTH_OUTPATIENT"/>
        <s v="LIABILITY_GL"/>
        <s v="MARINE_CARGO"/>
        <s v="MOD_COLLISION"/>
        <s v="MOD_GLASS"/>
        <s v="MOD_THEFT"/>
        <s v="MTPL_BI"/>
        <s v="MTPL_PD"/>
        <s v="OTHER_EXGRATIA"/>
        <s v="REFUND_OVERPAY"/>
        <s v="PEN_DEATH"/>
        <s v="PEN_EXIT"/>
        <s v="PEN_PARTIAL"/>
        <s v="PEN_RETIREMENT"/>
        <s v="PEN_TRANSFER_OUT"/>
      </sharedItems>
      <extLst>
        <ext xmlns:x15="http://schemas.microsoft.com/office/spreadsheetml/2010/11/main" uri="{4F2E5C28-24EA-4eb8-9CBF-B6C8F9C3D259}">
          <x15:cachedUniqueNames>
            <x15:cachedUniqueName index="0" name="[DimPaymentNature].[ReasonCode].&amp;[LIFE_ANNUITY]"/>
            <x15:cachedUniqueName index="1" name="[DimPaymentNature].[ReasonCode].&amp;[LIFE_CI]"/>
            <x15:cachedUniqueName index="2" name="[DimPaymentNature].[ReasonCode].&amp;[LIFE_DISABILITY]"/>
            <x15:cachedUniqueName index="3" name="[DimPaymentNature].[ReasonCode].&amp;[LIFE_DEATH]"/>
            <x15:cachedUniqueName index="4" name="[DimPaymentNature].[ReasonCode].&amp;[LIFE_MATURITY]"/>
            <x15:cachedUniqueName index="5" name="[DimPaymentNature].[ReasonCode].&amp;[LIFE_SURRENDER]"/>
            <x15:cachedUniqueName index="6" name="[DimPaymentNature].[ReasonCode].&amp;[ACCIDENT_PA]"/>
            <x15:cachedUniqueName index="7" name="[DimPaymentNature].[ReasonCode].&amp;[ENGINEERING_CAR]"/>
            <x15:cachedUniqueName index="8" name="[DimPaymentNature].[ReasonCode].&amp;[FIRE_BUILDING]"/>
            <x15:cachedUniqueName index="9" name="[DimPaymentNature].[ReasonCode].&amp;[FIRE_CONTENTS]"/>
            <x15:cachedUniqueName index="10" name="[DimPaymentNature].[ReasonCode].&amp;[HEALTH_INPATIENT]"/>
            <x15:cachedUniqueName index="11" name="[DimPaymentNature].[ReasonCode].&amp;[HEALTH_OUTPATIENT]"/>
            <x15:cachedUniqueName index="12" name="[DimPaymentNature].[ReasonCode].&amp;[LIABILITY_GL]"/>
            <x15:cachedUniqueName index="13" name="[DimPaymentNature].[ReasonCode].&amp;[MARINE_CARGO]"/>
            <x15:cachedUniqueName index="14" name="[DimPaymentNature].[ReasonCode].&amp;[MOD_COLLISION]"/>
            <x15:cachedUniqueName index="15" name="[DimPaymentNature].[ReasonCode].&amp;[MOD_GLASS]"/>
            <x15:cachedUniqueName index="16" name="[DimPaymentNature].[ReasonCode].&amp;[MOD_THEFT]"/>
            <x15:cachedUniqueName index="17" name="[DimPaymentNature].[ReasonCode].&amp;[MTPL_BI]"/>
            <x15:cachedUniqueName index="18" name="[DimPaymentNature].[ReasonCode].&amp;[MTPL_PD]"/>
            <x15:cachedUniqueName index="19" name="[DimPaymentNature].[ReasonCode].&amp;[OTHER_EXGRATIA]"/>
            <x15:cachedUniqueName index="20" name="[DimPaymentNature].[ReasonCode].&amp;[REFUND_OVERPAY]"/>
            <x15:cachedUniqueName index="21" name="[DimPaymentNature].[ReasonCode].&amp;[PEN_DEATH]"/>
            <x15:cachedUniqueName index="22" name="[DimPaymentNature].[ReasonCode].&amp;[PEN_EXIT]"/>
            <x15:cachedUniqueName index="23" name="[DimPaymentNature].[ReasonCode].&amp;[PEN_PARTIAL]"/>
            <x15:cachedUniqueName index="24" name="[DimPaymentNature].[ReasonCode].&amp;[PEN_RETIREMENT]"/>
            <x15:cachedUniqueName index="25" name="[DimPaymentNature].[ReasonCode].&amp;[PEN_TRANSFER_OUT]"/>
          </x15:cachedUniqueNames>
        </ext>
      </extLst>
    </cacheField>
    <cacheField name="[Measures].[Paid TRY]" caption="Paid TRY" numFmtId="0" hierarchy="209" level="32767"/>
    <cacheField name="[Measures].[Cases]" caption="Cases" numFmtId="0" hierarchy="237" level="32767"/>
    <cacheField name="[DimDate].[MonthsFromActive].[MonthsFromActive]" caption="MonthsFromActive" numFmtId="0" hierarchy="55"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1"/>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6"/>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2" memberValueDatatype="130" unbalanced="0">
      <fieldsUsage count="2">
        <fieldUsage x="-1"/>
        <fieldUsage x="3"/>
      </fieldsUsage>
    </cacheHierarchy>
    <cacheHierarchy uniqueName="[DimPaymentNature].[PaymentNature]" caption="PaymentNature" attribute="1" defaultMemberUniqueName="[DimPaymentNature].[PaymentNature].[All]" allUniqueName="[DimPaymentNature].[PaymentNature].[All]" dimensionUniqueName="[DimPaymentNature]" displayFolder="" count="2" memberValueDatatype="130" unbalanced="0">
      <fieldsUsage count="2">
        <fieldUsage x="-1"/>
        <fieldUsage x="2"/>
      </fieldsUsage>
    </cacheHierarchy>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oneField="1">
      <fieldsUsage count="1">
        <fieldUsage x="4"/>
      </fieldsUsage>
    </cacheHierarchy>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oneField="1">
      <fieldsUsage count="1">
        <fieldUsage x="5"/>
      </fieldsUsage>
    </cacheHierarchy>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5300926" createdVersion="6" refreshedVersion="8" minRefreshableVersion="3" recordCount="0" supportSubquery="1" supportAdvancedDrill="1" xr:uid="{B7A794AB-E91F-4D0C-9F70-2D2CA9D8596C}">
  <cacheSource type="external" connectionId="22"/>
  <cacheFields count="42">
    <cacheField name="[DimSegment].[Segment].[Segment]" caption="Segment" numFmtId="0" hierarchy="79" level="1">
      <sharedItems count="4">
        <s v="Life"/>
        <s v="Non-life"/>
        <s v="Pension"/>
        <s v="Unassigned"/>
      </sharedItems>
      <extLst>
        <ext xmlns:x15="http://schemas.microsoft.com/office/spreadsheetml/2010/11/main" uri="{4F2E5C28-24EA-4eb8-9CBF-B6C8F9C3D259}">
          <x15:cachedUniqueNames>
            <x15:cachedUniqueName index="0" name="[DimSegment].[Segment].&amp;[Life]"/>
            <x15:cachedUniqueName index="1" name="[DimSegment].[Segment].&amp;[Non-life]"/>
            <x15:cachedUniqueName index="2" name="[DimSegment].[Segment].&amp;[Pension]"/>
            <x15:cachedUniqueName index="3" name="[DimSegment].[Segment].&amp;[Unassigned]"/>
          </x15:cachedUniqueNames>
        </ext>
      </extLst>
    </cacheField>
    <cacheField name="[DimDate].[YearMonth].[YearMonth]" caption="YearMonth" numFmtId="0" hierarchy="50" level="1">
      <sharedItems count="372">
        <s v="2000-01"/>
        <s v="2000-02"/>
        <s v="2000-03"/>
        <s v="2000-04"/>
        <s v="2000-05"/>
        <s v="2000-06"/>
        <s v="2000-07"/>
        <s v="2000-08"/>
        <s v="2000-09"/>
        <s v="2000-10"/>
        <s v="2000-11"/>
        <s v="2000-12"/>
        <s v="2001-01"/>
        <s v="2001-02"/>
        <s v="2001-03"/>
        <s v="2001-04"/>
        <s v="2001-05"/>
        <s v="2001-06"/>
        <s v="2001-07"/>
        <s v="2001-08"/>
        <s v="2001-09"/>
        <s v="2001-10"/>
        <s v="2001-11"/>
        <s v="2001-12"/>
        <s v="2002-01"/>
        <s v="2002-02"/>
        <s v="2002-03"/>
        <s v="2002-04"/>
        <s v="2002-05"/>
        <s v="2002-06"/>
        <s v="2002-07"/>
        <s v="2002-08"/>
        <s v="2002-09"/>
        <s v="2002-10"/>
        <s v="2002-11"/>
        <s v="2002-12"/>
        <s v="2003-01"/>
        <s v="2003-02"/>
        <s v="2003-03"/>
        <s v="2003-04"/>
        <s v="2003-05"/>
        <s v="2003-06"/>
        <s v="2003-07"/>
        <s v="2003-08"/>
        <s v="2003-09"/>
        <s v="2003-10"/>
        <s v="2003-11"/>
        <s v="2003-12"/>
        <s v="2004-01"/>
        <s v="2004-02"/>
        <s v="2004-03"/>
        <s v="2004-04"/>
        <s v="2004-05"/>
        <s v="2004-06"/>
        <s v="2004-07"/>
        <s v="2004-08"/>
        <s v="2004-09"/>
        <s v="2004-10"/>
        <s v="2004-11"/>
        <s v="2004-12"/>
        <s v="2005-01"/>
        <s v="2005-02"/>
        <s v="2005-03"/>
        <s v="2005-04"/>
        <s v="2005-05"/>
        <s v="2005-06"/>
        <s v="2005-07"/>
        <s v="2005-08"/>
        <s v="2005-09"/>
        <s v="2005-10"/>
        <s v="2005-11"/>
        <s v="2005-12"/>
        <s v="2006-01"/>
        <s v="2006-02"/>
        <s v="2006-03"/>
        <s v="2006-04"/>
        <s v="2006-05"/>
        <s v="2006-06"/>
        <s v="2006-07"/>
        <s v="2006-08"/>
        <s v="2006-09"/>
        <s v="2006-10"/>
        <s v="2006-11"/>
        <s v="2006-12"/>
        <s v="2007-01"/>
        <s v="2007-02"/>
        <s v="2007-03"/>
        <s v="2007-04"/>
        <s v="2007-05"/>
        <s v="2007-06"/>
        <s v="2007-07"/>
        <s v="2007-08"/>
        <s v="2007-09"/>
        <s v="2007-10"/>
        <s v="2007-11"/>
        <s v="2007-12"/>
        <s v="2008-01"/>
        <s v="2008-02"/>
        <s v="2008-03"/>
        <s v="2008-04"/>
        <s v="2008-05"/>
        <s v="2008-06"/>
        <s v="2008-07"/>
        <s v="2008-08"/>
        <s v="2008-09"/>
        <s v="2008-10"/>
        <s v="2008-11"/>
        <s v="2008-12"/>
        <s v="2009-01"/>
        <s v="2009-02"/>
        <s v="2009-03"/>
        <s v="2009-04"/>
        <s v="2009-05"/>
        <s v="2009-06"/>
        <s v="2009-07"/>
        <s v="2009-08"/>
        <s v="2009-09"/>
        <s v="2009-10"/>
        <s v="2009-11"/>
        <s v="2009-12"/>
        <s v="2010-01"/>
        <s v="2010-02"/>
        <s v="2010-03"/>
        <s v="2010-04"/>
        <s v="2010-05"/>
        <s v="2010-06"/>
        <s v="2010-07"/>
        <s v="2010-08"/>
        <s v="2010-09"/>
        <s v="2010-10"/>
        <s v="2010-11"/>
        <s v="2010-12"/>
        <s v="2011-01"/>
        <s v="2011-02"/>
        <s v="2011-03"/>
        <s v="2011-04"/>
        <s v="2011-05"/>
        <s v="2011-06"/>
        <s v="2011-07"/>
        <s v="2011-08"/>
        <s v="2011-09"/>
        <s v="2011-10"/>
        <s v="2011-11"/>
        <s v="2011-12"/>
        <s v="2012-01"/>
        <s v="2012-02"/>
        <s v="2012-03"/>
        <s v="2012-04"/>
        <s v="2012-05"/>
        <s v="2012-06"/>
        <s v="2012-07"/>
        <s v="2012-08"/>
        <s v="2012-09"/>
        <s v="2012-10"/>
        <s v="2012-11"/>
        <s v="2012-12"/>
        <s v="2013-01"/>
        <s v="2013-02"/>
        <s v="2013-03"/>
        <s v="2013-04"/>
        <s v="2013-05"/>
        <s v="2013-06"/>
        <s v="2013-07"/>
        <s v="2013-08"/>
        <s v="2013-09"/>
        <s v="2013-10"/>
        <s v="2013-11"/>
        <s v="2013-12"/>
        <s v="2014-01"/>
        <s v="2014-02"/>
        <s v="2014-03"/>
        <s v="2014-04"/>
        <s v="2014-05"/>
        <s v="2014-06"/>
        <s v="2014-07"/>
        <s v="2014-08"/>
        <s v="2014-09"/>
        <s v="2014-10"/>
        <s v="2014-11"/>
        <s v="2014-12"/>
        <s v="2015-01"/>
        <s v="2015-02"/>
        <s v="2015-03"/>
        <s v="2015-04"/>
        <s v="2015-05"/>
        <s v="2015-06"/>
        <s v="2015-07"/>
        <s v="2015-08"/>
        <s v="2015-09"/>
        <s v="2015-10"/>
        <s v="2015-11"/>
        <s v="2015-12"/>
        <s v="2016-01"/>
        <s v="2016-02"/>
        <s v="2016-03"/>
        <s v="2016-04"/>
        <s v="2016-05"/>
        <s v="2016-06"/>
        <s v="2016-07"/>
        <s v="2016-08"/>
        <s v="2016-09"/>
        <s v="2016-10"/>
        <s v="2016-11"/>
        <s v="2016-12"/>
        <s v="2017-01"/>
        <s v="2017-02"/>
        <s v="2017-03"/>
        <s v="2017-04"/>
        <s v="2017-05"/>
        <s v="2017-06"/>
        <s v="2017-07"/>
        <s v="2017-08"/>
        <s v="2017-09"/>
        <s v="2017-10"/>
        <s v="2017-11"/>
        <s v="2017-12"/>
        <s v="2018-01"/>
        <s v="2018-02"/>
        <s v="2018-03"/>
        <s v="2018-04"/>
        <s v="2018-05"/>
        <s v="2018-06"/>
        <s v="2018-07"/>
        <s v="2018-08"/>
        <s v="2018-09"/>
        <s v="2018-10"/>
        <s v="2018-11"/>
        <s v="2018-12"/>
        <s v="2019-01"/>
        <s v="2019-02"/>
        <s v="2019-03"/>
        <s v="2019-04"/>
        <s v="2019-05"/>
        <s v="2019-06"/>
        <s v="2019-07"/>
        <s v="2019-08"/>
        <s v="2019-09"/>
        <s v="2019-10"/>
        <s v="2019-11"/>
        <s v="2019-12"/>
        <s v="2020-01"/>
        <s v="2020-02"/>
        <s v="2020-03"/>
        <s v="2020-04"/>
        <s v="2020-05"/>
        <s v="2020-06"/>
        <s v="2020-07"/>
        <s v="2020-08"/>
        <s v="2020-09"/>
        <s v="2020-10"/>
        <s v="2020-11"/>
        <s v="2020-12"/>
        <s v="2021-01"/>
        <s v="2021-02"/>
        <s v="2021-03"/>
        <s v="2021-04"/>
        <s v="2021-05"/>
        <s v="2021-06"/>
        <s v="2021-07"/>
        <s v="2021-08"/>
        <s v="2021-09"/>
        <s v="2021-10"/>
        <s v="2021-11"/>
        <s v="2021-12"/>
        <s v="2022-01"/>
        <s v="2022-02"/>
        <s v="2022-03"/>
        <s v="2022-04"/>
        <s v="2022-05"/>
        <s v="2022-06"/>
        <s v="2022-07"/>
        <s v="2022-08"/>
        <s v="2022-09"/>
        <s v="2022-10"/>
        <s v="2022-11"/>
        <s v="2022-12"/>
        <s v="2023-01"/>
        <s v="2023-02"/>
        <s v="2023-03"/>
        <s v="2023-04"/>
        <s v="2023-05"/>
        <s v="2023-06"/>
        <s v="2023-07"/>
        <s v="2023-08"/>
        <s v="2023-09"/>
        <s v="2023-10"/>
        <s v="2023-11"/>
        <s v="2023-12"/>
        <s v="2024-01"/>
        <s v="2024-02"/>
        <s v="2024-03"/>
        <s v="2024-04"/>
        <s v="2024-05"/>
        <s v="2024-06"/>
        <s v="2024-07"/>
        <s v="2024-08"/>
        <s v="2024-09"/>
        <s v="2024-10"/>
        <s v="2024-11"/>
        <s v="2024-12"/>
        <s v="2025-01"/>
        <s v="2025-02"/>
        <s v="2025-03"/>
        <s v="2025-04"/>
        <s v="2025-05"/>
        <s v="2025-06"/>
        <s v="2025-07"/>
        <s v="2025-08"/>
        <s v="2025-09"/>
        <s v="2025-10"/>
        <s v="2025-11"/>
        <s v="2025-12"/>
        <s v="2026-01"/>
        <s v="2026-02"/>
        <s v="2026-03"/>
        <s v="2026-04"/>
        <s v="2026-05"/>
        <s v="2026-06"/>
        <s v="2026-07"/>
        <s v="2026-08"/>
        <s v="2026-09"/>
        <s v="2026-10"/>
        <s v="2026-11"/>
        <s v="2026-12"/>
        <s v="2027-01"/>
        <s v="2027-02"/>
        <s v="2027-03"/>
        <s v="2027-04"/>
        <s v="2027-05"/>
        <s v="2027-06"/>
        <s v="2027-07"/>
        <s v="2027-08"/>
        <s v="2027-09"/>
        <s v="2027-10"/>
        <s v="2027-11"/>
        <s v="2027-12"/>
        <s v="2028-01"/>
        <s v="2028-02"/>
        <s v="2028-03"/>
        <s v="2028-04"/>
        <s v="2028-05"/>
        <s v="2028-06"/>
        <s v="2028-07"/>
        <s v="2028-08"/>
        <s v="2028-09"/>
        <s v="2028-10"/>
        <s v="2028-11"/>
        <s v="2028-12"/>
        <s v="2029-01"/>
        <s v="2029-02"/>
        <s v="2029-03"/>
        <s v="2029-04"/>
        <s v="2029-05"/>
        <s v="2029-06"/>
        <s v="2029-07"/>
        <s v="2029-08"/>
        <s v="2029-09"/>
        <s v="2029-10"/>
        <s v="2029-11"/>
        <s v="2029-12"/>
        <s v="2030-01"/>
        <s v="2030-02"/>
        <s v="2030-03"/>
        <s v="2030-04"/>
        <s v="2030-05"/>
        <s v="2030-06"/>
        <s v="2030-07"/>
        <s v="2030-08"/>
        <s v="2030-09"/>
        <s v="2030-10"/>
        <s v="2030-11"/>
        <s v="2030-12"/>
      </sharedItems>
      <extLst>
        <ext xmlns:x15="http://schemas.microsoft.com/office/spreadsheetml/2010/11/main" uri="{4F2E5C28-24EA-4eb8-9CBF-B6C8F9C3D259}">
          <x15:cachedUniqueNames>
            <x15:cachedUniqueName index="0" name="[DimDate].[YearMonth].&amp;[2000-01]"/>
            <x15:cachedUniqueName index="1" name="[DimDate].[YearMonth].&amp;[2000-02]"/>
            <x15:cachedUniqueName index="2" name="[DimDate].[YearMonth].&amp;[2000-03]"/>
            <x15:cachedUniqueName index="3" name="[DimDate].[YearMonth].&amp;[2000-04]"/>
            <x15:cachedUniqueName index="4" name="[DimDate].[YearMonth].&amp;[2000-05]"/>
            <x15:cachedUniqueName index="5" name="[DimDate].[YearMonth].&amp;[2000-06]"/>
            <x15:cachedUniqueName index="6" name="[DimDate].[YearMonth].&amp;[2000-07]"/>
            <x15:cachedUniqueName index="7" name="[DimDate].[YearMonth].&amp;[2000-08]"/>
            <x15:cachedUniqueName index="8" name="[DimDate].[YearMonth].&amp;[2000-09]"/>
            <x15:cachedUniqueName index="9" name="[DimDate].[YearMonth].&amp;[2000-10]"/>
            <x15:cachedUniqueName index="10" name="[DimDate].[YearMonth].&amp;[2000-11]"/>
            <x15:cachedUniqueName index="11" name="[DimDate].[YearMonth].&amp;[2000-12]"/>
            <x15:cachedUniqueName index="12" name="[DimDate].[YearMonth].&amp;[2001-01]"/>
            <x15:cachedUniqueName index="13" name="[DimDate].[YearMonth].&amp;[2001-02]"/>
            <x15:cachedUniqueName index="14" name="[DimDate].[YearMonth].&amp;[2001-03]"/>
            <x15:cachedUniqueName index="15" name="[DimDate].[YearMonth].&amp;[2001-04]"/>
            <x15:cachedUniqueName index="16" name="[DimDate].[YearMonth].&amp;[2001-05]"/>
            <x15:cachedUniqueName index="17" name="[DimDate].[YearMonth].&amp;[2001-06]"/>
            <x15:cachedUniqueName index="18" name="[DimDate].[YearMonth].&amp;[2001-07]"/>
            <x15:cachedUniqueName index="19" name="[DimDate].[YearMonth].&amp;[2001-08]"/>
            <x15:cachedUniqueName index="20" name="[DimDate].[YearMonth].&amp;[2001-09]"/>
            <x15:cachedUniqueName index="21" name="[DimDate].[YearMonth].&amp;[2001-10]"/>
            <x15:cachedUniqueName index="22" name="[DimDate].[YearMonth].&amp;[2001-11]"/>
            <x15:cachedUniqueName index="23" name="[DimDate].[YearMonth].&amp;[2001-12]"/>
            <x15:cachedUniqueName index="24" name="[DimDate].[YearMonth].&amp;[2002-01]"/>
            <x15:cachedUniqueName index="25" name="[DimDate].[YearMonth].&amp;[2002-02]"/>
            <x15:cachedUniqueName index="26" name="[DimDate].[YearMonth].&amp;[2002-03]"/>
            <x15:cachedUniqueName index="27" name="[DimDate].[YearMonth].&amp;[2002-04]"/>
            <x15:cachedUniqueName index="28" name="[DimDate].[YearMonth].&amp;[2002-05]"/>
            <x15:cachedUniqueName index="29" name="[DimDate].[YearMonth].&amp;[2002-06]"/>
            <x15:cachedUniqueName index="30" name="[DimDate].[YearMonth].&amp;[2002-07]"/>
            <x15:cachedUniqueName index="31" name="[DimDate].[YearMonth].&amp;[2002-08]"/>
            <x15:cachedUniqueName index="32" name="[DimDate].[YearMonth].&amp;[2002-09]"/>
            <x15:cachedUniqueName index="33" name="[DimDate].[YearMonth].&amp;[2002-10]"/>
            <x15:cachedUniqueName index="34" name="[DimDate].[YearMonth].&amp;[2002-11]"/>
            <x15:cachedUniqueName index="35" name="[DimDate].[YearMonth].&amp;[2002-12]"/>
            <x15:cachedUniqueName index="36" name="[DimDate].[YearMonth].&amp;[2003-01]"/>
            <x15:cachedUniqueName index="37" name="[DimDate].[YearMonth].&amp;[2003-02]"/>
            <x15:cachedUniqueName index="38" name="[DimDate].[YearMonth].&amp;[2003-03]"/>
            <x15:cachedUniqueName index="39" name="[DimDate].[YearMonth].&amp;[2003-04]"/>
            <x15:cachedUniqueName index="40" name="[DimDate].[YearMonth].&amp;[2003-05]"/>
            <x15:cachedUniqueName index="41" name="[DimDate].[YearMonth].&amp;[2003-06]"/>
            <x15:cachedUniqueName index="42" name="[DimDate].[YearMonth].&amp;[2003-07]"/>
            <x15:cachedUniqueName index="43" name="[DimDate].[YearMonth].&amp;[2003-08]"/>
            <x15:cachedUniqueName index="44" name="[DimDate].[YearMonth].&amp;[2003-09]"/>
            <x15:cachedUniqueName index="45" name="[DimDate].[YearMonth].&amp;[2003-10]"/>
            <x15:cachedUniqueName index="46" name="[DimDate].[YearMonth].&amp;[2003-11]"/>
            <x15:cachedUniqueName index="47" name="[DimDate].[YearMonth].&amp;[2003-12]"/>
            <x15:cachedUniqueName index="48" name="[DimDate].[YearMonth].&amp;[2004-01]"/>
            <x15:cachedUniqueName index="49" name="[DimDate].[YearMonth].&amp;[2004-02]"/>
            <x15:cachedUniqueName index="50" name="[DimDate].[YearMonth].&amp;[2004-03]"/>
            <x15:cachedUniqueName index="51" name="[DimDate].[YearMonth].&amp;[2004-04]"/>
            <x15:cachedUniqueName index="52" name="[DimDate].[YearMonth].&amp;[2004-05]"/>
            <x15:cachedUniqueName index="53" name="[DimDate].[YearMonth].&amp;[2004-06]"/>
            <x15:cachedUniqueName index="54" name="[DimDate].[YearMonth].&amp;[2004-07]"/>
            <x15:cachedUniqueName index="55" name="[DimDate].[YearMonth].&amp;[2004-08]"/>
            <x15:cachedUniqueName index="56" name="[DimDate].[YearMonth].&amp;[2004-09]"/>
            <x15:cachedUniqueName index="57" name="[DimDate].[YearMonth].&amp;[2004-10]"/>
            <x15:cachedUniqueName index="58" name="[DimDate].[YearMonth].&amp;[2004-11]"/>
            <x15:cachedUniqueName index="59" name="[DimDate].[YearMonth].&amp;[2004-12]"/>
            <x15:cachedUniqueName index="60" name="[DimDate].[YearMonth].&amp;[2005-01]"/>
            <x15:cachedUniqueName index="61" name="[DimDate].[YearMonth].&amp;[2005-02]"/>
            <x15:cachedUniqueName index="62" name="[DimDate].[YearMonth].&amp;[2005-03]"/>
            <x15:cachedUniqueName index="63" name="[DimDate].[YearMonth].&amp;[2005-04]"/>
            <x15:cachedUniqueName index="64" name="[DimDate].[YearMonth].&amp;[2005-05]"/>
            <x15:cachedUniqueName index="65" name="[DimDate].[YearMonth].&amp;[2005-06]"/>
            <x15:cachedUniqueName index="66" name="[DimDate].[YearMonth].&amp;[2005-07]"/>
            <x15:cachedUniqueName index="67" name="[DimDate].[YearMonth].&amp;[2005-08]"/>
            <x15:cachedUniqueName index="68" name="[DimDate].[YearMonth].&amp;[2005-09]"/>
            <x15:cachedUniqueName index="69" name="[DimDate].[YearMonth].&amp;[2005-10]"/>
            <x15:cachedUniqueName index="70" name="[DimDate].[YearMonth].&amp;[2005-11]"/>
            <x15:cachedUniqueName index="71" name="[DimDate].[YearMonth].&amp;[2005-12]"/>
            <x15:cachedUniqueName index="72" name="[DimDate].[YearMonth].&amp;[2006-01]"/>
            <x15:cachedUniqueName index="73" name="[DimDate].[YearMonth].&amp;[2006-02]"/>
            <x15:cachedUniqueName index="74" name="[DimDate].[YearMonth].&amp;[2006-03]"/>
            <x15:cachedUniqueName index="75" name="[DimDate].[YearMonth].&amp;[2006-04]"/>
            <x15:cachedUniqueName index="76" name="[DimDate].[YearMonth].&amp;[2006-05]"/>
            <x15:cachedUniqueName index="77" name="[DimDate].[YearMonth].&amp;[2006-06]"/>
            <x15:cachedUniqueName index="78" name="[DimDate].[YearMonth].&amp;[2006-07]"/>
            <x15:cachedUniqueName index="79" name="[DimDate].[YearMonth].&amp;[2006-08]"/>
            <x15:cachedUniqueName index="80" name="[DimDate].[YearMonth].&amp;[2006-09]"/>
            <x15:cachedUniqueName index="81" name="[DimDate].[YearMonth].&amp;[2006-10]"/>
            <x15:cachedUniqueName index="82" name="[DimDate].[YearMonth].&amp;[2006-11]"/>
            <x15:cachedUniqueName index="83" name="[DimDate].[YearMonth].&amp;[2006-12]"/>
            <x15:cachedUniqueName index="84" name="[DimDate].[YearMonth].&amp;[2007-01]"/>
            <x15:cachedUniqueName index="85" name="[DimDate].[YearMonth].&amp;[2007-02]"/>
            <x15:cachedUniqueName index="86" name="[DimDate].[YearMonth].&amp;[2007-03]"/>
            <x15:cachedUniqueName index="87" name="[DimDate].[YearMonth].&amp;[2007-04]"/>
            <x15:cachedUniqueName index="88" name="[DimDate].[YearMonth].&amp;[2007-05]"/>
            <x15:cachedUniqueName index="89" name="[DimDate].[YearMonth].&amp;[2007-06]"/>
            <x15:cachedUniqueName index="90" name="[DimDate].[YearMonth].&amp;[2007-07]"/>
            <x15:cachedUniqueName index="91" name="[DimDate].[YearMonth].&amp;[2007-08]"/>
            <x15:cachedUniqueName index="92" name="[DimDate].[YearMonth].&amp;[2007-09]"/>
            <x15:cachedUniqueName index="93" name="[DimDate].[YearMonth].&amp;[2007-10]"/>
            <x15:cachedUniqueName index="94" name="[DimDate].[YearMonth].&amp;[2007-11]"/>
            <x15:cachedUniqueName index="95" name="[DimDate].[YearMonth].&amp;[2007-12]"/>
            <x15:cachedUniqueName index="96" name="[DimDate].[YearMonth].&amp;[2008-01]"/>
            <x15:cachedUniqueName index="97" name="[DimDate].[YearMonth].&amp;[2008-02]"/>
            <x15:cachedUniqueName index="98" name="[DimDate].[YearMonth].&amp;[2008-03]"/>
            <x15:cachedUniqueName index="99" name="[DimDate].[YearMonth].&amp;[2008-04]"/>
            <x15:cachedUniqueName index="100" name="[DimDate].[YearMonth].&amp;[2008-05]"/>
            <x15:cachedUniqueName index="101" name="[DimDate].[YearMonth].&amp;[2008-06]"/>
            <x15:cachedUniqueName index="102" name="[DimDate].[YearMonth].&amp;[2008-07]"/>
            <x15:cachedUniqueName index="103" name="[DimDate].[YearMonth].&amp;[2008-08]"/>
            <x15:cachedUniqueName index="104" name="[DimDate].[YearMonth].&amp;[2008-09]"/>
            <x15:cachedUniqueName index="105" name="[DimDate].[YearMonth].&amp;[2008-10]"/>
            <x15:cachedUniqueName index="106" name="[DimDate].[YearMonth].&amp;[2008-11]"/>
            <x15:cachedUniqueName index="107" name="[DimDate].[YearMonth].&amp;[2008-12]"/>
            <x15:cachedUniqueName index="108" name="[DimDate].[YearMonth].&amp;[2009-01]"/>
            <x15:cachedUniqueName index="109" name="[DimDate].[YearMonth].&amp;[2009-02]"/>
            <x15:cachedUniqueName index="110" name="[DimDate].[YearMonth].&amp;[2009-03]"/>
            <x15:cachedUniqueName index="111" name="[DimDate].[YearMonth].&amp;[2009-04]"/>
            <x15:cachedUniqueName index="112" name="[DimDate].[YearMonth].&amp;[2009-05]"/>
            <x15:cachedUniqueName index="113" name="[DimDate].[YearMonth].&amp;[2009-06]"/>
            <x15:cachedUniqueName index="114" name="[DimDate].[YearMonth].&amp;[2009-07]"/>
            <x15:cachedUniqueName index="115" name="[DimDate].[YearMonth].&amp;[2009-08]"/>
            <x15:cachedUniqueName index="116" name="[DimDate].[YearMonth].&amp;[2009-09]"/>
            <x15:cachedUniqueName index="117" name="[DimDate].[YearMonth].&amp;[2009-10]"/>
            <x15:cachedUniqueName index="118" name="[DimDate].[YearMonth].&amp;[2009-11]"/>
            <x15:cachedUniqueName index="119" name="[DimDate].[YearMonth].&amp;[2009-12]"/>
            <x15:cachedUniqueName index="120" name="[DimDate].[YearMonth].&amp;[2010-01]"/>
            <x15:cachedUniqueName index="121" name="[DimDate].[YearMonth].&amp;[2010-02]"/>
            <x15:cachedUniqueName index="122" name="[DimDate].[YearMonth].&amp;[2010-03]"/>
            <x15:cachedUniqueName index="123" name="[DimDate].[YearMonth].&amp;[2010-04]"/>
            <x15:cachedUniqueName index="124" name="[DimDate].[YearMonth].&amp;[2010-05]"/>
            <x15:cachedUniqueName index="125" name="[DimDate].[YearMonth].&amp;[2010-06]"/>
            <x15:cachedUniqueName index="126" name="[DimDate].[YearMonth].&amp;[2010-07]"/>
            <x15:cachedUniqueName index="127" name="[DimDate].[YearMonth].&amp;[2010-08]"/>
            <x15:cachedUniqueName index="128" name="[DimDate].[YearMonth].&amp;[2010-09]"/>
            <x15:cachedUniqueName index="129" name="[DimDate].[YearMonth].&amp;[2010-10]"/>
            <x15:cachedUniqueName index="130" name="[DimDate].[YearMonth].&amp;[2010-11]"/>
            <x15:cachedUniqueName index="131" name="[DimDate].[YearMonth].&amp;[2010-12]"/>
            <x15:cachedUniqueName index="132" name="[DimDate].[YearMonth].&amp;[2011-01]"/>
            <x15:cachedUniqueName index="133" name="[DimDate].[YearMonth].&amp;[2011-02]"/>
            <x15:cachedUniqueName index="134" name="[DimDate].[YearMonth].&amp;[2011-03]"/>
            <x15:cachedUniqueName index="135" name="[DimDate].[YearMonth].&amp;[2011-04]"/>
            <x15:cachedUniqueName index="136" name="[DimDate].[YearMonth].&amp;[2011-05]"/>
            <x15:cachedUniqueName index="137" name="[DimDate].[YearMonth].&amp;[2011-06]"/>
            <x15:cachedUniqueName index="138" name="[DimDate].[YearMonth].&amp;[2011-07]"/>
            <x15:cachedUniqueName index="139" name="[DimDate].[YearMonth].&amp;[2011-08]"/>
            <x15:cachedUniqueName index="140" name="[DimDate].[YearMonth].&amp;[2011-09]"/>
            <x15:cachedUniqueName index="141" name="[DimDate].[YearMonth].&amp;[2011-10]"/>
            <x15:cachedUniqueName index="142" name="[DimDate].[YearMonth].&amp;[2011-11]"/>
            <x15:cachedUniqueName index="143" name="[DimDate].[YearMonth].&amp;[2011-12]"/>
            <x15:cachedUniqueName index="144" name="[DimDate].[YearMonth].&amp;[2012-01]"/>
            <x15:cachedUniqueName index="145" name="[DimDate].[YearMonth].&amp;[2012-02]"/>
            <x15:cachedUniqueName index="146" name="[DimDate].[YearMonth].&amp;[2012-03]"/>
            <x15:cachedUniqueName index="147" name="[DimDate].[YearMonth].&amp;[2012-04]"/>
            <x15:cachedUniqueName index="148" name="[DimDate].[YearMonth].&amp;[2012-05]"/>
            <x15:cachedUniqueName index="149" name="[DimDate].[YearMonth].&amp;[2012-06]"/>
            <x15:cachedUniqueName index="150" name="[DimDate].[YearMonth].&amp;[2012-07]"/>
            <x15:cachedUniqueName index="151" name="[DimDate].[YearMonth].&amp;[2012-08]"/>
            <x15:cachedUniqueName index="152" name="[DimDate].[YearMonth].&amp;[2012-09]"/>
            <x15:cachedUniqueName index="153" name="[DimDate].[YearMonth].&amp;[2012-10]"/>
            <x15:cachedUniqueName index="154" name="[DimDate].[YearMonth].&amp;[2012-11]"/>
            <x15:cachedUniqueName index="155" name="[DimDate].[YearMonth].&amp;[2012-12]"/>
            <x15:cachedUniqueName index="156" name="[DimDate].[YearMonth].&amp;[2013-01]"/>
            <x15:cachedUniqueName index="157" name="[DimDate].[YearMonth].&amp;[2013-02]"/>
            <x15:cachedUniqueName index="158" name="[DimDate].[YearMonth].&amp;[2013-03]"/>
            <x15:cachedUniqueName index="159" name="[DimDate].[YearMonth].&amp;[2013-04]"/>
            <x15:cachedUniqueName index="160" name="[DimDate].[YearMonth].&amp;[2013-05]"/>
            <x15:cachedUniqueName index="161" name="[DimDate].[YearMonth].&amp;[2013-06]"/>
            <x15:cachedUniqueName index="162" name="[DimDate].[YearMonth].&amp;[2013-07]"/>
            <x15:cachedUniqueName index="163" name="[DimDate].[YearMonth].&amp;[2013-08]"/>
            <x15:cachedUniqueName index="164" name="[DimDate].[YearMonth].&amp;[2013-09]"/>
            <x15:cachedUniqueName index="165" name="[DimDate].[YearMonth].&amp;[2013-10]"/>
            <x15:cachedUniqueName index="166" name="[DimDate].[YearMonth].&amp;[2013-11]"/>
            <x15:cachedUniqueName index="167" name="[DimDate].[YearMonth].&amp;[2013-12]"/>
            <x15:cachedUniqueName index="168" name="[DimDate].[YearMonth].&amp;[2014-01]"/>
            <x15:cachedUniqueName index="169" name="[DimDate].[YearMonth].&amp;[2014-02]"/>
            <x15:cachedUniqueName index="170" name="[DimDate].[YearMonth].&amp;[2014-03]"/>
            <x15:cachedUniqueName index="171" name="[DimDate].[YearMonth].&amp;[2014-04]"/>
            <x15:cachedUniqueName index="172" name="[DimDate].[YearMonth].&amp;[2014-05]"/>
            <x15:cachedUniqueName index="173" name="[DimDate].[YearMonth].&amp;[2014-06]"/>
            <x15:cachedUniqueName index="174" name="[DimDate].[YearMonth].&amp;[2014-07]"/>
            <x15:cachedUniqueName index="175" name="[DimDate].[YearMonth].&amp;[2014-08]"/>
            <x15:cachedUniqueName index="176" name="[DimDate].[YearMonth].&amp;[2014-09]"/>
            <x15:cachedUniqueName index="177" name="[DimDate].[YearMonth].&amp;[2014-10]"/>
            <x15:cachedUniqueName index="178" name="[DimDate].[YearMonth].&amp;[2014-11]"/>
            <x15:cachedUniqueName index="179" name="[DimDate].[YearMonth].&amp;[2014-12]"/>
            <x15:cachedUniqueName index="180" name="[DimDate].[YearMonth].&amp;[2015-01]"/>
            <x15:cachedUniqueName index="181" name="[DimDate].[YearMonth].&amp;[2015-02]"/>
            <x15:cachedUniqueName index="182" name="[DimDate].[YearMonth].&amp;[2015-03]"/>
            <x15:cachedUniqueName index="183" name="[DimDate].[YearMonth].&amp;[2015-04]"/>
            <x15:cachedUniqueName index="184" name="[DimDate].[YearMonth].&amp;[2015-05]"/>
            <x15:cachedUniqueName index="185" name="[DimDate].[YearMonth].&amp;[2015-06]"/>
            <x15:cachedUniqueName index="186" name="[DimDate].[YearMonth].&amp;[2015-07]"/>
            <x15:cachedUniqueName index="187" name="[DimDate].[YearMonth].&amp;[2015-08]"/>
            <x15:cachedUniqueName index="188" name="[DimDate].[YearMonth].&amp;[2015-09]"/>
            <x15:cachedUniqueName index="189" name="[DimDate].[YearMonth].&amp;[2015-10]"/>
            <x15:cachedUniqueName index="190" name="[DimDate].[YearMonth].&amp;[2015-11]"/>
            <x15:cachedUniqueName index="191" name="[DimDate].[YearMonth].&amp;[2015-12]"/>
            <x15:cachedUniqueName index="192" name="[DimDate].[YearMonth].&amp;[2016-01]"/>
            <x15:cachedUniqueName index="193" name="[DimDate].[YearMonth].&amp;[2016-02]"/>
            <x15:cachedUniqueName index="194" name="[DimDate].[YearMonth].&amp;[2016-03]"/>
            <x15:cachedUniqueName index="195" name="[DimDate].[YearMonth].&amp;[2016-04]"/>
            <x15:cachedUniqueName index="196" name="[DimDate].[YearMonth].&amp;[2016-05]"/>
            <x15:cachedUniqueName index="197" name="[DimDate].[YearMonth].&amp;[2016-06]"/>
            <x15:cachedUniqueName index="198" name="[DimDate].[YearMonth].&amp;[2016-07]"/>
            <x15:cachedUniqueName index="199" name="[DimDate].[YearMonth].&amp;[2016-08]"/>
            <x15:cachedUniqueName index="200" name="[DimDate].[YearMonth].&amp;[2016-09]"/>
            <x15:cachedUniqueName index="201" name="[DimDate].[YearMonth].&amp;[2016-10]"/>
            <x15:cachedUniqueName index="202" name="[DimDate].[YearMonth].&amp;[2016-11]"/>
            <x15:cachedUniqueName index="203" name="[DimDate].[YearMonth].&amp;[2016-12]"/>
            <x15:cachedUniqueName index="204" name="[DimDate].[YearMonth].&amp;[2017-01]"/>
            <x15:cachedUniqueName index="205" name="[DimDate].[YearMonth].&amp;[2017-02]"/>
            <x15:cachedUniqueName index="206" name="[DimDate].[YearMonth].&amp;[2017-03]"/>
            <x15:cachedUniqueName index="207" name="[DimDate].[YearMonth].&amp;[2017-04]"/>
            <x15:cachedUniqueName index="208" name="[DimDate].[YearMonth].&amp;[2017-05]"/>
            <x15:cachedUniqueName index="209" name="[DimDate].[YearMonth].&amp;[2017-06]"/>
            <x15:cachedUniqueName index="210" name="[DimDate].[YearMonth].&amp;[2017-07]"/>
            <x15:cachedUniqueName index="211" name="[DimDate].[YearMonth].&amp;[2017-08]"/>
            <x15:cachedUniqueName index="212" name="[DimDate].[YearMonth].&amp;[2017-09]"/>
            <x15:cachedUniqueName index="213" name="[DimDate].[YearMonth].&amp;[2017-10]"/>
            <x15:cachedUniqueName index="214" name="[DimDate].[YearMonth].&amp;[2017-11]"/>
            <x15:cachedUniqueName index="215" name="[DimDate].[YearMonth].&amp;[2017-12]"/>
            <x15:cachedUniqueName index="216" name="[DimDate].[YearMonth].&amp;[2018-01]"/>
            <x15:cachedUniqueName index="217" name="[DimDate].[YearMonth].&amp;[2018-02]"/>
            <x15:cachedUniqueName index="218" name="[DimDate].[YearMonth].&amp;[2018-03]"/>
            <x15:cachedUniqueName index="219" name="[DimDate].[YearMonth].&amp;[2018-04]"/>
            <x15:cachedUniqueName index="220" name="[DimDate].[YearMonth].&amp;[2018-05]"/>
            <x15:cachedUniqueName index="221" name="[DimDate].[YearMonth].&amp;[2018-06]"/>
            <x15:cachedUniqueName index="222" name="[DimDate].[YearMonth].&amp;[2018-07]"/>
            <x15:cachedUniqueName index="223" name="[DimDate].[YearMonth].&amp;[2018-08]"/>
            <x15:cachedUniqueName index="224" name="[DimDate].[YearMonth].&amp;[2018-09]"/>
            <x15:cachedUniqueName index="225" name="[DimDate].[YearMonth].&amp;[2018-10]"/>
            <x15:cachedUniqueName index="226" name="[DimDate].[YearMonth].&amp;[2018-11]"/>
            <x15:cachedUniqueName index="227" name="[DimDate].[YearMonth].&amp;[2018-12]"/>
            <x15:cachedUniqueName index="228" name="[DimDate].[YearMonth].&amp;[2019-01]"/>
            <x15:cachedUniqueName index="229" name="[DimDate].[YearMonth].&amp;[2019-02]"/>
            <x15:cachedUniqueName index="230" name="[DimDate].[YearMonth].&amp;[2019-03]"/>
            <x15:cachedUniqueName index="231" name="[DimDate].[YearMonth].&amp;[2019-04]"/>
            <x15:cachedUniqueName index="232" name="[DimDate].[YearMonth].&amp;[2019-05]"/>
            <x15:cachedUniqueName index="233" name="[DimDate].[YearMonth].&amp;[2019-06]"/>
            <x15:cachedUniqueName index="234" name="[DimDate].[YearMonth].&amp;[2019-07]"/>
            <x15:cachedUniqueName index="235" name="[DimDate].[YearMonth].&amp;[2019-08]"/>
            <x15:cachedUniqueName index="236" name="[DimDate].[YearMonth].&amp;[2019-09]"/>
            <x15:cachedUniqueName index="237" name="[DimDate].[YearMonth].&amp;[2019-10]"/>
            <x15:cachedUniqueName index="238" name="[DimDate].[YearMonth].&amp;[2019-11]"/>
            <x15:cachedUniqueName index="239" name="[DimDate].[YearMonth].&amp;[2019-12]"/>
            <x15:cachedUniqueName index="240" name="[DimDate].[YearMonth].&amp;[2020-01]"/>
            <x15:cachedUniqueName index="241" name="[DimDate].[YearMonth].&amp;[2020-02]"/>
            <x15:cachedUniqueName index="242" name="[DimDate].[YearMonth].&amp;[2020-03]"/>
            <x15:cachedUniqueName index="243" name="[DimDate].[YearMonth].&amp;[2020-04]"/>
            <x15:cachedUniqueName index="244" name="[DimDate].[YearMonth].&amp;[2020-05]"/>
            <x15:cachedUniqueName index="245" name="[DimDate].[YearMonth].&amp;[2020-06]"/>
            <x15:cachedUniqueName index="246" name="[DimDate].[YearMonth].&amp;[2020-07]"/>
            <x15:cachedUniqueName index="247" name="[DimDate].[YearMonth].&amp;[2020-08]"/>
            <x15:cachedUniqueName index="248" name="[DimDate].[YearMonth].&amp;[2020-09]"/>
            <x15:cachedUniqueName index="249" name="[DimDate].[YearMonth].&amp;[2020-10]"/>
            <x15:cachedUniqueName index="250" name="[DimDate].[YearMonth].&amp;[2020-11]"/>
            <x15:cachedUniqueName index="251" name="[DimDate].[YearMonth].&amp;[2020-12]"/>
            <x15:cachedUniqueName index="252" name="[DimDate].[YearMonth].&amp;[2021-01]"/>
            <x15:cachedUniqueName index="253" name="[DimDate].[YearMonth].&amp;[2021-02]"/>
            <x15:cachedUniqueName index="254" name="[DimDate].[YearMonth].&amp;[2021-03]"/>
            <x15:cachedUniqueName index="255" name="[DimDate].[YearMonth].&amp;[2021-04]"/>
            <x15:cachedUniqueName index="256" name="[DimDate].[YearMonth].&amp;[2021-05]"/>
            <x15:cachedUniqueName index="257" name="[DimDate].[YearMonth].&amp;[2021-06]"/>
            <x15:cachedUniqueName index="258" name="[DimDate].[YearMonth].&amp;[2021-07]"/>
            <x15:cachedUniqueName index="259" name="[DimDate].[YearMonth].&amp;[2021-08]"/>
            <x15:cachedUniqueName index="260" name="[DimDate].[YearMonth].&amp;[2021-09]"/>
            <x15:cachedUniqueName index="261" name="[DimDate].[YearMonth].&amp;[2021-10]"/>
            <x15:cachedUniqueName index="262" name="[DimDate].[YearMonth].&amp;[2021-11]"/>
            <x15:cachedUniqueName index="263" name="[DimDate].[YearMonth].&amp;[2021-12]"/>
            <x15:cachedUniqueName index="264" name="[DimDate].[YearMonth].&amp;[2022-01]"/>
            <x15:cachedUniqueName index="265" name="[DimDate].[YearMonth].&amp;[2022-02]"/>
            <x15:cachedUniqueName index="266" name="[DimDate].[YearMonth].&amp;[2022-03]"/>
            <x15:cachedUniqueName index="267" name="[DimDate].[YearMonth].&amp;[2022-04]"/>
            <x15:cachedUniqueName index="268" name="[DimDate].[YearMonth].&amp;[2022-05]"/>
            <x15:cachedUniqueName index="269" name="[DimDate].[YearMonth].&amp;[2022-06]"/>
            <x15:cachedUniqueName index="270" name="[DimDate].[YearMonth].&amp;[2022-07]"/>
            <x15:cachedUniqueName index="271" name="[DimDate].[YearMonth].&amp;[2022-08]"/>
            <x15:cachedUniqueName index="272" name="[DimDate].[YearMonth].&amp;[2022-09]"/>
            <x15:cachedUniqueName index="273" name="[DimDate].[YearMonth].&amp;[2022-10]"/>
            <x15:cachedUniqueName index="274" name="[DimDate].[YearMonth].&amp;[2022-11]"/>
            <x15:cachedUniqueName index="275" name="[DimDate].[YearMonth].&amp;[2022-12]"/>
            <x15:cachedUniqueName index="276" name="[DimDate].[YearMonth].&amp;[2023-01]"/>
            <x15:cachedUniqueName index="277" name="[DimDate].[YearMonth].&amp;[2023-02]"/>
            <x15:cachedUniqueName index="278" name="[DimDate].[YearMonth].&amp;[2023-03]"/>
            <x15:cachedUniqueName index="279" name="[DimDate].[YearMonth].&amp;[2023-04]"/>
            <x15:cachedUniqueName index="280" name="[DimDate].[YearMonth].&amp;[2023-05]"/>
            <x15:cachedUniqueName index="281" name="[DimDate].[YearMonth].&amp;[2023-06]"/>
            <x15:cachedUniqueName index="282" name="[DimDate].[YearMonth].&amp;[2023-07]"/>
            <x15:cachedUniqueName index="283" name="[DimDate].[YearMonth].&amp;[2023-08]"/>
            <x15:cachedUniqueName index="284" name="[DimDate].[YearMonth].&amp;[2023-09]"/>
            <x15:cachedUniqueName index="285" name="[DimDate].[YearMonth].&amp;[2023-10]"/>
            <x15:cachedUniqueName index="286" name="[DimDate].[YearMonth].&amp;[2023-11]"/>
            <x15:cachedUniqueName index="287" name="[DimDate].[YearMonth].&amp;[2023-12]"/>
            <x15:cachedUniqueName index="288" name="[DimDate].[YearMonth].&amp;[2024-01]"/>
            <x15:cachedUniqueName index="289" name="[DimDate].[YearMonth].&amp;[2024-02]"/>
            <x15:cachedUniqueName index="290" name="[DimDate].[YearMonth].&amp;[2024-03]"/>
            <x15:cachedUniqueName index="291" name="[DimDate].[YearMonth].&amp;[2024-04]"/>
            <x15:cachedUniqueName index="292" name="[DimDate].[YearMonth].&amp;[2024-05]"/>
            <x15:cachedUniqueName index="293" name="[DimDate].[YearMonth].&amp;[2024-06]"/>
            <x15:cachedUniqueName index="294" name="[DimDate].[YearMonth].&amp;[2024-07]"/>
            <x15:cachedUniqueName index="295" name="[DimDate].[YearMonth].&amp;[2024-08]"/>
            <x15:cachedUniqueName index="296" name="[DimDate].[YearMonth].&amp;[2024-09]"/>
            <x15:cachedUniqueName index="297" name="[DimDate].[YearMonth].&amp;[2024-10]"/>
            <x15:cachedUniqueName index="298" name="[DimDate].[YearMonth].&amp;[2024-11]"/>
            <x15:cachedUniqueName index="299" name="[DimDate].[YearMonth].&amp;[2024-12]"/>
            <x15:cachedUniqueName index="300" name="[DimDate].[YearMonth].&amp;[2025-01]"/>
            <x15:cachedUniqueName index="301" name="[DimDate].[YearMonth].&amp;[2025-02]"/>
            <x15:cachedUniqueName index="302" name="[DimDate].[YearMonth].&amp;[2025-03]"/>
            <x15:cachedUniqueName index="303" name="[DimDate].[YearMonth].&amp;[2025-04]"/>
            <x15:cachedUniqueName index="304" name="[DimDate].[YearMonth].&amp;[2025-05]"/>
            <x15:cachedUniqueName index="305" name="[DimDate].[YearMonth].&amp;[2025-06]"/>
            <x15:cachedUniqueName index="306" name="[DimDate].[YearMonth].&amp;[2025-07]"/>
            <x15:cachedUniqueName index="307" name="[DimDate].[YearMonth].&amp;[2025-08]"/>
            <x15:cachedUniqueName index="308" name="[DimDate].[YearMonth].&amp;[2025-09]"/>
            <x15:cachedUniqueName index="309" name="[DimDate].[YearMonth].&amp;[2025-10]"/>
            <x15:cachedUniqueName index="310" name="[DimDate].[YearMonth].&amp;[2025-11]"/>
            <x15:cachedUniqueName index="311" name="[DimDate].[YearMonth].&amp;[2025-12]"/>
            <x15:cachedUniqueName index="312" name="[DimDate].[YearMonth].&amp;[2026-01]"/>
            <x15:cachedUniqueName index="313" name="[DimDate].[YearMonth].&amp;[2026-02]"/>
            <x15:cachedUniqueName index="314" name="[DimDate].[YearMonth].&amp;[2026-03]"/>
            <x15:cachedUniqueName index="315" name="[DimDate].[YearMonth].&amp;[2026-04]"/>
            <x15:cachedUniqueName index="316" name="[DimDate].[YearMonth].&amp;[2026-05]"/>
            <x15:cachedUniqueName index="317" name="[DimDate].[YearMonth].&amp;[2026-06]"/>
            <x15:cachedUniqueName index="318" name="[DimDate].[YearMonth].&amp;[2026-07]"/>
            <x15:cachedUniqueName index="319" name="[DimDate].[YearMonth].&amp;[2026-08]"/>
            <x15:cachedUniqueName index="320" name="[DimDate].[YearMonth].&amp;[2026-09]"/>
            <x15:cachedUniqueName index="321" name="[DimDate].[YearMonth].&amp;[2026-10]"/>
            <x15:cachedUniqueName index="322" name="[DimDate].[YearMonth].&amp;[2026-11]"/>
            <x15:cachedUniqueName index="323" name="[DimDate].[YearMonth].&amp;[2026-12]"/>
            <x15:cachedUniqueName index="324" name="[DimDate].[YearMonth].&amp;[2027-01]"/>
            <x15:cachedUniqueName index="325" name="[DimDate].[YearMonth].&amp;[2027-02]"/>
            <x15:cachedUniqueName index="326" name="[DimDate].[YearMonth].&amp;[2027-03]"/>
            <x15:cachedUniqueName index="327" name="[DimDate].[YearMonth].&amp;[2027-04]"/>
            <x15:cachedUniqueName index="328" name="[DimDate].[YearMonth].&amp;[2027-05]"/>
            <x15:cachedUniqueName index="329" name="[DimDate].[YearMonth].&amp;[2027-06]"/>
            <x15:cachedUniqueName index="330" name="[DimDate].[YearMonth].&amp;[2027-07]"/>
            <x15:cachedUniqueName index="331" name="[DimDate].[YearMonth].&amp;[2027-08]"/>
            <x15:cachedUniqueName index="332" name="[DimDate].[YearMonth].&amp;[2027-09]"/>
            <x15:cachedUniqueName index="333" name="[DimDate].[YearMonth].&amp;[2027-10]"/>
            <x15:cachedUniqueName index="334" name="[DimDate].[YearMonth].&amp;[2027-11]"/>
            <x15:cachedUniqueName index="335" name="[DimDate].[YearMonth].&amp;[2027-12]"/>
            <x15:cachedUniqueName index="336" name="[DimDate].[YearMonth].&amp;[2028-01]"/>
            <x15:cachedUniqueName index="337" name="[DimDate].[YearMonth].&amp;[2028-02]"/>
            <x15:cachedUniqueName index="338" name="[DimDate].[YearMonth].&amp;[2028-03]"/>
            <x15:cachedUniqueName index="339" name="[DimDate].[YearMonth].&amp;[2028-04]"/>
            <x15:cachedUniqueName index="340" name="[DimDate].[YearMonth].&amp;[2028-05]"/>
            <x15:cachedUniqueName index="341" name="[DimDate].[YearMonth].&amp;[2028-06]"/>
            <x15:cachedUniqueName index="342" name="[DimDate].[YearMonth].&amp;[2028-07]"/>
            <x15:cachedUniqueName index="343" name="[DimDate].[YearMonth].&amp;[2028-08]"/>
            <x15:cachedUniqueName index="344" name="[DimDate].[YearMonth].&amp;[2028-09]"/>
            <x15:cachedUniqueName index="345" name="[DimDate].[YearMonth].&amp;[2028-10]"/>
            <x15:cachedUniqueName index="346" name="[DimDate].[YearMonth].&amp;[2028-11]"/>
            <x15:cachedUniqueName index="347" name="[DimDate].[YearMonth].&amp;[2028-12]"/>
            <x15:cachedUniqueName index="348" name="[DimDate].[YearMonth].&amp;[2029-01]"/>
            <x15:cachedUniqueName index="349" name="[DimDate].[YearMonth].&amp;[2029-02]"/>
            <x15:cachedUniqueName index="350" name="[DimDate].[YearMonth].&amp;[2029-03]"/>
            <x15:cachedUniqueName index="351" name="[DimDate].[YearMonth].&amp;[2029-04]"/>
            <x15:cachedUniqueName index="352" name="[DimDate].[YearMonth].&amp;[2029-05]"/>
            <x15:cachedUniqueName index="353" name="[DimDate].[YearMonth].&amp;[2029-06]"/>
            <x15:cachedUniqueName index="354" name="[DimDate].[YearMonth].&amp;[2029-07]"/>
            <x15:cachedUniqueName index="355" name="[DimDate].[YearMonth].&amp;[2029-08]"/>
            <x15:cachedUniqueName index="356" name="[DimDate].[YearMonth].&amp;[2029-09]"/>
            <x15:cachedUniqueName index="357" name="[DimDate].[YearMonth].&amp;[2029-10]"/>
            <x15:cachedUniqueName index="358" name="[DimDate].[YearMonth].&amp;[2029-11]"/>
            <x15:cachedUniqueName index="359" name="[DimDate].[YearMonth].&amp;[2029-12]"/>
            <x15:cachedUniqueName index="360" name="[DimDate].[YearMonth].&amp;[2030-01]"/>
            <x15:cachedUniqueName index="361" name="[DimDate].[YearMonth].&amp;[2030-02]"/>
            <x15:cachedUniqueName index="362" name="[DimDate].[YearMonth].&amp;[2030-03]"/>
            <x15:cachedUniqueName index="363" name="[DimDate].[YearMonth].&amp;[2030-04]"/>
            <x15:cachedUniqueName index="364" name="[DimDate].[YearMonth].&amp;[2030-05]"/>
            <x15:cachedUniqueName index="365" name="[DimDate].[YearMonth].&amp;[2030-06]"/>
            <x15:cachedUniqueName index="366" name="[DimDate].[YearMonth].&amp;[2030-07]"/>
            <x15:cachedUniqueName index="367" name="[DimDate].[YearMonth].&amp;[2030-08]"/>
            <x15:cachedUniqueName index="368" name="[DimDate].[YearMonth].&amp;[2030-09]"/>
            <x15:cachedUniqueName index="369" name="[DimDate].[YearMonth].&amp;[2030-10]"/>
            <x15:cachedUniqueName index="370" name="[DimDate].[YearMonth].&amp;[2030-11]"/>
            <x15:cachedUniqueName index="371" name="[DimDate].[YearMonth].&amp;[2030-12]"/>
          </x15:cachedUniqueNames>
        </ext>
      </extLst>
    </cacheField>
    <cacheField name="[Measures].[Lag Loss to Notification Lines]" caption="Lag Loss to Notification Lines" numFmtId="0" hierarchy="247" level="32767"/>
    <cacheField name="[Measures].[Lag Loss to Notification Mean]" caption="Lag Loss to Notification Mean" numFmtId="0" hierarchy="256" level="32767"/>
    <cacheField name="[Measures].[Lag Loss to Notification P50]" caption="Lag Loss to Notification P50" numFmtId="0" hierarchy="257" level="32767"/>
    <cacheField name="[Measures].[Lag Loss to Notification P75]" caption="Lag Loss to Notification P75" numFmtId="0" hierarchy="258" level="32767"/>
    <cacheField name="[Measures].[Lag Loss to Notification P90]" caption="Lag Loss to Notification P90" numFmtId="0" hierarchy="259" level="32767"/>
    <cacheField name="[Measures].[Lag Loss to Notification P95]" caption="Lag Loss to Notification P95" numFmtId="0" hierarchy="260" level="32767"/>
    <cacheField name="[Measures].[Lag Notification to Documents Lines]" caption="Lag Notification to Documents Lines" numFmtId="0" hierarchy="248" level="32767"/>
    <cacheField name="[Measures].[Lag Notification to Documents Mean]" caption="Lag Notification to Documents Mean" numFmtId="0" hierarchy="264" level="32767"/>
    <cacheField name="[Measures].[Lag Notification to Documents P50]" caption="Lag Notification to Documents P50" numFmtId="0" hierarchy="265" level="32767"/>
    <cacheField name="[Measures].[Lag Notification to Documents P75]" caption="Lag Notification to Documents P75" numFmtId="0" hierarchy="266" level="32767"/>
    <cacheField name="[Measures].[Lag Notification to Documents P90]" caption="Lag Notification to Documents P90" numFmtId="0" hierarchy="267" level="32767"/>
    <cacheField name="[Measures].[Lag Notification to Documents P95]" caption="Lag Notification to Documents P95" numFmtId="0" hierarchy="268" level="32767"/>
    <cacheField name="[Measures].[Lag Documents to Decision Lines]" caption="Lag Documents to Decision Lines" numFmtId="0" hierarchy="249" level="32767"/>
    <cacheField name="[Measures].[Lag Documents to Decision Mean]" caption="Lag Documents to Decision Mean" numFmtId="0" hierarchy="272" level="32767"/>
    <cacheField name="[Measures].[Lag Documents to Decision P50]" caption="Lag Documents to Decision P50" numFmtId="0" hierarchy="273" level="32767"/>
    <cacheField name="[Measures].[Lag Documents to Decision P75]" caption="Lag Documents to Decision P75" numFmtId="0" hierarchy="274" level="32767"/>
    <cacheField name="[Measures].[Lag Documents to Decision P90]" caption="Lag Documents to Decision P90" numFmtId="0" hierarchy="275" level="32767"/>
    <cacheField name="[Measures].[Lag Documents to Decision P95]" caption="Lag Documents to Decision P95" numFmtId="0" hierarchy="276" level="32767"/>
    <cacheField name="[Measures].[Lag Decision to Payment Lines]" caption="Lag Decision to Payment Lines" numFmtId="0" hierarchy="250" level="32767"/>
    <cacheField name="[Measures].[Lag Decision to Payment Mean]" caption="Lag Decision to Payment Mean" numFmtId="0" hierarchy="280" level="32767"/>
    <cacheField name="[Measures].[Lag Decision to Payment P50]" caption="Lag Decision to Payment P50" numFmtId="0" hierarchy="281" level="32767"/>
    <cacheField name="[Measures].[Lag Decision to Payment P75]" caption="Lag Decision to Payment P75" numFmtId="0" hierarchy="282" level="32767"/>
    <cacheField name="[Measures].[Lag Decision to Payment P90]" caption="Lag Decision to Payment P90" numFmtId="0" hierarchy="283" level="32767"/>
    <cacheField name="[Measures].[Lag Decision to Payment P95]" caption="Lag Decision to Payment P95" numFmtId="0" hierarchy="284" level="32767"/>
    <cacheField name="[Measures].[Lag Notification to Payment Lines]" caption="Lag Notification to Payment Lines" numFmtId="0" hierarchy="251" level="32767"/>
    <cacheField name="[Measures].[Lag Notification to Payment Mean]" caption="Lag Notification to Payment Mean" numFmtId="0" hierarchy="288" level="32767"/>
    <cacheField name="[Measures].[Lag Notification to Payment P50]" caption="Lag Notification to Payment P50" numFmtId="0" hierarchy="289" level="32767"/>
    <cacheField name="[Measures].[Lag Notification to Payment P75]" caption="Lag Notification to Payment P75" numFmtId="0" hierarchy="290" level="32767"/>
    <cacheField name="[Measures].[Lag Notification to Payment P90]" caption="Lag Notification to Payment P90" numFmtId="0" hierarchy="291" level="32767"/>
    <cacheField name="[Measures].[Lag Notification to Payment P95]" caption="Lag Notification to Payment P95" numFmtId="0" hierarchy="292" level="32767"/>
    <cacheField name="[Measures].[Lag Loss to Payment Lines]" caption="Lag Loss to Payment Lines" numFmtId="0" hierarchy="252" level="32767"/>
    <cacheField name="[Measures].[Lag Loss to Payment Mean]" caption="Lag Loss to Payment Mean" numFmtId="0" hierarchy="296" level="32767"/>
    <cacheField name="[Measures].[Lag Loss to Payment P50]" caption="Lag Loss to Payment P50" numFmtId="0" hierarchy="297" level="32767"/>
    <cacheField name="[Measures].[Lag Loss to Payment P75]" caption="Lag Loss to Payment P75" numFmtId="0" hierarchy="298" level="32767"/>
    <cacheField name="[Measures].[Lag Loss to Payment P90]" caption="Lag Loss to Payment P90" numFmtId="0" hierarchy="299" level="32767"/>
    <cacheField name="[Measures].[Lag Loss to Payment P95]" caption="Lag Loss to Payment P95" numFmtId="0" hierarchy="300" level="32767"/>
    <cacheField name="[Measures].[SLA Breach Share Decision to Payment]" caption="SLA Breach Share Decision to Payment" numFmtId="0" hierarchy="305" level="32767"/>
    <cacheField name="[Measures].[SLA Breach Share End to End]" caption="SLA Breach Share End to End" numFmtId="0" hierarchy="307" level="32767"/>
    <cacheField name="[DimDate].[MonthsFromActive].[MonthsFromActive]" caption="MonthsFromActive" numFmtId="0" hierarchy="55" level="1">
      <sharedItems containsSemiMixedTypes="0" containsNonDate="0" containsString="0"/>
    </cacheField>
    <cacheField name="[tblObsFlag].[Flag].[Flag]" caption="Flag" numFmtId="0" hierarchy="161"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1"/>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2" memberValueDatatype="20" unbalanced="0">
      <fieldsUsage count="2">
        <fieldUsage x="-1"/>
        <fieldUsage x="40"/>
      </fieldsUsage>
    </cacheHierarchy>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2" memberValueDatatype="130" unbalanced="0">
      <fieldsUsage count="2">
        <fieldUsage x="-1"/>
        <fieldUsage x="0"/>
      </fieldsUsage>
    </cacheHierarchy>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2" memberValueDatatype="20" unbalanced="0">
      <fieldsUsage count="2">
        <fieldUsage x="-1"/>
        <fieldUsage x="41"/>
      </fieldsUsage>
    </cacheHierarchy>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oneField="1">
      <fieldsUsage count="1">
        <fieldUsage x="2"/>
      </fieldsUsage>
    </cacheHierarchy>
    <cacheHierarchy uniqueName="[Measures].[Lag Notification to Documents Lines]" caption="Lag Notification to Documents Lines" measure="1" displayFolder="" measureGroup="FactPayment" count="0" oneField="1">
      <fieldsUsage count="1">
        <fieldUsage x="8"/>
      </fieldsUsage>
    </cacheHierarchy>
    <cacheHierarchy uniqueName="[Measures].[Lag Documents to Decision Lines]" caption="Lag Documents to Decision Lines" measure="1" displayFolder="" measureGroup="FactPayment" count="0" oneField="1">
      <fieldsUsage count="1">
        <fieldUsage x="14"/>
      </fieldsUsage>
    </cacheHierarchy>
    <cacheHierarchy uniqueName="[Measures].[Lag Decision to Payment Lines]" caption="Lag Decision to Payment Lines" measure="1" displayFolder="" measureGroup="FactPayment" count="0" oneField="1">
      <fieldsUsage count="1">
        <fieldUsage x="20"/>
      </fieldsUsage>
    </cacheHierarchy>
    <cacheHierarchy uniqueName="[Measures].[Lag Notification to Payment Lines]" caption="Lag Notification to Payment Lines" measure="1" displayFolder="" measureGroup="FactPayment" count="0" oneField="1">
      <fieldsUsage count="1">
        <fieldUsage x="26"/>
      </fieldsUsage>
    </cacheHierarchy>
    <cacheHierarchy uniqueName="[Measures].[Lag Loss to Payment Lines]" caption="Lag Loss to Payment Lines" measure="1" displayFolder="" measureGroup="FactPayment" count="0" oneField="1">
      <fieldsUsage count="1">
        <fieldUsage x="32"/>
      </fieldsUsage>
    </cacheHierarchy>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oneField="1">
      <fieldsUsage count="1">
        <fieldUsage x="3"/>
      </fieldsUsage>
    </cacheHierarchy>
    <cacheHierarchy uniqueName="[Measures].[Lag Loss to Notification P50]" caption="Lag Loss to Notification P50" measure="1" displayFolder="" measureGroup="FactPayment" count="0" oneField="1">
      <fieldsUsage count="1">
        <fieldUsage x="4"/>
      </fieldsUsage>
    </cacheHierarchy>
    <cacheHierarchy uniqueName="[Measures].[Lag Loss to Notification P75]" caption="Lag Loss to Notification P75" measure="1" displayFolder="" measureGroup="FactPayment" count="0" oneField="1">
      <fieldsUsage count="1">
        <fieldUsage x="5"/>
      </fieldsUsage>
    </cacheHierarchy>
    <cacheHierarchy uniqueName="[Measures].[Lag Loss to Notification P90]" caption="Lag Loss to Notification P90" measure="1" displayFolder="" measureGroup="FactPayment" count="0" oneField="1">
      <fieldsUsage count="1">
        <fieldUsage x="6"/>
      </fieldsUsage>
    </cacheHierarchy>
    <cacheHierarchy uniqueName="[Measures].[Lag Loss to Notification P95]" caption="Lag Loss to Notification P95" measure="1" displayFolder="" measureGroup="FactPayment" count="0" oneField="1">
      <fieldsUsage count="1">
        <fieldUsage x="7"/>
      </fieldsUsage>
    </cacheHierarchy>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oneField="1">
      <fieldsUsage count="1">
        <fieldUsage x="9"/>
      </fieldsUsage>
    </cacheHierarchy>
    <cacheHierarchy uniqueName="[Measures].[Lag Notification to Documents P50]" caption="Lag Notification to Documents P50" measure="1" displayFolder="" measureGroup="FactPayment" count="0" oneField="1">
      <fieldsUsage count="1">
        <fieldUsage x="10"/>
      </fieldsUsage>
    </cacheHierarchy>
    <cacheHierarchy uniqueName="[Measures].[Lag Notification to Documents P75]" caption="Lag Notification to Documents P75" measure="1" displayFolder="" measureGroup="FactPayment" count="0" oneField="1">
      <fieldsUsage count="1">
        <fieldUsage x="11"/>
      </fieldsUsage>
    </cacheHierarchy>
    <cacheHierarchy uniqueName="[Measures].[Lag Notification to Documents P90]" caption="Lag Notification to Documents P90" measure="1" displayFolder="" measureGroup="FactPayment" count="0" oneField="1">
      <fieldsUsage count="1">
        <fieldUsage x="12"/>
      </fieldsUsage>
    </cacheHierarchy>
    <cacheHierarchy uniqueName="[Measures].[Lag Notification to Documents P95]" caption="Lag Notification to Documents P95" measure="1" displayFolder="" measureGroup="FactPayment" count="0" oneField="1">
      <fieldsUsage count="1">
        <fieldUsage x="13"/>
      </fieldsUsage>
    </cacheHierarchy>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oneField="1">
      <fieldsUsage count="1">
        <fieldUsage x="15"/>
      </fieldsUsage>
    </cacheHierarchy>
    <cacheHierarchy uniqueName="[Measures].[Lag Documents to Decision P50]" caption="Lag Documents to Decision P50" measure="1" displayFolder="" measureGroup="FactPayment" count="0" oneField="1">
      <fieldsUsage count="1">
        <fieldUsage x="16"/>
      </fieldsUsage>
    </cacheHierarchy>
    <cacheHierarchy uniqueName="[Measures].[Lag Documents to Decision P75]" caption="Lag Documents to Decision P75" measure="1" displayFolder="" measureGroup="FactPayment" count="0" oneField="1">
      <fieldsUsage count="1">
        <fieldUsage x="17"/>
      </fieldsUsage>
    </cacheHierarchy>
    <cacheHierarchy uniqueName="[Measures].[Lag Documents to Decision P90]" caption="Lag Documents to Decision P90" measure="1" displayFolder="" measureGroup="FactPayment" count="0" oneField="1">
      <fieldsUsage count="1">
        <fieldUsage x="18"/>
      </fieldsUsage>
    </cacheHierarchy>
    <cacheHierarchy uniqueName="[Measures].[Lag Documents to Decision P95]" caption="Lag Documents to Decision P95" measure="1" displayFolder="" measureGroup="FactPayment" count="0" oneField="1">
      <fieldsUsage count="1">
        <fieldUsage x="19"/>
      </fieldsUsage>
    </cacheHierarchy>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oneField="1">
      <fieldsUsage count="1">
        <fieldUsage x="21"/>
      </fieldsUsage>
    </cacheHierarchy>
    <cacheHierarchy uniqueName="[Measures].[Lag Decision to Payment P50]" caption="Lag Decision to Payment P50" measure="1" displayFolder="" measureGroup="FactPayment" count="0" oneField="1">
      <fieldsUsage count="1">
        <fieldUsage x="22"/>
      </fieldsUsage>
    </cacheHierarchy>
    <cacheHierarchy uniqueName="[Measures].[Lag Decision to Payment P75]" caption="Lag Decision to Payment P75" measure="1" displayFolder="" measureGroup="FactPayment" count="0" oneField="1">
      <fieldsUsage count="1">
        <fieldUsage x="23"/>
      </fieldsUsage>
    </cacheHierarchy>
    <cacheHierarchy uniqueName="[Measures].[Lag Decision to Payment P90]" caption="Lag Decision to Payment P90" measure="1" displayFolder="" measureGroup="FactPayment" count="0" oneField="1">
      <fieldsUsage count="1">
        <fieldUsage x="24"/>
      </fieldsUsage>
    </cacheHierarchy>
    <cacheHierarchy uniqueName="[Measures].[Lag Decision to Payment P95]" caption="Lag Decision to Payment P95" measure="1" displayFolder="" measureGroup="FactPayment" count="0" oneField="1">
      <fieldsUsage count="1">
        <fieldUsage x="25"/>
      </fieldsUsage>
    </cacheHierarchy>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oneField="1">
      <fieldsUsage count="1">
        <fieldUsage x="27"/>
      </fieldsUsage>
    </cacheHierarchy>
    <cacheHierarchy uniqueName="[Measures].[Lag Notification to Payment P50]" caption="Lag Notification to Payment P50" measure="1" displayFolder="" measureGroup="FactPayment" count="0" oneField="1">
      <fieldsUsage count="1">
        <fieldUsage x="28"/>
      </fieldsUsage>
    </cacheHierarchy>
    <cacheHierarchy uniqueName="[Measures].[Lag Notification to Payment P75]" caption="Lag Notification to Payment P75" measure="1" displayFolder="" measureGroup="FactPayment" count="0" oneField="1">
      <fieldsUsage count="1">
        <fieldUsage x="29"/>
      </fieldsUsage>
    </cacheHierarchy>
    <cacheHierarchy uniqueName="[Measures].[Lag Notification to Payment P90]" caption="Lag Notification to Payment P90" measure="1" displayFolder="" measureGroup="FactPayment" count="0" oneField="1">
      <fieldsUsage count="1">
        <fieldUsage x="30"/>
      </fieldsUsage>
    </cacheHierarchy>
    <cacheHierarchy uniqueName="[Measures].[Lag Notification to Payment P95]" caption="Lag Notification to Payment P95" measure="1" displayFolder="" measureGroup="FactPayment" count="0" oneField="1">
      <fieldsUsage count="1">
        <fieldUsage x="31"/>
      </fieldsUsage>
    </cacheHierarchy>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oneField="1">
      <fieldsUsage count="1">
        <fieldUsage x="33"/>
      </fieldsUsage>
    </cacheHierarchy>
    <cacheHierarchy uniqueName="[Measures].[Lag Loss to Payment P50]" caption="Lag Loss to Payment P50" measure="1" displayFolder="" measureGroup="FactPayment" count="0" oneField="1">
      <fieldsUsage count="1">
        <fieldUsage x="34"/>
      </fieldsUsage>
    </cacheHierarchy>
    <cacheHierarchy uniqueName="[Measures].[Lag Loss to Payment P75]" caption="Lag Loss to Payment P75" measure="1" displayFolder="" measureGroup="FactPayment" count="0" oneField="1">
      <fieldsUsage count="1">
        <fieldUsage x="35"/>
      </fieldsUsage>
    </cacheHierarchy>
    <cacheHierarchy uniqueName="[Measures].[Lag Loss to Payment P90]" caption="Lag Loss to Payment P90" measure="1" displayFolder="" measureGroup="FactPayment" count="0" oneField="1">
      <fieldsUsage count="1">
        <fieldUsage x="36"/>
      </fieldsUsage>
    </cacheHierarchy>
    <cacheHierarchy uniqueName="[Measures].[Lag Loss to Payment P95]" caption="Lag Loss to Payment P95" measure="1" displayFolder="" measureGroup="FactPayment" count="0" oneField="1">
      <fieldsUsage count="1">
        <fieldUsage x="37"/>
      </fieldsUsage>
    </cacheHierarchy>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oneField="1">
      <fieldsUsage count="1">
        <fieldUsage x="38"/>
      </fieldsUsage>
    </cacheHierarchy>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oneField="1">
      <fieldsUsage count="1">
        <fieldUsage x="39"/>
      </fieldsUsage>
    </cacheHierarchy>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55208331" createdVersion="6" refreshedVersion="8" minRefreshableVersion="3" recordCount="0" supportSubquery="1" supportAdvancedDrill="1" xr:uid="{66FEB01A-EEB0-4949-9C6C-077CBB4BA30E}">
  <cacheSource type="external" connectionId="22"/>
  <cacheFields count="4">
    <cacheField name="[DimDate].[PeriodKey].[PeriodKey]" caption="PeriodKey" numFmtId="0" hierarchy="49" level="1">
      <sharedItems containsSemiMixedTypes="0" containsString="0" containsNumber="1" containsInteger="1" minValue="202409" maxValue="202608" count="24">
        <n v="202409"/>
        <n v="202410"/>
        <n v="202411"/>
        <n v="202412"/>
        <n v="202501"/>
        <n v="202502"/>
        <n v="202503"/>
        <n v="202504"/>
        <n v="202505"/>
        <n v="202506"/>
        <n v="202507"/>
        <n v="202508"/>
        <n v="202509"/>
        <n v="202510"/>
        <n v="202511"/>
        <n v="202512"/>
        <n v="202601"/>
        <n v="202602"/>
        <n v="202603"/>
        <n v="202604"/>
        <n v="202605"/>
        <n v="202606"/>
        <n v="202607"/>
        <n v="202608"/>
      </sharedItems>
      <extLst>
        <ext xmlns:x15="http://schemas.microsoft.com/office/spreadsheetml/2010/11/main" uri="{4F2E5C28-24EA-4eb8-9CBF-B6C8F9C3D259}">
          <x15:cachedUniqueNames>
            <x15:cachedUniqueName index="0" name="[DimDate].[PeriodKey].&amp;[202409]"/>
            <x15:cachedUniqueName index="1" name="[DimDate].[PeriodKey].&amp;[202410]"/>
            <x15:cachedUniqueName index="2" name="[DimDate].[PeriodKey].&amp;[202411]"/>
            <x15:cachedUniqueName index="3" name="[DimDate].[PeriodKey].&amp;[202412]"/>
            <x15:cachedUniqueName index="4" name="[DimDate].[PeriodKey].&amp;[202501]"/>
            <x15:cachedUniqueName index="5" name="[DimDate].[PeriodKey].&amp;[202502]"/>
            <x15:cachedUniqueName index="6" name="[DimDate].[PeriodKey].&amp;[202503]"/>
            <x15:cachedUniqueName index="7" name="[DimDate].[PeriodKey].&amp;[202504]"/>
            <x15:cachedUniqueName index="8" name="[DimDate].[PeriodKey].&amp;[202505]"/>
            <x15:cachedUniqueName index="9" name="[DimDate].[PeriodKey].&amp;[202506]"/>
            <x15:cachedUniqueName index="10" name="[DimDate].[PeriodKey].&amp;[202507]"/>
            <x15:cachedUniqueName index="11" name="[DimDate].[PeriodKey].&amp;[202508]"/>
            <x15:cachedUniqueName index="12" name="[DimDate].[PeriodKey].&amp;[202509]"/>
            <x15:cachedUniqueName index="13" name="[DimDate].[PeriodKey].&amp;[202510]"/>
            <x15:cachedUniqueName index="14" name="[DimDate].[PeriodKey].&amp;[202511]"/>
            <x15:cachedUniqueName index="15" name="[DimDate].[PeriodKey].&amp;[202512]"/>
            <x15:cachedUniqueName index="16" name="[DimDate].[PeriodKey].&amp;[202601]"/>
            <x15:cachedUniqueName index="17" name="[DimDate].[PeriodKey].&amp;[202602]"/>
            <x15:cachedUniqueName index="18" name="[DimDate].[PeriodKey].&amp;[202603]"/>
            <x15:cachedUniqueName index="19" name="[DimDate].[PeriodKey].&amp;[202604]"/>
            <x15:cachedUniqueName index="20" name="[DimDate].[PeriodKey].&amp;[202605]"/>
            <x15:cachedUniqueName index="21" name="[DimDate].[PeriodKey].&amp;[202606]"/>
            <x15:cachedUniqueName index="22" name="[DimDate].[PeriodKey].&amp;[202607]"/>
            <x15:cachedUniqueName index="23" name="[DimDate].[PeriodKey].&amp;[202608]"/>
          </x15:cachedUniqueNames>
        </ext>
      </extLst>
    </cacheField>
    <cacheField name="[Measures].[Store Rows]" caption="Store Rows" numFmtId="0" hierarchy="325" level="32767"/>
    <cacheField name="[Measures].[Store Gross]" caption="Store Gross" numFmtId="0" hierarchy="326" level="32767"/>
    <cacheField name="[Measures].[Store Gross TRY]" caption="Store Gross TRY" numFmtId="0" hierarchy="327" level="32767"/>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2" memberValueDatatype="20" unbalanced="0">
      <fieldsUsage count="2">
        <fieldUsage x="-1"/>
        <fieldUsage x="0"/>
      </fieldsUsage>
    </cacheHierarchy>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oneField="1">
      <fieldsUsage count="1">
        <fieldUsage x="1"/>
      </fieldsUsage>
    </cacheHierarchy>
    <cacheHierarchy uniqueName="[Measures].[Store Gross]" caption="Store Gross" measure="1" displayFolder="" measureGroup="FactPayment" count="0" oneField="1">
      <fieldsUsage count="1">
        <fieldUsage x="2"/>
      </fieldsUsage>
    </cacheHierarchy>
    <cacheHierarchy uniqueName="[Measures].[Store Gross TRY]" caption="Store Gross TRY" measure="1" displayFolder="" measureGroup="FactPayment" count="0" oneField="1">
      <fieldsUsage count="1">
        <fieldUsage x="3"/>
      </fieldsUsage>
    </cacheHierarchy>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5960648" createdVersion="5" refreshedVersion="8" minRefreshableVersion="3" recordCount="0" supportSubquery="1" supportAdvancedDrill="1" xr:uid="{C43B94D1-9D81-4C33-995E-F54CCB562460}">
  <cacheSource type="external" connectionId="22"/>
  <cacheFields count="6">
    <cacheField name="[DimCompany].[CompanyLabel].[CompanyLabel]" caption="CompanyLabel" numFmtId="0" hierarchy="40" level="1">
      <sharedItems containsNonDate="0" containsString="0" containsBlank="1" count="1">
        <m/>
      </sharedItems>
      <extLst>
        <ext xmlns:x15="http://schemas.microsoft.com/office/spreadsheetml/2010/11/main" uri="{4F2E5C28-24EA-4eb8-9CBF-B6C8F9C3D259}">
          <x15:cachedUniqueNames>
            <x15:cachedUniqueName index="0" name="[DimCompany].[CompanyLabel].&amp;"/>
          </x15:cachedUniqueNames>
        </ext>
      </extLst>
    </cacheField>
    <cacheField name="[DimDate].[YearMonth].[YearMonth]" caption="YearMonth" numFmtId="0" hierarchy="50" level="1">
      <sharedItems count="24">
        <s v="2024-09"/>
        <s v="2024-10"/>
        <s v="2024-11"/>
        <s v="2024-12"/>
        <s v="2025-01"/>
        <s v="2025-02"/>
        <s v="2025-03"/>
        <s v="2025-04"/>
        <s v="2025-05"/>
        <s v="2025-06"/>
        <s v="2025-07"/>
        <s v="2025-08"/>
        <s v="2025-09"/>
        <s v="2025-10"/>
        <s v="2025-11"/>
        <s v="2025-12"/>
        <s v="2026-01"/>
        <s v="2026-02"/>
        <s v="2026-03"/>
        <s v="2026-04"/>
        <s v="2026-05"/>
        <s v="2026-06"/>
        <s v="2026-07"/>
        <s v="2026-08"/>
      </sharedItems>
      <extLst>
        <ext xmlns:x15="http://schemas.microsoft.com/office/spreadsheetml/2010/11/main" uri="{4F2E5C28-24EA-4eb8-9CBF-B6C8F9C3D259}">
          <x15:cachedUniqueNames>
            <x15:cachedUniqueName index="0" name="[DimDate].[YearMonth].&amp;[2024-09]"/>
            <x15:cachedUniqueName index="1" name="[DimDate].[YearMonth].&amp;[2024-10]"/>
            <x15:cachedUniqueName index="2" name="[DimDate].[YearMonth].&amp;[2024-11]"/>
            <x15:cachedUniqueName index="3" name="[DimDate].[YearMonth].&amp;[2024-12]"/>
            <x15:cachedUniqueName index="4" name="[DimDate].[YearMonth].&amp;[2025-01]"/>
            <x15:cachedUniqueName index="5" name="[DimDate].[YearMonth].&amp;[2025-02]"/>
            <x15:cachedUniqueName index="6" name="[DimDate].[YearMonth].&amp;[2025-03]"/>
            <x15:cachedUniqueName index="7" name="[DimDate].[YearMonth].&amp;[2025-04]"/>
            <x15:cachedUniqueName index="8" name="[DimDate].[YearMonth].&amp;[2025-05]"/>
            <x15:cachedUniqueName index="9" name="[DimDate].[YearMonth].&amp;[2025-06]"/>
            <x15:cachedUniqueName index="10" name="[DimDate].[YearMonth].&amp;[2025-07]"/>
            <x15:cachedUniqueName index="11" name="[DimDate].[YearMonth].&amp;[2025-08]"/>
            <x15:cachedUniqueName index="12" name="[DimDate].[YearMonth].&amp;[2025-09]"/>
            <x15:cachedUniqueName index="13" name="[DimDate].[YearMonth].&amp;[2025-10]"/>
            <x15:cachedUniqueName index="14" name="[DimDate].[YearMonth].&amp;[2025-11]"/>
            <x15:cachedUniqueName index="15" name="[DimDate].[YearMonth].&amp;[2025-12]"/>
            <x15:cachedUniqueName index="16" name="[DimDate].[YearMonth].&amp;[2026-01]"/>
            <x15:cachedUniqueName index="17" name="[DimDate].[YearMonth].&amp;[2026-02]"/>
            <x15:cachedUniqueName index="18" name="[DimDate].[YearMonth].&amp;[2026-03]"/>
            <x15:cachedUniqueName index="19" name="[DimDate].[YearMonth].&amp;[2026-04]"/>
            <x15:cachedUniqueName index="20" name="[DimDate].[YearMonth].&amp;[2026-05]"/>
            <x15:cachedUniqueName index="21" name="[DimDate].[YearMonth].&amp;[2026-06]"/>
            <x15:cachedUniqueName index="22" name="[DimDate].[YearMonth].&amp;[2026-07]"/>
            <x15:cachedUniqueName index="23" name="[DimDate].[YearMonth].&amp;[2026-08]"/>
          </x15:cachedUniqueNames>
        </ext>
      </extLst>
    </cacheField>
    <cacheField name="[Measures].[Total Payments TRY]" caption="Total Payments TRY" numFmtId="0" hierarchy="183" level="32767"/>
    <cacheField name="[DimDate].[PeriodStatus].[PeriodStatus]" caption="PeriodStatus" numFmtId="0" hierarchy="56" level="1">
      <sharedItems containsSemiMixedTypes="0" containsNonDate="0" containsString="0"/>
    </cacheField>
    <cacheField name="[DimCompany].[CompanyType].[CompanyType]" caption="CompanyType" numFmtId="0" hierarchy="39" level="1">
      <sharedItems containsSemiMixedTypes="0" containsNonDate="0" containsString="0"/>
    </cacheField>
    <cacheField name="[FactPayment].[CurrencyCode].[CurrencyCode]" caption="CurrencyCode" numFmtId="0" hierarchy="99"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2" memberValueDatatype="130" unbalanced="0">
      <fieldsUsage count="2">
        <fieldUsage x="-1"/>
        <fieldUsage x="4"/>
      </fieldsUsage>
    </cacheHierarchy>
    <cacheHierarchy uniqueName="[DimCompany].[CompanyLabel]" caption="CompanyLabel" attribute="1" defaultMemberUniqueName="[DimCompany].[CompanyLabel].[All]" allUniqueName="[DimCompany].[CompanyLabel].[All]" dimensionUniqueName="[DimCompany]" displayFolder="" count="2" memberValueDatatype="130" unbalanced="0">
      <fieldsUsage count="2">
        <fieldUsage x="-1"/>
        <fieldUsage x="0"/>
      </fieldsUsage>
    </cacheHierarchy>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1"/>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2" memberValueDatatype="130" unbalanced="0">
      <fieldsUsage count="2">
        <fieldUsage x="-1"/>
        <fieldUsage x="3"/>
      </fieldsUsage>
    </cacheHierarchy>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2" memberValueDatatype="130" unbalanced="0">
      <fieldsUsage count="2">
        <fieldUsage x="-1"/>
        <fieldUsage x="5"/>
      </fieldsUsage>
    </cacheHierarchy>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oneField="1">
      <fieldsUsage count="1">
        <fieldUsage x="2"/>
      </fieldsUsage>
    </cacheHierarchy>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64467591" createdVersion="5" refreshedVersion="8" minRefreshableVersion="3" recordCount="0" supportSubquery="1" supportAdvancedDrill="1" xr:uid="{A3FAEF19-1D6F-4D56-96C0-A112F724DF8F}">
  <cacheSource type="external" connectionId="22"/>
  <cacheFields count="5">
    <cacheField name="[DimCompany].[CompanyLabel].[CompanyLabel]" caption="CompanyLabel" numFmtId="0" hierarchy="40" level="1">
      <sharedItems containsNonDate="0" containsString="0" containsBlank="1" count="1">
        <m/>
      </sharedItems>
      <extLst>
        <ext xmlns:x15="http://schemas.microsoft.com/office/spreadsheetml/2010/11/main" uri="{4F2E5C28-24EA-4eb8-9CBF-B6C8F9C3D259}">
          <x15:cachedUniqueNames>
            <x15:cachedUniqueName index="0" name="[DimCompany].[CompanyLabel].&amp;"/>
          </x15:cachedUniqueNames>
        </ext>
      </extLst>
    </cacheField>
    <cacheField name="[Measures].[Total Payments TRY]" caption="Total Payments TRY" numFmtId="0" hierarchy="183" level="32767"/>
    <cacheField name="[DimDate].[YearMonth].[YearMonth]" caption="YearMonth" numFmtId="0" hierarchy="50" level="1">
      <sharedItems containsSemiMixedTypes="0" containsNonDate="0" containsString="0"/>
    </cacheField>
    <cacheField name="[DimCompany].[CompanyType].[CompanyType]" caption="CompanyType" numFmtId="0" hierarchy="39" level="1">
      <sharedItems containsSemiMixedTypes="0" containsNonDate="0" containsString="0"/>
    </cacheField>
    <cacheField name="[FactPayment].[CurrencyCode].[CurrencyCode]" caption="CurrencyCode" numFmtId="0" hierarchy="99"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2" memberValueDatatype="130" unbalanced="0">
      <fieldsUsage count="2">
        <fieldUsage x="-1"/>
        <fieldUsage x="3"/>
      </fieldsUsage>
    </cacheHierarchy>
    <cacheHierarchy uniqueName="[DimCompany].[CompanyLabel]" caption="CompanyLabel" attribute="1" defaultMemberUniqueName="[DimCompany].[CompanyLabel].[All]" allUniqueName="[DimCompany].[CompanyLabel].[All]" dimensionUniqueName="[DimCompany]" displayFolder="" count="2" memberValueDatatype="130" unbalanced="0">
      <fieldsUsage count="2">
        <fieldUsage x="-1"/>
        <fieldUsage x="0"/>
      </fieldsUsage>
    </cacheHierarchy>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2"/>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2" memberValueDatatype="130" unbalanced="0">
      <fieldsUsage count="2">
        <fieldUsage x="-1"/>
        <fieldUsage x="4"/>
      </fieldsUsage>
    </cacheHierarchy>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oneField="1">
      <fieldsUsage count="1">
        <fieldUsage x="1"/>
      </fieldsUsage>
    </cacheHierarchy>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66087961" createdVersion="5" refreshedVersion="8" minRefreshableVersion="3" recordCount="0" supportSubquery="1" supportAdvancedDrill="1" xr:uid="{FE0A936D-84B4-4816-A727-52E6F77C5720}">
  <cacheSource type="external" connectionId="22"/>
  <cacheFields count="4">
    <cacheField name="[FactPayment].[CurrencyCode].[CurrencyCode]" caption="CurrencyCode" numFmtId="0" hierarchy="99" level="1">
      <sharedItems count="5">
        <s v="CHF"/>
        <s v="EUR"/>
        <s v="GBP"/>
        <s v="TRY"/>
        <s v="USD"/>
      </sharedItems>
      <extLst>
        <ext xmlns:x15="http://schemas.microsoft.com/office/spreadsheetml/2010/11/main" uri="{4F2E5C28-24EA-4eb8-9CBF-B6C8F9C3D259}">
          <x15:cachedUniqueNames>
            <x15:cachedUniqueName index="0" name="[FactPayment].[CurrencyCode].&amp;[CHF]"/>
            <x15:cachedUniqueName index="1" name="[FactPayment].[CurrencyCode].&amp;[EUR]"/>
            <x15:cachedUniqueName index="2" name="[FactPayment].[CurrencyCode].&amp;[GBP]"/>
            <x15:cachedUniqueName index="3" name="[FactPayment].[CurrencyCode].&amp;[TRY]"/>
            <x15:cachedUniqueName index="4" name="[FactPayment].[CurrencyCode].&amp;[USD]"/>
          </x15:cachedUniqueNames>
        </ext>
      </extLst>
    </cacheField>
    <cacheField name="[Measures].[Total Payments TRY]" caption="Total Payments TRY" numFmtId="0" hierarchy="183" level="32767"/>
    <cacheField name="[DimDate].[YearMonth].[YearMonth]" caption="YearMonth" numFmtId="0" hierarchy="50" level="1">
      <sharedItems containsSemiMixedTypes="0" containsNonDate="0" containsString="0"/>
    </cacheField>
    <cacheField name="[DimCompany].[CompanyType].[CompanyType]" caption="CompanyType" numFmtId="0" hierarchy="39"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2" memberValueDatatype="130" unbalanced="0">
      <fieldsUsage count="2">
        <fieldUsage x="-1"/>
        <fieldUsage x="3"/>
      </fieldsUsage>
    </cacheHierarchy>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2"/>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2" memberValueDatatype="130" unbalanced="0">
      <fieldsUsage count="2">
        <fieldUsage x="-1"/>
        <fieldUsage x="0"/>
      </fieldsUsage>
    </cacheHierarchy>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oneField="1">
      <fieldsUsage count="1">
        <fieldUsage x="1"/>
      </fieldsUsage>
    </cacheHierarchy>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67708331" createdVersion="5" refreshedVersion="8" minRefreshableVersion="3" recordCount="0" supportSubquery="1" supportAdvancedDrill="1" xr:uid="{CD770802-E6B1-40FF-8712-3268D258E119}">
  <cacheSource type="external" connectionId="22"/>
  <cacheFields count="5">
    <cacheField name="[FactPayment].[NotifToPayBucket].[NotifToPayBucket]" caption="NotifToPayBucket" numFmtId="0" hierarchy="149" level="1">
      <sharedItems count="5">
        <s v="1) 0-30 days"/>
        <s v="2) 31-60 days"/>
        <s v="3) 61-90 days"/>
        <s v="4) 91-180 days"/>
        <s v="5) 181-365 days"/>
      </sharedItems>
      <extLst>
        <ext xmlns:x15="http://schemas.microsoft.com/office/spreadsheetml/2010/11/main" uri="{4F2E5C28-24EA-4eb8-9CBF-B6C8F9C3D259}">
          <x15:cachedUniqueNames>
            <x15:cachedUniqueName index="0" name="[FactPayment].[NotifToPayBucket].&amp;[1) 0-30 days]"/>
            <x15:cachedUniqueName index="1" name="[FactPayment].[NotifToPayBucket].&amp;[2) 31-60 days]"/>
            <x15:cachedUniqueName index="2" name="[FactPayment].[NotifToPayBucket].&amp;[3) 61-90 days]"/>
            <x15:cachedUniqueName index="3" name="[FactPayment].[NotifToPayBucket].&amp;[4) 91-180 days]"/>
            <x15:cachedUniqueName index="4" name="[FactPayment].[NotifToPayBucket].&amp;[5) 181-365 days]"/>
          </x15:cachedUniqueNames>
        </ext>
      </extLst>
    </cacheField>
    <cacheField name="[Measures].[Payment Lines]" caption="Payment Lines" numFmtId="0" hierarchy="186" level="32767"/>
    <cacheField name="[DimDate].[YearMonth].[YearMonth]" caption="YearMonth" numFmtId="0" hierarchy="50" level="1">
      <sharedItems containsSemiMixedTypes="0" containsNonDate="0" containsString="0"/>
    </cacheField>
    <cacheField name="[DimCompany].[CompanyType].[CompanyType]" caption="CompanyType" numFmtId="0" hierarchy="39" level="1">
      <sharedItems containsSemiMixedTypes="0" containsNonDate="0" containsString="0"/>
    </cacheField>
    <cacheField name="[FactPayment].[CurrencyCode].[CurrencyCode]" caption="CurrencyCode" numFmtId="0" hierarchy="99"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2" memberValueDatatype="130" unbalanced="0">
      <fieldsUsage count="2">
        <fieldUsage x="-1"/>
        <fieldUsage x="3"/>
      </fieldsUsage>
    </cacheHierarchy>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2"/>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2" memberValueDatatype="130" unbalanced="0">
      <fieldsUsage count="2">
        <fieldUsage x="-1"/>
        <fieldUsage x="4"/>
      </fieldsUsage>
    </cacheHierarchy>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2" memberValueDatatype="130" unbalanced="0">
      <fieldsUsage count="2">
        <fieldUsage x="-1"/>
        <fieldUsage x="0"/>
      </fieldsUsage>
    </cacheHierarchy>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oneField="1">
      <fieldsUsage count="1">
        <fieldUsage x="1"/>
      </fieldsUsage>
    </cacheHierarchy>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72800927" createdVersion="5" refreshedVersion="8" minRefreshableVersion="3" recordCount="0" supportSubquery="1" supportAdvancedDrill="1" xr:uid="{D6EC377E-C65E-4755-90B1-742F2EAEA137}">
  <cacheSource type="external" connectionId="22"/>
  <cacheFields count="4">
    <cacheField name="[DimDate].[YearMonth].[YearMonth]" caption="YearMonth" numFmtId="0" hierarchy="50" level="1">
      <sharedItems count="24">
        <s v="2024-09"/>
        <s v="2024-10"/>
        <s v="2024-11"/>
        <s v="2024-12"/>
        <s v="2025-01"/>
        <s v="2025-02"/>
        <s v="2025-03"/>
        <s v="2025-04"/>
        <s v="2025-05"/>
        <s v="2025-06"/>
        <s v="2025-07"/>
        <s v="2025-08"/>
        <s v="2025-09"/>
        <s v="2025-10"/>
        <s v="2025-11"/>
        <s v="2025-12"/>
        <s v="2026-01"/>
        <s v="2026-02"/>
        <s v="2026-03"/>
        <s v="2026-04"/>
        <s v="2026-05"/>
        <s v="2026-06"/>
        <s v="2026-07"/>
        <s v="2026-08"/>
      </sharedItems>
      <extLst>
        <ext xmlns:x15="http://schemas.microsoft.com/office/spreadsheetml/2010/11/main" uri="{4F2E5C28-24EA-4eb8-9CBF-B6C8F9C3D259}">
          <x15:cachedUniqueNames>
            <x15:cachedUniqueName index="0" name="[DimDate].[YearMonth].&amp;[2024-09]"/>
            <x15:cachedUniqueName index="1" name="[DimDate].[YearMonth].&amp;[2024-10]"/>
            <x15:cachedUniqueName index="2" name="[DimDate].[YearMonth].&amp;[2024-11]"/>
            <x15:cachedUniqueName index="3" name="[DimDate].[YearMonth].&amp;[2024-12]"/>
            <x15:cachedUniqueName index="4" name="[DimDate].[YearMonth].&amp;[2025-01]"/>
            <x15:cachedUniqueName index="5" name="[DimDate].[YearMonth].&amp;[2025-02]"/>
            <x15:cachedUniqueName index="6" name="[DimDate].[YearMonth].&amp;[2025-03]"/>
            <x15:cachedUniqueName index="7" name="[DimDate].[YearMonth].&amp;[2025-04]"/>
            <x15:cachedUniqueName index="8" name="[DimDate].[YearMonth].&amp;[2025-05]"/>
            <x15:cachedUniqueName index="9" name="[DimDate].[YearMonth].&amp;[2025-06]"/>
            <x15:cachedUniqueName index="10" name="[DimDate].[YearMonth].&amp;[2025-07]"/>
            <x15:cachedUniqueName index="11" name="[DimDate].[YearMonth].&amp;[2025-08]"/>
            <x15:cachedUniqueName index="12" name="[DimDate].[YearMonth].&amp;[2025-09]"/>
            <x15:cachedUniqueName index="13" name="[DimDate].[YearMonth].&amp;[2025-10]"/>
            <x15:cachedUniqueName index="14" name="[DimDate].[YearMonth].&amp;[2025-11]"/>
            <x15:cachedUniqueName index="15" name="[DimDate].[YearMonth].&amp;[2025-12]"/>
            <x15:cachedUniqueName index="16" name="[DimDate].[YearMonth].&amp;[2026-01]"/>
            <x15:cachedUniqueName index="17" name="[DimDate].[YearMonth].&amp;[2026-02]"/>
            <x15:cachedUniqueName index="18" name="[DimDate].[YearMonth].&amp;[2026-03]"/>
            <x15:cachedUniqueName index="19" name="[DimDate].[YearMonth].&amp;[2026-04]"/>
            <x15:cachedUniqueName index="20" name="[DimDate].[YearMonth].&amp;[2026-05]"/>
            <x15:cachedUniqueName index="21" name="[DimDate].[YearMonth].&amp;[2026-06]"/>
            <x15:cachedUniqueName index="22" name="[DimDate].[YearMonth].&amp;[2026-07]"/>
            <x15:cachedUniqueName index="23" name="[DimDate].[YearMonth].&amp;[2026-08]"/>
          </x15:cachedUniqueNames>
        </ext>
      </extLst>
    </cacheField>
    <cacheField name="[Measures].[Total Payments TRY]" caption="Total Payments TRY" numFmtId="0" hierarchy="183" level="32767"/>
    <cacheField name="[FactPayment].[CurrencyCode].[CurrencyCode]" caption="CurrencyCode" numFmtId="0" hierarchy="99" level="1">
      <sharedItems containsSemiMixedTypes="0" containsNonDate="0" containsString="0"/>
    </cacheField>
    <cacheField name="[DimCompany].[CompanyType].[CompanyType]" caption="CompanyType" numFmtId="0" hierarchy="39"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2" memberValueDatatype="130" unbalanced="0">
      <fieldsUsage count="2">
        <fieldUsage x="-1"/>
        <fieldUsage x="3"/>
      </fieldsUsage>
    </cacheHierarchy>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2"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0"/>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2" memberValueDatatype="130" unbalanced="0">
      <fieldsUsage count="2">
        <fieldUsage x="-1"/>
        <fieldUsage x="2"/>
      </fieldsUsage>
    </cacheHierarchy>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oneField="1">
      <fieldsUsage count="1">
        <fieldUsage x="1"/>
      </fieldsUsage>
    </cacheHierarchy>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74884259" createdVersion="6" refreshedVersion="8" minRefreshableVersion="3" recordCount="0" supportSubquery="1" supportAdvancedDrill="1" xr:uid="{40A8CA8A-4CA4-4D90-9565-44B5FE8F39E7}">
  <cacheSource type="external" connectionId="22"/>
  <cacheFields count="11">
    <cacheField name="[DimCompany].[CompanyLabel].[CompanyLabel]" caption="CompanyLabel" numFmtId="0" hierarchy="40" level="1">
      <sharedItems containsNonDate="0" containsString="0" containsBlank="1" count="1">
        <m/>
      </sharedItems>
      <extLst>
        <ext xmlns:x15="http://schemas.microsoft.com/office/spreadsheetml/2010/11/main" uri="{4F2E5C28-24EA-4eb8-9CBF-B6C8F9C3D259}">
          <x15:cachedUniqueNames>
            <x15:cachedUniqueName index="0" name="[DimCompany].[CompanyLabel].&amp;"/>
          </x15:cachedUniqueNames>
        </ext>
      </extLst>
    </cacheField>
    <cacheField name="[Measures].[Total Payments TRY]" caption="Total Payments TRY" numFmtId="0" hierarchy="183" level="32767"/>
    <cacheField name="[Measures].[Net Payments TRY]" caption="Net Payments TRY" numFmtId="0" hierarchy="184" level="32767"/>
    <cacheField name="[Measures].[Distinct Cases]" caption="Distinct Cases" numFmtId="0" hierarchy="187" level="32767"/>
    <cacheField name="[Measures].[Company Share of Total %]" caption="Company Share of Total %" numFmtId="0" hierarchy="191" level="32767"/>
    <cacheField name="[Measures].[MoM Change %]" caption="MoM Change %" numFmtId="0" hierarchy="190" level="32767"/>
    <cacheField name="[Measures].[Avg Days Notification to Payment]" caption="Avg Days Notification to Payment" numFmtId="0" hierarchy="192" level="32767"/>
    <cacheField name="[Measures].[Partial Payment Ratio %]" caption="Partial Payment Ratio %" numFmtId="0" hierarchy="194" level="32767"/>
    <cacheField name="[DimDate].[YearMonth].[YearMonth]" caption="YearMonth" numFmtId="0" hierarchy="50" level="1">
      <sharedItems containsSemiMixedTypes="0" containsNonDate="0" containsString="0"/>
    </cacheField>
    <cacheField name="[DimCompany].[CompanyType].[CompanyType]" caption="CompanyType" numFmtId="0" hierarchy="39" level="1">
      <sharedItems containsSemiMixedTypes="0" containsNonDate="0" containsString="0"/>
    </cacheField>
    <cacheField name="[FactPayment].[CurrencyCode].[CurrencyCode]" caption="CurrencyCode" numFmtId="0" hierarchy="99" level="1">
      <sharedItems containsSemiMixedTypes="0" containsNonDate="0" containsString="0"/>
    </cacheField>
  </cacheFields>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2" memberValueDatatype="130" unbalanced="0">
      <fieldsUsage count="2">
        <fieldUsage x="-1"/>
        <fieldUsage x="9"/>
      </fieldsUsage>
    </cacheHierarchy>
    <cacheHierarchy uniqueName="[DimCompany].[CompanyLabel]" caption="CompanyLabel" attribute="1" defaultMemberUniqueName="[DimCompany].[CompanyLabel].[All]" allUniqueName="[DimCompany].[CompanyLabel].[All]" dimensionUniqueName="[DimCompany]" displayFolder="" count="2" memberValueDatatype="130" unbalanced="0">
      <fieldsUsage count="2">
        <fieldUsage x="-1"/>
        <fieldUsage x="0"/>
      </fieldsUsage>
    </cacheHierarchy>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fieldsUsage count="2">
        <fieldUsage x="-1"/>
        <fieldUsage x="8"/>
      </fieldsUsage>
    </cacheHierarchy>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2" memberValueDatatype="130" unbalanced="0">
      <fieldsUsage count="2">
        <fieldUsage x="-1"/>
        <fieldUsage x="10"/>
      </fieldsUsage>
    </cacheHierarchy>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oneField="1">
      <fieldsUsage count="1">
        <fieldUsage x="1"/>
      </fieldsUsage>
    </cacheHierarchy>
    <cacheHierarchy uniqueName="[Measures].[Net Payments TRY]" caption="Net Payments TRY" measure="1" displayFolder="" measureGroup="FactPayment" count="0" oneField="1">
      <fieldsUsage count="1">
        <fieldUsage x="2"/>
      </fieldsUsage>
    </cacheHierarchy>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oneField="1">
      <fieldsUsage count="1">
        <fieldUsage x="3"/>
      </fieldsUsage>
    </cacheHierarchy>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oneField="1">
      <fieldsUsage count="1">
        <fieldUsage x="5"/>
      </fieldsUsage>
    </cacheHierarchy>
    <cacheHierarchy uniqueName="[Measures].[Company Share of Total %]" caption="Company Share of Total %" measure="1" displayFolder="" measureGroup="FactPayment" count="0" oneField="1">
      <fieldsUsage count="1">
        <fieldUsage x="4"/>
      </fieldsUsage>
    </cacheHierarchy>
    <cacheHierarchy uniqueName="[Measures].[Avg Days Notification to Payment]" caption="Avg Days Notification to Payment" measure="1" displayFolder="" measureGroup="FactPayment" count="0" oneField="1">
      <fieldsUsage count="1">
        <fieldUsage x="6"/>
      </fieldsUsage>
    </cacheHierarchy>
    <cacheHierarchy uniqueName="[Measures].[Partial Payment Cases]" caption="Partial Payment Cases" measure="1" displayFolder="" measureGroup="FactPayment" count="0"/>
    <cacheHierarchy uniqueName="[Measures].[Partial Payment Ratio %]" caption="Partial Payment Ratio %" measure="1" displayFolder="" measureGroup="FactPayment" count="0" oneField="1">
      <fieldsUsage count="1">
        <fieldUsage x="7"/>
      </fieldsUsage>
    </cacheHierarchy>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dimensions count="22">
    <dimension name="AnParam" uniqueName="[AnParam]" caption="AnParam"/>
    <dimension name="BandAmount" uniqueName="[BandAmount]" caption="BandAmount"/>
    <dimension name="BandLag" uniqueName="[BandLag]" caption="BandLag"/>
    <dimension name="BandPolicyAge" uniqueName="[BandPolicyAge]" caption="BandPolicyAge"/>
    <dimension name="DevMonth" uniqueName="[DevMonth]" caption="DevMonth"/>
    <dimension name="DimAgeBand" uniqueName="[DimAgeBand]" caption="DimAgeBand"/>
    <dimension name="DimBranch" uniqueName="[DimBranch]" caption="DimBranch"/>
    <dimension name="DimChannel" uniqueName="[DimChannel]" caption="DimChannel"/>
    <dimension name="DimCompany" uniqueName="[DimCompany]" caption="DimCompany"/>
    <dimension name="DimCurrency" uniqueName="[DimCurrency]" caption="DimCurrency"/>
    <dimension name="DimDate" uniqueName="[DimDate]" caption="DimDate"/>
    <dimension name="DimFXRate" uniqueName="[DimFXRate]" caption="DimFXRate"/>
    <dimension name="DimGeography" uniqueName="[DimGeography]" caption="DimGeography"/>
    <dimension name="DimPartner" uniqueName="[DimPartner]" caption="DimPartner"/>
    <dimension name="DimPaymentNature" uniqueName="[DimPaymentNature]" caption="DimPaymentNature"/>
    <dimension name="DimProduct" uniqueName="[DimProduct]" caption="DimProduct"/>
    <dimension name="DimSegment" uniqueName="[DimSegment]" caption="DimSegment"/>
    <dimension name="FactPayment" uniqueName="[FactPayment]" caption="FactPayment"/>
    <dimension measure="1" name="Measures" uniqueName="[Measures]" caption="Measures"/>
    <dimension name="tblObsFlag" uniqueName="[tblObsFlag]" caption="tblObsFlag"/>
    <dimension name="tblThreshold" uniqueName="[tblThreshold]" caption="tblThreshold"/>
    <dimension name="tblUIText" uniqueName="[tblUIText]" caption="tblUIText"/>
  </dimensions>
  <measureGroups count="21">
    <measureGroup name="AnParam" caption="AnParam"/>
    <measureGroup name="BandAmount" caption="BandAmount"/>
    <measureGroup name="BandLag" caption="BandLag"/>
    <measureGroup name="BandPolicyAge" caption="BandPolicyAge"/>
    <measureGroup name="DevMonth" caption="DevMonth"/>
    <measureGroup name="DimAgeBand" caption="DimAgeBand"/>
    <measureGroup name="DimBranch" caption="DimBranch"/>
    <measureGroup name="DimChannel" caption="DimChannel"/>
    <measureGroup name="DimCompany" caption="DimCompany"/>
    <measureGroup name="DimCurrency" caption="DimCurrency"/>
    <measureGroup name="DimDate" caption="DimDate"/>
    <measureGroup name="DimFXRate" caption="DimFXRate"/>
    <measureGroup name="DimGeography" caption="DimGeography"/>
    <measureGroup name="DimPartner" caption="DimPartner"/>
    <measureGroup name="DimPaymentNature" caption="DimPaymentNature"/>
    <measureGroup name="DimProduct" caption="DimProduct"/>
    <measureGroup name="DimSegment" caption="DimSegment"/>
    <measureGroup name="FactPayment" caption="FactPayment"/>
    <measureGroup name="tblObsFlag" caption="tblObsFlag"/>
    <measureGroup name="tblThreshold" caption="tblThreshold"/>
    <measureGroup name="tblUIText" caption="tblUIText"/>
  </measureGroups>
  <maps count="34">
    <map measureGroup="0" dimension="0"/>
    <map measureGroup="1" dimension="1"/>
    <map measureGroup="2" dimension="2"/>
    <map measureGroup="3" dimension="3"/>
    <map measureGroup="4" dimension="4"/>
    <map measureGroup="5" dimension="5"/>
    <map measureGroup="6" dimension="6"/>
    <map measureGroup="7" dimension="7"/>
    <map measureGroup="8" dimension="8"/>
    <map measureGroup="9" dimension="9"/>
    <map measureGroup="10" dimension="10"/>
    <map measureGroup="11" dimension="11"/>
    <map measureGroup="12" dimension="12"/>
    <map measureGroup="13" dimension="13"/>
    <map measureGroup="14" dimension="14"/>
    <map measureGroup="15" dimension="15"/>
    <map measureGroup="16" dimension="16"/>
    <map measureGroup="17" dimension="5"/>
    <map measureGroup="17" dimension="6"/>
    <map measureGroup="17" dimension="7"/>
    <map measureGroup="17" dimension="8"/>
    <map measureGroup="17" dimension="9"/>
    <map measureGroup="17" dimension="10"/>
    <map measureGroup="17" dimension="11"/>
    <map measureGroup="17" dimension="12"/>
    <map measureGroup="17" dimension="13"/>
    <map measureGroup="17" dimension="14"/>
    <map measureGroup="17" dimension="15"/>
    <map measureGroup="17" dimension="16"/>
    <map measureGroup="17" dimension="17"/>
    <map measureGroup="17" dimension="19"/>
    <map measureGroup="18" dimension="19"/>
    <map measureGroup="19" dimension="20"/>
    <map measureGroup="20" dimension="2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57060186" createdVersion="3" refreshedVersion="8" minRefreshableVersion="3" recordCount="0" supportSubquery="1" supportAdvancedDrill="1" xr:uid="{BA182EDE-1831-4B0A-814F-671158C44B6F}">
  <cacheSource type="external" connectionId="22">
    <extLst>
      <ext xmlns:x14="http://schemas.microsoft.com/office/spreadsheetml/2009/9/main" uri="{F057638F-6D5F-4e77-A914-E7F072B9BCA8}">
        <x14:sourceConnection name="ThisWorkbookDataModel"/>
      </ext>
    </extLst>
  </cacheSource>
  <cacheFields count="0"/>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2"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2"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2"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369546714" supportSubqueryNonVisual="1" supportSubqueryCalcMem="1" supportAddCalcMems="1"/>
    </ext>
  </extLst>
</pivotCacheDefinition>
</file>

<file path=xl/pivotCache/pivotCacheDefinition2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62499997" createdVersion="3" refreshedVersion="8" minRefreshableVersion="3" recordCount="0" supportSubquery="1" supportAdvancedDrill="1" xr:uid="{0194AEF6-E4A0-4F97-A06C-840B20CB9E62}">
  <cacheSource type="external" connectionId="22">
    <extLst>
      <ext xmlns:x14="http://schemas.microsoft.com/office/spreadsheetml/2009/9/main" uri="{F057638F-6D5F-4e77-A914-E7F072B9BCA8}">
        <x14:sourceConnection name="ThisWorkbookDataModel"/>
      </ext>
    </extLst>
  </cacheSource>
  <cacheFields count="0"/>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2"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0"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2"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2"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slicerData="1" pivotCacheId="2054850634" supportSubqueryNonVisual="1" supportSubqueryCalcMem="1" supportAddCalcMems="1"/>
    </ext>
  </extLst>
</pivotCacheDefinition>
</file>

<file path=xl/pivotCache/pivotCacheDefinition2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fozel" refreshedDate="46300.787169097224" createdVersion="3" refreshedVersion="8" minRefreshableVersion="3" recordCount="0" supportSubquery="1" supportAdvancedDrill="1" xr:uid="{D10F897F-C752-450F-B692-90A9EDEB7358}">
  <cacheSource type="external" connectionId="22">
    <extLst>
      <ext xmlns:x14="http://schemas.microsoft.com/office/spreadsheetml/2009/9/main" uri="{F057638F-6D5F-4e77-A914-E7F072B9BCA8}">
        <x14:sourceConnection name="ThisWorkbookDataModel"/>
      </ext>
    </extLst>
  </cacheSource>
  <cacheFields count="0"/>
  <cacheHierarchies count="358">
    <cacheHierarchy uniqueName="[AnParam].[Param]" caption="Param" attribute="1" defaultMemberUniqueName="[AnParam].[Param].[All]" allUniqueName="[AnParam].[Param].[All]" dimensionUniqueName="[AnParam]" displayFolder="" count="0" memberValueDatatype="130" unbalanced="0"/>
    <cacheHierarchy uniqueName="[AnParam].[Value]" caption="Value" attribute="1" defaultMemberUniqueName="[AnParam].[Value].[All]" allUniqueName="[AnParam].[Value].[All]" dimensionUniqueName="[AnParam]" displayFolder="" count="0" memberValueDatatype="5" unbalanced="0"/>
    <cacheHierarchy uniqueName="[AnParam].[Unit]" caption="Unit" attribute="1" defaultMemberUniqueName="[AnParam].[Unit].[All]" allUniqueName="[AnParam].[Unit].[All]" dimensionUniqueName="[AnParam]" displayFolder="" count="0" memberValueDatatype="130" unbalanced="0"/>
    <cacheHierarchy uniqueName="[AnParam].[Description]" caption="Description" attribute="1" defaultMemberUniqueName="[AnParam].[Description].[All]" allUniqueName="[AnParam].[Description].[All]" dimensionUniqueName="[AnParam]" displayFolder="" count="0" memberValueDatatype="130" unbalanced="0"/>
    <cacheHierarchy uniqueName="[AnParam].[Owner]" caption="Owner" attribute="1" defaultMemberUniqueName="[AnParam].[Owner].[All]" allUniqueName="[AnParam].[Owner].[All]" dimensionUniqueName="[AnParam]" displayFolder="" count="0" memberValueDatatype="130" unbalanced="0"/>
    <cacheHierarchy uniqueName="[BandAmount].[AmountBand]" caption="AmountBand" attribute="1" defaultMemberUniqueName="[BandAmount].[AmountBand].[All]" allUniqueName="[BandAmount].[AmountBand].[All]" dimensionUniqueName="[BandAmount]" displayFolder="" count="0" memberValueDatatype="130" unbalanced="0"/>
    <cacheHierarchy uniqueName="[BandAmount].[SortOrder]" caption="SortOrder" attribute="1" defaultMemberUniqueName="[BandAmount].[SortOrder].[All]" allUniqueName="[BandAmount].[SortOrder].[All]" dimensionUniqueName="[BandAmount]" displayFolder="" count="0" memberValueDatatype="20" unbalanced="0"/>
    <cacheHierarchy uniqueName="[BandAmount].[FromTRY]" caption="FromTRY" attribute="1" defaultMemberUniqueName="[BandAmount].[FromTRY].[All]" allUniqueName="[BandAmount].[FromTRY].[All]" dimensionUniqueName="[BandAmount]" displayFolder="" count="0" memberValueDatatype="5" unbalanced="0"/>
    <cacheHierarchy uniqueName="[BandAmount].[ToTRY]" caption="ToTRY" attribute="1" defaultMemberUniqueName="[BandAmount].[ToTRY].[All]" allUniqueName="[BandAmount].[ToTRY].[All]" dimensionUniqueName="[BandAmount]" displayFolder="" count="0" memberValueDatatype="5" unbalanced="0"/>
    <cacheHierarchy uniqueName="[BandLag].[LagBand]" caption="LagBand" attribute="1" defaultMemberUniqueName="[BandLag].[LagBand].[All]" allUniqueName="[BandLag].[LagBand].[All]" dimensionUniqueName="[BandLag]" displayFolder="" count="0" memberValueDatatype="130" unbalanced="0"/>
    <cacheHierarchy uniqueName="[BandLag].[SortOrder]" caption="SortOrder" attribute="1" defaultMemberUniqueName="[BandLag].[SortOrder].[All]" allUniqueName="[BandLag].[SortOrder].[All]" dimensionUniqueName="[BandLag]" displayFolder="" count="0" memberValueDatatype="20" unbalanced="0"/>
    <cacheHierarchy uniqueName="[BandLag].[FromDays]" caption="FromDays" attribute="1" defaultMemberUniqueName="[BandLag].[FromDays].[All]" allUniqueName="[BandLag].[FromDays].[All]" dimensionUniqueName="[BandLag]" displayFolder="" count="0" memberValueDatatype="20" unbalanced="0"/>
    <cacheHierarchy uniqueName="[BandLag].[ToDays]" caption="ToDays" attribute="1" defaultMemberUniqueName="[BandLag].[ToDays].[All]" allUniqueName="[BandLag].[ToDays].[All]" dimensionUniqueName="[BandLag]" displayFolder="" count="0" memberValueDatatype="20" unbalanced="0"/>
    <cacheHierarchy uniqueName="[BandPolicyAge].[PolicyAgeBand]" caption="PolicyAgeBand" attribute="1" defaultMemberUniqueName="[BandPolicyAge].[PolicyAgeBand].[All]" allUniqueName="[BandPolicyAge].[PolicyAgeBand].[All]" dimensionUniqueName="[BandPolicyAge]" displayFolder="" count="0" memberValueDatatype="130" unbalanced="0"/>
    <cacheHierarchy uniqueName="[BandPolicyAge].[SortOrder]" caption="SortOrder" attribute="1" defaultMemberUniqueName="[BandPolicyAge].[SortOrder].[All]" allUniqueName="[BandPolicyAge].[SortOrder].[All]" dimensionUniqueName="[BandPolicyAge]" displayFolder="" count="0" memberValueDatatype="20" unbalanced="0"/>
    <cacheHierarchy uniqueName="[BandPolicyAge].[FromMonths]" caption="FromMonths" attribute="1" defaultMemberUniqueName="[BandPolicyAge].[FromMonths].[All]" allUniqueName="[BandPolicyAge].[FromMonths].[All]" dimensionUniqueName="[BandPolicyAge]" displayFolder="" count="0" memberValueDatatype="20" unbalanced="0"/>
    <cacheHierarchy uniqueName="[BandPolicyAge].[ToMonths]" caption="ToMonths" attribute="1" defaultMemberUniqueName="[BandPolicyAge].[ToMonths].[All]" allUniqueName="[BandPolicyAge].[ToMonths].[All]" dimensionUniqueName="[BandPolicyAge]" displayFolder="" count="0" memberValueDatatype="20" unbalanced="0"/>
    <cacheHierarchy uniqueName="[DevMonth].[DevMonth]" caption="DevMonth" attribute="1" defaultMemberUniqueName="[DevMonth].[DevMonth].[All]" allUniqueName="[DevMonth].[DevMonth].[All]" dimensionUniqueName="[DevMonth]" displayFolder="" count="0" memberValueDatatype="20" unbalanced="0"/>
    <cacheHierarchy uniqueName="[DevMonth].[DevLabel]" caption="DevLabel" attribute="1" defaultMemberUniqueName="[DevMonth].[DevLabel].[All]" allUniqueName="[DevMonth].[DevLabel].[All]" dimensionUniqueName="[DevMonth]" displayFolder="" count="0" memberValueDatatype="130" unbalanced="0"/>
    <cacheHierarchy uniqueName="[DevMonth].[SortOrder]" caption="SortOrder" attribute="1" defaultMemberUniqueName="[DevMonth].[SortOrder].[All]" allUniqueName="[DevMonth].[SortOrder].[All]" dimensionUniqueName="[DevMonth]" displayFolder="" count="0" memberValueDatatype="20" unbalanced="0"/>
    <cacheHierarchy uniqueName="[DimAgeBand].[AgeBand]" caption="AgeBand" attribute="1" defaultMemberUniqueName="[DimAgeBand].[AgeBand].[All]" allUniqueName="[DimAgeBand].[AgeBand].[All]" dimensionUniqueName="[DimAgeBand]" displayFolder="" count="0" memberValueDatatype="130" unbalanced="0"/>
    <cacheHierarchy uniqueName="[DimAgeBand].[SortOrder]" caption="SortOrder" attribute="1" defaultMemberUniqueName="[DimAgeBand].[SortOrder].[All]" allUniqueName="[DimAgeBand].[SortOrder].[All]" dimensionUniqueName="[DimAgeBand]" displayFolder="" count="0" memberValueDatatype="20" unbalanced="0"/>
    <cacheHierarchy uniqueName="[DimAgeBand].[FromAge]" caption="FromAge" attribute="1" defaultMemberUniqueName="[DimAgeBand].[FromAge].[All]" allUniqueName="[DimAgeBand].[FromAge].[All]" dimensionUniqueName="[DimAgeBand]" displayFolder="" count="0" memberValueDatatype="20" unbalanced="0"/>
    <cacheHierarchy uniqueName="[DimAgeBand].[ToAge]" caption="ToAge" attribute="1" defaultMemberUniqueName="[DimAgeBand].[ToAge].[All]" allUniqueName="[DimAgeBand].[ToAge].[All]" dimensionUniqueName="[DimAgeBand]" displayFolder="" count="0" memberValueDatatype="20" unbalanced="0"/>
    <cacheHierarchy uniqueName="[DimBranch].[ParentBranchCode]" caption="ParentBranchCode" attribute="1" defaultMemberUniqueName="[DimBranch].[ParentBranchCode].[All]" allUniqueName="[DimBranch].[ParentBranchCode].[All]" dimensionUniqueName="[DimBranch]" displayFolder="" count="0" memberValueDatatype="130" unbalanced="0"/>
    <cacheHierarchy uniqueName="[DimBranch].[ParentBranchName]" caption="ParentBranchName" attribute="1" defaultMemberUniqueName="[DimBranch].[ParentBranchName].[All]" allUniqueName="[DimBranch].[ParentBranchName].[All]" dimensionUniqueName="[DimBranch]" displayFolder="" count="0" memberValueDatatype="130" unbalanced="0"/>
    <cacheHierarchy uniqueName="[DimBranch].[BranchCode]" caption="BranchCode" attribute="1" defaultMemberUniqueName="[DimBranch].[BranchCode].[All]" allUniqueName="[DimBranch].[BranchCode].[All]" dimensionUniqueName="[DimBranch]" displayFolder="" count="0" memberValueDatatype="130" unbalanced="0"/>
    <cacheHierarchy uniqueName="[DimBranch].[BranchName]" caption="BranchName" attribute="1" defaultMemberUniqueName="[DimBranch].[BranchName].[All]" allUniqueName="[DimBranch].[BranchName].[All]" dimensionUniqueName="[DimBranch]" displayFolder="" count="0" memberValueDatatype="130" unbalanced="0"/>
    <cacheHierarchy uniqueName="[DimBranch].[SubBranchCode]" caption="SubBranchCode" attribute="1" defaultMemberUniqueName="[DimBranch].[SubBranchCode].[All]" allUniqueName="[DimBranch].[SubBranchCode].[All]" dimensionUniqueName="[DimBranch]" displayFolder="" count="0" memberValueDatatype="130" unbalanced="0"/>
    <cacheHierarchy uniqueName="[DimBranch].[SubBranchName]" caption="SubBranchName" attribute="1" defaultMemberUniqueName="[DimBranch].[SubBranchName].[All]" allUniqueName="[DimBranch].[SubBranchName].[All]" dimensionUniqueName="[DimBranch]" displayFolder="" count="0" memberValueDatatype="130" unbalanced="0"/>
    <cacheHierarchy uniqueName="[DimBranch].[BranchGroup]" caption="BranchGroup" attribute="1" defaultMemberUniqueName="[DimBranch].[BranchGroup].[All]" allUniqueName="[DimBranch].[BranchGroup].[All]" dimensionUniqueName="[DimBranch]" displayFolder="" count="0" memberValueDatatype="130" unbalanced="0"/>
    <cacheHierarchy uniqueName="[DimBranch].[Segment]" caption="Segment" attribute="1" defaultMemberUniqueName="[DimBranch].[Segment].[All]" allUniqueName="[DimBranch].[Segment].[All]" dimensionUniqueName="[DimBranch]" displayFolder="" count="0" memberValueDatatype="130" unbalanced="0"/>
    <cacheHierarchy uniqueName="[DimBranch].[BranchKey]" caption="BranchKey" attribute="1" defaultMemberUniqueName="[DimBranch].[BranchKey].[All]" allUniqueName="[DimBranch].[BranchKey].[All]" dimensionUniqueName="[DimBranch]" displayFolder="" count="0" memberValueDatatype="130" unbalanced="0"/>
    <cacheHierarchy uniqueName="[DimChannel].[SalesChannelCode]" caption="SalesChannelCode" attribute="1" defaultMemberUniqueName="[DimChannel].[SalesChannelCode].[All]" allUniqueName="[DimChannel].[SalesChannelCode].[All]" dimensionUniqueName="[DimChannel]" displayFolder="" count="0" memberValueDatatype="130" unbalanced="0"/>
    <cacheHierarchy uniqueName="[DimChannel].[ChannelTR]" caption="ChannelTR" attribute="1" defaultMemberUniqueName="[DimChannel].[ChannelTR].[All]" allUniqueName="[DimChannel].[ChannelTR].[All]" dimensionUniqueName="[DimChannel]" displayFolder="" count="0" memberValueDatatype="130" unbalanced="0"/>
    <cacheHierarchy uniqueName="[DimChannel].[ChannelEN]" caption="ChannelEN" attribute="1" defaultMemberUniqueName="[DimChannel].[ChannelEN].[All]" allUniqueName="[DimChannel].[ChannelEN].[All]" dimensionUniqueName="[DimChannel]" displayFolder="" count="0" memberValueDatatype="130" unbalanced="0"/>
    <cacheHierarchy uniqueName="[DimChannel].[ChannelGroup]" caption="ChannelGroup" attribute="1" defaultMemberUniqueName="[DimChannel].[ChannelGroup].[All]" allUniqueName="[DimChannel].[ChannelGroup].[All]" dimensionUniqueName="[DimChannel]" displayFolder="" count="0" memberValueDatatype="130" unbalanced="0"/>
    <cacheHierarchy uniqueName="[DimCompany].[CompanyID]" caption="CompanyID" attribute="1" defaultMemberUniqueName="[DimCompany].[CompanyID].[All]" allUniqueName="[DimCompany].[CompanyID].[All]" dimensionUniqueName="[DimCompany]" displayFolder="" count="0" memberValueDatatype="130" unbalanced="0"/>
    <cacheHierarchy uniqueName="[DimCompany].[CompanyName]" caption="CompanyName" attribute="1" defaultMemberUniqueName="[DimCompany].[CompanyName].[All]" allUniqueName="[DimCompany].[CompanyName].[All]" dimensionUniqueName="[DimCompany]" displayFolder="" count="0" memberValueDatatype="130" unbalanced="0"/>
    <cacheHierarchy uniqueName="[DimCompany].[CompanyType]" caption="CompanyType" attribute="1" defaultMemberUniqueName="[DimCompany].[CompanyType].[All]" allUniqueName="[DimCompany].[CompanyType].[All]" dimensionUniqueName="[DimCompany]" displayFolder="" count="0" memberValueDatatype="130" unbalanced="0"/>
    <cacheHierarchy uniqueName="[DimCompany].[CompanyLabel]" caption="CompanyLabel" attribute="1" defaultMemberUniqueName="[DimCompany].[CompanyLabel].[All]" allUniqueName="[DimCompany].[CompanyLabel].[All]" dimensionUniqueName="[DimCompany]" displayFolder="" count="0" memberValueDatatype="130" unbalanced="0"/>
    <cacheHierarchy uniqueName="[DimCurrency].[CurrencyCode]" caption="CurrencyCode" attribute="1" defaultMemberUniqueName="[DimCurrency].[CurrencyCode].[All]" allUniqueName="[DimCurrency].[CurrencyCode].[All]" dimensionUniqueName="[DimCurrency]" displayFolder="" count="0" memberValueDatatype="130" unbalanced="0"/>
    <cacheHierarchy uniqueName="[DimCurrency].[CurrencyTR]" caption="CurrencyTR" attribute="1" defaultMemberUniqueName="[DimCurrency].[CurrencyTR].[All]" allUniqueName="[DimCurrency].[CurrencyTR].[All]" dimensionUniqueName="[DimCurrency]" displayFolder="" count="0" memberValueDatatype="130" unbalanced="0"/>
    <cacheHierarchy uniqueName="[DimCurrency].[CurrencyEN]" caption="CurrencyEN" attribute="1" defaultMemberUniqueName="[DimCurrency].[CurrencyEN].[All]" allUniqueName="[DimCurrency].[CurrencyEN].[All]" dimensionUniqueName="[DimCurrency]" displayFolder="" count="0" memberValueDatatype="130" unbalanced="0"/>
    <cacheHierarchy uniqueName="[DimCurrency].[SortOrder]" caption="SortOrder" attribute="1" defaultMemberUniqueName="[DimCurrency].[SortOrder].[All]" allUniqueName="[DimCurrency].[SortOrder].[All]" dimensionUniqueName="[DimCurrency]" displayFolder="" count="0" memberValueDatatype="20" unbalanced="0"/>
    <cacheHierarchy uniqueName="[DimCurrency].[IsReporting]" caption="IsReporting" attribute="1" defaultMemberUniqueName="[DimCurrency].[IsReporting].[All]" allUniqueName="[DimCurrency].[IsReporting].[All]" dimensionUniqueName="[DimCurrency]" displayFolder="" count="0" memberValueDatatype="130" unbalanced="0"/>
    <cacheHierarchy uniqueName="[DimDate].[Date]" caption="Date" attribute="1" time="1" defaultMemberUniqueName="[DimDate].[Date].[All]" allUniqueName="[DimDate].[Date].[All]" dimensionUniqueName="[DimDate]" displayFolder="" count="2" memberValueDatatype="7" unbalanced="0"/>
    <cacheHierarchy uniqueName="[DimDate].[Year]" caption="Year" attribute="1" defaultMemberUniqueName="[DimDate].[Year].[All]" allUniqueName="[DimDate].[Year].[All]" dimensionUniqueName="[DimDate]" displayFolder="" count="0" memberValueDatatype="20" unbalanced="0"/>
    <cacheHierarchy uniqueName="[DimDate].[MonthNo]" caption="MonthNo" attribute="1" defaultMemberUniqueName="[DimDate].[MonthNo].[All]" allUniqueName="[DimDate].[MonthNo].[All]" dimensionUniqueName="[DimDate]" displayFolder="" count="0" memberValueDatatype="20" unbalanced="0"/>
    <cacheHierarchy uniqueName="[DimDate].[PeriodKey]" caption="PeriodKey" attribute="1" defaultMemberUniqueName="[DimDate].[PeriodKey].[All]" allUniqueName="[DimDate].[PeriodKey].[All]" dimensionUniqueName="[DimDate]" displayFolder="" count="0" memberValueDatatype="20" unbalanced="0"/>
    <cacheHierarchy uniqueName="[DimDate].[YearMonth]" caption="YearMonth" attribute="1" defaultMemberUniqueName="[DimDate].[YearMonth].[All]" allUniqueName="[DimDate].[YearMonth].[All]" dimensionUniqueName="[DimDate]" displayFolder="" count="0" memberValueDatatype="130" unbalanced="0"/>
    <cacheHierarchy uniqueName="[DimDate].[Quarter]" caption="Quarter" attribute="1" defaultMemberUniqueName="[DimDate].[Quarter].[All]" allUniqueName="[DimDate].[Quarter].[All]" dimensionUniqueName="[DimDate]" displayFolder="" count="0" memberValueDatatype="130" unbalanced="0"/>
    <cacheHierarchy uniqueName="[DimDate].[YearQuarter]" caption="YearQuarter" attribute="1" defaultMemberUniqueName="[DimDate].[YearQuarter].[All]" allUniqueName="[DimDate].[YearQuarter].[All]" dimensionUniqueName="[DimDate]" displayFolder="" count="0" memberValueDatatype="130" unbalanced="0"/>
    <cacheHierarchy uniqueName="[DimDate].[MonthStart]" caption="MonthStart" attribute="1" time="1" defaultMemberUniqueName="[DimDate].[MonthStart].[All]" allUniqueName="[DimDate].[MonthStart].[All]" dimensionUniqueName="[DimDate]" displayFolder="" count="0" memberValueDatatype="7" unbalanced="0"/>
    <cacheHierarchy uniqueName="[DimDate].[MonthEnd]" caption="MonthEnd" attribute="1" time="1" defaultMemberUniqueName="[DimDate].[MonthEnd].[All]" allUniqueName="[DimDate].[MonthEnd].[All]" dimensionUniqueName="[DimDate]" displayFolder="" count="0" memberValueDatatype="7" unbalanced="0"/>
    <cacheHierarchy uniqueName="[DimDate].[MonthsFromActive]" caption="MonthsFromActive" attribute="1" defaultMemberUniqueName="[DimDate].[MonthsFromActive].[All]" allUniqueName="[DimDate].[MonthsFromActive].[All]" dimensionUniqueName="[DimDate]" displayFolder="" count="0" memberValueDatatype="20" unbalanced="0"/>
    <cacheHierarchy uniqueName="[DimDate].[PeriodStatus]" caption="PeriodStatus" attribute="1" defaultMemberUniqueName="[DimDate].[PeriodStatus].[All]" allUniqueName="[DimDate].[PeriodStatus].[All]" dimensionUniqueName="[DimDate]" displayFolder="" count="0" memberValueDatatype="130" unbalanced="0"/>
    <cacheHierarchy uniqueName="[DimFXRate].[FXKey]" caption="FXKey" attribute="1" defaultMemberUniqueName="[DimFXRate].[FXKey].[All]" allUniqueName="[DimFXRate].[FXKey].[All]" dimensionUniqueName="[DimFXRate]" displayFolder="" count="0" memberValueDatatype="130" unbalanced="0"/>
    <cacheHierarchy uniqueName="[DimFXRate].[CurrencyCode]" caption="CurrencyCode" attribute="1" defaultMemberUniqueName="[DimFXRate].[CurrencyCode].[All]" allUniqueName="[DimFXRate].[CurrencyCode].[All]" dimensionUniqueName="[DimFXRate]" displayFolder="" count="0" memberValueDatatype="130" unbalanced="0"/>
    <cacheHierarchy uniqueName="[DimFXRate].[RateDate]" caption="RateDate" attribute="1" time="1" defaultMemberUniqueName="[DimFXRate].[RateDate].[All]" allUniqueName="[DimFXRate].[RateDate].[All]" dimensionUniqueName="[DimFXRate]" displayFolder="" count="0" memberValueDatatype="7" unbalanced="0"/>
    <cacheHierarchy uniqueName="[DimFXRate].[RateToTRY]" caption="RateToTRY" attribute="1" defaultMemberUniqueName="[DimFXRate].[RateToTRY].[All]" allUniqueName="[DimFXRate].[RateToTRY].[All]" dimensionUniqueName="[DimFXRate]" displayFolder="" count="0" memberValueDatatype="5" unbalanced="0"/>
    <cacheHierarchy uniqueName="[DimFXRate].[PublishedRateDate]" caption="PublishedRateDate" attribute="1" time="1" defaultMemberUniqueName="[DimFXRate].[PublishedRateDate].[All]" allUniqueName="[DimFXRate].[PublishedRateDate].[All]" dimensionUniqueName="[DimFXRate]" displayFolder="" count="0" memberValueDatatype="7" unbalanced="0"/>
    <cacheHierarchy uniqueName="[DimFXRate].[DaysCarriedForward]" caption="DaysCarriedForward" attribute="1" defaultMemberUniqueName="[DimFXRate].[DaysCarriedForward].[All]" allUniqueName="[DimFXRate].[DaysCarriedForward].[All]" dimensionUniqueName="[DimFXRate]" displayFolder="" count="0" memberValueDatatype="20" unbalanced="0"/>
    <cacheHierarchy uniqueName="[DimGeography].[Province]" caption="Province" attribute="1" defaultMemberUniqueName="[DimGeography].[Province].[All]" allUniqueName="[DimGeography].[Province].[All]" dimensionUniqueName="[DimGeography]" displayFolder="" count="0" memberValueDatatype="130" unbalanced="0"/>
    <cacheHierarchy uniqueName="[DimGeography].[PlateCode]" caption="PlateCode" attribute="1" defaultMemberUniqueName="[DimGeography].[PlateCode].[All]" allUniqueName="[DimGeography].[PlateCode].[All]" dimensionUniqueName="[DimGeography]" displayFolder="" count="0" memberValueDatatype="20" unbalanced="0"/>
    <cacheHierarchy uniqueName="[DimGeography].[Region]" caption="Region" attribute="1" defaultMemberUniqueName="[DimGeography].[Region].[All]" allUniqueName="[DimGeography].[Region].[All]" dimensionUniqueName="[DimGeography]" displayFolder="" count="0" memberValueDatatype="130" unbalanced="0"/>
    <cacheHierarchy uniqueName="[DimPartner].[PartnerCode]" caption="PartnerCode" attribute="1" defaultMemberUniqueName="[DimPartner].[PartnerCode].[All]" allUniqueName="[DimPartner].[PartnerCode].[All]" dimensionUniqueName="[DimPartner]" displayFolder="" count="0" memberValueDatatype="130" unbalanced="0"/>
    <cacheHierarchy uniqueName="[DimPartner].[PartnerName]" caption="PartnerName" attribute="1" defaultMemberUniqueName="[DimPartner].[PartnerName].[All]" allUniqueName="[DimPartner].[PartnerName].[All]" dimensionUniqueName="[DimPartner]" displayFolder="" count="0" memberValueDatatype="130" unbalanced="0"/>
    <cacheHierarchy uniqueName="[DimPartner].[PartnerType]" caption="PartnerType" attribute="1" defaultMemberUniqueName="[DimPartner].[PartnerType].[All]" allUniqueName="[DimPartner].[PartnerType].[All]" dimensionUniqueName="[DimPartner]" displayFolder="" count="0" memberValueDatatype="130" unbalanced="0"/>
    <cacheHierarchy uniqueName="[DimPaymentNature].[ReasonCode]" caption="ReasonCode" attribute="1" defaultMemberUniqueName="[DimPaymentNature].[ReasonCode].[All]" allUniqueName="[DimPaymentNature].[ReasonCode].[All]" dimensionUniqueName="[DimPaymentNature]" displayFolder="" count="0" memberValueDatatype="130" unbalanced="0"/>
    <cacheHierarchy uniqueName="[DimPaymentNature].[PaymentNature]" caption="PaymentNature" attribute="1" defaultMemberUniqueName="[DimPaymentNature].[PaymentNature].[All]" allUniqueName="[DimPaymentNature].[PaymentNature].[All]" dimensionUniqueName="[DimPaymentNature]" displayFolder="" count="0" memberValueDatatype="130" unbalanced="0"/>
    <cacheHierarchy uniqueName="[DimPaymentNature].[NatureTR]" caption="NatureTR" attribute="1" defaultMemberUniqueName="[DimPaymentNature].[NatureTR].[All]" allUniqueName="[DimPaymentNature].[NatureTR].[All]" dimensionUniqueName="[DimPaymentNature]" displayFolder="" count="0" memberValueDatatype="130" unbalanced="0"/>
    <cacheHierarchy uniqueName="[DimPaymentNature].[NatureEN]" caption="NatureEN" attribute="1" defaultMemberUniqueName="[DimPaymentNature].[NatureEN].[All]" allUniqueName="[DimPaymentNature].[NatureEN].[All]" dimensionUniqueName="[DimPaymentNature]" displayFolder="" count="0" memberValueDatatype="130" unbalanced="0"/>
    <cacheHierarchy uniqueName="[DimPaymentNature].[Segment]" caption="Segment" attribute="1" defaultMemberUniqueName="[DimPaymentNature].[Segment].[All]" allUniqueName="[DimPaymentNature].[Segment].[All]" dimensionUniqueName="[DimPaymentNature]" displayFolder="" count="0" memberValueDatatype="130" unbalanced="0"/>
    <cacheHierarchy uniqueName="[DimPaymentNature].[DescriptionTR]" caption="DescriptionTR" attribute="1" defaultMemberUniqueName="[DimPaymentNature].[DescriptionTR].[All]" allUniqueName="[DimPaymentNature].[DescriptionTR].[All]" dimensionUniqueName="[DimPaymentNature]" displayFolder="" count="0" memberValueDatatype="130" unbalanced="0"/>
    <cacheHierarchy uniqueName="[DimPaymentNature].[DescriptionEN]" caption="DescriptionEN" attribute="1" defaultMemberUniqueName="[DimPaymentNature].[DescriptionEN].[All]" allUniqueName="[DimPaymentNature].[DescriptionEN].[All]" dimensionUniqueName="[DimPaymentNature]" displayFolder="" count="0" memberValueDatatype="130" unbalanced="0"/>
    <cacheHierarchy uniqueName="[DimProduct].[ProductCode]" caption="ProductCode" attribute="1" defaultMemberUniqueName="[DimProduct].[ProductCode].[All]" allUniqueName="[DimProduct].[ProductCode].[All]" dimensionUniqueName="[DimProduct]" displayFolder="" count="0" memberValueDatatype="130" unbalanced="0"/>
    <cacheHierarchy uniqueName="[DimProduct].[ProductName]" caption="ProductName" attribute="1" defaultMemberUniqueName="[DimProduct].[ProductName].[All]" allUniqueName="[DimProduct].[ProductName].[All]" dimensionUniqueName="[DimProduct]" displayFolder="" count="0" memberValueDatatype="130" unbalanced="0"/>
    <cacheHierarchy uniqueName="[DimProduct].[ProductType]" caption="ProductType" attribute="1" defaultMemberUniqueName="[DimProduct].[ProductType].[All]" allUniqueName="[DimProduct].[ProductType].[All]" dimensionUniqueName="[DimProduct]" displayFolder="" count="0" memberValueDatatype="130" unbalanced="0"/>
    <cacheHierarchy uniqueName="[DimSegment].[Segment]" caption="Segment" attribute="1" defaultMemberUniqueName="[DimSegment].[Segment].[All]" allUniqueName="[DimSegment].[Segment].[All]" dimensionUniqueName="[DimSegment]" displayFolder="" count="0" memberValueDatatype="130" unbalanced="0"/>
    <cacheHierarchy uniqueName="[DimSegment].[SegmentTR]" caption="SegmentTR" attribute="1" defaultMemberUniqueName="[DimSegment].[SegmentTR].[All]" allUniqueName="[DimSegment].[SegmentTR].[All]" dimensionUniqueName="[DimSegment]" displayFolder="" count="0" memberValueDatatype="130" unbalanced="0"/>
    <cacheHierarchy uniqueName="[DimSegment].[SegmentEN]" caption="SegmentEN" attribute="1" defaultMemberUniqueName="[DimSegment].[SegmentEN].[All]" allUniqueName="[DimSegment].[SegmentEN].[All]" dimensionUniqueName="[DimSegment]" displayFolder="" count="0" memberValueDatatype="130" unbalanced="0"/>
    <cacheHierarchy uniqueName="[DimSegment].[SortOrder]" caption="SortOrder" attribute="1" defaultMemberUniqueName="[DimSegment].[SortOrder].[All]" allUniqueName="[DimSegment].[SortOrder].[All]" dimensionUniqueName="[DimSegment]" displayFolder="" count="0" memberValueDatatype="20" unbalanced="0"/>
    <cacheHierarchy uniqueName="[DimSegment].[ColourHex]" caption="ColourHex" attribute="1" defaultMemberUniqueName="[DimSegment].[ColourHex].[All]" allUniqueName="[DimSegment].[ColourHex].[All]" dimensionUniqueName="[DimSegment]" displayFolder="" count="0" memberValueDatatype="130" unbalanced="0"/>
    <cacheHierarchy uniqueName="[FactPayment].[CompanyID]" caption="CompanyID" attribute="1" defaultMemberUniqueName="[FactPayment].[CompanyID].[All]" allUniqueName="[FactPayment].[CompanyID].[All]" dimensionUniqueName="[FactPayment]" displayFolder="" count="0" memberValueDatatype="130" unbalanced="0"/>
    <cacheHierarchy uniqueName="[FactPayment].[PeriodKey]" caption="PeriodKey" attribute="1" defaultMemberUniqueName="[FactPayment].[PeriodKey].[All]" allUniqueName="[FactPayment].[PeriodKey].[All]" dimensionUniqueName="[FactPayment]" displayFolder="" count="0" memberValueDatatype="20" unbalanced="0"/>
    <cacheHierarchy uniqueName="[FactPayment].[PeriodDate]" caption="PeriodDate" attribute="1" time="1" defaultMemberUniqueName="[FactPayment].[PeriodDate].[All]" allUniqueName="[FactPayment].[PeriodDate].[All]" dimensionUniqueName="[FactPayment]" displayFolder="" count="0" memberValueDatatype="7" unbalanced="0"/>
    <cacheHierarchy uniqueName="[FactPayment].[DataSource]" caption="DataSource" attribute="1" defaultMemberUniqueName="[FactPayment].[DataSource].[All]" allUniqueName="[FactPayment].[DataSource].[All]" dimensionUniqueName="[FactPayment]" displayFolder="" count="0" memberValueDatatype="130" unbalanced="0"/>
    <cacheHierarchy uniqueName="[FactPayment].[SourceFile]" caption="SourceFile" attribute="1" defaultMemberUniqueName="[FactPayment].[SourceFile].[All]" allUniqueName="[FactPayment].[SourceFile].[All]" dimensionUniqueName="[FactPayment]" displayFolder="" count="0" memberValueDatatype="130" unbalanced="0"/>
    <cacheHierarchy uniqueName="[FactPayment].[SourceRowNo]" caption="SourceRowNo" attribute="1" defaultMemberUniqueName="[FactPayment].[SourceRowNo].[All]" allUniqueName="[FactPayment].[SourceRowNo].[All]" dimensionUniqueName="[FactPayment]" displayFolder="" count="0" memberValueDatatype="20" unbalanced="0"/>
    <cacheHierarchy uniqueName="[FactPayment].[PaymentDate]" caption="PaymentDate" attribute="1" time="1" defaultMemberUniqueName="[FactPayment].[PaymentDate].[All]" allUniqueName="[FactPayment].[PaymentDate].[All]" dimensionUniqueName="[FactPayment]" displayFolder="" count="0" memberValueDatatype="7" unbalanced="0"/>
    <cacheHierarchy uniqueName="[FactPayment].[DecisionDate]" caption="DecisionDate" attribute="1" time="1" defaultMemberUniqueName="[FactPayment].[DecisionDate].[All]" allUniqueName="[FactPayment].[DecisionDate].[All]" dimensionUniqueName="[FactPayment]" displayFolder="" count="0" memberValueDatatype="7" unbalanced="0"/>
    <cacheHierarchy uniqueName="[FactPayment].[LossDate]" caption="LossDate" attribute="1" time="1" defaultMemberUniqueName="[FactPayment].[LossDate].[All]" allUniqueName="[FactPayment].[LossDate].[All]" dimensionUniqueName="[FactPayment]" displayFolder="" count="0" memberValueDatatype="7" unbalanced="0"/>
    <cacheHierarchy uniqueName="[FactPayment].[NotificationDate]" caption="NotificationDate" attribute="1" time="1" defaultMemberUniqueName="[FactPayment].[NotificationDate].[All]" allUniqueName="[FactPayment].[NotificationDate].[All]" dimensionUniqueName="[FactPayment]" displayFolder="" count="0" memberValueDatatype="7" unbalanced="0"/>
    <cacheHierarchy uniqueName="[FactPayment].[ProductCode]" caption="ProductCode" attribute="1" defaultMemberUniqueName="[FactPayment].[ProductCode].[All]" allUniqueName="[FactPayment].[ProductCode].[All]" dimensionUniqueName="[FactPayment]" displayFolder="" count="0" memberValueDatatype="130" unbalanced="0"/>
    <cacheHierarchy uniqueName="[FactPayment].[SubBranchName]" caption="SubBranchName" attribute="1" defaultMemberUniqueName="[FactPayment].[SubBranchName].[All]" allUniqueName="[FactPayment].[SubBranchName].[All]" dimensionUniqueName="[FactPayment]" displayFolder="" count="0" memberValueDatatype="130" unbalanced="0"/>
    <cacheHierarchy uniqueName="[FactPayment].[SubBranchCode]" caption="SubBranchCode" attribute="1" defaultMemberUniqueName="[FactPayment].[SubBranchCode].[All]" allUniqueName="[FactPayment].[SubBranchCode].[All]" dimensionUniqueName="[FactPayment]" displayFolder="" count="0" memberValueDatatype="130" unbalanced="0"/>
    <cacheHierarchy uniqueName="[FactPayment].[LossCause]" caption="LossCause" attribute="1" defaultMemberUniqueName="[FactPayment].[LossCause].[All]" allUniqueName="[FactPayment].[LossCause].[All]" dimensionUniqueName="[FactPayment]" displayFolder="" count="0" memberValueDatatype="130" unbalanced="0"/>
    <cacheHierarchy uniqueName="[FactPayment].[GrossAmount]" caption="GrossAmount" attribute="1" defaultMemberUniqueName="[FactPayment].[GrossAmount].[All]" allUniqueName="[FactPayment].[GrossAmount].[All]" dimensionUniqueName="[FactPayment]" displayFolder="" count="0" memberValueDatatype="5" unbalanced="0"/>
    <cacheHierarchy uniqueName="[FactPayment].[CurrencyCode]" caption="CurrencyCode" attribute="1" defaultMemberUniqueName="[FactPayment].[CurrencyCode].[All]" allUniqueName="[FactPayment].[CurrencyCode].[All]" dimensionUniqueName="[FactPayment]" displayFolder="" count="0" memberValueDatatype="130" unbalanced="0"/>
    <cacheHierarchy uniqueName="[FactPayment].[DocsCompleteDate]" caption="DocsCompleteDate" attribute="1" time="1" defaultMemberUniqueName="[FactPayment].[DocsCompleteDate].[All]" allUniqueName="[FactPayment].[DocsCompleteDate].[All]" dimensionUniqueName="[FactPayment]" displayFolder="" count="0" memberValueDatatype="7" unbalanced="0"/>
    <cacheHierarchy uniqueName="[FactPayment].[InitialReserve]" caption="InitialReserve" attribute="1" defaultMemberUniqueName="[FactPayment].[InitialReserve].[All]" allUniqueName="[FactPayment].[InitialReserve].[All]" dimensionUniqueName="[FactPayment]" displayFolder="" count="0" memberValueDatatype="5" unbalanced="0"/>
    <cacheHierarchy uniqueName="[FactPayment].[CoverAmount]" caption="CoverAmount" attribute="1" defaultMemberUniqueName="[FactPayment].[CoverAmount].[All]" allUniqueName="[FactPayment].[CoverAmount].[All]" dimensionUniqueName="[FactPayment]" displayFolder="" count="0" memberValueDatatype="5" unbalanced="0"/>
    <cacheHierarchy uniqueName="[FactPayment].[ApprovalDate]" caption="ApprovalDate" attribute="1" time="1" defaultMemberUniqueName="[FactPayment].[ApprovalDate].[All]" allUniqueName="[FactPayment].[ApprovalDate].[All]" dimensionUniqueName="[FactPayment]" displayFolder="" count="0" memberValueDatatype="7" unbalanced="0"/>
    <cacheHierarchy uniqueName="[FactPayment].[NetAmount]" caption="NetAmount" attribute="1" defaultMemberUniqueName="[FactPayment].[NetAmount].[All]" allUniqueName="[FactPayment].[NetAmount].[All]" dimensionUniqueName="[FactPayment]" displayFolder="" count="0" memberValueDatatype="5" unbalanced="0"/>
    <cacheHierarchy uniqueName="[FactPayment].[ProductName]" caption="ProductName" attribute="1" defaultMemberUniqueName="[FactPayment].[ProductName].[All]" allUniqueName="[FactPayment].[ProductName].[All]" dimensionUniqueName="[FactPayment]" displayFolder="" count="0" memberValueDatatype="130" unbalanced="0"/>
    <cacheHierarchy uniqueName="[FactPayment].[CaseStatus]" caption="CaseStatus" attribute="1" defaultMemberUniqueName="[FactPayment].[CaseStatus].[All]" allUniqueName="[FactPayment].[CaseStatus].[All]" dimensionUniqueName="[FactPayment]" displayFolder="" count="0" memberValueDatatype="130" unbalanced="0"/>
    <cacheHierarchy uniqueName="[FactPayment].[CoverCode]" caption="CoverCode" attribute="1" defaultMemberUniqueName="[FactPayment].[CoverCode].[All]" allUniqueName="[FactPayment].[CoverCode].[All]" dimensionUniqueName="[FactPayment]" displayFolder="" count="0" memberValueDatatype="130" unbalanced="0"/>
    <cacheHierarchy uniqueName="[FactPayment].[InstallmentSeq]" caption="InstallmentSeq" attribute="1" defaultMemberUniqueName="[FactPayment].[InstallmentSeq].[All]" allUniqueName="[FactPayment].[InstallmentSeq].[All]" dimensionUniqueName="[FactPayment]" displayFolder="" count="0" memberValueDatatype="20" unbalanced="0"/>
    <cacheHierarchy uniqueName="[FactPayment].[BranchCode]" caption="BranchCode" attribute="1" defaultMemberUniqueName="[FactPayment].[BranchCode].[All]" allUniqueName="[FactPayment].[BranchCode].[All]" dimensionUniqueName="[FactPayment]" displayFolder="" count="0" memberValueDatatype="130" unbalanced="0"/>
    <cacheHierarchy uniqueName="[FactPayment].[NotificationChannel]" caption="NotificationChannel" attribute="1" defaultMemberUniqueName="[FactPayment].[NotificationChannel].[All]" allUniqueName="[FactPayment].[NotificationChannel].[All]" dimensionUniqueName="[FactPayment]" displayFolder="" count="0" memberValueDatatype="130" unbalanced="0"/>
    <cacheHierarchy uniqueName="[FactPayment].[PartnerCode]" caption="PartnerCode" attribute="1" defaultMemberUniqueName="[FactPayment].[PartnerCode].[All]" allUniqueName="[FactPayment].[PartnerCode].[All]" dimensionUniqueName="[FactPayment]" displayFolder="" count="0" memberValueDatatype="130" unbalanced="0"/>
    <cacheHierarchy uniqueName="[FactPayment].[RepaymentAmount]" caption="RepaymentAmount" attribute="1" defaultMemberUniqueName="[FactPayment].[RepaymentAmount].[All]" allUniqueName="[FactPayment].[RepaymentAmount].[All]" dimensionUniqueName="[FactPayment]" displayFolder="" count="0" memberValueDatatype="5" unbalanced="0"/>
    <cacheHierarchy uniqueName="[FactPayment].[LineOfBusinessCode]" caption="LineOfBusinessCode" attribute="1" defaultMemberUniqueName="[FactPayment].[LineOfBusinessCode].[All]" allUniqueName="[FactPayment].[LineOfBusinessCode].[All]" dimensionUniqueName="[FactPayment]" displayFolder="" count="0" memberValueDatatype="130" unbalanced="0"/>
    <cacheHierarchy uniqueName="[FactPayment].[PlannedPaymentDate]" caption="PlannedPaymentDate" attribute="1" time="1" defaultMemberUniqueName="[FactPayment].[PlannedPaymentDate].[All]" allUniqueName="[FactPayment].[PlannedPaymentDate].[All]" dimensionUniqueName="[FactPayment]" displayFolder="" count="0" memberValueDatatype="7" unbalanced="0"/>
    <cacheHierarchy uniqueName="[FactPayment].[TotalSumInsured]" caption="TotalSumInsured" attribute="1" defaultMemberUniqueName="[FactPayment].[TotalSumInsured].[All]" allUniqueName="[FactPayment].[TotalSumInsured].[All]" dimensionUniqueName="[FactPayment]" displayFolder="" count="0" memberValueDatatype="5" unbalanced="0"/>
    <cacheHierarchy uniqueName="[FactPayment].[ParentBranchName]" caption="ParentBranchName" attribute="1" defaultMemberUniqueName="[FactPayment].[ParentBranchName].[All]" allUniqueName="[FactPayment].[ParentBranchName].[All]" dimensionUniqueName="[FactPayment]" displayFolder="" count="0" memberValueDatatype="130" unbalanced="0"/>
    <cacheHierarchy uniqueName="[FactPayment].[SalesChannelCode]" caption="SalesChannelCode" attribute="1" defaultMemberUniqueName="[FactPayment].[SalesChannelCode].[All]" allUniqueName="[FactPayment].[SalesChannelCode].[All]" dimensionUniqueName="[FactPayment]" displayFolder="" count="0" memberValueDatatype="130" unbalanced="0"/>
    <cacheHierarchy uniqueName="[FactPayment].[DueDate]" caption="DueDate" attribute="1" time="1" defaultMemberUniqueName="[FactPayment].[DueDate].[All]" allUniqueName="[FactPayment].[DueDate].[All]" dimensionUniqueName="[FactPayment]" displayFolder="" count="0" memberValueDatatype="7" unbalanced="0"/>
    <cacheHierarchy uniqueName="[FactPayment].[PolicyNo]" caption="PolicyNo" attribute="1" defaultMemberUniqueName="[FactPayment].[PolicyNo].[All]" allUniqueName="[FactPayment].[PolicyNo].[All]" dimensionUniqueName="[FactPayment]" displayFolder="" count="0" memberValueDatatype="130" unbalanced="0"/>
    <cacheHierarchy uniqueName="[FactPayment].[Rate]" caption="Rate" attribute="1" defaultMemberUniqueName="[FactPayment].[Rate].[All]" allUniqueName="[FactPayment].[Rate].[All]" dimensionUniqueName="[FactPayment]" displayFolder="" count="0" memberValueDatatype="5" unbalanced="0"/>
    <cacheHierarchy uniqueName="[FactPayment].[LossProvince]" caption="LossProvince" attribute="1" defaultMemberUniqueName="[FactPayment].[LossProvince].[All]" allUniqueName="[FactPayment].[LossProvince].[All]" dimensionUniqueName="[FactPayment]" displayFolder="" count="0" memberValueDatatype="130" unbalanced="0"/>
    <cacheHierarchy uniqueName="[FactPayment].[PolicyEndDate]" caption="PolicyEndDate" attribute="1" time="1" defaultMemberUniqueName="[FactPayment].[PolicyEndDate].[All]" allUniqueName="[FactPayment].[PolicyEndDate].[All]" dimensionUniqueName="[FactPayment]" displayFolder="" count="0" memberValueDatatype="7" unbalanced="0"/>
    <cacheHierarchy uniqueName="[FactPayment].[ProductType]" caption="ProductType" attribute="1" defaultMemberUniqueName="[FactPayment].[ProductType].[All]" allUniqueName="[FactPayment].[ProductType].[All]" dimensionUniqueName="[FactPayment]" displayFolder="" count="0" memberValueDatatype="130" unbalanced="0"/>
    <cacheHierarchy uniqueName="[FactPayment].[InsuredAgeBand]" caption="InsuredAgeBand" attribute="1" defaultMemberUniqueName="[FactPayment].[InsuredAgeBand].[All]" allUniqueName="[FactPayment].[InsuredAgeBand].[All]" dimensionUniqueName="[FactPayment]" displayFolder="" count="0" memberValueDatatype="130" unbalanced="0"/>
    <cacheHierarchy uniqueName="[FactPayment].[ClaimType]" caption="ClaimType" attribute="1" defaultMemberUniqueName="[FactPayment].[ClaimType].[All]" allUniqueName="[FactPayment].[ClaimType].[All]" dimensionUniqueName="[FactPayment]" displayFolder="" count="0" memberValueDatatype="130" unbalanced="0"/>
    <cacheHierarchy uniqueName="[FactPayment].[PaymentMethod]" caption="PaymentMethod" attribute="1" defaultMemberUniqueName="[FactPayment].[PaymentMethod].[All]" allUniqueName="[FactPayment].[PaymentMethod].[All]" dimensionUniqueName="[FactPayment]" displayFolder="" count="0" memberValueDatatype="130" unbalanced="0"/>
    <cacheHierarchy uniqueName="[FactPayment].[PolicyStartDate]" caption="PolicyStartDate" attribute="1" time="1" defaultMemberUniqueName="[FactPayment].[PolicyStartDate].[All]" allUniqueName="[FactPayment].[PolicyStartDate].[All]" dimensionUniqueName="[FactPayment]" displayFolder="" count="0" memberValueDatatype="7" unbalanced="0"/>
    <cacheHierarchy uniqueName="[FactPayment].[LineOfBusinessName]" caption="LineOfBusinessName" attribute="1" defaultMemberUniqueName="[FactPayment].[LineOfBusinessName].[All]" allUniqueName="[FactPayment].[LineOfBusinessName].[All]" dimensionUniqueName="[FactPayment]" displayFolder="" count="0" memberValueDatatype="130" unbalanced="0"/>
    <cacheHierarchy uniqueName="[FactPayment].[DeductibleAmount]" caption="DeductibleAmount" attribute="1" defaultMemberUniqueName="[FactPayment].[DeductibleAmount].[All]" allUniqueName="[FactPayment].[DeductibleAmount].[All]" dimensionUniqueName="[FactPayment]" displayFolder="" count="0" memberValueDatatype="5" unbalanced="0"/>
    <cacheHierarchy uniqueName="[FactPayment].[RiskStartDate]" caption="RiskStartDate" attribute="1" time="1" defaultMemberUniqueName="[FactPayment].[RiskStartDate].[All]" allUniqueName="[FactPayment].[RiskStartDate].[All]" dimensionUniqueName="[FactPayment]" displayFolder="" count="0" memberValueDatatype="7" unbalanced="0"/>
    <cacheHierarchy uniqueName="[FactPayment].[RiskEndDate]" caption="RiskEndDate" attribute="1" time="1" defaultMemberUniqueName="[FactPayment].[RiskEndDate].[All]" allUniqueName="[FactPayment].[RiskEndDate].[All]" dimensionUniqueName="[FactPayment]" displayFolder="" count="0" memberValueDatatype="7" unbalanced="0"/>
    <cacheHierarchy uniqueName="[FactPayment].[CoinsurerCode]" caption="CoinsurerCode" attribute="1" defaultMemberUniqueName="[FactPayment].[CoinsurerCode].[All]" allUniqueName="[FactPayment].[CoinsurerCode].[All]" dimensionUniqueName="[FactPayment]" displayFolder="" count="0" memberValueDatatype="130" unbalanced="0"/>
    <cacheHierarchy uniqueName="[FactPayment].[TariffCode]" caption="TariffCode" attribute="1" defaultMemberUniqueName="[FactPayment].[TariffCode].[All]" allUniqueName="[FactPayment].[TariffCode].[All]" dimensionUniqueName="[FactPayment]" displayFolder="" count="0" memberValueDatatype="130" unbalanced="0"/>
    <cacheHierarchy uniqueName="[FactPayment].[ParentBranchCode]" caption="ParentBranchCode" attribute="1" defaultMemberUniqueName="[FactPayment].[ParentBranchCode].[All]" allUniqueName="[FactPayment].[ParentBranchCode].[All]" dimensionUniqueName="[FactPayment]" displayFolder="" count="0" memberValueDatatype="130" unbalanced="0"/>
    <cacheHierarchy uniqueName="[FactPayment].[ProductSubCategory]" caption="ProductSubCategory" attribute="1" defaultMemberUniqueName="[FactPayment].[ProductSubCategory].[All]" allUniqueName="[FactPayment].[ProductSubCategory].[All]" dimensionUniqueName="[FactPayment]" displayFolder="" count="0" memberValueDatatype="130" unbalanced="0"/>
    <cacheHierarchy uniqueName="[FactPayment].[CaseKey]" caption="CaseKey" attribute="1" defaultMemberUniqueName="[FactPayment].[CaseKey].[All]" allUniqueName="[FactPayment].[CaseKey].[All]" dimensionUniqueName="[FactPayment]" displayFolder="" count="0" memberValueDatatype="130" unbalanced="0"/>
    <cacheHierarchy uniqueName="[FactPayment].[FXKey]" caption="FXKey" attribute="1" defaultMemberUniqueName="[FactPayment].[FXKey].[All]" allUniqueName="[FactPayment].[FXKey].[All]" dimensionUniqueName="[FactPayment]" displayFolder="" count="0" memberValueDatatype="130" unbalanced="0"/>
    <cacheHierarchy uniqueName="[FactPayment].[RateToTRY]" caption="RateToTRY" attribute="1" defaultMemberUniqueName="[FactPayment].[RateToTRY].[All]" allUniqueName="[FactPayment].[RateToTRY].[All]" dimensionUniqueName="[FactPayment]" displayFolder="" count="0" memberValueDatatype="5" unbalanced="0"/>
    <cacheHierarchy uniqueName="[FactPayment].[GrossAmountTRY]" caption="GrossAmountTRY" attribute="1" defaultMemberUniqueName="[FactPayment].[GrossAmountTRY].[All]" allUniqueName="[FactPayment].[GrossAmountTRY].[All]" dimensionUniqueName="[FactPayment]" displayFolder="" count="0" memberValueDatatype="5" unbalanced="0"/>
    <cacheHierarchy uniqueName="[FactPayment].[NetAmountTRY]" caption="NetAmountTRY" attribute="1" defaultMemberUniqueName="[FactPayment].[NetAmountTRY].[All]" allUniqueName="[FactPayment].[NetAmountTRY].[All]" dimensionUniqueName="[FactPayment]" displayFolder="" count="0" memberValueDatatype="5" unbalanced="0"/>
    <cacheHierarchy uniqueName="[FactPayment].[FXRateMissing]" caption="FXRateMissing" attribute="1" defaultMemberUniqueName="[FactPayment].[FXRateMissing].[All]" allUniqueName="[FactPayment].[FXRateMissing].[All]" dimensionUniqueName="[FactPayment]" displayFolder="" count="0" memberValueDatatype="20" unbalanced="0"/>
    <cacheHierarchy uniqueName="[FactPayment].[DuplicateKeyCount]" caption="DuplicateKeyCount" attribute="1" defaultMemberUniqueName="[FactPayment].[DuplicateKeyCount].[All]" allUniqueName="[FactPayment].[DuplicateKeyCount].[All]" dimensionUniqueName="[FactPayment]" displayFolder="" count="0" memberValueDatatype="20" unbalanced="0"/>
    <cacheHierarchy uniqueName="[FactPayment].[IsDuplicateKey]" caption="IsDuplicateKey" attribute="1" defaultMemberUniqueName="[FactPayment].[IsDuplicateKey].[All]" allUniqueName="[FactPayment].[IsDuplicateKey].[All]" dimensionUniqueName="[FactPayment]" displayFolder="" count="0" memberValueDatatype="20" unbalanced="0"/>
    <cacheHierarchy uniqueName="[FactPayment].[DuplicateScope]" caption="DuplicateScope" attribute="1" defaultMemberUniqueName="[FactPayment].[DuplicateScope].[All]" allUniqueName="[FactPayment].[DuplicateScope].[All]" dimensionUniqueName="[FactPayment]" displayFolder="" count="0" memberValueDatatype="130" unbalanced="0"/>
    <cacheHierarchy uniqueName="[FactPayment].[ChronoViolation]" caption="ChronoViolation" attribute="1" defaultMemberUniqueName="[FactPayment].[ChronoViolation].[All]" allUniqueName="[FactPayment].[ChronoViolation].[All]" dimensionUniqueName="[FactPayment]" displayFolder="" count="0" memberValueDatatype="20" unbalanced="0"/>
    <cacheHierarchy uniqueName="[FactPayment].[ChronoDetail]" caption="ChronoDetail" attribute="1" defaultMemberUniqueName="[FactPayment].[ChronoDetail].[All]" allUniqueName="[FactPayment].[ChronoDetail].[All]" dimensionUniqueName="[FactPayment]" displayFolder="" count="0" memberValueDatatype="130" unbalanced="0"/>
    <cacheHierarchy uniqueName="[FactPayment].[PaymentOutsidePeriod]" caption="PaymentOutsidePeriod" attribute="1" defaultMemberUniqueName="[FactPayment].[PaymentOutsidePeriod].[All]" allUniqueName="[FactPayment].[PaymentOutsidePeriod].[All]" dimensionUniqueName="[FactPayment]" displayFolder="" count="0" memberValueDatatype="20" unbalanced="0"/>
    <cacheHierarchy uniqueName="[FactPayment].[DaysNotificationToPayment]" caption="DaysNotificationToPayment" attribute="1" defaultMemberUniqueName="[FactPayment].[DaysNotificationToPayment].[All]" allUniqueName="[FactPayment].[DaysNotificationToPayment].[All]" dimensionUniqueName="[FactPayment]" displayFolder="" count="0" memberValueDatatype="20" unbalanced="0"/>
    <cacheHierarchy uniqueName="[FactPayment].[NotifToPayBucket]" caption="NotifToPayBucket" attribute="1" defaultMemberUniqueName="[FactPayment].[NotifToPayBucket].[All]" allUniqueName="[FactPayment].[NotifToPayBucket].[All]" dimensionUniqueName="[FactPayment]" displayFolder="" count="0" memberValueDatatype="130" unbalanced="0"/>
    <cacheHierarchy uniqueName="[FactPayment].[NotifToPayBucketOrder]" caption="NotifToPayBucketOrder" attribute="1" defaultMemberUniqueName="[FactPayment].[NotifToPayBucketOrder].[All]" allUniqueName="[FactPayment].[NotifToPayBucketOrder].[All]" dimensionUniqueName="[FactPayment]" displayFolder="" count="0" memberValueDatatype="20" unbalanced="0"/>
    <cacheHierarchy uniqueName="[FactPayment].[IsOutlier]" caption="IsOutlier" attribute="1" defaultMemberUniqueName="[FactPayment].[IsOutlier].[All]" allUniqueName="[FactPayment].[IsOutlier].[All]" dimensionUniqueName="[FactPayment]" displayFolder="" count="0" memberValueDatatype="20" unbalanced="0"/>
    <cacheHierarchy uniqueName="[FactPayment].[BranchKey]" caption="BranchKey" attribute="1" defaultMemberUniqueName="[FactPayment].[BranchKey].[All]" allUniqueName="[FactPayment].[BranchKey].[All]" dimensionUniqueName="[FactPayment]" displayFolder="" count="0" memberValueDatatype="130" unbalanced="0"/>
    <cacheHierarchy uniqueName="[FactPayment].[SegmentKey]" caption="SegmentKey" attribute="1" defaultMemberUniqueName="[FactPayment].[SegmentKey].[All]" allUniqueName="[FactPayment].[SegmentKey].[All]" dimensionUniqueName="[FactPayment]" displayFolder="" count="0" memberValueDatatype="130" unbalanced="0"/>
    <cacheHierarchy uniqueName="[FactPayment].[LossPeriodKey]" caption="LossPeriodKey" attribute="1" defaultMemberUniqueName="[FactPayment].[LossPeriodKey].[All]" allUniqueName="[FactPayment].[LossPeriodKey].[All]" dimensionUniqueName="[FactPayment]" displayFolder="" count="0" memberValueDatatype="20" unbalanced="0"/>
    <cacheHierarchy uniqueName="[FactPayment].[DevMonth]" caption="DevMonth" attribute="1" defaultMemberUniqueName="[FactPayment].[DevMonth].[All]" allUniqueName="[FactPayment].[DevMonth].[All]" dimensionUniqueName="[FactPayment]" displayFolder="" count="0" memberValueDatatype="20" unbalanced="0"/>
    <cacheHierarchy uniqueName="[FactPayment].[IsFirstPayment]" caption="IsFirstPayment" attribute="1" defaultMemberUniqueName="[FactPayment].[IsFirstPayment].[All]" allUniqueName="[FactPayment].[IsFirstPayment].[All]" dimensionUniqueName="[FactPayment]" displayFolder="" count="0" memberValueDatatype="20" unbalanced="0"/>
    <cacheHierarchy uniqueName="[FactPayment].[IsFirstPaymentObs]" caption="IsFirstPaymentObs" attribute="1" defaultMemberUniqueName="[FactPayment].[IsFirstPaymentObs].[All]" allUniqueName="[FactPayment].[IsFirstPaymentObs].[All]" dimensionUniqueName="[FactPayment]" displayFolder="" count="0" memberValueDatatype="20" unbalanced="0"/>
    <cacheHierarchy uniqueName="[FactPayment].[FirstDigit]" caption="FirstDigit" attribute="1" defaultMemberUniqueName="[FactPayment].[FirstDigit].[All]" allUniqueName="[FactPayment].[FirstDigit].[All]" dimensionUniqueName="[FactPayment]" displayFolder="" count="0" memberValueDatatype="20" unbalanced="0"/>
    <cacheHierarchy uniqueName="[FactPayment].[AmountZeros]" caption="AmountZeros" attribute="1" defaultMemberUniqueName="[FactPayment].[AmountZeros].[All]" allUniqueName="[FactPayment].[AmountZeros].[All]" dimensionUniqueName="[FactPayment]" displayFolder="" count="0" memberValueDatatype="20" unbalanced="0"/>
    <cacheHierarchy uniqueName="[FactPayment].[PayDayClass]" caption="PayDayClass" attribute="1" defaultMemberUniqueName="[FactPayment].[PayDayClass].[All]" allUniqueName="[FactPayment].[PayDayClass].[All]" dimensionUniqueName="[FactPayment]" displayFolder="" count="0" memberValueDatatype="130" unbalanced="0"/>
    <cacheHierarchy uniqueName="[tblObsFlag].[Flag]" caption="Flag" attribute="1" defaultMemberUniqueName="[tblObsFlag].[Flag].[All]" allUniqueName="[tblObsFlag].[Flag].[All]" dimensionUniqueName="[tblObsFlag]" displayFolder="" count="0" memberValueDatatype="20" unbalanced="0"/>
    <cacheHierarchy uniqueName="[tblObsFlag].[Meaning]" caption="Meaning" attribute="1" defaultMemberUniqueName="[tblObsFlag].[Meaning].[All]" allUniqueName="[tblObsFlag].[Meaning].[All]" dimensionUniqueName="[tblObsFlag]" displayFolder="" count="0" memberValueDatatype="130" unbalanced="0"/>
    <cacheHierarchy uniqueName="[tblThreshold].[ThresholdID]" caption="ThresholdID" attribute="1" defaultMemberUniqueName="[tblThreshold].[ThresholdID].[All]" allUniqueName="[tblThreshold].[ThresholdID].[All]" dimensionUniqueName="[tblThreshold]" displayFolder="" count="0" memberValueDatatype="130" unbalanced="0"/>
    <cacheHierarchy uniqueName="[tblThreshold].[KPI_ID]" caption="KPI_ID" attribute="1" defaultMemberUniqueName="[tblThreshold].[KPI_ID].[All]" allUniqueName="[tblThreshold].[KPI_ID].[All]" dimensionUniqueName="[tblThreshold]" displayFolder="" count="0" memberValueDatatype="130" unbalanced="0"/>
    <cacheHierarchy uniqueName="[tblThreshold].[Segment]" caption="Segment" attribute="1" defaultMemberUniqueName="[tblThreshold].[Segment].[All]" allUniqueName="[tblThreshold].[Segment].[All]" dimensionUniqueName="[tblThreshold]" displayFolder="" count="0" memberValueDatatype="130" unbalanced="0"/>
    <cacheHierarchy uniqueName="[tblThreshold].[Company]" caption="Company" attribute="1" defaultMemberUniqueName="[tblThreshold].[Company].[All]" allUniqueName="[tblThreshold].[Company].[All]" dimensionUniqueName="[tblThreshold]" displayFolder="" count="0" memberValueDatatype="130" unbalanced="0"/>
    <cacheHierarchy uniqueName="[tblThreshold].[Method]" caption="Method" attribute="1" defaultMemberUniqueName="[tblThreshold].[Method].[All]" allUniqueName="[tblThreshold].[Method].[All]" dimensionUniqueName="[tblThreshold]" displayFolder="" count="0" memberValueDatatype="130" unbalanced="0"/>
    <cacheHierarchy uniqueName="[tblThreshold].[Parameters]" caption="Parameters" attribute="1" defaultMemberUniqueName="[tblThreshold].[Parameters].[All]" allUniqueName="[tblThreshold].[Parameters].[All]" dimensionUniqueName="[tblThreshold]" displayFolder="" count="0" memberValueDatatype="130" unbalanced="0"/>
    <cacheHierarchy uniqueName="[tblThreshold].[WatchLevel]" caption="WatchLevel" attribute="1" defaultMemberUniqueName="[tblThreshold].[WatchLevel].[All]" allUniqueName="[tblThreshold].[WatchLevel].[All]" dimensionUniqueName="[tblThreshold]" displayFolder="" count="0" memberValueDatatype="130" unbalanced="0"/>
    <cacheHierarchy uniqueName="[tblThreshold].[AlertLevel]" caption="AlertLevel" attribute="1" defaultMemberUniqueName="[tblThreshold].[AlertLevel].[All]" allUniqueName="[tblThreshold].[AlertLevel].[All]" dimensionUniqueName="[tblThreshold]" displayFolder="" count="0" memberValueDatatype="130" unbalanced="0"/>
    <cacheHierarchy uniqueName="[tblThreshold].[MinMonths]" caption="MinMonths" attribute="1" defaultMemberUniqueName="[tblThreshold].[MinMonths].[All]" allUniqueName="[tblThreshold].[MinMonths].[All]" dimensionUniqueName="[tblThreshold]" displayFolder="" count="0" memberValueDatatype="20" unbalanced="0"/>
    <cacheHierarchy uniqueName="[tblThreshold].[MinN]" caption="MinN" attribute="1" defaultMemberUniqueName="[tblThreshold].[MinN].[All]" allUniqueName="[tblThreshold].[MinN].[All]" dimensionUniqueName="[tblThreshold]" displayFolder="" count="0" memberValueDatatype="20" unbalanced="0"/>
    <cacheHierarchy uniqueName="[tblThreshold].[Persistence]" caption="Persistence" attribute="1" defaultMemberUniqueName="[tblThreshold].[Persistence].[All]" allUniqueName="[tblThreshold].[Persistence].[All]" dimensionUniqueName="[tblThreshold]" displayFolder="" count="0" memberValueDatatype="130" unbalanced="0"/>
    <cacheHierarchy uniqueName="[tblThreshold].[Rationale]" caption="Rationale" attribute="1" defaultMemberUniqueName="[tblThreshold].[Rationale].[All]" allUniqueName="[tblThreshold].[Rationale].[All]" dimensionUniqueName="[tblThreshold]" displayFolder="" count="0" memberValueDatatype="130" unbalanced="0"/>
    <cacheHierarchy uniqueName="[tblThreshold].[Owner]" caption="Owner" attribute="1" defaultMemberUniqueName="[tblThreshold].[Owner].[All]" allUniqueName="[tblThreshold].[Owner].[All]" dimensionUniqueName="[tblThreshold]" displayFolder="" count="0" memberValueDatatype="130" unbalanced="0"/>
    <cacheHierarchy uniqueName="[tblThreshold].[ApprovedBy]" caption="ApprovedBy" attribute="1" defaultMemberUniqueName="[tblThreshold].[ApprovedBy].[All]" allUniqueName="[tblThreshold].[ApprovedBy].[All]" dimensionUniqueName="[tblThreshold]" displayFolder="" count="0" memberValueDatatype="130" unbalanced="0"/>
    <cacheHierarchy uniqueName="[tblThreshold].[ApprovedOn]" caption="ApprovedOn" attribute="1" defaultMemberUniqueName="[tblThreshold].[ApprovedOn].[All]" allUniqueName="[tblThreshold].[ApprovedOn].[All]" dimensionUniqueName="[tblThreshold]" displayFolder="" count="0" memberValueDatatype="130" unbalanced="0"/>
    <cacheHierarchy uniqueName="[tblThreshold].[Status]" caption="Status" attribute="1" defaultMemberUniqueName="[tblThreshold].[Status].[All]" allUniqueName="[tblThreshold].[Status].[All]" dimensionUniqueName="[tblThreshold]" displayFolder="" count="0" memberValueDatatype="130" unbalanced="0"/>
    <cacheHierarchy uniqueName="[tblUIText].[Key]" caption="Key" attribute="1" defaultMemberUniqueName="[tblUIText].[Key].[All]" allUniqueName="[tblUIText].[Key].[All]" dimensionUniqueName="[tblUIText]" displayFolder="" count="0" memberValueDatatype="130" unbalanced="0"/>
    <cacheHierarchy uniqueName="[tblUIText].[TR]" caption="TR" attribute="1" defaultMemberUniqueName="[tblUIText].[TR].[All]" allUniqueName="[tblUIText].[TR].[All]" dimensionUniqueName="[tblUIText]" displayFolder="" count="0" memberValueDatatype="130" unbalanced="0"/>
    <cacheHierarchy uniqueName="[tblUIText].[EN]" caption="EN" attribute="1" defaultMemberUniqueName="[tblUIText].[EN].[All]" allUniqueName="[tblUIText].[EN].[All]" dimensionUniqueName="[tblUIText]" displayFolder="" count="0" memberValueDatatype="130" unbalanced="0"/>
    <cacheHierarchy uniqueName="[tblUIText].[Text]" caption="Text" attribute="1" defaultMemberUniqueName="[tblUIText].[Text].[All]" allUniqueName="[tblUIText].[Text].[All]" dimensionUniqueName="[tblUIText]" displayFolder="" count="0" memberValueDatatype="130" unbalanced="0"/>
    <cacheHierarchy uniqueName="[Measures].[Total Payments TRY]" caption="Total Payments TRY" measure="1" displayFolder="" measureGroup="FactPayment" count="0"/>
    <cacheHierarchy uniqueName="[Measures].[Net Payments TRY]" caption="Net Payments TRY" measure="1" displayFolder="" measureGroup="FactPayment" count="0"/>
    <cacheHierarchy uniqueName="[Measures].[Gross-to-Net Deductions TRY]" caption="Gross-to-Net Deductions TRY" measure="1" displayFolder="" measureGroup="FactPayment" count="0"/>
    <cacheHierarchy uniqueName="[Measures].[Payment Lines]" caption="Payment Lines" measure="1" displayFolder="" measureGroup="FactPayment" count="0"/>
    <cacheHierarchy uniqueName="[Measures].[Distinct Cases]" caption="Distinct Cases" measure="1" displayFolder="" measureGroup="FactPayment" count="0"/>
    <cacheHierarchy uniqueName="[Measures].[Total Payments TRY PM]" caption="Total Payments TRY PM" measure="1" displayFolder="" measureGroup="FactPayment" count="0"/>
    <cacheHierarchy uniqueName="[Measures].[MoM Change TRY]" caption="MoM Change TRY" measure="1" displayFolder="" measureGroup="FactPayment" count="0"/>
    <cacheHierarchy uniqueName="[Measures].[MoM Change %]" caption="MoM Change %" measure="1" displayFolder="" measureGroup="FactPayment" count="0"/>
    <cacheHierarchy uniqueName="[Measures].[Company Share of Total %]" caption="Company Share of Total %" measure="1" displayFolder="" measureGroup="FactPayment" count="0"/>
    <cacheHierarchy uniqueName="[Measures].[Avg Days Notification to Payment]" caption="Avg Days Notification to Payment" measure="1" displayFolder="" measureGroup="FactPayment" count="0"/>
    <cacheHierarchy uniqueName="[Measures].[Partial Payment Cases]" caption="Partial Payment Cases" measure="1" displayFolder="" measureGroup="FactPayment" count="0"/>
    <cacheHierarchy uniqueName="[Measures].[Partial Payment Ratio %]" caption="Partial Payment Ratio %" measure="1" displayFolder="" measureGroup="FactPayment" count="0"/>
    <cacheHierarchy uniqueName="[Measures].[Total Payments TRY by Payment Date]" caption="Total Payments TRY by Payment Date" measure="1" displayFolder="" measureGroup="FactPayment" count="0"/>
    <cacheHierarchy uniqueName="[Measures].[Total Payments TRY by Loss Date]" caption="Total Payments TRY by Loss Date" measure="1" displayFolder="" measureGroup="FactPayment" count="0"/>
    <cacheHierarchy uniqueName="[Measures].[Total Payments TRY by Notification Date]" caption="Total Payments TRY by Notification Date" measure="1" displayFolder="" measureGroup="FactPayment" count="0"/>
    <cacheHierarchy uniqueName="[Measures].[Total Payments TRY by Decision Date]" caption="Total Payments TRY by Decision Date" measure="1" displayFolder="" measureGroup="FactPayment" count="0"/>
    <cacheHierarchy uniqueName="[Measures].[Chronology Violation Lines]" caption="Chronology Violation Lines" measure="1" displayFolder="" measureGroup="FactPayment" count="0"/>
    <cacheHierarchy uniqueName="[Measures].[Duplicate Key Lines]" caption="Duplicate Key Lines" measure="1" displayFolder="" measureGroup="FactPayment" count="0"/>
    <cacheHierarchy uniqueName="[Measures].[Missing FX Lines]" caption="Missing FX Lines" measure="1" displayFolder="" measureGroup="FactPayment" count="0"/>
    <cacheHierarchy uniqueName="[Measures].[Gross Amount Original Currency]" caption="Gross Amount Original Currency" measure="1" displayFolder="" measureGroup="FactPayment" count="0"/>
    <cacheHierarchy uniqueName="[Measures].[Outlier Lines]" caption="Outlier Lines" measure="1" displayFolder="" measureGroup="FactPayment" count="0"/>
    <cacheHierarchy uniqueName="[Measures].[Segments In Context]" caption="Segments In Context" measure="1" displayFolder="" measureGroup="FactPayment" count="0"/>
    <cacheHierarchy uniqueName="[Measures].[Currencies In Context]" caption="Currencies In Context" measure="1" displayFolder="" measureGroup="FactPayment" count="0"/>
    <cacheHierarchy uniqueName="[Measures].[Segment Guard OK]" caption="Segment Guard OK" measure="1" displayFolder="" measureGroup="FactPayment" count="0"/>
    <cacheHierarchy uniqueName="[Measures].[Currency Guard OK]" caption="Currency Guard OK" measure="1" displayFolder="" measureGroup="FactPayment" count="0"/>
    <cacheHierarchy uniqueName="[Measures].[Context Message]" caption="Context Message" measure="1" displayFolder="" measureGroup="FactPayment" count="0"/>
    <cacheHierarchy uniqueName="[Measures].[Paid TRY]" caption="Paid TRY" measure="1" displayFolder="" measureGroup="FactPayment" count="0"/>
    <cacheHierarchy uniqueName="[Measures].[Paid Original]" caption="Paid Original" measure="1" displayFolder="" measureGroup="FactPayment" count="0"/>
    <cacheHierarchy uniqueName="[Measures].[Unmapped Lines Segment]" caption="Unmapped Lines Segment" measure="1" displayFolder="" measureGroup="FactPayment" count="0"/>
    <cacheHierarchy uniqueName="[Measures].[Unmapped Lines Nature]" caption="Unmapped Lines Nature" measure="1" displayFolder="" measureGroup="FactPayment" count="0"/>
    <cacheHierarchy uniqueName="[Measures].[Unmapped Lines Branch]" caption="Unmapped Lines Branch" measure="1" displayFolder="" measureGroup="FactPayment" count="0"/>
    <cacheHierarchy uniqueName="[Measures].[Unmapped Lines Product]" caption="Unmapped Lines Product" measure="1" displayFolder="" measureGroup="FactPayment" count="0"/>
    <cacheHierarchy uniqueName="[Measures].[Unmapped Lines Channel]" caption="Unmapped Lines Channel" measure="1" displayFolder="" measureGroup="FactPayment" count="0"/>
    <cacheHierarchy uniqueName="[Measures].[Unmapped Lines Partner]" caption="Unmapped Lines Partner" measure="1" displayFolder="" measureGroup="FactPayment" count="0"/>
    <cacheHierarchy uniqueName="[Measures].[Unmapped Lines Geography]" caption="Unmapped Lines Geography" measure="1" displayFolder="" measureGroup="FactPayment" count="0"/>
    <cacheHierarchy uniqueName="[Measures].[Unmapped Lines Currency]" caption="Unmapped Lines Currency" measure="1" displayFolder="" measureGroup="FactPayment" count="0"/>
    <cacheHierarchy uniqueName="[Measures].[Unmapped Lines AgeBand]" caption="Unmapped Lines AgeBand" measure="1" displayFolder="" measureGroup="FactPayment" count="0"/>
    <cacheHierarchy uniqueName="[Measures].[Unassigned Lines]" caption="Unassigned Lines" measure="1" displayFolder="" measureGroup="FactPayment" count="0"/>
    <cacheHierarchy uniqueName="[Measures].[Segment Warning]" caption="Segment Warning" measure="1" displayFolder="" measureGroup="FactPayment" count="0"/>
    <cacheHierarchy uniqueName="[Measures].[Page Notice]" caption="Page Notice" measure="1" displayFolder="" measureGroup="FactPayment" count="0"/>
    <cacheHierarchy uniqueName="[Measures].[Sufficiency Status]" caption="Sufficiency Status" measure="1" displayFolder="" measureGroup="FactPayment" count="0"/>
    <cacheHierarchy uniqueName="[Measures].[Case Sufficiency Status]" caption="Case Sufficiency Status" measure="1" displayFolder="" measureGroup="FactPayment" count="0"/>
    <cacheHierarchy uniqueName="[Measures].[Paid Net TRY]" caption="Paid Net TRY" measure="1" displayFolder="" measureGroup="FactPayment" count="0"/>
    <cacheHierarchy uniqueName="[Measures].[Paid Deductible TRY]" caption="Paid Deductible TRY" measure="1" displayFolder="" measureGroup="FactPayment" count="0"/>
    <cacheHierarchy uniqueName="[Measures].[Paid Net Original]" caption="Paid Net Original" measure="1" displayFolder="" measureGroup="FactPayment" count="0"/>
    <cacheHierarchy uniqueName="[Measures].[Paid Deductible Original]" caption="Paid Deductible Original" measure="1" displayFolder="" measureGroup="FactPayment" count="0"/>
    <cacheHierarchy uniqueName="[Measures].[Net to Gross Ratio]" caption="Net to Gross Ratio" measure="1" displayFolder="" measureGroup="FactPayment" count="0"/>
    <cacheHierarchy uniqueName="[Measures].[Deductible Share of Gross]" caption="Deductible Share of Gross" measure="1" displayFolder="" measureGroup="FactPayment" count="0"/>
    <cacheHierarchy uniqueName="[Measures].[Reversal Amount TRY]" caption="Reversal Amount TRY" measure="1" displayFolder="" measureGroup="FactPayment" count="0"/>
    <cacheHierarchy uniqueName="[Measures].[Paid TRY by Payment Date]" caption="Paid TRY by Payment Date" measure="1" displayFolder="" measureGroup="FactPayment" count="0"/>
    <cacheHierarchy uniqueName="[Measures].[Paid TRY by Loss Date]" caption="Paid TRY by Loss Date" measure="1" displayFolder="" measureGroup="FactPayment" count="0"/>
    <cacheHierarchy uniqueName="[Measures].[Paid TRY by Notification Date]" caption="Paid TRY by Notification Date" measure="1" displayFolder="" measureGroup="FactPayment" count="0"/>
    <cacheHierarchy uniqueName="[Measures].[Paid TRY by Decision Date]" caption="Paid TRY by Decision Date" measure="1" displayFolder="" measureGroup="FactPayment" count="0"/>
    <cacheHierarchy uniqueName="[Measures].[Paid TRY by Documents Complete Date]" caption="Paid TRY by Documents Complete Date" measure="1" displayFolder="" measureGroup="FactPayment" count="0"/>
    <cacheHierarchy uniqueName="[Measures].[Cases]" caption="Cases" measure="1" displayFolder="" measureGroup="FactPayment" count="0"/>
    <cacheHierarchy uniqueName="[Measures].[Policies with Payment]" caption="Policies with Payment" measure="1" displayFolder="" measureGroup="FactPayment" count="0"/>
    <cacheHierarchy uniqueName="[Measures].[Partially Paid Cases]" caption="Partially Paid Cases" measure="1" displayFolder="" measureGroup="FactPayment" count="0"/>
    <cacheHierarchy uniqueName="[Measures].[Partially Paid Case Share]" caption="Partially Paid Case Share" measure="1" displayFolder="" measureGroup="FactPayment" count="0"/>
    <cacheHierarchy uniqueName="[Measures].[Lines per Case]" caption="Lines per Case" measure="1" displayFolder="" measureGroup="FactPayment" count="0"/>
    <cacheHierarchy uniqueName="[Measures].[Reversal Lines]" caption="Reversal Lines" measure="1" displayFolder="" measureGroup="FactPayment" count="0"/>
    <cacheHierarchy uniqueName="[Measures].[Reversal Line Share]" caption="Reversal Line Share" measure="1" displayFolder="" measureGroup="FactPayment" count="0"/>
    <cacheHierarchy uniqueName="[Measures].[Mean Paid per Case TRY]" caption="Mean Paid per Case TRY" measure="1" displayFolder="" measureGroup="FactPayment" count="0"/>
    <cacheHierarchy uniqueName="[Measures].[Mean Paid per Line TRY]" caption="Mean Paid per Line TRY" measure="1" displayFolder="" measureGroup="FactPayment" count="0"/>
    <cacheHierarchy uniqueName="[Measures].[Largest Case Paid TRY]" caption="Largest Case Paid TRY" measure="1" displayFolder="" measureGroup="FactPayment" count="0"/>
    <cacheHierarchy uniqueName="[Measures].[Lag Loss to Notification Lines]" caption="Lag Loss to Notification Lines" measure="1" displayFolder="" measureGroup="FactPayment" count="0"/>
    <cacheHierarchy uniqueName="[Measures].[Lag Notification to Documents Lines]" caption="Lag Notification to Documents Lines" measure="1" displayFolder="" measureGroup="FactPayment" count="0"/>
    <cacheHierarchy uniqueName="[Measures].[Lag Documents to Decision Lines]" caption="Lag Documents to Decision Lines" measure="1" displayFolder="" measureGroup="FactPayment" count="0"/>
    <cacheHierarchy uniqueName="[Measures].[Lag Decision to Payment Lines]" caption="Lag Decision to Payment Lines" measure="1" displayFolder="" measureGroup="FactPayment" count="0"/>
    <cacheHierarchy uniqueName="[Measures].[Lag Notification to Payment Lines]" caption="Lag Notification to Payment Lines" measure="1" displayFolder="" measureGroup="FactPayment" count="0"/>
    <cacheHierarchy uniqueName="[Measures].[Lag Loss to Payment Lines]" caption="Lag Loss to Payment Lines" measure="1" displayFolder="" measureGroup="FactPayment" count="0"/>
    <cacheHierarchy uniqueName="[Measures].[Active Segment Key]" caption="Active Segment Key" measure="1" displayFolder="" measureGroup="FactPayment" count="0"/>
    <cacheHierarchy uniqueName="[Measures].[Active Segment]" caption="Active Segment" measure="1" displayFolder="" measureGroup="FactPayment" count="0"/>
    <cacheHierarchy uniqueName="[Measures].[SLA Note]" caption="SLA Note" measure="1" displayFolder="" measureGroup="FactPayment" count="0"/>
    <cacheHierarchy uniqueName="[Measures].[Lag Loss to Notification Mean]" caption="Lag Loss to Notification Mean" measure="1" displayFolder="" measureGroup="FactPayment" count="0"/>
    <cacheHierarchy uniqueName="[Measures].[Lag Loss to Notification P50]" caption="Lag Loss to Notification P50" measure="1" displayFolder="" measureGroup="FactPayment" count="0"/>
    <cacheHierarchy uniqueName="[Measures].[Lag Loss to Notification P75]" caption="Lag Loss to Notification P75" measure="1" displayFolder="" measureGroup="FactPayment" count="0"/>
    <cacheHierarchy uniqueName="[Measures].[Lag Loss to Notification P90]" caption="Lag Loss to Notification P90" measure="1" displayFolder="" measureGroup="FactPayment" count="0"/>
    <cacheHierarchy uniqueName="[Measures].[Lag Loss to Notification P95]" caption="Lag Loss to Notification P95" measure="1" displayFolder="" measureGroup="FactPayment" count="0"/>
    <cacheHierarchy uniqueName="[Measures].[Lag Loss to Notification Mean by Notification Date]" caption="Lag Loss to Notification Mean by Notification Date" measure="1" displayFolder="" measureGroup="FactPayment" count="0"/>
    <cacheHierarchy uniqueName="[Measures].[Lag Loss to Notification P50 by Notification Date]" caption="Lag Loss to Notification P50 by Notification Date" measure="1" displayFolder="" measureGroup="FactPayment" count="0"/>
    <cacheHierarchy uniqueName="[Measures].[Lag Loss to Notification P90 by Notification Date]" caption="Lag Loss to Notification P90 by Notification Date" measure="1" displayFolder="" measureGroup="FactPayment" count="0"/>
    <cacheHierarchy uniqueName="[Measures].[Lag Notification to Documents Mean]" caption="Lag Notification to Documents Mean" measure="1" displayFolder="" measureGroup="FactPayment" count="0"/>
    <cacheHierarchy uniqueName="[Measures].[Lag Notification to Documents P50]" caption="Lag Notification to Documents P50" measure="1" displayFolder="" measureGroup="FactPayment" count="0"/>
    <cacheHierarchy uniqueName="[Measures].[Lag Notification to Documents P75]" caption="Lag Notification to Documents P75" measure="1" displayFolder="" measureGroup="FactPayment" count="0"/>
    <cacheHierarchy uniqueName="[Measures].[Lag Notification to Documents P90]" caption="Lag Notification to Documents P90" measure="1" displayFolder="" measureGroup="FactPayment" count="0"/>
    <cacheHierarchy uniqueName="[Measures].[Lag Notification to Documents P95]" caption="Lag Notification to Documents P95" measure="1" displayFolder="" measureGroup="FactPayment" count="0"/>
    <cacheHierarchy uniqueName="[Measures].[Lag Notification to Documents Mean by Documents Complete Date]" caption="Lag Notification to Documents Mean by Documents Complete Date" measure="1" displayFolder="" measureGroup="FactPayment" count="0"/>
    <cacheHierarchy uniqueName="[Measures].[Lag Notification to Documents P50 by Documents Complete Date]" caption="Lag Notification to Documents P50 by Documents Complete Date" measure="1" displayFolder="" measureGroup="FactPayment" count="0"/>
    <cacheHierarchy uniqueName="[Measures].[Lag Notification to Documents P90 by Documents Complete Date]" caption="Lag Notification to Documents P90 by Documents Complete Date" measure="1" displayFolder="" measureGroup="FactPayment" count="0"/>
    <cacheHierarchy uniqueName="[Measures].[Lag Documents to Decision Mean]" caption="Lag Documents to Decision Mean" measure="1" displayFolder="" measureGroup="FactPayment" count="0"/>
    <cacheHierarchy uniqueName="[Measures].[Lag Documents to Decision P50]" caption="Lag Documents to Decision P50" measure="1" displayFolder="" measureGroup="FactPayment" count="0"/>
    <cacheHierarchy uniqueName="[Measures].[Lag Documents to Decision P75]" caption="Lag Documents to Decision P75" measure="1" displayFolder="" measureGroup="FactPayment" count="0"/>
    <cacheHierarchy uniqueName="[Measures].[Lag Documents to Decision P90]" caption="Lag Documents to Decision P90" measure="1" displayFolder="" measureGroup="FactPayment" count="0"/>
    <cacheHierarchy uniqueName="[Measures].[Lag Documents to Decision P95]" caption="Lag Documents to Decision P95" measure="1" displayFolder="" measureGroup="FactPayment" count="0"/>
    <cacheHierarchy uniqueName="[Measures].[Lag Documents to Decision Mean by Decision Date]" caption="Lag Documents to Decision Mean by Decision Date" measure="1" displayFolder="" measureGroup="FactPayment" count="0"/>
    <cacheHierarchy uniqueName="[Measures].[Lag Documents to Decision P50 by Decision Date]" caption="Lag Documents to Decision P50 by Decision Date" measure="1" displayFolder="" measureGroup="FactPayment" count="0"/>
    <cacheHierarchy uniqueName="[Measures].[Lag Documents to Decision P90 by Decision Date]" caption="Lag Documents to Decision P90 by Decision Date" measure="1" displayFolder="" measureGroup="FactPayment" count="0"/>
    <cacheHierarchy uniqueName="[Measures].[Lag Decision to Payment Mean]" caption="Lag Decision to Payment Mean" measure="1" displayFolder="" measureGroup="FactPayment" count="0"/>
    <cacheHierarchy uniqueName="[Measures].[Lag Decision to Payment P50]" caption="Lag Decision to Payment P50" measure="1" displayFolder="" measureGroup="FactPayment" count="0"/>
    <cacheHierarchy uniqueName="[Measures].[Lag Decision to Payment P75]" caption="Lag Decision to Payment P75" measure="1" displayFolder="" measureGroup="FactPayment" count="0"/>
    <cacheHierarchy uniqueName="[Measures].[Lag Decision to Payment P90]" caption="Lag Decision to Payment P90" measure="1" displayFolder="" measureGroup="FactPayment" count="0"/>
    <cacheHierarchy uniqueName="[Measures].[Lag Decision to Payment P95]" caption="Lag Decision to Payment P95" measure="1" displayFolder="" measureGroup="FactPayment" count="0"/>
    <cacheHierarchy uniqueName="[Measures].[Lag Decision to Payment Mean by Payment Date]" caption="Lag Decision to Payment Mean by Payment Date" measure="1" displayFolder="" measureGroup="FactPayment" count="0"/>
    <cacheHierarchy uniqueName="[Measures].[Lag Decision to Payment P50 by Payment Date]" caption="Lag Decision to Payment P50 by Payment Date" measure="1" displayFolder="" measureGroup="FactPayment" count="0"/>
    <cacheHierarchy uniqueName="[Measures].[Lag Decision to Payment P90 by Payment Date]" caption="Lag Decision to Payment P90 by Payment Date" measure="1" displayFolder="" measureGroup="FactPayment" count="0"/>
    <cacheHierarchy uniqueName="[Measures].[Lag Notification to Payment Mean]" caption="Lag Notification to Payment Mean" measure="1" displayFolder="" measureGroup="FactPayment" count="0"/>
    <cacheHierarchy uniqueName="[Measures].[Lag Notification to Payment P50]" caption="Lag Notification to Payment P50" measure="1" displayFolder="" measureGroup="FactPayment" count="0"/>
    <cacheHierarchy uniqueName="[Measures].[Lag Notification to Payment P75]" caption="Lag Notification to Payment P75" measure="1" displayFolder="" measureGroup="FactPayment" count="0"/>
    <cacheHierarchy uniqueName="[Measures].[Lag Notification to Payment P90]" caption="Lag Notification to Payment P90" measure="1" displayFolder="" measureGroup="FactPayment" count="0"/>
    <cacheHierarchy uniqueName="[Measures].[Lag Notification to Payment P95]" caption="Lag Notification to Payment P95" measure="1" displayFolder="" measureGroup="FactPayment" count="0"/>
    <cacheHierarchy uniqueName="[Measures].[Lag Notification to Payment Mean by Payment Date]" caption="Lag Notification to Payment Mean by Payment Date" measure="1" displayFolder="" measureGroup="FactPayment" count="0"/>
    <cacheHierarchy uniqueName="[Measures].[Lag Notification to Payment P50 by Payment Date]" caption="Lag Notification to Payment P50 by Payment Date" measure="1" displayFolder="" measureGroup="FactPayment" count="0"/>
    <cacheHierarchy uniqueName="[Measures].[Lag Notification to Payment P90 by Payment Date]" caption="Lag Notification to Payment P90 by Payment Date" measure="1" displayFolder="" measureGroup="FactPayment" count="0"/>
    <cacheHierarchy uniqueName="[Measures].[Lag Loss to Payment Mean]" caption="Lag Loss to Payment Mean" measure="1" displayFolder="" measureGroup="FactPayment" count="0"/>
    <cacheHierarchy uniqueName="[Measures].[Lag Loss to Payment P50]" caption="Lag Loss to Payment P50" measure="1" displayFolder="" measureGroup="FactPayment" count="0"/>
    <cacheHierarchy uniqueName="[Measures].[Lag Loss to Payment P75]" caption="Lag Loss to Payment P75" measure="1" displayFolder="" measureGroup="FactPayment" count="0"/>
    <cacheHierarchy uniqueName="[Measures].[Lag Loss to Payment P90]" caption="Lag Loss to Payment P90" measure="1" displayFolder="" measureGroup="FactPayment" count="0"/>
    <cacheHierarchy uniqueName="[Measures].[Lag Loss to Payment P95]" caption="Lag Loss to Payment P95" measure="1" displayFolder="" measureGroup="FactPayment" count="0"/>
    <cacheHierarchy uniqueName="[Measures].[Lag Loss to Payment Mean by Payment Date]" caption="Lag Loss to Payment Mean by Payment Date" measure="1" displayFolder="" measureGroup="FactPayment" count="0"/>
    <cacheHierarchy uniqueName="[Measures].[Lag Loss to Payment P50 by Payment Date]" caption="Lag Loss to Payment P50 by Payment Date" measure="1" displayFolder="" measureGroup="FactPayment" count="0"/>
    <cacheHierarchy uniqueName="[Measures].[Lag Loss to Payment P90 by Payment Date]" caption="Lag Loss to Payment P90 by Payment Date" measure="1" displayFolder="" measureGroup="FactPayment" count="0"/>
    <cacheHierarchy uniqueName="[Measures].[SLA Breach Lines Decision to Payment]" caption="SLA Breach Lines Decision to Payment" measure="1" displayFolder="" measureGroup="FactPayment" count="0"/>
    <cacheHierarchy uniqueName="[Measures].[SLA Breach Share Decision to Payment]" caption="SLA Breach Share Decision to Payment" measure="1" displayFolder="" measureGroup="FactPayment" count="0"/>
    <cacheHierarchy uniqueName="[Measures].[SLA Breach Lines End to End]" caption="SLA Breach Lines End to End" measure="1" displayFolder="" measureGroup="FactPayment" count="0"/>
    <cacheHierarchy uniqueName="[Measures].[SLA Breach Share End to End]" caption="SLA Breach Share End to End" measure="1" displayFolder="" measureGroup="FactPayment" count="0"/>
    <cacheHierarchy uniqueName="[Measures].[Paid TRY PM]" caption="Paid TRY PM" measure="1" displayFolder="" measureGroup="FactPayment" count="0"/>
    <cacheHierarchy uniqueName="[Measures].[Paid TRY MoM %]" caption="Paid TRY MoM %" measure="1" displayFolder="" measureGroup="FactPayment" count="0"/>
    <cacheHierarchy uniqueName="[Measures].[Paid TRY PY]" caption="Paid TRY PY" measure="1" displayFolder="" measureGroup="FactPayment" count="0"/>
    <cacheHierarchy uniqueName="[Measures].[Paid TRY YoY %]" caption="Paid TRY YoY %" measure="1" displayFolder="" measureGroup="FactPayment" count="0"/>
    <cacheHierarchy uniqueName="[Measures].[Paid TRY YTD]" caption="Paid TRY YTD" measure="1" displayFolder="" measureGroup="FactPayment" count="0"/>
    <cacheHierarchy uniqueName="[Measures].[Paid TRY R3]" caption="Paid TRY R3" measure="1" displayFolder="" measureGroup="FactPayment" count="0"/>
    <cacheHierarchy uniqueName="[Measures].[Paid TRY R6]" caption="Paid TRY R6" measure="1" displayFolder="" measureGroup="FactPayment" count="0"/>
    <cacheHierarchy uniqueName="[Measures].[Paid TRY R12]" caption="Paid TRY R12" measure="1" displayFolder="" measureGroup="FactPayment" count="0"/>
    <cacheHierarchy uniqueName="[Measures].[Lag Loss to Notification Lines in Band]" caption="Lag Loss to Notification Lines in Band" measure="1" displayFolder="" measureGroup="FactPayment" count="0"/>
    <cacheHierarchy uniqueName="[Measures].[Lag Notification to Documents Lines in Band]" caption="Lag Notification to Documents Lines in Band" measure="1" displayFolder="" measureGroup="FactPayment" count="0"/>
    <cacheHierarchy uniqueName="[Measures].[Lag Documents to Decision Lines in Band]" caption="Lag Documents to Decision Lines in Band" measure="1" displayFolder="" measureGroup="FactPayment" count="0"/>
    <cacheHierarchy uniqueName="[Measures].[Lag Decision to Payment Lines in Band]" caption="Lag Decision to Payment Lines in Band" measure="1" displayFolder="" measureGroup="FactPayment" count="0"/>
    <cacheHierarchy uniqueName="[Measures].[Lag Notification to Payment Lines in Band]" caption="Lag Notification to Payment Lines in Band" measure="1" displayFolder="" measureGroup="FactPayment" count="0"/>
    <cacheHierarchy uniqueName="[Measures].[Lag Loss to Payment Lines in Band]" caption="Lag Loss to Payment Lines in Band" measure="1" displayFolder="" measureGroup="FactPayment" count="0"/>
    <cacheHierarchy uniqueName="[Measures].[Cover Amount Case]" caption="Cover Amount Case" measure="1" displayFolder="" measureGroup="FactPayment" count="0"/>
    <cacheHierarchy uniqueName="[Measures].[Sum Insured Case]" caption="Sum Insured Case" measure="1" displayFolder="" measureGroup="FactPayment" count="0"/>
    <cacheHierarchy uniqueName="[Measures].[Initial Reserve Case]" caption="Initial Reserve Case" measure="1" displayFolder="" measureGroup="FactPayment" count="0"/>
    <cacheHierarchy uniqueName="[Measures].[Store Rows]" caption="Store Rows" measure="1" displayFolder="" measureGroup="FactPayment" count="0"/>
    <cacheHierarchy uniqueName="[Measures].[Store Gross]" caption="Store Gross" measure="1" displayFolder="" measureGroup="FactPayment" count="0"/>
    <cacheHierarchy uniqueName="[Measures].[Store Gross TRY]" caption="Store Gross TRY" measure="1" displayFolder="" measureGroup="FactPayment" count="0"/>
    <cacheHierarchy uniqueName="[Measures].[Round Amount Lines]" caption="Round Amount Lines" measure="1" displayFolder="" measureGroup="FactPayment" count="0"/>
    <cacheHierarchy uniqueName="[Measures].[Weekend Payment Lines]" caption="Weekend Payment Lines" measure="1" displayFolder="" measureGroup="FactPayment" count="0"/>
    <cacheHierarchy uniqueName="[Measures].[Month-End Payment Lines]" caption="Month-End Payment Lines" measure="1" displayFolder="" measureGroup="FactPayment" count="0"/>
    <cacheHierarchy uniqueName="[Measures].[Median Paid per Case TRY]" caption="Median Paid per Case TRY" measure="1" displayFolder="" measureGroup="FactPayment" count="0"/>
    <cacheHierarchy uniqueName="[Measures].[P75 Paid per Case TRY]" caption="P75 Paid per Case TRY" measure="1" displayFolder="" measureGroup="FactPayment" count="0"/>
    <cacheHierarchy uniqueName="[Measures].[P90 Paid per Case TRY]" caption="P90 Paid per Case TRY" measure="1" displayFolder="" measureGroup="FactPayment" count="0"/>
    <cacheHierarchy uniqueName="[Measures].[P95 Paid per Case TRY]" caption="P95 Paid per Case TRY" measure="1" displayFolder="" measureGroup="FactPayment" count="0"/>
    <cacheHierarchy uniqueName="[Measures].[P99 Paid per Case TRY]" caption="P99 Paid per Case TRY" measure="1" displayFolder="" measureGroup="FactPayment" count="0"/>
    <cacheHierarchy uniqueName="[Measures].[__XL_Count DimFXRate]" caption="__XL_Count DimFXRate" measure="1" displayFolder="" measureGroup="DimFXRate" count="0" hidden="1"/>
    <cacheHierarchy uniqueName="[Measures].[__XL_Count DimDate]" caption="__XL_Count DimDate" measure="1" displayFolder="" measureGroup="DimDate" count="0" hidden="1"/>
    <cacheHierarchy uniqueName="[Measures].[__XL_Count DimCompany]" caption="__XL_Count DimCompany" measure="1" displayFolder="" measureGroup="DimCompany" count="0" hidden="1"/>
    <cacheHierarchy uniqueName="[Measures].[__XL_Count FactPayment]" caption="__XL_Count FactPayment" measure="1" displayFolder="" measureGroup="FactPayment" count="0" hidden="1"/>
    <cacheHierarchy uniqueName="[Measures].[__XL_Count DimSegment]" caption="__XL_Count DimSegment" measure="1" displayFolder="" measureGroup="DimSegment" count="0" hidden="1"/>
    <cacheHierarchy uniqueName="[Measures].[__XL_Count DimPaymentNature]" caption="__XL_Count DimPaymentNature" measure="1" displayFolder="" measureGroup="DimPaymentNature" count="0" hidden="1"/>
    <cacheHierarchy uniqueName="[Measures].[__XL_Count DimBranch]" caption="__XL_Count DimBranch" measure="1" displayFolder="" measureGroup="DimBranch" count="0" hidden="1"/>
    <cacheHierarchy uniqueName="[Measures].[__XL_Count DimProduct]" caption="__XL_Count DimProduct" measure="1" displayFolder="" measureGroup="DimProduct" count="0" hidden="1"/>
    <cacheHierarchy uniqueName="[Measures].[__XL_Count DimChannel]" caption="__XL_Count DimChannel" measure="1" displayFolder="" measureGroup="DimChannel" count="0" hidden="1"/>
    <cacheHierarchy uniqueName="[Measures].[__XL_Count DimPartner]" caption="__XL_Count DimPartner" measure="1" displayFolder="" measureGroup="DimPartner" count="0" hidden="1"/>
    <cacheHierarchy uniqueName="[Measures].[__XL_Count DimGeography]" caption="__XL_Count DimGeography" measure="1" displayFolder="" measureGroup="DimGeography" count="0" hidden="1"/>
    <cacheHierarchy uniqueName="[Measures].[__XL_Count DimCurrency]" caption="__XL_Count DimCurrency" measure="1" displayFolder="" measureGroup="DimCurrency" count="0" hidden="1"/>
    <cacheHierarchy uniqueName="[Measures].[__XL_Count DimAgeBand]" caption="__XL_Count DimAgeBand" measure="1" displayFolder="" measureGroup="DimAgeBand" count="0" hidden="1"/>
    <cacheHierarchy uniqueName="[Measures].[__XL_Count BandLag]" caption="__XL_Count BandLag" measure="1" displayFolder="" measureGroup="BandLag" count="0" hidden="1"/>
    <cacheHierarchy uniqueName="[Measures].[__XL_Count BandAmount]" caption="__XL_Count BandAmount" measure="1" displayFolder="" measureGroup="BandAmount" count="0" hidden="1"/>
    <cacheHierarchy uniqueName="[Measures].[__XL_Count DevMonth]" caption="__XL_Count DevMonth" measure="1" displayFolder="" measureGroup="DevMonth" count="0" hidden="1"/>
    <cacheHierarchy uniqueName="[Measures].[__XL_Count BandPolicyAge]" caption="__XL_Count BandPolicyAge" measure="1" displayFolder="" measureGroup="BandPolicyAge" count="0" hidden="1"/>
    <cacheHierarchy uniqueName="[Measures].[__XL_Count AnParam]" caption="__XL_Count AnParam" measure="1" displayFolder="" measureGroup="AnParam" count="0" hidden="1"/>
    <cacheHierarchy uniqueName="[Measures].[__XL_Count tblThreshold]" caption="__XL_Count tblThreshold" measure="1" displayFolder="" measureGroup="tblThreshold" count="0" hidden="1"/>
    <cacheHierarchy uniqueName="[Measures].[__XL_Count tblUIText]" caption="__XL_Count tblUIText" measure="1" displayFolder="" measureGroup="tblUIText" count="0" hidden="1"/>
    <cacheHierarchy uniqueName="[Measures].[__XL_Count tblObsFlag]" caption="__XL_Count tblObsFlag" measure="1" displayFolder="" measureGroup="tblObsFlag" count="0" hidden="1"/>
    <cacheHierarchy uniqueName="[Measures].[__No measures defined]" caption="__No measures defined" measure="1" displayFolder="" count="0" hidden="1"/>
  </cacheHierarchies>
  <kpis count="0"/>
  <extLst>
    <ext xmlns:x14="http://schemas.microsoft.com/office/spreadsheetml/2009/9/main" uri="{725AE2AE-9491-48be-B2B4-4EB974FC3084}">
      <x14:pivotCacheDefinition pivotCacheId="116667490"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9.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8.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0.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2069490-1313-40A7-B68E-49A3A4BDBF07}" name="pvtCompanyMonth" cacheId="296" applyNumberFormats="0" applyBorderFormats="0" applyFontFormats="0" applyPatternFormats="0" applyAlignmentFormats="0" applyWidthHeightFormats="1" dataCaption="Değerler" updatedVersion="8" minRefreshableVersion="3" itemPrintTitles="1" createdVersion="6" indent="0" compact="0" compactData="0" multipleFieldFilters="0">
  <location ref="A70:H70" firstHeaderRow="0" firstDataRow="1" firstDataCol="1"/>
  <pivotFields count="11">
    <pivotField axis="axisRow" compact="0" allDrilled="1" outline="0" subtotalTop="0" showAll="0" dataSourceSort="1" defaultSubtotal="0" defaultAttributeDrillState="1">
      <items count="1">
        <item x="0"/>
      </items>
    </pivotField>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dataField="1" compact="0" outline="0" subtotalTop="0" showAll="0" defaultSubtotal="0"/>
    <pivotField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s>
  <rowFields count="1">
    <field x="0"/>
  </rowFields>
  <colFields count="1">
    <field x="-2"/>
  </colFields>
  <colItems count="7">
    <i>
      <x/>
    </i>
    <i i="1">
      <x v="1"/>
    </i>
    <i i="2">
      <x v="2"/>
    </i>
    <i i="3">
      <x v="3"/>
    </i>
    <i i="4">
      <x v="4"/>
    </i>
    <i i="5">
      <x v="5"/>
    </i>
    <i i="6">
      <x v="6"/>
    </i>
  </colItems>
  <dataFields count="7">
    <dataField fld="1" subtotal="count" baseField="0" baseItem="0"/>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DimDate].[YearMonth].&amp;[2026-08]"/>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4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139C3E7-4FFD-4149-B703-E9B36A44F64C}" name="pvtMatrix" cacheId="279" applyNumberFormats="0" applyBorderFormats="0" applyFontFormats="0" applyPatternFormats="0" applyAlignmentFormats="0" applyWidthHeightFormats="1" dataCaption="Values" updatedVersion="8" minRefreshableVersion="3" useAutoFormatting="1" itemPrintTitles="1" createdVersion="5" indent="0" outline="1" outlineData="1" multipleFieldFilters="0">
  <location ref="A12:B13" firstHeaderRow="1" firstDataRow="2" firstDataCol="1"/>
  <pivotFields count="6">
    <pivotField axis="axisRow" allDrilled="1" subtotalTop="0" showAll="0" dataSourceSort="1" defaultSubtotal="0" defaultAttributeDrillState="1">
      <items count="1">
        <item x="0"/>
      </items>
    </pivotField>
    <pivotField axis="axisCol" allDrilled="1"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s>
  <rowFields count="1">
    <field x="0"/>
  </rowFields>
  <colFields count="1">
    <field x="1"/>
  </colFields>
  <dataFields count="1">
    <dataField fld="2" subtotal="count" baseField="0" baseItem="0"/>
  </dataFields>
  <conditionalFormats count="1">
    <conditionalFormat scope="data" priority="1">
      <pivotAreas count="1">
        <pivotArea outline="0" fieldPosition="0">
          <references count="1">
            <reference field="4294967294" count="1" selected="0">
              <x v="0"/>
            </reference>
          </references>
        </pivotArea>
      </pivotAreas>
    </conditionalFormat>
  </conditionalFormat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40"/>
  </rowHierarchiesUsage>
  <colHierarchiesUsage count="1">
    <colHierarchyUsage hierarchyUsage="50"/>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36EBF1EC-DE72-4A65-A1B4-227FB499B23A}" name="pvtStoreCheck" cacheId="275"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BO5:BR5" firstHeaderRow="0" firstDataRow="1" firstDataCol="1"/>
  <pivotFields count="4">
    <pivotField axis="axisRow" compact="0" allDrilled="1" outline="0"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1">
    <field x="0"/>
  </rowFields>
  <colFields count="1">
    <field x="-2"/>
  </colFields>
  <colItems count="3">
    <i>
      <x/>
    </i>
    <i i="1">
      <x v="1"/>
    </i>
    <i i="2">
      <x v="2"/>
    </i>
  </colItems>
  <dataFields count="3">
    <dataField fld="1" subtotal="count" baseField="0" baseItem="0"/>
    <dataField fld="2" subtotal="count" baseField="0" baseItem="0"/>
    <dataField fld="3"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4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171DE23A-27C0-445E-B987-000588D5DA7D}" name="pvtCurrencyMix" cacheId="286" applyNumberFormats="0" applyBorderFormats="0" applyFontFormats="0" applyPatternFormats="0" applyAlignmentFormats="0" applyWidthHeightFormats="1" dataCaption="Values" updatedVersion="8" minRefreshableVersion="3" useAutoFormatting="1" itemPrintTitles="1" createdVersion="5" indent="0" outline="1" outlineData="1" multipleFieldFilters="0" chartFormat="1">
  <location ref="I5:J5" firstHeaderRow="1" firstDataRow="1" firstDataCol="1"/>
  <pivotFields count="4">
    <pivotField axis="axisRow" allDrilled="1" subtotalTop="0" showAll="0" dataSourceSort="1" defaultSubtotal="0" defaultAttributeDrillState="1">
      <items count="5">
        <item x="0"/>
        <item x="1"/>
        <item x="2"/>
        <item x="3"/>
        <item x="4"/>
      </items>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Fields count="1">
    <field x="0"/>
  </rowFields>
  <dataFields count="1">
    <dataField fld="1"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DimDate].[YearMonth].&amp;[2026-08]"/>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9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AF67FFB0-EC5F-45F2-8D46-B3590F8C09DD}" name="pvtCompanyShare" cacheId="283" applyNumberFormats="0" applyBorderFormats="0" applyFontFormats="0" applyPatternFormats="0" applyAlignmentFormats="0" applyWidthHeightFormats="1" dataCaption="Values" updatedVersion="8" minRefreshableVersion="3" useAutoFormatting="1" itemPrintTitles="1" createdVersion="5" indent="0" outline="1" outlineData="1" multipleFieldFilters="0" chartFormat="1">
  <location ref="E5:F5" firstHeaderRow="1" firstDataRow="1" firstDataCol="1"/>
  <pivotFields count="5">
    <pivotField axis="axisRow" allDrilled="1" subtotalTop="0" showAll="0" dataSourceSort="1" defaultSubtotal="0" defaultAttributeDrillState="1">
      <items count="1">
        <item x="0"/>
      </items>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s>
  <rowFields count="1">
    <field x="0"/>
  </rowFields>
  <dataFields count="1">
    <dataField fld="1"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DimDate].[YearMonth].&amp;[2026-08]"/>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4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F433969F-6354-4E9E-977D-70C988CBE95C}" name="pvtTrend" cacheId="293" applyNumberFormats="0" applyBorderFormats="0" applyFontFormats="0" applyPatternFormats="0" applyAlignmentFormats="0" applyWidthHeightFormats="1" dataCaption="Values" updatedVersion="8" minRefreshableVersion="5" useAutoFormatting="1" itemPrintTitles="1" createdVersion="5" indent="0" outline="1" outlineData="1" multipleFieldFilters="0" chartFormat="1">
  <location ref="A5:B5" firstHeaderRow="1" firstDataRow="1" firstDataCol="1"/>
  <pivotFields count="4">
    <pivotField axis="axisRow" allDrilled="1"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s>
  <rowFields count="1">
    <field x="0"/>
  </rowFields>
  <dataFields count="1">
    <dataField fld="1"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50"/>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3063D8C1-3B9E-426E-AF2F-63336C32C556}" name="pvtDaysDistribution" cacheId="289" applyNumberFormats="0" applyBorderFormats="0" applyFontFormats="0" applyPatternFormats="0" applyAlignmentFormats="0" applyWidthHeightFormats="1" dataCaption="Values" updatedVersion="8" minRefreshableVersion="3" useAutoFormatting="1" itemPrintTitles="1" createdVersion="5" indent="0" outline="1" outlineData="1" multipleFieldFilters="0" chartFormat="1">
  <location ref="M5:N5" firstHeaderRow="1" firstDataRow="1" firstDataCol="1"/>
  <pivotFields count="5">
    <pivotField axis="axisRow" allDrilled="1" subtotalTop="0" showAll="0" dataSourceSort="1" defaultSubtotal="0" defaultAttributeDrillState="1">
      <items count="5">
        <item x="0"/>
        <item x="1"/>
        <item x="2"/>
        <item x="3"/>
        <item x="4"/>
      </items>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s>
  <rowFields count="1">
    <field x="0"/>
  </rowFields>
  <dataFields count="1">
    <dataField fld="1"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members count="1" level="1">
        <member name="[DimDate].[YearMonth].&amp;[2026-08]"/>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49"/>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F5EDA464-B7C5-4672-9933-96F1A68CD683}" name="pvtAN_CM" cacheId="239"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NA5:NJ5" firstHeaderRow="0" firstDataRow="1" firstDataCol="3" rowPageCount="1" colPageCount="1"/>
  <pivotFields count="11">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
        <item x="0"/>
        <item x="1"/>
        <item x="2"/>
        <item x="3"/>
        <item x="4"/>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3">
    <field x="0"/>
    <field x="1"/>
    <field x="2"/>
  </rowFields>
  <colFields count="1">
    <field x="-2"/>
  </colFields>
  <colItems count="7">
    <i>
      <x/>
    </i>
    <i i="1">
      <x v="1"/>
    </i>
    <i i="2">
      <x v="2"/>
    </i>
    <i i="3">
      <x v="3"/>
    </i>
    <i i="4">
      <x v="4"/>
    </i>
    <i i="5">
      <x v="5"/>
    </i>
    <i i="6">
      <x v="6"/>
    </i>
  </colItems>
  <pageFields count="1">
    <pageField fld="3" hier="55" name="[DimDate].[MonthsFromActive].[All]" cap="All"/>
  </pageFields>
  <dataFields count="7">
    <dataField fld="4" subtotal="count" baseField="0" baseItem="0"/>
    <dataField fld="5" subtotal="count" baseField="0" baseItem="0"/>
    <dataField fld="6" subtotal="count" baseField="0" baseItem="0"/>
    <dataField fld="7" subtotal="count" baseField="0" baseItem="0"/>
    <dataField fld="8" subtotal="count" baseField="0" baseItem="0"/>
    <dataField fld="9" subtotal="count" baseField="0" baseItem="0"/>
    <dataField fld="10"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3">
    <rowHierarchyUsage hierarchyUsage="79"/>
    <rowHierarchyUsage hierarchyUsage="84"/>
    <rowHierarchyUsage hierarchyUsage="5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8CC14EBF-4AB5-4E5F-BAF9-30282D54989A}" name="pvtAN_CMN" cacheId="233"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LF5:LJ5" firstHeaderRow="1" firstDataRow="1" firstDataCol="4" rowPageCount="1" colPageCount="1"/>
  <pivotFields count="6">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
        <item x="0"/>
        <item x="1"/>
        <item x="2"/>
        <item x="3"/>
        <item x="4"/>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1">
        <item x="0"/>
        <item x="1"/>
        <item x="2"/>
        <item x="3"/>
        <item x="4"/>
        <item x="5"/>
        <item x="6"/>
        <item x="7"/>
        <item x="8"/>
        <item x="9"/>
        <item x="10"/>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0"/>
    <field x="1"/>
    <field x="2"/>
    <field x="3"/>
  </rowFields>
  <pageFields count="1">
    <pageField fld="5" hier="55" name="[DimDate].[MonthsFromActive].[All]" cap="All"/>
  </pageFields>
  <dataFields count="1">
    <dataField fld="4"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4">
    <rowHierarchyUsage hierarchyUsage="79"/>
    <rowHierarchyUsage hierarchyUsage="84"/>
    <rowHierarchyUsage hierarchyUsage="50"/>
    <rowHierarchyUsage hierarchyUsage="70"/>
  </row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62BBFAC8-582A-4C4F-A4C3-BAC1D7016712}" name="pvtAN_LagAllC" cacheId="248"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HR5:JD9" firstHeaderRow="0" firstDataRow="1" firstDataCol="1" rowPageCount="2" colPageCount="1"/>
  <pivotFields count="41">
    <pivotField axis="axisRow" compact="0" allDrilled="1" outline="0" subtotalTop="0" showAll="0" dataSourceSort="1" defaultSubtotal="0" defaultAttributeDrillState="1">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1">
    <field x="0"/>
  </rowFields>
  <rowItems count="4">
    <i>
      <x/>
    </i>
    <i>
      <x v="1"/>
    </i>
    <i>
      <x v="2"/>
    </i>
    <i>
      <x v="3"/>
    </i>
  </rowItems>
  <colFields count="1">
    <field x="-2"/>
  </colFields>
  <colItems count="38">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colItems>
  <pageFields count="2">
    <pageField fld="39" hier="55" name="[DimDate].[MonthsFromActive].[All]" cap="All"/>
    <pageField fld="40" hier="161" name="[tblObsFlag].[Flag].&amp;[1]" cap="1"/>
  </pageFields>
  <dataFields count="38">
    <dataField fld="1" subtotal="count" baseField="0" baseItem="0"/>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dataField fld="8" subtotal="count" baseField="0" baseItem="0"/>
    <dataField fld="9" subtotal="count" baseField="0" baseItem="0"/>
    <dataField fld="10" subtotal="count" baseField="0" baseItem="0"/>
    <dataField fld="11" subtotal="count" baseField="0" baseItem="0"/>
    <dataField fld="12" subtotal="count" baseField="0" baseItem="0"/>
    <dataField fld="13" subtotal="count" baseField="0" baseItem="0"/>
    <dataField fld="14" subtotal="count" baseField="0" baseItem="0"/>
    <dataField fld="15" subtotal="count" baseField="0" baseItem="0"/>
    <dataField fld="16" subtotal="count" baseField="0" baseItem="0"/>
    <dataField fld="17" subtotal="count" baseField="0" baseItem="0"/>
    <dataField fld="18" subtotal="count" baseField="0" baseItem="0"/>
    <dataField fld="19" subtotal="count" baseField="0" baseItem="0"/>
    <dataField fld="20" subtotal="count" baseField="0" baseItem="0"/>
    <dataField fld="21" subtotal="count" baseField="0" baseItem="0"/>
    <dataField fld="22" subtotal="count" baseField="0" baseItem="0"/>
    <dataField fld="23" subtotal="count" baseField="0" baseItem="0"/>
    <dataField fld="24" subtotal="count" baseField="0" baseItem="0"/>
    <dataField fld="25" subtotal="count" baseField="0" baseItem="0"/>
    <dataField fld="26" subtotal="count" baseField="0" baseItem="0"/>
    <dataField fld="27" subtotal="count" baseField="0" baseItem="0"/>
    <dataField fld="28" subtotal="count" baseField="0" baseItem="0"/>
    <dataField fld="29" subtotal="count" baseField="0" baseItem="0"/>
    <dataField fld="30" subtotal="count" baseField="0" baseItem="0"/>
    <dataField fld="31" subtotal="count" baseField="0" baseItem="0"/>
    <dataField fld="32" subtotal="count" baseField="0" baseItem="0"/>
    <dataField fld="33" subtotal="count" baseField="0" baseItem="0"/>
    <dataField fld="34" subtotal="count" baseField="0" baseItem="0"/>
    <dataField fld="35" subtotal="count" baseField="0" baseItem="0"/>
    <dataField fld="36" subtotal="count" baseField="0" baseItem="0"/>
    <dataField fld="37" subtotal="count" baseField="0" baseItem="0"/>
    <dataField fld="38"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7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4777FDB2-9330-4C5A-8A14-AE558B9AB216}" name="pvtAN_SegMonthNature" cacheId="269"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V5:AA5" firstHeaderRow="0" firstDataRow="1" firstDataCol="4" rowPageCount="1" colPageCount="1"/>
  <pivotFields count="7">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1">
        <item x="0"/>
        <item x="1"/>
        <item x="2"/>
        <item x="3"/>
        <item x="4"/>
        <item x="5"/>
        <item x="6"/>
        <item x="7"/>
        <item x="8"/>
        <item x="9"/>
        <item x="1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6">
        <item x="0"/>
        <item x="1"/>
        <item x="2"/>
        <item x="3"/>
        <item x="4"/>
        <item x="5"/>
        <item x="6"/>
        <item x="7"/>
        <item x="8"/>
        <item x="9"/>
        <item x="10"/>
        <item x="11"/>
        <item x="12"/>
        <item x="13"/>
        <item x="14"/>
        <item x="15"/>
        <item x="16"/>
        <item x="17"/>
        <item x="18"/>
        <item x="19"/>
        <item x="20"/>
        <item x="21"/>
        <item x="22"/>
        <item x="23"/>
        <item x="24"/>
        <item x="25"/>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0"/>
    <field x="1"/>
    <field x="2"/>
    <field x="3"/>
  </rowFields>
  <colFields count="1">
    <field x="-2"/>
  </colFields>
  <colItems count="2">
    <i>
      <x/>
    </i>
    <i i="1">
      <x v="1"/>
    </i>
  </colItems>
  <pageFields count="1">
    <pageField fld="6" hier="55" name="[DimDate].[MonthsFromActive].[All]" cap="All"/>
  </pageFields>
  <dataFields count="2">
    <dataField fld="4" subtotal="count" baseField="0" baseItem="0"/>
    <dataField fld="5"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4">
    <rowHierarchyUsage hierarchyUsage="79"/>
    <rowHierarchyUsage hierarchyUsage="50"/>
    <rowHierarchyUsage hierarchyUsage="70"/>
    <rowHierarchyUsage hierarchyUsage="6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49743AE2-8905-4234-8E67-FC89DF6DED2B}" name="pvtAN_Case" cacheId="266"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JS5:KA5" firstHeaderRow="0" firstDataRow="1" firstDataCol="2" rowPageCount="1" colPageCount="1"/>
  <pivotFields count="10">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90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x="1405"/>
        <item x="1406"/>
        <item x="1407"/>
        <item x="1408"/>
        <item x="1409"/>
        <item x="1410"/>
        <item x="1411"/>
        <item x="1412"/>
        <item x="1413"/>
        <item x="1414"/>
        <item x="1415"/>
        <item x="1416"/>
        <item x="1417"/>
        <item x="1418"/>
        <item x="1419"/>
        <item x="1420"/>
        <item x="1421"/>
        <item x="1422"/>
        <item x="1423"/>
        <item x="1424"/>
        <item x="1425"/>
        <item x="1426"/>
        <item x="1427"/>
        <item x="1428"/>
        <item x="1429"/>
        <item x="1430"/>
        <item x="1431"/>
        <item x="1432"/>
        <item x="1433"/>
        <item x="1434"/>
        <item x="1435"/>
        <item x="1436"/>
        <item x="1437"/>
        <item x="1438"/>
        <item x="1439"/>
        <item x="1440"/>
        <item x="1441"/>
        <item x="1442"/>
        <item x="1443"/>
        <item x="1444"/>
        <item x="1445"/>
        <item x="1446"/>
        <item x="1447"/>
        <item x="1448"/>
        <item x="1449"/>
        <item x="1450"/>
        <item x="1451"/>
        <item x="1452"/>
        <item x="1453"/>
        <item x="1454"/>
        <item x="1455"/>
        <item x="1456"/>
        <item x="1457"/>
        <item x="1458"/>
        <item x="1459"/>
        <item x="1460"/>
        <item x="1461"/>
        <item x="1462"/>
        <item x="1463"/>
        <item x="1464"/>
        <item x="1465"/>
        <item x="1466"/>
        <item x="1467"/>
        <item x="1468"/>
        <item x="1469"/>
        <item x="1470"/>
        <item x="1471"/>
        <item x="1472"/>
        <item x="1473"/>
        <item x="1474"/>
        <item x="1475"/>
        <item x="1476"/>
        <item x="1477"/>
        <item x="1478"/>
        <item x="1479"/>
        <item x="1480"/>
        <item x="1481"/>
        <item x="1482"/>
        <item x="1483"/>
        <item x="1484"/>
        <item x="1485"/>
        <item x="1486"/>
        <item x="1487"/>
        <item x="1488"/>
        <item x="1489"/>
        <item x="1490"/>
        <item x="1491"/>
        <item x="1492"/>
        <item x="1493"/>
        <item x="1494"/>
        <item x="1495"/>
        <item x="1496"/>
        <item x="1497"/>
        <item x="1498"/>
        <item x="1499"/>
        <item x="1500"/>
        <item x="1501"/>
        <item x="1502"/>
        <item x="1503"/>
        <item x="1504"/>
        <item x="1505"/>
        <item x="1506"/>
        <item x="1507"/>
        <item x="1508"/>
        <item x="1509"/>
        <item x="1510"/>
        <item x="1511"/>
        <item x="1512"/>
        <item x="1513"/>
        <item x="1514"/>
        <item x="1515"/>
        <item x="1516"/>
        <item x="1517"/>
        <item x="1518"/>
        <item x="1519"/>
        <item x="1520"/>
        <item x="1521"/>
        <item x="1522"/>
        <item x="1523"/>
        <item x="1524"/>
        <item x="1525"/>
        <item x="1526"/>
        <item x="1527"/>
        <item x="1528"/>
        <item x="1529"/>
        <item x="1530"/>
        <item x="1531"/>
        <item x="1532"/>
        <item x="1533"/>
        <item x="1534"/>
        <item x="1535"/>
        <item x="1536"/>
        <item x="1537"/>
        <item x="1538"/>
        <item x="1539"/>
        <item x="1540"/>
        <item x="1541"/>
        <item x="1542"/>
        <item x="1543"/>
        <item x="1544"/>
        <item x="1545"/>
        <item x="1546"/>
        <item x="1547"/>
        <item x="1548"/>
        <item x="1549"/>
        <item x="1550"/>
        <item x="1551"/>
        <item x="1552"/>
        <item x="1553"/>
        <item x="1554"/>
        <item x="1555"/>
        <item x="1556"/>
        <item x="1557"/>
        <item x="1558"/>
        <item x="1559"/>
        <item x="1560"/>
        <item x="1561"/>
        <item x="1562"/>
        <item x="1563"/>
        <item x="1564"/>
        <item x="1565"/>
        <item x="1566"/>
        <item x="1567"/>
        <item x="1568"/>
        <item x="1569"/>
        <item x="1570"/>
        <item x="1571"/>
        <item x="1572"/>
        <item x="1573"/>
        <item x="1574"/>
        <item x="1575"/>
        <item x="1576"/>
        <item x="1577"/>
        <item x="1578"/>
        <item x="1579"/>
        <item x="1580"/>
        <item x="1581"/>
        <item x="1582"/>
        <item x="1583"/>
        <item x="1584"/>
        <item x="1585"/>
        <item x="1586"/>
        <item x="1587"/>
        <item x="1588"/>
        <item x="1589"/>
        <item x="1590"/>
        <item x="1591"/>
        <item x="1592"/>
        <item x="1593"/>
        <item x="1594"/>
        <item x="1595"/>
        <item x="1596"/>
        <item x="1597"/>
        <item x="1598"/>
        <item x="1599"/>
        <item x="1600"/>
        <item x="1601"/>
        <item x="1602"/>
        <item x="1603"/>
        <item x="1604"/>
        <item x="1605"/>
        <item x="1606"/>
        <item x="1607"/>
        <item x="1608"/>
        <item x="1609"/>
        <item x="1610"/>
        <item x="1611"/>
        <item x="1612"/>
        <item x="1613"/>
        <item x="1614"/>
        <item x="1615"/>
        <item x="1616"/>
        <item x="1617"/>
        <item x="1618"/>
        <item x="1619"/>
        <item x="1620"/>
        <item x="1621"/>
        <item x="1622"/>
        <item x="1623"/>
        <item x="1624"/>
        <item x="1625"/>
        <item x="1626"/>
        <item x="1627"/>
        <item x="1628"/>
        <item x="1629"/>
        <item x="1630"/>
        <item x="1631"/>
        <item x="1632"/>
        <item x="1633"/>
        <item x="1634"/>
        <item x="1635"/>
        <item x="1636"/>
        <item x="1637"/>
        <item x="1638"/>
        <item x="1639"/>
        <item x="1640"/>
        <item x="1641"/>
        <item x="1642"/>
        <item x="1643"/>
        <item x="1644"/>
        <item x="1645"/>
        <item x="1646"/>
        <item x="1647"/>
        <item x="1648"/>
        <item x="1649"/>
        <item x="1650"/>
        <item x="1651"/>
        <item x="1652"/>
        <item x="1653"/>
        <item x="1654"/>
        <item x="1655"/>
        <item x="1656"/>
        <item x="1657"/>
        <item x="1658"/>
        <item x="1659"/>
        <item x="1660"/>
        <item x="1661"/>
        <item x="1662"/>
        <item x="1663"/>
        <item x="1664"/>
        <item x="1665"/>
        <item x="1666"/>
        <item x="1667"/>
        <item x="1668"/>
        <item x="1669"/>
        <item x="1670"/>
        <item x="1671"/>
        <item x="1672"/>
        <item x="1673"/>
        <item x="1674"/>
        <item x="1675"/>
        <item x="1676"/>
        <item x="1677"/>
        <item x="1678"/>
        <item x="1679"/>
        <item x="1680"/>
        <item x="1681"/>
        <item x="1682"/>
        <item x="1683"/>
        <item x="1684"/>
        <item x="1685"/>
        <item x="1686"/>
        <item x="1687"/>
        <item x="1688"/>
        <item x="1689"/>
        <item x="1690"/>
        <item x="1691"/>
        <item x="1692"/>
        <item x="1693"/>
        <item x="1694"/>
        <item x="1695"/>
        <item x="1696"/>
        <item x="1697"/>
        <item x="1698"/>
        <item x="1699"/>
        <item x="1700"/>
        <item x="1701"/>
        <item x="1702"/>
        <item x="1703"/>
        <item x="1704"/>
        <item x="1705"/>
        <item x="1706"/>
        <item x="1707"/>
        <item x="1708"/>
        <item x="1709"/>
        <item x="1710"/>
        <item x="1711"/>
        <item x="1712"/>
        <item x="1713"/>
        <item x="1714"/>
        <item x="1715"/>
        <item x="1716"/>
        <item x="1717"/>
        <item x="1718"/>
        <item x="1719"/>
        <item x="1720"/>
        <item x="1721"/>
        <item x="1722"/>
        <item x="1723"/>
        <item x="1724"/>
        <item x="1725"/>
        <item x="1726"/>
        <item x="1727"/>
        <item x="1728"/>
        <item x="1729"/>
        <item x="1730"/>
        <item x="1731"/>
        <item x="1732"/>
        <item x="1733"/>
        <item x="1734"/>
        <item x="1735"/>
        <item x="1736"/>
        <item x="1737"/>
        <item x="1738"/>
        <item x="1739"/>
        <item x="1740"/>
        <item x="1741"/>
        <item x="1742"/>
        <item x="1743"/>
        <item x="1744"/>
        <item x="1745"/>
        <item x="1746"/>
        <item x="1747"/>
        <item x="1748"/>
        <item x="1749"/>
        <item x="1750"/>
        <item x="1751"/>
        <item x="1752"/>
        <item x="1753"/>
        <item x="1754"/>
        <item x="1755"/>
        <item x="1756"/>
        <item x="1757"/>
        <item x="1758"/>
        <item x="1759"/>
        <item x="1760"/>
        <item x="1761"/>
        <item x="1762"/>
        <item x="1763"/>
        <item x="1764"/>
        <item x="1765"/>
        <item x="1766"/>
        <item x="1767"/>
        <item x="1768"/>
        <item x="1769"/>
        <item x="1770"/>
        <item x="1771"/>
        <item x="1772"/>
        <item x="1773"/>
        <item x="1774"/>
        <item x="1775"/>
        <item x="1776"/>
        <item x="1777"/>
        <item x="1778"/>
        <item x="1779"/>
        <item x="1780"/>
        <item x="1781"/>
        <item x="1782"/>
        <item x="1783"/>
        <item x="1784"/>
        <item x="1785"/>
        <item x="1786"/>
        <item x="1787"/>
        <item x="1788"/>
        <item x="1789"/>
        <item x="1790"/>
        <item x="1791"/>
        <item x="1792"/>
        <item x="1793"/>
        <item x="1794"/>
        <item x="1795"/>
        <item x="1796"/>
        <item x="1797"/>
        <item x="1798"/>
        <item x="1799"/>
        <item x="1800"/>
        <item x="1801"/>
        <item x="1802"/>
        <item x="1803"/>
        <item x="1804"/>
        <item x="1805"/>
        <item x="1806"/>
        <item x="1807"/>
        <item x="1808"/>
        <item x="1809"/>
        <item x="1810"/>
        <item x="1811"/>
        <item x="1812"/>
        <item x="1813"/>
        <item x="1814"/>
        <item x="1815"/>
        <item x="1816"/>
        <item x="1817"/>
        <item x="1818"/>
        <item x="1819"/>
        <item x="1820"/>
        <item x="1821"/>
        <item x="1822"/>
        <item x="1823"/>
        <item x="1824"/>
        <item x="1825"/>
        <item x="1826"/>
        <item x="1827"/>
        <item x="1828"/>
        <item x="1829"/>
        <item x="1830"/>
        <item x="1831"/>
        <item x="1832"/>
        <item x="1833"/>
        <item x="1834"/>
        <item x="1835"/>
        <item x="1836"/>
        <item x="1837"/>
        <item x="1838"/>
        <item x="1839"/>
        <item x="1840"/>
        <item x="1841"/>
        <item x="1842"/>
        <item x="1843"/>
        <item x="1844"/>
        <item x="1845"/>
        <item x="1846"/>
        <item x="1847"/>
        <item x="1848"/>
        <item x="1849"/>
        <item x="1850"/>
        <item x="1851"/>
        <item x="1852"/>
        <item x="1853"/>
        <item x="1854"/>
        <item x="1855"/>
        <item x="1856"/>
        <item x="1857"/>
        <item x="1858"/>
        <item x="1859"/>
        <item x="1860"/>
        <item x="1861"/>
        <item x="1862"/>
        <item x="1863"/>
        <item x="1864"/>
        <item x="1865"/>
        <item x="1866"/>
        <item x="1867"/>
        <item x="1868"/>
        <item x="1869"/>
        <item x="1870"/>
        <item x="1871"/>
        <item x="1872"/>
        <item x="1873"/>
        <item x="1874"/>
        <item x="1875"/>
        <item x="1876"/>
        <item x="1877"/>
        <item x="1878"/>
        <item x="1879"/>
        <item x="1880"/>
        <item x="1881"/>
        <item x="1882"/>
        <item x="1883"/>
        <item x="1884"/>
        <item x="1885"/>
        <item x="1886"/>
        <item x="1887"/>
        <item x="1888"/>
        <item x="1889"/>
        <item x="1890"/>
        <item x="1891"/>
        <item x="1892"/>
        <item x="1893"/>
        <item x="1894"/>
        <item x="1895"/>
        <item x="1896"/>
        <item x="1897"/>
        <item x="1898"/>
        <item x="1899"/>
        <item x="1900"/>
        <item x="1901"/>
        <item x="1902"/>
        <item x="1903"/>
        <item x="1904"/>
        <item x="1905"/>
        <item x="1906"/>
        <item x="1907"/>
        <item x="1908"/>
        <item x="1909"/>
        <item x="1910"/>
        <item x="1911"/>
        <item x="1912"/>
        <item x="1913"/>
        <item x="1914"/>
        <item x="1915"/>
        <item x="1916"/>
        <item x="1917"/>
        <item x="1918"/>
        <item x="1919"/>
        <item x="1920"/>
        <item x="1921"/>
        <item x="1922"/>
        <item x="1923"/>
        <item x="1924"/>
        <item x="1925"/>
        <item x="1926"/>
        <item x="1927"/>
        <item x="1928"/>
        <item x="1929"/>
        <item x="1930"/>
        <item x="1931"/>
        <item x="1932"/>
        <item x="1933"/>
        <item x="1934"/>
        <item x="1935"/>
        <item x="1936"/>
        <item x="1937"/>
        <item x="1938"/>
        <item x="1939"/>
        <item x="1940"/>
        <item x="1941"/>
        <item x="1942"/>
        <item x="1943"/>
        <item x="1944"/>
        <item x="1945"/>
        <item x="1946"/>
        <item x="1947"/>
        <item x="1948"/>
        <item x="1949"/>
        <item x="1950"/>
        <item x="1951"/>
        <item x="1952"/>
        <item x="1953"/>
        <item x="1954"/>
        <item x="1955"/>
        <item x="1956"/>
        <item x="1957"/>
        <item x="1958"/>
        <item x="1959"/>
        <item x="1960"/>
        <item x="1961"/>
        <item x="1962"/>
        <item x="1963"/>
        <item x="1964"/>
        <item x="1965"/>
        <item x="1966"/>
        <item x="1967"/>
        <item x="1968"/>
        <item x="1969"/>
        <item x="1970"/>
        <item x="1971"/>
        <item x="1972"/>
        <item x="1973"/>
        <item x="1974"/>
        <item x="1975"/>
        <item x="1976"/>
        <item x="1977"/>
        <item x="1978"/>
        <item x="1979"/>
        <item x="1980"/>
        <item x="1981"/>
        <item x="1982"/>
        <item x="1983"/>
        <item x="1984"/>
        <item x="1985"/>
        <item x="1986"/>
        <item x="1987"/>
        <item x="1988"/>
        <item x="1989"/>
        <item x="1990"/>
        <item x="1991"/>
        <item x="1992"/>
        <item x="1993"/>
        <item x="1994"/>
        <item x="1995"/>
        <item x="1996"/>
        <item x="1997"/>
        <item x="1998"/>
        <item x="1999"/>
        <item x="2000"/>
        <item x="2001"/>
        <item x="2002"/>
        <item x="2003"/>
        <item x="2004"/>
        <item x="2005"/>
        <item x="2006"/>
        <item x="2007"/>
        <item x="2008"/>
        <item x="2009"/>
        <item x="2010"/>
        <item x="2011"/>
        <item x="2012"/>
        <item x="2013"/>
        <item x="2014"/>
        <item x="2015"/>
        <item x="2016"/>
        <item x="2017"/>
        <item x="2018"/>
        <item x="2019"/>
        <item x="2020"/>
        <item x="2021"/>
        <item x="2022"/>
        <item x="2023"/>
        <item x="2024"/>
        <item x="2025"/>
        <item x="2026"/>
        <item x="2027"/>
        <item x="2028"/>
        <item x="2029"/>
        <item x="2030"/>
        <item x="2031"/>
        <item x="2032"/>
        <item x="2033"/>
        <item x="2034"/>
        <item x="2035"/>
        <item x="2036"/>
        <item x="2037"/>
        <item x="2038"/>
        <item x="2039"/>
        <item x="2040"/>
        <item x="2041"/>
        <item x="2042"/>
        <item x="2043"/>
        <item x="2044"/>
        <item x="2045"/>
        <item x="2046"/>
        <item x="2047"/>
        <item x="2048"/>
        <item x="2049"/>
        <item x="2050"/>
        <item x="2051"/>
        <item x="2052"/>
        <item x="2053"/>
        <item x="2054"/>
        <item x="2055"/>
        <item x="2056"/>
        <item x="2057"/>
        <item x="2058"/>
        <item x="2059"/>
        <item x="2060"/>
        <item x="2061"/>
        <item x="2062"/>
        <item x="2063"/>
        <item x="2064"/>
        <item x="2065"/>
        <item x="2066"/>
        <item x="2067"/>
        <item x="2068"/>
        <item x="2069"/>
        <item x="2070"/>
        <item x="2071"/>
        <item x="2072"/>
        <item x="2073"/>
        <item x="2074"/>
        <item x="2075"/>
        <item x="2076"/>
        <item x="2077"/>
        <item x="2078"/>
        <item x="2079"/>
        <item x="2080"/>
        <item x="2081"/>
        <item x="2082"/>
        <item x="2083"/>
        <item x="2084"/>
        <item x="2085"/>
        <item x="2086"/>
        <item x="2087"/>
        <item x="2088"/>
        <item x="2089"/>
        <item x="2090"/>
        <item x="2091"/>
        <item x="2092"/>
        <item x="2093"/>
        <item x="2094"/>
        <item x="2095"/>
        <item x="2096"/>
        <item x="2097"/>
        <item x="2098"/>
        <item x="2099"/>
        <item x="2100"/>
        <item x="2101"/>
        <item x="2102"/>
        <item x="2103"/>
        <item x="2104"/>
        <item x="2105"/>
        <item x="2106"/>
        <item x="2107"/>
        <item x="2108"/>
        <item x="2109"/>
        <item x="2110"/>
        <item x="2111"/>
        <item x="2112"/>
        <item x="2113"/>
        <item x="2114"/>
        <item x="2115"/>
        <item x="2116"/>
        <item x="2117"/>
        <item x="2118"/>
        <item x="2119"/>
        <item x="2120"/>
        <item x="2121"/>
        <item x="2122"/>
        <item x="2123"/>
        <item x="2124"/>
        <item x="2125"/>
        <item x="2126"/>
        <item x="2127"/>
        <item x="2128"/>
        <item x="2129"/>
        <item x="2130"/>
        <item x="2131"/>
        <item x="2132"/>
        <item x="2133"/>
        <item x="2134"/>
        <item x="2135"/>
        <item x="2136"/>
        <item x="2137"/>
        <item x="2138"/>
        <item x="2139"/>
        <item x="2140"/>
        <item x="2141"/>
        <item x="2142"/>
        <item x="2143"/>
        <item x="2144"/>
        <item x="2145"/>
        <item x="2146"/>
        <item x="2147"/>
        <item x="2148"/>
        <item x="2149"/>
        <item x="2150"/>
        <item x="2151"/>
        <item x="2152"/>
        <item x="2153"/>
        <item x="2154"/>
        <item x="2155"/>
        <item x="2156"/>
        <item x="2157"/>
        <item x="2158"/>
        <item x="2159"/>
        <item x="2160"/>
        <item x="2161"/>
        <item x="2162"/>
        <item x="2163"/>
        <item x="2164"/>
        <item x="2165"/>
        <item x="2166"/>
        <item x="2167"/>
        <item x="2168"/>
        <item x="2169"/>
        <item x="2170"/>
        <item x="2171"/>
        <item x="2172"/>
        <item x="2173"/>
        <item x="2174"/>
        <item x="2175"/>
        <item x="2176"/>
        <item x="2177"/>
        <item x="2178"/>
        <item x="2179"/>
        <item x="2180"/>
        <item x="2181"/>
        <item x="2182"/>
        <item x="2183"/>
        <item x="2184"/>
        <item x="2185"/>
        <item x="2186"/>
        <item x="2187"/>
        <item x="2188"/>
        <item x="2189"/>
        <item x="2190"/>
        <item x="2191"/>
        <item x="2192"/>
        <item x="2193"/>
        <item x="2194"/>
        <item x="2195"/>
        <item x="2196"/>
        <item x="2197"/>
        <item x="2198"/>
        <item x="2199"/>
        <item x="2200"/>
        <item x="2201"/>
        <item x="2202"/>
        <item x="2203"/>
        <item x="2204"/>
        <item x="2205"/>
        <item x="2206"/>
        <item x="2207"/>
        <item x="2208"/>
        <item x="2209"/>
        <item x="2210"/>
        <item x="2211"/>
        <item x="2212"/>
        <item x="2213"/>
        <item x="2214"/>
        <item x="2215"/>
        <item x="2216"/>
        <item x="2217"/>
        <item x="2218"/>
        <item x="2219"/>
        <item x="2220"/>
        <item x="2221"/>
        <item x="2222"/>
        <item x="2223"/>
        <item x="2224"/>
        <item x="2225"/>
        <item x="2226"/>
        <item x="2227"/>
        <item x="2228"/>
        <item x="2229"/>
        <item x="2230"/>
        <item x="2231"/>
        <item x="2232"/>
        <item x="2233"/>
        <item x="2234"/>
        <item x="2235"/>
        <item x="2236"/>
        <item x="2237"/>
        <item x="2238"/>
        <item x="2239"/>
        <item x="2240"/>
        <item x="2241"/>
        <item x="2242"/>
        <item x="2243"/>
        <item x="2244"/>
        <item x="2245"/>
        <item x="2246"/>
        <item x="2247"/>
        <item x="2248"/>
        <item x="2249"/>
        <item x="2250"/>
        <item x="2251"/>
        <item x="2252"/>
        <item x="2253"/>
        <item x="2254"/>
        <item x="2255"/>
        <item x="2256"/>
        <item x="2257"/>
        <item x="2258"/>
        <item x="2259"/>
        <item x="2260"/>
        <item x="2261"/>
        <item x="2262"/>
        <item x="2263"/>
        <item x="2264"/>
        <item x="2265"/>
        <item x="2266"/>
        <item x="2267"/>
        <item x="2268"/>
        <item x="2269"/>
        <item x="2270"/>
        <item x="2271"/>
        <item x="2272"/>
        <item x="2273"/>
        <item x="2274"/>
        <item x="2275"/>
        <item x="2276"/>
        <item x="2277"/>
        <item x="2278"/>
        <item x="2279"/>
        <item x="2280"/>
        <item x="2281"/>
        <item x="2282"/>
        <item x="2283"/>
        <item x="2284"/>
        <item x="2285"/>
        <item x="2286"/>
        <item x="2287"/>
        <item x="2288"/>
        <item x="2289"/>
        <item x="2290"/>
        <item x="2291"/>
        <item x="2292"/>
        <item x="2293"/>
        <item x="2294"/>
        <item x="2295"/>
        <item x="2296"/>
        <item x="2297"/>
        <item x="2298"/>
        <item x="2299"/>
        <item x="2300"/>
        <item x="2301"/>
        <item x="2302"/>
        <item x="2303"/>
        <item x="2304"/>
        <item x="2305"/>
        <item x="2306"/>
        <item x="2307"/>
        <item x="2308"/>
        <item x="2309"/>
        <item x="2310"/>
        <item x="2311"/>
        <item x="2312"/>
        <item x="2313"/>
        <item x="2314"/>
        <item x="2315"/>
        <item x="2316"/>
        <item x="2317"/>
        <item x="2318"/>
        <item x="2319"/>
        <item x="2320"/>
        <item x="2321"/>
        <item x="2322"/>
        <item x="2323"/>
        <item x="2324"/>
        <item x="2325"/>
        <item x="2326"/>
        <item x="2327"/>
        <item x="2328"/>
        <item x="2329"/>
        <item x="2330"/>
        <item x="2331"/>
        <item x="2332"/>
        <item x="2333"/>
        <item x="2334"/>
        <item x="2335"/>
        <item x="2336"/>
        <item x="2337"/>
        <item x="2338"/>
        <item x="2339"/>
        <item x="2340"/>
        <item x="2341"/>
        <item x="2342"/>
        <item x="2343"/>
        <item x="2344"/>
        <item x="2345"/>
        <item x="2346"/>
        <item x="2347"/>
        <item x="2348"/>
        <item x="2349"/>
        <item x="2350"/>
        <item x="2351"/>
        <item x="2352"/>
        <item x="2353"/>
        <item x="2354"/>
        <item x="2355"/>
        <item x="2356"/>
        <item x="2357"/>
        <item x="2358"/>
        <item x="2359"/>
        <item x="2360"/>
        <item x="2361"/>
        <item x="2362"/>
        <item x="2363"/>
        <item x="2364"/>
        <item x="2365"/>
        <item x="2366"/>
        <item x="2367"/>
        <item x="2368"/>
        <item x="2369"/>
        <item x="2370"/>
        <item x="2371"/>
        <item x="2372"/>
        <item x="2373"/>
        <item x="2374"/>
        <item x="2375"/>
        <item x="2376"/>
        <item x="2377"/>
        <item x="2378"/>
        <item x="2379"/>
        <item x="2380"/>
        <item x="2381"/>
        <item x="2382"/>
        <item x="2383"/>
        <item x="2384"/>
        <item x="2385"/>
        <item x="2386"/>
        <item x="2387"/>
        <item x="2388"/>
        <item x="2389"/>
        <item x="2390"/>
        <item x="2391"/>
        <item x="2392"/>
        <item x="2393"/>
        <item x="2394"/>
        <item x="2395"/>
        <item x="2396"/>
        <item x="2397"/>
        <item x="2398"/>
        <item x="2399"/>
        <item x="2400"/>
        <item x="2401"/>
        <item x="2402"/>
        <item x="2403"/>
        <item x="2404"/>
        <item x="2405"/>
        <item x="2406"/>
        <item x="2407"/>
        <item x="2408"/>
        <item x="2409"/>
        <item x="2410"/>
        <item x="2411"/>
        <item x="2412"/>
        <item x="2413"/>
        <item x="2414"/>
        <item x="2415"/>
        <item x="2416"/>
        <item x="2417"/>
        <item x="2418"/>
        <item x="2419"/>
        <item x="2420"/>
        <item x="2421"/>
        <item x="2422"/>
        <item x="2423"/>
        <item x="2424"/>
        <item x="2425"/>
        <item x="2426"/>
        <item x="2427"/>
        <item x="2428"/>
        <item x="2429"/>
        <item x="2430"/>
        <item x="2431"/>
        <item x="2432"/>
        <item x="2433"/>
        <item x="2434"/>
        <item x="2435"/>
        <item x="2436"/>
        <item x="2437"/>
        <item x="2438"/>
        <item x="2439"/>
        <item x="2440"/>
        <item x="2441"/>
        <item x="2442"/>
        <item x="2443"/>
        <item x="2444"/>
        <item x="2445"/>
        <item x="2446"/>
        <item x="2447"/>
        <item x="2448"/>
        <item x="2449"/>
        <item x="2450"/>
        <item x="2451"/>
        <item x="2452"/>
        <item x="2453"/>
        <item x="2454"/>
        <item x="2455"/>
        <item x="2456"/>
        <item x="2457"/>
        <item x="2458"/>
        <item x="2459"/>
        <item x="2460"/>
        <item x="2461"/>
        <item x="2462"/>
        <item x="2463"/>
        <item x="2464"/>
        <item x="2465"/>
        <item x="2466"/>
        <item x="2467"/>
        <item x="2468"/>
        <item x="2469"/>
        <item x="2470"/>
        <item x="2471"/>
        <item x="2472"/>
        <item x="2473"/>
        <item x="2474"/>
        <item x="2475"/>
        <item x="2476"/>
        <item x="2477"/>
        <item x="2478"/>
        <item x="2479"/>
        <item x="2480"/>
        <item x="2481"/>
        <item x="2482"/>
        <item x="2483"/>
        <item x="2484"/>
        <item x="2485"/>
        <item x="2486"/>
        <item x="2487"/>
        <item x="2488"/>
        <item x="2489"/>
        <item x="2490"/>
        <item x="2491"/>
        <item x="2492"/>
        <item x="2493"/>
        <item x="2494"/>
        <item x="2495"/>
        <item x="2496"/>
        <item x="2497"/>
        <item x="2498"/>
        <item x="2499"/>
        <item x="2500"/>
        <item x="2501"/>
        <item x="2502"/>
        <item x="2503"/>
        <item x="2504"/>
        <item x="2505"/>
        <item x="2506"/>
        <item x="2507"/>
        <item x="2508"/>
        <item x="2509"/>
        <item x="2510"/>
        <item x="2511"/>
        <item x="2512"/>
        <item x="2513"/>
        <item x="2514"/>
        <item x="2515"/>
        <item x="2516"/>
        <item x="2517"/>
        <item x="2518"/>
        <item x="2519"/>
        <item x="2520"/>
        <item x="2521"/>
        <item x="2522"/>
        <item x="2523"/>
        <item x="2524"/>
        <item x="2525"/>
        <item x="2526"/>
        <item x="2527"/>
        <item x="2528"/>
        <item x="2529"/>
        <item x="2530"/>
        <item x="2531"/>
        <item x="2532"/>
        <item x="2533"/>
        <item x="2534"/>
        <item x="2535"/>
        <item x="2536"/>
        <item x="2537"/>
        <item x="2538"/>
        <item x="2539"/>
        <item x="2540"/>
        <item x="2541"/>
        <item x="2542"/>
        <item x="2543"/>
        <item x="2544"/>
        <item x="2545"/>
        <item x="2546"/>
        <item x="2547"/>
        <item x="2548"/>
        <item x="2549"/>
        <item x="2550"/>
        <item x="2551"/>
        <item x="2552"/>
        <item x="2553"/>
        <item x="2554"/>
        <item x="2555"/>
        <item x="2556"/>
        <item x="2557"/>
        <item x="2558"/>
        <item x="2559"/>
        <item x="2560"/>
        <item x="2561"/>
        <item x="2562"/>
        <item x="2563"/>
        <item x="2564"/>
        <item x="2565"/>
        <item x="2566"/>
        <item x="2567"/>
        <item x="2568"/>
        <item x="2569"/>
        <item x="2570"/>
        <item x="2571"/>
        <item x="2572"/>
        <item x="2573"/>
        <item x="2574"/>
        <item x="2575"/>
        <item x="2576"/>
        <item x="2577"/>
        <item x="2578"/>
        <item x="2579"/>
        <item x="2580"/>
        <item x="2581"/>
        <item x="2582"/>
        <item x="2583"/>
        <item x="2584"/>
        <item x="2585"/>
        <item x="2586"/>
        <item x="2587"/>
        <item x="2588"/>
        <item x="2589"/>
        <item x="2590"/>
        <item x="2591"/>
        <item x="2592"/>
        <item x="2593"/>
        <item x="2594"/>
        <item x="2595"/>
        <item x="2596"/>
        <item x="2597"/>
        <item x="2598"/>
        <item x="2599"/>
        <item x="2600"/>
        <item x="2601"/>
        <item x="2602"/>
        <item x="2603"/>
        <item x="2604"/>
        <item x="2605"/>
        <item x="2606"/>
        <item x="2607"/>
        <item x="2608"/>
        <item x="2609"/>
        <item x="2610"/>
        <item x="2611"/>
        <item x="2612"/>
        <item x="2613"/>
        <item x="2614"/>
        <item x="2615"/>
        <item x="2616"/>
        <item x="2617"/>
        <item x="2618"/>
        <item x="2619"/>
        <item x="2620"/>
        <item x="2621"/>
        <item x="2622"/>
        <item x="2623"/>
        <item x="2624"/>
        <item x="2625"/>
        <item x="2626"/>
        <item x="2627"/>
        <item x="2628"/>
        <item x="2629"/>
        <item x="2630"/>
        <item x="2631"/>
        <item x="2632"/>
        <item x="2633"/>
        <item x="2634"/>
        <item x="2635"/>
        <item x="2636"/>
        <item x="2637"/>
        <item x="2638"/>
        <item x="2639"/>
        <item x="2640"/>
        <item x="2641"/>
        <item x="2642"/>
        <item x="2643"/>
        <item x="2644"/>
        <item x="2645"/>
        <item x="2646"/>
        <item x="2647"/>
        <item x="2648"/>
        <item x="2649"/>
        <item x="2650"/>
        <item x="2651"/>
        <item x="2652"/>
        <item x="2653"/>
        <item x="2654"/>
        <item x="2655"/>
        <item x="2656"/>
        <item x="2657"/>
        <item x="2658"/>
        <item x="2659"/>
        <item x="2660"/>
        <item x="2661"/>
        <item x="2662"/>
        <item x="2663"/>
        <item x="2664"/>
        <item x="2665"/>
        <item x="2666"/>
        <item x="2667"/>
        <item x="2668"/>
        <item x="2669"/>
        <item x="2670"/>
        <item x="2671"/>
        <item x="2672"/>
        <item x="2673"/>
        <item x="2674"/>
        <item x="2675"/>
        <item x="2676"/>
        <item x="2677"/>
        <item x="2678"/>
        <item x="2679"/>
        <item x="2680"/>
        <item x="2681"/>
        <item x="2682"/>
        <item x="2683"/>
        <item x="2684"/>
        <item x="2685"/>
        <item x="2686"/>
        <item x="2687"/>
        <item x="2688"/>
        <item x="2689"/>
        <item x="2690"/>
        <item x="2691"/>
        <item x="2692"/>
        <item x="2693"/>
        <item x="2694"/>
        <item x="2695"/>
        <item x="2696"/>
        <item x="2697"/>
        <item x="2698"/>
        <item x="2699"/>
        <item x="2700"/>
        <item x="2701"/>
        <item x="2702"/>
        <item x="2703"/>
        <item x="2704"/>
        <item x="2705"/>
        <item x="2706"/>
        <item x="2707"/>
        <item x="2708"/>
        <item x="2709"/>
        <item x="2710"/>
        <item x="2711"/>
        <item x="2712"/>
        <item x="2713"/>
        <item x="2714"/>
        <item x="2715"/>
        <item x="2716"/>
        <item x="2717"/>
        <item x="2718"/>
        <item x="2719"/>
        <item x="2720"/>
        <item x="2721"/>
        <item x="2722"/>
        <item x="2723"/>
        <item x="2724"/>
        <item x="2725"/>
        <item x="2726"/>
        <item x="2727"/>
        <item x="2728"/>
        <item x="2729"/>
        <item x="2730"/>
        <item x="2731"/>
        <item x="2732"/>
        <item x="2733"/>
        <item x="2734"/>
        <item x="2735"/>
        <item x="2736"/>
        <item x="2737"/>
        <item x="2738"/>
        <item x="2739"/>
        <item x="2740"/>
        <item x="2741"/>
        <item x="2742"/>
        <item x="2743"/>
        <item x="2744"/>
        <item x="2745"/>
        <item x="2746"/>
        <item x="2747"/>
        <item x="2748"/>
        <item x="2749"/>
        <item x="2750"/>
        <item x="2751"/>
        <item x="2752"/>
        <item x="2753"/>
        <item x="2754"/>
        <item x="2755"/>
        <item x="2756"/>
        <item x="2757"/>
        <item x="2758"/>
        <item x="2759"/>
        <item x="2760"/>
        <item x="2761"/>
        <item x="2762"/>
        <item x="2763"/>
        <item x="2764"/>
        <item x="2765"/>
        <item x="2766"/>
        <item x="2767"/>
        <item x="2768"/>
        <item x="2769"/>
        <item x="2770"/>
        <item x="2771"/>
        <item x="2772"/>
        <item x="2773"/>
        <item x="2774"/>
        <item x="2775"/>
        <item x="2776"/>
        <item x="2777"/>
        <item x="2778"/>
        <item x="2779"/>
        <item x="2780"/>
        <item x="2781"/>
        <item x="2782"/>
        <item x="2783"/>
        <item x="2784"/>
        <item x="2785"/>
        <item x="2786"/>
        <item x="2787"/>
        <item x="2788"/>
        <item x="2789"/>
        <item x="2790"/>
        <item x="2791"/>
        <item x="2792"/>
        <item x="2793"/>
        <item x="2794"/>
        <item x="2795"/>
        <item x="2796"/>
        <item x="2797"/>
        <item x="2798"/>
        <item x="2799"/>
        <item x="2800"/>
        <item x="2801"/>
        <item x="2802"/>
        <item x="2803"/>
        <item x="2804"/>
        <item x="2805"/>
        <item x="2806"/>
        <item x="2807"/>
        <item x="2808"/>
        <item x="2809"/>
        <item x="2810"/>
        <item x="2811"/>
        <item x="2812"/>
        <item x="2813"/>
        <item x="2814"/>
        <item x="2815"/>
        <item x="2816"/>
        <item x="2817"/>
        <item x="2818"/>
        <item x="2819"/>
        <item x="2820"/>
        <item x="2821"/>
        <item x="2822"/>
        <item x="2823"/>
        <item x="2824"/>
        <item x="2825"/>
        <item x="2826"/>
        <item x="2827"/>
        <item x="2828"/>
        <item x="2829"/>
        <item x="2830"/>
        <item x="2831"/>
        <item x="2832"/>
        <item x="2833"/>
        <item x="2834"/>
        <item x="2835"/>
        <item x="2836"/>
        <item x="2837"/>
        <item x="2838"/>
        <item x="2839"/>
        <item x="2840"/>
        <item x="2841"/>
        <item x="2842"/>
        <item x="2843"/>
        <item x="2844"/>
        <item x="2845"/>
        <item x="2846"/>
        <item x="2847"/>
        <item x="2848"/>
        <item x="2849"/>
        <item x="2850"/>
        <item x="2851"/>
        <item x="2852"/>
        <item x="2853"/>
        <item x="2854"/>
        <item x="2855"/>
        <item x="2856"/>
        <item x="2857"/>
        <item x="2858"/>
        <item x="2859"/>
        <item x="2860"/>
        <item x="2861"/>
        <item x="2862"/>
        <item x="2863"/>
        <item x="2864"/>
        <item x="2865"/>
        <item x="2866"/>
        <item x="2867"/>
        <item x="2868"/>
        <item x="2869"/>
        <item x="2870"/>
        <item x="2871"/>
        <item x="2872"/>
        <item x="2873"/>
        <item x="2874"/>
        <item x="2875"/>
        <item x="2876"/>
        <item x="2877"/>
        <item x="2878"/>
        <item x="2879"/>
        <item x="2880"/>
        <item x="2881"/>
        <item x="2882"/>
        <item x="2883"/>
        <item x="2884"/>
        <item x="2885"/>
        <item x="2886"/>
        <item x="2887"/>
        <item x="2888"/>
        <item x="2889"/>
        <item x="2890"/>
        <item x="2891"/>
        <item x="2892"/>
        <item x="2893"/>
        <item x="2894"/>
        <item x="2895"/>
        <item x="2896"/>
        <item x="2897"/>
        <item x="2898"/>
        <item x="2899"/>
        <item x="2900"/>
        <item x="2901"/>
        <item x="2902"/>
        <item x="2903"/>
        <item x="2904"/>
        <item x="2905"/>
        <item x="2906"/>
        <item x="2907"/>
        <item x="2908"/>
        <item x="2909"/>
        <item x="2910"/>
        <item x="2911"/>
        <item x="2912"/>
        <item x="2913"/>
        <item x="2914"/>
        <item x="2915"/>
        <item x="2916"/>
        <item x="2917"/>
        <item x="2918"/>
        <item x="2919"/>
        <item x="2920"/>
        <item x="2921"/>
        <item x="2922"/>
        <item x="2923"/>
        <item x="2924"/>
        <item x="2925"/>
        <item x="2926"/>
        <item x="2927"/>
        <item x="2928"/>
        <item x="2929"/>
        <item x="2930"/>
        <item x="2931"/>
        <item x="2932"/>
        <item x="2933"/>
        <item x="2934"/>
        <item x="2935"/>
        <item x="2936"/>
        <item x="2937"/>
        <item x="2938"/>
        <item x="2939"/>
        <item x="2940"/>
        <item x="2941"/>
        <item x="2942"/>
        <item x="2943"/>
        <item x="2944"/>
        <item x="2945"/>
        <item x="2946"/>
        <item x="2947"/>
        <item x="2948"/>
        <item x="2949"/>
        <item x="2950"/>
        <item x="2951"/>
        <item x="2952"/>
        <item x="2953"/>
        <item x="2954"/>
        <item x="2955"/>
        <item x="2956"/>
        <item x="2957"/>
        <item x="2958"/>
        <item x="2959"/>
        <item x="2960"/>
        <item x="2961"/>
        <item x="2962"/>
        <item x="2963"/>
        <item x="2964"/>
        <item x="2965"/>
        <item x="2966"/>
        <item x="2967"/>
        <item x="2968"/>
        <item x="2969"/>
        <item x="2970"/>
        <item x="2971"/>
        <item x="2972"/>
        <item x="2973"/>
        <item x="2974"/>
        <item x="2975"/>
        <item x="2976"/>
        <item x="2977"/>
        <item x="2978"/>
        <item x="2979"/>
        <item x="2980"/>
        <item x="2981"/>
        <item x="2982"/>
        <item x="2983"/>
        <item x="2984"/>
        <item x="2985"/>
        <item x="2986"/>
        <item x="2987"/>
        <item x="2988"/>
        <item x="2989"/>
        <item x="2990"/>
        <item x="2991"/>
        <item x="2992"/>
        <item x="2993"/>
        <item x="2994"/>
        <item x="2995"/>
        <item x="2996"/>
        <item x="2997"/>
        <item x="2998"/>
        <item x="2999"/>
        <item x="3000"/>
        <item x="3001"/>
        <item x="3002"/>
        <item x="3003"/>
        <item x="3004"/>
        <item x="3005"/>
        <item x="3006"/>
        <item x="3007"/>
        <item x="3008"/>
        <item x="3009"/>
        <item x="3010"/>
        <item x="3011"/>
        <item x="3012"/>
        <item x="3013"/>
        <item x="3014"/>
        <item x="3015"/>
        <item x="3016"/>
        <item x="3017"/>
        <item x="3018"/>
        <item x="3019"/>
        <item x="3020"/>
        <item x="3021"/>
        <item x="3022"/>
        <item x="3023"/>
        <item x="3024"/>
        <item x="3025"/>
        <item x="3026"/>
        <item x="3027"/>
        <item x="3028"/>
        <item x="3029"/>
        <item x="3030"/>
        <item x="3031"/>
        <item x="3032"/>
        <item x="3033"/>
        <item x="3034"/>
        <item x="3035"/>
        <item x="3036"/>
        <item x="3037"/>
        <item x="3038"/>
        <item x="3039"/>
        <item x="3040"/>
        <item x="3041"/>
        <item x="3042"/>
        <item x="3043"/>
        <item x="3044"/>
        <item x="3045"/>
        <item x="3046"/>
        <item x="3047"/>
        <item x="3048"/>
        <item x="3049"/>
        <item x="3050"/>
        <item x="3051"/>
        <item x="3052"/>
        <item x="3053"/>
        <item x="3054"/>
        <item x="3055"/>
        <item x="3056"/>
        <item x="3057"/>
        <item x="3058"/>
        <item x="3059"/>
        <item x="3060"/>
        <item x="3061"/>
        <item x="3062"/>
        <item x="3063"/>
        <item x="3064"/>
        <item x="3065"/>
        <item x="3066"/>
        <item x="3067"/>
        <item x="3068"/>
        <item x="3069"/>
        <item x="3070"/>
        <item x="3071"/>
        <item x="3072"/>
        <item x="3073"/>
        <item x="3074"/>
        <item x="3075"/>
        <item x="3076"/>
        <item x="3077"/>
        <item x="3078"/>
        <item x="3079"/>
        <item x="3080"/>
        <item x="3081"/>
        <item x="3082"/>
        <item x="3083"/>
        <item x="3084"/>
        <item x="3085"/>
        <item x="3086"/>
        <item x="3087"/>
        <item x="3088"/>
        <item x="3089"/>
        <item x="3090"/>
        <item x="3091"/>
        <item x="3092"/>
        <item x="3093"/>
        <item x="3094"/>
        <item x="3095"/>
        <item x="3096"/>
        <item x="3097"/>
        <item x="3098"/>
        <item x="3099"/>
        <item x="3100"/>
        <item x="3101"/>
        <item x="3102"/>
        <item x="3103"/>
        <item x="3104"/>
        <item x="3105"/>
        <item x="3106"/>
        <item x="3107"/>
        <item x="3108"/>
        <item x="3109"/>
        <item x="3110"/>
        <item x="3111"/>
        <item x="3112"/>
        <item x="3113"/>
        <item x="3114"/>
        <item x="3115"/>
        <item x="3116"/>
        <item x="3117"/>
        <item x="3118"/>
        <item x="3119"/>
        <item x="3120"/>
        <item x="3121"/>
        <item x="3122"/>
        <item x="3123"/>
        <item x="3124"/>
        <item x="3125"/>
        <item x="3126"/>
        <item x="3127"/>
        <item x="3128"/>
        <item x="3129"/>
        <item x="3130"/>
        <item x="3131"/>
        <item x="3132"/>
        <item x="3133"/>
        <item x="3134"/>
        <item x="3135"/>
        <item x="3136"/>
        <item x="3137"/>
        <item x="3138"/>
        <item x="3139"/>
        <item x="3140"/>
        <item x="3141"/>
        <item x="3142"/>
        <item x="3143"/>
        <item x="3144"/>
        <item x="3145"/>
        <item x="3146"/>
        <item x="3147"/>
        <item x="3148"/>
        <item x="3149"/>
        <item x="3150"/>
        <item x="3151"/>
        <item x="3152"/>
        <item x="3153"/>
        <item x="3154"/>
        <item x="3155"/>
        <item x="3156"/>
        <item x="3157"/>
        <item x="3158"/>
        <item x="3159"/>
        <item x="3160"/>
        <item x="3161"/>
        <item x="3162"/>
        <item x="3163"/>
        <item x="3164"/>
        <item x="3165"/>
        <item x="3166"/>
        <item x="3167"/>
        <item x="3168"/>
        <item x="3169"/>
        <item x="3170"/>
        <item x="3171"/>
        <item x="3172"/>
        <item x="3173"/>
        <item x="3174"/>
        <item x="3175"/>
        <item x="3176"/>
        <item x="3177"/>
        <item x="3178"/>
        <item x="3179"/>
        <item x="3180"/>
        <item x="3181"/>
        <item x="3182"/>
        <item x="3183"/>
        <item x="3184"/>
        <item x="3185"/>
        <item x="3186"/>
        <item x="3187"/>
        <item x="3188"/>
        <item x="3189"/>
        <item x="3190"/>
        <item x="3191"/>
        <item x="3192"/>
        <item x="3193"/>
        <item x="3194"/>
        <item x="3195"/>
        <item x="3196"/>
        <item x="3197"/>
        <item x="3198"/>
        <item x="3199"/>
        <item x="3200"/>
        <item x="3201"/>
        <item x="3202"/>
        <item x="3203"/>
        <item x="3204"/>
        <item x="3205"/>
        <item x="3206"/>
        <item x="3207"/>
        <item x="3208"/>
        <item x="3209"/>
        <item x="3210"/>
        <item x="3211"/>
        <item x="3212"/>
        <item x="3213"/>
        <item x="3214"/>
        <item x="3215"/>
        <item x="3216"/>
        <item x="3217"/>
        <item x="3218"/>
        <item x="3219"/>
        <item x="3220"/>
        <item x="3221"/>
        <item x="3222"/>
        <item x="3223"/>
        <item x="3224"/>
        <item x="3225"/>
        <item x="3226"/>
        <item x="3227"/>
        <item x="3228"/>
        <item x="3229"/>
        <item x="3230"/>
        <item x="3231"/>
        <item x="3232"/>
        <item x="3233"/>
        <item x="3234"/>
        <item x="3235"/>
        <item x="3236"/>
        <item x="3237"/>
        <item x="3238"/>
        <item x="3239"/>
        <item x="3240"/>
        <item x="3241"/>
        <item x="3242"/>
        <item x="3243"/>
        <item x="3244"/>
        <item x="3245"/>
        <item x="3246"/>
        <item x="3247"/>
        <item x="3248"/>
        <item x="3249"/>
        <item x="3250"/>
        <item x="3251"/>
        <item x="3252"/>
        <item x="3253"/>
        <item x="3254"/>
        <item x="3255"/>
        <item x="3256"/>
        <item x="3257"/>
        <item x="3258"/>
        <item x="3259"/>
        <item x="3260"/>
        <item x="3261"/>
        <item x="3262"/>
        <item x="3263"/>
        <item x="3264"/>
        <item x="3265"/>
        <item x="3266"/>
        <item x="3267"/>
        <item x="3268"/>
        <item x="3269"/>
        <item x="3270"/>
        <item x="3271"/>
        <item x="3272"/>
        <item x="3273"/>
        <item x="3274"/>
        <item x="3275"/>
        <item x="3276"/>
        <item x="3277"/>
        <item x="3278"/>
        <item x="3279"/>
        <item x="3280"/>
        <item x="3281"/>
        <item x="3282"/>
        <item x="3283"/>
        <item x="3284"/>
        <item x="3285"/>
        <item x="3286"/>
        <item x="3287"/>
        <item x="3288"/>
        <item x="3289"/>
        <item x="3290"/>
        <item x="3291"/>
        <item x="3292"/>
        <item x="3293"/>
        <item x="3294"/>
        <item x="3295"/>
        <item x="3296"/>
        <item x="3297"/>
        <item x="3298"/>
        <item x="3299"/>
        <item x="3300"/>
        <item x="3301"/>
        <item x="3302"/>
        <item x="3303"/>
        <item x="3304"/>
        <item x="3305"/>
        <item x="3306"/>
        <item x="3307"/>
        <item x="3308"/>
        <item x="3309"/>
        <item x="3310"/>
        <item x="3311"/>
        <item x="3312"/>
        <item x="3313"/>
        <item x="3314"/>
        <item x="3315"/>
        <item x="3316"/>
        <item x="3317"/>
        <item x="3318"/>
        <item x="3319"/>
        <item x="3320"/>
        <item x="3321"/>
        <item x="3322"/>
        <item x="3323"/>
        <item x="3324"/>
        <item x="3325"/>
        <item x="3326"/>
        <item x="3327"/>
        <item x="3328"/>
        <item x="3329"/>
        <item x="3330"/>
        <item x="3331"/>
        <item x="3332"/>
        <item x="3333"/>
        <item x="3334"/>
        <item x="3335"/>
        <item x="3336"/>
        <item x="3337"/>
        <item x="3338"/>
        <item x="3339"/>
        <item x="3340"/>
        <item x="3341"/>
        <item x="3342"/>
        <item x="3343"/>
        <item x="3344"/>
        <item x="3345"/>
        <item x="3346"/>
        <item x="3347"/>
        <item x="3348"/>
        <item x="3349"/>
        <item x="3350"/>
        <item x="3351"/>
        <item x="3352"/>
        <item x="3353"/>
        <item x="3354"/>
        <item x="3355"/>
        <item x="3356"/>
        <item x="3357"/>
        <item x="3358"/>
        <item x="3359"/>
        <item x="3360"/>
        <item x="3361"/>
        <item x="3362"/>
        <item x="3363"/>
        <item x="3364"/>
        <item x="3365"/>
        <item x="3366"/>
        <item x="3367"/>
        <item x="3368"/>
        <item x="3369"/>
        <item x="3370"/>
        <item x="3371"/>
        <item x="3372"/>
        <item x="3373"/>
        <item x="3374"/>
        <item x="3375"/>
        <item x="3376"/>
        <item x="3377"/>
        <item x="3378"/>
        <item x="3379"/>
        <item x="3380"/>
        <item x="3381"/>
        <item x="3382"/>
        <item x="3383"/>
        <item x="3384"/>
        <item x="3385"/>
        <item x="3386"/>
        <item x="3387"/>
        <item x="3388"/>
        <item x="3389"/>
        <item x="3390"/>
        <item x="3391"/>
        <item x="3392"/>
        <item x="3393"/>
        <item x="3394"/>
        <item x="3395"/>
        <item x="3396"/>
        <item x="3397"/>
        <item x="3398"/>
        <item x="3399"/>
        <item x="3400"/>
        <item x="3401"/>
        <item x="3402"/>
        <item x="3403"/>
        <item x="3404"/>
        <item x="3405"/>
        <item x="3406"/>
        <item x="3407"/>
        <item x="3408"/>
        <item x="3409"/>
        <item x="3410"/>
        <item x="3411"/>
        <item x="3412"/>
        <item x="3413"/>
        <item x="3414"/>
        <item x="3415"/>
        <item x="3416"/>
        <item x="3417"/>
        <item x="3418"/>
        <item x="3419"/>
        <item x="3420"/>
        <item x="3421"/>
        <item x="3422"/>
        <item x="3423"/>
        <item x="3424"/>
        <item x="3425"/>
        <item x="3426"/>
        <item x="3427"/>
        <item x="3428"/>
        <item x="3429"/>
        <item x="3430"/>
        <item x="3431"/>
        <item x="3432"/>
        <item x="3433"/>
        <item x="3434"/>
        <item x="3435"/>
        <item x="3436"/>
        <item x="3437"/>
        <item x="3438"/>
        <item x="3439"/>
        <item x="3440"/>
        <item x="3441"/>
        <item x="3442"/>
        <item x="3443"/>
        <item x="3444"/>
        <item x="3445"/>
        <item x="3446"/>
        <item x="3447"/>
        <item x="3448"/>
        <item x="3449"/>
        <item x="3450"/>
        <item x="3451"/>
        <item x="3452"/>
        <item x="3453"/>
        <item x="3454"/>
        <item x="3455"/>
        <item x="3456"/>
        <item x="3457"/>
        <item x="3458"/>
        <item x="3459"/>
        <item x="3460"/>
        <item x="3461"/>
        <item x="3462"/>
        <item x="3463"/>
        <item x="3464"/>
        <item x="3465"/>
        <item x="3466"/>
        <item x="3467"/>
        <item x="3468"/>
        <item x="3469"/>
        <item x="3470"/>
        <item x="3471"/>
        <item x="3472"/>
        <item x="3473"/>
        <item x="3474"/>
        <item x="3475"/>
        <item x="3476"/>
        <item x="3477"/>
        <item x="3478"/>
        <item x="3479"/>
        <item x="3480"/>
        <item x="3481"/>
        <item x="3482"/>
        <item x="3483"/>
        <item x="3484"/>
        <item x="3485"/>
        <item x="3486"/>
        <item x="3487"/>
        <item x="3488"/>
        <item x="3489"/>
        <item x="3490"/>
        <item x="3491"/>
        <item x="3492"/>
        <item x="3493"/>
        <item x="3494"/>
        <item x="3495"/>
        <item x="3496"/>
        <item x="3497"/>
        <item x="3498"/>
        <item x="3499"/>
        <item x="3500"/>
        <item x="3501"/>
        <item x="3502"/>
        <item x="3503"/>
        <item x="3504"/>
        <item x="3505"/>
        <item x="3506"/>
        <item x="3507"/>
        <item x="3508"/>
        <item x="3509"/>
        <item x="3510"/>
        <item x="3511"/>
        <item x="3512"/>
        <item x="3513"/>
        <item x="3514"/>
        <item x="3515"/>
        <item x="3516"/>
        <item x="3517"/>
        <item x="3518"/>
        <item x="3519"/>
        <item x="3520"/>
        <item x="3521"/>
        <item x="3522"/>
        <item x="3523"/>
        <item x="3524"/>
        <item x="3525"/>
        <item x="3526"/>
        <item x="3527"/>
        <item x="3528"/>
        <item x="3529"/>
        <item x="3530"/>
        <item x="3531"/>
        <item x="3532"/>
        <item x="3533"/>
        <item x="3534"/>
        <item x="3535"/>
        <item x="3536"/>
        <item x="3537"/>
        <item x="3538"/>
        <item x="3539"/>
        <item x="3540"/>
        <item x="3541"/>
        <item x="3542"/>
        <item x="3543"/>
        <item x="3544"/>
        <item x="3545"/>
        <item x="3546"/>
        <item x="3547"/>
        <item x="3548"/>
        <item x="3549"/>
        <item x="3550"/>
        <item x="3551"/>
        <item x="3552"/>
        <item x="3553"/>
        <item x="3554"/>
        <item x="3555"/>
        <item x="3556"/>
        <item x="3557"/>
        <item x="3558"/>
        <item x="3559"/>
        <item x="3560"/>
        <item x="3561"/>
        <item x="3562"/>
        <item x="3563"/>
        <item x="3564"/>
        <item x="3565"/>
        <item x="3566"/>
        <item x="3567"/>
        <item x="3568"/>
        <item x="3569"/>
        <item x="3570"/>
        <item x="3571"/>
        <item x="3572"/>
        <item x="3573"/>
        <item x="3574"/>
        <item x="3575"/>
        <item x="3576"/>
        <item x="3577"/>
        <item x="3578"/>
        <item x="3579"/>
        <item x="3580"/>
        <item x="3581"/>
        <item x="3582"/>
        <item x="3583"/>
        <item x="3584"/>
        <item x="3585"/>
        <item x="3586"/>
        <item x="3587"/>
        <item x="3588"/>
        <item x="3589"/>
        <item x="3590"/>
        <item x="3591"/>
        <item x="3592"/>
        <item x="3593"/>
        <item x="3594"/>
        <item x="3595"/>
        <item x="3596"/>
        <item x="3597"/>
        <item x="3598"/>
        <item x="3599"/>
        <item x="3600"/>
        <item x="3601"/>
        <item x="3602"/>
        <item x="3603"/>
        <item x="3604"/>
        <item x="3605"/>
        <item x="3606"/>
        <item x="3607"/>
        <item x="3608"/>
        <item x="3609"/>
        <item x="3610"/>
        <item x="3611"/>
        <item x="3612"/>
        <item x="3613"/>
        <item x="3614"/>
        <item x="3615"/>
        <item x="3616"/>
        <item x="3617"/>
        <item x="3618"/>
        <item x="3619"/>
        <item x="3620"/>
        <item x="3621"/>
        <item x="3622"/>
        <item x="3623"/>
        <item x="3624"/>
        <item x="3625"/>
        <item x="3626"/>
        <item x="3627"/>
        <item x="3628"/>
        <item x="3629"/>
        <item x="3630"/>
        <item x="3631"/>
        <item x="3632"/>
        <item x="3633"/>
        <item x="3634"/>
        <item x="3635"/>
        <item x="3636"/>
        <item x="3637"/>
        <item x="3638"/>
        <item x="3639"/>
        <item x="3640"/>
        <item x="3641"/>
        <item x="3642"/>
        <item x="3643"/>
        <item x="3644"/>
        <item x="3645"/>
        <item x="3646"/>
        <item x="3647"/>
        <item x="3648"/>
        <item x="3649"/>
        <item x="3650"/>
        <item x="3651"/>
        <item x="3652"/>
        <item x="3653"/>
        <item x="3654"/>
        <item x="3655"/>
        <item x="3656"/>
        <item x="3657"/>
        <item x="3658"/>
        <item x="3659"/>
        <item x="3660"/>
        <item x="3661"/>
        <item x="3662"/>
        <item x="3663"/>
        <item x="3664"/>
        <item x="3665"/>
        <item x="3666"/>
        <item x="3667"/>
        <item x="3668"/>
        <item x="3669"/>
        <item x="3670"/>
        <item x="3671"/>
        <item x="3672"/>
        <item x="3673"/>
        <item x="3674"/>
        <item x="3675"/>
        <item x="3676"/>
        <item x="3677"/>
        <item x="3678"/>
        <item x="3679"/>
        <item x="3680"/>
        <item x="3681"/>
        <item x="3682"/>
        <item x="3683"/>
        <item x="3684"/>
        <item x="3685"/>
        <item x="3686"/>
        <item x="3687"/>
        <item x="3688"/>
        <item x="3689"/>
        <item x="3690"/>
        <item x="3691"/>
        <item x="3692"/>
        <item x="3693"/>
        <item x="3694"/>
        <item x="3695"/>
        <item x="3696"/>
        <item x="3697"/>
        <item x="3698"/>
        <item x="3699"/>
        <item x="3700"/>
        <item x="3701"/>
        <item x="3702"/>
        <item x="3703"/>
        <item x="3704"/>
        <item x="3705"/>
        <item x="3706"/>
        <item x="3707"/>
        <item x="3708"/>
        <item x="3709"/>
        <item x="3710"/>
        <item x="3711"/>
        <item x="3712"/>
        <item x="3713"/>
        <item x="3714"/>
        <item x="3715"/>
        <item x="3716"/>
        <item x="3717"/>
        <item x="3718"/>
        <item x="3719"/>
        <item x="3720"/>
        <item x="3721"/>
        <item x="3722"/>
        <item x="3723"/>
        <item x="3724"/>
        <item x="3725"/>
        <item x="3726"/>
        <item x="3727"/>
        <item x="3728"/>
        <item x="3729"/>
        <item x="3730"/>
        <item x="3731"/>
        <item x="3732"/>
        <item x="3733"/>
        <item x="3734"/>
        <item x="3735"/>
        <item x="3736"/>
        <item x="3737"/>
        <item x="3738"/>
        <item x="3739"/>
        <item x="3740"/>
        <item x="3741"/>
        <item x="3742"/>
        <item x="3743"/>
        <item x="3744"/>
        <item x="3745"/>
        <item x="3746"/>
        <item x="3747"/>
        <item x="3748"/>
        <item x="3749"/>
        <item x="3750"/>
        <item x="3751"/>
        <item x="3752"/>
        <item x="3753"/>
        <item x="3754"/>
        <item x="3755"/>
        <item x="3756"/>
        <item x="3757"/>
        <item x="3758"/>
        <item x="3759"/>
        <item x="3760"/>
        <item x="3761"/>
        <item x="3762"/>
        <item x="3763"/>
        <item x="3764"/>
        <item x="3765"/>
        <item x="3766"/>
        <item x="3767"/>
        <item x="3768"/>
        <item x="3769"/>
        <item x="3770"/>
        <item x="3771"/>
        <item x="3772"/>
        <item x="3773"/>
        <item x="3774"/>
        <item x="3775"/>
        <item x="3776"/>
        <item x="3777"/>
        <item x="3778"/>
        <item x="3779"/>
        <item x="3780"/>
        <item x="3781"/>
        <item x="3782"/>
        <item x="3783"/>
        <item x="3784"/>
        <item x="3785"/>
        <item x="3786"/>
        <item x="3787"/>
        <item x="3788"/>
        <item x="3789"/>
        <item x="3790"/>
        <item x="3791"/>
        <item x="3792"/>
        <item x="3793"/>
        <item x="3794"/>
        <item x="3795"/>
        <item x="3796"/>
        <item x="3797"/>
        <item x="3798"/>
        <item x="3799"/>
        <item x="3800"/>
        <item x="3801"/>
        <item x="3802"/>
        <item x="3803"/>
        <item x="3804"/>
        <item x="3805"/>
        <item x="3806"/>
        <item x="3807"/>
        <item x="3808"/>
        <item x="3809"/>
        <item x="3810"/>
        <item x="3811"/>
        <item x="3812"/>
        <item x="3813"/>
        <item x="3814"/>
        <item x="3815"/>
        <item x="3816"/>
        <item x="3817"/>
        <item x="3818"/>
        <item x="3819"/>
        <item x="3820"/>
        <item x="3821"/>
        <item x="3822"/>
        <item x="3823"/>
        <item x="3824"/>
        <item x="3825"/>
        <item x="3826"/>
        <item x="3827"/>
        <item x="3828"/>
        <item x="3829"/>
        <item x="3830"/>
        <item x="3831"/>
        <item x="3832"/>
        <item x="3833"/>
        <item x="3834"/>
        <item x="3835"/>
        <item x="3836"/>
        <item x="3837"/>
        <item x="3838"/>
        <item x="3839"/>
        <item x="3840"/>
        <item x="3841"/>
        <item x="3842"/>
        <item x="3843"/>
        <item x="3844"/>
        <item x="3845"/>
        <item x="3846"/>
        <item x="3847"/>
        <item x="3848"/>
        <item x="3849"/>
        <item x="3850"/>
        <item x="3851"/>
        <item x="3852"/>
        <item x="3853"/>
        <item x="3854"/>
        <item x="3855"/>
        <item x="3856"/>
        <item x="3857"/>
        <item x="3858"/>
        <item x="3859"/>
        <item x="3860"/>
        <item x="3861"/>
        <item x="3862"/>
        <item x="3863"/>
        <item x="3864"/>
        <item x="3865"/>
        <item x="3866"/>
        <item x="3867"/>
        <item x="3868"/>
        <item x="3869"/>
        <item x="3870"/>
        <item x="3871"/>
        <item x="3872"/>
        <item x="3873"/>
        <item x="3874"/>
        <item x="3875"/>
        <item x="3876"/>
        <item x="3877"/>
        <item x="3878"/>
        <item x="3879"/>
        <item x="3880"/>
        <item x="3881"/>
        <item x="3882"/>
        <item x="3883"/>
        <item x="3884"/>
        <item x="3885"/>
        <item x="3886"/>
        <item x="3887"/>
        <item x="3888"/>
        <item x="3889"/>
        <item x="3890"/>
        <item x="3891"/>
        <item x="3892"/>
        <item x="3893"/>
        <item x="3894"/>
        <item x="3895"/>
        <item x="3896"/>
        <item x="3897"/>
        <item x="3898"/>
        <item x="3899"/>
        <item x="3900"/>
        <item x="3901"/>
        <item x="3902"/>
        <item x="3903"/>
        <item x="3904"/>
        <item x="3905"/>
        <item x="3906"/>
        <item x="3907"/>
        <item x="3908"/>
        <item x="3909"/>
        <item x="3910"/>
        <item x="3911"/>
        <item x="3912"/>
        <item x="3913"/>
        <item x="3914"/>
        <item x="3915"/>
        <item x="3916"/>
        <item x="3917"/>
        <item x="3918"/>
        <item x="3919"/>
        <item x="3920"/>
        <item x="3921"/>
        <item x="3922"/>
        <item x="3923"/>
        <item x="3924"/>
        <item x="3925"/>
        <item x="3926"/>
        <item x="3927"/>
        <item x="3928"/>
        <item x="3929"/>
        <item x="3930"/>
        <item x="3931"/>
        <item x="3932"/>
        <item x="3933"/>
        <item x="3934"/>
        <item x="3935"/>
        <item x="3936"/>
        <item x="3937"/>
        <item x="3938"/>
        <item x="3939"/>
        <item x="3940"/>
        <item x="3941"/>
        <item x="3942"/>
        <item x="3943"/>
        <item x="3944"/>
        <item x="3945"/>
        <item x="3946"/>
        <item x="3947"/>
        <item x="3948"/>
        <item x="3949"/>
        <item x="3950"/>
        <item x="3951"/>
        <item x="3952"/>
        <item x="3953"/>
        <item x="3954"/>
        <item x="3955"/>
        <item x="3956"/>
        <item x="3957"/>
        <item x="3958"/>
        <item x="3959"/>
        <item x="3960"/>
        <item x="3961"/>
        <item x="3962"/>
        <item x="3963"/>
        <item x="3964"/>
        <item x="3965"/>
        <item x="3966"/>
        <item x="3967"/>
        <item x="3968"/>
        <item x="3969"/>
        <item x="3970"/>
        <item x="3971"/>
        <item x="3972"/>
        <item x="3973"/>
        <item x="3974"/>
        <item x="3975"/>
        <item x="3976"/>
        <item x="3977"/>
        <item x="3978"/>
        <item x="3979"/>
        <item x="3980"/>
        <item x="3981"/>
        <item x="3982"/>
        <item x="3983"/>
        <item x="3984"/>
        <item x="3985"/>
        <item x="3986"/>
        <item x="3987"/>
        <item x="3988"/>
        <item x="3989"/>
        <item x="3990"/>
        <item x="3991"/>
        <item x="3992"/>
        <item x="3993"/>
        <item x="3994"/>
        <item x="3995"/>
        <item x="3996"/>
        <item x="3997"/>
        <item x="3998"/>
        <item x="3999"/>
        <item x="4000"/>
        <item x="4001"/>
        <item x="4002"/>
        <item x="4003"/>
        <item x="4004"/>
        <item x="4005"/>
        <item x="4006"/>
        <item x="4007"/>
        <item x="4008"/>
        <item x="4009"/>
        <item x="4010"/>
        <item x="4011"/>
        <item x="4012"/>
        <item x="4013"/>
        <item x="4014"/>
        <item x="4015"/>
        <item x="4016"/>
        <item x="4017"/>
        <item x="4018"/>
        <item x="4019"/>
        <item x="4020"/>
        <item x="4021"/>
        <item x="4022"/>
        <item x="4023"/>
        <item x="4024"/>
        <item x="4025"/>
        <item x="4026"/>
        <item x="4027"/>
        <item x="4028"/>
        <item x="4029"/>
        <item x="4030"/>
        <item x="4031"/>
        <item x="4032"/>
        <item x="4033"/>
        <item x="4034"/>
        <item x="4035"/>
        <item x="4036"/>
        <item x="4037"/>
        <item x="4038"/>
        <item x="4039"/>
        <item x="4040"/>
        <item x="4041"/>
        <item x="4042"/>
        <item x="4043"/>
        <item x="4044"/>
        <item x="4045"/>
        <item x="4046"/>
        <item x="4047"/>
        <item x="4048"/>
        <item x="4049"/>
        <item x="4050"/>
        <item x="4051"/>
        <item x="4052"/>
        <item x="4053"/>
        <item x="4054"/>
        <item x="4055"/>
        <item x="4056"/>
        <item x="4057"/>
        <item x="4058"/>
        <item x="4059"/>
        <item x="4060"/>
        <item x="4061"/>
        <item x="4062"/>
        <item x="4063"/>
        <item x="4064"/>
        <item x="4065"/>
        <item x="4066"/>
        <item x="4067"/>
        <item x="4068"/>
        <item x="4069"/>
        <item x="4070"/>
        <item x="4071"/>
        <item x="4072"/>
        <item x="4073"/>
        <item x="4074"/>
        <item x="4075"/>
        <item x="4076"/>
        <item x="4077"/>
        <item x="4078"/>
        <item x="4079"/>
        <item x="4080"/>
        <item x="4081"/>
        <item x="4082"/>
        <item x="4083"/>
        <item x="4084"/>
        <item x="4085"/>
        <item x="4086"/>
        <item x="4087"/>
        <item x="4088"/>
        <item x="4089"/>
        <item x="4090"/>
        <item x="4091"/>
        <item x="4092"/>
        <item x="4093"/>
        <item x="4094"/>
        <item x="4095"/>
        <item x="4096"/>
        <item x="4097"/>
        <item x="4098"/>
        <item x="4099"/>
        <item x="4100"/>
        <item x="4101"/>
        <item x="4102"/>
        <item x="4103"/>
        <item x="4104"/>
        <item x="4105"/>
        <item x="4106"/>
        <item x="4107"/>
        <item x="4108"/>
        <item x="4109"/>
        <item x="4110"/>
        <item x="4111"/>
        <item x="4112"/>
        <item x="4113"/>
        <item x="4114"/>
        <item x="4115"/>
        <item x="4116"/>
        <item x="4117"/>
        <item x="4118"/>
        <item x="4119"/>
        <item x="4120"/>
        <item x="4121"/>
        <item x="4122"/>
        <item x="4123"/>
        <item x="4124"/>
        <item x="4125"/>
        <item x="4126"/>
        <item x="4127"/>
        <item x="4128"/>
        <item x="4129"/>
        <item x="4130"/>
        <item x="4131"/>
        <item x="4132"/>
        <item x="4133"/>
        <item x="4134"/>
        <item x="4135"/>
        <item x="4136"/>
        <item x="4137"/>
        <item x="4138"/>
        <item x="4139"/>
        <item x="4140"/>
        <item x="4141"/>
        <item x="4142"/>
        <item x="4143"/>
        <item x="4144"/>
        <item x="4145"/>
        <item x="4146"/>
        <item x="4147"/>
        <item x="4148"/>
        <item x="4149"/>
        <item x="4150"/>
        <item x="4151"/>
        <item x="4152"/>
        <item x="4153"/>
        <item x="4154"/>
        <item x="4155"/>
        <item x="4156"/>
        <item x="4157"/>
        <item x="4158"/>
        <item x="4159"/>
        <item x="4160"/>
        <item x="4161"/>
        <item x="4162"/>
        <item x="4163"/>
        <item x="4164"/>
        <item x="4165"/>
        <item x="4166"/>
        <item x="4167"/>
        <item x="4168"/>
        <item x="4169"/>
        <item x="4170"/>
        <item x="4171"/>
        <item x="4172"/>
        <item x="4173"/>
        <item x="4174"/>
        <item x="4175"/>
        <item x="4176"/>
        <item x="4177"/>
        <item x="4178"/>
        <item x="4179"/>
        <item x="4180"/>
        <item x="4181"/>
        <item x="4182"/>
        <item x="4183"/>
        <item x="4184"/>
        <item x="4185"/>
        <item x="4186"/>
        <item x="4187"/>
        <item x="4188"/>
        <item x="4189"/>
        <item x="4190"/>
        <item x="4191"/>
        <item x="4192"/>
        <item x="4193"/>
        <item x="4194"/>
        <item x="4195"/>
        <item x="4196"/>
        <item x="4197"/>
        <item x="4198"/>
        <item x="4199"/>
        <item x="4200"/>
        <item x="4201"/>
        <item x="4202"/>
        <item x="4203"/>
        <item x="4204"/>
        <item x="4205"/>
        <item x="4206"/>
        <item x="4207"/>
        <item x="4208"/>
        <item x="4209"/>
        <item x="4210"/>
        <item x="4211"/>
        <item x="4212"/>
        <item x="4213"/>
        <item x="4214"/>
        <item x="4215"/>
        <item x="4216"/>
        <item x="4217"/>
        <item x="4218"/>
        <item x="4219"/>
        <item x="4220"/>
        <item x="4221"/>
        <item x="4222"/>
        <item x="4223"/>
        <item x="4224"/>
        <item x="4225"/>
        <item x="4226"/>
        <item x="4227"/>
        <item x="4228"/>
        <item x="4229"/>
        <item x="4230"/>
        <item x="4231"/>
        <item x="4232"/>
        <item x="4233"/>
        <item x="4234"/>
        <item x="4235"/>
        <item x="4236"/>
        <item x="4237"/>
        <item x="4238"/>
        <item x="4239"/>
        <item x="4240"/>
        <item x="4241"/>
        <item x="4242"/>
        <item x="4243"/>
        <item x="4244"/>
        <item x="4245"/>
        <item x="4246"/>
        <item x="4247"/>
        <item x="4248"/>
        <item x="4249"/>
        <item x="4250"/>
        <item x="4251"/>
        <item x="4252"/>
        <item x="4253"/>
        <item x="4254"/>
        <item x="4255"/>
        <item x="4256"/>
        <item x="4257"/>
        <item x="4258"/>
        <item x="4259"/>
        <item x="4260"/>
        <item x="4261"/>
        <item x="4262"/>
        <item x="4263"/>
        <item x="4264"/>
        <item x="4265"/>
        <item x="4266"/>
        <item x="4267"/>
        <item x="4268"/>
        <item x="4269"/>
        <item x="4270"/>
        <item x="4271"/>
        <item x="4272"/>
        <item x="4273"/>
        <item x="4274"/>
        <item x="4275"/>
        <item x="4276"/>
        <item x="4277"/>
        <item x="4278"/>
        <item x="4279"/>
        <item x="4280"/>
        <item x="4281"/>
        <item x="4282"/>
        <item x="4283"/>
        <item x="4284"/>
        <item x="4285"/>
        <item x="4286"/>
        <item x="4287"/>
        <item x="4288"/>
        <item x="4289"/>
        <item x="4290"/>
        <item x="4291"/>
        <item x="4292"/>
        <item x="4293"/>
        <item x="4294"/>
        <item x="4295"/>
        <item x="4296"/>
        <item x="4297"/>
        <item x="4298"/>
        <item x="4299"/>
        <item x="4300"/>
        <item x="4301"/>
        <item x="4302"/>
        <item x="4303"/>
        <item x="4304"/>
        <item x="4305"/>
        <item x="4306"/>
        <item x="4307"/>
        <item x="4308"/>
        <item x="4309"/>
        <item x="4310"/>
        <item x="4311"/>
        <item x="4312"/>
        <item x="4313"/>
        <item x="4314"/>
        <item x="4315"/>
        <item x="4316"/>
        <item x="4317"/>
        <item x="4318"/>
        <item x="4319"/>
        <item x="4320"/>
        <item x="4321"/>
        <item x="4322"/>
        <item x="4323"/>
        <item x="4324"/>
        <item x="4325"/>
        <item x="4326"/>
        <item x="4327"/>
        <item x="4328"/>
        <item x="4329"/>
        <item x="4330"/>
        <item x="4331"/>
        <item x="4332"/>
        <item x="4333"/>
        <item x="4334"/>
        <item x="4335"/>
        <item x="4336"/>
        <item x="4337"/>
        <item x="4338"/>
        <item x="4339"/>
        <item x="4340"/>
        <item x="4341"/>
        <item x="4342"/>
        <item x="4343"/>
        <item x="4344"/>
        <item x="4345"/>
        <item x="4346"/>
        <item x="4347"/>
        <item x="4348"/>
        <item x="4349"/>
        <item x="4350"/>
        <item x="4351"/>
        <item x="4352"/>
        <item x="4353"/>
        <item x="4354"/>
        <item x="4355"/>
        <item x="4356"/>
        <item x="4357"/>
        <item x="4358"/>
        <item x="4359"/>
        <item x="4360"/>
        <item x="4361"/>
        <item x="4362"/>
        <item x="4363"/>
        <item x="4364"/>
        <item x="4365"/>
        <item x="4366"/>
        <item x="4367"/>
        <item x="4368"/>
        <item x="4369"/>
        <item x="4370"/>
        <item x="4371"/>
        <item x="4372"/>
        <item x="4373"/>
        <item x="4374"/>
        <item x="4375"/>
        <item x="4376"/>
        <item x="4377"/>
        <item x="4378"/>
        <item x="4379"/>
        <item x="4380"/>
        <item x="4381"/>
        <item x="4382"/>
        <item x="4383"/>
        <item x="4384"/>
        <item x="4385"/>
        <item x="4386"/>
        <item x="4387"/>
        <item x="4388"/>
        <item x="4389"/>
        <item x="4390"/>
        <item x="4391"/>
        <item x="4392"/>
        <item x="4393"/>
        <item x="4394"/>
        <item x="4395"/>
        <item x="4396"/>
        <item x="4397"/>
        <item x="4398"/>
        <item x="4399"/>
        <item x="4400"/>
        <item x="4401"/>
        <item x="4402"/>
        <item x="4403"/>
        <item x="4404"/>
        <item x="4405"/>
        <item x="4406"/>
        <item x="4407"/>
        <item x="4408"/>
        <item x="4409"/>
        <item x="4410"/>
        <item x="4411"/>
        <item x="4412"/>
        <item x="4413"/>
        <item x="4414"/>
        <item x="4415"/>
        <item x="4416"/>
        <item x="4417"/>
        <item x="4418"/>
        <item x="4419"/>
        <item x="4420"/>
        <item x="4421"/>
        <item x="4422"/>
        <item x="4423"/>
        <item x="4424"/>
        <item x="4425"/>
        <item x="4426"/>
        <item x="4427"/>
        <item x="4428"/>
        <item x="4429"/>
        <item x="4430"/>
        <item x="4431"/>
        <item x="4432"/>
        <item x="4433"/>
        <item x="4434"/>
        <item x="4435"/>
        <item x="4436"/>
        <item x="4437"/>
        <item x="4438"/>
        <item x="4439"/>
        <item x="4440"/>
        <item x="4441"/>
        <item x="4442"/>
        <item x="4443"/>
        <item x="4444"/>
        <item x="4445"/>
        <item x="4446"/>
        <item x="4447"/>
        <item x="4448"/>
        <item x="4449"/>
        <item x="4450"/>
        <item x="4451"/>
        <item x="4452"/>
        <item x="4453"/>
        <item x="4454"/>
        <item x="4455"/>
        <item x="4456"/>
        <item x="4457"/>
        <item x="4458"/>
        <item x="4459"/>
        <item x="4460"/>
        <item x="4461"/>
        <item x="4462"/>
        <item x="4463"/>
        <item x="4464"/>
        <item x="4465"/>
        <item x="4466"/>
        <item x="4467"/>
        <item x="4468"/>
        <item x="4469"/>
        <item x="4470"/>
        <item x="4471"/>
        <item x="4472"/>
        <item x="4473"/>
        <item x="4474"/>
        <item x="4475"/>
        <item x="4476"/>
        <item x="4477"/>
        <item x="4478"/>
        <item x="4479"/>
        <item x="4480"/>
        <item x="4481"/>
        <item x="4482"/>
        <item x="4483"/>
        <item x="4484"/>
        <item x="4485"/>
        <item x="4486"/>
        <item x="4487"/>
        <item x="4488"/>
        <item x="4489"/>
        <item x="4490"/>
        <item x="4491"/>
        <item x="4492"/>
        <item x="4493"/>
        <item x="4494"/>
        <item x="4495"/>
        <item x="4496"/>
        <item x="4497"/>
        <item x="4498"/>
        <item x="4499"/>
        <item x="4500"/>
        <item x="4501"/>
        <item x="4502"/>
        <item x="4503"/>
        <item x="4504"/>
        <item x="4505"/>
        <item x="4506"/>
        <item x="4507"/>
        <item x="4508"/>
        <item x="4509"/>
        <item x="4510"/>
        <item x="4511"/>
        <item x="4512"/>
        <item x="4513"/>
        <item x="4514"/>
        <item x="4515"/>
        <item x="4516"/>
        <item x="4517"/>
        <item x="4518"/>
        <item x="4519"/>
        <item x="4520"/>
        <item x="4521"/>
        <item x="4522"/>
        <item x="4523"/>
        <item x="4524"/>
        <item x="4525"/>
        <item x="4526"/>
        <item x="4527"/>
        <item x="4528"/>
        <item x="4529"/>
        <item x="4530"/>
        <item x="4531"/>
        <item x="4532"/>
        <item x="4533"/>
        <item x="4534"/>
        <item x="4535"/>
        <item x="4536"/>
        <item x="4537"/>
        <item x="4538"/>
        <item x="4539"/>
        <item x="4540"/>
        <item x="4541"/>
        <item x="4542"/>
        <item x="4543"/>
        <item x="4544"/>
        <item x="4545"/>
        <item x="4546"/>
        <item x="4547"/>
        <item x="4548"/>
        <item x="4549"/>
        <item x="4550"/>
        <item x="4551"/>
        <item x="4552"/>
        <item x="4553"/>
        <item x="4554"/>
        <item x="4555"/>
        <item x="4556"/>
        <item x="4557"/>
        <item x="4558"/>
        <item x="4559"/>
        <item x="4560"/>
        <item x="4561"/>
        <item x="4562"/>
        <item x="4563"/>
        <item x="4564"/>
        <item x="4565"/>
        <item x="4566"/>
        <item x="4567"/>
        <item x="4568"/>
        <item x="4569"/>
        <item x="4570"/>
        <item x="4571"/>
        <item x="4572"/>
        <item x="4573"/>
        <item x="4574"/>
        <item x="4575"/>
        <item x="4576"/>
        <item x="4577"/>
        <item x="4578"/>
        <item x="4579"/>
        <item x="4580"/>
        <item x="4581"/>
        <item x="4582"/>
        <item x="4583"/>
        <item x="4584"/>
        <item x="4585"/>
        <item x="4586"/>
        <item x="4587"/>
        <item x="4588"/>
        <item x="4589"/>
        <item x="4590"/>
        <item x="4591"/>
        <item x="4592"/>
        <item x="4593"/>
        <item x="4594"/>
        <item x="4595"/>
        <item x="4596"/>
        <item x="4597"/>
        <item x="4598"/>
        <item x="4599"/>
        <item x="4600"/>
        <item x="4601"/>
        <item x="4602"/>
        <item x="4603"/>
        <item x="4604"/>
        <item x="4605"/>
        <item x="4606"/>
        <item x="4607"/>
        <item x="4608"/>
        <item x="4609"/>
        <item x="4610"/>
        <item x="4611"/>
        <item x="4612"/>
        <item x="4613"/>
        <item x="4614"/>
        <item x="4615"/>
        <item x="4616"/>
        <item x="4617"/>
        <item x="4618"/>
        <item x="4619"/>
        <item x="4620"/>
        <item x="4621"/>
        <item x="4622"/>
        <item x="4623"/>
        <item x="4624"/>
        <item x="4625"/>
        <item x="4626"/>
        <item x="4627"/>
        <item x="4628"/>
        <item x="4629"/>
        <item x="4630"/>
        <item x="4631"/>
        <item x="4632"/>
        <item x="4633"/>
        <item x="4634"/>
        <item x="4635"/>
        <item x="4636"/>
        <item x="4637"/>
        <item x="4638"/>
        <item x="4639"/>
        <item x="4640"/>
        <item x="4641"/>
        <item x="4642"/>
        <item x="4643"/>
        <item x="4644"/>
        <item x="4645"/>
        <item x="4646"/>
        <item x="4647"/>
        <item x="4648"/>
        <item x="4649"/>
        <item x="4650"/>
        <item x="4651"/>
        <item x="4652"/>
        <item x="4653"/>
        <item x="4654"/>
        <item x="4655"/>
        <item x="4656"/>
        <item x="4657"/>
        <item x="4658"/>
        <item x="4659"/>
        <item x="4660"/>
        <item x="4661"/>
        <item x="4662"/>
        <item x="4663"/>
        <item x="4664"/>
        <item x="4665"/>
        <item x="4666"/>
        <item x="4667"/>
        <item x="4668"/>
        <item x="4669"/>
        <item x="4670"/>
        <item x="4671"/>
        <item x="4672"/>
        <item x="4673"/>
        <item x="4674"/>
        <item x="4675"/>
        <item x="4676"/>
        <item x="4677"/>
        <item x="4678"/>
        <item x="4679"/>
        <item x="4680"/>
        <item x="4681"/>
        <item x="4682"/>
        <item x="4683"/>
        <item x="4684"/>
        <item x="4685"/>
        <item x="4686"/>
        <item x="4687"/>
        <item x="4688"/>
        <item x="4689"/>
        <item x="4690"/>
        <item x="4691"/>
        <item x="4692"/>
        <item x="4693"/>
        <item x="4694"/>
        <item x="4695"/>
        <item x="4696"/>
        <item x="4697"/>
        <item x="4698"/>
        <item x="4699"/>
        <item x="4700"/>
        <item x="4701"/>
        <item x="4702"/>
        <item x="4703"/>
        <item x="4704"/>
        <item x="4705"/>
        <item x="4706"/>
        <item x="4707"/>
        <item x="4708"/>
        <item x="4709"/>
        <item x="4710"/>
        <item x="4711"/>
        <item x="4712"/>
        <item x="4713"/>
        <item x="4714"/>
        <item x="4715"/>
        <item x="4716"/>
        <item x="4717"/>
        <item x="4718"/>
        <item x="4719"/>
        <item x="4720"/>
        <item x="4721"/>
        <item x="4722"/>
        <item x="4723"/>
        <item x="4724"/>
        <item x="4725"/>
        <item x="4726"/>
        <item x="4727"/>
        <item x="4728"/>
        <item x="4729"/>
        <item x="4730"/>
        <item x="4731"/>
        <item x="4732"/>
        <item x="4733"/>
        <item x="4734"/>
        <item x="4735"/>
        <item x="4736"/>
        <item x="4737"/>
        <item x="4738"/>
        <item x="4739"/>
        <item x="4740"/>
        <item x="4741"/>
        <item x="4742"/>
        <item x="4743"/>
        <item x="4744"/>
        <item x="4745"/>
        <item x="4746"/>
        <item x="4747"/>
        <item x="4748"/>
        <item x="4749"/>
        <item x="4750"/>
        <item x="4751"/>
        <item x="4752"/>
        <item x="4753"/>
        <item x="4754"/>
        <item x="4755"/>
        <item x="4756"/>
        <item x="4757"/>
        <item x="4758"/>
        <item x="4759"/>
        <item x="4760"/>
        <item x="4761"/>
        <item x="4762"/>
        <item x="4763"/>
        <item x="4764"/>
        <item x="4765"/>
        <item x="4766"/>
        <item x="4767"/>
        <item x="4768"/>
        <item x="4769"/>
        <item x="4770"/>
        <item x="4771"/>
        <item x="4772"/>
        <item x="4773"/>
        <item x="4774"/>
        <item x="4775"/>
        <item x="4776"/>
        <item x="4777"/>
        <item x="4778"/>
        <item x="4779"/>
        <item x="4780"/>
        <item x="4781"/>
        <item x="4782"/>
        <item x="4783"/>
        <item x="4784"/>
        <item x="4785"/>
        <item x="4786"/>
        <item x="4787"/>
        <item x="4788"/>
        <item x="4789"/>
        <item x="4790"/>
        <item x="4791"/>
        <item x="4792"/>
        <item x="4793"/>
        <item x="4794"/>
        <item x="4795"/>
        <item x="4796"/>
        <item x="4797"/>
        <item x="4798"/>
        <item x="4799"/>
        <item x="4800"/>
        <item x="4801"/>
        <item x="4802"/>
        <item x="4803"/>
        <item x="4804"/>
        <item x="4805"/>
        <item x="4806"/>
        <item x="4807"/>
        <item x="4808"/>
        <item x="4809"/>
        <item x="4810"/>
        <item x="4811"/>
        <item x="4812"/>
        <item x="4813"/>
        <item x="4814"/>
        <item x="4815"/>
        <item x="4816"/>
        <item x="4817"/>
        <item x="4818"/>
        <item x="4819"/>
        <item x="4820"/>
        <item x="4821"/>
        <item x="4822"/>
        <item x="4823"/>
        <item x="4824"/>
        <item x="4825"/>
        <item x="4826"/>
        <item x="4827"/>
        <item x="4828"/>
        <item x="4829"/>
        <item x="4830"/>
        <item x="4831"/>
        <item x="4832"/>
        <item x="4833"/>
        <item x="4834"/>
        <item x="4835"/>
        <item x="4836"/>
        <item x="4837"/>
        <item x="4838"/>
        <item x="4839"/>
        <item x="4840"/>
        <item x="4841"/>
        <item x="4842"/>
        <item x="4843"/>
        <item x="4844"/>
        <item x="4845"/>
        <item x="4846"/>
        <item x="4847"/>
        <item x="4848"/>
        <item x="4849"/>
        <item x="4850"/>
        <item x="4851"/>
        <item x="4852"/>
        <item x="4853"/>
        <item x="4854"/>
        <item x="4855"/>
        <item x="4856"/>
        <item x="4857"/>
        <item x="4858"/>
        <item x="4859"/>
        <item x="4860"/>
        <item x="4861"/>
        <item x="4862"/>
        <item x="4863"/>
        <item x="4864"/>
        <item x="4865"/>
        <item x="4866"/>
        <item x="4867"/>
        <item x="4868"/>
        <item x="4869"/>
        <item x="4870"/>
        <item x="4871"/>
        <item x="4872"/>
        <item x="4873"/>
        <item x="4874"/>
        <item x="4875"/>
        <item x="4876"/>
        <item x="4877"/>
        <item x="4878"/>
        <item x="4879"/>
        <item x="4880"/>
        <item x="4881"/>
        <item x="4882"/>
        <item x="4883"/>
        <item x="4884"/>
        <item x="4885"/>
        <item x="4886"/>
        <item x="4887"/>
        <item x="4888"/>
        <item x="4889"/>
        <item x="4890"/>
        <item x="4891"/>
        <item x="4892"/>
        <item x="4893"/>
        <item x="4894"/>
        <item x="4895"/>
        <item x="4896"/>
        <item x="4897"/>
        <item x="4898"/>
        <item x="4899"/>
        <item x="4900"/>
        <item x="4901"/>
        <item x="4902"/>
        <item x="4903"/>
        <item x="4904"/>
        <item x="4905"/>
        <item x="4906"/>
        <item x="4907"/>
        <item x="4908"/>
        <item x="4909"/>
        <item x="4910"/>
        <item x="4911"/>
        <item x="4912"/>
        <item x="4913"/>
        <item x="4914"/>
        <item x="4915"/>
        <item x="4916"/>
        <item x="4917"/>
        <item x="4918"/>
        <item x="4919"/>
        <item x="4920"/>
        <item x="4921"/>
        <item x="4922"/>
        <item x="4923"/>
        <item x="4924"/>
        <item x="4925"/>
        <item x="4926"/>
        <item x="4927"/>
        <item x="4928"/>
        <item x="4929"/>
        <item x="4930"/>
        <item x="4931"/>
        <item x="4932"/>
        <item x="4933"/>
        <item x="4934"/>
        <item x="4935"/>
        <item x="4936"/>
        <item x="4937"/>
        <item x="4938"/>
        <item x="4939"/>
        <item x="4940"/>
        <item x="4941"/>
        <item x="4942"/>
        <item x="4943"/>
        <item x="4944"/>
        <item x="4945"/>
        <item x="4946"/>
        <item x="4947"/>
        <item x="4948"/>
        <item x="4949"/>
        <item x="4950"/>
        <item x="4951"/>
        <item x="4952"/>
        <item x="4953"/>
        <item x="4954"/>
        <item x="4955"/>
        <item x="4956"/>
        <item x="4957"/>
        <item x="4958"/>
        <item x="4959"/>
        <item x="4960"/>
        <item x="4961"/>
        <item x="4962"/>
        <item x="4963"/>
        <item x="4964"/>
        <item x="4965"/>
        <item x="4966"/>
        <item x="4967"/>
        <item x="4968"/>
        <item x="4969"/>
        <item x="4970"/>
        <item x="4971"/>
        <item x="4972"/>
        <item x="4973"/>
        <item x="4974"/>
        <item x="4975"/>
        <item x="4976"/>
        <item x="4977"/>
        <item x="4978"/>
        <item x="4979"/>
        <item x="4980"/>
        <item x="4981"/>
        <item x="4982"/>
        <item x="4983"/>
        <item x="4984"/>
        <item x="4985"/>
        <item x="4986"/>
        <item x="4987"/>
        <item x="4988"/>
        <item x="4989"/>
        <item x="4990"/>
        <item x="4991"/>
        <item x="4992"/>
        <item x="4993"/>
        <item x="4994"/>
        <item x="4995"/>
        <item x="4996"/>
        <item x="4997"/>
        <item x="4998"/>
        <item x="4999"/>
        <item x="5000"/>
        <item x="5001"/>
        <item x="5002"/>
        <item x="5003"/>
        <item x="5004"/>
        <item x="5005"/>
        <item x="5006"/>
        <item x="5007"/>
        <item x="5008"/>
        <item x="5009"/>
        <item x="5010"/>
        <item x="5011"/>
        <item x="5012"/>
        <item x="5013"/>
        <item x="5014"/>
        <item x="5015"/>
        <item x="5016"/>
        <item x="5017"/>
        <item x="5018"/>
        <item x="5019"/>
        <item x="5020"/>
        <item x="5021"/>
        <item x="5022"/>
        <item x="5023"/>
        <item x="5024"/>
        <item x="5025"/>
        <item x="5026"/>
        <item x="5027"/>
        <item x="5028"/>
        <item x="5029"/>
        <item x="5030"/>
        <item x="5031"/>
        <item x="5032"/>
        <item x="5033"/>
        <item x="5034"/>
        <item x="5035"/>
        <item x="5036"/>
        <item x="5037"/>
        <item x="5038"/>
        <item x="5039"/>
        <item x="5040"/>
        <item x="5041"/>
        <item x="5042"/>
        <item x="5043"/>
        <item x="5044"/>
        <item x="5045"/>
        <item x="5046"/>
        <item x="5047"/>
        <item x="5048"/>
        <item x="5049"/>
        <item x="5050"/>
        <item x="5051"/>
        <item x="5052"/>
        <item x="5053"/>
        <item x="5054"/>
        <item x="5055"/>
        <item x="5056"/>
        <item x="5057"/>
        <item x="5058"/>
        <item x="5059"/>
        <item x="5060"/>
        <item x="5061"/>
        <item x="5062"/>
        <item x="5063"/>
        <item x="5064"/>
        <item x="5065"/>
        <item x="5066"/>
        <item x="5067"/>
        <item x="5068"/>
        <item x="5069"/>
        <item x="5070"/>
        <item x="5071"/>
        <item x="5072"/>
        <item x="5073"/>
        <item x="5074"/>
        <item x="5075"/>
        <item x="5076"/>
        <item x="5077"/>
        <item x="5078"/>
        <item x="5079"/>
        <item x="5080"/>
        <item x="5081"/>
        <item x="5082"/>
        <item x="5083"/>
        <item x="5084"/>
        <item x="5085"/>
        <item x="5086"/>
        <item x="5087"/>
        <item x="5088"/>
        <item x="5089"/>
        <item x="5090"/>
        <item x="5091"/>
        <item x="5092"/>
        <item x="5093"/>
        <item x="5094"/>
        <item x="5095"/>
        <item x="5096"/>
        <item x="5097"/>
        <item x="5098"/>
        <item x="5099"/>
        <item x="5100"/>
        <item x="5101"/>
        <item x="5102"/>
        <item x="5103"/>
        <item x="5104"/>
        <item x="5105"/>
        <item x="5106"/>
        <item x="5107"/>
        <item x="5108"/>
        <item x="5109"/>
        <item x="5110"/>
        <item x="5111"/>
        <item x="5112"/>
        <item x="5113"/>
        <item x="5114"/>
        <item x="5115"/>
        <item x="5116"/>
        <item x="5117"/>
        <item x="5118"/>
        <item x="5119"/>
        <item x="5120"/>
        <item x="5121"/>
        <item x="5122"/>
        <item x="5123"/>
        <item x="5124"/>
        <item x="5125"/>
        <item x="5126"/>
        <item x="5127"/>
        <item x="5128"/>
        <item x="5129"/>
        <item x="5130"/>
        <item x="5131"/>
        <item x="5132"/>
        <item x="5133"/>
        <item x="5134"/>
        <item x="5135"/>
        <item x="5136"/>
        <item x="5137"/>
        <item x="5138"/>
        <item x="5139"/>
        <item x="5140"/>
        <item x="5141"/>
        <item x="5142"/>
        <item x="5143"/>
        <item x="5144"/>
        <item x="5145"/>
        <item x="5146"/>
        <item x="5147"/>
        <item x="5148"/>
        <item x="5149"/>
        <item x="5150"/>
        <item x="5151"/>
        <item x="5152"/>
        <item x="5153"/>
        <item x="5154"/>
        <item x="5155"/>
        <item x="5156"/>
        <item x="5157"/>
        <item x="5158"/>
        <item x="5159"/>
        <item x="5160"/>
        <item x="5161"/>
        <item x="5162"/>
        <item x="5163"/>
        <item x="5164"/>
        <item x="5165"/>
        <item x="5166"/>
        <item x="5167"/>
        <item x="5168"/>
        <item x="5169"/>
        <item x="5170"/>
        <item x="5171"/>
        <item x="5172"/>
        <item x="5173"/>
        <item x="5174"/>
        <item x="5175"/>
        <item x="5176"/>
        <item x="5177"/>
        <item x="5178"/>
        <item x="5179"/>
        <item x="5180"/>
        <item x="5181"/>
        <item x="5182"/>
        <item x="5183"/>
        <item x="5184"/>
        <item x="5185"/>
        <item x="5186"/>
        <item x="5187"/>
        <item x="5188"/>
        <item x="5189"/>
        <item x="5190"/>
        <item x="5191"/>
        <item x="5192"/>
        <item x="5193"/>
        <item x="5194"/>
        <item x="5195"/>
        <item x="5196"/>
        <item x="5197"/>
        <item x="5198"/>
        <item x="5199"/>
        <item x="5200"/>
        <item x="5201"/>
        <item x="5202"/>
        <item x="5203"/>
        <item x="5204"/>
        <item x="5205"/>
        <item x="5206"/>
        <item x="5207"/>
        <item x="5208"/>
        <item x="5209"/>
        <item x="5210"/>
        <item x="5211"/>
        <item x="5212"/>
        <item x="5213"/>
        <item x="5214"/>
        <item x="5215"/>
        <item x="5216"/>
        <item x="5217"/>
        <item x="5218"/>
        <item x="5219"/>
        <item x="5220"/>
        <item x="5221"/>
        <item x="5222"/>
        <item x="5223"/>
        <item x="5224"/>
        <item x="5225"/>
        <item x="5226"/>
        <item x="5227"/>
        <item x="5228"/>
        <item x="5229"/>
        <item x="5230"/>
        <item x="5231"/>
        <item x="5232"/>
        <item x="5233"/>
        <item x="5234"/>
        <item x="5235"/>
        <item x="5236"/>
        <item x="5237"/>
        <item x="5238"/>
        <item x="5239"/>
        <item x="5240"/>
        <item x="5241"/>
        <item x="5242"/>
        <item x="5243"/>
        <item x="5244"/>
        <item x="5245"/>
        <item x="5246"/>
        <item x="5247"/>
        <item x="5248"/>
        <item x="5249"/>
        <item x="5250"/>
        <item x="5251"/>
        <item x="5252"/>
        <item x="5253"/>
        <item x="5254"/>
        <item x="5255"/>
        <item x="5256"/>
        <item x="5257"/>
        <item x="5258"/>
        <item x="5259"/>
        <item x="5260"/>
        <item x="5261"/>
        <item x="5262"/>
        <item x="5263"/>
        <item x="5264"/>
        <item x="5265"/>
        <item x="5266"/>
        <item x="5267"/>
        <item x="5268"/>
        <item x="5269"/>
        <item x="5270"/>
        <item x="5271"/>
        <item x="5272"/>
        <item x="5273"/>
        <item x="5274"/>
        <item x="5275"/>
        <item x="5276"/>
        <item x="5277"/>
        <item x="5278"/>
        <item x="5279"/>
        <item x="5280"/>
        <item x="5281"/>
        <item x="5282"/>
        <item x="5283"/>
        <item x="5284"/>
        <item x="5285"/>
        <item x="5286"/>
        <item x="5287"/>
        <item x="5288"/>
        <item x="5289"/>
        <item x="5290"/>
        <item x="5291"/>
        <item x="5292"/>
        <item x="5293"/>
        <item x="5294"/>
        <item x="5295"/>
        <item x="5296"/>
        <item x="5297"/>
        <item x="5298"/>
        <item x="5299"/>
        <item x="5300"/>
        <item x="5301"/>
        <item x="5302"/>
        <item x="5303"/>
        <item x="5304"/>
        <item x="5305"/>
        <item x="5306"/>
        <item x="5307"/>
        <item x="5308"/>
        <item x="5309"/>
        <item x="5310"/>
        <item x="5311"/>
        <item x="5312"/>
        <item x="5313"/>
        <item x="5314"/>
        <item x="5315"/>
        <item x="5316"/>
        <item x="5317"/>
        <item x="5318"/>
        <item x="5319"/>
        <item x="5320"/>
        <item x="5321"/>
        <item x="5322"/>
        <item x="5323"/>
        <item x="5324"/>
        <item x="5325"/>
        <item x="5326"/>
        <item x="5327"/>
        <item x="5328"/>
        <item x="5329"/>
        <item x="5330"/>
        <item x="5331"/>
        <item x="5332"/>
        <item x="5333"/>
        <item x="5334"/>
        <item x="5335"/>
        <item x="5336"/>
        <item x="5337"/>
        <item x="5338"/>
        <item x="5339"/>
        <item x="5340"/>
        <item x="5341"/>
        <item x="5342"/>
        <item x="5343"/>
        <item x="5344"/>
        <item x="5345"/>
        <item x="5346"/>
        <item x="5347"/>
        <item x="5348"/>
        <item x="5349"/>
        <item x="5350"/>
        <item x="5351"/>
        <item x="5352"/>
        <item x="5353"/>
        <item x="5354"/>
        <item x="5355"/>
        <item x="5356"/>
        <item x="5357"/>
        <item x="5358"/>
        <item x="5359"/>
        <item x="5360"/>
        <item x="5361"/>
        <item x="5362"/>
        <item x="5363"/>
        <item x="5364"/>
        <item x="5365"/>
        <item x="5366"/>
        <item x="5367"/>
        <item x="5368"/>
        <item x="5369"/>
        <item x="5370"/>
        <item x="5371"/>
        <item x="5372"/>
        <item x="5373"/>
        <item x="5374"/>
        <item x="5375"/>
        <item x="5376"/>
        <item x="5377"/>
        <item x="5378"/>
        <item x="5379"/>
        <item x="5380"/>
        <item x="5381"/>
        <item x="5382"/>
        <item x="5383"/>
        <item x="5384"/>
        <item x="5385"/>
        <item x="5386"/>
        <item x="5387"/>
        <item x="5388"/>
        <item x="5389"/>
        <item x="5390"/>
        <item x="5391"/>
        <item x="5392"/>
        <item x="5393"/>
        <item x="5394"/>
        <item x="5395"/>
        <item x="5396"/>
        <item x="5397"/>
        <item x="5398"/>
        <item x="5399"/>
        <item x="5400"/>
        <item x="5401"/>
        <item x="5402"/>
        <item x="5403"/>
        <item x="5404"/>
        <item x="5405"/>
        <item x="5406"/>
        <item x="5407"/>
        <item x="5408"/>
        <item x="5409"/>
        <item x="5410"/>
        <item x="5411"/>
        <item x="5412"/>
        <item x="5413"/>
        <item x="5414"/>
        <item x="5415"/>
        <item x="5416"/>
        <item x="5417"/>
        <item x="5418"/>
        <item x="5419"/>
        <item x="5420"/>
        <item x="5421"/>
        <item x="5422"/>
        <item x="5423"/>
        <item x="5424"/>
        <item x="5425"/>
        <item x="5426"/>
        <item x="5427"/>
        <item x="5428"/>
        <item x="5429"/>
        <item x="5430"/>
        <item x="5431"/>
        <item x="5432"/>
        <item x="5433"/>
        <item x="5434"/>
        <item x="5435"/>
        <item x="5436"/>
        <item x="5437"/>
        <item x="5438"/>
        <item x="5439"/>
        <item x="5440"/>
        <item x="5441"/>
        <item x="5442"/>
        <item x="5443"/>
        <item x="5444"/>
        <item x="5445"/>
        <item x="5446"/>
        <item x="5447"/>
        <item x="5448"/>
        <item x="5449"/>
        <item x="5450"/>
        <item x="5451"/>
        <item x="5452"/>
        <item x="5453"/>
        <item x="5454"/>
        <item x="5455"/>
        <item x="5456"/>
        <item x="5457"/>
        <item x="5458"/>
        <item x="5459"/>
        <item x="5460"/>
        <item x="5461"/>
        <item x="5462"/>
        <item x="5463"/>
        <item x="5464"/>
        <item x="5465"/>
        <item x="5466"/>
        <item x="5467"/>
        <item x="5468"/>
        <item x="5469"/>
        <item x="5470"/>
        <item x="5471"/>
        <item x="5472"/>
        <item x="5473"/>
        <item x="5474"/>
        <item x="5475"/>
        <item x="5476"/>
        <item x="5477"/>
        <item x="5478"/>
        <item x="5479"/>
        <item x="5480"/>
        <item x="5481"/>
        <item x="5482"/>
        <item x="5483"/>
        <item x="5484"/>
        <item x="5485"/>
        <item x="5486"/>
        <item x="5487"/>
        <item x="5488"/>
        <item x="5489"/>
        <item x="5490"/>
        <item x="5491"/>
        <item x="5492"/>
        <item x="5493"/>
        <item x="5494"/>
        <item x="5495"/>
        <item x="5496"/>
        <item x="5497"/>
        <item x="5498"/>
        <item x="5499"/>
        <item x="5500"/>
        <item x="5501"/>
        <item x="5502"/>
        <item x="5503"/>
        <item x="5504"/>
        <item x="5505"/>
        <item x="5506"/>
        <item x="5507"/>
        <item x="5508"/>
        <item x="5509"/>
        <item x="5510"/>
        <item x="5511"/>
        <item x="5512"/>
        <item x="5513"/>
        <item x="5514"/>
        <item x="5515"/>
        <item x="5516"/>
        <item x="5517"/>
        <item x="5518"/>
        <item x="5519"/>
        <item x="5520"/>
        <item x="5521"/>
        <item x="5522"/>
        <item x="5523"/>
        <item x="5524"/>
        <item x="5525"/>
        <item x="5526"/>
        <item x="5527"/>
        <item x="5528"/>
        <item x="5529"/>
        <item x="5530"/>
        <item x="5531"/>
        <item x="5532"/>
        <item x="5533"/>
        <item x="5534"/>
        <item x="5535"/>
        <item x="5536"/>
        <item x="5537"/>
        <item x="5538"/>
        <item x="5539"/>
        <item x="5540"/>
        <item x="5541"/>
        <item x="5542"/>
        <item x="5543"/>
        <item x="5544"/>
        <item x="5545"/>
        <item x="5546"/>
        <item x="5547"/>
        <item x="5548"/>
        <item x="5549"/>
        <item x="5550"/>
        <item x="5551"/>
        <item x="5552"/>
        <item x="5553"/>
        <item x="5554"/>
        <item x="5555"/>
        <item x="5556"/>
        <item x="5557"/>
        <item x="5558"/>
        <item x="5559"/>
        <item x="5560"/>
        <item x="5561"/>
        <item x="5562"/>
        <item x="5563"/>
        <item x="5564"/>
        <item x="5565"/>
        <item x="5566"/>
        <item x="5567"/>
        <item x="5568"/>
        <item x="5569"/>
        <item x="5570"/>
        <item x="5571"/>
        <item x="5572"/>
        <item x="5573"/>
        <item x="5574"/>
        <item x="5575"/>
        <item x="5576"/>
        <item x="5577"/>
        <item x="5578"/>
        <item x="5579"/>
        <item x="5580"/>
        <item x="5581"/>
        <item x="5582"/>
        <item x="5583"/>
        <item x="5584"/>
        <item x="5585"/>
        <item x="5586"/>
        <item x="5587"/>
        <item x="5588"/>
        <item x="5589"/>
        <item x="5590"/>
        <item x="5591"/>
        <item x="5592"/>
        <item x="5593"/>
        <item x="5594"/>
        <item x="5595"/>
        <item x="5596"/>
        <item x="5597"/>
        <item x="5598"/>
        <item x="5599"/>
        <item x="5600"/>
        <item x="5601"/>
        <item x="5602"/>
        <item x="5603"/>
        <item x="5604"/>
        <item x="5605"/>
        <item x="5606"/>
        <item x="5607"/>
        <item x="5608"/>
        <item x="5609"/>
        <item x="5610"/>
        <item x="5611"/>
        <item x="5612"/>
        <item x="5613"/>
        <item x="5614"/>
        <item x="5615"/>
        <item x="5616"/>
        <item x="5617"/>
        <item x="5618"/>
        <item x="5619"/>
        <item x="5620"/>
        <item x="5621"/>
        <item x="5622"/>
        <item x="5623"/>
        <item x="5624"/>
        <item x="5625"/>
        <item x="5626"/>
        <item x="5627"/>
        <item x="5628"/>
        <item x="5629"/>
        <item x="5630"/>
        <item x="5631"/>
        <item x="5632"/>
        <item x="5633"/>
        <item x="5634"/>
        <item x="5635"/>
        <item x="5636"/>
        <item x="5637"/>
        <item x="5638"/>
        <item x="5639"/>
        <item x="5640"/>
        <item x="5641"/>
        <item x="5642"/>
        <item x="5643"/>
        <item x="5644"/>
        <item x="5645"/>
        <item x="5646"/>
        <item x="5647"/>
        <item x="5648"/>
        <item x="5649"/>
        <item x="5650"/>
        <item x="5651"/>
        <item x="5652"/>
        <item x="5653"/>
        <item x="5654"/>
        <item x="5655"/>
        <item x="5656"/>
        <item x="5657"/>
        <item x="5658"/>
        <item x="5659"/>
        <item x="5660"/>
        <item x="5661"/>
        <item x="5662"/>
        <item x="5663"/>
        <item x="5664"/>
        <item x="5665"/>
        <item x="5666"/>
        <item x="5667"/>
        <item x="5668"/>
        <item x="5669"/>
        <item x="5670"/>
        <item x="5671"/>
        <item x="5672"/>
        <item x="5673"/>
        <item x="5674"/>
        <item x="5675"/>
        <item x="5676"/>
        <item x="5677"/>
        <item x="5678"/>
        <item x="5679"/>
        <item x="5680"/>
        <item x="5681"/>
        <item x="5682"/>
        <item x="5683"/>
        <item x="5684"/>
        <item x="5685"/>
        <item x="5686"/>
        <item x="5687"/>
        <item x="5688"/>
        <item x="5689"/>
        <item x="5690"/>
        <item x="5691"/>
        <item x="5692"/>
        <item x="5693"/>
        <item x="5694"/>
        <item x="5695"/>
        <item x="5696"/>
        <item x="5697"/>
        <item x="5698"/>
        <item x="5699"/>
        <item x="5700"/>
        <item x="5701"/>
        <item x="5702"/>
        <item x="5703"/>
        <item x="5704"/>
        <item x="5705"/>
        <item x="5706"/>
        <item x="5707"/>
        <item x="5708"/>
        <item x="5709"/>
        <item x="5710"/>
        <item x="5711"/>
        <item x="5712"/>
        <item x="5713"/>
        <item x="5714"/>
        <item x="5715"/>
        <item x="5716"/>
        <item x="5717"/>
        <item x="5718"/>
        <item x="5719"/>
        <item x="5720"/>
        <item x="5721"/>
        <item x="5722"/>
        <item x="5723"/>
        <item x="5724"/>
        <item x="5725"/>
        <item x="5726"/>
        <item x="5727"/>
        <item x="5728"/>
        <item x="5729"/>
        <item x="5730"/>
        <item x="5731"/>
        <item x="5732"/>
        <item x="5733"/>
        <item x="5734"/>
        <item x="5735"/>
        <item x="5736"/>
        <item x="5737"/>
        <item x="5738"/>
        <item x="5739"/>
        <item x="5740"/>
        <item x="5741"/>
        <item x="5742"/>
        <item x="5743"/>
        <item x="5744"/>
        <item x="5745"/>
        <item x="5746"/>
        <item x="5747"/>
        <item x="5748"/>
        <item x="5749"/>
        <item x="5750"/>
        <item x="5751"/>
        <item x="5752"/>
        <item x="5753"/>
        <item x="5754"/>
        <item x="5755"/>
        <item x="5756"/>
        <item x="5757"/>
        <item x="5758"/>
        <item x="5759"/>
        <item x="5760"/>
        <item x="5761"/>
        <item x="5762"/>
        <item x="5763"/>
        <item x="5764"/>
        <item x="5765"/>
        <item x="5766"/>
        <item x="5767"/>
        <item x="5768"/>
        <item x="5769"/>
        <item x="5770"/>
        <item x="5771"/>
        <item x="5772"/>
        <item x="5773"/>
        <item x="5774"/>
        <item x="5775"/>
        <item x="5776"/>
        <item x="5777"/>
        <item x="5778"/>
        <item x="5779"/>
        <item x="5780"/>
        <item x="5781"/>
        <item x="5782"/>
        <item x="5783"/>
        <item x="5784"/>
        <item x="5785"/>
        <item x="5786"/>
        <item x="5787"/>
        <item x="5788"/>
        <item x="5789"/>
        <item x="5790"/>
        <item x="5791"/>
        <item x="5792"/>
        <item x="5793"/>
        <item x="5794"/>
        <item x="5795"/>
        <item x="5796"/>
        <item x="5797"/>
        <item x="5798"/>
        <item x="5799"/>
        <item x="5800"/>
        <item x="5801"/>
        <item x="5802"/>
        <item x="5803"/>
        <item x="5804"/>
        <item x="5805"/>
        <item x="5806"/>
        <item x="5807"/>
        <item x="5808"/>
        <item x="5809"/>
        <item x="5810"/>
        <item x="5811"/>
        <item x="5812"/>
        <item x="5813"/>
        <item x="5814"/>
        <item x="5815"/>
        <item x="5816"/>
        <item x="5817"/>
        <item x="5818"/>
        <item x="5819"/>
        <item x="5820"/>
        <item x="5821"/>
        <item x="5822"/>
        <item x="5823"/>
        <item x="5824"/>
        <item x="5825"/>
        <item x="5826"/>
        <item x="5827"/>
        <item x="5828"/>
        <item x="5829"/>
        <item x="5830"/>
        <item x="5831"/>
        <item x="5832"/>
        <item x="5833"/>
        <item x="5834"/>
        <item x="5835"/>
        <item x="5836"/>
        <item x="5837"/>
        <item x="5838"/>
        <item x="5839"/>
        <item x="5840"/>
        <item x="5841"/>
        <item x="5842"/>
        <item x="5843"/>
        <item x="5844"/>
        <item x="5845"/>
        <item x="5846"/>
        <item x="5847"/>
        <item x="5848"/>
        <item x="5849"/>
        <item x="5850"/>
        <item x="5851"/>
        <item x="5852"/>
        <item x="5853"/>
        <item x="5854"/>
        <item x="5855"/>
        <item x="5856"/>
        <item x="5857"/>
        <item x="5858"/>
        <item x="5859"/>
        <item x="5860"/>
        <item x="5861"/>
        <item x="5862"/>
        <item x="5863"/>
        <item x="5864"/>
        <item x="5865"/>
        <item x="5866"/>
        <item x="5867"/>
        <item x="5868"/>
        <item x="5869"/>
        <item x="5870"/>
        <item x="5871"/>
        <item x="5872"/>
        <item x="5873"/>
        <item x="5874"/>
        <item x="5875"/>
        <item x="5876"/>
        <item x="5877"/>
        <item x="5878"/>
        <item x="5879"/>
        <item x="5880"/>
        <item x="5881"/>
        <item x="5882"/>
        <item x="5883"/>
        <item x="5884"/>
        <item x="5885"/>
        <item x="5886"/>
        <item x="5887"/>
        <item x="5888"/>
        <item x="5889"/>
        <item x="5890"/>
        <item x="5891"/>
        <item x="5892"/>
        <item x="5893"/>
        <item x="5894"/>
        <item x="5895"/>
        <item x="5896"/>
        <item x="5897"/>
        <item x="5898"/>
        <item x="5899"/>
        <item x="5900"/>
        <item x="5901"/>
        <item x="5902"/>
        <item x="5903"/>
        <item x="5904"/>
        <item x="5905"/>
        <item x="5906"/>
        <item x="5907"/>
        <item x="5908"/>
        <item x="5909"/>
        <item x="5910"/>
        <item x="5911"/>
        <item x="5912"/>
        <item x="5913"/>
        <item x="5914"/>
        <item x="5915"/>
        <item x="5916"/>
        <item x="5917"/>
        <item x="5918"/>
        <item x="5919"/>
        <item x="5920"/>
        <item x="5921"/>
        <item x="5922"/>
        <item x="5923"/>
        <item x="5924"/>
        <item x="5925"/>
        <item x="5926"/>
        <item x="5927"/>
        <item x="5928"/>
        <item x="5929"/>
        <item x="5930"/>
        <item x="5931"/>
        <item x="5932"/>
        <item x="5933"/>
        <item x="5934"/>
        <item x="5935"/>
        <item x="5936"/>
        <item x="5937"/>
        <item x="5938"/>
        <item x="5939"/>
        <item x="5940"/>
        <item x="5941"/>
        <item x="5942"/>
        <item x="5943"/>
        <item x="5944"/>
        <item x="5945"/>
        <item x="5946"/>
        <item x="5947"/>
        <item x="5948"/>
        <item x="5949"/>
        <item x="5950"/>
        <item x="5951"/>
        <item x="5952"/>
        <item x="5953"/>
        <item x="5954"/>
        <item x="5955"/>
        <item x="5956"/>
        <item x="5957"/>
        <item x="5958"/>
        <item x="5959"/>
        <item x="5960"/>
        <item x="5961"/>
        <item x="5962"/>
        <item x="5963"/>
        <item x="5964"/>
        <item x="5965"/>
        <item x="5966"/>
        <item x="5967"/>
        <item x="5968"/>
        <item x="5969"/>
        <item x="5970"/>
        <item x="5971"/>
        <item x="5972"/>
        <item x="5973"/>
        <item x="5974"/>
        <item x="5975"/>
        <item x="5976"/>
        <item x="5977"/>
        <item x="5978"/>
        <item x="5979"/>
        <item x="5980"/>
        <item x="5981"/>
        <item x="5982"/>
        <item x="5983"/>
        <item x="5984"/>
        <item x="5985"/>
        <item x="5986"/>
        <item x="5987"/>
        <item x="5988"/>
        <item x="5989"/>
        <item x="5990"/>
        <item x="5991"/>
        <item x="5992"/>
        <item x="5993"/>
        <item x="5994"/>
        <item x="5995"/>
        <item x="5996"/>
        <item x="5997"/>
        <item x="5998"/>
        <item x="5999"/>
        <item x="6000"/>
        <item x="6001"/>
        <item x="6002"/>
        <item x="6003"/>
        <item x="6004"/>
        <item x="6005"/>
        <item x="6006"/>
        <item x="6007"/>
        <item x="6008"/>
        <item x="6009"/>
        <item x="6010"/>
        <item x="6011"/>
        <item x="6012"/>
        <item x="6013"/>
        <item x="6014"/>
        <item x="6015"/>
        <item x="6016"/>
        <item x="6017"/>
        <item x="6018"/>
        <item x="6019"/>
        <item x="6020"/>
        <item x="6021"/>
        <item x="6022"/>
        <item x="6023"/>
        <item x="6024"/>
        <item x="6025"/>
        <item x="6026"/>
        <item x="6027"/>
        <item x="6028"/>
        <item x="6029"/>
        <item x="6030"/>
        <item x="6031"/>
        <item x="6032"/>
        <item x="6033"/>
        <item x="6034"/>
        <item x="6035"/>
        <item x="6036"/>
        <item x="6037"/>
        <item x="6038"/>
        <item x="6039"/>
        <item x="6040"/>
        <item x="6041"/>
        <item x="6042"/>
        <item x="6043"/>
        <item x="6044"/>
        <item x="6045"/>
        <item x="6046"/>
        <item x="6047"/>
        <item x="6048"/>
        <item x="6049"/>
        <item x="6050"/>
        <item x="6051"/>
        <item x="6052"/>
        <item x="6053"/>
        <item x="6054"/>
        <item x="6055"/>
        <item x="6056"/>
        <item x="6057"/>
        <item x="6058"/>
        <item x="6059"/>
        <item x="6060"/>
        <item x="6061"/>
        <item x="6062"/>
        <item x="6063"/>
        <item x="6064"/>
        <item x="6065"/>
        <item x="6066"/>
        <item x="6067"/>
        <item x="6068"/>
        <item x="6069"/>
        <item x="6070"/>
        <item x="6071"/>
        <item x="6072"/>
        <item x="6073"/>
        <item x="6074"/>
        <item x="6075"/>
        <item x="6076"/>
        <item x="6077"/>
        <item x="6078"/>
        <item x="6079"/>
        <item x="6080"/>
        <item x="6081"/>
        <item x="6082"/>
        <item x="6083"/>
        <item x="6084"/>
        <item x="6085"/>
        <item x="6086"/>
        <item x="6087"/>
        <item x="6088"/>
        <item x="6089"/>
        <item x="6090"/>
        <item x="6091"/>
        <item x="6092"/>
        <item x="6093"/>
        <item x="6094"/>
        <item x="6095"/>
        <item x="6096"/>
        <item x="6097"/>
        <item x="6098"/>
        <item x="6099"/>
        <item x="6100"/>
        <item x="6101"/>
        <item x="6102"/>
        <item x="6103"/>
        <item x="6104"/>
        <item x="6105"/>
        <item x="6106"/>
        <item x="6107"/>
        <item x="6108"/>
        <item x="6109"/>
        <item x="6110"/>
        <item x="6111"/>
        <item x="6112"/>
        <item x="6113"/>
        <item x="6114"/>
        <item x="6115"/>
        <item x="6116"/>
        <item x="6117"/>
        <item x="6118"/>
        <item x="6119"/>
        <item x="6120"/>
        <item x="6121"/>
        <item x="6122"/>
        <item x="6123"/>
        <item x="6124"/>
        <item x="6125"/>
        <item x="6126"/>
        <item x="6127"/>
        <item x="6128"/>
        <item x="6129"/>
        <item x="6130"/>
        <item x="6131"/>
        <item x="6132"/>
        <item x="6133"/>
        <item x="6134"/>
        <item x="6135"/>
        <item x="6136"/>
        <item x="6137"/>
        <item x="6138"/>
        <item x="6139"/>
        <item x="6140"/>
        <item x="6141"/>
        <item x="6142"/>
        <item x="6143"/>
        <item x="6144"/>
        <item x="6145"/>
        <item x="6146"/>
        <item x="6147"/>
        <item x="6148"/>
        <item x="6149"/>
        <item x="6150"/>
        <item x="6151"/>
        <item x="6152"/>
        <item x="6153"/>
        <item x="6154"/>
        <item x="6155"/>
        <item x="6156"/>
        <item x="6157"/>
        <item x="6158"/>
        <item x="6159"/>
        <item x="6160"/>
        <item x="6161"/>
        <item x="6162"/>
        <item x="6163"/>
        <item x="6164"/>
        <item x="6165"/>
        <item x="6166"/>
        <item x="6167"/>
        <item x="6168"/>
        <item x="6169"/>
        <item x="6170"/>
        <item x="6171"/>
        <item x="6172"/>
        <item x="6173"/>
        <item x="6174"/>
        <item x="6175"/>
        <item x="6176"/>
        <item x="6177"/>
        <item x="6178"/>
        <item x="6179"/>
        <item x="6180"/>
        <item x="6181"/>
        <item x="6182"/>
        <item x="6183"/>
        <item x="6184"/>
        <item x="6185"/>
        <item x="6186"/>
        <item x="6187"/>
        <item x="6188"/>
        <item x="6189"/>
        <item x="6190"/>
        <item x="6191"/>
        <item x="6192"/>
        <item x="6193"/>
        <item x="6194"/>
        <item x="6195"/>
        <item x="6196"/>
        <item x="6197"/>
        <item x="6198"/>
        <item x="6199"/>
        <item x="6200"/>
        <item x="6201"/>
        <item x="6202"/>
        <item x="6203"/>
        <item x="6204"/>
        <item x="6205"/>
        <item x="6206"/>
        <item x="6207"/>
        <item x="6208"/>
        <item x="6209"/>
        <item x="6210"/>
        <item x="6211"/>
        <item x="6212"/>
        <item x="6213"/>
        <item x="6214"/>
        <item x="6215"/>
        <item x="6216"/>
        <item x="6217"/>
        <item x="6218"/>
        <item x="6219"/>
        <item x="6220"/>
        <item x="6221"/>
        <item x="6222"/>
        <item x="6223"/>
        <item x="6224"/>
        <item x="6225"/>
        <item x="6226"/>
        <item x="6227"/>
        <item x="6228"/>
        <item x="6229"/>
        <item x="6230"/>
        <item x="6231"/>
        <item x="6232"/>
        <item x="6233"/>
        <item x="6234"/>
        <item x="6235"/>
        <item x="6236"/>
        <item x="6237"/>
        <item x="6238"/>
        <item x="6239"/>
        <item x="6240"/>
        <item x="6241"/>
        <item x="6242"/>
        <item x="6243"/>
        <item x="6244"/>
        <item x="6245"/>
        <item x="6246"/>
        <item x="6247"/>
        <item x="6248"/>
        <item x="6249"/>
        <item x="6250"/>
        <item x="6251"/>
        <item x="6252"/>
        <item x="6253"/>
        <item x="6254"/>
        <item x="6255"/>
        <item x="6256"/>
        <item x="6257"/>
        <item x="6258"/>
        <item x="6259"/>
        <item x="6260"/>
        <item x="6261"/>
        <item x="6262"/>
        <item x="6263"/>
        <item x="6264"/>
        <item x="6265"/>
        <item x="6266"/>
        <item x="6267"/>
        <item x="6268"/>
        <item x="6269"/>
        <item x="6270"/>
        <item x="6271"/>
        <item x="6272"/>
        <item x="6273"/>
        <item x="6274"/>
        <item x="6275"/>
        <item x="6276"/>
        <item x="6277"/>
        <item x="6278"/>
        <item x="6279"/>
        <item x="6280"/>
        <item x="6281"/>
        <item x="6282"/>
        <item x="6283"/>
        <item x="6284"/>
        <item x="6285"/>
        <item x="6286"/>
        <item x="6287"/>
        <item x="6288"/>
        <item x="6289"/>
        <item x="6290"/>
        <item x="6291"/>
        <item x="6292"/>
        <item x="6293"/>
        <item x="6294"/>
        <item x="6295"/>
        <item x="6296"/>
        <item x="6297"/>
        <item x="6298"/>
        <item x="6299"/>
        <item x="6300"/>
        <item x="6301"/>
        <item x="6302"/>
        <item x="6303"/>
        <item x="6304"/>
        <item x="6305"/>
        <item x="6306"/>
        <item x="6307"/>
        <item x="6308"/>
        <item x="6309"/>
        <item x="6310"/>
        <item x="6311"/>
        <item x="6312"/>
        <item x="6313"/>
        <item x="6314"/>
        <item x="6315"/>
        <item x="6316"/>
        <item x="6317"/>
        <item x="6318"/>
        <item x="6319"/>
        <item x="6320"/>
        <item x="6321"/>
        <item x="6322"/>
        <item x="6323"/>
        <item x="6324"/>
        <item x="6325"/>
        <item x="6326"/>
        <item x="6327"/>
        <item x="6328"/>
        <item x="6329"/>
        <item x="6330"/>
        <item x="6331"/>
        <item x="6332"/>
        <item x="6333"/>
        <item x="6334"/>
        <item x="6335"/>
        <item x="6336"/>
        <item x="6337"/>
        <item x="6338"/>
        <item x="6339"/>
        <item x="6340"/>
        <item x="6341"/>
        <item x="6342"/>
        <item x="6343"/>
        <item x="6344"/>
        <item x="6345"/>
        <item x="6346"/>
        <item x="6347"/>
        <item x="6348"/>
        <item x="6349"/>
        <item x="6350"/>
        <item x="6351"/>
        <item x="6352"/>
        <item x="6353"/>
        <item x="6354"/>
        <item x="6355"/>
        <item x="6356"/>
        <item x="6357"/>
        <item x="6358"/>
        <item x="6359"/>
        <item x="6360"/>
        <item x="6361"/>
        <item x="6362"/>
        <item x="6363"/>
        <item x="6364"/>
        <item x="6365"/>
        <item x="6366"/>
        <item x="6367"/>
        <item x="6368"/>
        <item x="6369"/>
        <item x="6370"/>
        <item x="6371"/>
        <item x="6372"/>
        <item x="6373"/>
        <item x="6374"/>
        <item x="6375"/>
        <item x="6376"/>
        <item x="6377"/>
        <item x="6378"/>
        <item x="6379"/>
        <item x="6380"/>
        <item x="6381"/>
        <item x="6382"/>
        <item x="6383"/>
        <item x="6384"/>
        <item x="6385"/>
        <item x="6386"/>
        <item x="6387"/>
        <item x="6388"/>
        <item x="6389"/>
        <item x="6390"/>
        <item x="6391"/>
        <item x="6392"/>
        <item x="6393"/>
        <item x="6394"/>
        <item x="6395"/>
        <item x="6396"/>
        <item x="6397"/>
        <item x="6398"/>
        <item x="6399"/>
        <item x="6400"/>
        <item x="6401"/>
        <item x="6402"/>
        <item x="6403"/>
        <item x="6404"/>
        <item x="6405"/>
        <item x="6406"/>
        <item x="6407"/>
        <item x="6408"/>
        <item x="6409"/>
        <item x="6410"/>
        <item x="6411"/>
        <item x="6412"/>
        <item x="6413"/>
        <item x="6414"/>
        <item x="6415"/>
        <item x="6416"/>
        <item x="6417"/>
        <item x="6418"/>
        <item x="6419"/>
        <item x="6420"/>
        <item x="6421"/>
        <item x="6422"/>
        <item x="6423"/>
        <item x="6424"/>
        <item x="6425"/>
        <item x="6426"/>
        <item x="6427"/>
        <item x="6428"/>
        <item x="6429"/>
        <item x="6430"/>
        <item x="6431"/>
        <item x="6432"/>
        <item x="6433"/>
        <item x="6434"/>
        <item x="6435"/>
        <item x="6436"/>
        <item x="6437"/>
        <item x="6438"/>
        <item x="6439"/>
        <item x="6440"/>
        <item x="6441"/>
        <item x="6442"/>
        <item x="6443"/>
        <item x="6444"/>
        <item x="6445"/>
        <item x="6446"/>
        <item x="6447"/>
        <item x="6448"/>
        <item x="6449"/>
        <item x="6450"/>
        <item x="6451"/>
        <item x="6452"/>
        <item x="6453"/>
        <item x="6454"/>
        <item x="6455"/>
        <item x="6456"/>
        <item x="6457"/>
        <item x="6458"/>
        <item x="6459"/>
        <item x="6460"/>
        <item x="6461"/>
        <item x="6462"/>
        <item x="6463"/>
        <item x="6464"/>
        <item x="6465"/>
        <item x="6466"/>
        <item x="6467"/>
        <item x="6468"/>
        <item x="6469"/>
        <item x="6470"/>
        <item x="6471"/>
        <item x="6472"/>
        <item x="6473"/>
        <item x="6474"/>
        <item x="6475"/>
        <item x="6476"/>
        <item x="6477"/>
        <item x="6478"/>
        <item x="6479"/>
        <item x="6480"/>
        <item x="6481"/>
        <item x="6482"/>
        <item x="6483"/>
        <item x="6484"/>
        <item x="6485"/>
        <item x="6486"/>
        <item x="6487"/>
        <item x="6488"/>
        <item x="6489"/>
        <item x="6490"/>
        <item x="6491"/>
        <item x="6492"/>
        <item x="6493"/>
        <item x="6494"/>
        <item x="6495"/>
        <item x="6496"/>
        <item x="6497"/>
        <item x="6498"/>
        <item x="6499"/>
        <item x="6500"/>
        <item x="6501"/>
        <item x="6502"/>
        <item x="6503"/>
        <item x="6504"/>
        <item x="6505"/>
        <item x="6506"/>
        <item x="6507"/>
        <item x="6508"/>
        <item x="6509"/>
        <item x="6510"/>
        <item x="6511"/>
        <item x="6512"/>
        <item x="6513"/>
        <item x="6514"/>
        <item x="6515"/>
        <item x="6516"/>
        <item x="6517"/>
        <item x="6518"/>
        <item x="6519"/>
        <item x="6520"/>
        <item x="6521"/>
        <item x="6522"/>
        <item x="6523"/>
        <item x="6524"/>
        <item x="6525"/>
        <item x="6526"/>
        <item x="6527"/>
        <item x="6528"/>
        <item x="6529"/>
        <item x="6530"/>
        <item x="6531"/>
        <item x="6532"/>
        <item x="6533"/>
        <item x="6534"/>
        <item x="6535"/>
        <item x="6536"/>
        <item x="6537"/>
        <item x="6538"/>
        <item x="6539"/>
        <item x="6540"/>
        <item x="6541"/>
        <item x="6542"/>
        <item x="6543"/>
        <item x="6544"/>
        <item x="6545"/>
        <item x="6546"/>
        <item x="6547"/>
        <item x="6548"/>
        <item x="6549"/>
        <item x="6550"/>
        <item x="6551"/>
        <item x="6552"/>
        <item x="6553"/>
        <item x="6554"/>
        <item x="6555"/>
        <item x="6556"/>
        <item x="6557"/>
        <item x="6558"/>
        <item x="6559"/>
        <item x="6560"/>
        <item x="6561"/>
        <item x="6562"/>
        <item x="6563"/>
        <item x="6564"/>
        <item x="6565"/>
        <item x="6566"/>
        <item x="6567"/>
        <item x="6568"/>
        <item x="6569"/>
        <item x="6570"/>
        <item x="6571"/>
        <item x="6572"/>
        <item x="6573"/>
        <item x="6574"/>
        <item x="6575"/>
        <item x="6576"/>
        <item x="6577"/>
        <item x="6578"/>
        <item x="6579"/>
        <item x="6580"/>
        <item x="6581"/>
        <item x="6582"/>
        <item x="6583"/>
        <item x="6584"/>
        <item x="6585"/>
        <item x="6586"/>
        <item x="6587"/>
        <item x="6588"/>
        <item x="6589"/>
        <item x="6590"/>
        <item x="6591"/>
        <item x="6592"/>
        <item x="6593"/>
        <item x="6594"/>
        <item x="6595"/>
        <item x="6596"/>
        <item x="6597"/>
        <item x="6598"/>
        <item x="6599"/>
        <item x="6600"/>
        <item x="6601"/>
        <item x="6602"/>
        <item x="6603"/>
        <item x="6604"/>
        <item x="6605"/>
        <item x="6606"/>
        <item x="6607"/>
        <item x="6608"/>
        <item x="6609"/>
        <item x="6610"/>
        <item x="6611"/>
        <item x="6612"/>
        <item x="6613"/>
        <item x="6614"/>
        <item x="6615"/>
        <item x="6616"/>
        <item x="6617"/>
        <item x="6618"/>
        <item x="6619"/>
        <item x="6620"/>
        <item x="6621"/>
        <item x="6622"/>
        <item x="6623"/>
        <item x="6624"/>
        <item x="6625"/>
        <item x="6626"/>
        <item x="6627"/>
        <item x="6628"/>
        <item x="6629"/>
        <item x="6630"/>
        <item x="6631"/>
        <item x="6632"/>
        <item x="6633"/>
        <item x="6634"/>
        <item x="6635"/>
        <item x="6636"/>
        <item x="6637"/>
        <item x="6638"/>
        <item x="6639"/>
        <item x="6640"/>
        <item x="6641"/>
        <item x="6642"/>
        <item x="6643"/>
        <item x="6644"/>
        <item x="6645"/>
        <item x="6646"/>
        <item x="6647"/>
        <item x="6648"/>
        <item x="6649"/>
        <item x="6650"/>
        <item x="6651"/>
        <item x="6652"/>
        <item x="6653"/>
        <item x="6654"/>
        <item x="6655"/>
        <item x="6656"/>
        <item x="6657"/>
        <item x="6658"/>
        <item x="6659"/>
        <item x="6660"/>
        <item x="6661"/>
        <item x="6662"/>
        <item x="6663"/>
        <item x="6664"/>
        <item x="6665"/>
        <item x="6666"/>
        <item x="6667"/>
        <item x="6668"/>
        <item x="6669"/>
        <item x="6670"/>
        <item x="6671"/>
        <item x="6672"/>
        <item x="6673"/>
        <item x="6674"/>
        <item x="6675"/>
        <item x="6676"/>
        <item x="6677"/>
        <item x="6678"/>
        <item x="6679"/>
        <item x="6680"/>
        <item x="6681"/>
        <item x="6682"/>
        <item x="6683"/>
        <item x="6684"/>
        <item x="6685"/>
        <item x="6686"/>
        <item x="6687"/>
        <item x="6688"/>
        <item x="6689"/>
        <item x="6690"/>
        <item x="6691"/>
        <item x="6692"/>
        <item x="6693"/>
        <item x="6694"/>
        <item x="6695"/>
        <item x="6696"/>
        <item x="6697"/>
        <item x="6698"/>
        <item x="6699"/>
        <item x="6700"/>
        <item x="6701"/>
        <item x="6702"/>
        <item x="6703"/>
        <item x="6704"/>
        <item x="6705"/>
        <item x="6706"/>
        <item x="6707"/>
        <item x="6708"/>
        <item x="6709"/>
        <item x="6710"/>
        <item x="6711"/>
        <item x="6712"/>
        <item x="6713"/>
        <item x="6714"/>
        <item x="6715"/>
        <item x="6716"/>
        <item x="6717"/>
        <item x="6718"/>
        <item x="6719"/>
        <item x="6720"/>
        <item x="6721"/>
        <item x="6722"/>
        <item x="6723"/>
        <item x="6724"/>
        <item x="6725"/>
        <item x="6726"/>
        <item x="6727"/>
        <item x="6728"/>
        <item x="6729"/>
        <item x="6730"/>
        <item x="6731"/>
        <item x="6732"/>
        <item x="6733"/>
        <item x="6734"/>
        <item x="6735"/>
        <item x="6736"/>
        <item x="6737"/>
        <item x="6738"/>
        <item x="6739"/>
        <item x="6740"/>
        <item x="6741"/>
        <item x="6742"/>
        <item x="6743"/>
        <item x="6744"/>
        <item x="6745"/>
        <item x="6746"/>
        <item x="6747"/>
        <item x="6748"/>
        <item x="6749"/>
        <item x="6750"/>
        <item x="6751"/>
        <item x="6752"/>
        <item x="6753"/>
        <item x="6754"/>
        <item x="6755"/>
        <item x="6756"/>
        <item x="6757"/>
        <item x="6758"/>
        <item x="6759"/>
        <item x="6760"/>
        <item x="6761"/>
        <item x="6762"/>
        <item x="6763"/>
        <item x="6764"/>
        <item x="6765"/>
        <item x="6766"/>
        <item x="6767"/>
        <item x="6768"/>
        <item x="6769"/>
        <item x="6770"/>
        <item x="6771"/>
        <item x="6772"/>
        <item x="6773"/>
        <item x="6774"/>
        <item x="6775"/>
        <item x="6776"/>
        <item x="6777"/>
        <item x="6778"/>
        <item x="6779"/>
        <item x="6780"/>
        <item x="6781"/>
        <item x="6782"/>
        <item x="6783"/>
        <item x="6784"/>
        <item x="6785"/>
        <item x="6786"/>
        <item x="6787"/>
        <item x="6788"/>
        <item x="6789"/>
        <item x="6790"/>
        <item x="6791"/>
        <item x="6792"/>
        <item x="6793"/>
        <item x="6794"/>
        <item x="6795"/>
        <item x="6796"/>
        <item x="6797"/>
        <item x="6798"/>
        <item x="6799"/>
        <item x="6800"/>
        <item x="6801"/>
        <item x="6802"/>
        <item x="6803"/>
        <item x="6804"/>
        <item x="6805"/>
        <item x="6806"/>
        <item x="6807"/>
        <item x="6808"/>
        <item x="6809"/>
        <item x="6810"/>
        <item x="6811"/>
        <item x="6812"/>
        <item x="6813"/>
        <item x="6814"/>
        <item x="6815"/>
        <item x="6816"/>
        <item x="6817"/>
        <item x="6818"/>
        <item x="6819"/>
        <item x="6820"/>
        <item x="6821"/>
        <item x="6822"/>
        <item x="6823"/>
        <item x="6824"/>
        <item x="6825"/>
        <item x="6826"/>
        <item x="6827"/>
        <item x="6828"/>
        <item x="6829"/>
        <item x="6830"/>
        <item x="6831"/>
        <item x="6832"/>
        <item x="6833"/>
        <item x="6834"/>
        <item x="6835"/>
        <item x="6836"/>
        <item x="6837"/>
        <item x="6838"/>
        <item x="6839"/>
        <item x="6840"/>
        <item x="6841"/>
        <item x="6842"/>
        <item x="6843"/>
        <item x="6844"/>
        <item x="6845"/>
        <item x="6846"/>
        <item x="6847"/>
        <item x="6848"/>
        <item x="6849"/>
        <item x="6850"/>
        <item x="6851"/>
        <item x="6852"/>
        <item x="6853"/>
        <item x="6854"/>
        <item x="6855"/>
        <item x="6856"/>
        <item x="6857"/>
        <item x="6858"/>
        <item x="6859"/>
        <item x="6860"/>
        <item x="6861"/>
        <item x="6862"/>
        <item x="6863"/>
        <item x="6864"/>
        <item x="6865"/>
        <item x="6866"/>
        <item x="6867"/>
        <item x="6868"/>
        <item x="6869"/>
        <item x="6870"/>
        <item x="6871"/>
        <item x="6872"/>
        <item x="6873"/>
        <item x="6874"/>
        <item x="6875"/>
        <item x="6876"/>
        <item x="6877"/>
        <item x="6878"/>
        <item x="6879"/>
        <item x="6880"/>
        <item x="6881"/>
        <item x="6882"/>
        <item x="6883"/>
        <item x="6884"/>
        <item x="6885"/>
        <item x="6886"/>
        <item x="6887"/>
        <item x="6888"/>
        <item x="6889"/>
        <item x="6890"/>
        <item x="6891"/>
        <item x="6892"/>
        <item x="6893"/>
        <item x="6894"/>
        <item x="6895"/>
        <item x="6896"/>
        <item x="6897"/>
        <item x="6898"/>
        <item x="6899"/>
        <item x="6900"/>
        <item x="6901"/>
        <item x="6902"/>
        <item x="6903"/>
        <item x="6904"/>
        <item x="6905"/>
        <item x="6906"/>
        <item x="6907"/>
        <item x="6908"/>
        <item x="6909"/>
        <item x="6910"/>
        <item x="6911"/>
        <item x="6912"/>
        <item x="6913"/>
        <item x="6914"/>
        <item x="6915"/>
        <item x="6916"/>
        <item x="6917"/>
        <item x="6918"/>
        <item x="6919"/>
        <item x="6920"/>
        <item x="6921"/>
        <item x="6922"/>
        <item x="6923"/>
        <item x="6924"/>
        <item x="6925"/>
        <item x="6926"/>
        <item x="6927"/>
        <item x="6928"/>
        <item x="6929"/>
        <item x="6930"/>
        <item x="6931"/>
        <item x="6932"/>
        <item x="6933"/>
        <item x="6934"/>
        <item x="6935"/>
        <item x="6936"/>
        <item x="6937"/>
        <item x="6938"/>
        <item x="6939"/>
        <item x="6940"/>
        <item x="6941"/>
        <item x="6942"/>
        <item x="6943"/>
        <item x="6944"/>
        <item x="6945"/>
        <item x="6946"/>
        <item x="6947"/>
        <item x="6948"/>
        <item x="6949"/>
        <item x="6950"/>
        <item x="6951"/>
        <item x="6952"/>
        <item x="6953"/>
        <item x="6954"/>
        <item x="6955"/>
        <item x="6956"/>
        <item x="6957"/>
        <item x="6958"/>
        <item x="6959"/>
        <item x="6960"/>
        <item x="6961"/>
        <item x="6962"/>
        <item x="6963"/>
        <item x="6964"/>
        <item x="6965"/>
        <item x="6966"/>
        <item x="6967"/>
        <item x="6968"/>
        <item x="6969"/>
        <item x="6970"/>
        <item x="6971"/>
        <item x="6972"/>
        <item x="6973"/>
        <item x="6974"/>
        <item x="6975"/>
        <item x="6976"/>
        <item x="6977"/>
        <item x="6978"/>
        <item x="6979"/>
        <item x="6980"/>
        <item x="6981"/>
        <item x="6982"/>
        <item x="6983"/>
        <item x="6984"/>
        <item x="6985"/>
        <item x="6986"/>
        <item x="6987"/>
        <item x="6988"/>
        <item x="6989"/>
        <item x="6990"/>
        <item x="6991"/>
        <item x="6992"/>
        <item x="6993"/>
        <item x="6994"/>
        <item x="6995"/>
        <item x="6996"/>
        <item x="6997"/>
        <item x="6998"/>
        <item x="6999"/>
        <item x="7000"/>
        <item x="7001"/>
        <item x="7002"/>
        <item x="7003"/>
        <item x="7004"/>
        <item x="7005"/>
        <item x="7006"/>
        <item x="7007"/>
        <item x="7008"/>
        <item x="7009"/>
        <item x="7010"/>
        <item x="7011"/>
        <item x="7012"/>
        <item x="7013"/>
        <item x="7014"/>
        <item x="7015"/>
        <item x="7016"/>
        <item x="7017"/>
        <item x="7018"/>
        <item x="7019"/>
        <item x="7020"/>
        <item x="7021"/>
        <item x="7022"/>
        <item x="7023"/>
        <item x="7024"/>
        <item x="7025"/>
        <item x="7026"/>
        <item x="7027"/>
        <item x="7028"/>
        <item x="7029"/>
        <item x="7030"/>
        <item x="7031"/>
        <item x="7032"/>
        <item x="7033"/>
        <item x="7034"/>
        <item x="7035"/>
        <item x="7036"/>
        <item x="7037"/>
        <item x="7038"/>
        <item x="7039"/>
        <item x="7040"/>
        <item x="7041"/>
        <item x="7042"/>
        <item x="7043"/>
        <item x="7044"/>
        <item x="7045"/>
        <item x="7046"/>
        <item x="7047"/>
        <item x="7048"/>
        <item x="7049"/>
        <item x="7050"/>
        <item x="7051"/>
        <item x="7052"/>
        <item x="7053"/>
        <item x="7054"/>
        <item x="7055"/>
        <item x="7056"/>
        <item x="7057"/>
        <item x="7058"/>
        <item x="7059"/>
        <item x="7060"/>
        <item x="7061"/>
        <item x="7062"/>
        <item x="7063"/>
        <item x="7064"/>
        <item x="7065"/>
        <item x="7066"/>
        <item x="7067"/>
        <item x="7068"/>
        <item x="7069"/>
        <item x="7070"/>
        <item x="7071"/>
        <item x="7072"/>
        <item x="7073"/>
        <item x="7074"/>
        <item x="7075"/>
        <item x="7076"/>
        <item x="7077"/>
        <item x="7078"/>
        <item x="7079"/>
        <item x="7080"/>
        <item x="7081"/>
        <item x="7082"/>
        <item x="7083"/>
        <item x="7084"/>
        <item x="7085"/>
        <item x="7086"/>
        <item x="7087"/>
        <item x="7088"/>
        <item x="7089"/>
        <item x="7090"/>
        <item x="7091"/>
        <item x="7092"/>
        <item x="7093"/>
        <item x="7094"/>
        <item x="7095"/>
        <item x="7096"/>
        <item x="7097"/>
        <item x="7098"/>
        <item x="7099"/>
        <item x="7100"/>
        <item x="7101"/>
        <item x="7102"/>
        <item x="7103"/>
        <item x="7104"/>
        <item x="7105"/>
        <item x="7106"/>
        <item x="7107"/>
        <item x="7108"/>
        <item x="7109"/>
        <item x="7110"/>
        <item x="7111"/>
        <item x="7112"/>
        <item x="7113"/>
        <item x="7114"/>
        <item x="7115"/>
        <item x="7116"/>
        <item x="7117"/>
        <item x="7118"/>
        <item x="7119"/>
        <item x="7120"/>
        <item x="7121"/>
        <item x="7122"/>
        <item x="7123"/>
        <item x="7124"/>
        <item x="7125"/>
        <item x="7126"/>
        <item x="7127"/>
        <item x="7128"/>
        <item x="7129"/>
        <item x="7130"/>
        <item x="7131"/>
        <item x="7132"/>
        <item x="7133"/>
        <item x="7134"/>
        <item x="7135"/>
        <item x="7136"/>
        <item x="7137"/>
        <item x="7138"/>
        <item x="7139"/>
        <item x="7140"/>
        <item x="7141"/>
        <item x="7142"/>
        <item x="7143"/>
        <item x="7144"/>
        <item x="7145"/>
        <item x="7146"/>
        <item x="7147"/>
        <item x="7148"/>
        <item x="7149"/>
        <item x="7150"/>
        <item x="7151"/>
        <item x="7152"/>
        <item x="7153"/>
        <item x="7154"/>
        <item x="7155"/>
        <item x="7156"/>
        <item x="7157"/>
        <item x="7158"/>
        <item x="7159"/>
        <item x="7160"/>
        <item x="7161"/>
        <item x="7162"/>
        <item x="7163"/>
        <item x="7164"/>
        <item x="7165"/>
        <item x="7166"/>
        <item x="7167"/>
        <item x="7168"/>
        <item x="7169"/>
        <item x="7170"/>
        <item x="7171"/>
        <item x="7172"/>
        <item x="7173"/>
        <item x="7174"/>
        <item x="7175"/>
        <item x="7176"/>
        <item x="7177"/>
        <item x="7178"/>
        <item x="7179"/>
        <item x="7180"/>
        <item x="7181"/>
        <item x="7182"/>
        <item x="7183"/>
        <item x="7184"/>
        <item x="7185"/>
        <item x="7186"/>
        <item x="7187"/>
        <item x="7188"/>
        <item x="7189"/>
        <item x="7190"/>
        <item x="7191"/>
        <item x="7192"/>
        <item x="7193"/>
        <item x="7194"/>
        <item x="7195"/>
        <item x="7196"/>
        <item x="7197"/>
        <item x="7198"/>
        <item x="7199"/>
        <item x="7200"/>
        <item x="7201"/>
        <item x="7202"/>
        <item x="7203"/>
        <item x="7204"/>
        <item x="7205"/>
        <item x="7206"/>
        <item x="7207"/>
        <item x="7208"/>
        <item x="7209"/>
        <item x="7210"/>
        <item x="7211"/>
        <item x="7212"/>
        <item x="7213"/>
        <item x="7214"/>
        <item x="7215"/>
        <item x="7216"/>
        <item x="7217"/>
        <item x="7218"/>
        <item x="7219"/>
        <item x="7220"/>
        <item x="7221"/>
        <item x="7222"/>
        <item x="7223"/>
        <item x="7224"/>
        <item x="7225"/>
        <item x="7226"/>
        <item x="7227"/>
        <item x="7228"/>
        <item x="7229"/>
        <item x="7230"/>
        <item x="7231"/>
        <item x="7232"/>
        <item x="7233"/>
        <item x="7234"/>
        <item x="7235"/>
        <item x="7236"/>
        <item x="7237"/>
        <item x="7238"/>
        <item x="7239"/>
        <item x="7240"/>
        <item x="7241"/>
        <item x="7242"/>
        <item x="7243"/>
        <item x="7244"/>
        <item x="7245"/>
        <item x="7246"/>
        <item x="7247"/>
        <item x="7248"/>
        <item x="7249"/>
        <item x="7250"/>
        <item x="7251"/>
        <item x="7252"/>
        <item x="7253"/>
        <item x="7254"/>
        <item x="7255"/>
        <item x="7256"/>
        <item x="7257"/>
        <item x="7258"/>
        <item x="7259"/>
        <item x="7260"/>
        <item x="7261"/>
        <item x="7262"/>
        <item x="7263"/>
        <item x="7264"/>
        <item x="7265"/>
        <item x="7266"/>
        <item x="7267"/>
        <item x="7268"/>
        <item x="7269"/>
        <item x="7270"/>
        <item x="7271"/>
        <item x="7272"/>
        <item x="7273"/>
        <item x="7274"/>
        <item x="7275"/>
        <item x="7276"/>
        <item x="7277"/>
        <item x="7278"/>
        <item x="7279"/>
        <item x="7280"/>
        <item x="7281"/>
        <item x="7282"/>
        <item x="7283"/>
        <item x="7284"/>
        <item x="7285"/>
        <item x="7286"/>
        <item x="7287"/>
        <item x="7288"/>
        <item x="7289"/>
        <item x="7290"/>
        <item x="7291"/>
        <item x="7292"/>
        <item x="7293"/>
        <item x="7294"/>
        <item x="7295"/>
        <item x="7296"/>
        <item x="7297"/>
        <item x="7298"/>
        <item x="7299"/>
        <item x="7300"/>
        <item x="7301"/>
        <item x="7302"/>
        <item x="7303"/>
        <item x="7304"/>
        <item x="7305"/>
        <item x="7306"/>
        <item x="7307"/>
        <item x="7308"/>
        <item x="7309"/>
        <item x="7310"/>
        <item x="7311"/>
        <item x="7312"/>
        <item x="7313"/>
        <item x="7314"/>
        <item x="7315"/>
        <item x="7316"/>
        <item x="7317"/>
        <item x="7318"/>
        <item x="7319"/>
        <item x="7320"/>
        <item x="7321"/>
        <item x="7322"/>
        <item x="7323"/>
        <item x="7324"/>
        <item x="7325"/>
        <item x="7326"/>
        <item x="7327"/>
        <item x="7328"/>
        <item x="7329"/>
        <item x="7330"/>
        <item x="7331"/>
        <item x="7332"/>
        <item x="7333"/>
        <item x="7334"/>
        <item x="7335"/>
        <item x="7336"/>
        <item x="7337"/>
        <item x="7338"/>
        <item x="7339"/>
        <item x="7340"/>
        <item x="7341"/>
        <item x="7342"/>
        <item x="7343"/>
        <item x="7344"/>
        <item x="7345"/>
        <item x="7346"/>
        <item x="7347"/>
        <item x="7348"/>
        <item x="7349"/>
        <item x="7350"/>
        <item x="7351"/>
        <item x="7352"/>
        <item x="7353"/>
        <item x="7354"/>
        <item x="7355"/>
        <item x="7356"/>
        <item x="7357"/>
        <item x="7358"/>
        <item x="7359"/>
        <item x="7360"/>
        <item x="7361"/>
        <item x="7362"/>
        <item x="7363"/>
        <item x="7364"/>
        <item x="7365"/>
        <item x="7366"/>
        <item x="7367"/>
        <item x="7368"/>
        <item x="7369"/>
        <item x="7370"/>
        <item x="7371"/>
        <item x="7372"/>
        <item x="7373"/>
        <item x="7374"/>
        <item x="7375"/>
        <item x="7376"/>
        <item x="7377"/>
        <item x="7378"/>
        <item x="7379"/>
        <item x="7380"/>
        <item x="7381"/>
        <item x="7382"/>
        <item x="7383"/>
        <item x="7384"/>
        <item x="7385"/>
        <item x="7386"/>
        <item x="7387"/>
        <item x="7388"/>
        <item x="7389"/>
        <item x="7390"/>
        <item x="7391"/>
        <item x="7392"/>
        <item x="7393"/>
        <item x="7394"/>
        <item x="7395"/>
        <item x="7396"/>
        <item x="7397"/>
        <item x="7398"/>
        <item x="7399"/>
        <item x="7400"/>
        <item x="7401"/>
        <item x="7402"/>
        <item x="7403"/>
        <item x="7404"/>
        <item x="7405"/>
        <item x="7406"/>
        <item x="7407"/>
        <item x="7408"/>
        <item x="7409"/>
        <item x="7410"/>
        <item x="7411"/>
        <item x="7412"/>
        <item x="7413"/>
        <item x="7414"/>
        <item x="7415"/>
        <item x="7416"/>
        <item x="7417"/>
        <item x="7418"/>
        <item x="7419"/>
        <item x="7420"/>
        <item x="7421"/>
        <item x="7422"/>
        <item x="7423"/>
        <item x="7424"/>
        <item x="7425"/>
        <item x="7426"/>
        <item x="7427"/>
        <item x="7428"/>
        <item x="7429"/>
        <item x="7430"/>
        <item x="7431"/>
        <item x="7432"/>
        <item x="7433"/>
        <item x="7434"/>
        <item x="7435"/>
        <item x="7436"/>
        <item x="7437"/>
        <item x="7438"/>
        <item x="7439"/>
        <item x="7440"/>
        <item x="7441"/>
        <item x="7442"/>
        <item x="7443"/>
        <item x="7444"/>
        <item x="7445"/>
        <item x="7446"/>
        <item x="7447"/>
        <item x="7448"/>
        <item x="7449"/>
        <item x="7450"/>
        <item x="7451"/>
        <item x="7452"/>
        <item x="7453"/>
        <item x="7454"/>
        <item x="7455"/>
        <item x="7456"/>
        <item x="7457"/>
        <item x="7458"/>
        <item x="7459"/>
        <item x="7460"/>
        <item x="7461"/>
        <item x="7462"/>
        <item x="7463"/>
        <item x="7464"/>
        <item x="7465"/>
        <item x="7466"/>
        <item x="7467"/>
        <item x="7468"/>
        <item x="7469"/>
        <item x="7470"/>
        <item x="7471"/>
        <item x="7472"/>
        <item x="7473"/>
        <item x="7474"/>
        <item x="7475"/>
        <item x="7476"/>
        <item x="7477"/>
        <item x="7478"/>
        <item x="7479"/>
        <item x="7480"/>
        <item x="7481"/>
        <item x="7482"/>
        <item x="7483"/>
        <item x="7484"/>
        <item x="7485"/>
        <item x="7486"/>
        <item x="7487"/>
        <item x="7488"/>
        <item x="7489"/>
        <item x="7490"/>
        <item x="7491"/>
        <item x="7492"/>
        <item x="7493"/>
        <item x="7494"/>
        <item x="7495"/>
        <item x="7496"/>
        <item x="7497"/>
        <item x="7498"/>
        <item x="7499"/>
        <item x="7500"/>
        <item x="7501"/>
        <item x="7502"/>
        <item x="7503"/>
        <item x="7504"/>
        <item x="7505"/>
        <item x="7506"/>
        <item x="7507"/>
        <item x="7508"/>
        <item x="7509"/>
        <item x="7510"/>
        <item x="7511"/>
        <item x="7512"/>
        <item x="7513"/>
        <item x="7514"/>
        <item x="7515"/>
        <item x="7516"/>
        <item x="7517"/>
        <item x="7518"/>
        <item x="7519"/>
        <item x="7520"/>
        <item x="7521"/>
        <item x="7522"/>
        <item x="7523"/>
        <item x="7524"/>
        <item x="7525"/>
        <item x="7526"/>
        <item x="7527"/>
        <item x="7528"/>
        <item x="7529"/>
        <item x="7530"/>
        <item x="7531"/>
        <item x="7532"/>
        <item x="7533"/>
        <item x="7534"/>
        <item x="7535"/>
        <item x="7536"/>
        <item x="7537"/>
        <item x="7538"/>
        <item x="7539"/>
        <item x="7540"/>
        <item x="7541"/>
        <item x="7542"/>
        <item x="7543"/>
        <item x="7544"/>
        <item x="7545"/>
        <item x="7546"/>
        <item x="7547"/>
        <item x="7548"/>
        <item x="7549"/>
        <item x="7550"/>
        <item x="7551"/>
        <item x="7552"/>
        <item x="7553"/>
        <item x="7554"/>
        <item x="7555"/>
        <item x="7556"/>
        <item x="7557"/>
        <item x="7558"/>
        <item x="7559"/>
        <item x="7560"/>
        <item x="7561"/>
        <item x="7562"/>
        <item x="7563"/>
        <item x="7564"/>
        <item x="7565"/>
        <item x="7566"/>
        <item x="7567"/>
        <item x="7568"/>
        <item x="7569"/>
        <item x="7570"/>
        <item x="7571"/>
        <item x="7572"/>
        <item x="7573"/>
        <item x="7574"/>
        <item x="7575"/>
        <item x="7576"/>
        <item x="7577"/>
        <item x="7578"/>
        <item x="7579"/>
        <item x="7580"/>
        <item x="7581"/>
        <item x="7582"/>
        <item x="7583"/>
        <item x="7584"/>
        <item x="7585"/>
        <item x="7586"/>
        <item x="7587"/>
        <item x="7588"/>
        <item x="7589"/>
        <item x="7590"/>
        <item x="7591"/>
        <item x="7592"/>
        <item x="7593"/>
        <item x="7594"/>
        <item x="7595"/>
        <item x="7596"/>
        <item x="7597"/>
        <item x="7598"/>
        <item x="7599"/>
        <item x="7600"/>
        <item x="7601"/>
        <item x="7602"/>
        <item x="7603"/>
        <item x="7604"/>
        <item x="7605"/>
        <item x="7606"/>
        <item x="7607"/>
        <item x="7608"/>
        <item x="7609"/>
        <item x="7610"/>
        <item x="7611"/>
        <item x="7612"/>
        <item x="7613"/>
        <item x="7614"/>
        <item x="7615"/>
        <item x="7616"/>
        <item x="7617"/>
        <item x="7618"/>
        <item x="7619"/>
        <item x="7620"/>
        <item x="7621"/>
        <item x="7622"/>
        <item x="7623"/>
        <item x="7624"/>
        <item x="7625"/>
        <item x="7626"/>
        <item x="7627"/>
        <item x="7628"/>
        <item x="7629"/>
        <item x="7630"/>
        <item x="7631"/>
        <item x="7632"/>
        <item x="7633"/>
        <item x="7634"/>
        <item x="7635"/>
        <item x="7636"/>
        <item x="7637"/>
        <item x="7638"/>
        <item x="7639"/>
        <item x="7640"/>
        <item x="7641"/>
        <item x="7642"/>
        <item x="7643"/>
        <item x="7644"/>
        <item x="7645"/>
        <item x="7646"/>
        <item x="7647"/>
        <item x="7648"/>
        <item x="7649"/>
        <item x="7650"/>
        <item x="7651"/>
        <item x="7652"/>
        <item x="7653"/>
        <item x="7654"/>
        <item x="7655"/>
        <item x="7656"/>
        <item x="7657"/>
        <item x="7658"/>
        <item x="7659"/>
        <item x="7660"/>
        <item x="7661"/>
        <item x="7662"/>
        <item x="7663"/>
        <item x="7664"/>
        <item x="7665"/>
        <item x="7666"/>
        <item x="7667"/>
        <item x="7668"/>
        <item x="7669"/>
        <item x="7670"/>
        <item x="7671"/>
        <item x="7672"/>
        <item x="7673"/>
        <item x="7674"/>
        <item x="7675"/>
        <item x="7676"/>
        <item x="7677"/>
        <item x="7678"/>
        <item x="7679"/>
        <item x="7680"/>
        <item x="7681"/>
        <item x="7682"/>
        <item x="7683"/>
        <item x="7684"/>
        <item x="7685"/>
        <item x="7686"/>
        <item x="7687"/>
        <item x="7688"/>
        <item x="7689"/>
        <item x="7690"/>
        <item x="7691"/>
        <item x="7692"/>
        <item x="7693"/>
        <item x="7694"/>
        <item x="7695"/>
        <item x="7696"/>
        <item x="7697"/>
        <item x="7698"/>
        <item x="7699"/>
        <item x="7700"/>
        <item x="7701"/>
        <item x="7702"/>
        <item x="7703"/>
        <item x="7704"/>
        <item x="7705"/>
        <item x="7706"/>
        <item x="7707"/>
        <item x="7708"/>
        <item x="7709"/>
        <item x="7710"/>
        <item x="7711"/>
        <item x="7712"/>
        <item x="7713"/>
        <item x="7714"/>
        <item x="7715"/>
        <item x="7716"/>
        <item x="7717"/>
        <item x="7718"/>
        <item x="7719"/>
        <item x="7720"/>
        <item x="7721"/>
        <item x="7722"/>
        <item x="7723"/>
        <item x="7724"/>
        <item x="7725"/>
        <item x="7726"/>
        <item x="7727"/>
        <item x="7728"/>
        <item x="7729"/>
        <item x="7730"/>
        <item x="7731"/>
        <item x="7732"/>
        <item x="7733"/>
        <item x="7734"/>
        <item x="7735"/>
        <item x="7736"/>
        <item x="7737"/>
        <item x="7738"/>
        <item x="7739"/>
        <item x="7740"/>
        <item x="7741"/>
        <item x="7742"/>
        <item x="7743"/>
        <item x="7744"/>
        <item x="7745"/>
        <item x="7746"/>
        <item x="7747"/>
        <item x="7748"/>
        <item x="7749"/>
        <item x="7750"/>
        <item x="7751"/>
        <item x="7752"/>
        <item x="7753"/>
        <item x="7754"/>
        <item x="7755"/>
        <item x="7756"/>
        <item x="7757"/>
        <item x="7758"/>
        <item x="7759"/>
        <item x="7760"/>
        <item x="7761"/>
        <item x="7762"/>
        <item x="7763"/>
        <item x="7764"/>
        <item x="7765"/>
        <item x="7766"/>
        <item x="7767"/>
        <item x="7768"/>
        <item x="7769"/>
        <item x="7770"/>
        <item x="7771"/>
        <item x="7772"/>
        <item x="7773"/>
        <item x="7774"/>
        <item x="7775"/>
        <item x="7776"/>
        <item x="7777"/>
        <item x="7778"/>
        <item x="7779"/>
        <item x="7780"/>
        <item x="7781"/>
        <item x="7782"/>
        <item x="7783"/>
        <item x="7784"/>
        <item x="7785"/>
        <item x="7786"/>
        <item x="7787"/>
        <item x="7788"/>
        <item x="7789"/>
        <item x="7790"/>
        <item x="7791"/>
        <item x="7792"/>
        <item x="7793"/>
        <item x="7794"/>
        <item x="7795"/>
        <item x="7796"/>
        <item x="7797"/>
        <item x="7798"/>
        <item x="7799"/>
        <item x="7800"/>
        <item x="7801"/>
        <item x="7802"/>
        <item x="7803"/>
        <item x="7804"/>
        <item x="7805"/>
        <item x="7806"/>
        <item x="7807"/>
        <item x="7808"/>
        <item x="7809"/>
        <item x="7810"/>
        <item x="7811"/>
        <item x="7812"/>
        <item x="7813"/>
        <item x="7814"/>
        <item x="7815"/>
        <item x="7816"/>
        <item x="7817"/>
        <item x="7818"/>
        <item x="7819"/>
        <item x="7820"/>
        <item x="7821"/>
        <item x="7822"/>
        <item x="7823"/>
        <item x="7824"/>
        <item x="7825"/>
        <item x="7826"/>
        <item x="7827"/>
        <item x="7828"/>
        <item x="7829"/>
        <item x="7830"/>
        <item x="7831"/>
        <item x="7832"/>
        <item x="7833"/>
        <item x="7834"/>
        <item x="7835"/>
        <item x="7836"/>
        <item x="7837"/>
        <item x="7838"/>
        <item x="7839"/>
        <item x="7840"/>
        <item x="7841"/>
        <item x="7842"/>
        <item x="7843"/>
        <item x="7844"/>
        <item x="7845"/>
        <item x="7846"/>
        <item x="7847"/>
        <item x="7848"/>
        <item x="7849"/>
        <item x="7850"/>
        <item x="7851"/>
        <item x="7852"/>
        <item x="7853"/>
        <item x="7854"/>
        <item x="7855"/>
        <item x="7856"/>
        <item x="7857"/>
        <item x="7858"/>
        <item x="7859"/>
        <item x="7860"/>
        <item x="7861"/>
        <item x="7862"/>
        <item x="7863"/>
        <item x="7864"/>
        <item x="7865"/>
        <item x="7866"/>
        <item x="7867"/>
        <item x="7868"/>
        <item x="7869"/>
        <item x="7870"/>
        <item x="7871"/>
        <item x="7872"/>
        <item x="7873"/>
        <item x="7874"/>
        <item x="7875"/>
        <item x="7876"/>
        <item x="7877"/>
        <item x="7878"/>
        <item x="7879"/>
        <item x="7880"/>
        <item x="7881"/>
        <item x="7882"/>
        <item x="7883"/>
        <item x="7884"/>
        <item x="7885"/>
        <item x="7886"/>
        <item x="7887"/>
        <item x="7888"/>
        <item x="7889"/>
        <item x="7890"/>
        <item x="7891"/>
        <item x="7892"/>
        <item x="7893"/>
        <item x="7894"/>
        <item x="7895"/>
        <item x="7896"/>
        <item x="7897"/>
        <item x="7898"/>
        <item x="7899"/>
        <item x="7900"/>
        <item x="7901"/>
        <item x="7902"/>
        <item x="7903"/>
        <item x="7904"/>
        <item x="7905"/>
        <item x="7906"/>
        <item x="7907"/>
        <item x="7908"/>
        <item x="7909"/>
        <item x="7910"/>
        <item x="7911"/>
        <item x="7912"/>
        <item x="7913"/>
        <item x="7914"/>
        <item x="7915"/>
        <item x="7916"/>
        <item x="7917"/>
        <item x="7918"/>
        <item x="7919"/>
        <item x="7920"/>
        <item x="7921"/>
        <item x="7922"/>
        <item x="7923"/>
        <item x="7924"/>
        <item x="7925"/>
        <item x="7926"/>
        <item x="7927"/>
        <item x="7928"/>
        <item x="7929"/>
        <item x="7930"/>
        <item x="7931"/>
        <item x="7932"/>
        <item x="7933"/>
        <item x="7934"/>
        <item x="7935"/>
        <item x="7936"/>
        <item x="7937"/>
        <item x="7938"/>
        <item x="7939"/>
        <item x="7940"/>
        <item x="7941"/>
        <item x="7942"/>
        <item x="7943"/>
        <item x="7944"/>
        <item x="7945"/>
        <item x="7946"/>
        <item x="7947"/>
        <item x="7948"/>
        <item x="7949"/>
        <item x="7950"/>
        <item x="7951"/>
        <item x="7952"/>
        <item x="7953"/>
        <item x="7954"/>
        <item x="7955"/>
        <item x="7956"/>
        <item x="7957"/>
        <item x="7958"/>
        <item x="7959"/>
        <item x="7960"/>
        <item x="7961"/>
        <item x="7962"/>
        <item x="7963"/>
        <item x="7964"/>
        <item x="7965"/>
        <item x="7966"/>
        <item x="7967"/>
        <item x="7968"/>
        <item x="7969"/>
        <item x="7970"/>
        <item x="7971"/>
        <item x="7972"/>
        <item x="7973"/>
        <item x="7974"/>
        <item x="7975"/>
        <item x="7976"/>
        <item x="7977"/>
        <item x="7978"/>
        <item x="7979"/>
        <item x="7980"/>
        <item x="7981"/>
        <item x="7982"/>
        <item x="7983"/>
        <item x="7984"/>
        <item x="7985"/>
        <item x="7986"/>
        <item x="7987"/>
        <item x="7988"/>
        <item x="7989"/>
        <item x="7990"/>
        <item x="7991"/>
        <item x="7992"/>
        <item x="7993"/>
        <item x="7994"/>
        <item x="7995"/>
        <item x="7996"/>
        <item x="7997"/>
        <item x="7998"/>
        <item x="7999"/>
        <item x="8000"/>
        <item x="8001"/>
        <item x="8002"/>
        <item x="8003"/>
        <item x="8004"/>
        <item x="8005"/>
        <item x="8006"/>
        <item x="8007"/>
        <item x="8008"/>
        <item x="8009"/>
        <item x="8010"/>
        <item x="8011"/>
        <item x="8012"/>
        <item x="8013"/>
        <item x="8014"/>
        <item x="8015"/>
        <item x="8016"/>
        <item x="8017"/>
        <item x="8018"/>
        <item x="8019"/>
        <item x="8020"/>
        <item x="8021"/>
        <item x="8022"/>
        <item x="8023"/>
        <item x="8024"/>
        <item x="8025"/>
        <item x="8026"/>
        <item x="8027"/>
        <item x="8028"/>
        <item x="8029"/>
        <item x="8030"/>
        <item x="8031"/>
        <item x="8032"/>
        <item x="8033"/>
        <item x="8034"/>
        <item x="8035"/>
        <item x="8036"/>
        <item x="8037"/>
        <item x="8038"/>
        <item x="8039"/>
        <item x="8040"/>
        <item x="8041"/>
        <item x="8042"/>
        <item x="8043"/>
        <item x="8044"/>
        <item x="8045"/>
        <item x="8046"/>
        <item x="8047"/>
        <item x="8048"/>
        <item x="8049"/>
        <item x="8050"/>
        <item x="8051"/>
        <item x="8052"/>
        <item x="8053"/>
        <item x="8054"/>
        <item x="8055"/>
        <item x="8056"/>
        <item x="8057"/>
        <item x="8058"/>
        <item x="8059"/>
        <item x="8060"/>
        <item x="8061"/>
        <item x="8062"/>
        <item x="8063"/>
        <item x="8064"/>
        <item x="8065"/>
        <item x="8066"/>
        <item x="8067"/>
        <item x="8068"/>
        <item x="8069"/>
        <item x="8070"/>
        <item x="8071"/>
        <item x="8072"/>
        <item x="8073"/>
        <item x="8074"/>
        <item x="8075"/>
        <item x="8076"/>
        <item x="8077"/>
        <item x="8078"/>
        <item x="8079"/>
        <item x="8080"/>
        <item x="8081"/>
        <item x="8082"/>
        <item x="8083"/>
        <item x="8084"/>
        <item x="8085"/>
        <item x="8086"/>
        <item x="8087"/>
        <item x="8088"/>
        <item x="8089"/>
        <item x="8090"/>
        <item x="8091"/>
        <item x="8092"/>
        <item x="8093"/>
        <item x="8094"/>
        <item x="8095"/>
        <item x="8096"/>
        <item x="8097"/>
        <item x="8098"/>
        <item x="8099"/>
        <item x="8100"/>
        <item x="8101"/>
        <item x="8102"/>
        <item x="8103"/>
        <item x="8104"/>
        <item x="8105"/>
        <item x="8106"/>
        <item x="8107"/>
        <item x="8108"/>
        <item x="8109"/>
        <item x="8110"/>
        <item x="8111"/>
        <item x="8112"/>
        <item x="8113"/>
        <item x="8114"/>
        <item x="8115"/>
        <item x="8116"/>
        <item x="8117"/>
        <item x="8118"/>
        <item x="8119"/>
        <item x="8120"/>
        <item x="8121"/>
        <item x="8122"/>
        <item x="8123"/>
        <item x="8124"/>
        <item x="8125"/>
        <item x="8126"/>
        <item x="8127"/>
        <item x="8128"/>
        <item x="8129"/>
        <item x="8130"/>
        <item x="8131"/>
        <item x="8132"/>
        <item x="8133"/>
        <item x="8134"/>
        <item x="8135"/>
        <item x="8136"/>
        <item x="8137"/>
        <item x="8138"/>
        <item x="8139"/>
        <item x="8140"/>
        <item x="8141"/>
        <item x="8142"/>
        <item x="8143"/>
        <item x="8144"/>
        <item x="8145"/>
        <item x="8146"/>
        <item x="8147"/>
        <item x="8148"/>
        <item x="8149"/>
        <item x="8150"/>
        <item x="8151"/>
        <item x="8152"/>
        <item x="8153"/>
        <item x="8154"/>
        <item x="8155"/>
        <item x="8156"/>
        <item x="8157"/>
        <item x="8158"/>
        <item x="8159"/>
        <item x="8160"/>
        <item x="8161"/>
        <item x="8162"/>
        <item x="8163"/>
        <item x="8164"/>
        <item x="8165"/>
        <item x="8166"/>
        <item x="8167"/>
        <item x="8168"/>
        <item x="8169"/>
        <item x="8170"/>
        <item x="8171"/>
        <item x="8172"/>
        <item x="8173"/>
        <item x="8174"/>
        <item x="8175"/>
        <item x="8176"/>
        <item x="8177"/>
        <item x="8178"/>
        <item x="8179"/>
        <item x="8180"/>
        <item x="8181"/>
        <item x="8182"/>
        <item x="8183"/>
        <item x="8184"/>
        <item x="8185"/>
        <item x="8186"/>
        <item x="8187"/>
        <item x="8188"/>
        <item x="8189"/>
        <item x="8190"/>
        <item x="8191"/>
        <item x="8192"/>
        <item x="8193"/>
        <item x="8194"/>
        <item x="8195"/>
        <item x="8196"/>
        <item x="8197"/>
        <item x="8198"/>
        <item x="8199"/>
        <item x="8200"/>
        <item x="8201"/>
        <item x="8202"/>
        <item x="8203"/>
        <item x="8204"/>
        <item x="8205"/>
        <item x="8206"/>
        <item x="8207"/>
        <item x="8208"/>
        <item x="8209"/>
        <item x="8210"/>
        <item x="8211"/>
        <item x="8212"/>
        <item x="8213"/>
        <item x="8214"/>
        <item x="8215"/>
        <item x="8216"/>
        <item x="8217"/>
        <item x="8218"/>
        <item x="8219"/>
        <item x="8220"/>
        <item x="8221"/>
        <item x="8222"/>
        <item x="8223"/>
        <item x="8224"/>
        <item x="8225"/>
        <item x="8226"/>
        <item x="8227"/>
        <item x="8228"/>
        <item x="8229"/>
        <item x="8230"/>
        <item x="8231"/>
        <item x="8232"/>
        <item x="8233"/>
        <item x="8234"/>
        <item x="8235"/>
        <item x="8236"/>
        <item x="8237"/>
        <item x="8238"/>
        <item x="8239"/>
        <item x="8240"/>
        <item x="8241"/>
        <item x="8242"/>
        <item x="8243"/>
        <item x="8244"/>
        <item x="8245"/>
        <item x="8246"/>
        <item x="8247"/>
        <item x="8248"/>
        <item x="8249"/>
        <item x="8250"/>
        <item x="8251"/>
        <item x="8252"/>
        <item x="8253"/>
        <item x="8254"/>
        <item x="8255"/>
        <item x="8256"/>
        <item x="8257"/>
        <item x="8258"/>
        <item x="8259"/>
        <item x="8260"/>
        <item x="8261"/>
        <item x="8262"/>
        <item x="8263"/>
        <item x="8264"/>
        <item x="8265"/>
        <item x="8266"/>
        <item x="8267"/>
        <item x="8268"/>
        <item x="8269"/>
        <item x="8270"/>
        <item x="8271"/>
        <item x="8272"/>
        <item x="8273"/>
        <item x="8274"/>
        <item x="8275"/>
        <item x="8276"/>
        <item x="8277"/>
        <item x="8278"/>
        <item x="8279"/>
        <item x="8280"/>
        <item x="8281"/>
        <item x="8282"/>
        <item x="8283"/>
        <item x="8284"/>
        <item x="8285"/>
        <item x="8286"/>
        <item x="8287"/>
        <item x="8288"/>
        <item x="8289"/>
        <item x="8290"/>
        <item x="8291"/>
        <item x="8292"/>
        <item x="8293"/>
        <item x="8294"/>
        <item x="8295"/>
        <item x="8296"/>
        <item x="8297"/>
        <item x="8298"/>
        <item x="8299"/>
        <item x="8300"/>
        <item x="8301"/>
        <item x="8302"/>
        <item x="8303"/>
        <item x="8304"/>
        <item x="8305"/>
        <item x="8306"/>
        <item x="8307"/>
        <item x="8308"/>
        <item x="8309"/>
        <item x="8310"/>
        <item x="8311"/>
        <item x="8312"/>
        <item x="8313"/>
        <item x="8314"/>
        <item x="8315"/>
        <item x="8316"/>
        <item x="8317"/>
        <item x="8318"/>
        <item x="8319"/>
        <item x="8320"/>
        <item x="8321"/>
        <item x="8322"/>
        <item x="8323"/>
        <item x="8324"/>
        <item x="8325"/>
        <item x="8326"/>
        <item x="8327"/>
        <item x="8328"/>
        <item x="8329"/>
        <item x="8330"/>
        <item x="8331"/>
        <item x="8332"/>
        <item x="8333"/>
        <item x="8334"/>
        <item x="8335"/>
        <item x="8336"/>
        <item x="8337"/>
        <item x="8338"/>
        <item x="8339"/>
        <item x="8340"/>
        <item x="8341"/>
        <item x="8342"/>
        <item x="8343"/>
        <item x="8344"/>
        <item x="8345"/>
        <item x="8346"/>
        <item x="8347"/>
        <item x="8348"/>
        <item x="8349"/>
        <item x="8350"/>
        <item x="8351"/>
        <item x="8352"/>
        <item x="8353"/>
        <item x="8354"/>
        <item x="8355"/>
        <item x="8356"/>
        <item x="8357"/>
        <item x="8358"/>
        <item x="8359"/>
        <item x="8360"/>
        <item x="8361"/>
        <item x="8362"/>
        <item x="8363"/>
        <item x="8364"/>
        <item x="8365"/>
        <item x="8366"/>
        <item x="8367"/>
        <item x="8368"/>
        <item x="8369"/>
        <item x="8370"/>
        <item x="8371"/>
        <item x="8372"/>
        <item x="8373"/>
        <item x="8374"/>
        <item x="8375"/>
        <item x="8376"/>
        <item x="8377"/>
        <item x="8378"/>
        <item x="8379"/>
        <item x="8380"/>
        <item x="8381"/>
        <item x="8382"/>
        <item x="8383"/>
        <item x="8384"/>
        <item x="8385"/>
        <item x="8386"/>
        <item x="8387"/>
        <item x="8388"/>
        <item x="8389"/>
        <item x="8390"/>
        <item x="8391"/>
        <item x="8392"/>
        <item x="8393"/>
        <item x="8394"/>
        <item x="8395"/>
        <item x="8396"/>
        <item x="8397"/>
        <item x="8398"/>
        <item x="8399"/>
        <item x="8400"/>
        <item x="8401"/>
        <item x="8402"/>
        <item x="8403"/>
        <item x="8404"/>
        <item x="8405"/>
        <item x="8406"/>
        <item x="8407"/>
        <item x="8408"/>
        <item x="8409"/>
        <item x="8410"/>
        <item x="8411"/>
        <item x="8412"/>
        <item x="8413"/>
        <item x="8414"/>
        <item x="8415"/>
        <item x="8416"/>
        <item x="8417"/>
        <item x="8418"/>
        <item x="8419"/>
        <item x="8420"/>
        <item x="8421"/>
        <item x="8422"/>
        <item x="8423"/>
        <item x="8424"/>
        <item x="8425"/>
        <item x="8426"/>
        <item x="8427"/>
        <item x="8428"/>
        <item x="8429"/>
        <item x="8430"/>
        <item x="8431"/>
        <item x="8432"/>
        <item x="8433"/>
        <item x="8434"/>
        <item x="8435"/>
        <item x="8436"/>
        <item x="8437"/>
        <item x="8438"/>
        <item x="8439"/>
        <item x="8440"/>
        <item x="8441"/>
        <item x="8442"/>
        <item x="8443"/>
        <item x="8444"/>
        <item x="8445"/>
        <item x="8446"/>
        <item x="8447"/>
        <item x="8448"/>
        <item x="8449"/>
        <item x="8450"/>
        <item x="8451"/>
        <item x="8452"/>
        <item x="8453"/>
        <item x="8454"/>
        <item x="8455"/>
        <item x="8456"/>
        <item x="8457"/>
        <item x="8458"/>
        <item x="8459"/>
        <item x="8460"/>
        <item x="8461"/>
        <item x="8462"/>
        <item x="8463"/>
        <item x="8464"/>
        <item x="8465"/>
        <item x="8466"/>
        <item x="8467"/>
        <item x="8468"/>
        <item x="8469"/>
        <item x="8470"/>
        <item x="8471"/>
        <item x="8472"/>
        <item x="8473"/>
        <item x="8474"/>
        <item x="8475"/>
        <item x="8476"/>
        <item x="8477"/>
        <item x="8478"/>
        <item x="8479"/>
        <item x="8480"/>
        <item x="8481"/>
        <item x="8482"/>
        <item x="8483"/>
        <item x="8484"/>
        <item x="8485"/>
        <item x="8486"/>
        <item x="8487"/>
        <item x="8488"/>
        <item x="8489"/>
        <item x="8490"/>
        <item x="8491"/>
        <item x="8492"/>
        <item x="8493"/>
        <item x="8494"/>
        <item x="8495"/>
        <item x="8496"/>
        <item x="8497"/>
        <item x="8498"/>
        <item x="8499"/>
        <item x="8500"/>
        <item x="8501"/>
        <item x="8502"/>
        <item x="8503"/>
        <item x="8504"/>
        <item x="8505"/>
        <item x="8506"/>
        <item x="8507"/>
        <item x="8508"/>
        <item x="8509"/>
        <item x="8510"/>
        <item x="8511"/>
        <item x="8512"/>
        <item x="8513"/>
        <item x="8514"/>
        <item x="8515"/>
        <item x="8516"/>
        <item x="8517"/>
        <item x="8518"/>
        <item x="8519"/>
        <item x="8520"/>
        <item x="8521"/>
        <item x="8522"/>
        <item x="8523"/>
        <item x="8524"/>
        <item x="8525"/>
        <item x="8526"/>
        <item x="8527"/>
        <item x="8528"/>
        <item x="8529"/>
        <item x="8530"/>
        <item x="8531"/>
        <item x="8532"/>
        <item x="8533"/>
        <item x="8534"/>
        <item x="8535"/>
        <item x="8536"/>
        <item x="8537"/>
        <item x="8538"/>
        <item x="8539"/>
        <item x="8540"/>
        <item x="8541"/>
        <item x="8542"/>
        <item x="8543"/>
        <item x="8544"/>
        <item x="8545"/>
        <item x="8546"/>
        <item x="8547"/>
        <item x="8548"/>
        <item x="8549"/>
        <item x="8550"/>
        <item x="8551"/>
        <item x="8552"/>
        <item x="8553"/>
        <item x="8554"/>
        <item x="8555"/>
        <item x="8556"/>
        <item x="8557"/>
        <item x="8558"/>
        <item x="8559"/>
        <item x="8560"/>
        <item x="8561"/>
        <item x="8562"/>
        <item x="8563"/>
        <item x="8564"/>
        <item x="8565"/>
        <item x="8566"/>
        <item x="8567"/>
        <item x="8568"/>
        <item x="8569"/>
        <item x="8570"/>
        <item x="8571"/>
        <item x="8572"/>
        <item x="8573"/>
        <item x="8574"/>
        <item x="8575"/>
        <item x="8576"/>
        <item x="8577"/>
        <item x="8578"/>
        <item x="8579"/>
        <item x="8580"/>
        <item x="8581"/>
        <item x="8582"/>
        <item x="8583"/>
        <item x="8584"/>
        <item x="8585"/>
        <item x="8586"/>
        <item x="8587"/>
        <item x="8588"/>
        <item x="8589"/>
        <item x="8590"/>
        <item x="8591"/>
        <item x="8592"/>
        <item x="8593"/>
        <item x="8594"/>
        <item x="8595"/>
        <item x="8596"/>
        <item x="8597"/>
        <item x="8598"/>
        <item x="8599"/>
        <item x="8600"/>
        <item x="8601"/>
        <item x="8602"/>
        <item x="8603"/>
        <item x="8604"/>
        <item x="8605"/>
        <item x="8606"/>
        <item x="8607"/>
        <item x="8608"/>
        <item x="8609"/>
        <item x="8610"/>
        <item x="8611"/>
        <item x="8612"/>
        <item x="8613"/>
        <item x="8614"/>
        <item x="8615"/>
        <item x="8616"/>
        <item x="8617"/>
        <item x="8618"/>
        <item x="8619"/>
        <item x="8620"/>
        <item x="8621"/>
        <item x="8622"/>
        <item x="8623"/>
        <item x="8624"/>
        <item x="8625"/>
        <item x="8626"/>
        <item x="8627"/>
        <item x="8628"/>
        <item x="8629"/>
        <item x="8630"/>
        <item x="8631"/>
        <item x="8632"/>
        <item x="8633"/>
        <item x="8634"/>
        <item x="8635"/>
        <item x="8636"/>
        <item x="8637"/>
        <item x="8638"/>
        <item x="8639"/>
        <item x="8640"/>
        <item x="8641"/>
        <item x="8642"/>
        <item x="8643"/>
        <item x="8644"/>
        <item x="8645"/>
        <item x="8646"/>
        <item x="8647"/>
        <item x="8648"/>
        <item x="8649"/>
        <item x="8650"/>
        <item x="8651"/>
        <item x="8652"/>
        <item x="8653"/>
        <item x="8654"/>
        <item x="8655"/>
        <item x="8656"/>
        <item x="8657"/>
        <item x="8658"/>
        <item x="8659"/>
        <item x="8660"/>
        <item x="8661"/>
        <item x="8662"/>
        <item x="8663"/>
        <item x="8664"/>
        <item x="8665"/>
        <item x="8666"/>
        <item x="8667"/>
        <item x="8668"/>
        <item x="8669"/>
        <item x="8670"/>
        <item x="8671"/>
        <item x="8672"/>
        <item x="8673"/>
        <item x="8674"/>
        <item x="8675"/>
        <item x="8676"/>
        <item x="8677"/>
        <item x="8678"/>
        <item x="8679"/>
        <item x="8680"/>
        <item x="8681"/>
        <item x="8682"/>
        <item x="8683"/>
        <item x="8684"/>
        <item x="8685"/>
        <item x="8686"/>
        <item x="8687"/>
        <item x="8688"/>
        <item x="8689"/>
        <item x="8690"/>
        <item x="8691"/>
        <item x="8692"/>
        <item x="8693"/>
        <item x="8694"/>
        <item x="8695"/>
        <item x="8696"/>
        <item x="8697"/>
        <item x="8698"/>
        <item x="8699"/>
        <item x="8700"/>
        <item x="8701"/>
        <item x="8702"/>
        <item x="8703"/>
        <item x="8704"/>
        <item x="8705"/>
        <item x="8706"/>
        <item x="8707"/>
        <item x="8708"/>
        <item x="8709"/>
        <item x="8710"/>
        <item x="8711"/>
        <item x="8712"/>
        <item x="8713"/>
        <item x="8714"/>
        <item x="8715"/>
        <item x="8716"/>
        <item x="8717"/>
        <item x="8718"/>
        <item x="8719"/>
        <item x="8720"/>
        <item x="8721"/>
        <item x="8722"/>
        <item x="8723"/>
        <item x="8724"/>
        <item x="8725"/>
        <item x="8726"/>
        <item x="8727"/>
        <item x="8728"/>
        <item x="8729"/>
        <item x="8730"/>
        <item x="8731"/>
        <item x="8732"/>
        <item x="8733"/>
        <item x="8734"/>
        <item x="8735"/>
        <item x="8736"/>
        <item x="8737"/>
        <item x="8738"/>
        <item x="8739"/>
        <item x="8740"/>
        <item x="8741"/>
        <item x="8742"/>
        <item x="8743"/>
        <item x="8744"/>
        <item x="8745"/>
        <item x="8746"/>
        <item x="8747"/>
        <item x="8748"/>
        <item x="8749"/>
        <item x="8750"/>
        <item x="8751"/>
        <item x="8752"/>
        <item x="8753"/>
        <item x="8754"/>
        <item x="8755"/>
        <item x="8756"/>
        <item x="8757"/>
        <item x="8758"/>
        <item x="8759"/>
        <item x="8760"/>
        <item x="8761"/>
        <item x="8762"/>
        <item x="8763"/>
        <item x="8764"/>
        <item x="8765"/>
        <item x="8766"/>
        <item x="8767"/>
        <item x="8768"/>
        <item x="8769"/>
        <item x="8770"/>
        <item x="8771"/>
        <item x="8772"/>
        <item x="8773"/>
        <item x="8774"/>
        <item x="8775"/>
        <item x="8776"/>
        <item x="8777"/>
        <item x="8778"/>
        <item x="8779"/>
        <item x="8780"/>
        <item x="8781"/>
        <item x="8782"/>
        <item x="8783"/>
        <item x="8784"/>
        <item x="8785"/>
        <item x="8786"/>
        <item x="8787"/>
        <item x="8788"/>
        <item x="8789"/>
        <item x="8790"/>
        <item x="8791"/>
        <item x="8792"/>
        <item x="8793"/>
        <item x="8794"/>
        <item x="8795"/>
        <item x="8796"/>
        <item x="8797"/>
        <item x="8798"/>
        <item x="8799"/>
        <item x="8800"/>
        <item x="8801"/>
        <item x="8802"/>
        <item x="8803"/>
        <item x="8804"/>
        <item x="8805"/>
        <item x="8806"/>
        <item x="8807"/>
        <item x="8808"/>
        <item x="8809"/>
        <item x="8810"/>
        <item x="8811"/>
        <item x="8812"/>
        <item x="8813"/>
        <item x="8814"/>
        <item x="8815"/>
        <item x="8816"/>
        <item x="8817"/>
        <item x="8818"/>
        <item x="8819"/>
        <item x="8820"/>
        <item x="8821"/>
        <item x="8822"/>
        <item x="8823"/>
        <item x="8824"/>
        <item x="8825"/>
        <item x="8826"/>
        <item x="8827"/>
        <item x="8828"/>
        <item x="8829"/>
        <item x="8830"/>
        <item x="8831"/>
        <item x="8832"/>
        <item x="8833"/>
        <item x="8834"/>
        <item x="8835"/>
        <item x="8836"/>
        <item x="8837"/>
        <item x="8838"/>
        <item x="8839"/>
        <item x="8840"/>
        <item x="8841"/>
        <item x="8842"/>
        <item x="8843"/>
        <item x="8844"/>
        <item x="8845"/>
        <item x="8846"/>
        <item x="8847"/>
        <item x="8848"/>
        <item x="8849"/>
        <item x="8850"/>
        <item x="8851"/>
        <item x="8852"/>
        <item x="8853"/>
        <item x="8854"/>
        <item x="8855"/>
        <item x="8856"/>
        <item x="8857"/>
        <item x="8858"/>
        <item x="8859"/>
        <item x="8860"/>
        <item x="8861"/>
        <item x="8862"/>
        <item x="8863"/>
        <item x="8864"/>
        <item x="8865"/>
        <item x="8866"/>
        <item x="8867"/>
        <item x="8868"/>
        <item x="8869"/>
        <item x="8870"/>
        <item x="8871"/>
        <item x="8872"/>
        <item x="8873"/>
        <item x="8874"/>
        <item x="8875"/>
        <item x="8876"/>
        <item x="8877"/>
        <item x="8878"/>
        <item x="8879"/>
        <item x="8880"/>
        <item x="8881"/>
        <item x="8882"/>
        <item x="8883"/>
        <item x="8884"/>
        <item x="8885"/>
        <item x="8886"/>
        <item x="8887"/>
        <item x="8888"/>
        <item x="8889"/>
        <item x="8890"/>
        <item x="8891"/>
        <item x="8892"/>
        <item x="8893"/>
        <item x="8894"/>
        <item x="8895"/>
        <item x="8896"/>
        <item x="8897"/>
        <item x="8898"/>
        <item x="8899"/>
        <item x="8900"/>
        <item x="8901"/>
        <item x="8902"/>
        <item x="8903"/>
        <item x="8904"/>
        <item x="8905"/>
        <item x="8906"/>
        <item x="8907"/>
        <item x="8908"/>
        <item x="8909"/>
        <item x="8910"/>
        <item x="8911"/>
        <item x="8912"/>
        <item x="8913"/>
        <item x="8914"/>
        <item x="8915"/>
        <item x="8916"/>
        <item x="8917"/>
        <item x="8918"/>
        <item x="8919"/>
        <item x="8920"/>
        <item x="8921"/>
        <item x="8922"/>
        <item x="8923"/>
        <item x="8924"/>
        <item x="8925"/>
        <item x="8926"/>
        <item x="8927"/>
        <item x="8928"/>
        <item x="8929"/>
        <item x="8930"/>
        <item x="8931"/>
        <item x="8932"/>
        <item x="8933"/>
        <item x="8934"/>
        <item x="8935"/>
        <item x="8936"/>
        <item x="8937"/>
        <item x="8938"/>
        <item x="8939"/>
        <item x="8940"/>
        <item x="8941"/>
        <item x="8942"/>
        <item x="8943"/>
        <item x="8944"/>
        <item x="8945"/>
        <item x="8946"/>
        <item x="8947"/>
        <item x="8948"/>
        <item x="8949"/>
        <item x="8950"/>
        <item x="8951"/>
        <item x="8952"/>
        <item x="8953"/>
        <item x="8954"/>
        <item x="8955"/>
        <item x="8956"/>
        <item x="8957"/>
        <item x="8958"/>
        <item x="8959"/>
        <item x="8960"/>
        <item x="8961"/>
        <item x="8962"/>
        <item x="8963"/>
        <item x="8964"/>
        <item x="8965"/>
        <item x="8966"/>
        <item x="8967"/>
        <item x="8968"/>
        <item x="8969"/>
        <item x="8970"/>
        <item x="8971"/>
        <item x="8972"/>
        <item x="8973"/>
        <item x="8974"/>
        <item x="8975"/>
        <item x="8976"/>
        <item x="8977"/>
        <item x="8978"/>
        <item x="8979"/>
        <item x="8980"/>
        <item x="8981"/>
        <item x="8982"/>
        <item x="8983"/>
        <item x="8984"/>
        <item x="8985"/>
        <item x="8986"/>
        <item x="8987"/>
        <item x="8988"/>
        <item x="8989"/>
        <item x="8990"/>
        <item x="8991"/>
        <item x="8992"/>
        <item x="8993"/>
        <item x="8994"/>
        <item x="8995"/>
        <item x="8996"/>
        <item x="8997"/>
        <item x="8998"/>
        <item x="8999"/>
        <item x="9000"/>
        <item x="9001"/>
        <item x="9002"/>
        <item x="9003"/>
        <item x="9004"/>
        <item x="9005"/>
        <item x="9006"/>
        <item x="9007"/>
        <item x="9008"/>
        <item x="9009"/>
        <item x="9010"/>
        <item x="9011"/>
        <item x="9012"/>
        <item x="9013"/>
        <item x="9014"/>
        <item x="9015"/>
        <item x="9016"/>
        <item x="9017"/>
        <item x="9018"/>
        <item x="9019"/>
        <item x="9020"/>
        <item x="9021"/>
        <item x="9022"/>
        <item x="9023"/>
        <item x="9024"/>
        <item x="9025"/>
        <item x="9026"/>
        <item x="9027"/>
        <item x="9028"/>
        <item x="9029"/>
        <item x="9030"/>
        <item x="9031"/>
        <item x="9032"/>
        <item x="9033"/>
        <item x="9034"/>
        <item x="9035"/>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0"/>
    <field x="1"/>
  </rowFields>
  <colFields count="1">
    <field x="-2"/>
  </colFields>
  <colItems count="7">
    <i>
      <x/>
    </i>
    <i i="1">
      <x v="1"/>
    </i>
    <i i="2">
      <x v="2"/>
    </i>
    <i i="3">
      <x v="3"/>
    </i>
    <i i="4">
      <x v="4"/>
    </i>
    <i i="5">
      <x v="5"/>
    </i>
    <i i="6">
      <x v="6"/>
    </i>
  </colItems>
  <pageFields count="1">
    <pageField fld="9" hier="55" name="[DimDate].[MonthsFromActive].[All]" cap="All"/>
  </pageFields>
  <dataFields count="7">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dataField fld="8"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79"/>
    <rowHierarchyUsage hierarchyUsage="13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C12F3F75-57A1-490A-83D5-FF4BB5705606}" name="pvtAN_SegMonth" cacheId="245"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A5:S5" firstHeaderRow="0" firstDataRow="1" firstDataCol="2" rowPageCount="1" colPageCount="1"/>
  <pivotFields count="20">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0"/>
    <field x="1"/>
  </rowFields>
  <colFields count="1">
    <field x="-2"/>
  </colFields>
  <colItems count="17">
    <i>
      <x/>
    </i>
    <i i="1">
      <x v="1"/>
    </i>
    <i i="2">
      <x v="2"/>
    </i>
    <i i="3">
      <x v="3"/>
    </i>
    <i i="4">
      <x v="4"/>
    </i>
    <i i="5">
      <x v="5"/>
    </i>
    <i i="6">
      <x v="6"/>
    </i>
    <i i="7">
      <x v="7"/>
    </i>
    <i i="8">
      <x v="8"/>
    </i>
    <i i="9">
      <x v="9"/>
    </i>
    <i i="10">
      <x v="10"/>
    </i>
    <i i="11">
      <x v="11"/>
    </i>
    <i i="12">
      <x v="12"/>
    </i>
    <i i="13">
      <x v="13"/>
    </i>
    <i i="14">
      <x v="14"/>
    </i>
    <i i="15">
      <x v="15"/>
    </i>
    <i i="16">
      <x v="16"/>
    </i>
  </colItems>
  <pageFields count="1">
    <pageField fld="19" hier="55" name="[DimDate].[MonthsFromActive].[All]" cap="All"/>
  </pageFields>
  <dataFields count="17">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dataField fld="8" subtotal="count" baseField="0" baseItem="0"/>
    <dataField fld="9" subtotal="count" baseField="0" baseItem="0"/>
    <dataField fld="10" subtotal="count" baseField="0" baseItem="0"/>
    <dataField fld="11" subtotal="count" baseField="0" baseItem="0"/>
    <dataField fld="12" subtotal="count" baseField="0" baseItem="0"/>
    <dataField fld="13" subtotal="count" baseField="0" baseItem="0"/>
    <dataField fld="14" subtotal="count" baseField="0" baseItem="0"/>
    <dataField fld="15" subtotal="count" baseField="0" baseItem="0"/>
    <dataField fld="16" subtotal="count" baseField="0" baseItem="0"/>
    <dataField fld="17" subtotal="count" baseField="0" baseItem="0"/>
    <dataField fld="18"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79"/>
    <rowHierarchyUsage hierarchyUsage="5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BD508791-94EB-47AE-9840-3AB80D468A37}" name="pvtAN_Acc" cacheId="242"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KE5:KJ5" firstHeaderRow="0" firstDataRow="1" firstDataCol="2" rowPageCount="1" colPageCount="1"/>
  <pivotFields count="7">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0"/>
    <field x="1"/>
  </rowFields>
  <colFields count="1">
    <field x="-2"/>
  </colFields>
  <colItems count="4">
    <i>
      <x/>
    </i>
    <i i="1">
      <x v="1"/>
    </i>
    <i i="2">
      <x v="2"/>
    </i>
    <i i="3">
      <x v="3"/>
    </i>
  </colItems>
  <pageFields count="1">
    <pageField fld="6" hier="55" name="[DimDate].[MonthsFromActive].[All]" cap="All"/>
  </pageFields>
  <dataFields count="4">
    <dataField fld="2" subtotal="count" baseField="0" baseItem="0"/>
    <dataField fld="3" subtotal="count" baseField="0" baseItem="0"/>
    <dataField fld="4" subtotal="count" baseField="0" baseItem="0"/>
    <dataField fld="5"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79"/>
    <rowHierarchyUsage hierarchyUsage="154"/>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D2C2B0D4-0BFA-48D9-A0CC-7546D371FE68}" name="pvtAN_Lag" cacheId="254"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AD5:BQ1493" firstHeaderRow="0" firstDataRow="1" firstDataCol="2" rowPageCount="1" colPageCount="1"/>
  <pivotFields count="41">
    <pivotField axis="axisRow" compact="0" allDrilled="1" outline="0" subtotalTop="0" showAll="0" dataSourceSort="1" defaultSubtotal="0" defaultAttributeDrillState="1">
      <items count="4">
        <item x="0"/>
        <item x="1"/>
        <item x="2"/>
        <item x="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37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0"/>
    <field x="1"/>
  </rowFields>
  <rowItems count="1488">
    <i>
      <x/>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r="1">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r="1">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i>
      <x v="1"/>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r="1">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r="1">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i>
      <x v="2"/>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r="1">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r="1">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i>
      <x v="3"/>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r="1">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r="1">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rowItems>
  <colFields count="1">
    <field x="-2"/>
  </colFields>
  <colItems count="38">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colItems>
  <pageFields count="1">
    <pageField fld="40" hier="55" name="[DimDate].[MonthsFromActive].[All]" cap="All"/>
  </pageFields>
  <dataFields count="38">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dataField fld="8" subtotal="count" baseField="0" baseItem="0"/>
    <dataField fld="9" subtotal="count" baseField="0" baseItem="0"/>
    <dataField fld="10" subtotal="count" baseField="0" baseItem="0"/>
    <dataField fld="11" subtotal="count" baseField="0" baseItem="0"/>
    <dataField fld="12" subtotal="count" baseField="0" baseItem="0"/>
    <dataField fld="13" subtotal="count" baseField="0" baseItem="0"/>
    <dataField fld="14" subtotal="count" baseField="0" baseItem="0"/>
    <dataField fld="15" subtotal="count" baseField="0" baseItem="0"/>
    <dataField fld="16" subtotal="count" baseField="0" baseItem="0"/>
    <dataField fld="17" subtotal="count" baseField="0" baseItem="0"/>
    <dataField fld="18" subtotal="count" baseField="0" baseItem="0"/>
    <dataField fld="19" subtotal="count" baseField="0" baseItem="0"/>
    <dataField fld="20" subtotal="count" baseField="0" baseItem="0"/>
    <dataField fld="21" subtotal="count" baseField="0" baseItem="0"/>
    <dataField fld="22" subtotal="count" baseField="0" baseItem="0"/>
    <dataField fld="23" subtotal="count" baseField="0" baseItem="0"/>
    <dataField fld="24" subtotal="count" baseField="0" baseItem="0"/>
    <dataField fld="25" subtotal="count" baseField="0" baseItem="0"/>
    <dataField fld="26" subtotal="count" baseField="0" baseItem="0"/>
    <dataField fld="27" subtotal="count" baseField="0" baseItem="0"/>
    <dataField fld="28" subtotal="count" baseField="0" baseItem="0"/>
    <dataField fld="29" subtotal="count" baseField="0" baseItem="0"/>
    <dataField fld="30" subtotal="count" baseField="0" baseItem="0"/>
    <dataField fld="31" subtotal="count" baseField="0" baseItem="0"/>
    <dataField fld="32" subtotal="count" baseField="0" baseItem="0"/>
    <dataField fld="33" subtotal="count" baseField="0" baseItem="0"/>
    <dataField fld="34" subtotal="count" baseField="0" baseItem="0"/>
    <dataField fld="35" subtotal="count" baseField="0" baseItem="0"/>
    <dataField fld="36" subtotal="count" baseField="0" baseItem="0"/>
    <dataField fld="37" subtotal="count" baseField="0" baseItem="0"/>
    <dataField fld="38" subtotal="count" baseField="0" baseItem="0"/>
    <dataField fld="39"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79"/>
    <rowHierarchyUsage hierarchyUsage="5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32AC533F-E30A-4795-BAD5-EE4E5F90F369}" name="pvtAN_Tri" cacheId="263"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DT5:DY5" firstHeaderRow="0" firstDataRow="1" firstDataCol="4"/>
  <pivotFields count="6">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
        <item x="0"/>
        <item x="1"/>
        <item x="2"/>
        <item x="3"/>
        <item x="4"/>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6">
        <item x="0"/>
        <item x="1"/>
        <item x="2"/>
        <item x="3"/>
        <item x="4"/>
        <item x="5"/>
        <item x="6"/>
        <item x="7"/>
        <item x="8"/>
        <item x="9"/>
        <item x="10"/>
        <item x="11"/>
        <item x="12"/>
        <item x="13"/>
        <item x="14"/>
        <item x="15"/>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s>
  <rowFields count="4">
    <field x="0"/>
    <field x="1"/>
    <field x="2"/>
    <field x="3"/>
  </rowFields>
  <colFields count="1">
    <field x="-2"/>
  </colFields>
  <colItems count="2">
    <i>
      <x/>
    </i>
    <i i="1">
      <x v="1"/>
    </i>
  </colItems>
  <dataFields count="2">
    <dataField fld="4" subtotal="count" baseField="0" baseItem="0"/>
    <dataField fld="5"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4">
    <rowHierarchyUsage hierarchyUsage="79"/>
    <rowHierarchyUsage hierarchyUsage="84"/>
    <rowHierarchyUsage hierarchyUsage="154"/>
    <rowHierarchyUsage hierarchyUsage="15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BABBDDCC-CBF2-46DB-BAD7-FB41443F1B7A}" name="pvtAN_LagBand" cacheId="260"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DI5:DP5" firstHeaderRow="0" firstDataRow="1" firstDataCol="2" rowPageCount="1" colPageCount="1"/>
  <pivotFields count="9">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9">
        <item x="0"/>
        <item x="1"/>
        <item x="2"/>
        <item x="3"/>
        <item x="4"/>
        <item x="5"/>
        <item x="6"/>
        <item x="7"/>
        <item x="8"/>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0"/>
    <field x="1"/>
  </rowFields>
  <colFields count="1">
    <field x="-2"/>
  </colFields>
  <colItems count="6">
    <i>
      <x/>
    </i>
    <i i="1">
      <x v="1"/>
    </i>
    <i i="2">
      <x v="2"/>
    </i>
    <i i="3">
      <x v="3"/>
    </i>
    <i i="4">
      <x v="4"/>
    </i>
    <i i="5">
      <x v="5"/>
    </i>
  </colItems>
  <pageFields count="1">
    <pageField fld="8" hier="55" name="[DimDate].[MonthsFromActive].[All]" cap="All"/>
  </pageFields>
  <dataFields count="6">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79"/>
    <rowHierarchyUsage hierarchyUsage="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D5FB1254-085B-4FBA-8EB0-0474E811C9EB}" name="pvtAN_LagC" cacheId="272"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GA5:HN1493" firstHeaderRow="0" firstDataRow="1" firstDataCol="2" rowPageCount="2" colPageCount="1"/>
  <pivotFields count="42">
    <pivotField axis="axisRow" compact="0" allDrilled="1" outline="0" subtotalTop="0" showAll="0" dataSourceSort="1" defaultSubtotal="0" defaultAttributeDrillState="1">
      <items count="4">
        <item x="0"/>
        <item x="1"/>
        <item x="2"/>
        <item x="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37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0"/>
    <field x="1"/>
  </rowFields>
  <rowItems count="1488">
    <i>
      <x/>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r="1">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r="1">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i>
      <x v="1"/>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r="1">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r="1">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i>
      <x v="2"/>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r="1">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r="1">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i>
      <x v="3"/>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5"/>
    </i>
    <i r="1">
      <x v="36"/>
    </i>
    <i r="1">
      <x v="37"/>
    </i>
    <i r="1">
      <x v="38"/>
    </i>
    <i r="1">
      <x v="39"/>
    </i>
    <i r="1">
      <x v="40"/>
    </i>
    <i r="1">
      <x v="41"/>
    </i>
    <i r="1">
      <x v="42"/>
    </i>
    <i r="1">
      <x v="43"/>
    </i>
    <i r="1">
      <x v="44"/>
    </i>
    <i r="1">
      <x v="45"/>
    </i>
    <i r="1">
      <x v="46"/>
    </i>
    <i r="1">
      <x v="47"/>
    </i>
    <i r="1">
      <x v="48"/>
    </i>
    <i r="1">
      <x v="49"/>
    </i>
    <i r="1">
      <x v="50"/>
    </i>
    <i r="1">
      <x v="51"/>
    </i>
    <i r="1">
      <x v="52"/>
    </i>
    <i r="1">
      <x v="53"/>
    </i>
    <i r="1">
      <x v="54"/>
    </i>
    <i r="1">
      <x v="55"/>
    </i>
    <i r="1">
      <x v="56"/>
    </i>
    <i r="1">
      <x v="57"/>
    </i>
    <i r="1">
      <x v="58"/>
    </i>
    <i r="1">
      <x v="59"/>
    </i>
    <i r="1">
      <x v="60"/>
    </i>
    <i r="1">
      <x v="61"/>
    </i>
    <i r="1">
      <x v="62"/>
    </i>
    <i r="1">
      <x v="63"/>
    </i>
    <i r="1">
      <x v="64"/>
    </i>
    <i r="1">
      <x v="65"/>
    </i>
    <i r="1">
      <x v="66"/>
    </i>
    <i r="1">
      <x v="67"/>
    </i>
    <i r="1">
      <x v="68"/>
    </i>
    <i r="1">
      <x v="69"/>
    </i>
    <i r="1">
      <x v="70"/>
    </i>
    <i r="1">
      <x v="71"/>
    </i>
    <i r="1">
      <x v="72"/>
    </i>
    <i r="1">
      <x v="73"/>
    </i>
    <i r="1">
      <x v="74"/>
    </i>
    <i r="1">
      <x v="75"/>
    </i>
    <i r="1">
      <x v="76"/>
    </i>
    <i r="1">
      <x v="77"/>
    </i>
    <i r="1">
      <x v="78"/>
    </i>
    <i r="1">
      <x v="79"/>
    </i>
    <i r="1">
      <x v="80"/>
    </i>
    <i r="1">
      <x v="81"/>
    </i>
    <i r="1">
      <x v="82"/>
    </i>
    <i r="1">
      <x v="83"/>
    </i>
    <i r="1">
      <x v="84"/>
    </i>
    <i r="1">
      <x v="85"/>
    </i>
    <i r="1">
      <x v="86"/>
    </i>
    <i r="1">
      <x v="87"/>
    </i>
    <i r="1">
      <x v="88"/>
    </i>
    <i r="1">
      <x v="89"/>
    </i>
    <i r="1">
      <x v="90"/>
    </i>
    <i r="1">
      <x v="91"/>
    </i>
    <i r="1">
      <x v="92"/>
    </i>
    <i r="1">
      <x v="93"/>
    </i>
    <i r="1">
      <x v="94"/>
    </i>
    <i r="1">
      <x v="95"/>
    </i>
    <i r="1">
      <x v="96"/>
    </i>
    <i r="1">
      <x v="97"/>
    </i>
    <i r="1">
      <x v="98"/>
    </i>
    <i r="1">
      <x v="99"/>
    </i>
    <i r="1">
      <x v="100"/>
    </i>
    <i r="1">
      <x v="101"/>
    </i>
    <i r="1">
      <x v="102"/>
    </i>
    <i r="1">
      <x v="103"/>
    </i>
    <i r="1">
      <x v="104"/>
    </i>
    <i r="1">
      <x v="105"/>
    </i>
    <i r="1">
      <x v="106"/>
    </i>
    <i r="1">
      <x v="107"/>
    </i>
    <i r="1">
      <x v="108"/>
    </i>
    <i r="1">
      <x v="109"/>
    </i>
    <i r="1">
      <x v="110"/>
    </i>
    <i r="1">
      <x v="111"/>
    </i>
    <i r="1">
      <x v="112"/>
    </i>
    <i r="1">
      <x v="113"/>
    </i>
    <i r="1">
      <x v="114"/>
    </i>
    <i r="1">
      <x v="115"/>
    </i>
    <i r="1">
      <x v="116"/>
    </i>
    <i r="1">
      <x v="117"/>
    </i>
    <i r="1">
      <x v="118"/>
    </i>
    <i r="1">
      <x v="119"/>
    </i>
    <i r="1">
      <x v="120"/>
    </i>
    <i r="1">
      <x v="121"/>
    </i>
    <i r="1">
      <x v="122"/>
    </i>
    <i r="1">
      <x v="123"/>
    </i>
    <i r="1">
      <x v="124"/>
    </i>
    <i r="1">
      <x v="125"/>
    </i>
    <i r="1">
      <x v="126"/>
    </i>
    <i r="1">
      <x v="127"/>
    </i>
    <i r="1">
      <x v="128"/>
    </i>
    <i r="1">
      <x v="129"/>
    </i>
    <i r="1">
      <x v="130"/>
    </i>
    <i r="1">
      <x v="131"/>
    </i>
    <i r="1">
      <x v="132"/>
    </i>
    <i r="1">
      <x v="133"/>
    </i>
    <i r="1">
      <x v="134"/>
    </i>
    <i r="1">
      <x v="135"/>
    </i>
    <i r="1">
      <x v="136"/>
    </i>
    <i r="1">
      <x v="137"/>
    </i>
    <i r="1">
      <x v="138"/>
    </i>
    <i r="1">
      <x v="139"/>
    </i>
    <i r="1">
      <x v="140"/>
    </i>
    <i r="1">
      <x v="141"/>
    </i>
    <i r="1">
      <x v="142"/>
    </i>
    <i r="1">
      <x v="143"/>
    </i>
    <i r="1">
      <x v="144"/>
    </i>
    <i r="1">
      <x v="145"/>
    </i>
    <i r="1">
      <x v="146"/>
    </i>
    <i r="1">
      <x v="147"/>
    </i>
    <i r="1">
      <x v="148"/>
    </i>
    <i r="1">
      <x v="149"/>
    </i>
    <i r="1">
      <x v="150"/>
    </i>
    <i r="1">
      <x v="151"/>
    </i>
    <i r="1">
      <x v="152"/>
    </i>
    <i r="1">
      <x v="153"/>
    </i>
    <i r="1">
      <x v="154"/>
    </i>
    <i r="1">
      <x v="155"/>
    </i>
    <i r="1">
      <x v="156"/>
    </i>
    <i r="1">
      <x v="157"/>
    </i>
    <i r="1">
      <x v="158"/>
    </i>
    <i r="1">
      <x v="159"/>
    </i>
    <i r="1">
      <x v="160"/>
    </i>
    <i r="1">
      <x v="161"/>
    </i>
    <i r="1">
      <x v="162"/>
    </i>
    <i r="1">
      <x v="163"/>
    </i>
    <i r="1">
      <x v="164"/>
    </i>
    <i r="1">
      <x v="165"/>
    </i>
    <i r="1">
      <x v="166"/>
    </i>
    <i r="1">
      <x v="167"/>
    </i>
    <i r="1">
      <x v="168"/>
    </i>
    <i r="1">
      <x v="169"/>
    </i>
    <i r="1">
      <x v="170"/>
    </i>
    <i r="1">
      <x v="171"/>
    </i>
    <i r="1">
      <x v="172"/>
    </i>
    <i r="1">
      <x v="173"/>
    </i>
    <i r="1">
      <x v="174"/>
    </i>
    <i r="1">
      <x v="175"/>
    </i>
    <i r="1">
      <x v="176"/>
    </i>
    <i r="1">
      <x v="177"/>
    </i>
    <i r="1">
      <x v="178"/>
    </i>
    <i r="1">
      <x v="179"/>
    </i>
    <i r="1">
      <x v="180"/>
    </i>
    <i r="1">
      <x v="181"/>
    </i>
    <i r="1">
      <x v="182"/>
    </i>
    <i r="1">
      <x v="183"/>
    </i>
    <i r="1">
      <x v="184"/>
    </i>
    <i r="1">
      <x v="185"/>
    </i>
    <i r="1">
      <x v="186"/>
    </i>
    <i r="1">
      <x v="187"/>
    </i>
    <i r="1">
      <x v="188"/>
    </i>
    <i r="1">
      <x v="189"/>
    </i>
    <i r="1">
      <x v="190"/>
    </i>
    <i r="1">
      <x v="191"/>
    </i>
    <i r="1">
      <x v="192"/>
    </i>
    <i r="1">
      <x v="193"/>
    </i>
    <i r="1">
      <x v="194"/>
    </i>
    <i r="1">
      <x v="195"/>
    </i>
    <i r="1">
      <x v="196"/>
    </i>
    <i r="1">
      <x v="197"/>
    </i>
    <i r="1">
      <x v="198"/>
    </i>
    <i r="1">
      <x v="199"/>
    </i>
    <i r="1">
      <x v="200"/>
    </i>
    <i r="1">
      <x v="201"/>
    </i>
    <i r="1">
      <x v="202"/>
    </i>
    <i r="1">
      <x v="203"/>
    </i>
    <i r="1">
      <x v="204"/>
    </i>
    <i r="1">
      <x v="205"/>
    </i>
    <i r="1">
      <x v="206"/>
    </i>
    <i r="1">
      <x v="207"/>
    </i>
    <i r="1">
      <x v="208"/>
    </i>
    <i r="1">
      <x v="209"/>
    </i>
    <i r="1">
      <x v="210"/>
    </i>
    <i r="1">
      <x v="211"/>
    </i>
    <i r="1">
      <x v="212"/>
    </i>
    <i r="1">
      <x v="213"/>
    </i>
    <i r="1">
      <x v="214"/>
    </i>
    <i r="1">
      <x v="215"/>
    </i>
    <i r="1">
      <x v="216"/>
    </i>
    <i r="1">
      <x v="217"/>
    </i>
    <i r="1">
      <x v="218"/>
    </i>
    <i r="1">
      <x v="219"/>
    </i>
    <i r="1">
      <x v="220"/>
    </i>
    <i r="1">
      <x v="221"/>
    </i>
    <i r="1">
      <x v="222"/>
    </i>
    <i r="1">
      <x v="223"/>
    </i>
    <i r="1">
      <x v="224"/>
    </i>
    <i r="1">
      <x v="225"/>
    </i>
    <i r="1">
      <x v="226"/>
    </i>
    <i r="1">
      <x v="227"/>
    </i>
    <i r="1">
      <x v="228"/>
    </i>
    <i r="1">
      <x v="229"/>
    </i>
    <i r="1">
      <x v="230"/>
    </i>
    <i r="1">
      <x v="231"/>
    </i>
    <i r="1">
      <x v="232"/>
    </i>
    <i r="1">
      <x v="233"/>
    </i>
    <i r="1">
      <x v="234"/>
    </i>
    <i r="1">
      <x v="235"/>
    </i>
    <i r="1">
      <x v="236"/>
    </i>
    <i r="1">
      <x v="237"/>
    </i>
    <i r="1">
      <x v="238"/>
    </i>
    <i r="1">
      <x v="239"/>
    </i>
    <i r="1">
      <x v="240"/>
    </i>
    <i r="1">
      <x v="241"/>
    </i>
    <i r="1">
      <x v="242"/>
    </i>
    <i r="1">
      <x v="243"/>
    </i>
    <i r="1">
      <x v="244"/>
    </i>
    <i r="1">
      <x v="245"/>
    </i>
    <i r="1">
      <x v="246"/>
    </i>
    <i r="1">
      <x v="247"/>
    </i>
    <i r="1">
      <x v="248"/>
    </i>
    <i r="1">
      <x v="249"/>
    </i>
    <i r="1">
      <x v="250"/>
    </i>
    <i r="1">
      <x v="251"/>
    </i>
    <i r="1">
      <x v="252"/>
    </i>
    <i r="1">
      <x v="253"/>
    </i>
    <i r="1">
      <x v="254"/>
    </i>
    <i r="1">
      <x v="255"/>
    </i>
    <i r="1">
      <x v="256"/>
    </i>
    <i r="1">
      <x v="257"/>
    </i>
    <i r="1">
      <x v="258"/>
    </i>
    <i r="1">
      <x v="259"/>
    </i>
    <i r="1">
      <x v="260"/>
    </i>
    <i r="1">
      <x v="261"/>
    </i>
    <i r="1">
      <x v="262"/>
    </i>
    <i r="1">
      <x v="263"/>
    </i>
    <i r="1">
      <x v="264"/>
    </i>
    <i r="1">
      <x v="265"/>
    </i>
    <i r="1">
      <x v="266"/>
    </i>
    <i r="1">
      <x v="267"/>
    </i>
    <i r="1">
      <x v="268"/>
    </i>
    <i r="1">
      <x v="269"/>
    </i>
    <i r="1">
      <x v="270"/>
    </i>
    <i r="1">
      <x v="271"/>
    </i>
    <i r="1">
      <x v="272"/>
    </i>
    <i r="1">
      <x v="273"/>
    </i>
    <i r="1">
      <x v="274"/>
    </i>
    <i r="1">
      <x v="275"/>
    </i>
    <i r="1">
      <x v="276"/>
    </i>
    <i r="1">
      <x v="277"/>
    </i>
    <i r="1">
      <x v="278"/>
    </i>
    <i r="1">
      <x v="279"/>
    </i>
    <i r="1">
      <x v="280"/>
    </i>
    <i r="1">
      <x v="281"/>
    </i>
    <i r="1">
      <x v="282"/>
    </i>
    <i r="1">
      <x v="283"/>
    </i>
    <i r="1">
      <x v="284"/>
    </i>
    <i r="1">
      <x v="285"/>
    </i>
    <i r="1">
      <x v="286"/>
    </i>
    <i r="1">
      <x v="287"/>
    </i>
    <i r="1">
      <x v="288"/>
    </i>
    <i r="1">
      <x v="289"/>
    </i>
    <i r="1">
      <x v="290"/>
    </i>
    <i r="1">
      <x v="291"/>
    </i>
    <i r="1">
      <x v="292"/>
    </i>
    <i r="1">
      <x v="293"/>
    </i>
    <i r="1">
      <x v="294"/>
    </i>
    <i r="1">
      <x v="295"/>
    </i>
    <i r="1">
      <x v="296"/>
    </i>
    <i r="1">
      <x v="297"/>
    </i>
    <i r="1">
      <x v="298"/>
    </i>
    <i r="1">
      <x v="299"/>
    </i>
    <i r="1">
      <x v="300"/>
    </i>
    <i r="1">
      <x v="301"/>
    </i>
    <i r="1">
      <x v="302"/>
    </i>
    <i r="1">
      <x v="303"/>
    </i>
    <i r="1">
      <x v="304"/>
    </i>
    <i r="1">
      <x v="305"/>
    </i>
    <i r="1">
      <x v="306"/>
    </i>
    <i r="1">
      <x v="307"/>
    </i>
    <i r="1">
      <x v="308"/>
    </i>
    <i r="1">
      <x v="309"/>
    </i>
    <i r="1">
      <x v="310"/>
    </i>
    <i r="1">
      <x v="311"/>
    </i>
    <i r="1">
      <x v="312"/>
    </i>
    <i r="1">
      <x v="313"/>
    </i>
    <i r="1">
      <x v="314"/>
    </i>
    <i r="1">
      <x v="315"/>
    </i>
    <i r="1">
      <x v="316"/>
    </i>
    <i r="1">
      <x v="317"/>
    </i>
    <i r="1">
      <x v="318"/>
    </i>
    <i r="1">
      <x v="319"/>
    </i>
    <i r="1">
      <x v="320"/>
    </i>
    <i r="1">
      <x v="321"/>
    </i>
    <i r="1">
      <x v="322"/>
    </i>
    <i r="1">
      <x v="323"/>
    </i>
    <i r="1">
      <x v="324"/>
    </i>
    <i r="1">
      <x v="325"/>
    </i>
    <i r="1">
      <x v="326"/>
    </i>
    <i r="1">
      <x v="327"/>
    </i>
    <i r="1">
      <x v="328"/>
    </i>
    <i r="1">
      <x v="329"/>
    </i>
    <i r="1">
      <x v="330"/>
    </i>
    <i r="1">
      <x v="331"/>
    </i>
    <i r="1">
      <x v="332"/>
    </i>
    <i r="1">
      <x v="333"/>
    </i>
    <i r="1">
      <x v="334"/>
    </i>
    <i r="1">
      <x v="335"/>
    </i>
    <i r="1">
      <x v="336"/>
    </i>
    <i r="1">
      <x v="337"/>
    </i>
    <i r="1">
      <x v="338"/>
    </i>
    <i r="1">
      <x v="339"/>
    </i>
    <i r="1">
      <x v="340"/>
    </i>
    <i r="1">
      <x v="341"/>
    </i>
    <i r="1">
      <x v="342"/>
    </i>
    <i r="1">
      <x v="343"/>
    </i>
    <i r="1">
      <x v="344"/>
    </i>
    <i r="1">
      <x v="345"/>
    </i>
    <i r="1">
      <x v="346"/>
    </i>
    <i r="1">
      <x v="347"/>
    </i>
    <i r="1">
      <x v="348"/>
    </i>
    <i r="1">
      <x v="349"/>
    </i>
    <i r="1">
      <x v="350"/>
    </i>
    <i r="1">
      <x v="351"/>
    </i>
    <i r="1">
      <x v="352"/>
    </i>
    <i r="1">
      <x v="353"/>
    </i>
    <i r="1">
      <x v="354"/>
    </i>
    <i r="1">
      <x v="355"/>
    </i>
    <i r="1">
      <x v="356"/>
    </i>
    <i r="1">
      <x v="357"/>
    </i>
    <i r="1">
      <x v="358"/>
    </i>
    <i r="1">
      <x v="359"/>
    </i>
    <i r="1">
      <x v="360"/>
    </i>
    <i r="1">
      <x v="361"/>
    </i>
    <i r="1">
      <x v="362"/>
    </i>
    <i r="1">
      <x v="363"/>
    </i>
    <i r="1">
      <x v="364"/>
    </i>
    <i r="1">
      <x v="365"/>
    </i>
    <i r="1">
      <x v="366"/>
    </i>
    <i r="1">
      <x v="367"/>
    </i>
    <i r="1">
      <x v="368"/>
    </i>
    <i r="1">
      <x v="369"/>
    </i>
    <i r="1">
      <x v="370"/>
    </i>
    <i r="1">
      <x v="371"/>
    </i>
  </rowItems>
  <colFields count="1">
    <field x="-2"/>
  </colFields>
  <colItems count="38">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colItems>
  <pageFields count="2">
    <pageField fld="40" hier="55" name="[DimDate].[MonthsFromActive].[All]" cap="All"/>
    <pageField fld="41" hier="161" name="[tblObsFlag].[Flag].&amp;[1]" cap="1"/>
  </pageFields>
  <dataFields count="38">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dataField fld="8" subtotal="count" baseField="0" baseItem="0"/>
    <dataField fld="9" subtotal="count" baseField="0" baseItem="0"/>
    <dataField fld="10" subtotal="count" baseField="0" baseItem="0"/>
    <dataField fld="11" subtotal="count" baseField="0" baseItem="0"/>
    <dataField fld="12" subtotal="count" baseField="0" baseItem="0"/>
    <dataField fld="13" subtotal="count" baseField="0" baseItem="0"/>
    <dataField fld="14" subtotal="count" baseField="0" baseItem="0"/>
    <dataField fld="15" subtotal="count" baseField="0" baseItem="0"/>
    <dataField fld="16" subtotal="count" baseField="0" baseItem="0"/>
    <dataField fld="17" subtotal="count" baseField="0" baseItem="0"/>
    <dataField fld="18" subtotal="count" baseField="0" baseItem="0"/>
    <dataField fld="19" subtotal="count" baseField="0" baseItem="0"/>
    <dataField fld="20" subtotal="count" baseField="0" baseItem="0"/>
    <dataField fld="21" subtotal="count" baseField="0" baseItem="0"/>
    <dataField fld="22" subtotal="count" baseField="0" baseItem="0"/>
    <dataField fld="23" subtotal="count" baseField="0" baseItem="0"/>
    <dataField fld="24" subtotal="count" baseField="0" baseItem="0"/>
    <dataField fld="25" subtotal="count" baseField="0" baseItem="0"/>
    <dataField fld="26" subtotal="count" baseField="0" baseItem="0"/>
    <dataField fld="27" subtotal="count" baseField="0" baseItem="0"/>
    <dataField fld="28" subtotal="count" baseField="0" baseItem="0"/>
    <dataField fld="29" subtotal="count" baseField="0" baseItem="0"/>
    <dataField fld="30" subtotal="count" baseField="0" baseItem="0"/>
    <dataField fld="31" subtotal="count" baseField="0" baseItem="0"/>
    <dataField fld="32" subtotal="count" baseField="0" baseItem="0"/>
    <dataField fld="33" subtotal="count" baseField="0" baseItem="0"/>
    <dataField fld="34" subtotal="count" baseField="0" baseItem="0"/>
    <dataField fld="35" subtotal="count" baseField="0" baseItem="0"/>
    <dataField fld="36" subtotal="count" baseField="0" baseItem="0"/>
    <dataField fld="37" subtotal="count" baseField="0" baseItem="0"/>
    <dataField fld="38" subtotal="count" baseField="0" baseItem="0"/>
    <dataField fld="39"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79"/>
    <rowHierarchyUsage hierarchyUsage="5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EC1C0DA1-8123-43FD-B40C-8DF88846ABBA}" name="pvtAN_Dig" cacheId="236"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KY5:LC5" firstHeaderRow="1" firstDataRow="1" firstDataCol="4" rowPageCount="1" colPageCount="1"/>
  <pivotFields count="6">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
        <item x="0"/>
        <item x="1"/>
        <item x="2"/>
        <item x="3"/>
        <item x="4"/>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4">
        <item x="0"/>
        <item x="1"/>
        <item x="2"/>
        <item x="3"/>
        <item x="4"/>
        <item x="5"/>
        <item x="6"/>
        <item x="7"/>
        <item x="8"/>
        <item x="9"/>
        <item x="10"/>
        <item x="11"/>
        <item x="12"/>
        <item x="13"/>
        <item x="14"/>
        <item x="15"/>
        <item x="16"/>
        <item x="17"/>
        <item x="18"/>
        <item x="19"/>
        <item x="20"/>
        <item x="21"/>
        <item x="22"/>
        <item x="23"/>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9">
        <item x="0"/>
        <item x="1"/>
        <item x="2"/>
        <item x="3"/>
        <item x="4"/>
        <item x="5"/>
        <item x="6"/>
        <item x="7"/>
        <item x="8"/>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0"/>
    <field x="1"/>
    <field x="2"/>
    <field x="3"/>
  </rowFields>
  <pageFields count="1">
    <pageField fld="5" hier="55" name="[DimDate].[MonthsFromActive].[All]" cap="All"/>
  </pageFields>
  <dataFields count="1">
    <dataField fld="4"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4">
    <rowHierarchyUsage hierarchyUsage="79"/>
    <rowHierarchyUsage hierarchyUsage="84"/>
    <rowHierarchyUsage hierarchyUsage="50"/>
    <rowHierarchyUsage hierarchyUsage="158"/>
  </row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095A0D67-C2A0-4B59-9B4F-7581D634C245}" name="pvtAN_LagBandC" cacheId="257"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JH5:JO5" firstHeaderRow="0" firstDataRow="1" firstDataCol="2" rowPageCount="2" colPageCount="1"/>
  <pivotFields count="10">
    <pivotField axis="axisRow" compact="0" allDrilled="1" outline="0" subtotalTop="0" showAll="0" dataSourceSort="1" defaultSubtotal="0" defaultAttributeDrillState="1">
      <items count="3">
        <item x="0"/>
        <item x="1"/>
        <item x="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8">
        <item x="0"/>
        <item x="1"/>
        <item x="2"/>
        <item x="3"/>
        <item x="4"/>
        <item x="5"/>
        <item x="6"/>
        <item x="7"/>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0"/>
    <field x="1"/>
  </rowFields>
  <colFields count="1">
    <field x="-2"/>
  </colFields>
  <colItems count="6">
    <i>
      <x/>
    </i>
    <i i="1">
      <x v="1"/>
    </i>
    <i i="2">
      <x v="2"/>
    </i>
    <i i="3">
      <x v="3"/>
    </i>
    <i i="4">
      <x v="4"/>
    </i>
    <i i="5">
      <x v="5"/>
    </i>
  </colItems>
  <pageFields count="2">
    <pageField fld="8" hier="55" name="[DimDate].[MonthsFromActive].[All]" cap="All"/>
    <pageField fld="9" hier="161" name="[tblObsFlag].[Flag].&amp;[1]" cap="1"/>
  </pageFields>
  <dataFields count="6">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79"/>
    <rowHierarchyUsage hierarchyUsage="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7905A289-5348-4364-8C54-B6EE046E07B3}" name="pvtAN_LagAll" cacheId="251"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BT5:DF9" firstHeaderRow="0" firstDataRow="1" firstDataCol="1" rowPageCount="1" colPageCount="1"/>
  <pivotFields count="40">
    <pivotField axis="axisRow" compact="0" allDrilled="1" outline="0" subtotalTop="0" showAll="0" dataSourceSort="1" defaultSubtotal="0" defaultAttributeDrillState="1">
      <items count="4">
        <item x="0"/>
        <item x="1"/>
        <item x="2"/>
        <item x="3"/>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Page"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1">
    <field x="0"/>
  </rowFields>
  <rowItems count="4">
    <i>
      <x/>
    </i>
    <i>
      <x v="1"/>
    </i>
    <i>
      <x v="2"/>
    </i>
    <i>
      <x v="3"/>
    </i>
  </rowItems>
  <colFields count="1">
    <field x="-2"/>
  </colFields>
  <colItems count="38">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colItems>
  <pageFields count="1">
    <pageField fld="39" hier="55" name="[DimDate].[MonthsFromActive].[All]" cap="All"/>
  </pageFields>
  <dataFields count="38">
    <dataField fld="1" subtotal="count" baseField="0" baseItem="0"/>
    <dataField fld="2" subtotal="count" baseField="0" baseItem="0"/>
    <dataField fld="3" subtotal="count" baseField="0" baseItem="0"/>
    <dataField fld="4" subtotal="count" baseField="0" baseItem="0"/>
    <dataField fld="5" subtotal="count" baseField="0" baseItem="0"/>
    <dataField fld="6" subtotal="count" baseField="0" baseItem="0"/>
    <dataField fld="7" subtotal="count" baseField="0" baseItem="0"/>
    <dataField fld="8" subtotal="count" baseField="0" baseItem="0"/>
    <dataField fld="9" subtotal="count" baseField="0" baseItem="0"/>
    <dataField fld="10" subtotal="count" baseField="0" baseItem="0"/>
    <dataField fld="11" subtotal="count" baseField="0" baseItem="0"/>
    <dataField fld="12" subtotal="count" baseField="0" baseItem="0"/>
    <dataField fld="13" subtotal="count" baseField="0" baseItem="0"/>
    <dataField fld="14" subtotal="count" baseField="0" baseItem="0"/>
    <dataField fld="15" subtotal="count" baseField="0" baseItem="0"/>
    <dataField fld="16" subtotal="count" baseField="0" baseItem="0"/>
    <dataField fld="17" subtotal="count" baseField="0" baseItem="0"/>
    <dataField fld="18" subtotal="count" baseField="0" baseItem="0"/>
    <dataField fld="19" subtotal="count" baseField="0" baseItem="0"/>
    <dataField fld="20" subtotal="count" baseField="0" baseItem="0"/>
    <dataField fld="21" subtotal="count" baseField="0" baseItem="0"/>
    <dataField fld="22" subtotal="count" baseField="0" baseItem="0"/>
    <dataField fld="23" subtotal="count" baseField="0" baseItem="0"/>
    <dataField fld="24" subtotal="count" baseField="0" baseItem="0"/>
    <dataField fld="25" subtotal="count" baseField="0" baseItem="0"/>
    <dataField fld="26" subtotal="count" baseField="0" baseItem="0"/>
    <dataField fld="27" subtotal="count" baseField="0" baseItem="0"/>
    <dataField fld="28" subtotal="count" baseField="0" baseItem="0"/>
    <dataField fld="29" subtotal="count" baseField="0" baseItem="0"/>
    <dataField fld="30" subtotal="count" baseField="0" baseItem="0"/>
    <dataField fld="31" subtotal="count" baseField="0" baseItem="0"/>
    <dataField fld="32" subtotal="count" baseField="0" baseItem="0"/>
    <dataField fld="33" subtotal="count" baseField="0" baseItem="0"/>
    <dataField fld="34" subtotal="count" baseField="0" baseItem="0"/>
    <dataField fld="35" subtotal="count" baseField="0" baseItem="0"/>
    <dataField fld="36" subtotal="count" baseField="0" baseItem="0"/>
    <dataField fld="37" subtotal="count" baseField="0" baseItem="0"/>
    <dataField fld="38" subtotal="count" baseField="0" baseItem="0"/>
  </dataFields>
  <pivotHierarchies count="358">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79"/>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removeDataOnSave="1" preserveFormatting="0" adjustColumnWidth="0" connectionId="6" xr16:uid="{38484356-8C02-4364-BEFB-A026C5A5BD06}" autoFormatId="16" applyNumberFormats="0" applyBorderFormats="0" applyFontFormats="1" applyPatternFormats="1" applyAlignmentFormats="0" applyWidthHeightFormats="0">
  <queryTableRefresh nextId="64">
    <queryTableFields count="63">
      <queryTableField id="1" name="PeriodKey" tableColumnId="64"/>
      <queryTableField id="2" name="CompanyID" tableColumnId="65"/>
      <queryTableField id="3" name="DataSource" tableColumnId="66"/>
      <queryTableField id="4" name="LoadBatch" tableColumnId="67"/>
      <queryTableField id="5" name="SourceFile" tableColumnId="68"/>
      <queryTableField id="6" name="SourceRowNo" tableColumnId="69"/>
      <queryTableField id="7" name="PaymentNature" tableColumnId="70"/>
      <queryTableField id="8" name="CaseKey" tableColumnId="71"/>
      <queryTableField id="9" name="GrossAmountTRY" tableColumnId="72"/>
      <queryTableField id="10" name="NetAmountTRY" tableColumnId="73"/>
      <queryTableField id="11" name="RateToTRY" tableColumnId="74"/>
      <queryTableField id="12" name="FXRateMissing" tableColumnId="75"/>
      <queryTableField id="13" name="IsDuplicateKey" tableColumnId="76"/>
      <queryTableField id="14" name="ChronoViolation" tableColumnId="77"/>
      <queryTableField id="15" name="IsOutlier" tableColumnId="78"/>
      <queryTableField id="16" name="CaseNo" tableColumnId="79"/>
      <queryTableField id="17" name="PaymentDate" tableColumnId="80"/>
      <queryTableField id="18" name="DecisionDate" tableColumnId="81"/>
      <queryTableField id="19" name="LossDate" tableColumnId="82"/>
      <queryTableField id="20" name="NotificationDate" tableColumnId="83"/>
      <queryTableField id="21" name="ProductCode" tableColumnId="84"/>
      <queryTableField id="22" name="SubBranchName" tableColumnId="85"/>
      <queryTableField id="23" name="SubBranchCode" tableColumnId="86"/>
      <queryTableField id="24" name="LossCause" tableColumnId="87"/>
      <queryTableField id="25" name="GrossAmount" tableColumnId="88"/>
      <queryTableField id="26" name="CurrencyCode" tableColumnId="89"/>
      <queryTableField id="27" name="DocsCompleteDate" tableColumnId="90"/>
      <queryTableField id="28" name="InitialReserve" tableColumnId="91"/>
      <queryTableField id="29" name="CoverAmount" tableColumnId="92"/>
      <queryTableField id="30" name="ApprovalDate" tableColumnId="93"/>
      <queryTableField id="31" name="NetAmount" tableColumnId="94"/>
      <queryTableField id="32" name="ProductName" tableColumnId="95"/>
      <queryTableField id="33" name="CaseStatus" tableColumnId="96"/>
      <queryTableField id="34" name="CoverCode" tableColumnId="97"/>
      <queryTableField id="35" name="InstallmentSeq" tableColumnId="98"/>
      <queryTableField id="36" name="BranchCode" tableColumnId="99"/>
      <queryTableField id="37" name="NotificationChannel" tableColumnId="100"/>
      <queryTableField id="38" name="PartnerCode" tableColumnId="101"/>
      <queryTableField id="39" name="RepaymentAmount" tableColumnId="102"/>
      <queryTableField id="40" name="LineOfBusinessCode" tableColumnId="103"/>
      <queryTableField id="41" name="PlannedPaymentDate" tableColumnId="104"/>
      <queryTableField id="42" name="TotalSumInsured" tableColumnId="105"/>
      <queryTableField id="43" name="ParentBranchName" tableColumnId="106"/>
      <queryTableField id="44" name="SalesChannelCode" tableColumnId="107"/>
      <queryTableField id="45" name="DueDate" tableColumnId="108"/>
      <queryTableField id="46" name="PolicyNo" tableColumnId="109"/>
      <queryTableField id="47" name="Rate" tableColumnId="110"/>
      <queryTableField id="48" name="LossProvince" tableColumnId="111"/>
      <queryTableField id="49" name="PolicyEndDate" tableColumnId="112"/>
      <queryTableField id="50" name="ProductType" tableColumnId="113"/>
      <queryTableField id="51" name="InsuredAgeBand" tableColumnId="114"/>
      <queryTableField id="52" name="ClaimType" tableColumnId="115"/>
      <queryTableField id="53" name="PaymentMethod" tableColumnId="116"/>
      <queryTableField id="54" name="PolicyStartDate" tableColumnId="117"/>
      <queryTableField id="55" name="LineOfBusinessName" tableColumnId="118"/>
      <queryTableField id="56" name="DeductibleAmount" tableColumnId="119"/>
      <queryTableField id="57" name="RiskStartDate" tableColumnId="120"/>
      <queryTableField id="58" name="RiskEndDate" tableColumnId="121"/>
      <queryTableField id="59" name="PaymentVoucherNo" tableColumnId="122"/>
      <queryTableField id="60" name="CoinsurerCode" tableColumnId="123"/>
      <queryTableField id="61" name="TariffCode" tableColumnId="124"/>
      <queryTableField id="62" name="ParentBranchCode" tableColumnId="125"/>
      <queryTableField id="63" name="ProductSubCategory" tableColumnId="12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5" xr16:uid="{625090F5-26A8-4AB7-9822-FB5307093C0A}" autoFormatId="16" applyNumberFormats="0" applyBorderFormats="0" applyFontFormats="1" applyPatternFormats="1" applyAlignmentFormats="0" applyWidthHeightFormats="0">
  <queryTableRefresh nextId="24">
    <queryTableFields count="23">
      <queryTableField id="1" name="CompanyID" tableColumnId="24"/>
      <queryTableField id="2" name="PeriodKey" tableColumnId="25"/>
      <queryTableField id="3" name="SourceFile" tableColumnId="26"/>
      <queryTableField id="4" name="SourceRowNo" tableColumnId="27"/>
      <queryTableField id="5" name="DOSYANO" tableColumnId="28"/>
      <queryTableField id="6" name="ODEMETARIHI" tableColumnId="29"/>
      <queryTableField id="7" name="ODEMEKARARTARIHI" tableColumnId="30"/>
      <queryTableField id="8" name="HASARTARIHI" tableColumnId="31"/>
      <queryTableField id="9" name="IHBARTARIHI" tableColumnId="32"/>
      <queryTableField id="10" name="URUNKOD" tableColumnId="33"/>
      <queryTableField id="11" name="HASARNEDENI" tableColumnId="34"/>
      <queryTableField id="12" name="ODEMEMIKTARI" tableColumnId="35"/>
      <queryTableField id="13" name="DOVIZCINSI" tableColumnId="36"/>
      <queryTableField id="14" name="NETODENEN" tableColumnId="37"/>
      <queryTableField id="15" name="URUNAD" tableColumnId="38"/>
      <queryTableField id="16" name="DOSYADURUMU" tableColumnId="39"/>
      <queryTableField id="17" name="TEMINATKODU" tableColumnId="40"/>
      <queryTableField id="18" name="TAKSIT_SEQ" tableColumnId="41"/>
      <queryTableField id="19" name="POLICENO" tableColumnId="42"/>
      <queryTableField id="20" name="URUNTIP" tableColumnId="43"/>
      <queryTableField id="21" name="TAZMINATTURNEDEN" tableColumnId="44"/>
      <queryTableField id="22" name="TEDIYENO" tableColumnId="45"/>
      <queryTableField id="23" name="TARIFEKOD" tableColumnId="4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ışVeri_1" backgroundRefresh="0" connectionId="15" xr16:uid="{C9BCBD4F-327C-4899-98B8-8E0A14A75063}" autoFormatId="16" applyNumberFormats="0" applyBorderFormats="0" applyFontFormats="1" applyPatternFormats="1" applyAlignmentFormats="0" applyWidthHeightFormats="0">
  <queryTableRefresh nextId="15">
    <queryTableFields count="6">
      <queryTableField id="1" name="RefreshedAt" tableColumnId="7"/>
      <queryTableField id="3" name="ActivePeriod" tableColumnId="9"/>
      <queryTableField id="8" name="SourceLocation" tableColumnId="2"/>
      <queryTableField id="9" name="FilesRead" tableColumnId="3"/>
      <queryTableField id="10" name="FileList" tableColumnId="4"/>
      <queryTableField id="6" name="SourceCulture" tableColumnId="1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ışVeri_1" backgroundRefresh="0" connectionId="12" xr16:uid="{1A3BA7A9-703C-405F-BBC4-D583BADF3256}" autoFormatId="16" applyNumberFormats="0" applyBorderFormats="0" applyFontFormats="1" applyPatternFormats="1" applyAlignmentFormats="0" applyWidthHeightFormats="0">
  <queryTableRefresh nextId="12">
    <queryTableFields count="11">
      <queryTableField id="1" name="FileName" tableColumnId="10"/>
      <queryTableField id="2" name="FolderPath" tableColumnId="11"/>
      <queryTableField id="3" name="DateModified" tableColumnId="12"/>
      <queryTableField id="4" name="MatchStatus" tableColumnId="13"/>
      <queryTableField id="5" name="Reason" tableColumnId="14"/>
      <queryTableField id="6" name="CompanyID" tableColumnId="15"/>
      <queryTableField id="7" name="PeriodKey" tableColumnId="16"/>
      <queryTableField id="8" name="IsActivePeriod" tableColumnId="17"/>
      <queryTableField id="9" name="FilesForCompanyPeriod" tableColumnId="18"/>
      <queryTableField id="10" name="FileMode" tableColumnId="1"/>
      <queryTableField id="11" name="DeliveryCheck" tableColumnId="2"/>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6" xr16:uid="{EC012769-21E2-450A-9B1E-BDB9339F908B}" autoFormatId="16" applyNumberFormats="0" applyBorderFormats="0" applyFontFormats="1" applyPatternFormats="1" applyAlignmentFormats="0" applyWidthHeightFormats="0">
  <queryTableRefresh nextId="8">
    <queryTableFields count="7">
      <queryTableField id="1" name="FileName" tableColumnId="8"/>
      <queryTableField id="2" name="CompanyID" tableColumnId="9"/>
      <queryTableField id="3" name="PeriodKey" tableColumnId="10"/>
      <queryTableField id="4" name="Rule" tableColumnId="11"/>
      <queryTableField id="5" name="Lines" tableColumnId="12"/>
      <queryTableField id="6" name="Reason" tableColumnId="13"/>
      <queryTableField id="7" name="Action" tableColumnId="14"/>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ışVeri_1" backgroundRefresh="0" connectionId="7" xr16:uid="{BEC875A2-9D68-4FF9-933C-F8056E0042F3}" autoFormatId="16" applyNumberFormats="0" applyBorderFormats="0" applyFontFormats="1" applyPatternFormats="1" applyAlignmentFormats="0" applyWidthHeightFormats="0">
  <queryTableRefresh nextId="122">
    <queryTableFields count="83">
      <queryTableField id="1" name="PaymentLineID" tableColumnId="44"/>
      <queryTableField id="2" name="CompanyID" tableColumnId="45"/>
      <queryTableField id="3" name="PeriodKey" tableColumnId="46"/>
      <queryTableField id="4" name="PeriodDate" tableColumnId="47"/>
      <queryTableField id="5" name="DataSource" tableColumnId="48"/>
      <queryTableField id="6" name="SourceFile" tableColumnId="49"/>
      <queryTableField id="7" name="SourceRowNo" tableColumnId="50"/>
      <queryTableField id="8" name="ArchiveFile" tableColumnId="51"/>
      <queryTableField id="9" name="CaseNo" tableColumnId="52"/>
      <queryTableField id="10" name="PaymentDate" tableColumnId="53"/>
      <queryTableField id="11" name="DecisionDate" tableColumnId="54"/>
      <queryTableField id="12" name="LossDate" tableColumnId="55"/>
      <queryTableField id="13" name="NotificationDate" tableColumnId="56"/>
      <queryTableField id="14" name="ProductCode" tableColumnId="57"/>
      <queryTableField id="50" name="SubBranchName" tableColumnId="4"/>
      <queryTableField id="51" name="SubBranchCode" tableColumnId="5"/>
      <queryTableField id="15" name="LossCause" tableColumnId="58"/>
      <queryTableField id="16" name="GrossAmount" tableColumnId="59"/>
      <queryTableField id="17" name="CurrencyCode" tableColumnId="60"/>
      <queryTableField id="52" name="DocsCompleteDate" tableColumnId="6"/>
      <queryTableField id="53" name="InitialReserve" tableColumnId="7"/>
      <queryTableField id="54" name="CoverAmount" tableColumnId="8"/>
      <queryTableField id="55" name="ApprovalDate" tableColumnId="9"/>
      <queryTableField id="18" name="NetAmount" tableColumnId="61"/>
      <queryTableField id="19" name="ProductName" tableColumnId="62"/>
      <queryTableField id="20" name="CaseStatus" tableColumnId="63"/>
      <queryTableField id="21" name="CoverCode" tableColumnId="64"/>
      <queryTableField id="22" name="InstallmentSeq" tableColumnId="65"/>
      <queryTableField id="56" name="BranchCode" tableColumnId="10"/>
      <queryTableField id="57" name="NotificationChannel" tableColumnId="11"/>
      <queryTableField id="58" name="PartnerCode" tableColumnId="12"/>
      <queryTableField id="59" name="RepaymentAmount" tableColumnId="13"/>
      <queryTableField id="60" name="LineOfBusinessCode" tableColumnId="14"/>
      <queryTableField id="61" name="PlannedPaymentDate" tableColumnId="15"/>
      <queryTableField id="62" name="TotalSumInsured" tableColumnId="16"/>
      <queryTableField id="63" name="ParentBranchName" tableColumnId="17"/>
      <queryTableField id="64" name="SalesChannelCode" tableColumnId="18"/>
      <queryTableField id="65" name="DueDate" tableColumnId="19"/>
      <queryTableField id="23" name="PolicyNo" tableColumnId="66"/>
      <queryTableField id="66" name="Rate" tableColumnId="20"/>
      <queryTableField id="67" name="LossProvince" tableColumnId="21"/>
      <queryTableField id="68" name="PolicyEndDate" tableColumnId="22"/>
      <queryTableField id="24" name="ProductType" tableColumnId="67"/>
      <queryTableField id="69" name="InsuredAgeBand" tableColumnId="23"/>
      <queryTableField id="25" name="ClaimType" tableColumnId="68"/>
      <queryTableField id="70" name="PaymentMethod" tableColumnId="24"/>
      <queryTableField id="71" name="PolicyStartDate" tableColumnId="25"/>
      <queryTableField id="72" name="LineOfBusinessName" tableColumnId="26"/>
      <queryTableField id="73" name="DeductibleAmount" tableColumnId="27"/>
      <queryTableField id="74" name="RiskStartDate" tableColumnId="28"/>
      <queryTableField id="75" name="RiskEndDate" tableColumnId="29"/>
      <queryTableField id="26" name="PaymentVoucherNo" tableColumnId="69"/>
      <queryTableField id="76" name="CoinsurerCode" tableColumnId="30"/>
      <queryTableField id="27" name="TariffCode" tableColumnId="70"/>
      <queryTableField id="77" name="ParentBranchCode" tableColumnId="31"/>
      <queryTableField id="78" name="ProductSubCategory" tableColumnId="32"/>
      <queryTableField id="28" name="CaseKey" tableColumnId="71"/>
      <queryTableField id="29" name="LineKey" tableColumnId="72"/>
      <queryTableField id="30" name="FXKey" tableColumnId="73"/>
      <queryTableField id="31" name="RateToTRY" tableColumnId="74"/>
      <queryTableField id="32" name="GrossAmountTRY" tableColumnId="75"/>
      <queryTableField id="33" name="NetAmountTRY" tableColumnId="76"/>
      <queryTableField id="34" name="FXRateMissing" tableColumnId="77"/>
      <queryTableField id="35" name="DuplicateKeyCount" tableColumnId="78"/>
      <queryTableField id="36" name="IsDuplicateKey" tableColumnId="79"/>
      <queryTableField id="37" name="DuplicateScope" tableColumnId="80"/>
      <queryTableField id="38" name="ChronoViolation" tableColumnId="81"/>
      <queryTableField id="39" name="ChronoDetail" tableColumnId="82"/>
      <queryTableField id="40" name="PaymentOutsidePeriod" tableColumnId="83"/>
      <queryTableField id="41" name="DaysNotificationToPayment" tableColumnId="84"/>
      <queryTableField id="44" name="NotifToPayBucket" tableColumnId="1"/>
      <queryTableField id="45" name="NotifToPayBucketOrder" tableColumnId="2"/>
      <queryTableField id="46" name="IsOutlier" tableColumnId="3"/>
      <queryTableField id="108" name="BranchKey" tableColumnId="33"/>
      <queryTableField id="110" name="SegmentKey" tableColumnId="34"/>
      <queryTableField id="112" name="LossPeriodKey" tableColumnId="35"/>
      <queryTableField id="113" name="DevMonth" tableColumnId="36"/>
      <queryTableField id="114" name="IsFirstPayment" tableColumnId="37"/>
      <queryTableField id="115" name="IsFirstPaymentObs" tableColumnId="38"/>
      <queryTableField id="42" name="IsFirstLineOfCaseInPeriod" tableColumnId="85"/>
      <queryTableField id="43" name="CaseLinesToDate" tableColumnId="86"/>
      <queryTableField id="120" name="LoadBatch" tableColumnId="39"/>
      <queryTableField id="121" name="StoreLine" tableColumnId="40"/>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ışVeri_1" backgroundRefresh="0" connectionId="21" xr16:uid="{BBE7DEF0-2D34-480E-AFB2-DF29B7B5D175}" autoFormatId="16" applyNumberFormats="0" applyBorderFormats="0" applyFontFormats="1" applyPatternFormats="1" applyAlignmentFormats="0" applyWidthHeightFormats="0">
  <queryTableRefresh nextId="17">
    <queryTableFields count="16">
      <queryTableField id="1" name="PeriodKey" tableColumnId="17"/>
      <queryTableField id="2" name="CompanyID" tableColumnId="18"/>
      <queryTableField id="3" name="CurrencyCode" tableColumnId="19"/>
      <queryTableField id="4" name="DataSource" tableColumnId="20"/>
      <queryTableField id="5" name="LineCount" tableColumnId="21"/>
      <queryTableField id="6" name="DistinctCases" tableColumnId="22"/>
      <queryTableField id="7" name="SourceFiles" tableColumnId="23"/>
      <queryTableField id="8" name="GrossAmount" tableColumnId="24"/>
      <queryTableField id="9" name="NetAmount" tableColumnId="25"/>
      <queryTableField id="10" name="GrossAmountTRY" tableColumnId="26"/>
      <queryTableField id="11" name="NetAmountTRY" tableColumnId="27"/>
      <queryTableField id="12" name="FXRateMissingLines" tableColumnId="28"/>
      <queryTableField id="13" name="ChronoViolationLines" tableColumnId="29"/>
      <queryTableField id="14" name="DuplicateKeyLines" tableColumnId="30"/>
      <queryTableField id="15" name="PaymentOutsidePeriodLines" tableColumnId="31"/>
      <queryTableField id="16" name="ArchiveFilesInPeriod" tableColumnId="32"/>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20" xr16:uid="{6798C597-CF44-44B9-B7D1-33BFDADC82E7}" autoFormatId="16" applyNumberFormats="0" applyBorderFormats="0" applyFontFormats="1" applyPatternFormats="1" applyAlignmentFormats="0" applyWidthHeightFormats="0">
  <queryTableRefresh nextId="3">
    <queryTableFields count="2">
      <queryTableField id="1" name="StoreHeader" tableColumnId="3"/>
      <queryTableField id="2" name="StoreColumns" tableColumnId="4"/>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2" backgroundRefresh="0" connectionId="19" xr16:uid="{9908FE05-EECE-4AD7-A7C8-DCAB40618704}" autoFormatId="16" applyNumberFormats="0" applyBorderFormats="0" applyFontFormats="1" applyPatternFormats="1" applyAlignmentFormats="0" applyWidthHeightFormats="0">
  <queryTableRefresh nextId="7">
    <queryTableFields count="6">
      <queryTableField id="1" name="PeriodKey" tableColumnId="7"/>
      <queryTableField id="2" name="LoadBatch" tableColumnId="8"/>
      <queryTableField id="3" name="StoreRows" tableColumnId="9"/>
      <queryTableField id="4" name="StoreDigest" tableColumnId="10"/>
      <queryTableField id="5" name="HeaderOK" tableColumnId="11"/>
      <queryTableField id="6" name="LogState" tableColumnId="12"/>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3" backgroundRefresh="0" connectionId="17" xr16:uid="{1D5E1778-DB73-4318-A078-67AB6675BCE9}" autoFormatId="16" applyNumberFormats="0" applyBorderFormats="0" applyFontFormats="1" applyPatternFormats="1" applyAlignmentFormats="0" applyWidthHeightFormats="0">
  <queryTableRefresh nextId="10">
    <queryTableFields count="9">
      <queryTableField id="1" name="CompanyID" tableColumnId="10"/>
      <queryTableField id="2" name="PeriodKey" tableColumnId="11"/>
      <queryTableField id="3" name="SourceFile" tableColumnId="12"/>
      <queryTableField id="4" name="FileRows" tableColumnId="13"/>
      <queryTableField id="5" name="FileGross" tableColumnId="14"/>
      <queryTableField id="6" name="StoredRows" tableColumnId="15"/>
      <queryTableField id="7" name="StoredGross" tableColumnId="16"/>
      <queryTableField id="8" name="Status" tableColumnId="17"/>
      <queryTableField id="9" name="Detail" tableColumnId="18"/>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4" backgroundRefresh="0" connectionId="18" xr16:uid="{B08AD814-B571-4535-B951-C5B96D368F94}" autoFormatId="16" applyNumberFormats="0" applyBorderFormats="0" applyFontFormats="1" applyPatternFormats="1" applyAlignmentFormats="0" applyWidthHeightFormats="0">
  <queryTableRefresh nextId="19">
    <queryTableFields count="18">
      <queryTableField id="1" name="PeriodKey" tableColumnId="19"/>
      <queryTableField id="2" name="LoadBatch" tableColumnId="20"/>
      <queryTableField id="3" name="CompanyID" tableColumnId="21"/>
      <queryTableField id="4" name="CurrencyCode" tableColumnId="22"/>
      <queryTableField id="5" name="CaseKey" tableColumnId="23"/>
      <queryTableField id="6" name="SourceFile" tableColumnId="24"/>
      <queryTableField id="7" name="SourceRowNo" tableColumnId="25"/>
      <queryTableField id="8" name="Line" tableColumnId="26"/>
      <queryTableField id="9" name="GrossAmount" tableColumnId="27"/>
      <queryTableField id="10" name="NetAmount" tableColumnId="28"/>
      <queryTableField id="11" name="GrossAmountTRY" tableColumnId="29"/>
      <queryTableField id="12" name="NetAmountTRY" tableColumnId="30"/>
      <queryTableField id="13" name="FXRateMissing" tableColumnId="31"/>
      <queryTableField id="14" name="ChronoViolation" tableColumnId="32"/>
      <queryTableField id="15" name="IsDuplicateKey" tableColumnId="33"/>
      <queryTableField id="16" name="PaymentOutsidePeriod" tableColumnId="34"/>
      <queryTableField id="17" name="BlockDigest" tableColumnId="35"/>
      <queryTableField id="18" name="BlockRows" tableColumnId="36"/>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5" backgroundRefresh="0" connectionId="9" xr16:uid="{C3EDBC3F-840A-4644-A015-1B32218E6B88}" autoFormatId="16" applyNumberFormats="0" applyBorderFormats="0" applyFontFormats="1" applyPatternFormats="1" applyAlignmentFormats="0" applyWidthHeightFormats="0">
  <queryTableRefresh nextId="8">
    <queryTableFields count="7">
      <queryTableField id="1" name="FileName" tableColumnId="8"/>
      <queryTableField id="2" name="FolderPath" tableColumnId="9"/>
      <queryTableField id="3" name="CompanyID" tableColumnId="10"/>
      <queryTableField id="4" name="FileMode" tableColumnId="11"/>
      <queryTableField id="5" name="PeriodKey" tableColumnId="12"/>
      <queryTableField id="6" name="LoadBatch" tableColumnId="13"/>
      <queryTableField id="7" name="Gate" tableColumnId="14"/>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6" backgroundRefresh="0" connectionId="8" xr16:uid="{3A5A645C-4215-4298-A8D7-3669D9FF027A}" autoFormatId="16" applyNumberFormats="0" applyBorderFormats="0" applyFontFormats="1" applyPatternFormats="1" applyAlignmentFormats="0" applyWidthHeightFormats="0">
  <queryTableRefresh nextId="19">
    <queryTableFields count="18">
      <queryTableField id="1" name="PeriodKey" tableColumnId="19"/>
      <queryTableField id="2" name="LoadBatch" tableColumnId="20"/>
      <queryTableField id="3" name="CompanyID" tableColumnId="21"/>
      <queryTableField id="4" name="CurrencyCode" tableColumnId="22"/>
      <queryTableField id="5" name="CaseKey" tableColumnId="23"/>
      <queryTableField id="6" name="SourceFile" tableColumnId="24"/>
      <queryTableField id="7" name="SourceRowNo" tableColumnId="25"/>
      <queryTableField id="8" name="Line" tableColumnId="26"/>
      <queryTableField id="9" name="GrossAmount" tableColumnId="27"/>
      <queryTableField id="10" name="NetAmount" tableColumnId="28"/>
      <queryTableField id="11" name="GrossAmountTRY" tableColumnId="29"/>
      <queryTableField id="12" name="NetAmountTRY" tableColumnId="30"/>
      <queryTableField id="13" name="FXRateMissing" tableColumnId="31"/>
      <queryTableField id="14" name="ChronoViolation" tableColumnId="32"/>
      <queryTableField id="15" name="IsDuplicateKey" tableColumnId="33"/>
      <queryTableField id="16" name="PaymentOutsidePeriod" tableColumnId="34"/>
      <queryTableField id="17" name="BlockDigest" tableColumnId="35"/>
      <queryTableField id="18" name="BlockRows" tableColumnId="36"/>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DışVeri_1" backgroundRefresh="0" connectionId="11" xr16:uid="{7A7DE69D-2939-4838-91F6-D2C7D53706D2}" autoFormatId="16" applyNumberFormats="0" applyBorderFormats="0" applyFontFormats="1" applyPatternFormats="1" applyAlignmentFormats="0" applyWidthHeightFormats="0">
  <queryTableRefresh nextId="10">
    <queryTableFields count="9">
      <queryTableField id="1" name="PeriodKey" tableColumnId="10"/>
      <queryTableField id="2" name="CompanyID" tableColumnId="11"/>
      <queryTableField id="3" name="SourceFile" tableColumnId="12"/>
      <queryTableField id="4" name="IssueType" tableColumnId="13"/>
      <queryTableField id="5" name="Severity" tableColumnId="14"/>
      <queryTableField id="6" name="CanonicalName" tableColumnId="15"/>
      <queryTableField id="7" name="SourceHeader" tableColumnId="16"/>
      <queryTableField id="8" name="AffectedCount" tableColumnId="17"/>
      <queryTableField id="9" name="Detail" tableColumnId="18"/>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3" xr16:uid="{6A78820D-B12A-497E-B95A-D5A0E84E0ACC}" autoFormatId="16" applyNumberFormats="0" applyBorderFormats="0" applyFontFormats="1" applyPatternFormats="1" applyAlignmentFormats="0" applyWidthHeightFormats="0">
  <queryTableRefresh nextId="8">
    <queryTableFields count="7">
      <queryTableField id="1" name="RateDate" tableColumnId="8"/>
      <queryTableField id="2" name="CurrencyCode" tableColumnId="9"/>
      <queryTableField id="3" name="RateToTRY" tableColumnId="10"/>
      <queryTableField id="4" name="Bulletin" tableColumnId="11"/>
      <queryTableField id="5" name="FetchStatus" tableColumnId="12"/>
      <queryTableField id="6" name="Detail" tableColumnId="13"/>
      <queryTableField id="7" name="DuplicatesStoredRate" tableColumnId="14"/>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4" xr16:uid="{399806B1-1812-4EF6-90E3-C6DBF62C4307}" autoFormatId="16" applyNumberFormats="0" applyBorderFormats="0" applyFontFormats="1" applyPatternFormats="1" applyAlignmentFormats="0" applyWidthHeightFormats="0">
  <queryTableRefresh nextId="10">
    <queryTableFields count="9">
      <queryTableField id="1" name="ReadAt" tableColumnId="10"/>
      <queryTableField id="2" name="ExternalEvents" tableColumnId="11"/>
      <queryTableField id="3" name="WorkbookEvents" tableColumnId="12"/>
      <queryTableField id="4" name="MissingExternally" tableColumnId="13"/>
      <queryTableField id="5" name="MissingEventNos" tableColumnId="14"/>
      <queryTableField id="6" name="NotInWorkbook" tableColumnId="15"/>
      <queryTableField id="7" name="UnparsedFiles" tableColumnId="16"/>
      <queryTableField id="8" name="NewestExternalUtc" tableColumnId="17"/>
      <queryTableField id="9" name="ReadStatus" tableColumnId="18"/>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0" xr16:uid="{9BC0B437-8A15-42F5-989B-BF5662353E8B}" autoFormatId="16" applyNumberFormats="0" applyBorderFormats="0" applyFontFormats="1" applyPatternFormats="1" applyAlignmentFormats="0" applyWidthHeightFormats="0">
  <queryTableRefresh nextId="8">
    <queryTableFields count="7">
      <queryTableField id="1" name="Role" tableColumnId="8"/>
      <queryTableField id="2" name="FileName" tableColumnId="9"/>
      <queryTableField id="3" name="FolderPath" tableColumnId="10"/>
      <queryTableField id="4" name="MatchStatus" tableColumnId="11"/>
      <queryTableField id="5" name="CompanyID" tableColumnId="12"/>
      <queryTableField id="6" name="PeriodKey" tableColumnId="13"/>
      <queryTableField id="7" name="Reason" tableColumnId="14"/>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Month" xr10:uid="{A43A3F73-DEA1-42D9-BCFE-136822F97ADA}" sourceName="[DimDate].[YearMonth]">
  <pivotTables>
    <pivotTable tabId="6" name="pvtCompanyMonth"/>
    <pivotTable tabId="34" name="pvtCompanyShare"/>
    <pivotTable tabId="34" name="pvtCurrencyMix"/>
    <pivotTable tabId="34" name="pvtDaysDistribution"/>
  </pivotTables>
  <data>
    <olap pivotCacheId="2054850634">
      <levels count="2">
        <level uniqueName="[DimDate].[YearMonth].[(All)]" sourceCaption="(All)" count="0"/>
        <level uniqueName="[DimDate].[YearMonth].[YearMonth]" sourceCaption="YearMonth" count="372"/>
      </levels>
      <selections count="1">
        <selection n="[DimDate].[YearMonth].&amp;[2026-08]"/>
      </selections>
    </olap>
  </data>
  <extLst>
    <x:ext xmlns:x15="http://schemas.microsoft.com/office/spreadsheetml/2010/11/main" uri="{470722E0-AACD-4C17-9CDC-17EF765DBC7E}">
      <x15:slicerCacheHideItemsWithNoData count="1">
        <x15:slicerCacheOlapLevelName uniqueName="[DimDate].[YearMonth].[YearMonth]" count="372"/>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mpanyType" xr10:uid="{10589EC1-3229-4656-9D44-627FF5B1D9E3}" sourceName="[DimCompany].[CompanyType]">
  <pivotTables>
    <pivotTable tabId="6" name="pvtCompanyMonth"/>
    <pivotTable tabId="34" name="pvtCompanyShare"/>
    <pivotTable tabId="34" name="pvtCurrencyMix"/>
    <pivotTable tabId="34" name="pvtDaysDistribution"/>
    <pivotTable tabId="34" name="pvtTrend"/>
  </pivotTables>
  <data>
    <olap pivotCacheId="2054850634">
      <levels count="2">
        <level uniqueName="[DimCompany].[CompanyType].[(All)]" sourceCaption="(All)" count="0"/>
        <level uniqueName="[DimCompany].[CompanyType].[CompanyType]" sourceCaption="CompanyType" count="0"/>
      </levels>
      <selections count="1">
        <selection n="[DimCompany].[CompanyType].[All]"/>
      </selections>
    </olap>
  </data>
  <extLst>
    <x:ext xmlns:x15="http://schemas.microsoft.com/office/spreadsheetml/2010/11/main" uri="{470722E0-AACD-4C17-9CDC-17EF765DBC7E}">
      <x15:slicerCacheHideItemsWithNoData count="1">
        <x15:slicerCacheOlapLevelName uniqueName="[DimCompany].[CompanyType].[CompanyType]" count="0"/>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urrencyCode" xr10:uid="{DF688596-61B6-4F99-93CE-8F6E3689790B}" sourceName="[FactPayment].[CurrencyCode]">
  <pivotTables>
    <pivotTable tabId="6" name="pvtCompanyMonth"/>
    <pivotTable tabId="34" name="pvtCompanyShare"/>
    <pivotTable tabId="34" name="pvtDaysDistribution"/>
    <pivotTable tabId="34" name="pvtTrend"/>
  </pivotTables>
  <data>
    <olap pivotCacheId="2054850634">
      <levels count="2">
        <level uniqueName="[FactPayment].[CurrencyCode].[(All)]" sourceCaption="(All)" count="0"/>
        <level uniqueName="[FactPayment].[CurrencyCode].[CurrencyCode]" sourceCaption="CurrencyCode" count="0"/>
      </levels>
      <selections count="1">
        <selection n="[FactPayment].[CurrencyCode].[All]"/>
      </selections>
    </olap>
  </data>
  <extLst>
    <x:ext xmlns:x15="http://schemas.microsoft.com/office/spreadsheetml/2010/11/main" uri="{470722E0-AACD-4C17-9CDC-17EF765DBC7E}">
      <x15:slicerCacheHideItemsWithNoData count="1">
        <x15:slicerCacheOlapLevelName uniqueName="[FactPayment].[CurrencyCode].[CurrencyCode]" count="0"/>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xCompanyType" xr10:uid="{371F3C05-8875-47B0-B54A-0A2532ED1B79}" sourceName="[DimCompany].[CompanyType]">
  <pivotTables>
    <pivotTable tabId="24" name="pvtMatrix"/>
  </pivotTables>
  <data>
    <olap pivotCacheId="369546714">
      <levels count="2">
        <level uniqueName="[DimCompany].[CompanyType].[(All)]" sourceCaption="(All)" count="0"/>
        <level uniqueName="[DimCompany].[CompanyType].[CompanyType]" sourceCaption="CompanyType" count="0"/>
      </levels>
      <selections count="1">
        <selection n="[DimCompany].[CompanyType].[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xCurrencyCode" xr10:uid="{6F2225B9-E729-4E01-8B9E-F670982A3FAA}" sourceName="[FactPayment].[CurrencyCode]">
  <pivotTables>
    <pivotTable tabId="24" name="pvtMatrix"/>
  </pivotTables>
  <data>
    <olap pivotCacheId="369546714">
      <levels count="2">
        <level uniqueName="[FactPayment].[CurrencyCode].[(All)]" sourceCaption="(All)" count="0"/>
        <level uniqueName="[FactPayment].[CurrencyCode].[CurrencyCode]" sourceCaption="CurrencyCode" count="0"/>
      </levels>
      <selections count="1">
        <selection n="[FactPayment].[CurrencyCode].[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MxPeriodStatus" xr10:uid="{0BDA6E5A-2903-4A40-AFD0-FBE7DD8E87BB}" sourceName="[DimDate].[PeriodStatus]">
  <pivotTables>
    <pivotTable tabId="24" name="pvtMatrix"/>
  </pivotTables>
  <data>
    <olap pivotCacheId="369546714">
      <levels count="2">
        <level uniqueName="[DimDate].[PeriodStatus].[(All)]" sourceCaption="(All)" count="0"/>
        <level uniqueName="[DimDate].[PeriodStatus].[PeriodStatus]" sourceCaption="PeriodStatus" count="1">
          <ranges>
            <range startItem="0">
              <i n="[DimDate].[PeriodStatus].&amp;[Not set]" c="Not set" nd="1"/>
            </range>
          </ranges>
        </level>
      </levels>
      <selections count="1">
        <selection n="[DimDate].[PeriodStatus].[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cYearMonth" xr10:uid="{ED996C20-230B-4F47-B32B-B4DDC88BC188}" cache="Slicer_YearMonth" caption="Year-month" columnCount="2" level="1" rowHeight="225425"/>
  <slicer name="slcCompanyType" xr10:uid="{A2209D0C-3E7C-49F3-8EA2-8FB3CD55D730}" cache="Slicer_CompanyType" caption="Company type" level="1" rowHeight="225425"/>
  <slicer name="slcCurrency" xr10:uid="{E8AB5B1F-E952-49A3-B1F9-523518D2DC89}" cache="Slicer_CurrencyCode" caption="Currency" columnCount="2" level="1" rowHeight="22542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cMxCompanyType" xr10:uid="{6A69AE77-9C8B-402D-B307-83F911842690}" cache="Slicer_MxCompanyType" caption="Company type" level="1" rowHeight="225425"/>
  <slicer name="slcMxCurrencyCode" xr10:uid="{09CA58D4-6D35-4FB3-A687-CB4A55ADE4E3}" cache="Slicer_MxCurrencyCode" caption="Currency" level="1" rowHeight="225425"/>
  <slicer name="slcMxPeriodStatus" xr10:uid="{4F1CFCA2-218B-4B24-8A2E-9A10CE2B54A4}" cache="Slicer_MxPeriodStatus" caption="Period status" level="1" rowHeight="225425"/>
</slicers>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1.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2.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43.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44.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45.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46.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47.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48.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49.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50.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51.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53.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54.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55.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56.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072E643-3F29-4CE2-A7F6-AA1D149CFE4B}" name="tblControl" displayName="tblControl" ref="A20:O47" totalsRowShown="0" headerRowDxfId="1288" dataDxfId="918">
  <autoFilter ref="A20:O47" xr:uid="{E072E643-3F29-4CE2-A7F6-AA1D149CFE4B}"/>
  <tableColumns count="15">
    <tableColumn id="1" xr3:uid="{AA094342-38BE-479E-BFE0-B04FDDEC6090}" name="No" dataDxfId="930"/>
    <tableColumn id="2" xr3:uid="{77BC5A8E-BC7E-4DD5-BDB5-E9B606E68DA1}" name="CheckID" dataDxfId="929"/>
    <tableColumn id="3" xr3:uid="{29BA7D12-0216-4098-AA0C-543C4C69E009}" name="Area" dataDxfId="928"/>
    <tableColumn id="4" xr3:uid="{1A5BFB98-C6FD-4A6F-94A3-93B74D04677A}" name="Check" dataDxfId="927"/>
    <tableColumn id="5" xr3:uid="{B1B0FD71-9F61-48AB-9EB6-C63D9CD61BFD}" name="WhatItVerifies" dataDxfId="926"/>
    <tableColumn id="6" xr3:uid="{A2A539D0-9306-48E9-939B-3E00B45EF826}" name="Result" dataDxfId="925"/>
    <tableColumn id="7" xr3:uid="{E60159D3-EC0C-49AD-81D9-8EB5CD592E23}" name="Threshold" dataDxfId="924"/>
    <tableColumn id="15" xr3:uid="{418FCE82-0D6B-4A85-BE0C-6E998E04D283}" name="Severity" dataDxfId="923"/>
    <tableColumn id="8" xr3:uid="{68E669DE-7FAF-43F1-A684-4DB4B0F58C66}" name="Status" dataDxfId="922">
      <calculatedColumnFormula>IF(N(tblControl[[#This Row],[Result]])&lt;=tblControl[[#This Row],[Threshold]],"OK",IF(tblControl[[#This Row],[Severity]]="ADVISORY","ADVISORY","REVIEW"))</calculatedColumnFormula>
    </tableColumn>
    <tableColumn id="9" xr3:uid="{B7172686-5B72-40A1-B10F-4FFDB4A7FA32}" name="Finding" dataDxfId="921"/>
    <tableColumn id="10" xr3:uid="{DADDD23C-0FE5-4E30-BADC-B58E7BD8763F}" name="Action" dataDxfId="917"/>
    <tableColumn id="11" xr3:uid="{6F34C1D6-3276-43A1-BC51-20268118180D}" name="Explanation" dataDxfId="915"/>
    <tableColumn id="12" xr3:uid="{94A1D92D-D34F-4447-994F-8D6DC8353A38}" name="ExplainedBy" dataDxfId="916"/>
    <tableColumn id="13" xr3:uid="{2E6CBC99-58D7-46B9-8F77-3D2E3904B16E}" name="ExplainedOn" dataDxfId="920"/>
    <tableColumn id="14" xr3:uid="{1E05BA31-0C59-4673-A23A-48CAA4315D3C}" name="ExplainedPeriod" dataDxfId="919"/>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B226F31-41E7-444D-8F0E-AB3D6ABCF16A}" name="tblCloseOut" displayName="tblCloseOut" ref="B50:I51" totalsRowShown="0" headerRowDxfId="1287" dataDxfId="1286">
  <autoFilter ref="B50:I51" xr:uid="{EB226F31-41E7-444D-8F0E-AB3D6ABCF16A}"/>
  <tableColumns count="8">
    <tableColumn id="1" xr3:uid="{299A14E1-52E7-4B44-A9B9-D3A607E146FB}" name="PeriodKey" dataDxfId="1285">
      <calculatedColumnFormula>cpActivePeriod</calculatedColumnFormula>
    </tableColumn>
    <tableColumn id="2" xr3:uid="{8D3A6B99-AA50-4E8F-9DE7-A1F0040A7C15}" name="ArchiveFile" dataDxfId="1284">
      <calculatedColumnFormula array="1">prmArchiveFilePrefix&amp;cpActivePeriod&amp;prmFileExtension</calculatedColumnFormula>
    </tableColumn>
    <tableColumn id="3" xr3:uid="{A06AB59A-6600-4C30-96F3-2F8BA1179E70}" name="RecordedRows" dataDxfId="1283">
      <calculatedColumnFormula>COUNTA(STG_ActiveFact[CaseKey])</calculatedColumnFormula>
    </tableColumn>
    <tableColumn id="4" xr3:uid="{AAE18B31-EDAD-427C-A14F-F8942EE111C0}" name="RecordedHashTotal" dataDxfId="1282">
      <calculatedColumnFormula>SUM(STG_ActiveFact[GrossAmount])</calculatedColumnFormula>
    </tableColumn>
    <tableColumn id="5" xr3:uid="{F87B1483-484F-4316-A8DB-7973CDBFCE6D}" name="RecordedGrossTRY" dataDxfId="1281">
      <calculatedColumnFormula>SUM(STG_ActiveFact[GrossAmountTRY])</calculatedColumnFormula>
    </tableColumn>
    <tableColumn id="6" xr3:uid="{ABF1E19F-4D07-4494-B3F7-7FC57BC28EE1}" name="StatusAtClose" dataDxfId="1280">
      <calculatedColumnFormula>cpOverallStatus</calculatedColumnFormula>
    </tableColumn>
    <tableColumn id="7" xr3:uid="{FAE51C0B-6B83-4B53-9469-3DF516C502DD}" name="ReviewAtClose" dataDxfId="1279">
      <calculatedColumnFormula>cpReviewCount</calculatedColumnFormula>
    </tableColumn>
    <tableColumn id="8" xr3:uid="{1338DE60-80FA-4E7F-911E-14F7E94F0CD4}" name="ControlsFile" dataDxfId="1278">
      <calculatedColumnFormula array="1">prmControlsFilePrefix&amp;cpActivePeriod&amp;prmFileExtension</calculatedColumnFormula>
    </tableColumn>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EB22B66-E49E-4203-8F46-88224B218F58}" name="qView_Raw" displayName="qView_Raw" ref="B24:BL25" tableType="queryTable" insertRow="1" totalsRowShown="0" headerRowDxfId="1277" dataDxfId="1276">
  <autoFilter ref="B24:BL25" xr:uid="{2EB22B66-E49E-4203-8F46-88224B218F58}"/>
  <tableColumns count="63">
    <tableColumn id="64" xr3:uid="{5C7E3395-023C-4099-83EC-1B796A0B59ED}" uniqueName="64" name="PeriodKey" queryTableFieldId="1" dataDxfId="1275"/>
    <tableColumn id="65" xr3:uid="{788915BA-18B3-439B-B678-7EDE21176EA3}" uniqueName="65" name="CompanyID" queryTableFieldId="2" dataDxfId="1274"/>
    <tableColumn id="66" xr3:uid="{F92147DF-6F46-4D32-851A-17698EF92A2A}" uniqueName="66" name="DataSource" queryTableFieldId="3" dataDxfId="1273"/>
    <tableColumn id="67" xr3:uid="{02D3DDE0-1568-4612-8BEC-5A77B9DD5FCD}" uniqueName="67" name="LoadBatch" queryTableFieldId="4" dataDxfId="1272"/>
    <tableColumn id="68" xr3:uid="{86095E33-C79B-48F3-8660-9E28B95F0C7F}" uniqueName="68" name="SourceFile" queryTableFieldId="5" dataDxfId="1271"/>
    <tableColumn id="69" xr3:uid="{C56F87CD-16B4-405B-8446-D3F834282D50}" uniqueName="69" name="SourceRowNo" queryTableFieldId="6" dataDxfId="1270"/>
    <tableColumn id="70" xr3:uid="{C3728524-5B59-47B6-A44D-CD6A39604E07}" uniqueName="70" name="PaymentNature" queryTableFieldId="7" dataDxfId="1269"/>
    <tableColumn id="71" xr3:uid="{3FD09636-0550-4A4E-B83D-B62D4963777B}" uniqueName="71" name="CaseKey" queryTableFieldId="8" dataDxfId="1268"/>
    <tableColumn id="72" xr3:uid="{555E7190-2259-43E9-B3AD-F3FE4888A4A2}" uniqueName="72" name="GrossAmountTRY" queryTableFieldId="9" dataDxfId="1267"/>
    <tableColumn id="73" xr3:uid="{CD3960D4-7E8D-4654-AB13-9B315DEC1766}" uniqueName="73" name="NetAmountTRY" queryTableFieldId="10" dataDxfId="1266"/>
    <tableColumn id="74" xr3:uid="{0EDDA663-DD17-4B19-BC3C-EFE74FC46779}" uniqueName="74" name="RateToTRY" queryTableFieldId="11" dataDxfId="1265"/>
    <tableColumn id="75" xr3:uid="{FF1A5B54-5E2B-44F3-9A29-9243CA1F69AC}" uniqueName="75" name="FXRateMissing" queryTableFieldId="12" dataDxfId="1264"/>
    <tableColumn id="76" xr3:uid="{E07A0558-6550-47C8-8A46-C97C6B973264}" uniqueName="76" name="IsDuplicateKey" queryTableFieldId="13" dataDxfId="1263"/>
    <tableColumn id="77" xr3:uid="{FA2D4F5F-46DE-435A-A7F9-33017924C29B}" uniqueName="77" name="ChronoViolation" queryTableFieldId="14" dataDxfId="1262"/>
    <tableColumn id="78" xr3:uid="{E40CF5A9-922B-4157-96C4-BCBBEC42DC04}" uniqueName="78" name="IsOutlier" queryTableFieldId="15" dataDxfId="1261"/>
    <tableColumn id="79" xr3:uid="{8B884203-167D-42F5-B898-87ECE4B5933C}" uniqueName="79" name="CaseNo" queryTableFieldId="16" dataDxfId="1260"/>
    <tableColumn id="80" xr3:uid="{8F4541EC-FF4D-46A3-BC46-3262BF95BC60}" uniqueName="80" name="PaymentDate" queryTableFieldId="17" dataDxfId="1259"/>
    <tableColumn id="81" xr3:uid="{05408395-957A-4448-B692-CD035A72AC72}" uniqueName="81" name="DecisionDate" queryTableFieldId="18" dataDxfId="1258"/>
    <tableColumn id="82" xr3:uid="{87097207-10EF-4FD5-A011-21A2E0B20F9C}" uniqueName="82" name="LossDate" queryTableFieldId="19" dataDxfId="1257"/>
    <tableColumn id="83" xr3:uid="{9CEE9375-60A4-4688-BE60-8A6B4E8ACB5A}" uniqueName="83" name="NotificationDate" queryTableFieldId="20" dataDxfId="1256"/>
    <tableColumn id="84" xr3:uid="{B1AABC39-E999-44DE-A2E2-823769FF83AA}" uniqueName="84" name="ProductCode" queryTableFieldId="21" dataDxfId="1255"/>
    <tableColumn id="85" xr3:uid="{1F31DFFA-6745-4DD5-BF8B-9079A7A00463}" uniqueName="85" name="SubBranchName" queryTableFieldId="22" dataDxfId="1254"/>
    <tableColumn id="86" xr3:uid="{8233D3F0-A123-410E-8375-C372CB6BF730}" uniqueName="86" name="SubBranchCode" queryTableFieldId="23" dataDxfId="1253"/>
    <tableColumn id="87" xr3:uid="{6CC4E38C-DC21-4441-97EE-FC3C661A8919}" uniqueName="87" name="LossCause" queryTableFieldId="24" dataDxfId="1252"/>
    <tableColumn id="88" xr3:uid="{873777AD-C81E-4D0D-9779-23C0B128A315}" uniqueName="88" name="GrossAmount" queryTableFieldId="25" dataDxfId="1251"/>
    <tableColumn id="89" xr3:uid="{FFDD5462-E705-41A4-9C1E-6401934BE768}" uniqueName="89" name="CurrencyCode" queryTableFieldId="26" dataDxfId="1250"/>
    <tableColumn id="90" xr3:uid="{DDF0A53A-7BFF-4492-9FBF-2B1AE0691C2B}" uniqueName="90" name="DocsCompleteDate" queryTableFieldId="27" dataDxfId="1249"/>
    <tableColumn id="91" xr3:uid="{94D5453C-4B7A-4DB9-95F5-39E6160AA7E6}" uniqueName="91" name="InitialReserve" queryTableFieldId="28" dataDxfId="1248"/>
    <tableColumn id="92" xr3:uid="{15ED571B-C13F-4D15-9292-46C5688CB24B}" uniqueName="92" name="CoverAmount" queryTableFieldId="29" dataDxfId="1247"/>
    <tableColumn id="93" xr3:uid="{13A0F9F0-EBBC-4EDB-A4D8-174E66E01BAC}" uniqueName="93" name="ApprovalDate" queryTableFieldId="30" dataDxfId="1246"/>
    <tableColumn id="94" xr3:uid="{CC996BA9-1ADE-4CFA-9292-9453ED6A8525}" uniqueName="94" name="NetAmount" queryTableFieldId="31" dataDxfId="1245"/>
    <tableColumn id="95" xr3:uid="{98F8C529-887C-49AF-AF3D-BE3AF60288CD}" uniqueName="95" name="ProductName" queryTableFieldId="32" dataDxfId="1244"/>
    <tableColumn id="96" xr3:uid="{3DCC9182-0A87-4170-9321-61216C56A174}" uniqueName="96" name="CaseStatus" queryTableFieldId="33" dataDxfId="1243"/>
    <tableColumn id="97" xr3:uid="{9ECD734E-4157-4080-801A-1B6CD462B224}" uniqueName="97" name="CoverCode" queryTableFieldId="34" dataDxfId="1242"/>
    <tableColumn id="98" xr3:uid="{B4CA275F-293F-45E5-A109-96AB5C351B40}" uniqueName="98" name="InstallmentSeq" queryTableFieldId="35" dataDxfId="1241"/>
    <tableColumn id="99" xr3:uid="{9968D10D-B6EA-44F7-B10A-4DD5CDA004CC}" uniqueName="99" name="BranchCode" queryTableFieldId="36" dataDxfId="1240"/>
    <tableColumn id="100" xr3:uid="{867E5BAD-759A-437C-9104-1C506C74B679}" uniqueName="100" name="NotificationChannel" queryTableFieldId="37" dataDxfId="1239"/>
    <tableColumn id="101" xr3:uid="{A0B5C1B8-36B9-4CD9-849B-A589061C1F4A}" uniqueName="101" name="PartnerCode" queryTableFieldId="38" dataDxfId="1238"/>
    <tableColumn id="102" xr3:uid="{55E3171A-8B60-4B3B-90BD-076E32C3C3BF}" uniqueName="102" name="RepaymentAmount" queryTableFieldId="39" dataDxfId="1237"/>
    <tableColumn id="103" xr3:uid="{4B58B927-C816-4A04-ADE7-4E2C26B85189}" uniqueName="103" name="LineOfBusinessCode" queryTableFieldId="40" dataDxfId="1236"/>
    <tableColumn id="104" xr3:uid="{B69FA689-0025-4A3F-965D-A8AABBDFCAE1}" uniqueName="104" name="PlannedPaymentDate" queryTableFieldId="41" dataDxfId="1235"/>
    <tableColumn id="105" xr3:uid="{90785D5B-DEC9-47B7-A040-758477EE2A71}" uniqueName="105" name="TotalSumInsured" queryTableFieldId="42" dataDxfId="1234"/>
    <tableColumn id="106" xr3:uid="{3C25FF34-C872-434A-B382-4EFC739917D8}" uniqueName="106" name="ParentBranchName" queryTableFieldId="43" dataDxfId="1233"/>
    <tableColumn id="107" xr3:uid="{4CF74F4A-8469-4374-95A7-1224B01EE8D5}" uniqueName="107" name="SalesChannelCode" queryTableFieldId="44" dataDxfId="1232"/>
    <tableColumn id="108" xr3:uid="{EAB9C326-0C91-46C4-ACCF-4579D759B248}" uniqueName="108" name="DueDate" queryTableFieldId="45" dataDxfId="1231"/>
    <tableColumn id="109" xr3:uid="{275F1B51-625F-4A85-8C4D-0CA34F729B62}" uniqueName="109" name="PolicyNo" queryTableFieldId="46" dataDxfId="1230"/>
    <tableColumn id="110" xr3:uid="{0346E8D9-3E83-4212-8634-FA6B385707A9}" uniqueName="110" name="Rate" queryTableFieldId="47" dataDxfId="1229"/>
    <tableColumn id="111" xr3:uid="{E33737C4-8B84-4CFF-B75B-6F66AF3B3858}" uniqueName="111" name="LossProvince" queryTableFieldId="48" dataDxfId="1228"/>
    <tableColumn id="112" xr3:uid="{BFA9EDD4-4DCF-45ED-82AB-DB34602A3ACA}" uniqueName="112" name="PolicyEndDate" queryTableFieldId="49" dataDxfId="1227"/>
    <tableColumn id="113" xr3:uid="{DA3479DB-22EB-4741-863B-432F9237B14E}" uniqueName="113" name="ProductType" queryTableFieldId="50" dataDxfId="1226"/>
    <tableColumn id="114" xr3:uid="{76330AA2-24FD-4C53-8066-CC9046724612}" uniqueName="114" name="InsuredAgeBand" queryTableFieldId="51" dataDxfId="1225"/>
    <tableColumn id="115" xr3:uid="{2943C3B9-F418-42E8-A0ED-61BFB47EF6B6}" uniqueName="115" name="ClaimType" queryTableFieldId="52" dataDxfId="1224"/>
    <tableColumn id="116" xr3:uid="{5AE7ED0B-7D8D-45F7-99B8-DC6589F4C07F}" uniqueName="116" name="PaymentMethod" queryTableFieldId="53" dataDxfId="1223"/>
    <tableColumn id="117" xr3:uid="{EDDC244C-49F6-4168-82BE-68E5D28E4F2E}" uniqueName="117" name="PolicyStartDate" queryTableFieldId="54" dataDxfId="1222"/>
    <tableColumn id="118" xr3:uid="{23207004-C791-4E35-8FDD-09747FC6B4BC}" uniqueName="118" name="LineOfBusinessName" queryTableFieldId="55" dataDxfId="1221"/>
    <tableColumn id="119" xr3:uid="{CA0A2D92-1D28-434C-A921-05AC6796EEA5}" uniqueName="119" name="DeductibleAmount" queryTableFieldId="56" dataDxfId="1220"/>
    <tableColumn id="120" xr3:uid="{C2A41E15-1C0E-4B94-95DD-C0185AB5A5B1}" uniqueName="120" name="RiskStartDate" queryTableFieldId="57" dataDxfId="1219"/>
    <tableColumn id="121" xr3:uid="{61992D93-2A5D-41AD-BACD-560C19B6B9CD}" uniqueName="121" name="RiskEndDate" queryTableFieldId="58" dataDxfId="1218"/>
    <tableColumn id="122" xr3:uid="{69C8A2BC-B29F-4204-84CC-877B4ED8BB90}" uniqueName="122" name="PaymentVoucherNo" queryTableFieldId="59" dataDxfId="1217"/>
    <tableColumn id="123" xr3:uid="{2044CFC1-9B2B-48CE-9737-6AF84F532D08}" uniqueName="123" name="CoinsurerCode" queryTableFieldId="60" dataDxfId="1216"/>
    <tableColumn id="124" xr3:uid="{06621054-8109-43E9-A160-C1FDAFBD6F2A}" uniqueName="124" name="TariffCode" queryTableFieldId="61" dataDxfId="1215"/>
    <tableColumn id="125" xr3:uid="{7BB703D1-7BF5-4FF4-AD4C-43239C32F2C2}" uniqueName="125" name="ParentBranchCode" queryTableFieldId="62" dataDxfId="1214"/>
    <tableColumn id="126" xr3:uid="{90CEF7BE-75A3-48B5-A237-8AD258ADAB48}" uniqueName="126" name="ProductSubCategory" queryTableFieldId="63" dataDxfId="121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DF68F691-8749-48B1-9071-2111B5F281C4}" name="qView_Lines" displayName="qView_Lines" ref="A12:W13" tableType="queryTable" insertRow="1" totalsRowShown="0">
  <autoFilter ref="A12:W13" xr:uid="{DF68F691-8749-48B1-9071-2111B5F281C4}"/>
  <tableColumns count="23">
    <tableColumn id="24" xr3:uid="{DA509D94-76BE-47D7-95F2-57E298F77780}" uniqueName="24" name="CompanyID" queryTableFieldId="1" dataDxfId="1212"/>
    <tableColumn id="25" xr3:uid="{8D2AD04F-7E7D-406E-8B78-C66829F03018}" uniqueName="25" name="PeriodKey" queryTableFieldId="2"/>
    <tableColumn id="26" xr3:uid="{CE5DD9C9-AEFD-4A3D-84D0-5AA49CDBE443}" uniqueName="26" name="SourceFile" queryTableFieldId="3" dataDxfId="1211"/>
    <tableColumn id="27" xr3:uid="{96C3FC39-4ABE-4511-99EF-4BC8B79B8C3F}" uniqueName="27" name="SourceRowNo" queryTableFieldId="4"/>
    <tableColumn id="28" xr3:uid="{DFA4EAF5-7AE8-4C7C-80F9-D3099CA30C37}" uniqueName="28" name="DOSYANO" queryTableFieldId="5" dataDxfId="1210"/>
    <tableColumn id="29" xr3:uid="{BFA195D3-D245-437B-8B9D-CA0E58A9D8F7}" uniqueName="29" name="ODEMETARIHI" queryTableFieldId="6" dataDxfId="1209"/>
    <tableColumn id="30" xr3:uid="{FE511098-D542-4430-8BDB-A729B82745D1}" uniqueName="30" name="ODEMEKARARTARIHI" queryTableFieldId="7" dataDxfId="1208"/>
    <tableColumn id="31" xr3:uid="{02675F51-683D-4EFC-A919-B6F59FD096C0}" uniqueName="31" name="HASARTARIHI" queryTableFieldId="8" dataDxfId="1207"/>
    <tableColumn id="32" xr3:uid="{FE34716B-11D3-4828-BC43-11F9EC81213A}" uniqueName="32" name="IHBARTARIHI" queryTableFieldId="9" dataDxfId="1206"/>
    <tableColumn id="33" xr3:uid="{D004AE52-2C85-4690-998A-FA62D0B76534}" uniqueName="33" name="URUNKOD" queryTableFieldId="10" dataDxfId="1205"/>
    <tableColumn id="34" xr3:uid="{41458162-D804-40DC-8FD3-456BA6EA9718}" uniqueName="34" name="HASARNEDENI" queryTableFieldId="11" dataDxfId="1204"/>
    <tableColumn id="35" xr3:uid="{D8E1E81E-BD0B-4AC1-8A04-C18DFA9BD335}" uniqueName="35" name="ODEMEMIKTARI" queryTableFieldId="12"/>
    <tableColumn id="36" xr3:uid="{35F973D2-C81C-47FC-9B00-4A7763738AAD}" uniqueName="36" name="DOVIZCINSI" queryTableFieldId="13" dataDxfId="1203"/>
    <tableColumn id="37" xr3:uid="{1B514114-4A84-4DA7-8862-AE5634ED36BC}" uniqueName="37" name="NETODENEN" queryTableFieldId="14"/>
    <tableColumn id="38" xr3:uid="{4151AFDE-F151-42EB-9301-64576D07E0B3}" uniqueName="38" name="URUNAD" queryTableFieldId="15" dataDxfId="1202"/>
    <tableColumn id="39" xr3:uid="{B7186559-1709-4D95-B38A-B204EDEA54F9}" uniqueName="39" name="DOSYADURUMU" queryTableFieldId="16" dataDxfId="1201"/>
    <tableColumn id="40" xr3:uid="{86B9DEB8-E49D-4D95-992B-D68C97AA05EC}" uniqueName="40" name="TEMINATKODU" queryTableFieldId="17" dataDxfId="1200"/>
    <tableColumn id="41" xr3:uid="{D360D6DA-A968-45FC-B14E-5A97E400D8A9}" uniqueName="41" name="TAKSIT_SEQ" queryTableFieldId="18"/>
    <tableColumn id="42" xr3:uid="{156ED554-8F48-4DB8-8034-ABA46BF60901}" uniqueName="42" name="POLICENO" queryTableFieldId="19" dataDxfId="1199"/>
    <tableColumn id="43" xr3:uid="{21E5C4F6-BD19-4948-A49A-206550C69DDB}" uniqueName="43" name="URUNTIP" queryTableFieldId="20" dataDxfId="1198"/>
    <tableColumn id="44" xr3:uid="{A4B03B87-E788-4B48-855D-604684DC83B7}" uniqueName="44" name="TAZMINATTURNEDEN" queryTableFieldId="21" dataDxfId="1197"/>
    <tableColumn id="45" xr3:uid="{BD751F0D-0BAC-486A-9AC0-34DC20B4F102}" uniqueName="45" name="TEDIYENO" queryTableFieldId="22" dataDxfId="1196"/>
    <tableColumn id="46" xr3:uid="{1E39C059-F2F7-4B00-B226-E9FA47B79226}" uniqueName="46" name="TARIFEKOD" queryTableFieldId="23" dataDxfId="119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Parameters" displayName="tblParameters" ref="A4:F61" dataDxfId="987">
  <autoFilter ref="A4:F61" xr:uid="{00000000-0009-0000-0100-000002000000}"/>
  <tableColumns count="6">
    <tableColumn id="1" xr3:uid="{00000000-0010-0000-0100-000001000000}" name="Section" dataDxfId="993"/>
    <tableColumn id="2" xr3:uid="{00000000-0010-0000-0100-000002000000}" name="Parameter" dataDxfId="992"/>
    <tableColumn id="3" xr3:uid="{00000000-0010-0000-0100-000003000000}" name="Value" dataDxfId="991"/>
    <tableColumn id="4" xr3:uid="{00000000-0010-0000-0100-000004000000}" name="Type" dataDxfId="990"/>
    <tableColumn id="5" xr3:uid="{00000000-0010-0000-0100-000005000000}" name="Description" dataDxfId="989"/>
    <tableColumn id="6" xr3:uid="{00000000-0010-0000-0100-000006000000}" name="Rationale" dataDxfId="988"/>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ColumnMap" displayName="tblColumnMap" ref="A4:J107" headerRowDxfId="1194" dataDxfId="976">
  <autoFilter ref="A4:J107" xr:uid="{00000000-0009-0000-0100-000003000000}"/>
  <tableColumns count="10">
    <tableColumn id="1" xr3:uid="{00000000-0010-0000-0200-000001000000}" name="SourceHeader" dataDxfId="986"/>
    <tableColumn id="2" xr3:uid="{00000000-0010-0000-0200-000002000000}" name="CanonicalName" dataDxfId="985"/>
    <tableColumn id="3" xr3:uid="{00000000-0010-0000-0200-000003000000}" name="ColumnID" dataDxfId="984"/>
    <tableColumn id="4" xr3:uid="{00000000-0010-0000-0200-000004000000}" name="DataType" dataDxfId="983"/>
    <tableColumn id="5" xr3:uid="{00000000-0010-0000-0200-000005000000}" name="IncludeInModel" dataDxfId="982"/>
    <tableColumn id="6" xr3:uid="{00000000-0010-0000-0200-000006000000}" name="PersonalData" dataDxfId="981"/>
    <tableColumn id="7" xr3:uid="{00000000-0010-0000-0200-000007000000}" name="Group" dataDxfId="980"/>
    <tableColumn id="8" xr3:uid="{00000000-0010-0000-0200-000008000000}" name="Notes" dataDxfId="979"/>
    <tableColumn id="9" xr3:uid="{C126BD4A-2759-451A-9527-07221627678C}" name="VerifiedBy" dataDxfId="978"/>
    <tableColumn id="10" xr3:uid="{DF751CD3-E4A2-41D8-934B-8636ED0A8CFE}" name="VerifiedOn" dataDxfId="977"/>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lDimCompany" displayName="tblDimCompany" ref="A4:G5" dataDxfId="968">
  <autoFilter ref="A4:G5" xr:uid="{00000000-0009-0000-0100-000004000000}"/>
  <tableColumns count="7">
    <tableColumn id="1" xr3:uid="{00000000-0010-0000-0300-000001000000}" name="CompanyID" dataDxfId="975"/>
    <tableColumn id="2" xr3:uid="{00000000-0010-0000-0300-000002000000}" name="CompanyName" dataDxfId="974"/>
    <tableColumn id="3" xr3:uid="{00000000-0010-0000-0300-000003000000}" name="CompanyType" dataDxfId="973"/>
    <tableColumn id="4" xr3:uid="{00000000-0010-0000-0300-000004000000}" name="ExpectedFromPeriod" dataDxfId="972"/>
    <tableColumn id="5" xr3:uid="{00000000-0010-0000-0300-000005000000}" name="ExpectedToPeriod" dataDxfId="971"/>
    <tableColumn id="6" xr3:uid="{00000000-0010-0000-0300-000006000000}" name="Notes" dataDxfId="970"/>
    <tableColumn id="7" xr3:uid="{F38139FA-4253-411B-BD97-57999044EB48}" name="SourceMode" dataDxfId="969"/>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F75239B-C341-442D-B0FD-714B797D4C78}" name="tblNilReturn" displayName="tblNilReturn" ref="I4:M5" totalsRowShown="0" headerRowDxfId="1193" dataDxfId="962">
  <autoFilter ref="I4:M5" xr:uid="{4F75239B-C341-442D-B0FD-714B797D4C78}"/>
  <tableColumns count="5">
    <tableColumn id="1" xr3:uid="{110E2255-F173-4150-A0A8-300D8E4B8F5F}" name="PeriodKey" dataDxfId="967"/>
    <tableColumn id="2" xr3:uid="{BA290649-C3D2-4446-A10B-6879A41E7ECB}" name="CompanyID" dataDxfId="966"/>
    <tableColumn id="3" xr3:uid="{F2198365-494F-426F-A61B-8AE49E35C0D1}" name="Evidence" dataDxfId="965"/>
    <tableColumn id="4" xr3:uid="{44A23EFE-9D9E-4BF9-88CA-42ADD211D0A3}" name="ConfirmedBy" dataDxfId="964"/>
    <tableColumn id="5" xr3:uid="{7D1DB197-7B4B-455D-9523-44A2F1E538FA}" name="ConfirmedOn" dataDxfId="963"/>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D228D7D-2839-4379-896B-B4F3DEF10D18}" name="DimSegment" displayName="DimSegment" ref="A23:E27" totalsRowShown="0" headerRowDxfId="1192" dataDxfId="824">
  <autoFilter ref="A23:E27" xr:uid="{8D228D7D-2839-4379-896B-B4F3DEF10D18}"/>
  <tableColumns count="5">
    <tableColumn id="1" xr3:uid="{CCE43D59-257C-4613-8EFD-A6A4CC086834}" name="Segment" dataDxfId="829"/>
    <tableColumn id="2" xr3:uid="{0A64FF60-2B60-4B1F-9341-27DB1E8B5038}" name="SegmentTR" dataDxfId="828"/>
    <tableColumn id="3" xr3:uid="{89FF3C32-8722-4375-BCF3-4412601EE22C}" name="SegmentEN" dataDxfId="827"/>
    <tableColumn id="4" xr3:uid="{ADE99A5F-CBB6-4EC7-B674-918F4AB4F9AE}" name="SortOrder" dataDxfId="826"/>
    <tableColumn id="5" xr3:uid="{20A9942F-4E53-4C26-879E-EBBA5B3ED5B4}" name="ColourHex" dataDxfId="825"/>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7966475-BCFD-47A2-898E-47A0CE8BC7D1}" name="DimPaymentNature" displayName="DimPaymentNature" ref="A30:G56" totalsRowShown="0" headerRowDxfId="1191" dataDxfId="816">
  <autoFilter ref="A30:G56" xr:uid="{C7966475-BCFD-47A2-898E-47A0CE8BC7D1}"/>
  <tableColumns count="7">
    <tableColumn id="1" xr3:uid="{5176D11B-3B1C-4329-ADF1-56855D5B2B21}" name="ReasonCode" dataDxfId="823"/>
    <tableColumn id="2" xr3:uid="{46229138-2B1B-4622-BFCF-EDB2F5AC252E}" name="PaymentNature" dataDxfId="822"/>
    <tableColumn id="3" xr3:uid="{39EE12BC-C664-4EC1-A900-83DA2422F528}" name="NatureTR" dataDxfId="821"/>
    <tableColumn id="4" xr3:uid="{5EB370A7-CEF6-4ADD-8C8F-DAC4B501C791}" name="NatureEN" dataDxfId="820"/>
    <tableColumn id="5" xr3:uid="{24314963-58A1-40B9-822B-7CAFC7FCE054}" name="Segment" dataDxfId="819"/>
    <tableColumn id="6" xr3:uid="{D4D24414-26D2-4750-A108-F6F0B66C57D4}" name="DescriptionTR" dataDxfId="818"/>
    <tableColumn id="7" xr3:uid="{95EF7B79-E86E-4986-9F8F-D368C548BE3B}" name="DescriptionEN" dataDxfId="817"/>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7C587B6D-0408-449C-A4CC-1DA4004FBC57}" name="DimBranch" displayName="DimBranch" ref="A60:I88" totalsRowShown="0" headerRowDxfId="1190" dataDxfId="806">
  <autoFilter ref="A60:I88" xr:uid="{7C587B6D-0408-449C-A4CC-1DA4004FBC57}"/>
  <tableColumns count="9">
    <tableColumn id="1" xr3:uid="{54E7BF75-8B20-4716-BCCC-3553697F8018}" name="ParentBranchCode" dataDxfId="815"/>
    <tableColumn id="2" xr3:uid="{933288C6-F945-4551-B9D6-B142D1B3D7C8}" name="ParentBranchName" dataDxfId="814"/>
    <tableColumn id="3" xr3:uid="{3B1CCFC4-482E-4B26-BA92-4F74C830894B}" name="BranchCode" dataDxfId="813"/>
    <tableColumn id="4" xr3:uid="{710015AC-DB71-4F71-8276-42F72C805F51}" name="BranchName" dataDxfId="812"/>
    <tableColumn id="5" xr3:uid="{5D20723F-A67C-4E1E-9F93-1EC63E2DE680}" name="SubBranchCode" dataDxfId="811"/>
    <tableColumn id="6" xr3:uid="{FD63333D-77C3-42E4-81E9-BD2CE9C451F8}" name="SubBranchName" dataDxfId="810"/>
    <tableColumn id="7" xr3:uid="{CE7DFB11-6F6C-4188-B386-5F10FC0F7B95}" name="BranchGroup" dataDxfId="809"/>
    <tableColumn id="8" xr3:uid="{FE6C82DD-56CA-454A-BBBB-5A15BCB6ECC5}" name="Segment" dataDxfId="808"/>
    <tableColumn id="9" xr3:uid="{440EEB78-1415-4035-9631-4325929EF33C}" name="BranchKey" dataDxfId="807">
      <calculatedColumnFormula>DimBranch[[#This Row],[ParentBranchCode]]&amp;"|"&amp;DimBranch[[#This Row],[BranchCode]]&amp;"|"&amp;DimBranch[[#This Row],[SubBranchCode]]</calculatedColumnFormula>
    </tableColumn>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51F141A1-5335-4C6D-A6F4-0B446E7B98DD}" name="DimProduct" displayName="DimProduct" ref="A92:C109" totalsRowShown="0" headerRowDxfId="1189" dataDxfId="802">
  <autoFilter ref="A92:C109" xr:uid="{51F141A1-5335-4C6D-A6F4-0B446E7B98DD}"/>
  <tableColumns count="3">
    <tableColumn id="1" xr3:uid="{35ED1B98-6936-41AE-A9A0-5B13CEE28A50}" name="ProductCode" dataDxfId="805"/>
    <tableColumn id="2" xr3:uid="{0C4865C7-6F99-4517-86B9-9FA3B1B7FACA}" name="ProductName" dataDxfId="804"/>
    <tableColumn id="3" xr3:uid="{09C3F4DE-ABD4-46C5-ACF4-A51FA6D7317E}" name="ProductType" dataDxfId="803"/>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F9DB6666-3062-45D7-B590-378E3F0866B3}" name="DimChannel" displayName="DimChannel" ref="A113:D118" totalsRowShown="0" headerRowDxfId="1188" dataDxfId="797">
  <autoFilter ref="A113:D118" xr:uid="{F9DB6666-3062-45D7-B590-378E3F0866B3}"/>
  <tableColumns count="4">
    <tableColumn id="1" xr3:uid="{D3AD9049-71AA-404A-B5E3-3463127A789B}" name="SalesChannelCode" dataDxfId="801"/>
    <tableColumn id="2" xr3:uid="{3DFF8B98-2F66-44BA-A73C-D5647570819A}" name="ChannelTR" dataDxfId="800"/>
    <tableColumn id="3" xr3:uid="{736CF916-06BD-488C-A56E-74408AFAC9EE}" name="ChannelEN" dataDxfId="799"/>
    <tableColumn id="4" xr3:uid="{87E4979C-8AB1-4D1D-A5B0-7D48C74F995F}" name="ChannelGroup" dataDxfId="798"/>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E2411EC3-B1FA-464C-A9F7-A9E6D6C6C149}" name="DimPartner" displayName="DimPartner" ref="A122:C134" totalsRowShown="0" headerRowDxfId="1187" dataDxfId="793">
  <autoFilter ref="A122:C134" xr:uid="{E2411EC3-B1FA-464C-A9F7-A9E6D6C6C149}"/>
  <tableColumns count="3">
    <tableColumn id="1" xr3:uid="{547F478E-58EE-46FC-9D39-E0148198D32F}" name="PartnerCode" dataDxfId="796"/>
    <tableColumn id="2" xr3:uid="{74186542-24E6-4B17-BE92-F3D889EEB123}" name="PartnerName" dataDxfId="795"/>
    <tableColumn id="3" xr3:uid="{5B0F734A-6BB6-4050-8CC0-B79AC5C92E47}" name="PartnerType" dataDxfId="794"/>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558D46A-8A6A-41BF-B844-68681228237D}" name="DimGeography" displayName="DimGeography" ref="A138:C219" totalsRowShown="0" headerRowDxfId="1186" dataDxfId="789">
  <autoFilter ref="A138:C219" xr:uid="{E558D46A-8A6A-41BF-B844-68681228237D}"/>
  <tableColumns count="3">
    <tableColumn id="1" xr3:uid="{5F69022B-BF67-4E9B-87E9-11A993633F7D}" name="Province" dataDxfId="792"/>
    <tableColumn id="2" xr3:uid="{6FD50E2F-8B56-41D7-B1D8-398ED35C48E5}" name="PlateCode" dataDxfId="791"/>
    <tableColumn id="3" xr3:uid="{FE3F5299-2A2C-4780-8C9C-DCED691BF06E}" name="Region" dataDxfId="790"/>
  </tableColumns>
  <tableStyleInfo name="TableStyleLight1"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45859A0-872E-42D1-9B90-572C0E4FB156}" name="DimCurrency" displayName="DimCurrency" ref="A223:E228" totalsRowShown="0" headerRowDxfId="1185" dataDxfId="783">
  <autoFilter ref="A223:E228" xr:uid="{245859A0-872E-42D1-9B90-572C0E4FB156}"/>
  <tableColumns count="5">
    <tableColumn id="1" xr3:uid="{62C08D95-6890-4AA4-A33F-1852C4483182}" name="CurrencyCode" dataDxfId="788"/>
    <tableColumn id="2" xr3:uid="{CB0DE9B0-5124-499C-8593-5926E02413CE}" name="CurrencyTR" dataDxfId="787"/>
    <tableColumn id="3" xr3:uid="{C9E5F068-4537-4570-84A3-861CAA0C5BF1}" name="CurrencyEN" dataDxfId="786"/>
    <tableColumn id="4" xr3:uid="{9F095E89-C871-4175-8256-9459910B53AC}" name="SortOrder" dataDxfId="785"/>
    <tableColumn id="5" xr3:uid="{522DC437-6F2C-4AD0-BD31-A8480096755E}" name="IsReporting" dataDxfId="784"/>
  </tableColumns>
  <tableStyleInfo name="TableStyleLight1"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2EF0E963-F033-4B61-8C4B-1886C7CC0C3B}" name="DimAgeBand" displayName="DimAgeBand" ref="A232:D238" totalsRowShown="0" headerRowDxfId="1184" dataDxfId="778">
  <autoFilter ref="A232:D238" xr:uid="{2EF0E963-F033-4B61-8C4B-1886C7CC0C3B}"/>
  <tableColumns count="4">
    <tableColumn id="1" xr3:uid="{CA2D9475-AD64-4B8F-9BE0-CE256150A5FF}" name="AgeBand" dataDxfId="782"/>
    <tableColumn id="2" xr3:uid="{D5AAC31D-C8F7-46D0-B455-E2A38569C70D}" name="SortOrder" dataDxfId="781"/>
    <tableColumn id="3" xr3:uid="{366E333B-C9BA-402B-98BF-DE676A6C520D}" name="FromAge" dataDxfId="780"/>
    <tableColumn id="4" xr3:uid="{A9203EA7-7601-4E8E-89D6-A039DB7DDE34}" name="ToAge" dataDxfId="779"/>
  </tableColumns>
  <tableStyleInfo name="TableStyleLight1"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C771FF80-4B96-4D68-BFB6-933CCF2A1FFE}" name="BandLag" displayName="BandLag" ref="A242:D251" totalsRowShown="0" headerRowDxfId="1183" dataDxfId="773">
  <autoFilter ref="A242:D251" xr:uid="{C771FF80-4B96-4D68-BFB6-933CCF2A1FFE}"/>
  <tableColumns count="4">
    <tableColumn id="1" xr3:uid="{09370BBC-5CD3-4060-9A35-CFEFAC082737}" name="LagBand" dataDxfId="777"/>
    <tableColumn id="2" xr3:uid="{153C3DCD-E5D1-4A2B-BCCD-6B49001033C4}" name="SortOrder" dataDxfId="776"/>
    <tableColumn id="3" xr3:uid="{A8CF9C42-C7A8-4DB6-B876-D5759789587A}" name="FromDays" dataDxfId="775"/>
    <tableColumn id="4" xr3:uid="{AF3C95DE-6E44-48C0-A9E9-A0BF5C8C89CB}" name="ToDays" dataDxfId="774"/>
  </tableColumns>
  <tableStyleInfo name="TableStyleLight1"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AB41EF81-42F6-4AC4-871B-40B5DF9059FB}" name="BandAmount" displayName="BandAmount" ref="A255:D265" totalsRowShown="0" headerRowDxfId="1182" dataDxfId="768">
  <autoFilter ref="A255:D265" xr:uid="{AB41EF81-42F6-4AC4-871B-40B5DF9059FB}"/>
  <tableColumns count="4">
    <tableColumn id="1" xr3:uid="{1BED1AAC-E55A-4C5B-A50F-291A941BF1A4}" name="AmountBand" dataDxfId="772"/>
    <tableColumn id="2" xr3:uid="{6F0C854C-4915-478F-B1EF-5933A0C76373}" name="SortOrder" dataDxfId="771"/>
    <tableColumn id="3" xr3:uid="{0498BCED-BCE6-407A-A06D-F4AFA0437845}" name="FromTRY" dataDxfId="770"/>
    <tableColumn id="4" xr3:uid="{6EE73F07-65F8-4326-B64A-3801603AB359}" name="ToTRY" dataDxfId="769"/>
  </tableColumns>
  <tableStyleInfo name="TableStyleLight1"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467C372-38F4-4838-B08E-7BE7F91E460D}" name="DevMonth" displayName="DevMonth" ref="A269:C330" totalsRowShown="0" headerRowDxfId="1181" dataDxfId="764">
  <autoFilter ref="A269:C330" xr:uid="{0467C372-38F4-4838-B08E-7BE7F91E460D}"/>
  <tableColumns count="3">
    <tableColumn id="1" xr3:uid="{58379749-1A65-4168-86F2-58336E99F09F}" name="DevMonth" dataDxfId="767"/>
    <tableColumn id="2" xr3:uid="{B883C362-D3DA-4334-8C02-1693103D55AB}" name="DevLabel" dataDxfId="766"/>
    <tableColumn id="3" xr3:uid="{8EE1F92A-2367-4C7E-9060-6AE206856532}" name="SortOrder" dataDxfId="765"/>
  </tableColumns>
  <tableStyleInfo name="TableStyleLight1"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35F697F-A2A7-4AAE-AA27-E5C135B26954}" name="BandPolicyAge" displayName="BandPolicyAge" ref="A334:D341" totalsRowShown="0" headerRowDxfId="1180" dataDxfId="759">
  <autoFilter ref="A334:D341" xr:uid="{035F697F-A2A7-4AAE-AA27-E5C135B26954}"/>
  <tableColumns count="4">
    <tableColumn id="1" xr3:uid="{FEF12C65-98AF-4EE1-9FE7-4E71996F6DFC}" name="PolicyAgeBand" dataDxfId="763"/>
    <tableColumn id="2" xr3:uid="{5D6AB1C5-0B85-4587-B3AE-4991DD5E50C7}" name="SortOrder" dataDxfId="762"/>
    <tableColumn id="3" xr3:uid="{B83B1C0B-6619-49C5-852F-A836B92834CD}" name="FromMonths" dataDxfId="761"/>
    <tableColumn id="4" xr3:uid="{2D200FF8-09BB-4FDD-AE68-F7CDD9DA5AAF}" name="ToMonths" dataDxfId="760"/>
  </tableColumns>
  <tableStyleInfo name="TableStyleLight1"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337482F0-15B0-4A5A-980D-AAEEF93B2A95}" name="AnParam" displayName="AnParam" ref="A345:E390" totalsRowShown="0" headerRowDxfId="1179" dataDxfId="753">
  <autoFilter ref="A345:E390" xr:uid="{337482F0-15B0-4A5A-980D-AAEEF93B2A95}"/>
  <tableColumns count="5">
    <tableColumn id="1" xr3:uid="{2AD7E80A-D643-4102-9A08-BC1656442442}" name="Param" dataDxfId="758"/>
    <tableColumn id="2" xr3:uid="{BE427F78-23ED-41DD-8F4C-76D91F081CD9}" name="Value" dataDxfId="757"/>
    <tableColumn id="3" xr3:uid="{67394075-F128-4608-AFFC-72C7572CCFB0}" name="Unit" dataDxfId="756"/>
    <tableColumn id="4" xr3:uid="{75233BEE-4BA8-4389-B788-AEB9248FD851}" name="Description" dataDxfId="755"/>
    <tableColumn id="5" xr3:uid="{C5A565FB-4AE1-44FD-9C74-53D9349B04AD}" name="Owner" dataDxfId="754"/>
  </tableColumns>
  <tableStyleInfo name="TableStyleLight1"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25752B1F-D9F0-4287-A744-62B2DE4A830A}" name="tblThreshold" displayName="tblThreshold" ref="A4:P21" totalsRowShown="0" headerRowDxfId="1178" dataDxfId="736">
  <autoFilter ref="A4:P21" xr:uid="{25752B1F-D9F0-4287-A744-62B2DE4A830A}"/>
  <tableColumns count="16">
    <tableColumn id="1" xr3:uid="{FBC8363C-DAFB-417D-89C7-ED1BC01304A7}" name="ThresholdID" dataDxfId="752"/>
    <tableColumn id="2" xr3:uid="{5A266C1C-86EA-4E8E-A3E5-8CBA6EC9BF9A}" name="KPI_ID" dataDxfId="751"/>
    <tableColumn id="3" xr3:uid="{E0218A9A-01B3-4AAF-BA32-61DA85081C33}" name="Segment" dataDxfId="750"/>
    <tableColumn id="4" xr3:uid="{384C4ED1-4206-4330-82D0-86D60B05D5A8}" name="Company" dataDxfId="749"/>
    <tableColumn id="5" xr3:uid="{D1BDF2B8-8897-448E-A7A9-C6A218EFEFEC}" name="Method" dataDxfId="748"/>
    <tableColumn id="6" xr3:uid="{5210F724-93D3-4D5F-839F-B838342F27BD}" name="Parameters" dataDxfId="747"/>
    <tableColumn id="7" xr3:uid="{E4F94D27-1743-4829-A39D-DECB834758A4}" name="WatchLevel" dataDxfId="746"/>
    <tableColumn id="8" xr3:uid="{1AAE7D34-D1EA-4CDE-B825-96D000A27862}" name="AlertLevel" dataDxfId="745"/>
    <tableColumn id="9" xr3:uid="{A08EEF1C-87A6-46EE-9CCA-9235BB830C97}" name="MinMonths" dataDxfId="744"/>
    <tableColumn id="10" xr3:uid="{A857B0BE-3BB0-468D-8DB7-32C0EA2AB6FD}" name="MinN" dataDxfId="743"/>
    <tableColumn id="11" xr3:uid="{12CD5D26-06C1-4E40-A99D-DFBBBD2FA42C}" name="Persistence" dataDxfId="742"/>
    <tableColumn id="12" xr3:uid="{5BBF9CA7-D66D-4AB0-A0B9-C7589766AF7D}" name="Rationale" dataDxfId="741"/>
    <tableColumn id="13" xr3:uid="{41FFF292-AB04-489F-AF6D-F5C91911D34D}" name="Owner" dataDxfId="740"/>
    <tableColumn id="14" xr3:uid="{8CD47206-0FA5-460F-A5B5-149869200037}" name="ApprovedBy" dataDxfId="739"/>
    <tableColumn id="15" xr3:uid="{EDC70D30-4467-4E5D-BA2B-7372DFD7892C}" name="ApprovedOn" dataDxfId="738"/>
    <tableColumn id="16" xr3:uid="{B213DBBD-A0F5-4DF3-90A5-29F5D466C26C}" name="Status" dataDxfId="737"/>
  </tableColumns>
  <tableStyleInfo name="TableStyleLight1"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5E31D5BF-A04F-4936-B8E3-21B74A9E98C3}" name="tblKPI" displayName="tblKPI" ref="A4:S74" totalsRowShown="0" headerRowDxfId="1177" dataDxfId="716">
  <autoFilter ref="A4:S74" xr:uid="{5E31D5BF-A04F-4936-B8E3-21B74A9E98C3}"/>
  <tableColumns count="19">
    <tableColumn id="1" xr3:uid="{AAEB5853-1EE0-471E-AEBD-98599E5DD96D}" name="KPI_ID" dataDxfId="735"/>
    <tableColumn id="2" xr3:uid="{D518D03A-12C1-4A48-A22B-C61CE3AF6003}" name="Family" dataDxfId="734"/>
    <tableColumn id="3" xr3:uid="{583DDB75-AE4A-45C1-AB07-A1BF666B56DF}" name="Name_TR" dataDxfId="733"/>
    <tableColumn id="4" xr3:uid="{E16BE6F8-28E8-4B76-A182-F4770FD0AA4D}" name="Name_EN" dataDxfId="732"/>
    <tableColumn id="5" xr3:uid="{5C0A78C2-A614-43F3-8ACE-28541C79E5EB}" name="Definition" dataDxfId="731"/>
    <tableColumn id="6" xr3:uid="{C93C9826-1AD2-4CE2-9548-87747CF711DA}" name="Measure" dataDxfId="730"/>
    <tableColumn id="7" xr3:uid="{2B2ABC28-B43E-4B16-8D8B-C3AA0240F1D1}" name="FieldsUsed" dataDxfId="729"/>
    <tableColumn id="8" xr3:uid="{1B03251F-45FD-4F41-974A-4FBE19B84994}" name="Segments" dataDxfId="728"/>
    <tableColumn id="9" xr3:uid="{6E752E87-9F24-40DE-A16F-71B9A3560382}" name="Unit" dataDxfId="727"/>
    <tableColumn id="10" xr3:uid="{1C941E62-B2AF-4568-BF21-C58CB0C4E756}" name="ThresholdLink" dataDxfId="726"/>
    <tableColumn id="11" xr3:uid="{BBB37482-474C-4B49-8430-EED37146C1F2}" name="HowToRead" dataDxfId="725"/>
    <tableColumn id="12" xr3:uid="{A7263544-7E58-4D56-BAEE-44B92417EA9B}" name="TypicalAction" dataDxfId="724"/>
    <tableColumn id="13" xr3:uid="{73E74443-41F1-4677-9781-5EE987649FC2}" name="Caveats" dataDxfId="723"/>
    <tableColumn id="14" xr3:uid="{74BAF7CD-2F9A-4B5D-A559-0BD5BD0C8ACA}" name="FeedDependency" dataDxfId="722"/>
    <tableColumn id="15" xr3:uid="{2C19D11F-356B-412B-9C10-0825C13F1117}" name="MinN" dataDxfId="721"/>
    <tableColumn id="16" xr3:uid="{CD20650F-F6E0-42C7-BD74-DA425520B086}" name="Owner" dataDxfId="720"/>
    <tableColumn id="17" xr3:uid="{BFB24C70-C2C6-4FD5-B9F1-EEDF1DA3DA07}" name="Version" dataDxfId="719"/>
    <tableColumn id="18" xr3:uid="{45EE4C6E-6340-4152-A41D-C4CCAC63C1AC}" name="Status" dataDxfId="718"/>
    <tableColumn id="19" xr3:uid="{5C107C73-AAD6-4E45-8046-24CB9AF66D09}" name="DAX" dataDxfId="717"/>
  </tableColumns>
  <tableStyleInfo name="TableStyleLight1"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57FEDFA-7193-4E83-A6D9-F07BF0E87731}" name="tblMethod" displayName="tblMethod" ref="A4:G13" totalsRowShown="0" headerRowDxfId="1176" dataDxfId="1175">
  <autoFilter ref="A4:G13" xr:uid="{057FEDFA-7193-4E83-A6D9-F07BF0E87731}"/>
  <tableColumns count="7">
    <tableColumn id="1" xr3:uid="{2445B0F8-7FF7-4284-A431-852DB765AC38}" name="ID" dataDxfId="1174"/>
    <tableColumn id="2" xr3:uid="{6F4A1698-139A-48DC-B02D-1D5780461D22}" name="Model" dataDxfId="1173"/>
    <tableColumn id="3" xr3:uid="{7A9CFE53-82E7-4F0C-963A-C46C20951ED6}" name="Pages" dataDxfId="1172"/>
    <tableColumn id="4" xr3:uid="{4563B787-2953-4E1D-AC50-F9A3D0949C78}" name="Status" dataDxfId="1171"/>
    <tableColumn id="5" xr3:uid="{089087D2-DC4E-4BEC-B6EB-68D3FF08FF27}" name="KeyParameter" dataDxfId="1170">
      <calculatedColumnFormula>"MinLinesForQuantile = "&amp;IFERROR(_xlfn.XLOOKUP("MinLinesForQuantile",AnParam[Param],AnParam[Value])&amp;"","(missing)")</calculatedColumnFormula>
    </tableColumn>
    <tableColumn id="6" xr3:uid="{C28585F6-8B63-4AA5-85F7-4D6E33A02DD5}" name="Card" dataDxfId="1169">
      <calculatedColumnFormula>HYPERLINK("#'Method_Cards'!B144","→ M9")</calculatedColumnFormula>
    </tableColumn>
    <tableColumn id="7" xr3:uid="{3D7140CF-DCB0-4908-9388-6188D1CE9D52}" name="Page" dataDxfId="1168">
      <calculatedColumnFormula>HYPERLINK("#'AN_Lags'!A1","→ AN_Lags")</calculatedColumnFormula>
    </tableColumn>
  </tableColumns>
  <tableStyleInfo name="TableStyleLight9"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33E8701A-0A17-4D73-9731-D05AB3B03519}" name="tblSheetMap" displayName="tblSheetMap" ref="A4:H65" totalsRowShown="0" headerRowDxfId="1167" dataDxfId="1166">
  <autoFilter ref="A4:H65" xr:uid="{33E8701A-0A17-4D73-9731-D05AB3B03519}"/>
  <tableColumns count="8">
    <tableColumn id="1" xr3:uid="{AC0DE9A1-6606-4277-B6FC-A4AB12E3ED16}" name="Sheet" dataDxfId="1165"/>
    <tableColumn id="2" xr3:uid="{0A01D821-1175-4AA4-BFAD-643329D22F2B}" name="Group" dataDxfId="1164"/>
    <tableColumn id="3" xr3:uid="{DAFF23E1-037F-48C3-8162-99F796C6A8CB}" name="Purpose" dataDxfId="1163"/>
    <tableColumn id="4" xr3:uid="{7345CB10-703B-4CEA-9C94-CE4B9C105809}" name="Audience" dataDxfId="1162">
      <calculatedColumnFormula array="1">_xlfn.LET(_xlpm.m,_xlfn.MAP(tblSheetPolicy[SheetName],_xlfn.LAMBDA(_xlpm.pt,COUNTIF(tblSheetMap[[#This Row],[Sheet]],_xlpm.pt))),IFERROR(SUBSTITUTE(INDEX(tblSheetPolicy[VisibleTo],_xlfn.XMATCH(1,_xlpm.m)),"*","Herkes / Everyone"),"(no policy row)"))</calculatedColumnFormula>
    </tableColumn>
    <tableColumn id="5" xr3:uid="{6FA2BF2A-A821-427C-8D31-948FFC4ABFBB}" name="Visibility" dataDxfId="1161">
      <calculatedColumnFormula array="1">_xlfn.LET(_xlpm.m,_xlfn.MAP(tblSheetPolicy[SheetName],_xlfn.LAMBDA(_xlpm.pt,COUNTIF(tblSheetMap[[#This Row],[Sheet]],_xlpm.pt))),IFERROR(INDEX(tblSheetPolicy[Visibility],_xlfn.XMATCH(1,_xlpm.m)),"-"))</calculatedColumnFormula>
    </tableColumn>
    <tableColumn id="6" xr3:uid="{AA83FC62-9508-4CB6-B421-42EDACDB25D8}" name="Owner" dataDxfId="1160"/>
    <tableColumn id="7" xr3:uid="{D3A13957-1E59-44E0-BEFA-F33F34A6F5AC}" name="RefreshRole" dataDxfId="1159"/>
    <tableColumn id="8" xr3:uid="{8621E98A-2BB2-4446-B039-1D6F203642CB}" name="Go" dataDxfId="1158">
      <calculatedColumnFormula>IF(ISNUMBER(FIND("*",tblSheetMap[[#This Row],[Sheet]])),"",HYPERLINK("#'"&amp;tblSheetMap[[#This Row],[Sheet]]&amp;"'!A1","→"))</calculatedColumnFormula>
    </tableColumn>
  </tableColumns>
  <tableStyleInfo name="TableStyleLight9"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blCurrencyAlias" displayName="tblCurrencyAlias" ref="A4:C17" dataDxfId="958">
  <autoFilter ref="A4:C17" xr:uid="{00000000-0009-0000-0100-000005000000}"/>
  <tableColumns count="3">
    <tableColumn id="1" xr3:uid="{00000000-0010-0000-0400-000001000000}" name="SourceValue" dataDxfId="961"/>
    <tableColumn id="2" xr3:uid="{00000000-0010-0000-0400-000002000000}" name="CurrencyCode" dataDxfId="960"/>
    <tableColumn id="3" xr3:uid="{00000000-0010-0000-0400-000003000000}" name="Notes" dataDxfId="959"/>
  </tableColumns>
  <tableStyleInfo name="TableStyleLight1"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blFXRate" displayName="tblFXRate" ref="E4:H6804" dataDxfId="953">
  <autoFilter ref="E4:H6804" xr:uid="{00000000-0009-0000-0100-000006000000}"/>
  <tableColumns count="4">
    <tableColumn id="5" xr3:uid="{00000000-0010-0000-0500-000005000000}" name="RateDate" dataDxfId="957"/>
    <tableColumn id="6" xr3:uid="{00000000-0010-0000-0500-000006000000}" name="CurrencyCode" dataDxfId="956"/>
    <tableColumn id="7" xr3:uid="{00000000-0010-0000-0500-000007000000}" name="RateToTRY" dataDxfId="955"/>
    <tableColumn id="8" xr3:uid="{00000000-0010-0000-0500-000008000000}" name="Source" dataDxfId="954"/>
  </tableColumns>
  <tableStyleInfo name="TableStyleLight1"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blRecon" displayName="tblRecon" ref="A5:K6" dataDxfId="941">
  <autoFilter ref="A5:K6" xr:uid="{00000000-0009-0000-0100-000007000000}"/>
  <tableColumns count="11">
    <tableColumn id="1" xr3:uid="{00000000-0010-0000-0600-000001000000}" name="PeriodKey" dataDxfId="952"/>
    <tableColumn id="2" xr3:uid="{00000000-0010-0000-0600-000002000000}" name="CompanyID" dataDxfId="951"/>
    <tableColumn id="3" xr3:uid="{00000000-0010-0000-0600-000003000000}" name="CurrencyCode" dataDxfId="950"/>
    <tableColumn id="4" xr3:uid="{00000000-0010-0000-0600-000004000000}" name="IndependentTotal" dataDxfId="949"/>
    <tableColumn id="5" xr3:uid="{00000000-0010-0000-0600-000005000000}" name="SourceReference" dataDxfId="948"/>
    <tableColumn id="6" xr3:uid="{00000000-0010-0000-0600-000006000000}" name="EnteredBy" dataDxfId="947"/>
    <tableColumn id="7" xr3:uid="{00000000-0010-0000-0600-000007000000}" name="Explanation" dataDxfId="946"/>
    <tableColumn id="8" xr3:uid="{00000000-0010-0000-0600-000008000000}" name="ModelTotal" dataDxfId="945">
      <calculatedColumnFormula>IF(OR(tblRecon[[#This Row],[PeriodKey]]="",tblRecon[[#This Row],[CompanyID]]="",tblRecon[[#This Row],[CurrencyCode]]=""),"",IF(cpReconBasis="NetAmount",SUMIFS(STG_Summary[NetAmount],STG_Summary[PeriodKey],tblRecon[[#This Row],[PeriodKey]],STG_Summary[CompanyID],tblRecon[[#This Row],[CompanyID]],STG_Summary[CurrencyCode],tblRecon[[#This Row],[CurrencyCode]],STG_Summary[DataSource],"&lt;&gt;ARCHIVE-SUPERSEDED"),SUMIFS(STG_Summary[GrossAmount],STG_Summary[PeriodKey],tblRecon[[#This Row],[PeriodKey]],STG_Summary[CompanyID],tblRecon[[#This Row],[CompanyID]],STG_Summary[CurrencyCode],tblRecon[[#This Row],[CurrencyCode]],STG_Summary[DataSource],"&lt;&gt;ARCHIVE-SUPERSEDED")))</calculatedColumnFormula>
    </tableColumn>
    <tableColumn id="9" xr3:uid="{00000000-0010-0000-0600-000009000000}" name="Variance" dataDxfId="944">
      <calculatedColumnFormula>IF(OR(tblRecon[[#This Row],[ModelTotal]]="",tblRecon[[#This Row],[IndependentTotal]]=""),"",tblRecon[[#This Row],[ModelTotal]]-tblRecon[[#This Row],[IndependentTotal]])</calculatedColumnFormula>
    </tableColumn>
    <tableColumn id="10" xr3:uid="{00000000-0010-0000-0600-00000A000000}" name="ToleranceApplied" dataDxfId="943">
      <calculatedColumnFormula>IF(tblRecon[[#This Row],[IndependentTotal]]="","",MAX(cpAbsTol,cpRelTol*ABS(tblRecon[[#This Row],[IndependentTotal]])))</calculatedColumnFormula>
    </tableColumn>
    <tableColumn id="11" xr3:uid="{00000000-0010-0000-0600-00000B000000}" name="Status" dataDxfId="942">
      <calculatedColumnFormula>IF(AND(tblRecon[[#This Row],[PeriodKey]]="",tblRecon[[#This Row],[CompanyID]]="",tblRecon[[#This Row],[CurrencyCode]]="",tblRecon[[#This Row],[IndependentTotal]]=""),"",IF(OR(tblRecon[[#This Row],[PeriodKey]]="",tblRecon[[#This Row],[CompanyID]]="",tblRecon[[#This Row],[CurrencyCode]]="",tblRecon[[#This Row],[IndependentTotal]]=""),"REVIEW",IF(ABS(tblRecon[[#This Row],[Variance]])&lt;=tblRecon[[#This Row],[ToleranceApplied]],"OK","REVIEW")))</calculatedColumnFormula>
    </tableColumn>
  </tableColumns>
  <tableStyleInfo name="TableStyleLight1"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blArchiveLog" displayName="tblArchiveLog" ref="A5:AD6" headerRowDxfId="1157" dataDxfId="885">
  <autoFilter ref="A5:AD6" xr:uid="{00000000-0009-0000-0100-000008000000}"/>
  <tableColumns count="30">
    <tableColumn id="1" xr3:uid="{00000000-0010-0000-0700-000001000000}" name="PeriodKey" dataDxfId="914"/>
    <tableColumn id="2" xr3:uid="{00000000-0010-0000-0700-000002000000}" name="ArchiveFile" dataDxfId="913"/>
    <tableColumn id="3" xr3:uid="{00000000-0010-0000-0700-000003000000}" name="ArchivedOn" dataDxfId="912"/>
    <tableColumn id="4" xr3:uid="{00000000-0010-0000-0700-000004000000}" name="ArchivedBy" dataDxfId="911"/>
    <tableColumn id="15" xr3:uid="{3BC026D8-DB27-4FAE-937C-635F49AD76C1}" name="PreparedBy" dataDxfId="910"/>
    <tableColumn id="5" xr3:uid="{00000000-0010-0000-0700-000005000000}" name="RecordedRows" dataDxfId="909"/>
    <tableColumn id="6" xr3:uid="{00000000-0010-0000-0700-000006000000}" name="RecordedHashTotal" dataDxfId="908"/>
    <tableColumn id="7" xr3:uid="{00000000-0010-0000-0700-000007000000}" name="RecordedGrossTRY" dataDxfId="907"/>
    <tableColumn id="8" xr3:uid="{00000000-0010-0000-0700-000008000000}" name="StatusAtClose" dataDxfId="906"/>
    <tableColumn id="16" xr3:uid="{F32A6417-653D-4FE6-8B61-BA8C8446FB02}" name="ReviewAtClose" dataDxfId="905"/>
    <tableColumn id="17" xr3:uid="{437D4ED4-57A7-49A1-8001-1542C2611412}" name="ControlsFile" dataDxfId="904"/>
    <tableColumn id="18" xr3:uid="{C2A2AF5B-5E2F-4AFC-ADE2-6DABD4C297F5}" name="ArchiveState" dataDxfId="903"/>
    <tableColumn id="19" xr3:uid="{0A359193-86B7-427A-A910-A03B27B7F70C}" name="SupersededOn" dataDxfId="902"/>
    <tableColumn id="20" xr3:uid="{26903DDC-DE24-47ED-9715-BB0702BB07D7}" name="SupersededBy" dataDxfId="901"/>
    <tableColumn id="21" xr3:uid="{6C7A2CD9-18FD-4C30-8CA4-62795052EB1E}" name="SupersedeReason" dataDxfId="900"/>
    <tableColumn id="9" xr3:uid="{00000000-0010-0000-0700-000009000000}" name="Notes" dataDxfId="884"/>
    <tableColumn id="10" xr3:uid="{00000000-0010-0000-0700-00000A000000}" name="CurrentRows" dataDxfId="899">
      <calculatedColumnFormula>IF(tblArchiveLog[[#This Row],[PeriodKey]]="","",SUMIFS(STG_Summary[LineCount],STG_Summary[PeriodKey],tblArchiveLog[[#This Row],[PeriodKey]],STG_Summary[DataSource],"&lt;&gt;ACTIVE"))</calculatedColumnFormula>
    </tableColumn>
    <tableColumn id="11" xr3:uid="{00000000-0010-0000-0700-00000B000000}" name="CurrentHashTotal" dataDxfId="898">
      <calculatedColumnFormula>IF(tblArchiveLog[[#This Row],[PeriodKey]]="","",SUMIFS(STG_Summary[GrossAmount],STG_Summary[PeriodKey],tblArchiveLog[[#This Row],[PeriodKey]],STG_Summary[DataSource],"&lt;&gt;ACTIVE"))</calculatedColumnFormula>
    </tableColumn>
    <tableColumn id="12" xr3:uid="{00000000-0010-0000-0700-00000C000000}" name="CurrentGrossTRY" dataDxfId="897">
      <calculatedColumnFormula>IF(tblArchiveLog[[#This Row],[PeriodKey]]="","",SUMIFS(STG_Summary[GrossAmountTRY],STG_Summary[PeriodKey],tblArchiveLog[[#This Row],[PeriodKey]],STG_Summary[DataSource],"&lt;&gt;ACTIVE"))</calculatedColumnFormula>
    </tableColumn>
    <tableColumn id="13" xr3:uid="{00000000-0010-0000-0700-00000D000000}" name="ArchiveFiles" dataDxfId="896">
      <calculatedColumnFormula>IF(tblArchiveLog[[#This Row],[PeriodKey]]="","",IF(COUNTIFS(STG_Summary[PeriodKey],tblArchiveLog[[#This Row],[PeriodKey]],STG_Summary[DataSource],"&lt;&gt;ACTIVE")=0,0,SUMIFS(STG_Summary[ArchiveFilesInPeriod],STG_Summary[PeriodKey],tblArchiveLog[[#This Row],[PeriodKey]],STG_Summary[DataSource],"&lt;&gt;ACTIVE")/COUNTIFS(STG_Summary[PeriodKey],tblArchiveLog[[#This Row],[PeriodKey]],STG_Summary[DataSource],"&lt;&gt;ACTIVE")))</calculatedColumnFormula>
    </tableColumn>
    <tableColumn id="14" xr3:uid="{00000000-0010-0000-0700-00000E000000}" name="IntegrityStatus" dataDxfId="895">
      <calculatedColumnFormula array="1">IF(tblArchiveLog[[#This Row],[PeriodKey]]="","",IF(tblArchiveLog[[#This Row],[ArchiveState]]="SUPERSEDED","SUPERSEDED",IF(AND(tblArchiveLog[[#This Row],[CurrentRows]]=tblArchiveLog[[#This Row],[RecordedRows]],ABS(tblArchiveLog[[#This Row],[CurrentHashTotal]]-tblArchiveLog[[#This Row],[RecordedHashTotal]])&lt;0.005,ABS(tblArchiveLog[[#This Row],[CurrentGrossTRY]]-tblArchiveLog[[#This Row],[RecordedGrossTRY]])&lt;0.005,tblArchiveLog[[#This Row],[ArchiveFiles]]=1,OR(tblArchiveLog[[#This Row],[LoadBatch]]="",AND(tblArchiveLog[[#This Row],[ModelRows]]=tblArchiveLog[[#This Row],[RecordedRows]],ABS(tblArchiveLog[[#This Row],[ModelGross]]-tblArchiveLog[[#This Row],[RecordedHashTotal]])&lt;0.005,ABS(tblArchiveLog[[#This Row],[ModelGrossTRY]]-tblArchiveLog[[#This Row],[RecordedGrossTRY]])&lt;0.005,LEFT(archChainStatus,2)="OK",LEFT(archStoreStatus,2)="OK"))),"OK","REVIEW")))</calculatedColumnFormula>
    </tableColumn>
    <tableColumn id="22" xr3:uid="{6B312F4C-6AF8-4677-BF74-23D4BC0DF446}" name="LoadBatch" dataDxfId="894"/>
    <tableColumn id="23" xr3:uid="{36E19DAD-DDA7-4F76-8A17-CBC17FBE249D}" name="RecordedDigest" dataDxfId="893"/>
    <tableColumn id="24" xr3:uid="{99883567-A63F-4D18-B0F2-02EDAE18BB41}" name="ChainHash" dataDxfId="892"/>
    <tableColumn id="25" xr3:uid="{CB4FED21-F7B0-42CC-9CB4-B5DE744F2179}" name="StoreSHA256" dataDxfId="891"/>
    <tableColumn id="26" xr3:uid="{8AED23F5-8579-4E8E-9882-9DA63C733711}" name="CurrentStoreRows" dataDxfId="890">
      <calculatedColumnFormula>IF(tblArchiveLog[[#This Row],[LoadBatch]]="","",SUMIFS(STG_StoreCheck[StoreRows],STG_StoreCheck[LoadBatch],tblArchiveLog[[#This Row],[LoadBatch]]))</calculatedColumnFormula>
    </tableColumn>
    <tableColumn id="27" xr3:uid="{4DF28FE6-2B96-4F1A-9272-A348CB3A2AC1}" name="CurrentDigest" dataDxfId="889">
      <calculatedColumnFormula>IF(tblArchiveLog[[#This Row],[LoadBatch]]="","",_xlfn.XLOOKUP(tblArchiveLog[[#This Row],[LoadBatch]],STG_StoreCheck[LoadBatch],STG_StoreCheck[StoreDigest],""))</calculatedColumnFormula>
    </tableColumn>
    <tableColumn id="28" xr3:uid="{478FE024-1080-4983-8204-34406D41AA05}" name="ModelRows" dataDxfId="888">
      <calculatedColumnFormula>IF(OR(tblArchiveLog[[#This Row],[PeriodKey]]="",tblArchiveLog[[#This Row],[ArchiveState]]&lt;&gt;"CURRENT"),"",IFERROR(GETPIVOTDATA("[Measures].[Store Rows]",STG_Store!$BO$5,"[DimDate].[PeriodKey]","[DimDate].[PeriodKey].&amp;["&amp;tblArchiveLog[[#This Row],[PeriodKey]]&amp;"]"),0))</calculatedColumnFormula>
    </tableColumn>
    <tableColumn id="29" xr3:uid="{6CDA7E4F-3770-4D9E-A719-684F90B82D27}" name="ModelGross" dataDxfId="887">
      <calculatedColumnFormula>IF(OR(tblArchiveLog[[#This Row],[PeriodKey]]="",tblArchiveLog[[#This Row],[ArchiveState]]&lt;&gt;"CURRENT"),"",IFERROR(GETPIVOTDATA("[Measures].[Store Gross]",STG_Store!$BO$5,"[DimDate].[PeriodKey]","[DimDate].[PeriodKey].&amp;["&amp;tblArchiveLog[[#This Row],[PeriodKey]]&amp;"]"),0))</calculatedColumnFormula>
    </tableColumn>
    <tableColumn id="30" xr3:uid="{335D4001-A331-42C4-A813-9F281E79EBB1}" name="ModelGrossTRY" dataDxfId="886">
      <calculatedColumnFormula>IF(OR(tblArchiveLog[[#This Row],[PeriodKey]]="",tblArchiveLog[[#This Row],[ArchiveState]]&lt;&gt;"CURRENT"),"",IFERROR(GETPIVOTDATA("[Measures].[Store Gross TRY]",STG_Store!$BO$5,"[DimDate].[PeriodKey]","[DimDate].[PeriodKey].&amp;["&amp;tblArchiveLog[[#This Row],[PeriodKey]]&amp;"]"),0))</calculatedColumnFormula>
    </tableColumn>
  </tableColumns>
  <tableStyleInfo name="TableStyleLight1"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89364BA-47C6-4A3C-AFCC-01A0AC0763B6}" name="tblSignOff" displayName="tblSignOff" ref="A4:P5" totalsRowShown="0" headerRowDxfId="1156" dataDxfId="867">
  <autoFilter ref="A4:P5" xr:uid="{C89364BA-47C6-4A3C-AFCC-01A0AC0763B6}"/>
  <tableColumns count="16">
    <tableColumn id="1" xr3:uid="{8C34492B-E65F-4D6D-B9A3-B5F92BB90EA8}" name="SignOffNo" dataDxfId="883"/>
    <tableColumn id="2" xr3:uid="{C841B16E-CBF3-4F6F-A09A-6F3AC50CB023}" name="PeriodKey" dataDxfId="882"/>
    <tableColumn id="3" xr3:uid="{2652A48E-0E93-4FD8-B5BB-BA2AA273C789}" name="Stage" dataDxfId="881"/>
    <tableColumn id="4" xr3:uid="{839BEA28-3E68-4879-B350-DFC20FBE2BF9}" name="LogonUser" dataDxfId="880"/>
    <tableColumn id="5" xr3:uid="{A81C00DE-C688-4108-B4AE-EC8A30754A7A}" name="ExcelUser" dataDxfId="879"/>
    <tableColumn id="6" xr3:uid="{730757B6-5706-413D-8A9B-3C89A1ED0A20}" name="Machine" dataDxfId="878"/>
    <tableColumn id="7" xr3:uid="{827A8EE9-D12D-4289-8DC2-86E2B010ED2F}" name="SignedAt" dataDxfId="877"/>
    <tableColumn id="8" xr3:uid="{9A9B674F-BBA0-41B1-8959-7FB285B3DE3E}" name="OverallStatus" dataDxfId="876"/>
    <tableColumn id="9" xr3:uid="{2FD06546-6BB1-459A-B06F-754AAE06AC46}" name="ReviewCount" dataDxfId="875"/>
    <tableColumn id="10" xr3:uid="{7B531600-DAB8-4B96-A90F-8377F8D0D176}" name="UnexplainedCount" dataDxfId="874"/>
    <tableColumn id="11" xr3:uid="{5637D069-88EC-4C49-8C2F-3C81F1D14318}" name="ActiveRows" dataDxfId="873"/>
    <tableColumn id="12" xr3:uid="{C57F9CFE-BF87-4EB0-89DB-CD55BDA790AD}" name="HashTotal" dataDxfId="872"/>
    <tableColumn id="13" xr3:uid="{9194BC05-5624-4119-B83A-2DB53D07E39F}" name="GrossTRY" dataDxfId="871"/>
    <tableColumn id="14" xr3:uid="{1D15F575-7E47-4556-ABEA-FD6F415FB75A}" name="StagingRefreshedAt" dataDxfId="870"/>
    <tableColumn id="15" xr3:uid="{1558C6B9-939C-458B-ABF3-DC14363D23A2}" name="FourEyes" dataDxfId="869"/>
    <tableColumn id="16" xr3:uid="{1907D1C9-E40A-444C-A2F2-B0AC5FB965DF}" name="Comment" dataDxfId="868"/>
  </tableColumns>
  <tableStyleInfo name="TableStyleLight1"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74B9411-0C16-4A51-89FE-5A6DBC873910}" name="tblDecision" displayName="tblDecision" ref="A4:I65" totalsRowShown="0" headerRowDxfId="1155" dataDxfId="931">
  <autoFilter ref="A4:I65" xr:uid="{674B9411-0C16-4A51-89FE-5A6DBC873910}"/>
  <tableColumns count="9">
    <tableColumn id="1" xr3:uid="{329EC9FB-4D10-417B-A1ED-14BE1E640B23}" name="ID" dataDxfId="940"/>
    <tableColumn id="2" xr3:uid="{D31B6876-6913-47F3-9196-0E4756843C1F}" name="Statement" dataDxfId="939"/>
    <tableColumn id="3" xr3:uid="{6A442AD8-C8C1-4D4F-8D09-593153445E41}" name="Category" dataDxfId="938"/>
    <tableColumn id="4" xr3:uid="{6557B493-5B56-4066-92C4-7549E7BC0595}" name="Owner" dataDxfId="937"/>
    <tableColumn id="5" xr3:uid="{5818F540-3399-4DC7-86A7-FED4688AE48B}" name="Status" dataDxfId="936"/>
    <tableColumn id="6" xr3:uid="{63E0B443-40AC-4FF4-8F09-87B3907F57ED}" name="Evidence" dataDxfId="935"/>
    <tableColumn id="7" xr3:uid="{A080CB46-4CB4-4F56-91B9-2F86D95B7656}" name="SignOffDate" dataDxfId="934"/>
    <tableColumn id="8" xr3:uid="{722C1924-543E-4A08-8141-B23F5753471B}" name="LinkedParameter" dataDxfId="933"/>
    <tableColumn id="9" xr3:uid="{02344D61-C5DC-46C6-B1D4-29C587E3DF2E}" name="LinkedCheck" dataDxfId="932"/>
  </tableColumns>
  <tableStyleInfo name="TableStyleLight1"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35D40C0-6E25-4E65-B8B0-90F67871EA18}" name="tblContract" displayName="tblContract" ref="A4:G190" totalsRowShown="0" headerRowDxfId="1154" dataDxfId="1153">
  <autoFilter ref="A4:G190" xr:uid="{935D40C0-6E25-4E65-B8B0-90F67871EA18}"/>
  <tableColumns count="7">
    <tableColumn id="1" xr3:uid="{D84378E3-C8E1-486D-9025-181A3BD19DBA}" name="ObjectType" dataDxfId="1152"/>
    <tableColumn id="2" xr3:uid="{D0F6131F-3BA9-4421-9749-7149AD60264B}" name="Name" dataDxfId="1151"/>
    <tableColumn id="3" xr3:uid="{DF8BC1FE-A433-4C53-A244-586ADAA4C640}" name="Members" dataDxfId="1150"/>
    <tableColumn id="4" xr3:uid="{DC741A06-A8D3-4EF6-ACC5-AF783E7B38EB}" name="DataType" dataDxfId="1149"/>
    <tableColumn id="5" xr3:uid="{6A1D91D2-ED8B-49EE-860C-5F9811234D5F}" name="Direction" dataDxfId="1148"/>
    <tableColumn id="6" xr3:uid="{CEC35EE5-91BA-4CDE-8B00-80E26C06FBA9}" name="Stability" dataDxfId="1147"/>
    <tableColumn id="7" xr3:uid="{DCC37627-5BD8-4A2D-8B94-6465E2F8DF61}" name="Description" dataDxfId="1146"/>
  </tableColumns>
  <tableStyleInfo name="TableStyleLight1"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B99B517C-A365-46B4-BBDC-5A3003F89D63}" name="tblChangelog" displayName="tblChangelog" ref="A4:G9" totalsRowShown="0" headerRowDxfId="1145" dataDxfId="830">
  <autoFilter ref="A4:G9" xr:uid="{B99B517C-A365-46B4-BBDC-5A3003F89D63}"/>
  <tableColumns count="7">
    <tableColumn id="1" xr3:uid="{3CD087F4-023F-485A-9C90-23850F016729}" name="Version" dataDxfId="837"/>
    <tableColumn id="2" xr3:uid="{96D9DE59-0A4D-4B50-9868-9795774D6C65}" name="Date" dataDxfId="836"/>
    <tableColumn id="3" xr3:uid="{5CB6DD83-AB9F-416B-8E10-01A82366E852}" name="Author" dataDxfId="835"/>
    <tableColumn id="4" xr3:uid="{CE9981FA-0BF1-4F47-96E9-1EB42E1FF2F7}" name="What" dataDxfId="834"/>
    <tableColumn id="5" xr3:uid="{876F1FF9-21D3-42BF-A41D-D5B80D68E075}" name="Why" dataDxfId="833"/>
    <tableColumn id="6" xr3:uid="{CC145A97-3E9B-48BE-90F7-1419C481A7A8}" name="Components" dataDxfId="832"/>
    <tableColumn id="7" xr3:uid="{16DC7638-0386-4A75-9C80-58FDDD44FA2D}" name="BreakingChanges" dataDxfId="831"/>
  </tableColumns>
  <tableStyleInfo name="TableStyleLight1"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FF275BA-A0CE-4682-89E6-D5A3B7AAA49D}" name="tblSheetPolicy" displayName="tblSheetPolicy" ref="A4:H45" totalsRowShown="0" headerRowDxfId="1144" dataDxfId="858">
  <autoFilter ref="A4:H45" xr:uid="{1FF275BA-A0CE-4682-89E6-D5A3B7AAA49D}"/>
  <tableColumns count="8">
    <tableColumn id="1" xr3:uid="{45EDF005-686E-4A49-9F20-E19F7B2FF56F}" name="SheetName" dataDxfId="866"/>
    <tableColumn id="2" xr3:uid="{B9962A5B-41EE-469D-85DC-7740D120E79A}" name="Visibility" dataDxfId="865"/>
    <tableColumn id="3" xr3:uid="{35CB0B70-AF6D-40C1-8808-80B34690BAE7}" name="Protect" dataDxfId="864"/>
    <tableColumn id="4" xr3:uid="{824400CA-1D3C-4F72-9C33-C52A92DADE13}" name="AllowPivots" dataDxfId="863"/>
    <tableColumn id="5" xr3:uid="{15FB2B6E-DF95-4D2E-9A4A-E1AD54482406}" name="ShowWithStaging" dataDxfId="862"/>
    <tableColumn id="7" xr3:uid="{6858682E-538F-46A3-B463-E0FD677BB7FA}" name="VisibleTo" dataDxfId="861"/>
    <tableColumn id="8" xr3:uid="{8069A7C0-54EA-428D-A16D-32045118CC0B}" name="EditPermission" dataDxfId="860"/>
    <tableColumn id="6" xr3:uid="{1CACC951-5D36-4477-9C85-F89B4001CC46}" name="Notes" dataDxfId="859"/>
  </tableColumns>
  <tableStyleInfo name="TableStyleLight1"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FA443A0-76E4-4076-BE16-89B7836218A3}" name="tblAuditScope" displayName="tblAuditScope" ref="J4:N38" totalsRowShown="0" headerRowDxfId="1143" dataDxfId="852">
  <autoFilter ref="J4:N38" xr:uid="{FFA443A0-76E4-4076-BE16-89B7836218A3}"/>
  <tableColumns count="5">
    <tableColumn id="1" xr3:uid="{28AFD22A-57EE-4FF0-967F-9F178DC5C382}" name="TableName" dataDxfId="857"/>
    <tableColumn id="2" xr3:uid="{D62815F8-D953-4123-89B3-E44AF601EB0B}" name="KeyColumns" dataDxfId="856"/>
    <tableColumn id="4" xr3:uid="{2033CB12-6096-4733-8B02-3A085A7B2B62}" name="EditPermission" dataDxfId="855"/>
    <tableColumn id="5" xr3:uid="{A58C8918-79B5-447E-B09F-CD0BD5301025}" name="ColumnPermissions" dataDxfId="854"/>
    <tableColumn id="3" xr3:uid="{3E54DF6F-D515-4BD1-9890-F066824A3424}" name="Notes" dataDxfId="853"/>
  </tableColumns>
  <tableStyleInfo name="TableStyleLight1"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12E1832B-EAC9-4519-AF4D-6EDED346FA3A}" name="tblKPICaveat" displayName="tblKPICaveat" ref="P4:R16" totalsRowShown="0" headerRowDxfId="1142" dataDxfId="848">
  <autoFilter ref="P4:R16" xr:uid="{12E1832B-EAC9-4519-AF4D-6EDED346FA3A}"/>
  <tableColumns count="3">
    <tableColumn id="1" xr3:uid="{44526A53-8D27-494A-A437-D692F20FF9AE}" name="KPI" dataDxfId="851"/>
    <tableColumn id="2" xr3:uid="{1ACA80B5-A946-4DD8-A1B4-B5EA12CE1567}" name="CheckID" dataDxfId="850"/>
    <tableColumn id="3" xr3:uid="{186BF01A-6DC6-4978-8AC6-AD67687D91E7}" name="Caveat" dataDxfId="849"/>
  </tableColumns>
  <tableStyleInfo name="TableStyleLight1"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27E1025-129B-49AA-99B8-25C28AAC43C2}" name="tblRefreshPlan" displayName="tblRefreshPlan" ref="T4:W42" totalsRowShown="0" headerRowDxfId="1141" dataDxfId="843">
  <autoFilter ref="T4:W42" xr:uid="{B27E1025-129B-49AA-99B8-25C28AAC43C2}"/>
  <tableColumns count="4">
    <tableColumn id="1" xr3:uid="{CF22E756-1B8B-459D-8A7B-FCBFE8C5352E}" name="Order" dataDxfId="847"/>
    <tableColumn id="2" xr3:uid="{DA7F25D2-910D-4489-A740-9D538D78F0CF}" name="Connection" dataDxfId="846"/>
    <tableColumn id="3" xr3:uid="{255D591D-B874-4285-B92D-BE19AE0CFCD1}" name="Role" dataDxfId="845"/>
    <tableColumn id="4" xr3:uid="{81C86E4D-92EA-44A9-99EE-5B06D8EB75C0}" name="Notes" dataDxfId="844"/>
  </tableColumns>
  <tableStyleInfo name="TableStyleLight1"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56A3372-00CE-45C3-A84F-9DD4CC6B81BA}" name="tblUIText" displayName="tblUIText" ref="AC4:AF503" totalsRowShown="0" headerRowDxfId="1140" dataDxfId="838">
  <autoFilter ref="AC4:AF503" xr:uid="{956A3372-00CE-45C3-A84F-9DD4CC6B81BA}"/>
  <tableColumns count="4">
    <tableColumn id="1" xr3:uid="{C1B6D324-9E59-48C7-9E56-10BA559F70E3}" name="Key" dataDxfId="842"/>
    <tableColumn id="2" xr3:uid="{011E2196-4B46-41B9-9889-3ED583EFD828}" name="TR" dataDxfId="841"/>
    <tableColumn id="3" xr3:uid="{3836FD76-4026-4586-BB32-F30D0B4B761A}" name="EN" dataDxfId="840"/>
    <tableColumn id="4" xr3:uid="{0EFAAA5F-2909-4EFD-A110-B29DCD9CF57E}" name="Text" dataDxfId="839">
      <calculatedColumnFormula>tblUIText[[#This Row],[TR]]&amp;CHAR(10)&amp;tblUIText[[#This Row],[EN]]</calculatedColumnFormula>
    </tableColumn>
  </tableColumns>
  <tableStyleInfo name="TableStyleLight1"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AAA0E90-03F4-4FA0-B74C-65DE9362E100}" name="tblRefreshLog" displayName="tblRefreshLog" ref="A4:O5" totalsRowShown="0" headerRowDxfId="1139" dataDxfId="1138">
  <autoFilter ref="A4:O5" xr:uid="{DAAA0E90-03F4-4FA0-B74C-65DE9362E100}"/>
  <tableColumns count="15">
    <tableColumn id="1" xr3:uid="{A6B1819F-1F28-4A00-8F8D-B174CC38969C}" name="RefreshNo" dataDxfId="1137"/>
    <tableColumn id="2" xr3:uid="{6D70A76B-6C36-4B57-87B0-1B4AF0AE85C7}" name="LoggedAt" dataDxfId="1136"/>
    <tableColumn id="3" xr3:uid="{582CD1A4-DB13-49AB-9E81-3D3924EDB041}" name="StagingRefreshedAt" dataDxfId="1135"/>
    <tableColumn id="4" xr3:uid="{2C8060E4-A995-4F4B-991F-C5C1119ED975}" name="ActivePeriod" dataDxfId="1134"/>
    <tableColumn id="6" xr3:uid="{C5D4BD5B-47A7-4DDE-A8B7-6739115EA301}" name="SourceLocation" dataDxfId="1133"/>
    <tableColumn id="7" xr3:uid="{407EDD4C-C04A-414D-A8FB-5111B0EB4F60}" name="FilesRead" dataDxfId="1132"/>
    <tableColumn id="8" xr3:uid="{8476A37B-F8EE-4E3B-AB6D-23C9064C95D1}" name="FileList" dataDxfId="1131"/>
    <tableColumn id="9" xr3:uid="{8F6E48AC-1FDA-4601-A722-9DB7FAF91790}" name="ActiveRows" dataDxfId="1130"/>
    <tableColumn id="10" xr3:uid="{F1E4BDBE-823A-42EE-9FE2-27BD5AEF2E15}" name="HashTotal" dataDxfId="1129"/>
    <tableColumn id="11" xr3:uid="{E3952384-BE9D-45A3-99B7-E7DE61C3E87D}" name="GrossTRY" dataDxfId="1128"/>
    <tableColumn id="12" xr3:uid="{ADFD2854-5832-47C0-9ACA-7BC47EF04DB1}" name="OverallStatus" dataDxfId="1127"/>
    <tableColumn id="13" xr3:uid="{9ACCA226-D866-46FE-B51B-59172BE921D3}" name="ReviewCount" dataDxfId="1126"/>
    <tableColumn id="14" xr3:uid="{9875754B-BB52-4B6B-AA82-A0F3BE5AF223}" name="FXBulletinsStored" dataDxfId="1125"/>
    <tableColumn id="15" xr3:uid="{98C64A90-9C21-424C-B739-69B48795D010}" name="LogonUser" dataDxfId="1124"/>
    <tableColumn id="16" xr3:uid="{32DEB99F-1689-43C3-AF0E-56D3A97CDBC1}" name="DurationSec" dataDxfId="1123"/>
  </tableColumns>
  <tableStyleInfo name="TableStyleLight1" showFirstColumn="0" showLastColumn="0" showRowStripes="0"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94FAF31-99F8-4ACD-963D-E1C7AF681630}" name="STG_Refresh" displayName="STG_Refresh" ref="A4:F5" tableType="queryTable" insertRow="1" totalsRowShown="0">
  <autoFilter ref="A4:F5" xr:uid="{094FAF31-99F8-4ACD-963D-E1C7AF681630}"/>
  <tableColumns count="6">
    <tableColumn id="7" xr3:uid="{8B3A9DDA-5942-4FEC-B213-EBD389862E5B}" uniqueName="7" name="RefreshedAt" queryTableFieldId="1" dataDxfId="679"/>
    <tableColumn id="9" xr3:uid="{C770AECE-5387-480E-8448-363BBCCA5FC5}" uniqueName="9" name="ActivePeriod" queryTableFieldId="3" dataDxfId="678"/>
    <tableColumn id="2" xr3:uid="{0CC7BE65-1290-4C98-A814-5F708C31BAFD}" uniqueName="2" name="SourceLocation" queryTableFieldId="8"/>
    <tableColumn id="3" xr3:uid="{4935425D-1F7D-4121-8D54-4B8D5907B14C}" uniqueName="3" name="FilesRead" queryTableFieldId="9"/>
    <tableColumn id="4" xr3:uid="{7AFAFC99-B26E-44D0-9BE1-BF9AFAA01835}" uniqueName="4" name="FileList" queryTableFieldId="10"/>
    <tableColumn id="12" xr3:uid="{D547F611-9DCF-450D-B029-ADA9934E30F9}" uniqueName="12" name="SourceCulture" queryTableFieldId="6"/>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352D048-BB48-4B3D-877A-674A1A35921E}" name="STG_Files" displayName="STG_Files" ref="A4:K5" tableType="queryTable" insertRow="1" totalsRowShown="0">
  <autoFilter ref="A4:K5" xr:uid="{1352D048-BB48-4B3D-877A-674A1A35921E}"/>
  <tableColumns count="11">
    <tableColumn id="10" xr3:uid="{0E560085-0C60-4375-831F-9A02BFEBBF1F}" uniqueName="10" name="FileName" queryTableFieldId="1"/>
    <tableColumn id="11" xr3:uid="{62DB6AD2-8845-4379-87E1-4104B9D01646}" uniqueName="11" name="FolderPath" queryTableFieldId="2"/>
    <tableColumn id="12" xr3:uid="{9E34B1BF-08F2-4900-8797-47B7B1752973}" uniqueName="12" name="DateModified" queryTableFieldId="3" dataDxfId="677"/>
    <tableColumn id="13" xr3:uid="{07E38994-2C0A-4C1D-998E-795E32D26DA7}" uniqueName="13" name="MatchStatus" queryTableFieldId="4"/>
    <tableColumn id="14" xr3:uid="{FB033954-C714-4E47-801F-A5A37482A6C9}" uniqueName="14" name="Reason" queryTableFieldId="5"/>
    <tableColumn id="15" xr3:uid="{00D323D2-6D01-4F9E-888C-8985082B64D6}" uniqueName="15" name="CompanyID" queryTableFieldId="6"/>
    <tableColumn id="16" xr3:uid="{DD9261E4-A07B-407C-8C90-A76D8756AB83}" uniqueName="16" name="PeriodKey" queryTableFieldId="7" dataDxfId="676"/>
    <tableColumn id="17" xr3:uid="{A98404DC-EE25-48DF-BECE-7C2D404E8EF6}" uniqueName="17" name="IsActivePeriod" queryTableFieldId="8"/>
    <tableColumn id="18" xr3:uid="{A93FFF19-A9ED-4DBB-9313-11AD646A43FB}" uniqueName="18" name="FilesForCompanyPeriod" queryTableFieldId="9"/>
    <tableColumn id="1" xr3:uid="{80E8954B-4302-4CA2-8DB5-90205E3404C4}" uniqueName="1" name="FileMode" queryTableFieldId="10" dataDxfId="1122"/>
    <tableColumn id="2" xr3:uid="{84332385-4721-4425-B3D4-48D2ADE34242}" uniqueName="2" name="DeliveryCheck" queryTableFieldId="11" dataDxfId="1121"/>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E5FA87D5-A937-43C3-8B65-8E887CF2AD59}" name="STG_Rejected" displayName="STG_Rejected" ref="M4:S5" tableType="queryTable" insertRow="1" totalsRowShown="0">
  <autoFilter ref="M4:S5" xr:uid="{E5FA87D5-A937-43C3-8B65-8E887CF2AD59}"/>
  <tableColumns count="7">
    <tableColumn id="8" xr3:uid="{130785EE-CAC1-4974-BA06-E2E1BE400478}" uniqueName="8" name="FileName" queryTableFieldId="1"/>
    <tableColumn id="9" xr3:uid="{2624E388-8452-463B-B2E3-36F2A587F32A}" uniqueName="9" name="CompanyID" queryTableFieldId="2"/>
    <tableColumn id="10" xr3:uid="{97B128C5-DB9C-4918-93B1-7A1472DB3D2A}" uniqueName="10" name="PeriodKey" queryTableFieldId="3"/>
    <tableColumn id="11" xr3:uid="{1F58D73F-8A46-4156-8151-2DE37C7D6E51}" uniqueName="11" name="Rule" queryTableFieldId="4"/>
    <tableColumn id="12" xr3:uid="{8D39A123-6C40-49D3-B800-27B5E37862F5}" uniqueName="12" name="Lines" queryTableFieldId="5"/>
    <tableColumn id="13" xr3:uid="{A3942E86-D97E-4035-A9BC-25F4ED291972}" uniqueName="13" name="Reason" queryTableFieldId="6"/>
    <tableColumn id="14" xr3:uid="{6AF3E5B0-1D40-4322-8115-6317974B8326}" uniqueName="14" name="Action" queryTableFieldId="7"/>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51DCE8A-4607-4896-B44B-23104279590D}" name="STG_ActiveFact" displayName="STG_ActiveFact" ref="A4:CE5" tableType="queryTable" insertRow="1" totalsRowShown="0">
  <autoFilter ref="A4:CE5" xr:uid="{F51DCE8A-4607-4896-B44B-23104279590D}"/>
  <tableColumns count="83">
    <tableColumn id="44" xr3:uid="{5138449E-6166-4772-8C79-1C5EE98BCA73}" uniqueName="44" name="PaymentLineID" queryTableFieldId="1"/>
    <tableColumn id="45" xr3:uid="{473C1255-BBA0-486C-9B7E-83A9D079C49D}" uniqueName="45" name="CompanyID" queryTableFieldId="2"/>
    <tableColumn id="46" xr3:uid="{2858C9D2-F85F-4C74-8F35-A987CB8839C1}" uniqueName="46" name="PeriodKey" queryTableFieldId="3" dataDxfId="698"/>
    <tableColumn id="47" xr3:uid="{F0ABA87C-FD21-4554-8496-F0472EE6164F}" uniqueName="47" name="PeriodDate" queryTableFieldId="4" dataDxfId="697"/>
    <tableColumn id="48" xr3:uid="{EFB2DA65-0968-41A1-BDFB-CEFC5834CC5A}" uniqueName="48" name="DataSource" queryTableFieldId="5"/>
    <tableColumn id="49" xr3:uid="{5338061A-1C5B-43F2-BBD3-A74FE4392975}" uniqueName="49" name="SourceFile" queryTableFieldId="6"/>
    <tableColumn id="50" xr3:uid="{98FF39F4-C5A2-4FC9-9BF0-66F17FCAB91F}" uniqueName="50" name="SourceRowNo" queryTableFieldId="7"/>
    <tableColumn id="51" xr3:uid="{DC2966DC-BB1A-4E6E-8A5A-47DAF4AAA889}" uniqueName="51" name="ArchiveFile" queryTableFieldId="8"/>
    <tableColumn id="52" xr3:uid="{FDA588C1-DC7F-47E2-9344-9477C0A1F050}" uniqueName="52" name="CaseNo" queryTableFieldId="9"/>
    <tableColumn id="53" xr3:uid="{876E9462-0603-4C6D-8922-6BD65D79F0CE}" uniqueName="53" name="PaymentDate" queryTableFieldId="10" dataDxfId="696"/>
    <tableColumn id="54" xr3:uid="{A6C37067-C79F-4996-85BA-4B675A6F8519}" uniqueName="54" name="DecisionDate" queryTableFieldId="11" dataDxfId="695"/>
    <tableColumn id="55" xr3:uid="{18C2FF35-53FC-42FD-8171-CDA802CE2272}" uniqueName="55" name="LossDate" queryTableFieldId="12" dataDxfId="694"/>
    <tableColumn id="56" xr3:uid="{B2B61AEC-207B-421B-8E5D-92528AE85756}" uniqueName="56" name="NotificationDate" queryTableFieldId="13" dataDxfId="693"/>
    <tableColumn id="57" xr3:uid="{D793C4D3-6222-41B6-BC07-6340F2468120}" uniqueName="57" name="ProductCode" queryTableFieldId="14"/>
    <tableColumn id="4" xr3:uid="{B2A3C362-F7AA-4F38-A3A9-395E87AACA47}" uniqueName="4" name="SubBranchName" queryTableFieldId="50" dataDxfId="1120"/>
    <tableColumn id="5" xr3:uid="{82FC203F-3AD0-4AD8-9514-953A5B93486E}" uniqueName="5" name="SubBranchCode" queryTableFieldId="51" dataDxfId="1119"/>
    <tableColumn id="58" xr3:uid="{256451DE-9FA1-4C2C-B3EC-6D2BB23C3A65}" uniqueName="58" name="LossCause" queryTableFieldId="15"/>
    <tableColumn id="59" xr3:uid="{05B7348D-8C5F-4267-9983-727EE76ECF97}" uniqueName="59" name="GrossAmount" queryTableFieldId="16" dataDxfId="692"/>
    <tableColumn id="60" xr3:uid="{F47A9C0E-EC41-4F1A-BAD0-9065D53A3618}" uniqueName="60" name="CurrencyCode" queryTableFieldId="17"/>
    <tableColumn id="6" xr3:uid="{28DB571C-B27D-4AAD-9DDE-BF17B4E2D22C}" uniqueName="6" name="DocsCompleteDate" queryTableFieldId="52" dataDxfId="691"/>
    <tableColumn id="7" xr3:uid="{F8ADBA4B-221D-4A21-A305-3F3CB2B95933}" uniqueName="7" name="InitialReserve" queryTableFieldId="53"/>
    <tableColumn id="8" xr3:uid="{6810A9A6-64C7-4E37-81D1-64EB9D932F2A}" uniqueName="8" name="CoverAmount" queryTableFieldId="54"/>
    <tableColumn id="9" xr3:uid="{709BE191-BB9D-464A-BFC3-15DAD01F87C0}" uniqueName="9" name="ApprovalDate" queryTableFieldId="55" dataDxfId="690"/>
    <tableColumn id="61" xr3:uid="{3670A5D6-5B65-43E4-A5A9-50CFBD48EA3B}" uniqueName="61" name="NetAmount" queryTableFieldId="18" dataDxfId="689"/>
    <tableColumn id="62" xr3:uid="{005160E4-4D60-4596-9744-9B0955444E90}" uniqueName="62" name="ProductName" queryTableFieldId="19"/>
    <tableColumn id="63" xr3:uid="{415A17D4-E664-4B95-90E7-E5D681A5DC1C}" uniqueName="63" name="CaseStatus" queryTableFieldId="20"/>
    <tableColumn id="64" xr3:uid="{59A0D7CF-C23F-4255-81F3-F8FF692D5C91}" uniqueName="64" name="CoverCode" queryTableFieldId="21"/>
    <tableColumn id="65" xr3:uid="{4278628F-8CC6-4A72-A379-95F1F57B69C4}" uniqueName="65" name="InstallmentSeq" queryTableFieldId="22"/>
    <tableColumn id="10" xr3:uid="{52713A0C-9041-4879-BD65-C1315BFFD162}" uniqueName="10" name="BranchCode" queryTableFieldId="56" dataDxfId="1118"/>
    <tableColumn id="11" xr3:uid="{CB77D83B-3155-4E1B-920A-4C6401B95E9E}" uniqueName="11" name="NotificationChannel" queryTableFieldId="57" dataDxfId="1117"/>
    <tableColumn id="12" xr3:uid="{781356E1-692B-4B5B-8F5C-E66410A2AE1D}" uniqueName="12" name="PartnerCode" queryTableFieldId="58" dataDxfId="1116"/>
    <tableColumn id="13" xr3:uid="{F1B66B15-0E39-4FD3-9941-54BEE02FE44A}" uniqueName="13" name="RepaymentAmount" queryTableFieldId="59"/>
    <tableColumn id="14" xr3:uid="{82F6D244-32FF-491B-8F61-1DC70ABA85C1}" uniqueName="14" name="LineOfBusinessCode" queryTableFieldId="60" dataDxfId="1115"/>
    <tableColumn id="15" xr3:uid="{EDF5076F-8C93-429D-98D5-A2B22F179792}" uniqueName="15" name="PlannedPaymentDate" queryTableFieldId="61" dataDxfId="688"/>
    <tableColumn id="16" xr3:uid="{90574ADD-AF82-40E1-BA64-7A404582AAFF}" uniqueName="16" name="TotalSumInsured" queryTableFieldId="62"/>
    <tableColumn id="17" xr3:uid="{09E9EE90-3E2F-4308-8F0A-9ED523B11CAE}" uniqueName="17" name="ParentBranchName" queryTableFieldId="63" dataDxfId="1114"/>
    <tableColumn id="18" xr3:uid="{FDA90AB9-E125-475C-BEAA-5C50FBF7448E}" uniqueName="18" name="SalesChannelCode" queryTableFieldId="64" dataDxfId="1113"/>
    <tableColumn id="19" xr3:uid="{2FEB5C18-2AD6-415D-8910-941ABFC86743}" uniqueName="19" name="DueDate" queryTableFieldId="65" dataDxfId="687"/>
    <tableColumn id="66" xr3:uid="{1E1D6A8C-B7E1-4FA3-9CB9-7968DB586F81}" uniqueName="66" name="PolicyNo" queryTableFieldId="23"/>
    <tableColumn id="20" xr3:uid="{7EAC3407-78EC-4EC5-9348-67C165BB37FA}" uniqueName="20" name="Rate" queryTableFieldId="66"/>
    <tableColumn id="21" xr3:uid="{34886505-8796-408A-AD20-5424FC66CABA}" uniqueName="21" name="LossProvince" queryTableFieldId="67" dataDxfId="1112"/>
    <tableColumn id="22" xr3:uid="{C0BE06DD-21E7-40C7-A87B-7298ECA44CED}" uniqueName="22" name="PolicyEndDate" queryTableFieldId="68" dataDxfId="686"/>
    <tableColumn id="67" xr3:uid="{85CBE15B-AC65-4B70-841B-41DC6F37CEC4}" uniqueName="67" name="ProductType" queryTableFieldId="24"/>
    <tableColumn id="23" xr3:uid="{23D06231-C2C8-4093-B150-82750518271A}" uniqueName="23" name="InsuredAgeBand" queryTableFieldId="69" dataDxfId="1111"/>
    <tableColumn id="68" xr3:uid="{9ECF2A4A-074C-4DBA-AB1A-7721C0D4E192}" uniqueName="68" name="ClaimType" queryTableFieldId="25"/>
    <tableColumn id="24" xr3:uid="{91B0B240-EBA2-4B8C-A94C-D3DD4C84E383}" uniqueName="24" name="PaymentMethod" queryTableFieldId="70" dataDxfId="1110"/>
    <tableColumn id="25" xr3:uid="{216F8B86-2C57-4D42-AB87-44CBC0D6F2C9}" uniqueName="25" name="PolicyStartDate" queryTableFieldId="71" dataDxfId="685"/>
    <tableColumn id="26" xr3:uid="{4DE15060-FB02-4470-A029-47C6CAC986AE}" uniqueName="26" name="LineOfBusinessName" queryTableFieldId="72" dataDxfId="1109"/>
    <tableColumn id="27" xr3:uid="{19BDF67A-C0F3-4D8A-801F-6F2A6040C311}" uniqueName="27" name="DeductibleAmount" queryTableFieldId="73"/>
    <tableColumn id="28" xr3:uid="{894AF1EC-A9A5-46AE-919A-5D7B3E09A154}" uniqueName="28" name="RiskStartDate" queryTableFieldId="74" dataDxfId="684"/>
    <tableColumn id="29" xr3:uid="{20939F1B-A57D-4543-A45A-2D135E7BB8B0}" uniqueName="29" name="RiskEndDate" queryTableFieldId="75" dataDxfId="683"/>
    <tableColumn id="69" xr3:uid="{85CEC774-A6AD-447E-AFF2-CA99BE6651A2}" uniqueName="69" name="PaymentVoucherNo" queryTableFieldId="26"/>
    <tableColumn id="30" xr3:uid="{47265DA8-B530-409A-8342-C8D9983718E2}" uniqueName="30" name="CoinsurerCode" queryTableFieldId="76" dataDxfId="1108"/>
    <tableColumn id="70" xr3:uid="{942327CD-214E-4815-993D-92D2770BAFA9}" uniqueName="70" name="TariffCode" queryTableFieldId="27"/>
    <tableColumn id="31" xr3:uid="{3E869907-E4E6-40E2-8407-9297A4632293}" uniqueName="31" name="ParentBranchCode" queryTableFieldId="77" dataDxfId="1107"/>
    <tableColumn id="32" xr3:uid="{BA9AD614-AA71-4A3E-9731-13B8F71CC6FA}" uniqueName="32" name="ProductSubCategory" queryTableFieldId="78" dataDxfId="1106"/>
    <tableColumn id="71" xr3:uid="{A9238925-4111-441F-A470-74BD9BF1896B}" uniqueName="71" name="CaseKey" queryTableFieldId="28"/>
    <tableColumn id="72" xr3:uid="{4BB620D5-7204-49FE-B703-4692364A9873}" uniqueName="72" name="LineKey" queryTableFieldId="29"/>
    <tableColumn id="73" xr3:uid="{4ACCF6C0-6F3E-41F1-B138-FAA2899A4126}" uniqueName="73" name="FXKey" queryTableFieldId="30"/>
    <tableColumn id="74" xr3:uid="{0B59697E-C7DB-4D8B-8BAC-29ECFC695A0C}" uniqueName="74" name="RateToTRY" queryTableFieldId="31" dataDxfId="682"/>
    <tableColumn id="75" xr3:uid="{BD43A521-0BAF-4365-81ED-EB1BD5085AE0}" uniqueName="75" name="GrossAmountTRY" queryTableFieldId="32" dataDxfId="681"/>
    <tableColumn id="76" xr3:uid="{D090C1A7-6194-4812-B16E-49110A2FA4C0}" uniqueName="76" name="NetAmountTRY" queryTableFieldId="33" dataDxfId="680"/>
    <tableColumn id="77" xr3:uid="{2CAC979C-94C2-4AC9-B608-0477225FCD91}" uniqueName="77" name="FXRateMissing" queryTableFieldId="34"/>
    <tableColumn id="78" xr3:uid="{F7F9ED03-6B4F-4EE4-BF84-F778F4F1F4FA}" uniqueName="78" name="DuplicateKeyCount" queryTableFieldId="35"/>
    <tableColumn id="79" xr3:uid="{74509D7C-534F-4A47-8E3A-B5C495A25B7D}" uniqueName="79" name="IsDuplicateKey" queryTableFieldId="36"/>
    <tableColumn id="80" xr3:uid="{3FCC7456-C60E-43D4-8720-C10530402213}" uniqueName="80" name="DuplicateScope" queryTableFieldId="37"/>
    <tableColumn id="81" xr3:uid="{FF71238C-D6F3-4C66-9D29-852A004CC655}" uniqueName="81" name="ChronoViolation" queryTableFieldId="38" dataDxfId="1105"/>
    <tableColumn id="82" xr3:uid="{05AA5270-3A5F-4316-8D88-E733A6694DBF}" uniqueName="82" name="ChronoDetail" queryTableFieldId="39" dataDxfId="1104"/>
    <tableColumn id="83" xr3:uid="{ADAAEA51-E5CF-4608-B940-78E05B49F6A4}" uniqueName="83" name="PaymentOutsidePeriod" queryTableFieldId="40"/>
    <tableColumn id="84" xr3:uid="{A7C1E021-CE5C-44C8-BCCE-46AE39675E14}" uniqueName="84" name="DaysNotificationToPayment" queryTableFieldId="41"/>
    <tableColumn id="1" xr3:uid="{C975783B-563E-4529-8B4E-F3CEF5BD0FC9}" uniqueName="1" name="NotifToPayBucket" queryTableFieldId="44" dataDxfId="1103"/>
    <tableColumn id="2" xr3:uid="{32CCBA32-9487-49E5-A9DF-A12FC3F930C8}" uniqueName="2" name="NotifToPayBucketOrder" queryTableFieldId="45" dataDxfId="1102"/>
    <tableColumn id="3" xr3:uid="{807517E6-64FE-4644-8CF0-1C36D936EAE6}" uniqueName="3" name="IsOutlier" queryTableFieldId="46"/>
    <tableColumn id="33" xr3:uid="{0E17FE4B-824E-4AB5-8326-3C3A9E33E7EF}" uniqueName="33" name="BranchKey" queryTableFieldId="108" dataDxfId="1101"/>
    <tableColumn id="34" xr3:uid="{4DBB435D-A0F0-40A1-88B8-2DBE2A01874E}" uniqueName="34" name="SegmentKey" queryTableFieldId="110" dataDxfId="1100"/>
    <tableColumn id="35" xr3:uid="{224661B1-9258-48E9-9082-766494E400F7}" uniqueName="35" name="LossPeriodKey" queryTableFieldId="112"/>
    <tableColumn id="36" xr3:uid="{10B12576-874D-458A-9A26-0602CF239555}" uniqueName="36" name="DevMonth" queryTableFieldId="113"/>
    <tableColumn id="37" xr3:uid="{BBF2F064-F194-43A3-B115-694E4DA9C2FF}" uniqueName="37" name="IsFirstPayment" queryTableFieldId="114"/>
    <tableColumn id="38" xr3:uid="{8E3768A8-B21E-4C73-BA23-00BE660BE0E2}" uniqueName="38" name="IsFirstPaymentObs" queryTableFieldId="115"/>
    <tableColumn id="85" xr3:uid="{712CD36B-A764-4F17-A16D-644828B42DC1}" uniqueName="85" name="IsFirstLineOfCaseInPeriod" queryTableFieldId="42"/>
    <tableColumn id="86" xr3:uid="{793CF1F3-A16B-49E5-AA0D-5E832C6BF095}" uniqueName="86" name="CaseLinesToDate" queryTableFieldId="43"/>
    <tableColumn id="39" xr3:uid="{B50CC88A-82F9-422E-BF42-2827565F36B8}" uniqueName="39" name="LoadBatch" queryTableFieldId="120" dataDxfId="1099"/>
    <tableColumn id="40" xr3:uid="{43F6925F-E730-461F-95D7-46942F5B48A5}" uniqueName="40" name="StoreLine" queryTableFieldId="121" dataDxfId="1098"/>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7C00626-13E4-4C2D-9A6F-CD53C4795E42}" name="STG_Summary" displayName="STG_Summary" ref="A4:P5" tableType="queryTable" insertRow="1" totalsRowShown="0">
  <autoFilter ref="A4:P5" xr:uid="{17C00626-13E4-4C2D-9A6F-CD53C4795E42}"/>
  <tableColumns count="16">
    <tableColumn id="17" xr3:uid="{67F0EFDC-84C1-45CF-A299-986CF1ABE3AD}" uniqueName="17" name="PeriodKey" queryTableFieldId="1" dataDxfId="675"/>
    <tableColumn id="18" xr3:uid="{030C0161-7EB6-4FB9-A9FD-7E177C5C2F53}" uniqueName="18" name="CompanyID" queryTableFieldId="2"/>
    <tableColumn id="19" xr3:uid="{212E00AE-AF2F-4F44-8FD1-DCBE4BF50AA4}" uniqueName="19" name="CurrencyCode" queryTableFieldId="3"/>
    <tableColumn id="20" xr3:uid="{EEDFF93B-C4A1-4B0A-AF51-7C9FACC734B9}" uniqueName="20" name="DataSource" queryTableFieldId="4"/>
    <tableColumn id="21" xr3:uid="{DD4FAEBE-4C60-4AB9-89E9-0F5F37CFFB36}" uniqueName="21" name="LineCount" queryTableFieldId="5"/>
    <tableColumn id="22" xr3:uid="{0705922B-961C-4539-95AB-4613C1DABC41}" uniqueName="22" name="DistinctCases" queryTableFieldId="6"/>
    <tableColumn id="23" xr3:uid="{F9C63163-72F8-4237-9849-BDF0A894ABA4}" uniqueName="23" name="SourceFiles" queryTableFieldId="7"/>
    <tableColumn id="24" xr3:uid="{F87A7AB9-70F2-4F33-A7A4-AAE5A4167918}" uniqueName="24" name="GrossAmount" queryTableFieldId="8" dataDxfId="674"/>
    <tableColumn id="25" xr3:uid="{39223EC7-EDAB-48D5-AD7E-B374A62D768C}" uniqueName="25" name="NetAmount" queryTableFieldId="9" dataDxfId="673"/>
    <tableColumn id="26" xr3:uid="{CBE2CBF0-864D-4760-A6E4-D5FAC5937CF6}" uniqueName="26" name="GrossAmountTRY" queryTableFieldId="10" dataDxfId="672"/>
    <tableColumn id="27" xr3:uid="{B532ED57-D3AA-486F-B97B-1F513F92274D}" uniqueName="27" name="NetAmountTRY" queryTableFieldId="11" dataDxfId="671"/>
    <tableColumn id="28" xr3:uid="{E3F1E289-401E-4A8A-9C65-52E7E280CEB0}" uniqueName="28" name="FXRateMissingLines" queryTableFieldId="12"/>
    <tableColumn id="29" xr3:uid="{A56095C5-2FAD-411C-A3A4-8AD03020F439}" uniqueName="29" name="ChronoViolationLines" queryTableFieldId="13"/>
    <tableColumn id="30" xr3:uid="{9C2EA31C-D7B4-4559-AF0B-F91BAE66A2B2}" uniqueName="30" name="DuplicateKeyLines" queryTableFieldId="14"/>
    <tableColumn id="31" xr3:uid="{90EAD4EF-B411-490F-9F94-DA697C182913}" uniqueName="31" name="PaymentOutsidePeriodLines" queryTableFieldId="15"/>
    <tableColumn id="32" xr3:uid="{6978BE7D-7A71-4E84-AB04-787156672897}" uniqueName="32" name="ArchiveFilesInPeriod" queryTableFieldId="16"/>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89BDC675-9683-4009-AE1F-FE6A3F30BB9E}" name="STG_StoreHeader" displayName="STG_StoreHeader" ref="A5:B6" tableType="queryTable" totalsRowShown="0" headerRowDxfId="1097" dataDxfId="1096">
  <autoFilter ref="A5:B6" xr:uid="{89BDC675-9683-4009-AE1F-FE6A3F30BB9E}"/>
  <tableColumns count="2">
    <tableColumn id="3" xr3:uid="{483F5D7B-0641-4494-BEA6-CE24B26E2904}" uniqueName="3" name="StoreHeader" queryTableFieldId="1" dataDxfId="1095"/>
    <tableColumn id="4" xr3:uid="{7E086D74-D5B0-43D5-BD28-0F793741FF06}" uniqueName="4" name="StoreColumns" queryTableFieldId="2" dataDxfId="1094"/>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0E7C2D2-08DD-4E6B-AD89-74B02F5F4852}" name="STG_StoreCheck" displayName="STG_StoreCheck" ref="D5:I6" tableType="queryTable" insertRow="1" totalsRowShown="0" headerRowDxfId="1093" dataDxfId="1092">
  <autoFilter ref="D5:I6" xr:uid="{30E7C2D2-08DD-4E6B-AD89-74B02F5F4852}"/>
  <tableColumns count="6">
    <tableColumn id="7" xr3:uid="{1E61CD94-876B-47B9-ADFB-3FD8F4CF8192}" uniqueName="7" name="PeriodKey" queryTableFieldId="1" dataDxfId="1091"/>
    <tableColumn id="8" xr3:uid="{06DC65AF-A9C4-4F63-8A65-073A8DAD908E}" uniqueName="8" name="LoadBatch" queryTableFieldId="2" dataDxfId="1090"/>
    <tableColumn id="9" xr3:uid="{38DEA89B-0D00-42B4-99F7-B9D23D81469F}" uniqueName="9" name="StoreRows" queryTableFieldId="3" dataDxfId="1089"/>
    <tableColumn id="10" xr3:uid="{0E03FC8D-42DE-4AC4-BEB9-10A432B5512B}" uniqueName="10" name="StoreDigest" queryTableFieldId="4" dataDxfId="1088"/>
    <tableColumn id="11" xr3:uid="{35F45DEF-5F19-4CC7-99FA-D0627D4D417B}" uniqueName="11" name="HeaderOK" queryTableFieldId="5" dataDxfId="1087"/>
    <tableColumn id="12" xr3:uid="{468455B0-88B2-4A79-827D-1090E2162BE7}" uniqueName="12" name="LogState" queryTableFieldId="6" dataDxfId="1086"/>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F32C0A2-21AF-4A3B-B043-12016F1B9064}" name="STG_Restatement" displayName="STG_Restatement" ref="K5:S6" tableType="queryTable" insertRow="1" totalsRowShown="0" headerRowDxfId="1085" dataDxfId="1084">
  <autoFilter ref="K5:S6" xr:uid="{7F32C0A2-21AF-4A3B-B043-12016F1B9064}"/>
  <tableColumns count="9">
    <tableColumn id="10" xr3:uid="{0A0D6B80-C00E-4E69-8C2C-AEF5894A2C3D}" uniqueName="10" name="CompanyID" queryTableFieldId="1"/>
    <tableColumn id="11" xr3:uid="{88CE4183-8957-414A-BC62-72B8C4ACDB32}" uniqueName="11" name="PeriodKey" queryTableFieldId="2"/>
    <tableColumn id="12" xr3:uid="{881C738C-40A1-4365-977E-D65C8C227FD2}" uniqueName="12" name="SourceFile" queryTableFieldId="3"/>
    <tableColumn id="13" xr3:uid="{CC2A08CD-B401-49AA-9042-3A908B575319}" uniqueName="13" name="FileRows" queryTableFieldId="4"/>
    <tableColumn id="14" xr3:uid="{1105EFA0-4B02-43DA-823E-D881EB0EF095}" uniqueName="14" name="FileGross" queryTableFieldId="5"/>
    <tableColumn id="15" xr3:uid="{61266C4C-1748-4CDC-A75C-7DD561945F3B}" uniqueName="15" name="StoredRows" queryTableFieldId="6"/>
    <tableColumn id="16" xr3:uid="{48A81665-6F81-449E-94C4-08A0A14EB8CA}" uniqueName="16" name="StoredGross" queryTableFieldId="7"/>
    <tableColumn id="17" xr3:uid="{45EB22D4-2909-411A-A1C3-2838397CE8A7}" uniqueName="17" name="Status" queryTableFieldId="8"/>
    <tableColumn id="18" xr3:uid="{BC3791C1-929A-46AD-9FF3-E6D58EB11F4A}" uniqueName="18" name="Detail" queryTableFieldId="9"/>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603052D2-B08B-457A-8DF8-FA590B67A3E2}" name="STG_StoreAppend" displayName="STG_StoreAppend" ref="U5:AL6" tableType="queryTable" insertRow="1" totalsRowShown="0" headerRowDxfId="1083" dataDxfId="1082">
  <autoFilter ref="U5:AL6" xr:uid="{603052D2-B08B-457A-8DF8-FA590B67A3E2}"/>
  <tableColumns count="18">
    <tableColumn id="19" xr3:uid="{F075CB38-C827-43B4-8523-6F6B95598181}" uniqueName="19" name="PeriodKey" queryTableFieldId="1" dataDxfId="1081"/>
    <tableColumn id="20" xr3:uid="{2B8436F8-B39E-4D2C-B866-1AF7DFE79732}" uniqueName="20" name="LoadBatch" queryTableFieldId="2" dataDxfId="1080"/>
    <tableColumn id="21" xr3:uid="{7F9FBE19-9D87-468E-A1E6-E048A69F7C19}" uniqueName="21" name="CompanyID" queryTableFieldId="3" dataDxfId="1079"/>
    <tableColumn id="22" xr3:uid="{4FDD0B37-E44D-421A-89DE-BB591DE886BD}" uniqueName="22" name="CurrencyCode" queryTableFieldId="4" dataDxfId="1078"/>
    <tableColumn id="23" xr3:uid="{52127459-2584-4EBC-8E6E-C9BEE429F2B6}" uniqueName="23" name="CaseKey" queryTableFieldId="5" dataDxfId="1077"/>
    <tableColumn id="24" xr3:uid="{2314CDC2-1E82-41AE-A2B6-DF95D480180F}" uniqueName="24" name="SourceFile" queryTableFieldId="6" dataDxfId="1076"/>
    <tableColumn id="25" xr3:uid="{5037ACE4-D8AD-4DA3-8624-51A280D9DAB3}" uniqueName="25" name="SourceRowNo" queryTableFieldId="7" dataDxfId="1075"/>
    <tableColumn id="26" xr3:uid="{5368E007-5CA9-4889-AB16-C557DF08FBFF}" uniqueName="26" name="Line" queryTableFieldId="8" dataDxfId="1074"/>
    <tableColumn id="27" xr3:uid="{D8122CDC-C08F-4863-AFF3-0F8D70C95D75}" uniqueName="27" name="GrossAmount" queryTableFieldId="9" dataDxfId="1073"/>
    <tableColumn id="28" xr3:uid="{661B8FAE-BBEA-4973-AE65-78E7F3280738}" uniqueName="28" name="NetAmount" queryTableFieldId="10" dataDxfId="1072"/>
    <tableColumn id="29" xr3:uid="{6D3D66C6-60C0-4020-A8BB-692274AB1652}" uniqueName="29" name="GrossAmountTRY" queryTableFieldId="11" dataDxfId="1071"/>
    <tableColumn id="30" xr3:uid="{4B36A4A6-FDDE-4AAE-85F0-C074AE6DBFC4}" uniqueName="30" name="NetAmountTRY" queryTableFieldId="12" dataDxfId="1070"/>
    <tableColumn id="31" xr3:uid="{BF3138EB-7273-4C6E-A2F3-319F4FC04547}" uniqueName="31" name="FXRateMissing" queryTableFieldId="13" dataDxfId="1069"/>
    <tableColumn id="32" xr3:uid="{7EBA9ECA-6260-49DD-B669-2392BBA89B4F}" uniqueName="32" name="ChronoViolation" queryTableFieldId="14" dataDxfId="1068"/>
    <tableColumn id="33" xr3:uid="{5B0A37A7-B3F6-4324-A092-B9FEA1062916}" uniqueName="33" name="IsDuplicateKey" queryTableFieldId="15" dataDxfId="1067"/>
    <tableColumn id="34" xr3:uid="{31765FB9-51A0-4AE5-B60F-A9F6B588FF83}" uniqueName="34" name="PaymentOutsidePeriod" queryTableFieldId="16" dataDxfId="1066"/>
    <tableColumn id="35" xr3:uid="{C77E4F93-9CDA-496A-B971-9B36D9A45C65}" uniqueName="35" name="BlockDigest" queryTableFieldId="17" dataDxfId="1065"/>
    <tableColumn id="36" xr3:uid="{70C7430C-4B1B-4C21-A864-A49AA565911A}" uniqueName="36" name="BlockRows" queryTableFieldId="18" dataDxfId="1064"/>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DD238D98-93E4-4C99-AF77-C632DF89547A}" name="STG_BulkFiles" displayName="STG_BulkFiles" ref="AN5:AT6" tableType="queryTable" insertRow="1" totalsRowShown="0" headerRowDxfId="1063" dataDxfId="1062">
  <autoFilter ref="AN5:AT6" xr:uid="{DD238D98-93E4-4C99-AF77-C632DF89547A}"/>
  <tableColumns count="7">
    <tableColumn id="8" xr3:uid="{40027956-703A-4663-9686-344EC54A07D7}" uniqueName="8" name="FileName" queryTableFieldId="1"/>
    <tableColumn id="9" xr3:uid="{074962A2-7BB7-4716-9BF3-77960230681A}" uniqueName="9" name="FolderPath" queryTableFieldId="2"/>
    <tableColumn id="10" xr3:uid="{D0A7423F-79BF-40AD-A585-7649A1E826C4}" uniqueName="10" name="CompanyID" queryTableFieldId="3"/>
    <tableColumn id="11" xr3:uid="{3FDB4065-7DFA-40F0-97FA-0E2187CD941B}" uniqueName="11" name="FileMode" queryTableFieldId="4"/>
    <tableColumn id="12" xr3:uid="{4D057015-3241-4AA9-9638-81BC5889CA69}" uniqueName="12" name="PeriodKey" queryTableFieldId="5"/>
    <tableColumn id="13" xr3:uid="{96FCF67C-2FB1-4B8E-8531-0C52DE69E8BA}" uniqueName="13" name="LoadBatch" queryTableFieldId="6"/>
    <tableColumn id="14" xr3:uid="{B1EFDB6E-63F3-4320-AC55-D217BB5C8ECE}" uniqueName="14" name="Gate" queryTableFieldId="7"/>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99BDD02F-CA76-431C-AE14-9716646ACE7C}" name="STG_Bulk" displayName="STG_Bulk" ref="AV5:BM6" tableType="queryTable" insertRow="1" totalsRowShown="0" headerRowDxfId="1061" dataDxfId="1060">
  <autoFilter ref="AV5:BM6" xr:uid="{99BDD02F-CA76-431C-AE14-9716646ACE7C}"/>
  <tableColumns count="18">
    <tableColumn id="19" xr3:uid="{7677AB68-22E0-43A3-8D66-597D21C83324}" uniqueName="19" name="PeriodKey" queryTableFieldId="1"/>
    <tableColumn id="20" xr3:uid="{800CDF98-E611-48BE-AF9B-7C12C11D3062}" uniqueName="20" name="LoadBatch" queryTableFieldId="2"/>
    <tableColumn id="21" xr3:uid="{61B1BD08-755E-4D86-86E9-5F20E2A5D446}" uniqueName="21" name="CompanyID" queryTableFieldId="3"/>
    <tableColumn id="22" xr3:uid="{050F7147-9460-413E-B7AC-368FE1613368}" uniqueName="22" name="CurrencyCode" queryTableFieldId="4"/>
    <tableColumn id="23" xr3:uid="{FCF9DCF5-60F6-4F58-894D-A8ED1D4215A5}" uniqueName="23" name="CaseKey" queryTableFieldId="5"/>
    <tableColumn id="24" xr3:uid="{A49C1845-8987-4ACA-B2E4-8AC792AB48BB}" uniqueName="24" name="SourceFile" queryTableFieldId="6"/>
    <tableColumn id="25" xr3:uid="{0A2D1444-5EE4-4F78-9904-A03722CC4E0E}" uniqueName="25" name="SourceRowNo" queryTableFieldId="7"/>
    <tableColumn id="26" xr3:uid="{9B0F8C31-E1B8-4887-9266-B19485138898}" uniqueName="26" name="Line" queryTableFieldId="8"/>
    <tableColumn id="27" xr3:uid="{4F5A45E0-9ADF-48F7-91A5-0CD4F2C6622A}" uniqueName="27" name="GrossAmount" queryTableFieldId="9"/>
    <tableColumn id="28" xr3:uid="{14D2A5D4-9214-43A0-ABC3-849BF6C578DA}" uniqueName="28" name="NetAmount" queryTableFieldId="10"/>
    <tableColumn id="29" xr3:uid="{EB8125C1-5538-4055-91EB-6AA24AED3381}" uniqueName="29" name="GrossAmountTRY" queryTableFieldId="11"/>
    <tableColumn id="30" xr3:uid="{4A4F5E3E-F6D8-4A68-BD2D-A828C36BFCD1}" uniqueName="30" name="NetAmountTRY" queryTableFieldId="12"/>
    <tableColumn id="31" xr3:uid="{60C47230-62FB-4863-BFCD-B045542AB5C6}" uniqueName="31" name="FXRateMissing" queryTableFieldId="13"/>
    <tableColumn id="32" xr3:uid="{1B9563F8-65CE-48A5-AE8E-5CC622B1E8D0}" uniqueName="32" name="ChronoViolation" queryTableFieldId="14" dataDxfId="1059"/>
    <tableColumn id="33" xr3:uid="{DDBD09C1-2BCC-4833-82EB-DBDF893765F6}" uniqueName="33" name="IsDuplicateKey" queryTableFieldId="15"/>
    <tableColumn id="34" xr3:uid="{D9931F6D-A99E-431D-93C1-B20CB07A78D1}" uniqueName="34" name="PaymentOutsidePeriod" queryTableFieldId="16"/>
    <tableColumn id="35" xr3:uid="{7B98E6D5-5BCE-42E3-AE47-F4B0398E7992}" uniqueName="35" name="BlockDigest" queryTableFieldId="17"/>
    <tableColumn id="36" xr3:uid="{CBB749A9-D885-4C4E-B82A-B9CD49D75CD9}" uniqueName="36" name="BlockRows" queryTableFieldId="18"/>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2CB71B8-F017-461A-8C58-69E99BCC39E9}" name="tblStoreSummary" displayName="tblStoreSummary" ref="BT5:CI6" totalsRowShown="0" headerRowDxfId="1058" dataDxfId="699">
  <autoFilter ref="BT5:CI6" xr:uid="{02CB71B8-F017-461A-8C58-69E99BCC39E9}"/>
  <tableColumns count="16">
    <tableColumn id="1" xr3:uid="{CD5F2636-CB67-44F4-89F3-3830786D6E55}" name="LoadBatch" dataDxfId="715"/>
    <tableColumn id="2" xr3:uid="{76C91293-DAB3-4663-A54F-5ADF0356727F}" name="PeriodKey" dataDxfId="714"/>
    <tableColumn id="3" xr3:uid="{53ADE286-989F-43B7-8E04-F412A5E37DCF}" name="CompanyID" dataDxfId="713"/>
    <tableColumn id="4" xr3:uid="{4B2AD687-B0CE-437F-BBC4-64B30E64BACF}" name="CurrencyCode" dataDxfId="712"/>
    <tableColumn id="5" xr3:uid="{962248E5-7B71-495D-B32C-89B733EA4A33}" name="LineCount" dataDxfId="711"/>
    <tableColumn id="6" xr3:uid="{077298B8-D28F-4DF4-8590-0EC960AB6E2F}" name="DistinctCases" dataDxfId="710"/>
    <tableColumn id="7" xr3:uid="{418B2C3D-A277-4229-B48B-7C171719E1B9}" name="SourceFiles" dataDxfId="709"/>
    <tableColumn id="8" xr3:uid="{DAE59574-C791-48E7-9AB0-E866D922D867}" name="GrossAmount" dataDxfId="708"/>
    <tableColumn id="9" xr3:uid="{697417EA-19CE-4C37-9C0E-5EEF327E53BF}" name="NetAmount" dataDxfId="707"/>
    <tableColumn id="10" xr3:uid="{99A00B8B-9D37-446B-9146-752E08723B8D}" name="GrossAmountTRY" dataDxfId="706"/>
    <tableColumn id="11" xr3:uid="{86365DAD-6FB3-4E4B-AB1C-934053F9BB5F}" name="NetAmountTRY" dataDxfId="705"/>
    <tableColumn id="12" xr3:uid="{9B87D8C5-8527-4D71-BBAF-15B817D6110C}" name="FXRateMissingLines" dataDxfId="704"/>
    <tableColumn id="13" xr3:uid="{0BECA384-B3FB-48F7-B745-1526857999D0}" name="ChronoViolationLines" dataDxfId="703"/>
    <tableColumn id="14" xr3:uid="{BD7FBBF5-CE9E-4E71-B95C-9573EC36521F}" name="DuplicateKeyLines" dataDxfId="702"/>
    <tableColumn id="15" xr3:uid="{D704B95C-0EB9-48D3-BC07-A6B18ADF31C1}" name="PaymentOutsidePeriodLines" dataDxfId="701"/>
    <tableColumn id="16" xr3:uid="{2EE4548B-BBB4-4328-86DA-25EC93EC1FD2}" name="RecordedOn" dataDxfId="700"/>
  </tableColumns>
  <tableStyleInfo name="TableStyleLight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C84EED7-E77D-4E3B-AF80-A0E7FC403C96}" name="STG_DQ" displayName="STG_DQ" ref="A4:I5" tableType="queryTable" insertRow="1" totalsRowShown="0">
  <autoFilter ref="A4:I5" xr:uid="{BC84EED7-E77D-4E3B-AF80-A0E7FC403C96}"/>
  <tableColumns count="9">
    <tableColumn id="10" xr3:uid="{B23EAF79-DE8E-4A26-8F5E-DFCCD6D8ABDA}" uniqueName="10" name="PeriodKey" queryTableFieldId="1" dataDxfId="670"/>
    <tableColumn id="11" xr3:uid="{CED32E92-BE26-4900-93A9-25E565D2E22B}" uniqueName="11" name="CompanyID" queryTableFieldId="2"/>
    <tableColumn id="12" xr3:uid="{596162FF-E7B9-497C-B35B-7913827E130F}" uniqueName="12" name="SourceFile" queryTableFieldId="3"/>
    <tableColumn id="13" xr3:uid="{4F7F8118-A702-4795-8ECA-29D3EDA0057B}" uniqueName="13" name="IssueType" queryTableFieldId="4"/>
    <tableColumn id="14" xr3:uid="{0FF00368-50A6-4CF4-8434-A41CF3C4A6B7}" uniqueName="14" name="Severity" queryTableFieldId="5"/>
    <tableColumn id="15" xr3:uid="{0BFA9917-76C4-4282-A758-45293DD2F797}" uniqueName="15" name="CanonicalName" queryTableFieldId="6"/>
    <tableColumn id="16" xr3:uid="{9914624C-EC81-41EA-87F7-EBF24E421AD0}" uniqueName="16" name="SourceHeader" queryTableFieldId="7"/>
    <tableColumn id="17" xr3:uid="{BBD03595-DEC1-4CBE-BBF2-6B439996C908}" uniqueName="17" name="AffectedCount" queryTableFieldId="8"/>
    <tableColumn id="18" xr3:uid="{87315124-D46A-4112-8B92-61D3E1CAF670}" uniqueName="18" name="Detail" queryTableFieldId="9"/>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A8FC07F-E2C9-4743-90EA-E4AB14CE8687}" name="STG_FXFetch" displayName="STG_FXFetch" ref="A4:G5" tableType="queryTable" totalsRowShown="0">
  <autoFilter ref="A4:G5" xr:uid="{0A8FC07F-E2C9-4743-90EA-E4AB14CE8687}"/>
  <tableColumns count="7">
    <tableColumn id="8" xr3:uid="{AB922450-7E07-4CBD-B08D-24A098E4A55D}" uniqueName="8" name="RateDate" queryTableFieldId="1" dataDxfId="1057"/>
    <tableColumn id="9" xr3:uid="{3C4CF5A2-60FB-4216-BA52-39A70B1C350E}" uniqueName="9" name="CurrencyCode" queryTableFieldId="2"/>
    <tableColumn id="10" xr3:uid="{A2019BDA-3DAF-4FE4-B1C7-106EA4B6BDE5}" uniqueName="10" name="RateToTRY" queryTableFieldId="3"/>
    <tableColumn id="11" xr3:uid="{C0E0976D-C0D0-4161-A0BE-E0E48EE0DEEC}" uniqueName="11" name="Bulletin" queryTableFieldId="4"/>
    <tableColumn id="12" xr3:uid="{FFF193AE-1BD8-4460-97AD-C1675F72F23B}" uniqueName="12" name="FetchStatus" queryTableFieldId="5"/>
    <tableColumn id="13" xr3:uid="{80C3F9C1-42B2-4F43-94AC-561FD8434921}" uniqueName="13" name="Detail" queryTableFieldId="6"/>
    <tableColumn id="14" xr3:uid="{E01787CF-9C2F-4871-B1B2-FE4DA4AED1D9}" uniqueName="14" name="DuplicatesStoredRate" queryTableFieldId="7"/>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3A976F1-D1E9-4028-B471-D4307DFD72E7}" name="STG_LogExternal" displayName="STG_LogExternal" ref="A4:I5" tableType="queryTable" totalsRowShown="0">
  <autoFilter ref="A4:I5" xr:uid="{93A976F1-D1E9-4028-B471-D4307DFD72E7}"/>
  <tableColumns count="9">
    <tableColumn id="10" xr3:uid="{CF631CDC-0659-4380-8A0D-C1B2C59AE5B3}" uniqueName="10" name="ReadAt" queryTableFieldId="1" dataDxfId="0"/>
    <tableColumn id="11" xr3:uid="{8663E5CA-9041-4F8F-BE02-CC38E1A1D6A6}" uniqueName="11" name="ExternalEvents" queryTableFieldId="2"/>
    <tableColumn id="12" xr3:uid="{894547BC-F5D9-4301-B2E9-BDE8D8B0467F}" uniqueName="12" name="WorkbookEvents" queryTableFieldId="3"/>
    <tableColumn id="13" xr3:uid="{3203B5D7-C471-415E-9879-DD17D0F05E48}" uniqueName="13" name="MissingExternally" queryTableFieldId="4"/>
    <tableColumn id="14" xr3:uid="{DA8420C9-DA76-4F80-BE22-D8C1FEB0284C}" uniqueName="14" name="MissingEventNos" queryTableFieldId="5" dataDxfId="1056"/>
    <tableColumn id="15" xr3:uid="{3F62026B-8375-4B51-9CE1-AFF08750234A}" uniqueName="15" name="NotInWorkbook" queryTableFieldId="6"/>
    <tableColumn id="16" xr3:uid="{DC058EE5-68AD-4E51-A402-93BA2AE7A3D5}" uniqueName="16" name="UnparsedFiles" queryTableFieldId="7"/>
    <tableColumn id="17" xr3:uid="{0A0DB1DF-63BF-421A-A42B-CCACFA6F57FB}" uniqueName="17" name="NewestExternalUtc" queryTableFieldId="8" dataDxfId="1055"/>
    <tableColumn id="18" xr3:uid="{6467C2DF-1C8E-4785-BA42-54209D12438E}" uniqueName="18" name="ReadStatus" queryTableFieldId="9" dataDxfId="1054"/>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433C0E0F-1E33-44F4-A895-70F4EC897F5E}" name="STG_Discovery" displayName="STG_Discovery" ref="A4:G200" tableType="queryTable" totalsRowShown="0" headerRowDxfId="1053" dataDxfId="1052">
  <autoFilter ref="A4:G200" xr:uid="{433C0E0F-1E33-44F4-A895-70F4EC897F5E}"/>
  <tableColumns count="7">
    <tableColumn id="8" xr3:uid="{81949650-DD94-4E1F-9B0A-9D2C3E77E60F}" uniqueName="8" name="Role" queryTableFieldId="1"/>
    <tableColumn id="9" xr3:uid="{9B3E221A-EA72-4F1E-8F0B-C6F8A4228CB3}" uniqueName="9" name="FileName" queryTableFieldId="2"/>
    <tableColumn id="10" xr3:uid="{B4FC6B29-4512-443B-BC46-05473E3F49A7}" uniqueName="10" name="FolderPath" queryTableFieldId="3"/>
    <tableColumn id="11" xr3:uid="{D95E348C-1707-4DC8-A25F-39682CD64D29}" uniqueName="11" name="MatchStatus" queryTableFieldId="4"/>
    <tableColumn id="12" xr3:uid="{1A04FC40-BB64-4502-A991-25C67E08AF60}" uniqueName="12" name="CompanyID" queryTableFieldId="5"/>
    <tableColumn id="13" xr3:uid="{4EF3D287-C79C-44E6-A47C-F0645A40D177}" uniqueName="13" name="PeriodKey" queryTableFieldId="6"/>
    <tableColumn id="14" xr3:uid="{0DD4C210-756F-4357-825F-13EDBD0F24C1}" uniqueName="14" name="Reason" queryTableFieldId="7"/>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3612FF9-707B-451B-839F-027550E31C83}" name="tblActivityLog" displayName="tblActivityLog" ref="A5:Q6" totalsRowShown="0" headerRowDxfId="1051" dataDxfId="1050">
  <autoFilter ref="A5:Q6" xr:uid="{73612FF9-707B-451B-839F-027550E31C83}"/>
  <tableColumns count="17">
    <tableColumn id="1" xr3:uid="{94F24B87-FA24-4F18-A4CF-EE4089A36746}" name="EventNo" dataDxfId="1049"/>
    <tableColumn id="2" xr3:uid="{4B0B3C86-66B1-4605-9904-BE27D195E408}" name="TimestampUTC" dataDxfId="1048"/>
    <tableColumn id="3" xr3:uid="{B9A25E60-2B9F-4E76-8EDC-3298AD90981C}" name="TimestampLocal" dataDxfId="1047"/>
    <tableColumn id="4" xr3:uid="{D3E07E68-E033-4285-81A6-1764200C0A28}" name="LogonUser" dataDxfId="1046"/>
    <tableColumn id="5" xr3:uid="{0F4559B5-1A10-4654-B4DA-A16041664700}" name="EnvUser" dataDxfId="1045"/>
    <tableColumn id="6" xr3:uid="{F6009514-6439-4214-9458-99A67C3A2E99}" name="ExcelUser" dataDxfId="1044"/>
    <tableColumn id="7" xr3:uid="{B76823DC-8035-4794-A0AD-0E5330B87B81}" name="Machine" dataDxfId="1043"/>
    <tableColumn id="8" xr3:uid="{6F1A9774-7511-4D77-9185-E517CD4A263D}" name="EventType" dataDxfId="1042"/>
    <tableColumn id="9" xr3:uid="{354F4174-E6B8-44A8-9C9C-F203844A9FF7}" name="Command" dataDxfId="1041"/>
    <tableColumn id="10" xr3:uid="{7B4A745A-E537-48AC-8BDC-0508F2B377BF}" name="Parameters" dataDxfId="1040"/>
    <tableColumn id="11" xr3:uid="{BC286551-0079-4944-AEB2-335FFBD27EA6}" name="Result" dataDxfId="1039"/>
    <tableColumn id="12" xr3:uid="{81AFE300-B0BD-4024-9528-BC2BE99D53FF}" name="DurationSec" dataDxfId="1038"/>
    <tableColumn id="13" xr3:uid="{F6E4B0EB-99F4-4E0E-BCB2-03D572ECF1AF}" name="PlatformVersion" dataDxfId="1037"/>
    <tableColumn id="14" xr3:uid="{30306AF6-7C4F-425E-B428-B15580706697}" name="Algorithm" dataDxfId="1036"/>
    <tableColumn id="15" xr3:uid="{28299EAD-7E92-4E8D-874B-547F1A99CAA7}" name="PrevChecksum" dataDxfId="1035"/>
    <tableColumn id="16" xr3:uid="{78AB0EB6-3D50-42AD-82B7-44934A2C1750}" name="Checksum" dataDxfId="1034"/>
    <tableColumn id="17" xr3:uid="{4F1D2D0F-48CB-4C6F-BFBF-34297006681A}" name="ExternalFile" dataDxfId="1033"/>
  </tableColumns>
  <tableStyleInfo name="TableStyleLight1" showFirstColumn="0" showLastColumn="0" showRowStripes="0"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460E9E7-0C3A-45DD-83E8-23AEF7E596B2}" name="tblUserRole" displayName="tblUserRole" ref="A4:J5" totalsRowShown="0" headerRowDxfId="1032" dataDxfId="1031">
  <autoFilter ref="A4:J5" xr:uid="{7460E9E7-0C3A-45DD-83E8-23AEF7E596B2}"/>
  <tableColumns count="10">
    <tableColumn id="1" xr3:uid="{7ACFB91D-53DC-4850-9103-839F756D7C2C}" name="LogonUser" dataDxfId="1030"/>
    <tableColumn id="2" xr3:uid="{289D4DDD-F7D7-4F23-AA7B-BE8DD066FA40}" name="Domain" dataDxfId="1029"/>
    <tableColumn id="3" xr3:uid="{1968C09E-EE0B-4C84-A423-F8F35E3F2AFD}" name="DisplayName" dataDxfId="1028"/>
    <tableColumn id="4" xr3:uid="{DA96B0CA-C7BC-4543-A204-573FF8E44AF0}" name="Role" dataDxfId="1027"/>
    <tableColumn id="5" xr3:uid="{0FE7E44A-62D8-4658-9B3F-08CAEA3E307C}" name="Active" dataDxfId="1026"/>
    <tableColumn id="6" xr3:uid="{BDCF156A-2465-41DD-A086-C92DCBE576DE}" name="ValidFrom" dataDxfId="1025"/>
    <tableColumn id="7" xr3:uid="{38FD2750-2EBB-403E-B862-30AD30B6704F}" name="ValidTo" dataDxfId="1024"/>
    <tableColumn id="8" xr3:uid="{D6A88DE9-FEC4-4BDD-81A6-CB85DCA528C7}" name="AddedBy" dataDxfId="1023"/>
    <tableColumn id="9" xr3:uid="{2971DABD-70A9-4FD2-9AFE-299C045A5ED6}" name="AddedOn" dataDxfId="1022"/>
    <tableColumn id="10" xr3:uid="{28F1B73E-EB77-432C-AF66-103180E6D674}" name="RowChecksum" dataDxfId="1021"/>
  </tableColumns>
  <tableStyleInfo name="TableStyleLight1" showFirstColumn="0" showLastColumn="0" showRowStripes="0"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2E738CC-46A7-447F-B2F3-03922AC0A72C}" name="tblCommandPermission" displayName="tblCommandPermission" ref="M4:X43" totalsRowShown="0" headerRowDxfId="1020" dataDxfId="1019">
  <autoFilter ref="M4:X43" xr:uid="{22E738CC-46A7-447F-B2F3-03922AC0A72C}"/>
  <tableColumns count="12">
    <tableColumn id="1" xr3:uid="{680636FA-DF23-460E-B16E-4E605933C12A}" name="Command" dataDxfId="1018"/>
    <tableColumn id="2" xr3:uid="{9369F1E3-20A8-48E2-90A4-9267E0B5E7ED}" name="Label" dataDxfId="1017"/>
    <tableColumn id="3" xr3:uid="{4726EF93-4DE9-4097-A88A-0CF736431068}" name="Viewer" dataDxfId="1016"/>
    <tableColumn id="4" xr3:uid="{806526D5-CE59-458C-833D-B83F37C5D767}" name="Analyst" dataDxfId="1015"/>
    <tableColumn id="5" xr3:uid="{A6EDDC07-38D1-4411-AA45-21AE9572E187}" name="Preparer" dataDxfId="1014"/>
    <tableColumn id="6" xr3:uid="{FC0D952B-9291-4134-ADF4-2B6626DBFFF3}" name="Reviewer" dataDxfId="1013"/>
    <tableColumn id="7" xr3:uid="{B7B1081B-D3C7-4E39-9B64-98CE8BEB7395}" name="Administrator" dataDxfId="1012"/>
    <tableColumn id="8" xr3:uid="{1AE24960-D5B9-4760-8998-F2C3CFBFA4C7}" name="Elevation" dataDxfId="1011"/>
    <tableColumn id="9" xr3:uid="{2CA6C166-2DBA-4026-BBEF-CF5C0943585B}" name="StateChanging" dataDxfId="1010"/>
    <tableColumn id="10" xr3:uid="{5735ED97-D9A1-4ADE-83B1-F2CB93C4347F}" name="NeedsSetup" dataDxfId="1009"/>
    <tableColumn id="11" xr3:uid="{D605204B-0CED-4CAC-A0D2-57EECD44CE78}" name="UsesLock" dataDxfId="1008"/>
    <tableColumn id="12" xr3:uid="{F1AAC8DE-D3C2-4812-8025-D104E27020CE}" name="Notes" dataDxfId="1007"/>
  </tableColumns>
  <tableStyleInfo name="TableStyleLight1" showFirstColumn="0" showLastColumn="0" showRowStripes="0"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1DD8744-7861-420D-93C6-88491B34B261}" name="tblAdminCredential" displayName="tblAdminCredential" ref="Z4:AJ5" totalsRowShown="0" headerRowDxfId="1006" dataDxfId="1005">
  <autoFilter ref="Z4:AJ5" xr:uid="{01DD8744-7861-420D-93C6-88491B34B261}"/>
  <tableColumns count="11">
    <tableColumn id="1" xr3:uid="{BD4FC6ED-0BE7-4BCE-8202-D5B92777538C}" name="LogonUser" dataDxfId="1004"/>
    <tableColumn id="2" xr3:uid="{93DDC552-8C42-4150-88A1-F28B81E0E2B7}" name="Domain" dataDxfId="1003"/>
    <tableColumn id="3" xr3:uid="{BD7DD7E5-0635-438B-91AA-151EBF851742}" name="Algorithm" dataDxfId="1002"/>
    <tableColumn id="4" xr3:uid="{E4D99D0E-56F5-4EB1-AA8D-DE3525235AAF}" name="Iterations" dataDxfId="1001"/>
    <tableColumn id="5" xr3:uid="{CC2D814B-44A7-4D3B-AA69-D29B257D2001}" name="Salt" dataDxfId="1000"/>
    <tableColumn id="6" xr3:uid="{41AF08C3-212C-43C9-8E14-7355EDC819D4}" name="Hash" dataDxfId="999"/>
    <tableColumn id="7" xr3:uid="{548C2DCA-B7E8-434F-A5DB-CCCABBBE43D4}" name="SetOn" dataDxfId="998"/>
    <tableColumn id="8" xr3:uid="{E0C3585B-A7C4-4C1C-8C13-557007843092}" name="SetBy" dataDxfId="997"/>
    <tableColumn id="9" xr3:uid="{54E1A945-2E27-4B63-A51D-4C6606791112}" name="FailedAttempts" dataDxfId="996"/>
    <tableColumn id="10" xr3:uid="{356123B1-1760-47D1-8A30-D56B2D4CCBFB}" name="LockedUntilUtc" dataDxfId="995"/>
    <tableColumn id="11" xr3:uid="{33013457-1B5D-4399-AE48-0770032F1953}" name="LastLoginUtc" dataDxfId="994"/>
  </tableColumns>
  <tableStyleInfo name="TableStyleLight1" showFirstColumn="0" showLastColumn="0" showRowStripes="0"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27AC6271-AB06-4AF4-8AD7-CBD35CCE56BC}" name="tblObsFlag" displayName="tblObsFlag" ref="KN5:KO7" totalsRowShown="0">
  <autoFilter ref="KN5:KO7" xr:uid="{27AC6271-AB06-4AF4-8AD7-CBD35CCE56BC}"/>
  <tableColumns count="2">
    <tableColumn id="1" xr3:uid="{31143F61-39A2-4BF5-8771-BDC9E5793A59}" name="Flag"/>
    <tableColumn id="2" xr3:uid="{18018C28-04C0-4FBE-B697-5F8C5D9C5ABA}" name="Meaning"/>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Date" xr10:uid="{4FFF1402-4944-4147-9B6C-17ADF2A3FAF7}" sourceName="[DimDate].[Date]">
  <pivotTables>
    <pivotTable tabId="34" name="pvtTrend"/>
  </pivotTables>
  <state minimalRefreshVersion="6" lastRefreshVersion="6" pivotCacheId="116667490" filterType="unknown">
    <bounds startDate="2000-01-01T00:00:00" endDate="2031-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tlReportingPeriod" xr10:uid="{FEF6F0E3-D775-4D60-8117-E647590E4E5D}" cache="Timeline_Date" caption="Reporting period (trend chart)" level="2" selectionLevel="2" scrollPosition="2029-08-29T00:00:00"/>
</timeline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5" Type="http://schemas.microsoft.com/office/2011/relationships/timeline" Target="../timelines/timeline1.xml"/><Relationship Id="rId4" Type="http://schemas.microsoft.com/office/2007/relationships/slicer" Target="../slicers/slicer1.xml"/></Relationships>
</file>

<file path=xl/worksheets/_rels/sheet6.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4.xml"/><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5.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21.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27.xml.rels><?xml version="1.0" encoding="UTF-8" standalone="yes"?>
<Relationships xmlns="http://schemas.openxmlformats.org/package/2006/relationships"><Relationship Id="rId8" Type="http://schemas.openxmlformats.org/officeDocument/2006/relationships/table" Target="../tables/table15.xml"/><Relationship Id="rId13" Type="http://schemas.openxmlformats.org/officeDocument/2006/relationships/table" Target="../tables/table20.xml"/><Relationship Id="rId3" Type="http://schemas.openxmlformats.org/officeDocument/2006/relationships/table" Target="../tables/table10.xml"/><Relationship Id="rId7" Type="http://schemas.openxmlformats.org/officeDocument/2006/relationships/table" Target="../tables/table14.xml"/><Relationship Id="rId12" Type="http://schemas.openxmlformats.org/officeDocument/2006/relationships/table" Target="../tables/table19.xml"/><Relationship Id="rId2" Type="http://schemas.openxmlformats.org/officeDocument/2006/relationships/table" Target="../tables/table9.xml"/><Relationship Id="rId1" Type="http://schemas.openxmlformats.org/officeDocument/2006/relationships/drawing" Target="../drawings/drawing22.xml"/><Relationship Id="rId6" Type="http://schemas.openxmlformats.org/officeDocument/2006/relationships/table" Target="../tables/table13.xml"/><Relationship Id="rId11" Type="http://schemas.openxmlformats.org/officeDocument/2006/relationships/table" Target="../tables/table18.xml"/><Relationship Id="rId5" Type="http://schemas.openxmlformats.org/officeDocument/2006/relationships/table" Target="../tables/table12.xml"/><Relationship Id="rId15" Type="http://schemas.openxmlformats.org/officeDocument/2006/relationships/table" Target="../tables/table22.xml"/><Relationship Id="rId10" Type="http://schemas.openxmlformats.org/officeDocument/2006/relationships/table" Target="../tables/table17.xml"/><Relationship Id="rId4" Type="http://schemas.openxmlformats.org/officeDocument/2006/relationships/table" Target="../tables/table11.xml"/><Relationship Id="rId9" Type="http://schemas.openxmlformats.org/officeDocument/2006/relationships/table" Target="../tables/table16.xml"/><Relationship Id="rId14" Type="http://schemas.openxmlformats.org/officeDocument/2006/relationships/table" Target="../tables/table21.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table" Target="../tables/table27.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2.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46.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table" Target="../tables/table35.xml"/><Relationship Id="rId5" Type="http://schemas.openxmlformats.org/officeDocument/2006/relationships/table" Target="../tables/table39.xml"/><Relationship Id="rId4" Type="http://schemas.openxmlformats.org/officeDocument/2006/relationships/table" Target="../tables/table38.xml"/></Relationships>
</file>

<file path=xl/worksheets/_rels/sheet47.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48.xml.rels><?xml version="1.0" encoding="UTF-8" standalone="yes"?>
<Relationships xmlns="http://schemas.openxmlformats.org/package/2006/relationships"><Relationship Id="rId1" Type="http://schemas.openxmlformats.org/officeDocument/2006/relationships/table" Target="../tables/table41.xml"/></Relationships>
</file>

<file path=xl/worksheets/_rels/sheet49.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table" Target="../tables/table42.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51.xml.rels><?xml version="1.0" encoding="UTF-8" standalone="yes"?>
<Relationships xmlns="http://schemas.openxmlformats.org/package/2006/relationships"><Relationship Id="rId1" Type="http://schemas.openxmlformats.org/officeDocument/2006/relationships/table" Target="../tables/table45.xml"/></Relationships>
</file>

<file path=xl/worksheets/_rels/sheet52.xml.rels><?xml version="1.0" encoding="UTF-8" standalone="yes"?>
<Relationships xmlns="http://schemas.openxmlformats.org/package/2006/relationships"><Relationship Id="rId8" Type="http://schemas.openxmlformats.org/officeDocument/2006/relationships/table" Target="../tables/table52.xml"/><Relationship Id="rId3" Type="http://schemas.openxmlformats.org/officeDocument/2006/relationships/table" Target="../tables/table47.xml"/><Relationship Id="rId7" Type="http://schemas.openxmlformats.org/officeDocument/2006/relationships/table" Target="../tables/table51.xml"/><Relationship Id="rId2" Type="http://schemas.openxmlformats.org/officeDocument/2006/relationships/table" Target="../tables/table46.xml"/><Relationship Id="rId1" Type="http://schemas.openxmlformats.org/officeDocument/2006/relationships/pivotTable" Target="../pivotTables/pivotTable3.xml"/><Relationship Id="rId6" Type="http://schemas.openxmlformats.org/officeDocument/2006/relationships/table" Target="../tables/table50.xml"/><Relationship Id="rId5" Type="http://schemas.openxmlformats.org/officeDocument/2006/relationships/table" Target="../tables/table49.xml"/><Relationship Id="rId4" Type="http://schemas.openxmlformats.org/officeDocument/2006/relationships/table" Target="../tables/table48.xml"/></Relationships>
</file>

<file path=xl/worksheets/_rels/sheet53.xml.rels><?xml version="1.0" encoding="UTF-8" standalone="yes"?>
<Relationships xmlns="http://schemas.openxmlformats.org/package/2006/relationships"><Relationship Id="rId1" Type="http://schemas.openxmlformats.org/officeDocument/2006/relationships/table" Target="../tables/table53.xml"/></Relationships>
</file>

<file path=xl/worksheets/_rels/sheet54.xml.rels><?xml version="1.0" encoding="UTF-8" standalone="yes"?>
<Relationships xmlns="http://schemas.openxmlformats.org/package/2006/relationships"><Relationship Id="rId1" Type="http://schemas.openxmlformats.org/officeDocument/2006/relationships/table" Target="../tables/table54.xml"/></Relationships>
</file>

<file path=xl/worksheets/_rels/sheet55.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56.xml.rels><?xml version="1.0" encoding="UTF-8" standalone="yes"?>
<Relationships xmlns="http://schemas.openxmlformats.org/package/2006/relationships"><Relationship Id="rId1" Type="http://schemas.openxmlformats.org/officeDocument/2006/relationships/table" Target="../tables/table56.xml"/></Relationships>
</file>

<file path=xl/worksheets/_rels/sheet57.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pivotTable" Target="../pivotTables/pivotTable7.xml"/></Relationships>
</file>

<file path=xl/worksheets/_rels/sheet58.xml.rels><?xml version="1.0" encoding="UTF-8" standalone="yes"?>
<Relationships xmlns="http://schemas.openxmlformats.org/package/2006/relationships"><Relationship Id="rId1" Type="http://schemas.openxmlformats.org/officeDocument/2006/relationships/table" Target="../tables/table57.xml"/></Relationships>
</file>

<file path=xl/worksheets/_rels/sheet75.xml.rels><?xml version="1.0" encoding="UTF-8" standalone="yes"?>
<Relationships xmlns="http://schemas.openxmlformats.org/package/2006/relationships"><Relationship Id="rId3" Type="http://schemas.openxmlformats.org/officeDocument/2006/relationships/table" Target="../tables/table60.xml"/><Relationship Id="rId2" Type="http://schemas.openxmlformats.org/officeDocument/2006/relationships/table" Target="../tables/table59.xml"/><Relationship Id="rId1" Type="http://schemas.openxmlformats.org/officeDocument/2006/relationships/table" Target="../tables/table58.xml"/></Relationships>
</file>

<file path=xl/worksheets/_rels/sheet93.xml.rels><?xml version="1.0" encoding="UTF-8" standalone="yes"?>
<Relationships xmlns="http://schemas.openxmlformats.org/package/2006/relationships"><Relationship Id="rId8" Type="http://schemas.openxmlformats.org/officeDocument/2006/relationships/pivotTable" Target="../pivotTables/pivotTable15.xml"/><Relationship Id="rId13" Type="http://schemas.openxmlformats.org/officeDocument/2006/relationships/pivotTable" Target="../pivotTables/pivotTable20.xml"/><Relationship Id="rId3" Type="http://schemas.openxmlformats.org/officeDocument/2006/relationships/pivotTable" Target="../pivotTables/pivotTable10.xml"/><Relationship Id="rId7" Type="http://schemas.openxmlformats.org/officeDocument/2006/relationships/pivotTable" Target="../pivotTables/pivotTable14.xml"/><Relationship Id="rId12" Type="http://schemas.openxmlformats.org/officeDocument/2006/relationships/pivotTable" Target="../pivotTables/pivotTable19.xml"/><Relationship Id="rId2" Type="http://schemas.openxmlformats.org/officeDocument/2006/relationships/pivotTable" Target="../pivotTables/pivotTable9.xml"/><Relationship Id="rId1" Type="http://schemas.openxmlformats.org/officeDocument/2006/relationships/pivotTable" Target="../pivotTables/pivotTable8.xml"/><Relationship Id="rId6" Type="http://schemas.openxmlformats.org/officeDocument/2006/relationships/pivotTable" Target="../pivotTables/pivotTable13.xml"/><Relationship Id="rId11" Type="http://schemas.openxmlformats.org/officeDocument/2006/relationships/pivotTable" Target="../pivotTables/pivotTable18.xml"/><Relationship Id="rId5" Type="http://schemas.openxmlformats.org/officeDocument/2006/relationships/pivotTable" Target="../pivotTables/pivotTable12.xml"/><Relationship Id="rId15" Type="http://schemas.openxmlformats.org/officeDocument/2006/relationships/table" Target="../tables/table61.xml"/><Relationship Id="rId10" Type="http://schemas.openxmlformats.org/officeDocument/2006/relationships/pivotTable" Target="../pivotTables/pivotTable17.xml"/><Relationship Id="rId4" Type="http://schemas.openxmlformats.org/officeDocument/2006/relationships/pivotTable" Target="../pivotTables/pivotTable11.xml"/><Relationship Id="rId9" Type="http://schemas.openxmlformats.org/officeDocument/2006/relationships/pivotTable" Target="../pivotTables/pivotTable16.xml"/><Relationship Id="rId14" Type="http://schemas.openxmlformats.org/officeDocument/2006/relationships/pivotTable" Target="../pivotTables/pivot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3867-E0FF-4A6E-B675-67455E68143C}">
  <sheetPr codeName="Sheet34"/>
  <dimension ref="B1:B17"/>
  <sheetViews>
    <sheetView showGridLines="0" tabSelected="1" workbookViewId="0"/>
  </sheetViews>
  <sheetFormatPr defaultRowHeight="14.25"/>
  <cols>
    <col min="1" max="1" width="3.7109375" style="102" customWidth="1"/>
    <col min="2" max="2" width="110.7109375" style="102" customWidth="1"/>
    <col min="3" max="16384" width="9.140625" style="102"/>
  </cols>
  <sheetData>
    <row r="1" spans="2:2" ht="26.25">
      <c r="B1" s="77" t="s">
        <v>3981</v>
      </c>
    </row>
    <row r="2" spans="2:2">
      <c r="B2" s="103" t="str">
        <f>"Sürüm / Version "&amp;INDEX(tblParameters[Value],MATCH("PlatformVersion",tblParameters[Parameter],0))</f>
        <v>Sürüm / Version 3.2.0</v>
      </c>
    </row>
    <row r="3" spans="2:2" ht="24" customHeight="1">
      <c r="B3" s="104" t="s">
        <v>3982</v>
      </c>
    </row>
    <row r="4" spans="2:2" ht="28.5">
      <c r="B4" s="105" t="s">
        <v>3983</v>
      </c>
    </row>
    <row r="5" spans="2:2">
      <c r="B5" s="105" t="s">
        <v>3984</v>
      </c>
    </row>
    <row r="6" spans="2:2" ht="42.75">
      <c r="B6" s="105" t="s">
        <v>3985</v>
      </c>
    </row>
    <row r="7" spans="2:2" ht="28.5">
      <c r="B7" s="105" t="s">
        <v>3986</v>
      </c>
    </row>
    <row r="8" spans="2:2" ht="28.5">
      <c r="B8" s="105" t="s">
        <v>3987</v>
      </c>
    </row>
    <row r="9" spans="2:2" ht="28.5">
      <c r="B9" s="105" t="s">
        <v>3988</v>
      </c>
    </row>
    <row r="11" spans="2:2" ht="16.5">
      <c r="B11" s="104" t="s">
        <v>3989</v>
      </c>
    </row>
    <row r="12" spans="2:2" ht="28.5">
      <c r="B12" s="105" t="s">
        <v>3990</v>
      </c>
    </row>
    <row r="13" spans="2:2" ht="24" customHeight="1">
      <c r="B13" s="105" t="s">
        <v>3991</v>
      </c>
    </row>
    <row r="14" spans="2:2" ht="42.75">
      <c r="B14" s="105" t="s">
        <v>3992</v>
      </c>
    </row>
    <row r="15" spans="2:2" ht="28.5">
      <c r="B15" s="105" t="s">
        <v>3993</v>
      </c>
    </row>
    <row r="16" spans="2:2" ht="28.5">
      <c r="B16" s="105" t="s">
        <v>3994</v>
      </c>
    </row>
    <row r="17" spans="2:2" ht="28.5">
      <c r="B17" s="105" t="s">
        <v>3995</v>
      </c>
    </row>
  </sheetData>
  <sheetProtection algorithmName="SHA-512" hashValue="OKT4EpKMk/XjQlUgPTxSG3sAJfnhuKxEQhLR6Y7bWJIPIVAUGRGR+RfyWhheCzD1wbFtwSkT3D7hUwaSxfJhJQ==" saltValue="oBIpFDaFdKD2H2t2oqinJg==" spinCount="100000" sheet="1" scenarios="1" formatColumns="0" sort="0" autoFilter="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AEB93-2BBE-4644-94F9-C183C5F88196}">
  <sheetPr codeName="Sheet1"/>
  <dimension ref="B1:L51"/>
  <sheetViews>
    <sheetView showGridLines="0" workbookViewId="0">
      <selection activeCell="B4" sqref="B4:H6"/>
    </sheetView>
  </sheetViews>
  <sheetFormatPr defaultRowHeight="12.75"/>
  <cols>
    <col min="1" max="1" width="2.7109375" customWidth="1"/>
    <col min="2" max="2" width="27.7109375" customWidth="1"/>
    <col min="3" max="3" width="2.7109375" customWidth="1"/>
    <col min="4" max="4" width="27.7109375" customWidth="1"/>
    <col min="5" max="5" width="2.7109375" customWidth="1"/>
    <col min="6" max="6" width="27.7109375" customWidth="1"/>
    <col min="7" max="7" width="2.7109375" customWidth="1"/>
    <col min="8" max="8" width="27.7109375" customWidth="1"/>
    <col min="9" max="9" width="2.7109375" customWidth="1"/>
    <col min="10" max="10" width="27.7109375" customWidth="1"/>
    <col min="11" max="11" width="40.7109375" hidden="1" customWidth="1"/>
    <col min="12" max="12" width="10.7109375" hidden="1" customWidth="1"/>
  </cols>
  <sheetData>
    <row r="1" spans="2:12" ht="23.25">
      <c r="B1" s="106" t="s">
        <v>3981</v>
      </c>
    </row>
    <row r="2" spans="2:12">
      <c r="B2" s="54" t="str">
        <f>"Sürüm / Version "&amp;INDEX(tblParameters[Value],MATCH("PlatformVersion",tblParameters[Parameter],0))&amp;"  ·  Aylık ödeme kapanışı / monthly payments closing"</f>
        <v>Sürüm / Version 3.2.0  ·  Aylık ödeme kapanışı / monthly payments closing</v>
      </c>
    </row>
    <row r="4" spans="2:12" ht="21.95" customHeight="1">
      <c r="B4" s="215" t="str" cm="1">
        <f t="array" ref="B4">IF(sesLogon="","",sesUser&amp;"  ("&amp;sesLogon&amp;")   ·   Rol / Role: "&amp;sesRolesLabel&amp;CHAR(10))&amp;IF(sesCode&lt;&gt;"",sesMessage,IF(AND(prmSetupCompletedOn&lt;&gt;"",sesIsViewer=TRUE),_xlfn.XLOOKUP("BANNER_NOROLE",tblUIText[Key],tblUIText[Text],"BANNER_NOROLE"),homeNext))</f>
        <v>Kurulum tamamlanmadı – Kurulum düğmesine tıklayın.
Setup not completed – click Setup.</v>
      </c>
      <c r="C4" s="215"/>
      <c r="D4" s="215"/>
      <c r="E4" s="215"/>
      <c r="F4" s="215"/>
      <c r="G4" s="215"/>
      <c r="H4" s="215"/>
      <c r="L4" t="str" cm="1">
        <f t="array" ref="L4">IF(sesCode&lt;&gt;"",sesSeverity,IF(AND(prmSetupCompletedOn&lt;&gt;"",sesIsViewer=TRUE),"BLUE",homeNextSeverity))</f>
        <v>AMBER</v>
      </c>
    </row>
    <row r="5" spans="2:12" ht="21.95" customHeight="1">
      <c r="B5" s="215"/>
      <c r="C5" s="215"/>
      <c r="D5" s="215"/>
      <c r="E5" s="215"/>
      <c r="F5" s="215"/>
      <c r="G5" s="215"/>
      <c r="H5" s="215"/>
    </row>
    <row r="6" spans="2:12" ht="21.95" customHeight="1">
      <c r="B6" s="215"/>
      <c r="C6" s="215"/>
      <c r="D6" s="215"/>
      <c r="E6" s="215"/>
      <c r="F6" s="215"/>
      <c r="G6" s="215"/>
      <c r="H6" s="215"/>
    </row>
    <row r="8" spans="2:12">
      <c r="B8" s="216" t="str">
        <f>"Yapabilecekleriniz / What you may do:  "&amp;sesCanDo</f>
        <v xml:space="preserve">Yapabilecekleriniz / What you may do:  </v>
      </c>
      <c r="C8" s="216"/>
      <c r="D8" s="216"/>
      <c r="E8" s="216"/>
      <c r="F8" s="216"/>
      <c r="G8" s="216"/>
      <c r="H8" s="216"/>
    </row>
    <row r="9" spans="2:12">
      <c r="B9" s="216"/>
      <c r="C9" s="216"/>
      <c r="D9" s="216"/>
      <c r="E9" s="216"/>
      <c r="F9" s="216"/>
      <c r="G9" s="216"/>
      <c r="H9" s="216"/>
    </row>
    <row r="11" spans="2:12" ht="15">
      <c r="B11" s="58" t="s">
        <v>3996</v>
      </c>
      <c r="C11" s="58"/>
      <c r="D11" s="58"/>
      <c r="E11" s="58"/>
      <c r="F11" s="58"/>
      <c r="G11" s="58"/>
      <c r="H11" s="58"/>
    </row>
    <row r="12" spans="2:12" ht="18" customHeight="1">
      <c r="B12" s="217" t="str">
        <f>"1   "&amp;SUBSTITUTE(_xlfn.XLOOKUP("CHK_SETUP",tblUIText[Key],tblUIText[Text],"CHK_SETUP"),CHAR(10),"  /  ")</f>
        <v>1   Kurulum tamamlandı  /  Setup completed</v>
      </c>
      <c r="C12" s="217"/>
      <c r="D12" s="217"/>
      <c r="E12" s="217"/>
      <c r="F12" s="217"/>
      <c r="H12" s="107" t="str" cm="1">
        <f t="array" ref="H12">HYPERLINK("#'Home'!A1",IF(prmSetupCompletedOn&lt;&gt;"","DONE","TO DO"))</f>
        <v>TO DO</v>
      </c>
      <c r="K12" t="str">
        <f>IF(sesCanSetup=TRUE,_xlfn.XLOOKUP("NEXT_SETUP_ADMIN",tblUIText[Key],tblUIText[Text],"NEXT_SETUP_ADMIN"),_xlfn.XLOOKUP("NEXT_SETUP_USER",tblUIText[Key],tblUIText[Text],"NEXT_SETUP_USER"))</f>
        <v>Kurulum tamamlanmadı – Kurulum düğmesine tıklayın.
Setup not completed – click Setup.</v>
      </c>
      <c r="L12" t="str">
        <f t="shared" ref="L12:L17" si="0">"AMBER"</f>
        <v>AMBER</v>
      </c>
    </row>
    <row r="13" spans="2:12" ht="18" customHeight="1">
      <c r="B13" s="217" t="str">
        <f>"2   "&amp;SUBSTITUTE(_xlfn.XLOOKUP("CHK_COMPANIES",tblUIText[Key],tblUIText[Text],"CHK_COMPANIES"),CHAR(10),"  /  ")</f>
        <v>2   Şirket bilgileri eksiksiz (ad, tür)  /  Company master data complete (name, type)</v>
      </c>
      <c r="C13" s="217"/>
      <c r="D13" s="217"/>
      <c r="E13" s="217"/>
      <c r="F13" s="217"/>
      <c r="H13" s="107" t="str" cm="1">
        <f t="array" ref="H13">HYPERLINK("#'DimCompany'!A1",IF(prmSetupCompletedOn="","–",IF(AND(COUNTIFS(tblDimCompany[CompanyID],"&lt;&gt;")&gt;0,SUMPRODUCT((tblDimCompany[CompanyID]&lt;&gt;"")*(((tblDimCompany[CompanyName]="")+(tblDimCompany[CompanyType]=""))&gt;0))=0),"DONE","TO DO")))</f>
        <v>–</v>
      </c>
      <c r="K13" t="str" cm="1">
        <f t="array" ref="K13">IF(COUNTIFS(tblDimCompany[CompanyID],"&lt;&gt;")=0,_xlfn.XLOOKUP("NEXT_NOCOMPANY",tblUIText[Key],tblUIText[Text],"NEXT_NOCOMPANY"),SUBSTITUTE(_xlfn.XLOOKUP("NEXT_COMPANIES",tblUIText[Key],tblUIText[Text],"NEXT_COMPANIES"),"{0}",SUMPRODUCT((tblDimCompany[CompanyID]&lt;&gt;"")*(((tblDimCompany[CompanyName]="")+(tblDimCompany[CompanyType]=""))&gt;0))))</f>
        <v>Henüz şirket yok – Kurulum'u yeniden çalıştırın ya da şirketleri DimCompany sayfasına ekleyin (Yönetici).
No company yet – run Setup again or add the companies on sheet DimCompany (Administrator).</v>
      </c>
      <c r="L13" t="str">
        <f t="shared" si="0"/>
        <v>AMBER</v>
      </c>
    </row>
    <row r="14" spans="2:12" ht="18" customHeight="1">
      <c r="B14" s="217" t="str">
        <f>"3   "&amp;SUBSTITUTE(_xlfn.XLOOKUP("CHK_REFRESH",tblUIText[Key],tblUIText[Text],"CHK_REFRESH"),CHAR(10),"  /  ")</f>
        <v>3   Veriler güncel (Yenile)  /  Data refreshed (Refresh)</v>
      </c>
      <c r="C14" s="217"/>
      <c r="D14" s="217"/>
      <c r="E14" s="217"/>
      <c r="F14" s="217"/>
      <c r="H14" s="107" t="str" cm="1">
        <f t="array" ref="H14">HYPERLINK("#'ControlPanel'!A1",IF(prmSetupCompletedOn="","–",IF(_xlfn.XLOOKUP("STG_CURRENT",tblControl[CheckID],tblControl[Status],"")="OK","DONE","TO DO")))</f>
        <v>–</v>
      </c>
      <c r="K14" t="str">
        <f>_xlfn.XLOOKUP("NEXT_REFRESH",tblUIText[Key],tblUIText[Text],"NEXT_REFRESH")</f>
        <v>Yenileme gerekli – Yenile düğmesine tıklayın.
Refresh needed – click Refresh.</v>
      </c>
      <c r="L14" t="str">
        <f t="shared" si="0"/>
        <v>AMBER</v>
      </c>
    </row>
    <row r="15" spans="2:12" ht="18" customHeight="1">
      <c r="B15" s="217" t="str">
        <f>"4   "&amp;SUBSTITUTE(_xlfn.XLOOKUP("CHK_FILES",tblUIText[Key],tblUIText[Text],"CHK_FILES"),CHAR(10),"  /  ")</f>
        <v>4   Beklenen dosyalar teslim edildi  /  Expected files delivered</v>
      </c>
      <c r="C15" s="217"/>
      <c r="D15" s="217"/>
      <c r="E15" s="217"/>
      <c r="F15" s="217"/>
      <c r="H15" s="107" t="str" cm="1">
        <f t="array" ref="H15">HYPERLINK("#'ControlPanel'!A1",IF(prmSetupCompletedOn="","–",IF(_xlfn.XLOOKUP("FILES_EXPECTED",tblControl[CheckID],tblControl[Status],"")="OK","DONE","TO DO")))</f>
        <v>–</v>
      </c>
      <c r="K15" t="str">
        <f>SUBSTITUTE(SUBSTITUTE(_xlfn.XLOOKUP("NEXT_FILES",tblUIText[Key],tblUIText[Text],"NEXT_FILES"),"{0}",cpActivePeriod),"{1}",_xlfn.XLOOKUP("FILES_EXPECTED",tblControl[CheckID],tblControl[Result],0))</f>
        <v>Dönem 0: 0 şirket için dosya eksik.
Period 0: files missing for 0 companies.</v>
      </c>
      <c r="L15" t="str">
        <f t="shared" si="0"/>
        <v>AMBER</v>
      </c>
    </row>
    <row r="16" spans="2:12" ht="18" customHeight="1">
      <c r="B16" s="217" t="str">
        <f>"5   "&amp;SUBSTITUTE(_xlfn.XLOOKUP("CHK_RECON",tblUIText[Key],tblUIText[Text],"CHK_RECON"),CHAR(10),"  /  ")</f>
        <v>5   Mutabakat tutarları girildi ve tutuyor  /  Reconciliation totals entered and agreeing</v>
      </c>
      <c r="C16" s="217"/>
      <c r="D16" s="217"/>
      <c r="E16" s="217"/>
      <c r="F16" s="217"/>
      <c r="H16" s="107" t="str" cm="1">
        <f t="array" ref="H16">HYPERLINK("#'Recon'!A1",IF(prmSetupCompletedOn="","–",IF(_xlfn.XLOOKUP("RECON",tblControl[CheckID],tblControl[Status],"")="OK","DONE","TO DO")))</f>
        <v>–</v>
      </c>
      <c r="K16" t="str">
        <f>SUBSTITUTE(_xlfn.XLOOKUP("NEXT_RECON",tblUIText[Key],tblUIText[Text],"NEXT_RECON"),"{0}",_xlfn.XLOOKUP("RECON",tblControl[CheckID],tblControl[Result],0))</f>
        <v>Mutabakat: 0 şirket/para birimi toplamı eksik veya tolerans dışında – Recon sayfası.
Reconciliation: 0 company/currency total(s) missing or outside tolerance – sheet Recon.</v>
      </c>
      <c r="L16" t="str">
        <f t="shared" si="0"/>
        <v>AMBER</v>
      </c>
    </row>
    <row r="17" spans="2:12" ht="18" customHeight="1">
      <c r="B17" s="217" t="str">
        <f>"6   "&amp;SUBSTITUTE(_xlfn.XLOOKUP("CHK_EXPLAIN",tblUIText[Key],tblUIText[Text],"CHK_EXPLAIN"),CHAR(10),"  /  ")</f>
        <v>6   REVIEW kontrolleri açıklandı  /  REVIEW checks explained</v>
      </c>
      <c r="C17" s="217"/>
      <c r="D17" s="217"/>
      <c r="E17" s="217"/>
      <c r="F17" s="217"/>
      <c r="H17" s="107" t="str" cm="1">
        <f t="array" ref="H17">HYPERLINK("#'ControlPanel'!A1",IF(prmSetupCompletedOn="","–",IF(N(cpUnexplained)=0,"DONE","TO DO")))</f>
        <v>–</v>
      </c>
      <c r="K17" t="str">
        <f>SUBSTITUTE(_xlfn.XLOOKUP("NEXT_EXPLAIN",tblUIText[Key],tblUIText[Text],"NEXT_EXPLAIN"),"{0}",cpUnexplained)</f>
        <v>2 REVIEW kontrolü açıklama bekliyor – Kontrol paneli, Explanation sütunu.
2 REVIEW check(s) need an explanation – Control panel, column Explanation.</v>
      </c>
      <c r="L17" t="str">
        <f t="shared" si="0"/>
        <v>AMBER</v>
      </c>
    </row>
    <row r="18" spans="2:12" ht="18" customHeight="1">
      <c r="B18" s="217" t="str">
        <f>"7   "&amp;SUBSTITUTE(_xlfn.XLOOKUP("CHK_SUBMIT",tblUIText[Key],tblUIText[Text],"CHK_SUBMIT"),CHAR(10),"  /  ")</f>
        <v>7   Ay incelemeye gönderildi  /  Month submitted for review</v>
      </c>
      <c r="C18" s="217"/>
      <c r="D18" s="217"/>
      <c r="E18" s="217"/>
      <c r="F18" s="217"/>
      <c r="H18" s="107" t="str" cm="1">
        <f t="array" ref="H18">HYPERLINK("#'SignOff'!A1",IF(prmSetupCompletedOn="","–",IF(OR(LEFT(cpSubmission,9)="SUBMITTED",LEFT(cpSubmission,6)="CLOSED"),"DONE",IF(LEFT(cpCloseGate,4)="OPEN","TO DO","–"))))</f>
        <v>–</v>
      </c>
      <c r="K18" t="str">
        <f>SUBSTITUTE(_xlfn.XLOOKUP("NEXT_SUBMIT",tblUIText[Key],tblUIText[Text],"NEXT_SUBMIT"),"{0}",cpActivePeriod)</f>
        <v>Dönem 0 incelemeye gönderilebilir – İncelemeye gönder.
Period 0 can be submitted – Submit for review.</v>
      </c>
      <c r="L18" t="str">
        <f>"GREEN"</f>
        <v>GREEN</v>
      </c>
    </row>
    <row r="19" spans="2:12" ht="18" customHeight="1">
      <c r="B19" s="217" t="str">
        <f>"8   "&amp;SUBSTITUTE(_xlfn.XLOOKUP("CHK_CLOSE",tblUIText[Key],tblUIText[Text],"CHK_CLOSE"),CHAR(10),"  /  ")</f>
        <v>8   Ay kapatıldı (başka bir kullanıcı)  /  Month closed (by a different user)</v>
      </c>
      <c r="C19" s="217"/>
      <c r="D19" s="217"/>
      <c r="E19" s="217"/>
      <c r="F19" s="217"/>
      <c r="H19" s="107" t="str">
        <f>HYPERLINK("#'SignOff'!A1",IF(LEFT(cpSubmission,9)="SUBMITTED","WAITING","–"))</f>
        <v>–</v>
      </c>
      <c r="K19" t="str">
        <f>IF(ISNUMBER(SEARCH("Reviewer",sesRoles)),SUBSTITUTE(_xlfn.XLOOKUP("NEXT_CLOSE",tblUIText[Key],tblUIText[Text],"NEXT_CLOSE"),"{0}",cpActivePeriod),SUBSTITUTE(_xlfn.XLOOKUP("NEXT_AWAIT_REVIEW",tblUIText[Key],tblUIText[Text],"NEXT_AWAIT_REVIEW"),"{0}",cpActivePeriod))</f>
        <v>Dönem 0: bir Kontrol edenin incelemesi bekleniyor.
Period 0: awaiting review by a Reviewer.</v>
      </c>
      <c r="L19" t="str">
        <f>IF(ISNUMBER(SEARCH("Reviewer",sesRoles)),"GREEN","BLUE")</f>
        <v>BLUE</v>
      </c>
    </row>
    <row r="20" spans="2:12" ht="18" customHeight="1">
      <c r="B20" s="217" t="str">
        <f>"9   "&amp;SUBSTITUTE(_xlfn.XLOOKUP("CHK_ADMINS",tblUIText[Key],tblUIText[Text],"CHK_ADMINS"),CHAR(10),"  /  ")</f>
        <v>9   En az iki Yönetici  /  At least two Administrators</v>
      </c>
      <c r="C20" s="217"/>
      <c r="D20" s="217"/>
      <c r="E20" s="217"/>
      <c r="F20" s="217"/>
      <c r="H20" s="107" t="str" cm="1">
        <f t="array" ref="H20">HYPERLINK("#'Home'!A1",IF(prmSetupCompletedOn="","–",IF(COUNTIFS(tblUserRole[Role],"Administrator",tblUserRole[Active],"Y")&gt;=2,"DONE","ADVISORY")))</f>
        <v>–</v>
      </c>
      <c r="K20" t="str">
        <f>SUBSTITUTE(_xlfn.XLOOKUP("NEXT_ADMINS",tblUIText[Key],tblUIText[Text],"NEXT_ADMINS"),"{0}",COUNTIFS(tblUserRole[Role],"Administrator",tblUserRole[Active],"Y"))</f>
        <v>Yalnızca 0 Yönetici var – ikinci bir Yönetici ekleyin (Kullanıcılar ve roller).
Only 0 Administrator(s) – add a second one (Users and roles).</v>
      </c>
      <c r="L20" t="str">
        <f>"AMBER"</f>
        <v>AMBER</v>
      </c>
    </row>
    <row r="21" spans="2:12" ht="18" customHeight="1">
      <c r="B21" s="217" t="str">
        <f>"10   "&amp;SUBSTITUTE(_xlfn.XLOOKUP("CHK_COLUMNIDS",tblUIText[Key],tblUIText[Text],"CHK_COLUMNIDS"),CHAR(10),"  /  ")</f>
        <v>10   ColumnID'ler doğrulandı  /  ColumnIDs verified</v>
      </c>
      <c r="C21" s="217"/>
      <c r="D21" s="217"/>
      <c r="E21" s="217"/>
      <c r="F21" s="217"/>
      <c r="H21" s="107" t="str" cm="1">
        <f t="array" ref="H21">HYPERLINK("#'ColumnMap'!A1",IF(prmSetupCompletedOn="","–",IF(_xlfn.XLOOKUP("COLUMNID_VERIFIED",tblControl[CheckID],tblControl[Status],"")="OK","DONE","ADVISORY")))</f>
        <v>–</v>
      </c>
      <c r="K21" t="str">
        <f>SUBSTITUTE(_xlfn.XLOOKUP("NEXT_COLUMNIDS",tblUIText[Key],tblUIText[Text],"NEXT_COLUMNIDS"),"{0}",_xlfn.XLOOKUP("COLUMNID_VERIFIED",tblControl[CheckID],tblControl[Result],0))</f>
        <v>103 ColumnID doğrulanmadı (danışma niteliğinde; kapanışı engellemez).
103 ColumnID(s) not verified (advisory; does not block the close).</v>
      </c>
      <c r="L21" t="str">
        <f>"AMBER"</f>
        <v>AMBER</v>
      </c>
    </row>
    <row r="23" spans="2:12">
      <c r="K23" t="str" cm="1">
        <f t="array" ref="K23">_xlfn.LET(_xlpm.s,H12:H21,_xlpm.m,K12:K21,_xlpm.i,IFERROR(MATCH(1,((_xlpm.s="TO DO")+(_xlpm.s="WAITING")&gt;0)*1,0),IFERROR(MATCH("ADVISORY",_xlpm.s,0),0)),IF(_xlpm.i=0,_xlfn.XLOOKUP("NEXT_ALLDONE",tblUIText[Key],tblUIText[Text],"NEXT_ALLDONE"),INDEX(_xlpm.m,_xlpm.i)))</f>
        <v>Kurulum tamamlanmadı – Kurulum düğmesine tıklayın.
Setup not completed – click Setup.</v>
      </c>
      <c r="L23" t="str" cm="1">
        <f t="array" ref="L23">_xlfn.LET(_xlpm.s,H12:H21,_xlpm.v,L12:L21,_xlpm.i,IFERROR(MATCH(1,((_xlpm.s="TO DO")+(_xlpm.s="WAITING")&gt;0)*1,0),IFERROR(MATCH("ADVISORY",_xlpm.s,0),0)),IF(_xlpm.i=0,"GREEN",INDEX(_xlpm.v,_xlpm.i)))</f>
        <v>AMBER</v>
      </c>
    </row>
    <row r="25" spans="2:12" ht="15">
      <c r="B25" s="58" t="s">
        <v>3997</v>
      </c>
      <c r="C25" s="58"/>
      <c r="D25" s="58"/>
      <c r="E25" s="58"/>
      <c r="F25" s="58"/>
      <c r="G25" s="58"/>
      <c r="H25" s="58"/>
    </row>
    <row r="26" spans="2:12">
      <c r="B26" s="109" t="s">
        <v>3998</v>
      </c>
      <c r="D26" s="109" t="s">
        <v>3999</v>
      </c>
      <c r="F26" s="109" t="s">
        <v>4000</v>
      </c>
      <c r="H26" s="109" t="s">
        <v>4001</v>
      </c>
    </row>
    <row r="33" ht="26.1" customHeight="1"/>
    <row r="34" ht="26.1" customHeight="1"/>
    <row r="50" spans="2:8" ht="38.1" customHeight="1">
      <c r="B50" s="216" t="s">
        <v>4002</v>
      </c>
      <c r="C50" s="216"/>
      <c r="D50" s="216"/>
      <c r="E50" s="216"/>
      <c r="F50" s="216"/>
      <c r="G50" s="216"/>
      <c r="H50" s="216"/>
    </row>
    <row r="51" spans="2:8" ht="38.1" customHeight="1">
      <c r="B51" s="216" t="s">
        <v>4003</v>
      </c>
      <c r="C51" s="216"/>
      <c r="D51" s="216"/>
      <c r="E51" s="216"/>
      <c r="F51" s="216"/>
      <c r="G51" s="216"/>
      <c r="H51" s="216"/>
    </row>
  </sheetData>
  <sheetProtection algorithmName="SHA-512" hashValue="c4/ioROlFzTM4mP7CFpWjCBzTOZUCQZDOm25TXosVuidFmRfQ0MMfV99WFR/cOvmWe6R1MO4EY/ydZG3lzSqUg==" saltValue="9ybDmZjkxNemY8hDGVXBTw==" spinCount="100000" sheet="1" scenarios="1" formatColumns="0" sort="0" autoFilter="0"/>
  <mergeCells count="14">
    <mergeCell ref="B4:H6"/>
    <mergeCell ref="B8:H9"/>
    <mergeCell ref="B50:H50"/>
    <mergeCell ref="B51:H51"/>
    <mergeCell ref="B12:F12"/>
    <mergeCell ref="B13:F13"/>
    <mergeCell ref="B14:F14"/>
    <mergeCell ref="B15:F15"/>
    <mergeCell ref="B16:F16"/>
    <mergeCell ref="B17:F17"/>
    <mergeCell ref="B18:F18"/>
    <mergeCell ref="B19:F19"/>
    <mergeCell ref="B20:F20"/>
    <mergeCell ref="B21:F21"/>
  </mergeCells>
  <conditionalFormatting sqref="H12:H21">
    <cfRule type="cellIs" dxfId="669" priority="1" stopIfTrue="1" operator="equal">
      <formula>"DONE"</formula>
    </cfRule>
    <cfRule type="cellIs" dxfId="668" priority="2" stopIfTrue="1" operator="equal">
      <formula>"TO DO"</formula>
    </cfRule>
    <cfRule type="cellIs" dxfId="667" priority="3" stopIfTrue="1" operator="equal">
      <formula>"WAITING"</formula>
    </cfRule>
    <cfRule type="cellIs" dxfId="666" priority="4" stopIfTrue="1" operator="equal">
      <formula>"ADVISORY"</formula>
    </cfRule>
  </conditionalFormatting>
  <conditionalFormatting sqref="B4:H6">
    <cfRule type="expression" dxfId="665" priority="5" stopIfTrue="1">
      <formula>$L$4="RED"</formula>
    </cfRule>
    <cfRule type="expression" dxfId="664" priority="6" stopIfTrue="1">
      <formula>$L$4="AMBER"</formula>
    </cfRule>
    <cfRule type="expression" dxfId="663" priority="7" stopIfTrue="1">
      <formula>$L$4="BLUE"</formula>
    </cfRule>
    <cfRule type="expression" dxfId="662" priority="8" stopIfTrue="1">
      <formula>$L$4="GREEN"</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A19D6-1ED6-47A0-A416-3B16A5308539}">
  <sheetPr codeName="Sheet2">
    <pageSetUpPr fitToPage="1"/>
  </sheetPr>
  <dimension ref="A1:A25"/>
  <sheetViews>
    <sheetView workbookViewId="0"/>
  </sheetViews>
  <sheetFormatPr defaultRowHeight="12.75"/>
  <cols>
    <col min="1" max="1" width="110.7109375" customWidth="1"/>
  </cols>
  <sheetData>
    <row r="1" spans="1:1" ht="20.25">
      <c r="A1" s="79" t="s">
        <v>3296</v>
      </c>
    </row>
    <row r="2" spans="1:1" ht="25.5">
      <c r="A2" s="56" t="s">
        <v>22868</v>
      </c>
    </row>
    <row r="3" spans="1:1" ht="38.25">
      <c r="A3" s="56" t="s">
        <v>4296</v>
      </c>
    </row>
    <row r="4" spans="1:1" ht="15">
      <c r="A4" s="78" t="s">
        <v>2593</v>
      </c>
    </row>
    <row r="5" spans="1:1" ht="25.5">
      <c r="A5" s="56" t="s">
        <v>22499</v>
      </c>
    </row>
    <row r="6" spans="1:1">
      <c r="A6" s="56" t="s">
        <v>3297</v>
      </c>
    </row>
    <row r="7" spans="1:1" ht="25.5">
      <c r="A7" s="56" t="s">
        <v>22500</v>
      </c>
    </row>
    <row r="8" spans="1:1" ht="15">
      <c r="A8" s="78" t="s">
        <v>3412</v>
      </c>
    </row>
    <row r="9" spans="1:1" ht="25.5">
      <c r="A9" s="56" t="s">
        <v>3298</v>
      </c>
    </row>
    <row r="10" spans="1:1" ht="25.5">
      <c r="A10" s="56" t="s">
        <v>22501</v>
      </c>
    </row>
    <row r="11" spans="1:1" ht="63.75">
      <c r="A11" s="56" t="s">
        <v>22872</v>
      </c>
    </row>
    <row r="12" spans="1:1" ht="51">
      <c r="A12" s="56" t="s">
        <v>22873</v>
      </c>
    </row>
    <row r="13" spans="1:1" ht="25.5">
      <c r="A13" s="56" t="s">
        <v>22502</v>
      </c>
    </row>
    <row r="14" spans="1:1" ht="25.5">
      <c r="A14" s="56" t="s">
        <v>4297</v>
      </c>
    </row>
    <row r="15" spans="1:1" ht="15">
      <c r="A15" s="78" t="s">
        <v>4298</v>
      </c>
    </row>
    <row r="16" spans="1:1">
      <c r="A16" s="56" t="s">
        <v>22503</v>
      </c>
    </row>
    <row r="17" spans="1:1" ht="38.25">
      <c r="A17" s="56" t="s">
        <v>22504</v>
      </c>
    </row>
    <row r="18" spans="1:1">
      <c r="A18" s="56" t="s">
        <v>4299</v>
      </c>
    </row>
    <row r="19" spans="1:1" ht="25.5">
      <c r="A19" s="56" t="s">
        <v>22505</v>
      </c>
    </row>
    <row r="20" spans="1:1" ht="15">
      <c r="A20" s="78" t="s">
        <v>3299</v>
      </c>
    </row>
    <row r="21" spans="1:1">
      <c r="A21" s="56" t="s">
        <v>4300</v>
      </c>
    </row>
    <row r="22" spans="1:1">
      <c r="A22" s="56" t="s">
        <v>4301</v>
      </c>
    </row>
    <row r="23" spans="1:1" ht="25.5">
      <c r="A23" s="56" t="s">
        <v>22869</v>
      </c>
    </row>
    <row r="24" spans="1:1" ht="25.5">
      <c r="A24" s="56" t="s">
        <v>22506</v>
      </c>
    </row>
    <row r="25" spans="1:1" ht="25.5">
      <c r="A25" s="56" t="s">
        <v>22507</v>
      </c>
    </row>
  </sheetData>
  <sheetProtection algorithmName="SHA-512" hashValue="NRHRYuPzqtsjOs6AGc5Fyv190Wh4AkusN938245y97cj/QkdQ07jNfZs+4BesetZZa2ld2Xsq+weSf6txw9FKQ==" saltValue="K2s0WIpl6QC2N+oTFYKjoA==" spinCount="100000" sheet="1" scenarios="1" formatColumns="0" sort="0" autoFilter="0"/>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1F3864"/>
    <pageSetUpPr fitToPage="1"/>
  </sheetPr>
  <dimension ref="A1:AZ202"/>
  <sheetViews>
    <sheetView showGridLines="0" workbookViewId="0">
      <selection activeCell="H21" sqref="H21"/>
    </sheetView>
  </sheetViews>
  <sheetFormatPr defaultRowHeight="12.75"/>
  <cols>
    <col min="1" max="1" width="5.7109375" customWidth="1"/>
    <col min="2" max="2" width="20.7109375" customWidth="1"/>
    <col min="3" max="3" width="15.7109375" customWidth="1"/>
    <col min="4" max="4" width="30.7109375" customWidth="1"/>
    <col min="5" max="5" width="42.7109375" customWidth="1"/>
    <col min="6" max="6" width="20.42578125" customWidth="1"/>
    <col min="7" max="7" width="15.5703125" customWidth="1"/>
    <col min="8" max="8" width="16.7109375" customWidth="1"/>
    <col min="9" max="10" width="52.7109375" customWidth="1"/>
    <col min="11" max="11" width="40.7109375" customWidth="1"/>
    <col min="12" max="12" width="14.7109375" customWidth="1"/>
    <col min="13" max="13" width="17.7109375" customWidth="1"/>
    <col min="14" max="14" width="18.28515625" customWidth="1"/>
    <col min="15" max="15" width="12.7109375" customWidth="1"/>
    <col min="16" max="17" width="10.7109375" customWidth="1"/>
    <col min="18" max="18" width="3.7109375" customWidth="1"/>
    <col min="19" max="19" width="16.7109375" customWidth="1"/>
    <col min="20" max="52" width="9.7109375" customWidth="1"/>
  </cols>
  <sheetData>
    <row r="1" spans="1:17" ht="20.25">
      <c r="A1" s="53" t="s">
        <v>133</v>
      </c>
    </row>
    <row r="2" spans="1:17">
      <c r="A2" s="54" t="s">
        <v>22876</v>
      </c>
    </row>
    <row r="3" spans="1:17" ht="15">
      <c r="A3" s="99" t="str" cm="1">
        <f t="array" ref="A3">IF(prmSetupCompletedOn="",_xlfn.XLOOKUP("NODATA",tblUIText[Key],tblUIText[Text],"NODATA"),"")</f>
        <v>Henüz veri yok – Kurulum'u tamamlayın (Giriş sayfası).
No data yet – complete Setup (Home).</v>
      </c>
    </row>
    <row r="4" spans="1:17">
      <c r="A4" s="62"/>
      <c r="B4" s="63" t="s">
        <v>3251</v>
      </c>
      <c r="C4" s="62"/>
      <c r="D4" s="62"/>
      <c r="E4" s="62"/>
      <c r="F4" s="63" t="s">
        <v>148</v>
      </c>
      <c r="G4" s="62"/>
      <c r="H4" s="62"/>
      <c r="I4" s="62"/>
      <c r="J4" s="62"/>
      <c r="K4" s="62"/>
      <c r="L4" s="62"/>
      <c r="M4" s="62"/>
      <c r="N4" s="62"/>
      <c r="O4" s="62"/>
      <c r="P4" s="62"/>
      <c r="Q4" s="62"/>
    </row>
    <row r="5" spans="1:17" ht="26.25">
      <c r="A5" s="62"/>
      <c r="B5" s="62" t="s">
        <v>135</v>
      </c>
      <c r="C5" s="62"/>
      <c r="D5" s="64">
        <f>INDEX(tblParameters[Value],MATCH("ActivePeriod",tblParameters[Parameter],0))</f>
        <v>0</v>
      </c>
      <c r="E5" s="62"/>
      <c r="F5" s="62" t="s">
        <v>134</v>
      </c>
      <c r="G5" s="62"/>
      <c r="H5" s="62"/>
      <c r="I5" s="65" t="str">
        <f>IF(COUNTIF(tblControl[Status],"REVIEW")=0,"OK","REVIEW")</f>
        <v>REVIEW</v>
      </c>
      <c r="J5" s="62"/>
      <c r="K5" s="62"/>
      <c r="L5" s="62"/>
      <c r="M5" s="62"/>
      <c r="N5" s="62"/>
      <c r="O5" s="62"/>
      <c r="P5" s="62"/>
      <c r="Q5" s="62"/>
    </row>
    <row r="6" spans="1:17">
      <c r="A6" s="62"/>
      <c r="B6" s="62" t="s">
        <v>136</v>
      </c>
      <c r="C6" s="62"/>
      <c r="D6" s="64">
        <f>IF(MOD(cpActivePeriod,100)=1,cpActivePeriod-89,cpActivePeriod-1)</f>
        <v>-1</v>
      </c>
      <c r="E6" s="62"/>
      <c r="F6" s="62" t="s">
        <v>3254</v>
      </c>
      <c r="G6" s="62"/>
      <c r="H6" s="62"/>
      <c r="I6" s="63">
        <f>COUNTIF(tblControl[Status],"REVIEW")</f>
        <v>2</v>
      </c>
      <c r="J6" s="62"/>
      <c r="K6" s="62"/>
      <c r="L6" s="62"/>
      <c r="M6" s="62"/>
      <c r="N6" s="62"/>
      <c r="O6" s="62"/>
      <c r="P6" s="62"/>
      <c r="Q6" s="62"/>
    </row>
    <row r="7" spans="1:17">
      <c r="A7" s="62"/>
      <c r="B7" s="62" t="s">
        <v>137</v>
      </c>
      <c r="C7" s="62"/>
      <c r="D7" s="64">
        <f>INDEX(tblParameters[Value],MATCH("ArchiveStartPeriod",tblParameters[Parameter],0))</f>
        <v>202409</v>
      </c>
      <c r="E7" s="62"/>
      <c r="F7" s="62" t="s">
        <v>3255</v>
      </c>
      <c r="G7" s="62"/>
      <c r="H7" s="62"/>
      <c r="I7" s="63">
        <f>COUNTIF(tblControl[Status],"REVIEW")-COUNTIFS(tblControl[Status],"REVIEW",tblControl[Explanation],"&lt;&gt;",tblControl[ExplainedPeriod],cpActivePeriod)</f>
        <v>2</v>
      </c>
      <c r="J7" s="62"/>
      <c r="K7" s="62"/>
      <c r="L7" s="62"/>
      <c r="M7" s="62"/>
      <c r="N7" s="62"/>
      <c r="O7" s="62"/>
      <c r="P7" s="62"/>
      <c r="Q7" s="62"/>
    </row>
    <row r="8" spans="1:17">
      <c r="A8" s="62"/>
      <c r="B8" s="62" t="s">
        <v>3873</v>
      </c>
      <c r="C8" s="62"/>
      <c r="D8" s="66" t="str">
        <f>INDEX(tblParameters[Value],MATCH("PlatformHomePath",tblParameters[Parameter],0))&amp;""</f>
        <v/>
      </c>
      <c r="E8" s="62"/>
      <c r="F8" s="62" t="s">
        <v>3256</v>
      </c>
      <c r="G8" s="62"/>
      <c r="H8" s="62"/>
      <c r="I8" s="63" t="str" cm="1">
        <f t="array" ref="I8">IF(INDEX(tblControl[Status],MATCH("STG_CURRENT",tblControl[CheckID],0))&lt;&gt;"OK","BLOCKED: staging is not current or the refresh was not logged - run Refresh",_xlfn.LET(_xlpm.h,_xlfn.TEXTJOIN(", ",TRUE,_xlfn._xlws.FILTER(tblControl[CheckID],(tblControl[Status]="REVIEW")*ISNUMBER(MATCH(tblControl[CheckID],{"RESTATEMENT","ARCHIVE_INTEGRITY","COLUMNMAP_LOCK","LOG_INTEGRITY","PRIVACY","FILES_UNEXPECTED"},0)),"")),IF(_xlpm.h&lt;&gt;"","BLOCKED: "&amp;SUBSTITUTE(_xlfn.XLOOKUP("GATE_HARD_REVIEW",tblUIText[Key],tblUIText[TR],""),"{0}",_xlpm.h)&amp;" / "&amp;SUBSTITUTE(_xlfn.XLOOKUP("GATE_HARD_REVIEW",tblUIText[Key],tblUIText[EN],""),"{0}",_xlpm.h),IF(cpUnexplained&gt;0,"BLOCKED: "&amp;cpUnexplained&amp;" REVIEW check(s) without an explanation for "&amp;cpActivePeriod,IF(cpReviewCount=0,"OPEN","OPEN - every REVIEW is explained")))))</f>
        <v>BLOCKED: staging is not current or the refresh was not logged - run Refresh</v>
      </c>
      <c r="J8" s="62"/>
      <c r="K8" s="62"/>
      <c r="L8" s="62"/>
      <c r="M8" s="62"/>
      <c r="N8" s="62"/>
      <c r="O8" s="62"/>
      <c r="P8" s="62"/>
      <c r="Q8" s="62"/>
    </row>
    <row r="9" spans="1:17">
      <c r="A9" s="62"/>
      <c r="B9" s="62" t="s">
        <v>3874</v>
      </c>
      <c r="C9" s="62"/>
      <c r="D9" s="66" t="str">
        <f>INDEX(tblParameters[Value],MATCH("SourceFolder",tblParameters[Parameter],0))&amp;""</f>
        <v/>
      </c>
      <c r="E9" s="62"/>
      <c r="F9" s="62" t="s">
        <v>3257</v>
      </c>
      <c r="G9" s="62"/>
      <c r="H9" s="62"/>
      <c r="I9" s="63" t="str" cm="1">
        <f t="array" ref="I9">_xlfn.LET(_xlpm.r,_xlfn.XMATCH(cpActivePeriod,tblSignOff[PeriodKey],0,-1),IF(ISNA(_xlpm.r),"Not submitted",INDEX(tblSignOff[Stage],_xlpm.r)&amp;" by "&amp;INDEX(tblSignOff[LogonUser],_xlpm.r)&amp;" on "&amp;YEAR(INDEX(tblSignOff[SignedAt],_xlpm.r))&amp;"-"&amp;TEXT(MONTH(INDEX(tblSignOff[SignedAt],_xlpm.r)),"00")&amp;"-"&amp;TEXT(DAY(INDEX(tblSignOff[SignedAt],_xlpm.r)),"00")))</f>
        <v>Not submitted</v>
      </c>
      <c r="J9" s="62"/>
      <c r="K9" s="62"/>
      <c r="L9" s="62"/>
      <c r="M9" s="62"/>
      <c r="N9" s="62"/>
      <c r="O9" s="62"/>
      <c r="P9" s="62"/>
      <c r="Q9" s="62"/>
    </row>
    <row r="10" spans="1:17">
      <c r="A10" s="62"/>
      <c r="B10" s="62" t="s">
        <v>138</v>
      </c>
      <c r="C10" s="62"/>
      <c r="D10" s="66" t="str">
        <f>INDEX(tblParameters[Value],MATCH("ReconBasis",tblParameters[Parameter],0))</f>
        <v>GrossAmount</v>
      </c>
      <c r="E10" s="62"/>
      <c r="F10" s="62" t="s">
        <v>3258</v>
      </c>
      <c r="G10" s="62"/>
      <c r="H10" s="62"/>
      <c r="I10" s="63" t="str">
        <f>logChainStatus</f>
        <v>OK</v>
      </c>
      <c r="J10" s="62"/>
      <c r="K10" s="62"/>
      <c r="L10" s="62"/>
      <c r="M10" s="62"/>
      <c r="N10" s="62"/>
      <c r="O10" s="62"/>
      <c r="P10" s="62"/>
      <c r="Q10" s="62"/>
    </row>
    <row r="11" spans="1:17">
      <c r="A11" s="62"/>
      <c r="B11" s="62" t="s">
        <v>139</v>
      </c>
      <c r="C11" s="62"/>
      <c r="D11" s="67">
        <f>INDEX(tblParameters[Value],MATCH("ReconAbsTolerance",tblParameters[Parameter],0))</f>
        <v>1</v>
      </c>
      <c r="E11" s="62"/>
      <c r="F11" s="62" t="s">
        <v>3259</v>
      </c>
      <c r="G11" s="62"/>
      <c r="H11" s="62"/>
      <c r="I11" s="63" t="str">
        <f>IFERROR(INDEX(STG_LogExternal[ReadStatus],1)&amp;": "&amp;INDEX(STG_LogExternal[ExternalEvents],1)&amp;" file(s); "&amp;INDEX(STG_LogExternal[MissingExternally],1)&amp;" workbook event(s) without identical copy; "&amp;INDEX(STG_LogExternal[NotInWorkbook],1)&amp;" external event(s) not in this workbook","not compared yet")</f>
        <v>OK: 0 file(s); 0 workbook event(s) without identical copy; 0 external event(s) not in this workbook</v>
      </c>
      <c r="J11" s="62"/>
      <c r="K11" s="62"/>
      <c r="L11" s="62"/>
      <c r="M11" s="62"/>
      <c r="N11" s="62"/>
      <c r="O11" s="62"/>
      <c r="P11" s="62"/>
      <c r="Q11" s="62"/>
    </row>
    <row r="12" spans="1:17">
      <c r="A12" s="62"/>
      <c r="B12" s="62" t="s">
        <v>140</v>
      </c>
      <c r="C12" s="62"/>
      <c r="D12" s="68">
        <f>INDEX(tblParameters[Value],MATCH("ReconRelTolerance",tblParameters[Parameter],0))</f>
        <v>0</v>
      </c>
      <c r="E12" s="62"/>
      <c r="F12" s="62" t="s">
        <v>3747</v>
      </c>
      <c r="G12" s="62"/>
      <c r="H12" s="62"/>
      <c r="I12" s="63" t="str" cm="1">
        <f t="array" ref="I12">IF(prmSetupCompletedOn="","not completed - an Administrator runs Setup (Home)",prmSetupCompletedOn&amp;" by "&amp;prmSetupCompletedBy)</f>
        <v>not completed - an Administrator runs Setup (Home)</v>
      </c>
      <c r="J12" s="62"/>
      <c r="K12" s="62"/>
      <c r="L12" s="62"/>
      <c r="M12" s="62"/>
      <c r="N12" s="62"/>
      <c r="O12" s="62"/>
      <c r="P12" s="62"/>
      <c r="Q12" s="62"/>
    </row>
    <row r="13" spans="1:17">
      <c r="A13" s="62"/>
      <c r="B13" s="62" t="s">
        <v>141</v>
      </c>
      <c r="C13" s="62"/>
      <c r="D13" s="64">
        <f>INDEX(tblParameters[Value],MATCH("DimDateStartYear",tblParameters[Parameter],0))</f>
        <v>2000</v>
      </c>
      <c r="E13" s="62"/>
      <c r="F13" s="100" t="s">
        <v>3875</v>
      </c>
      <c r="G13" s="62"/>
      <c r="H13" s="62"/>
      <c r="I13" s="62">
        <f>COUNTIF(tblControl[Status],"ADVISORY")</f>
        <v>1</v>
      </c>
      <c r="J13" s="62"/>
      <c r="K13" s="62"/>
      <c r="L13" s="62"/>
      <c r="M13" s="62"/>
      <c r="N13" s="62"/>
      <c r="O13" s="62"/>
      <c r="P13" s="62"/>
      <c r="Q13" s="62"/>
    </row>
    <row r="14" spans="1:17">
      <c r="A14" s="62"/>
      <c r="B14" s="62" t="s">
        <v>142</v>
      </c>
      <c r="C14" s="62"/>
      <c r="D14" s="64">
        <f>INDEX(tblParameters[Value],MATCH("DimDateEndYear",tblParameters[Parameter],0))</f>
        <v>2030</v>
      </c>
      <c r="E14" s="62"/>
      <c r="F14" s="69" t="s">
        <v>3260</v>
      </c>
      <c r="G14" s="62"/>
      <c r="H14" s="62"/>
      <c r="I14" s="62"/>
      <c r="J14" s="62"/>
      <c r="K14" s="62"/>
      <c r="L14" s="62"/>
      <c r="M14" s="62"/>
      <c r="N14" s="62"/>
      <c r="O14" s="62"/>
      <c r="P14" s="62"/>
      <c r="Q14" s="62"/>
    </row>
    <row r="15" spans="1:17">
      <c r="A15" s="62"/>
      <c r="B15" s="62" t="s">
        <v>143</v>
      </c>
      <c r="C15" s="62"/>
      <c r="D15" s="70">
        <f>IFERROR(INDEX(STG_Refresh[RefreshedAt],1),"never")</f>
        <v>0</v>
      </c>
      <c r="E15" s="62"/>
      <c r="F15" s="62"/>
      <c r="G15" s="62"/>
      <c r="H15" s="62"/>
      <c r="I15" s="62"/>
      <c r="J15" s="62"/>
      <c r="K15" s="62"/>
      <c r="L15" s="62"/>
      <c r="M15" s="62"/>
      <c r="N15" s="62"/>
      <c r="O15" s="62"/>
      <c r="P15" s="62"/>
      <c r="Q15" s="62"/>
    </row>
    <row r="16" spans="1:17">
      <c r="A16" s="62"/>
      <c r="B16" s="62" t="s">
        <v>3252</v>
      </c>
      <c r="C16" s="62"/>
      <c r="D16" s="70" t="str" cm="1">
        <f t="array" ref="D16">IFERROR(LOOKUP(2,1/(tblRefreshLog[StagingRefreshedAt]&lt;&gt;""),tblRefreshLog[StagingRefreshedAt]),"none")</f>
        <v>none</v>
      </c>
      <c r="E16" s="62"/>
      <c r="F16" s="62"/>
      <c r="G16" s="62"/>
      <c r="H16" s="62"/>
      <c r="I16" s="62"/>
      <c r="J16" s="62"/>
      <c r="K16" s="62"/>
      <c r="L16" s="62"/>
      <c r="M16" s="62"/>
      <c r="N16" s="62"/>
      <c r="O16" s="62"/>
      <c r="P16" s="62"/>
      <c r="Q16" s="62"/>
    </row>
    <row r="17" spans="1:17">
      <c r="A17" s="62"/>
      <c r="B17" s="62" t="s">
        <v>3253</v>
      </c>
      <c r="C17" s="62"/>
      <c r="D17" s="71">
        <f>MAX(MAX(tblFXRate[RateDate]),_xlfn.MAXIFS(STG_FXFetch[RateDate],STG_FXFetch[FetchStatus],"OK"),_xlfn.MAXIFS(STG_FXFetch[RateDate],STG_FXFetch[FetchStatus],"NO BULLETIN"))</f>
        <v>46295</v>
      </c>
      <c r="E17" s="62"/>
      <c r="F17" s="62"/>
      <c r="G17" s="62"/>
      <c r="H17" s="62"/>
      <c r="I17" s="62"/>
      <c r="J17" s="62"/>
      <c r="K17" s="62"/>
      <c r="L17" s="62"/>
      <c r="M17" s="62"/>
      <c r="N17" s="62"/>
      <c r="O17" s="62"/>
      <c r="P17" s="62"/>
      <c r="Q17" s="62"/>
    </row>
    <row r="19" spans="1:17" ht="42" customHeight="1">
      <c r="A19" s="58" t="s">
        <v>3876</v>
      </c>
      <c r="B19" s="58"/>
      <c r="C19" s="58"/>
      <c r="D19" s="58"/>
      <c r="E19" s="58"/>
      <c r="F19" s="58"/>
      <c r="G19" s="58"/>
      <c r="H19" s="58"/>
      <c r="I19" s="58"/>
      <c r="J19" s="58"/>
      <c r="K19" s="58"/>
      <c r="L19" s="58"/>
      <c r="M19" s="58"/>
      <c r="N19" s="58"/>
    </row>
    <row r="20" spans="1:17" ht="27" customHeight="1">
      <c r="A20" s="50" t="s">
        <v>3193</v>
      </c>
      <c r="B20" s="50" t="s">
        <v>3140</v>
      </c>
      <c r="C20" s="50" t="s">
        <v>144</v>
      </c>
      <c r="D20" s="50" t="s">
        <v>145</v>
      </c>
      <c r="E20" s="50" t="s">
        <v>3194</v>
      </c>
      <c r="F20" s="50" t="s">
        <v>146</v>
      </c>
      <c r="G20" s="50" t="s">
        <v>147</v>
      </c>
      <c r="H20" s="50" t="s">
        <v>2618</v>
      </c>
      <c r="I20" s="50" t="s">
        <v>148</v>
      </c>
      <c r="J20" s="50" t="s">
        <v>149</v>
      </c>
      <c r="K20" s="50" t="s">
        <v>3195</v>
      </c>
      <c r="L20" s="50" t="s">
        <v>2338</v>
      </c>
      <c r="M20" s="50" t="s">
        <v>3196</v>
      </c>
      <c r="N20" s="50" t="s">
        <v>3197</v>
      </c>
      <c r="O20" s="50" t="s">
        <v>3198</v>
      </c>
    </row>
    <row r="21" spans="1:17" ht="42" customHeight="1">
      <c r="A21" s="372">
        <v>1</v>
      </c>
      <c r="B21" s="372" t="s">
        <v>2858</v>
      </c>
      <c r="C21" s="372" t="s">
        <v>150</v>
      </c>
      <c r="D21" s="372" t="s">
        <v>3199</v>
      </c>
      <c r="E21" s="372" t="s">
        <v>3866</v>
      </c>
      <c r="F21" s="373">
        <f>IF(COUNT(STG_Refresh[ActivePeriod])=0,1,(INDEX(STG_Refresh[ActivePeriod],1)&lt;&gt;cpActivePeriod)+(INDEX(STG_Refresh[SourceLocation],1)&lt;&gt;cpSourceLocation)+(ABS(INDEX(STG_Refresh[RefreshedAt],1)-N(cpLastLoggedRefresh))&gt;1/86400))+COUNTIFS(STG_ActiveFact[PeriodKey],"&lt;&gt;"&amp;cpActivePeriod,STG_ActiveFact[CaseKey],"&lt;&gt;")</f>
        <v>1</v>
      </c>
      <c r="G21" s="374">
        <v>0</v>
      </c>
      <c r="H21" s="374" t="s">
        <v>3421</v>
      </c>
      <c r="I21" s="375" t="str">
        <f>IF(N(tblControl[[#This Row],[Result]])&lt;=tblControl[[#This Row],[Threshold]],"OK",IF(tblControl[[#This Row],[Severity]]="ADVISORY","ADVISORY","REVIEW"))</f>
        <v>REVIEW</v>
      </c>
      <c r="J21" s="372" t="str" cm="1">
        <f t="array" ref="J21">IF(tblControl[[#This Row],[Result]]=0,"Staging reflects "&amp;cpActivePeriod&amp;" and is the last logged refresh.",IF(COUNT(STG_Refresh[ActivePeriod])=0,IF(prmSetupCompletedOn="","No data yet - complete Setup (Home).","Staging has never been refreshed."),IF(OR(INDEX(STG_Refresh[ActivePeriod],1)&lt;&gt;cpActivePeriod,INDEX(STG_Refresh[SourceLocation],1)&lt;&gt;cpSourceLocation),"Staging was refreshed for "&amp;INDEX(STG_Refresh[ActivePeriod],1)&amp;", but Parameters now say "&amp;cpActivePeriod&amp;" (or the source folder changed). Every other check is unreliable until Refresh.",IF(ABS(INDEX(STG_Refresh[RefreshedAt],1)-N(cpLastLoggedRefresh))&gt;1/86400,"The last refresh did not run through Refresh (Cmd_RefreshAll), e.g. Data &gt; Refresh All, so it is not in RefreshLog.",tblControl[[#This Row],[Result]]&amp;" staging line(s) belong to another period."))))</f>
        <v>No data yet - complete Setup (Home).</v>
      </c>
      <c r="K21" s="372" t="s">
        <v>3200</v>
      </c>
      <c r="L21" s="376"/>
      <c r="M21" s="377"/>
      <c r="N21" s="377"/>
      <c r="O21" s="377"/>
    </row>
    <row r="22" spans="1:17" ht="29.1" customHeight="1">
      <c r="A22" s="372">
        <v>2</v>
      </c>
      <c r="B22" s="372" t="s">
        <v>3147</v>
      </c>
      <c r="C22" s="372" t="s">
        <v>151</v>
      </c>
      <c r="D22" s="372" t="s">
        <v>3201</v>
      </c>
      <c r="E22" s="372" t="s">
        <v>3202</v>
      </c>
      <c r="F22" s="373" cm="1">
        <f t="array" ref="F22">SUM((cmExpected="Y")*(cmFiles=0)*(cmNil=0))</f>
        <v>0</v>
      </c>
      <c r="G22" s="374">
        <v>0</v>
      </c>
      <c r="H22" s="374" t="s">
        <v>3421</v>
      </c>
      <c r="I22" s="375" t="str">
        <f>IF(N(tblControl[[#This Row],[Result]])&lt;=tblControl[[#This Row],[Threshold]],"OK",IF(tblControl[[#This Row],[Severity]]="ADVISORY","ADVISORY","REVIEW"))</f>
        <v>OK</v>
      </c>
      <c r="J22" s="372" t="str" cm="1">
        <f t="array" ref="J22">IF(tblControl[[#This Row],[Result]]=0,"All "&amp;SUM(--(cmExpected="Y"))&amp;" expected companies delivered a file or a nil return for "&amp;cpActivePeriod&amp;".",tblControl[[#This Row],[Result]]&amp;" expected compan"&amp;IF(tblControl[[#This Row],[Result]]=1,"y has","ies have")&amp;" neither a file nor a nil return for "&amp;cpActivePeriod&amp;": "&amp;_xlfn.TEXTJOIN(", ",TRUE,_xlfn._xlws.FILTER(cmCompany,(cmExpected="Y")*(cmFiles=0)*(cmNil=0),""))&amp;".")</f>
        <v>All 0 expected companies delivered a file or a nil return for 0.</v>
      </c>
      <c r="K22" s="372" t="s">
        <v>3203</v>
      </c>
      <c r="L22" s="376"/>
      <c r="M22" s="377"/>
      <c r="N22" s="377"/>
      <c r="O22" s="377"/>
    </row>
    <row r="23" spans="1:17" ht="42" customHeight="1">
      <c r="A23" s="372">
        <v>3</v>
      </c>
      <c r="B23" s="372" t="s">
        <v>3204</v>
      </c>
      <c r="C23" s="372" t="s">
        <v>151</v>
      </c>
      <c r="D23" s="372" t="s">
        <v>152</v>
      </c>
      <c r="E23" s="372" t="s">
        <v>3205</v>
      </c>
      <c r="F23" s="373">
        <f>COUNTIFS(STG_Files[PeriodKey],cpActivePeriod,STG_Files[MatchStatus],"MATCHED",STG_Files[FilesForCompanyPeriod],"&gt;1")</f>
        <v>0</v>
      </c>
      <c r="G23" s="374">
        <v>0</v>
      </c>
      <c r="H23" s="374" t="s">
        <v>3421</v>
      </c>
      <c r="I23" s="375" t="str">
        <f>IF(N(tblControl[[#This Row],[Result]])&lt;=tblControl[[#This Row],[Threshold]],"OK",IF(tblControl[[#This Row],[Severity]]="ADVISORY","ADVISORY","REVIEW"))</f>
        <v>OK</v>
      </c>
      <c r="J23" s="372" t="str">
        <f>IF(tblControl[[#This Row],[Result]]=0,"Each company file for "&amp;cpActivePeriod&amp;" exists exactly once in the source location.",tblControl[[#This Row],[Result]]&amp;" files share company and period with another file - ALL copies are loaded (double counting).")</f>
        <v>Each company file for 0 exists exactly once in the source location.</v>
      </c>
      <c r="K23" s="372" t="s">
        <v>3206</v>
      </c>
      <c r="L23" s="376"/>
      <c r="M23" s="377"/>
      <c r="N23" s="377"/>
      <c r="O23" s="377"/>
    </row>
    <row r="24" spans="1:17" ht="42" customHeight="1">
      <c r="A24" s="372">
        <v>4</v>
      </c>
      <c r="B24" s="372" t="s">
        <v>3207</v>
      </c>
      <c r="C24" s="372" t="s">
        <v>151</v>
      </c>
      <c r="D24" s="372" t="s">
        <v>153</v>
      </c>
      <c r="E24" s="372" t="s">
        <v>3208</v>
      </c>
      <c r="F24" s="373">
        <f>COUNTIFS(STG_Files[MatchStatus],"NEAR-MISS",STG_Files[PeriodKey],"")+COUNTIFS(STG_Files[MatchStatus],"NEAR-MISS",STG_Files[PeriodKey],cpActivePeriod)</f>
        <v>0</v>
      </c>
      <c r="G24" s="374">
        <v>0</v>
      </c>
      <c r="H24" s="374" t="s">
        <v>3421</v>
      </c>
      <c r="I24" s="375" t="str">
        <f>IF(N(tblControl[[#This Row],[Result]])&lt;=tblControl[[#This Row],[Threshold]],"OK",IF(tblControl[[#This Row],[Severity]]="ADVISORY","ADVISORY","REVIEW"))</f>
        <v>OK</v>
      </c>
      <c r="J24" s="372" t="str">
        <f>IF(tblControl[[#This Row],[Result]]=0,"No mis-named payment files in the source location.",tblControl[[#This Row],[Result]]&amp;" file(s) look like payment files but break the naming pattern and are NOT loaded.")</f>
        <v>No mis-named payment files in the source location.</v>
      </c>
      <c r="K24" s="372" t="s">
        <v>21440</v>
      </c>
      <c r="L24" s="376"/>
      <c r="M24" s="377"/>
      <c r="N24" s="377"/>
      <c r="O24" s="377"/>
    </row>
    <row r="25" spans="1:17" ht="54.95" customHeight="1">
      <c r="A25" s="372">
        <v>5</v>
      </c>
      <c r="B25" s="372" t="s">
        <v>3209</v>
      </c>
      <c r="C25" s="372" t="s">
        <v>151</v>
      </c>
      <c r="D25" s="372" t="s">
        <v>154</v>
      </c>
      <c r="E25" s="372" t="s">
        <v>155</v>
      </c>
      <c r="F25" s="373" cm="1">
        <f t="array" ref="F25">SUMPRODUCT((STG_Files[PeriodKey]=cpActivePeriod)*(STG_Files[MatchStatus]="MATCHED")*(COUNTIFS(cmCompany,STG_Files[CompanyID],cmExpected,"Y")=0))</f>
        <v>0</v>
      </c>
      <c r="G25" s="374">
        <v>0</v>
      </c>
      <c r="H25" s="374" t="s">
        <v>3421</v>
      </c>
      <c r="I25" s="375" t="str">
        <f>IF(N(tblControl[[#This Row],[Result]])&lt;=tblControl[[#This Row],[Threshold]],"OK",IF(tblControl[[#This Row],[Severity]]="ADVISORY","ADVISORY","REVIEW"))</f>
        <v>OK</v>
      </c>
      <c r="J25" s="372" t="str">
        <f>IF(tblControl[[#This Row],[Result]]=0,"Every matched file belongs to a company expected this period.",tblControl[[#This Row],[Result]]&amp;" matched file(s) belong to a company that is not in DimCompany or outside its reporting window.")</f>
        <v>Every matched file belongs to a company expected this period.</v>
      </c>
      <c r="K25" s="372" t="s">
        <v>156</v>
      </c>
      <c r="L25" s="376"/>
      <c r="M25" s="377"/>
      <c r="N25" s="377"/>
      <c r="O25" s="377"/>
    </row>
    <row r="26" spans="1:17" ht="54.95" customHeight="1">
      <c r="A26" s="372">
        <v>6</v>
      </c>
      <c r="B26" s="372" t="s">
        <v>2832</v>
      </c>
      <c r="C26" s="372" t="s">
        <v>157</v>
      </c>
      <c r="D26" s="372" t="s">
        <v>158</v>
      </c>
      <c r="E26" s="372" t="s">
        <v>159</v>
      </c>
      <c r="F26" s="373" cm="1">
        <f t="array" ref="F26">COUNTIFS(tblRecon[PeriodKey],cpActivePeriod,tblRecon[Status],"REVIEW")+SUMPRODUCT((STG_Summary[PeriodKey]=cpActivePeriod)*(STG_Summary[DataSource]="ACTIVE")*(COUNTIFS(tblRecon[PeriodKey],cpActivePeriod,tblRecon[CompanyID],STG_Summary[CompanyID],tblRecon[CurrencyCode],STG_Summary[CurrencyCode])=0))</f>
        <v>0</v>
      </c>
      <c r="G26" s="374">
        <v>0</v>
      </c>
      <c r="H26" s="374" t="s">
        <v>3421</v>
      </c>
      <c r="I26" s="375" t="str">
        <f>IF(N(tblControl[[#This Row],[Result]])&lt;=tblControl[[#This Row],[Threshold]],"OK",IF(tblControl[[#This Row],[Severity]]="ADVISORY","ADVISORY","REVIEW"))</f>
        <v>OK</v>
      </c>
      <c r="J26" s="372" t="str">
        <f>IF(tblControl[[#This Row],[Result]]=0,IF(COUNTIFS(STG_Summary[PeriodKey],cpActivePeriod,STG_Summary[DataSource],"ACTIVE")=0,"No payment lines loaded for "&amp;cpActivePeriod&amp;" yet - nothing to reconcile (see FILES_EXPECTED and MAPPING_DQ).","All "&amp;COUNTIFS(tblRecon[PeriodKey],cpActivePeriod)&amp;" company/currency totals agree with the independent source within tolerance."),COUNTIFS(tblRecon[PeriodKey],cpActivePeriod,tblRecon[Status],"REVIEW")&amp;" Recon row(s) outside tolerance or without an independent total; "&amp;(tblControl[[#This Row],[Result]]-COUNTIFS(tblRecon[PeriodKey],cpActivePeriod,tblRecon[Status],"REVIEW"))&amp;" company/currency total(s) in the data have no Recon row.")</f>
        <v>No payment lines loaded for 0 yet - nothing to reconcile (see FILES_EXPECTED and MAPPING_DQ).</v>
      </c>
      <c r="K26" s="372" t="s">
        <v>3210</v>
      </c>
      <c r="L26" s="376"/>
      <c r="M26" s="377"/>
      <c r="N26" s="377"/>
      <c r="O26" s="377"/>
    </row>
    <row r="27" spans="1:17" ht="42" customHeight="1">
      <c r="A27" s="372">
        <v>7</v>
      </c>
      <c r="B27" s="372" t="s">
        <v>2843</v>
      </c>
      <c r="C27" s="372" t="s">
        <v>160</v>
      </c>
      <c r="D27" s="372" t="s">
        <v>161</v>
      </c>
      <c r="E27" s="372" t="s">
        <v>162</v>
      </c>
      <c r="F27" s="373">
        <f>SUM(STG_ActiveFact[ChronoViolation])</f>
        <v>0</v>
      </c>
      <c r="G27" s="374">
        <v>0</v>
      </c>
      <c r="H27" s="374" t="s">
        <v>3421</v>
      </c>
      <c r="I27" s="375" t="str">
        <f>IF(N(tblControl[[#This Row],[Result]])&lt;=tblControl[[#This Row],[Threshold]],"OK",IF(tblControl[[#This Row],[Severity]]="ADVISORY","ADVISORY","REVIEW"))</f>
        <v>OK</v>
      </c>
      <c r="J27" s="372" t="str">
        <f>IF(tblControl[[#This Row],[Result]]=0,"All payment lines respect loss &lt;= notification &lt;= decision &lt;= payment.",tblControl[[#This Row],[Result]]&amp;" payment line(s) have dates in the wrong order.")</f>
        <v>All payment lines respect loss &lt;= notification &lt;= decision &lt;= payment.</v>
      </c>
      <c r="K27" s="372" t="s">
        <v>3211</v>
      </c>
      <c r="L27" s="376"/>
      <c r="M27" s="377"/>
      <c r="N27" s="377"/>
      <c r="O27" s="377"/>
    </row>
    <row r="28" spans="1:17" ht="29.1" customHeight="1">
      <c r="A28" s="372">
        <v>8</v>
      </c>
      <c r="B28" s="372" t="s">
        <v>2842</v>
      </c>
      <c r="C28" s="372" t="s">
        <v>160</v>
      </c>
      <c r="D28" s="372" t="s">
        <v>163</v>
      </c>
      <c r="E28" s="372" t="s">
        <v>164</v>
      </c>
      <c r="F28" s="373">
        <f>SUM(STG_ActiveFact[IsDuplicateKey])</f>
        <v>0</v>
      </c>
      <c r="G28" s="374">
        <v>0</v>
      </c>
      <c r="H28" s="374" t="s">
        <v>3421</v>
      </c>
      <c r="I28" s="375" t="str">
        <f>IF(N(tblControl[[#This Row],[Result]])&lt;=tblControl[[#This Row],[Threshold]],"OK",IF(tblControl[[#This Row],[Severity]]="ADVISORY","ADVISORY","REVIEW"))</f>
        <v>OK</v>
      </c>
      <c r="J28" s="372" t="str">
        <f>IF(tblControl[[#This Row],[Result]]=0,"No business key occurs twice (installments sharing a CaseNo are not duplicates).",tblControl[[#This Row],[Result]]&amp;" line(s) share their key with another line: "&amp;COUNTIFS(STG_ActiveFact[DuplicateScope],"WITHIN PERIOD")&amp;" within "&amp;cpActivePeriod&amp;", "&amp;COUNTIFS(STG_ActiveFact[DuplicateScope],"ACROSS PERIODS")&amp;" with a line of an archived month.")</f>
        <v>No business key occurs twice (installments sharing a CaseNo are not duplicates).</v>
      </c>
      <c r="K28" s="372" t="s">
        <v>3212</v>
      </c>
      <c r="L28" s="376"/>
      <c r="M28" s="377"/>
      <c r="N28" s="377"/>
      <c r="O28" s="377"/>
    </row>
    <row r="29" spans="1:17" ht="42" customHeight="1">
      <c r="A29" s="372">
        <v>9</v>
      </c>
      <c r="B29" s="372" t="s">
        <v>2839</v>
      </c>
      <c r="C29" s="372" t="s">
        <v>160</v>
      </c>
      <c r="D29" s="372" t="s">
        <v>165</v>
      </c>
      <c r="E29" s="372" t="s">
        <v>166</v>
      </c>
      <c r="F29" s="373">
        <f>SUM(STG_ActiveFact[FXRateMissing])</f>
        <v>0</v>
      </c>
      <c r="G29" s="374">
        <v>0</v>
      </c>
      <c r="H29" s="374" t="s">
        <v>3421</v>
      </c>
      <c r="I29" s="375" t="str">
        <f>IF(N(tblControl[[#This Row],[Result]])&lt;=tblControl[[#This Row],[Threshold]],"OK",IF(tblControl[[#This Row],[Severity]]="ADVISORY","ADVISORY","REVIEW"))</f>
        <v>OK</v>
      </c>
      <c r="J29" s="372" t="str" cm="1">
        <f t="array" ref="J29">IF(tblControl[[#This Row],[Result]]=0,"Every foreign-currency line has a rate (carried forward at most "&amp;prmFXMaxCarryForwardDays&amp;" days).",tblControl[[#This Row],[Result]]&amp;" foreign-currency line(s) have no usable rate and are EXCLUDED from TRY totals.")</f>
        <v>Every foreign-currency line has a rate (carried forward at most 10 days).</v>
      </c>
      <c r="K29" s="372" t="s">
        <v>3213</v>
      </c>
      <c r="L29" s="376"/>
      <c r="M29" s="377"/>
      <c r="N29" s="377"/>
      <c r="O29" s="377"/>
    </row>
    <row r="30" spans="1:17" ht="54.95" customHeight="1">
      <c r="A30" s="372">
        <v>10</v>
      </c>
      <c r="B30" s="372" t="s">
        <v>2867</v>
      </c>
      <c r="C30" s="372" t="s">
        <v>160</v>
      </c>
      <c r="D30" s="372" t="s">
        <v>3214</v>
      </c>
      <c r="E30" s="372" t="s">
        <v>3215</v>
      </c>
      <c r="F30" s="373" cm="1">
        <f t="array" ref="F30">IF(OR(UPPER(prmFXAutoFetch)&lt;&gt;"Y",UPPER(prmFXSource)&lt;&gt;"CBRT_XML"),0,COUNTIF(STG_FXFetch[FetchStatus],"ERROR")+IF(MAX(STG_ActiveFact[PaymentDate])&gt;cpFXCoveredTo,1,0))</f>
        <v>0</v>
      </c>
      <c r="G30" s="374">
        <v>0</v>
      </c>
      <c r="H30" s="374" t="s">
        <v>3421</v>
      </c>
      <c r="I30" s="375" t="str">
        <f>IF(N(tblControl[[#This Row],[Result]])&lt;=tblControl[[#This Row],[Threshold]],"OK",IF(tblControl[[#This Row],[Severity]]="ADVISORY","ADVISORY","REVIEW"))</f>
        <v>OK</v>
      </c>
      <c r="J30" s="372" t="str" cm="1">
        <f t="array" ref="J30">IF(OR(UPPER(prmFXAutoFetch)&lt;&gt;"Y",UPPER(prmFXSource)&lt;&gt;"CBRT_XML"),"Automatic CBRT fetch is off (FXAutoFetch = "&amp;prmFXAutoFetch&amp;", FXSource = "&amp;prmFXSource&amp;"): rates are maintained by hand on sheet FX; FX_RATES shows any gap.",IF(tblControl[[#This Row],[Result]]=0,"CBRT bulletins checked up to "&amp;YEAR(cpFXCoveredTo)&amp;"-"&amp;TEXT(MONTH(cpFXCoveredTo),"00")&amp;"-"&amp;TEXT(DAY(cpFXCoveredTo),"00")&amp;" ("&amp;COUNTIF(STG_FXFetch[FetchStatus],"OK")&amp;" rate(s) fetched at the last refresh, "&amp;COUNTIF(STG_FXFetch[FetchStatus],"NO BULLETIN")&amp;" day(s) without bulletin).",TRIM(IF(COUNTIF(STG_FXFetch[FetchStatus],"ERROR")&gt;0,COUNTIF(STG_FXFetch[FetchStatus],"ERROR")&amp;" fetched item(s) failed - see STG_FXFetch (Detail). ","")&amp;IF(MAX(STG_ActiveFact[PaymentDate])&gt;cpFXCoveredTo,"Rates are known up to "&amp;YEAR(cpFXCoveredTo)&amp;"-"&amp;TEXT(MONTH(cpFXCoveredTo),"00")&amp;"-"&amp;TEXT(DAY(cpFXCoveredTo),"00")&amp;" but the latest payment date is "&amp;YEAR(MAX(STG_ActiveFact[PaymentDate]))&amp;"-"&amp;TEXT(MONTH(MAX(STG_ActiveFact[PaymentDate])),"00")&amp;"-"&amp;TEXT(DAY(MAX(STG_ActiveFact[PaymentDate])),"00")&amp;": later bulletins are not published yet or were not fetched; those lines use a carried-forward rate.",""))))</f>
        <v>Automatic CBRT fetch is off (FXAutoFetch = N, FXSource = CBRT_XML): rates are maintained by hand on sheet FX; FX_RATES shows any gap.</v>
      </c>
      <c r="K30" s="372" t="s">
        <v>3871</v>
      </c>
      <c r="L30" s="376"/>
      <c r="M30" s="377"/>
      <c r="N30" s="377"/>
      <c r="O30" s="377"/>
    </row>
    <row r="31" spans="1:17" ht="42" customHeight="1">
      <c r="A31" s="372">
        <v>11</v>
      </c>
      <c r="B31" s="372" t="s">
        <v>2837</v>
      </c>
      <c r="C31" s="372" t="s">
        <v>160</v>
      </c>
      <c r="D31" s="372" t="s">
        <v>167</v>
      </c>
      <c r="E31" s="372" t="s">
        <v>168</v>
      </c>
      <c r="F31" s="373">
        <f>SUM(STG_ActiveFact[PaymentOutsidePeriod])+COUNTIFS(STG_ActiveFact[LossDate],"&lt;"&amp;DATE(cpDimStartYear,1,1))+COUNTIFS(STG_ActiveFact[LossDate],"&gt;"&amp;DATE(cpDimEndYear,12,31))+COUNTIFS(STG_ActiveFact[NotificationDate],"&lt;"&amp;DATE(cpDimStartYear,1,1))+COUNTIFS(STG_ActiveFact[NotificationDate],"&gt;"&amp;DATE(cpDimEndYear,12,31))+COUNTIFS(STG_ActiveFact[DecisionDate],"&lt;"&amp;DATE(cpDimStartYear,1,1))+COUNTIFS(STG_ActiveFact[DecisionDate],"&gt;"&amp;DATE(cpDimEndYear,12,31))+COUNTIFS(STG_ActiveFact[PaymentDate],"&lt;"&amp;DATE(cpDimStartYear,1,1))+COUNTIFS(STG_ActiveFact[PaymentDate],"&gt;"&amp;DATE(cpDimEndYear,12,31))</f>
        <v>0</v>
      </c>
      <c r="G31" s="374">
        <v>0</v>
      </c>
      <c r="H31" s="374" t="s">
        <v>3421</v>
      </c>
      <c r="I31" s="375" t="str">
        <f>IF(N(tblControl[[#This Row],[Result]])&lt;=tblControl[[#This Row],[Threshold]],"OK",IF(tblControl[[#This Row],[Severity]]="ADVISORY","ADVISORY","REVIEW"))</f>
        <v>OK</v>
      </c>
      <c r="J31" s="372" t="str">
        <f>IF(tblControl[[#This Row],[Result]]=0,"All payment dates fall in "&amp;cpActivePeriod&amp;" and all dates lie inside "&amp;cpDimStartYear&amp;"-"&amp;cpDimEndYear&amp;".",SUM(STG_ActiveFact[PaymentOutsidePeriod])&amp;" line(s) paid outside the file period; "&amp;(tblControl[[#This Row],[Result]]-SUM(STG_ActiveFact[PaymentOutsidePeriod]))&amp;" date(s) outside "&amp;cpDimStartYear&amp;"-"&amp;cpDimEndYear&amp;".")</f>
        <v>All payment dates fall in 0 and all dates lie inside 2000-2030.</v>
      </c>
      <c r="K31" s="372" t="s">
        <v>169</v>
      </c>
      <c r="L31" s="376"/>
      <c r="M31" s="377"/>
      <c r="N31" s="377"/>
      <c r="O31" s="377"/>
    </row>
    <row r="32" spans="1:17" ht="42" customHeight="1">
      <c r="A32" s="372">
        <v>12</v>
      </c>
      <c r="B32" s="372" t="s">
        <v>2830</v>
      </c>
      <c r="C32" s="372" t="s">
        <v>160</v>
      </c>
      <c r="D32" s="372" t="s">
        <v>170</v>
      </c>
      <c r="E32" s="372" t="s">
        <v>3216</v>
      </c>
      <c r="F32" s="373">
        <f>COUNTIFS(STG_DQ[Severity],"REVIEW")</f>
        <v>0</v>
      </c>
      <c r="G32" s="374">
        <v>0</v>
      </c>
      <c r="H32" s="374" t="s">
        <v>3421</v>
      </c>
      <c r="I32" s="375" t="str">
        <f>IF(N(tblControl[[#This Row],[Result]])&lt;=tblControl[[#This Row],[Threshold]],"OK",IF(tblControl[[#This Row],[Severity]]="ADVISORY","ADVISORY","REVIEW"))</f>
        <v>OK</v>
      </c>
      <c r="J32" s="372" t="str">
        <f>IF(tblControl[[#This Row],[Result]]=0,"No mapping or conversion issue ("&amp;COUNTIFS(STG_DQ[Severity],"INFO")&amp;" INFO item(s) for awareness).",tblControl[[#This Row],[Result]]&amp;" issue(s): "&amp;COUNTIFS(STG_DQ[IssueType],"UNMAPPED HEADER")&amp;" unmapped header, "&amp;COUNTIFS(STG_DQ[IssueType],"MISSING COLUMN",STG_DQ[Severity],"REVIEW")&amp;" missing core column, "&amp;COUNTIFS(STG_DQ[IssueType],"TYPE CONVERSION")&amp;" conversion, "&amp;COUNTIFS(STG_DQ[IssueType],"EMPTY FILE")&amp;" empty file, "&amp;COUNTIFS(STG_DQ[IssueType],"NO MAPPED HEADER")&amp;" file(s) without a recognised header row, "&amp;(COUNTIFS(STG_DQ[IssueType],"BLANK CORE VALUE")+COUNTIFS(STG_DQ[IssueType],"AMBIGUOUS MAPPING",STG_DQ[Severity],"REVIEW")+COUNTIFS(STG_DQ[IssueType],"DICTIONARY*"))&amp;" other.")</f>
        <v>No mapping or conversion issue (0 INFO item(s) for awareness).</v>
      </c>
      <c r="K32" s="372" t="s">
        <v>3217</v>
      </c>
      <c r="L32" s="376"/>
      <c r="M32" s="377"/>
      <c r="N32" s="377"/>
      <c r="O32" s="377"/>
    </row>
    <row r="33" spans="1:15" ht="54.95" customHeight="1">
      <c r="A33" s="372">
        <v>13</v>
      </c>
      <c r="B33" s="372" t="s">
        <v>2873</v>
      </c>
      <c r="C33" s="372" t="s">
        <v>160</v>
      </c>
      <c r="D33" s="372" t="s">
        <v>3218</v>
      </c>
      <c r="E33" s="372" t="s">
        <v>3219</v>
      </c>
      <c r="F33" s="373">
        <f>SUM(STG_ActiveFact[IsOutlier])</f>
        <v>0</v>
      </c>
      <c r="G33" s="374">
        <v>0</v>
      </c>
      <c r="H33" s="374" t="s">
        <v>3421</v>
      </c>
      <c r="I33" s="375" t="str">
        <f>IF(N(tblControl[[#This Row],[Result]])&lt;=tblControl[[#This Row],[Threshold]],"OK",IF(tblControl[[#This Row],[Severity]]="ADVISORY","ADVISORY","REVIEW"))</f>
        <v>OK</v>
      </c>
      <c r="J33" s="372" t="str" cm="1">
        <f t="array" ref="J33">IF(tblControl[[#This Row],[Result]]=0,"No payment line of "&amp;cpActivePeriod&amp;" reaches "&amp;FIXED(prmOutlierThresholdTRY,0)&amp;" TRY.",tblControl[[#This Row],[Result]]&amp;" payment line(s) of "&amp;FIXED(prmOutlierThresholdTRY,0)&amp;" TRY or more; the largest is "&amp;FIXED(MAX(STG_ActiveFact[GrossAmountTRY]),0)&amp;" TRY.")</f>
        <v>No payment line of 0 reaches 5,000,000 TRY.</v>
      </c>
      <c r="K33" s="372" t="s">
        <v>3220</v>
      </c>
      <c r="L33" s="376"/>
      <c r="M33" s="378"/>
      <c r="N33" s="378"/>
      <c r="O33" s="377"/>
    </row>
    <row r="34" spans="1:15" ht="29.1" customHeight="1">
      <c r="A34" s="372">
        <v>14</v>
      </c>
      <c r="B34" s="372" t="s">
        <v>2835</v>
      </c>
      <c r="C34" s="372" t="s">
        <v>171</v>
      </c>
      <c r="D34" s="372" t="s">
        <v>172</v>
      </c>
      <c r="E34" s="372" t="s">
        <v>3221</v>
      </c>
      <c r="F34" s="373" cm="1">
        <f t="array" ref="F34">SUMPRODUCT(COUNTIF(STG_ActiveFact[#Headers],tblColumnMap[CanonicalName])*(tblColumnMap[PersonalData]&lt;&gt;"N"))+SUMPRODUCT(COUNTIF(STG_ActiveFact[#Headers],tblColumnMap[SourceHeader])*(tblColumnMap[PersonalData]&lt;&gt;"N"))</f>
        <v>0</v>
      </c>
      <c r="G34" s="374">
        <v>0</v>
      </c>
      <c r="H34" s="374" t="s">
        <v>3421</v>
      </c>
      <c r="I34" s="375" t="str">
        <f>IF(N(tblControl[[#This Row],[Result]])&lt;=tblControl[[#This Row],[Threshold]],"OK",IF(tblControl[[#This Row],[Severity]]="ADVISORY","ADVISORY","REVIEW"))</f>
        <v>OK</v>
      </c>
      <c r="J34" s="372" t="str">
        <f>IF(tblControl[[#This Row],[Result]]=0,"No personal-data field is present in the staging output or the Data Model.",tblControl[[#This Row],[Result]]&amp;" personal-data column(s) reached STG_ActiveFact. STOP.")</f>
        <v>No personal-data field is present in the staging output or the Data Model.</v>
      </c>
      <c r="K34" s="372" t="s">
        <v>3222</v>
      </c>
      <c r="L34" s="376"/>
      <c r="M34" s="377"/>
      <c r="N34" s="377"/>
      <c r="O34" s="377"/>
    </row>
    <row r="35" spans="1:15" ht="42" customHeight="1">
      <c r="A35" s="372">
        <v>15</v>
      </c>
      <c r="B35" s="372" t="s">
        <v>3223</v>
      </c>
      <c r="C35" s="372" t="s">
        <v>3224</v>
      </c>
      <c r="D35" s="372" t="s">
        <v>173</v>
      </c>
      <c r="E35" s="372" t="s">
        <v>3225</v>
      </c>
      <c r="F35" s="373">
        <f>ABS(MAX(0,(INT(cpPrevPeriod/100)*12+MOD(cpPrevPeriod,100))-(INT(cpArchiveStart/100)*12+MOD(cpArchiveStart,100))+1)-COUNTIFS(tblArchiveLog[PeriodKey],"&gt;="&amp;cpArchiveStart,tblArchiveLog[PeriodKey],"&lt;="&amp;cpPrevPeriod,tblArchiveLog[ArchiveState],"CURRENT"))</f>
        <v>0</v>
      </c>
      <c r="G35" s="374">
        <v>0</v>
      </c>
      <c r="H35" s="374" t="s">
        <v>3421</v>
      </c>
      <c r="I35" s="375" t="str">
        <f>IF(N(tblControl[[#This Row],[Result]])&lt;=tblControl[[#This Row],[Threshold]],"OK",IF(tblControl[[#This Row],[Severity]]="ADVISORY","ADVISORY","REVIEW"))</f>
        <v>OK</v>
      </c>
      <c r="J35" s="372" t="str">
        <f>IF(tblControl[[#This Row],[Result]]=0,IF(MAX(0,(INT(cpPrevPeriod/100)*12+MOD(cpPrevPeriod,100))-(INT(cpArchiveStart/100)*12+MOD(cpArchiveStart,100))+1)=0,"No closed month is due yet (ArchiveStartPeriod = active period).","Every month from "&amp;cpArchiveStart&amp;" to "&amp;cpPrevPeriod&amp;" has one current ArchiveLog row."),"Expected "&amp;MAX(0,(INT(cpPrevPeriod/100)*12+MOD(cpPrevPeriod,100))-(INT(cpArchiveStart/100)*12+MOD(cpArchiveStart,100))+1)&amp;" closed month(s) from "&amp;cpArchiveStart&amp;" to "&amp;cpPrevPeriod&amp;"; ArchiveLog has "&amp;COUNTIFS(tblArchiveLog[PeriodKey],"&gt;="&amp;cpArchiveStart,tblArchiveLog[PeriodKey],"&lt;="&amp;cpPrevPeriod,tblArchiveLog[ArchiveState],"CURRENT")&amp;".")</f>
        <v>No closed month is due yet (ArchiveStartPeriod = active period).</v>
      </c>
      <c r="K35" s="372" t="s">
        <v>22494</v>
      </c>
      <c r="L35" s="376"/>
      <c r="M35" s="377"/>
      <c r="N35" s="377"/>
      <c r="O35" s="377"/>
    </row>
    <row r="36" spans="1:15" ht="54.95" customHeight="1">
      <c r="A36" s="372">
        <v>16</v>
      </c>
      <c r="B36" s="372" t="s">
        <v>2846</v>
      </c>
      <c r="C36" s="372" t="s">
        <v>3224</v>
      </c>
      <c r="D36" s="372" t="s">
        <v>174</v>
      </c>
      <c r="E36" s="372" t="s">
        <v>20637</v>
      </c>
      <c r="F36" s="373" cm="1">
        <f t="array" ref="F36">COUNTIFS(tblArchiveLog[IntegrityStatus],"REVIEW")+SUMPRODUCT((STG_Summary[DataSource]="ARCHIVE")*(COUNTIFS(tblArchiveLog[PeriodKey],STG_Summary[PeriodKey],tblArchiveLog[ArchiveState],"CURRENT")=0))+(LEFT(archChainStatus,2)&lt;&gt;"OK")+(LEFT(archStoreStatus,2)&lt;&gt;"OK")</f>
        <v>0</v>
      </c>
      <c r="G36" s="374">
        <v>0</v>
      </c>
      <c r="H36" s="374" t="s">
        <v>3421</v>
      </c>
      <c r="I36" s="375" t="str">
        <f>IF(N(tblControl[[#This Row],[Result]])&lt;=tblControl[[#This Row],[Threshold]],"OK",IF(tblControl[[#This Row],[Severity]]="ADVISORY","ADVISORY","REVIEW"))</f>
        <v>OK</v>
      </c>
      <c r="J36" s="372" t="str">
        <f>IF(LEFT(archChainStatus,2)&lt;&gt;"OK","ArchiveLog chain "&amp;archChainStatus&amp;". ","")&amp;IF(LEFT(archStoreStatus,2)&lt;&gt;"OK","Store file "&amp;archStoreStatus&amp;". ","")&amp;IF(tblControl[[#This Row],[Result]]=0,IF(COUNTIFS(tblArchiveLog[ArchiveState],"CURRENT")=0,"No closed month logged yet - nothing to compare.","All "&amp;COUNTIFS(tblArchiveLog[ArchiveState],"CURRENT")&amp;" closed month(s) match their archive exactly (rows, hash total, TRY total, one file each)."),COUNTIFS(tblArchiveLog[IntegrityStatus],"REVIEW")&amp;" closed month(s) differ from their archive; "&amp;(tblControl[[#This Row],[Result]]-COUNTIFS(tblArchiveLog[IntegrityStatus],"REVIEW"))&amp;" archive summary row(s) belong to months without a current ArchiveLog row.")</f>
        <v>No closed month logged yet - nothing to compare.</v>
      </c>
      <c r="K36" s="372" t="s">
        <v>22495</v>
      </c>
      <c r="L36" s="376"/>
      <c r="M36" s="377"/>
      <c r="N36" s="377"/>
      <c r="O36" s="377"/>
    </row>
    <row r="37" spans="1:15" ht="42" customHeight="1">
      <c r="A37" s="372">
        <v>17</v>
      </c>
      <c r="B37" s="372" t="s">
        <v>2883</v>
      </c>
      <c r="C37" s="372" t="s">
        <v>3224</v>
      </c>
      <c r="D37" s="372" t="s">
        <v>175</v>
      </c>
      <c r="E37" s="372" t="s">
        <v>22497</v>
      </c>
      <c r="F37" s="373">
        <f>COUNTIFS(tblArchiveLog[PeriodKey],cpActivePeriod,tblArchiveLog[ArchiveState],"CURRENT")+COUNTIF(STG_Summary[DataSource],"ARCHIVE-SUPERSEDED")</f>
        <v>0</v>
      </c>
      <c r="G37" s="374">
        <v>0</v>
      </c>
      <c r="H37" s="374" t="s">
        <v>3421</v>
      </c>
      <c r="I37" s="375" t="str">
        <f>IF(N(tblControl[[#This Row],[Result]])&lt;=tblControl[[#This Row],[Threshold]],"OK",IF(tblControl[[#This Row],[Severity]]="ADVISORY","ADVISORY","REVIEW"))</f>
        <v>OK</v>
      </c>
      <c r="J37" s="372" t="str">
        <f>IF(tblControl[[#This Row],[Result]]=0,cpActivePeriod&amp;" is an open month (not in the archive).",cpActivePeriod&amp;" is already closed (current ArchiveLog row and/or archive file). The archived copy is ignored while it is active.")</f>
        <v>0 is an open month (not in the archive).</v>
      </c>
      <c r="K37" s="372" t="s">
        <v>22496</v>
      </c>
      <c r="L37" s="376"/>
      <c r="M37" s="377"/>
      <c r="N37" s="377"/>
      <c r="O37" s="377"/>
    </row>
    <row r="38" spans="1:15" ht="76.5">
      <c r="A38" s="372">
        <v>18</v>
      </c>
      <c r="B38" s="372" t="s">
        <v>3226</v>
      </c>
      <c r="C38" s="372" t="s">
        <v>3224</v>
      </c>
      <c r="D38" s="372" t="s">
        <v>3227</v>
      </c>
      <c r="E38" s="372" t="s">
        <v>3228</v>
      </c>
      <c r="F38" s="373" cm="1">
        <f t="array" ref="F38">SUM((cmCompleteness="MISSING")*(cmMonths&lt;cpActivePeriod))</f>
        <v>0</v>
      </c>
      <c r="G38" s="374">
        <v>0</v>
      </c>
      <c r="H38" s="374" t="s">
        <v>3421</v>
      </c>
      <c r="I38" s="375" t="str">
        <f>IF(N(tblControl[[#This Row],[Result]])&lt;=tblControl[[#This Row],[Threshold]],"OK",IF(tblControl[[#This Row],[Severity]]="ADVISORY","ADVISORY","REVIEW"))</f>
        <v>OK</v>
      </c>
      <c r="J38" s="372" t="str">
        <f>IF(tblControl[[#This Row],[Result]]=0,"Every expected company has data or a nil return in every closed month since "&amp;cpArchiveStart&amp;".",tblControl[[#This Row],[Result]]&amp;" closed company-month(s) since "&amp;cpArchiveStart&amp;" have neither data nor a nil return - see section D.")</f>
        <v>Every expected company has data or a nil return in every closed month since 202409.</v>
      </c>
      <c r="K38" s="372" t="s">
        <v>3229</v>
      </c>
      <c r="L38" s="376"/>
      <c r="M38" s="377"/>
      <c r="N38" s="377"/>
      <c r="O38" s="377"/>
    </row>
    <row r="39" spans="1:15" ht="63.75">
      <c r="A39" s="372">
        <v>19</v>
      </c>
      <c r="B39" s="372" t="s">
        <v>3230</v>
      </c>
      <c r="C39" s="372" t="s">
        <v>176</v>
      </c>
      <c r="D39" s="372" t="s">
        <v>177</v>
      </c>
      <c r="E39" s="372" t="s">
        <v>3231</v>
      </c>
      <c r="F39" s="373">
        <f>cmDictHealth</f>
        <v>0</v>
      </c>
      <c r="G39" s="374">
        <v>0</v>
      </c>
      <c r="H39" s="374" t="s">
        <v>3421</v>
      </c>
      <c r="I39" s="375" t="str">
        <f>IF(N(tblControl[[#This Row],[Result]])&lt;=tblControl[[#This Row],[Threshold]],"OK",IF(tblControl[[#This Row],[Severity]]="ADVISORY","ADVISORY","REVIEW"))</f>
        <v>OK</v>
      </c>
      <c r="J39" s="372" t="str">
        <f>IF(tblControl[[#This Row],[Result]]=0,"ColumnMap passes all consistency rules.",tblControl[[#This Row],[Result]]&amp;" ColumnMap row(s) break a consistency rule - see the Dictionary health block on ColumnMap.")</f>
        <v>ColumnMap passes all consistency rules.</v>
      </c>
      <c r="K39" s="372" t="s">
        <v>3232</v>
      </c>
      <c r="L39" s="376"/>
      <c r="M39" s="377"/>
      <c r="N39" s="377"/>
      <c r="O39" s="377"/>
    </row>
    <row r="40" spans="1:15" ht="102">
      <c r="A40" s="372">
        <v>20</v>
      </c>
      <c r="B40" s="372" t="s">
        <v>2828</v>
      </c>
      <c r="C40" s="372" t="s">
        <v>176</v>
      </c>
      <c r="D40" s="372" t="s">
        <v>3233</v>
      </c>
      <c r="E40" s="372" t="s">
        <v>3234</v>
      </c>
      <c r="F40" s="373" cm="1">
        <f t="array" ref="F40">SUMPRODUCT((tblColumnMap[SourceHeader]&lt;&gt;"")*(((tblColumnMap[ColumnID]="")+(tblColumnMap[VerifiedBy]="")+(tblColumnMap[VerifiedOn]=""))&gt;0))+IF(IFERROR(_xlfn.MAXIFS(tblActivityLog[EventNo],tblActivityLog[Command],"tblColumnMap",tblActivityLog[Result],"FLAGGED*"),0)&gt;IFERROR(_xlfn.MAXIFS(tblActivityLog[EventNo],tblActivityLog[Command],"Cmd_VerifyColumnIDs",tblActivityLog[Result],"OK*"),0),1,0)</f>
        <v>103</v>
      </c>
      <c r="G40" s="374">
        <v>0</v>
      </c>
      <c r="H40" s="374" t="s">
        <v>3400</v>
      </c>
      <c r="I40" s="375" t="str">
        <f>IF(N(tblControl[[#This Row],[Result]])&lt;=tblControl[[#This Row],[Threshold]],"OK",IF(tblControl[[#This Row],[Severity]]="ADVISORY","ADVISORY","REVIEW"))</f>
        <v>ADVISORY</v>
      </c>
      <c r="J40" s="372" t="str" cm="1">
        <f t="array" ref="J40">IF(tblControl[[#This Row],[Result]]=0,"Every dictionary row has a ColumnID verified by a named person.",SUMPRODUCT((tblColumnMap[SourceHeader]&lt;&gt;"")*(((tblColumnMap[ColumnID]="")+(tblColumnMap[VerifiedBy]="")+(tblColumnMap[VerifiedOn]=""))&gt;0))&amp;" dictionary row(s) have no ColumnID or are not verified"&amp;IF(IFERROR(_xlfn.MAXIFS(tblActivityLog[EventNo],tblActivityLog[Command],"tblColumnMap",tblActivityLog[Result],"FLAGGED*"),0)&gt;IFERROR(_xlfn.MAXIFS(tblActivityLog[EventNo],tblActivityLog[Command],"Cmd_VerifyColumnIDs",tblActivityLog[Result],"OK*"),0),"; a verification stamp was typed by hand after the last verification (ActivityLog: FLAGGED)","")&amp;".")</f>
        <v>103 dictionary row(s) have no ColumnID or are not verified.</v>
      </c>
      <c r="K40" s="372" t="s">
        <v>3870</v>
      </c>
      <c r="L40" s="376"/>
      <c r="M40" s="378"/>
      <c r="N40" s="378"/>
      <c r="O40" s="377"/>
    </row>
    <row r="41" spans="1:15" ht="29.1" customHeight="1">
      <c r="A41" s="372">
        <v>21</v>
      </c>
      <c r="B41" s="372" t="s">
        <v>3235</v>
      </c>
      <c r="C41" s="372" t="s">
        <v>176</v>
      </c>
      <c r="D41" s="372" t="s">
        <v>178</v>
      </c>
      <c r="E41" s="372" t="s">
        <v>179</v>
      </c>
      <c r="F41" s="373" cm="1">
        <f t="array" ref="F41">SUMPRODUCT((tblFXRate[RateDate]&lt;&gt;"")*(COUNTIFS(tblFXRate[RateDate],tblFXRate[RateDate],tblFXRate[CurrencyCode],tblFXRate[CurrencyCode])&gt;1))+SUMPRODUCT((tblFXRate[RateDate]&lt;&gt;"")*(tblFXRate[RateToTRY]&lt;=0))+SUMPRODUCT((tblDimCompany[CompanyID]&lt;&gt;"")*(COUNTIF(tblDimCompany[CompanyID],tblDimCompany[CompanyID])&gt;1))</f>
        <v>0</v>
      </c>
      <c r="G41" s="374">
        <v>0</v>
      </c>
      <c r="H41" s="374" t="s">
        <v>3421</v>
      </c>
      <c r="I41" s="375" t="str">
        <f>IF(N(tblControl[[#This Row],[Result]])&lt;=tblControl[[#This Row],[Threshold]],"OK",IF(tblControl[[#This Row],[Severity]]="ADVISORY","ADVISORY","REVIEW"))</f>
        <v>OK</v>
      </c>
      <c r="J41" s="372" t="str">
        <f>IF(tblControl[[#This Row],[Result]]=0,"FX and company tables have no duplicates or invalid rates.",tblControl[[#This Row],[Result]]&amp;" problem(s) in tblFXRate (duplicate date + currency, blank / zero / negative rate) or tblDimCompany (duplicate CompanyID).")</f>
        <v>FX and company tables have no duplicates or invalid rates.</v>
      </c>
      <c r="K41" s="372" t="s">
        <v>180</v>
      </c>
      <c r="L41" s="376"/>
      <c r="M41" s="377"/>
      <c r="N41" s="377"/>
      <c r="O41" s="377"/>
    </row>
    <row r="42" spans="1:15" ht="63.75">
      <c r="A42" s="372">
        <v>22</v>
      </c>
      <c r="B42" s="372" t="s">
        <v>3236</v>
      </c>
      <c r="C42" s="372" t="s">
        <v>176</v>
      </c>
      <c r="D42" s="372" t="s">
        <v>3867</v>
      </c>
      <c r="E42" s="372" t="s">
        <v>3868</v>
      </c>
      <c r="F42" s="373">
        <f>COUNTIFS(tblDecision[Status],"Open")</f>
        <v>0</v>
      </c>
      <c r="G42" s="374">
        <v>0</v>
      </c>
      <c r="H42" s="374" t="s">
        <v>3421</v>
      </c>
      <c r="I42" s="375" t="str">
        <f>IF(N(tblControl[[#This Row],[Result]])&lt;=tblControl[[#This Row],[Threshold]],"OK",IF(tblControl[[#This Row],[Severity]]="ADVISORY","ADVISORY","REVIEW"))</f>
        <v>OK</v>
      </c>
      <c r="J42" s="372" t="str" cm="1">
        <f t="array" ref="J42">IF(tblControl[[#This Row],[Result]]=0,"No decision is Open ("&amp;COUNTIFS(tblDecision[Status],"Deferred")&amp;" deferred item(s) in the Backlog).",tblControl[[#This Row],[Result]]&amp;" decision(s) are still Open: "&amp;_xlfn.TEXTJOIN(", ",TRUE,_xlfn._xlws.FILTER(tblDecision[ID],tblDecision[Status]="Open",""))&amp;".")</f>
        <v>No decision is Open (5 deferred item(s) in the Backlog).</v>
      </c>
      <c r="K42" s="372" t="s">
        <v>3869</v>
      </c>
      <c r="L42" s="376"/>
      <c r="M42" s="378"/>
      <c r="N42" s="378"/>
      <c r="O42" s="377"/>
    </row>
    <row r="43" spans="1:15" ht="63.75">
      <c r="A43" s="372">
        <v>23</v>
      </c>
      <c r="B43" s="372" t="s">
        <v>2875</v>
      </c>
      <c r="C43" s="372" t="s">
        <v>176</v>
      </c>
      <c r="D43" s="372" t="s">
        <v>3237</v>
      </c>
      <c r="E43" s="372" t="s">
        <v>3238</v>
      </c>
      <c r="F43" s="373" cm="1">
        <f t="array" ref="F43">IF(UPPER(prmFourEyesRequired)="N",1,0)</f>
        <v>0</v>
      </c>
      <c r="G43" s="374">
        <v>0</v>
      </c>
      <c r="H43" s="374" t="s">
        <v>3421</v>
      </c>
      <c r="I43" s="375" t="str">
        <f>IF(N(tblControl[[#This Row],[Result]])&lt;=tblControl[[#This Row],[Threshold]],"OK",IF(tblControl[[#This Row],[Severity]]="ADVISORY","ADVISORY","REVIEW"))</f>
        <v>OK</v>
      </c>
      <c r="J43" s="372" t="str">
        <f>IF(tblControl[[#This Row],[Result]]=0,"Four-eyes is enforced: the period must be closed by a different Windows user than the preparer.","Four-eyes is WAIVED (FourEyesRequired = N): the preparer may close the period alone.")</f>
        <v>Four-eyes is enforced: the period must be closed by a different Windows user than the preparer.</v>
      </c>
      <c r="K43" s="372" t="s">
        <v>3872</v>
      </c>
      <c r="L43" s="376"/>
      <c r="M43" s="378"/>
      <c r="N43" s="378"/>
      <c r="O43" s="377"/>
    </row>
    <row r="44" spans="1:15" ht="102">
      <c r="A44" s="372">
        <v>24</v>
      </c>
      <c r="B44" s="372" t="s">
        <v>2863</v>
      </c>
      <c r="C44" s="372" t="s">
        <v>176</v>
      </c>
      <c r="D44" s="372" t="s">
        <v>3239</v>
      </c>
      <c r="E44" s="372" t="s">
        <v>3240</v>
      </c>
      <c r="F44" s="373">
        <f>(LEFT(logChainStatus,2)&lt;&gt;"OK")+IFERROR(INDEX(STG_LogExternal[MissingExternally],1)+INDEX(STG_LogExternal[UnparsedFiles],1)+(INDEX(STG_LogExternal[ReadStatus],1)&lt;&gt;"OK"),1)</f>
        <v>0</v>
      </c>
      <c r="G44" s="374">
        <v>0</v>
      </c>
      <c r="H44" s="374" t="s">
        <v>3421</v>
      </c>
      <c r="I44" s="375" t="str">
        <f>IF(N(tblControl[[#This Row],[Result]])&lt;=tblControl[[#This Row],[Threshold]],"OK",IF(tblControl[[#This Row],[Severity]]="ADVISORY","ADVISORY","REVIEW"))</f>
        <v>OK</v>
      </c>
      <c r="J44" s="372" t="str">
        <f>IF(tblControl[[#This Row],[Result]]=0,"ActivityLog chain intact and every workbook event has its identical external copy ("&amp;IFERROR(INDEX(STG_LogExternal[ExternalEvents],1),0)&amp;" external file(s)"&amp;IF(IFERROR(INDEX(STG_LogExternal[NotInWorkbook],1),0)&gt;0,"; "&amp;INDEX(STG_LogExternal[NotInWorkbook],1)&amp;" event(s) of unsaved sessions are kept only outside - INFO","")&amp;").",IF(LEFT(logChainStatus,2)&lt;&gt;"OK","Chain "&amp;logChainStatus&amp;". ","")&amp;IF(IFERROR(INDEX(STG_LogExternal[MissingExternally],1),0)&gt;0,INDEX(STG_LogExternal[MissingExternally],1)&amp;" workbook event(s) have no identical external copy (EventNo "&amp;INDEX(STG_LogExternal[MissingEventNos],1)&amp;"). ","")&amp;IF(IFERROR(INDEX(STG_LogExternal[ReadStatus],1),"")&lt;&gt;"OK","External log: "&amp;IFERROR(INDEX(STG_LogExternal[ReadStatus],1),"not read")&amp;". ","")&amp;IF(IFERROR(INDEX(STG_LogExternal[UnparsedFiles],1),0)&gt;0,INDEX(STG_LogExternal[UnparsedFiles],1)&amp;" unexpected ACT_ file name(s).",""))</f>
        <v>ActivityLog chain intact and every workbook event has its identical external copy (0 external file(s)).</v>
      </c>
      <c r="K44" s="372" t="s">
        <v>3241</v>
      </c>
      <c r="L44" s="376"/>
      <c r="M44" s="377"/>
      <c r="N44" s="377"/>
      <c r="O44" s="377"/>
    </row>
    <row r="45" spans="1:15" ht="89.25">
      <c r="A45" s="372">
        <v>25</v>
      </c>
      <c r="B45" s="372" t="s">
        <v>20638</v>
      </c>
      <c r="C45" s="372" t="s">
        <v>20641</v>
      </c>
      <c r="D45" s="372" t="s">
        <v>20639</v>
      </c>
      <c r="E45" s="372" t="s">
        <v>20640</v>
      </c>
      <c r="F45" s="373">
        <f>COUNTIFS(STG_Restatement[Status],"RESTATED")</f>
        <v>0</v>
      </c>
      <c r="G45" s="374">
        <v>0</v>
      </c>
      <c r="H45" s="374" t="s">
        <v>3421</v>
      </c>
      <c r="I45" s="375" t="str">
        <f>IF(N(tblControl[[#This Row],[Result]])&lt;=tblControl[[#This Row],[Threshold]],"OK",IF(tblControl[[#This Row],[Severity]]="ADVISORY","ADVISORY","REVIEW"))</f>
        <v>OK</v>
      </c>
      <c r="J45" s="372" t="str" cm="1">
        <f t="array" ref="J45">IF(tblControl[[#This Row],[Result]]=0,IF(COUNTA(STG_Restatement[CompanyID])=0,"No cumulative company file to compare.","The cumulative files match the store in "&amp;COUNTA(STG_Restatement[CompanyID])&amp;" closed company-month(s)."),tblControl[[#This Row],[Result]]&amp;" closed company-month(s) differ from the store: "&amp;_xlfn.TEXTJOIN(", ",TRUE,_xlfn._xlws.FILTER(STG_Restatement[CompanyID]&amp;" "&amp;STG_Restatement[PeriodKey],STG_Restatement[Status]="RESTATED",""))&amp;".")</f>
        <v>No cumulative company file to compare.</v>
      </c>
      <c r="K45" s="372" t="s">
        <v>20642</v>
      </c>
      <c r="L45" s="376"/>
      <c r="M45" s="377"/>
      <c r="N45" s="377"/>
      <c r="O45" s="377"/>
    </row>
    <row r="46" spans="1:15" ht="178.5">
      <c r="A46" s="372">
        <v>26</v>
      </c>
      <c r="B46" s="372" t="s">
        <v>20643</v>
      </c>
      <c r="C46" s="372" t="s">
        <v>151</v>
      </c>
      <c r="D46" s="372" t="s">
        <v>20644</v>
      </c>
      <c r="E46" s="372" t="s">
        <v>20645</v>
      </c>
      <c r="F46" s="373">
        <f>COUNTIFS(STG_Files[DeliveryCheck],"NEW COMPANY")+COUNTIFS(STG_Files[DeliveryCheck],"MODE MISMATCH")</f>
        <v>0</v>
      </c>
      <c r="G46" s="374">
        <v>0</v>
      </c>
      <c r="H46" s="374" t="s">
        <v>70</v>
      </c>
      <c r="I46" s="375" t="str">
        <f>IF(N(tblControl[[#This Row],[Result]])&lt;=tblControl[[#This Row],[Threshold]],"OK",IF(tblControl[[#This Row],[Severity]]="ADVISORY","ADVISORY","REVIEW"))</f>
        <v>OK</v>
      </c>
      <c r="J46" s="372" t="str" cm="1">
        <f t="array" ref="J46">IF(tblControl[[#This Row],[Result]]=0,"Every delivering company is in the company list and delivers in its source mode.",tblControl[[#This Row],[Result]]&amp;" file(s): "&amp;_xlfn.TEXTJOIN(", ",TRUE,_xlfn._xlws.FILTER(STG_Files[FileName]&amp;" ("&amp;STG_Files[DeliveryCheck]&amp;")",(STG_Files[DeliveryCheck]="NEW COMPANY")+(STG_Files[DeliveryCheck]="MODE MISMATCH"),""))&amp;".")</f>
        <v>Every delivering company is in the company list and delivers in its source mode.</v>
      </c>
      <c r="K46" s="372" t="s">
        <v>21441</v>
      </c>
      <c r="L46" s="376"/>
      <c r="M46" s="377"/>
      <c r="N46" s="377"/>
      <c r="O46" s="377"/>
    </row>
    <row r="47" spans="1:15" ht="140.25">
      <c r="A47" s="372">
        <v>27</v>
      </c>
      <c r="B47" s="372" t="s">
        <v>21437</v>
      </c>
      <c r="C47" s="372" t="s">
        <v>176</v>
      </c>
      <c r="D47" s="372" t="s">
        <v>21438</v>
      </c>
      <c r="E47" s="372" t="s">
        <v>21439</v>
      </c>
      <c r="F47" s="373" cm="1">
        <f t="array" ref="F47">ColumnMapLockState(tblColumnMap[#All],INDEX(tblParameters[Value],MATCH("ColumnMapLocked",tblParameters[Parameter],0)),INDEX(tblParameters[Value],MATCH("ColumnMapSignature",tblParameters[Parameter],0)))</f>
        <v>1</v>
      </c>
      <c r="G47" s="374">
        <v>0</v>
      </c>
      <c r="H47" s="374" t="s">
        <v>3421</v>
      </c>
      <c r="I47" s="375" t="str">
        <f>IF(N(tblControl[[#This Row],[Result]])&lt;=tblControl[[#This Row],[Threshold]],"OK",IF(tblControl[[#This Row],[Severity]]="ADVISORY","ADVISORY","REVIEW"))</f>
        <v>REVIEW</v>
      </c>
      <c r="J47" s="372" t="str">
        <f>CHOOSE(MIN(N(tblControl[[#This Row],[Result]]),3)+1,"Kolon haritası kilitli ve değişmemiş / The column map is locked ("&amp;INDEX(tblParameters[Value],MATCH("ColumnMapLockedOn",tblParameters[Parameter],0))&amp;", "&amp;INDEX(tblParameters[Value],MATCH("ColumnMapLockedBy",tblParameters[Parameter],0))&amp;") and unchanged.","Kolon haritası kilitli değil / The column map is not locked: Backfill, Close and Rebuild store are blocked.","Kolon haritası kilitten sonra değişti / The column map changed after the lock of "&amp;INDEX(tblParameters[Value],MATCH("ColumnMapLockedOn",tblParameters[Parameter],0))&amp;": Backfill, Close and Rebuild store are blocked.","Kolon haritası okunamadı / The column map could not be read (macros off, or a column is missing).")</f>
        <v>Kolon haritası kilitli değil / The column map is not locked: Backfill, Close and Rebuild store are blocked.</v>
      </c>
      <c r="K47" s="372" t="s">
        <v>21436</v>
      </c>
      <c r="L47" s="376"/>
      <c r="M47" s="377"/>
      <c r="N47" s="377"/>
      <c r="O47" s="377"/>
    </row>
    <row r="48" spans="1:15">
      <c r="A48" s="54" t="s">
        <v>3242</v>
      </c>
    </row>
    <row r="49" spans="1:52" ht="15">
      <c r="A49" s="58" t="s">
        <v>3243</v>
      </c>
      <c r="B49" s="58"/>
      <c r="C49" s="58"/>
      <c r="D49" s="58"/>
      <c r="E49" s="58"/>
      <c r="F49" s="58"/>
      <c r="G49" s="58"/>
      <c r="H49" s="58"/>
      <c r="I49" s="58"/>
      <c r="J49" s="58"/>
      <c r="K49" s="58"/>
      <c r="L49" s="58"/>
      <c r="M49" s="58"/>
      <c r="N49" s="58"/>
    </row>
    <row r="50" spans="1:52">
      <c r="B50" s="50" t="s">
        <v>193</v>
      </c>
      <c r="C50" s="50" t="s">
        <v>194</v>
      </c>
      <c r="D50" s="50" t="s">
        <v>197</v>
      </c>
      <c r="E50" s="50" t="s">
        <v>198</v>
      </c>
      <c r="F50" s="50" t="s">
        <v>199</v>
      </c>
      <c r="G50" s="50" t="s">
        <v>200</v>
      </c>
      <c r="H50" s="50" t="s">
        <v>2815</v>
      </c>
      <c r="I50" s="50" t="s">
        <v>2816</v>
      </c>
    </row>
    <row r="51" spans="1:52">
      <c r="B51">
        <f>cpActivePeriod</f>
        <v>0</v>
      </c>
      <c r="C51" t="str" cm="1">
        <f t="array" ref="C51">prmArchiveFilePrefix&amp;cpActivePeriod&amp;prmFileExtension</f>
        <v>ARCHIVE_PAY_0.xlsx</v>
      </c>
      <c r="D51" s="46">
        <f>COUNTA(STG_ActiveFact[CaseKey])</f>
        <v>0</v>
      </c>
      <c r="E51" s="45">
        <f>SUM(STG_ActiveFact[GrossAmount])</f>
        <v>0</v>
      </c>
      <c r="F51" s="45">
        <f>SUM(STG_ActiveFact[GrossAmountTRY])</f>
        <v>0</v>
      </c>
      <c r="G51" t="str">
        <f>cpOverallStatus</f>
        <v>REVIEW</v>
      </c>
      <c r="H51">
        <f>cpReviewCount</f>
        <v>2</v>
      </c>
      <c r="I51" t="str" cm="1">
        <f t="array" ref="I51">prmControlsFilePrefix&amp;cpActivePeriod&amp;prmFileExtension</f>
        <v>CONTROLS_PAY_0.xlsx</v>
      </c>
    </row>
    <row r="52" spans="1:52" ht="15">
      <c r="A52" s="54" t="s">
        <v>3244</v>
      </c>
      <c r="P52" s="58"/>
      <c r="Q52" s="58"/>
      <c r="S52" s="58" t="s">
        <v>3246</v>
      </c>
      <c r="T52" s="58"/>
      <c r="U52" s="58"/>
      <c r="V52" s="58"/>
      <c r="W52" s="58"/>
      <c r="X52" s="58"/>
      <c r="Y52" s="58"/>
      <c r="Z52" s="58"/>
      <c r="AA52" s="58"/>
      <c r="AB52" s="58"/>
    </row>
    <row r="53" spans="1:52">
      <c r="P53" s="59" t="s">
        <v>192</v>
      </c>
      <c r="Q53" s="59" t="s">
        <v>3249</v>
      </c>
      <c r="S53" s="47" t="s">
        <v>3250</v>
      </c>
      <c r="T53" s="61" cm="1">
        <f t="array" ref="T53">_xlfn.LET(_xlpm.s,cpArchiveStart,_xlpm.a,cpActivePeriod,_xlpm.si,INT(_xlpm.s/100)*12+MOD(_xlpm.s,100)-1,_xlpm.ai,INT(_xlpm.a/100)*12+MOD(_xlpm.a,100)-1,_xlpm.m,_xlpm.si+_xlfn.SEQUENCE(1,MAX(_xlpm.ai-_xlpm.si+1,1),0),INT(_xlpm.m/12)*100+MOD(_xlpm.m,12)+1)</f>
        <v>202409</v>
      </c>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row>
    <row r="54" spans="1:52" ht="15">
      <c r="B54" s="58" t="s">
        <v>3245</v>
      </c>
      <c r="C54" s="58"/>
      <c r="D54" s="58"/>
      <c r="E54" s="58"/>
      <c r="F54" s="58"/>
      <c r="G54" s="58"/>
      <c r="H54" s="58"/>
      <c r="I54" s="58"/>
      <c r="J54" s="58"/>
      <c r="K54" s="58"/>
      <c r="L54" s="58"/>
      <c r="M54" s="58"/>
      <c r="N54" s="58"/>
      <c r="O54" s="58"/>
      <c r="P54" cm="1">
        <f t="array" ref="P54">COUNTIFS(STG_DQ[CompanyID],cmCompany,STG_DQ[Severity],"REVIEW")</f>
        <v>0</v>
      </c>
      <c r="Q54" cm="1">
        <f t="array" ref="Q54">SUMIFS(STG_ActiveFact[IsOutlier],STG_ActiveFact[CompanyID],cmCompany)</f>
        <v>0</v>
      </c>
      <c r="S54" t="str" cm="1">
        <f t="array" ref="S54">cmCompany</f>
        <v>(none)</v>
      </c>
      <c r="T54" t="str" cm="1">
        <f t="array" ref="T54">_xlfn.LET(_xlpm.c,cmCompany,_xlpm.m,cmMonths,_xlpm.f,_xlfn.XLOOKUP(_xlpm.c,tblDimCompany[CompanyID]&amp;"",tblDimCompany[ExpectedFromPeriod],0),_xlpm.t,_xlfn.XLOOKUP(_xlpm.c,tblDimCompany[CompanyID]&amp;"",tblDimCompany[ExpectedToPeriod],0),_xlpm.e,(_xlpm.f&lt;=_xlpm.m)*((_xlpm.t=0)+(_xlpm.t&gt;=_xlpm.m)),_xlpm.l,SUMIFS(STG_Summary[LineCount],STG_Summary[CompanyID],_xlpm.c,STG_Summary[PeriodKey],_xlpm.m,STG_Summary[DataSource],"&lt;&gt;ARCHIVE-SUPERSEDED"),_xlpm.nr,COUNTIFS(tblNilReturn[CompanyID],_xlpm.c,tblNilReturn[PeriodKey],_xlpm.m),IF(_xlpm.e=0,"n/a",IF(_xlpm.l&gt;0,"OK",IF(_xlpm.nr&gt;0,"NIL","MISSING"))))</f>
        <v>MISSING</v>
      </c>
    </row>
    <row r="55" spans="1:52" ht="25.5">
      <c r="B55" s="59" t="s">
        <v>181</v>
      </c>
      <c r="C55" s="59" t="s">
        <v>182</v>
      </c>
      <c r="D55" s="59" t="s">
        <v>3247</v>
      </c>
      <c r="E55" s="59" t="s">
        <v>183</v>
      </c>
      <c r="F55" s="59" t="s">
        <v>3248</v>
      </c>
      <c r="G55" s="59" t="s">
        <v>184</v>
      </c>
      <c r="H55" s="59" t="s">
        <v>185</v>
      </c>
      <c r="I55" s="59" t="s">
        <v>186</v>
      </c>
      <c r="J55" s="59" t="s">
        <v>187</v>
      </c>
      <c r="K55" s="59" t="s">
        <v>7</v>
      </c>
      <c r="L55" s="59" t="s">
        <v>188</v>
      </c>
      <c r="M55" s="59" t="s">
        <v>189</v>
      </c>
      <c r="N55" s="59" t="s">
        <v>190</v>
      </c>
      <c r="O55" s="59" t="s">
        <v>191</v>
      </c>
    </row>
    <row r="56" spans="1:52">
      <c r="B56" t="str" cm="1">
        <f t="array" ref="B56">_xlfn._xlws.FILTER(tblDimCompany[CompanyID]&amp;"",tblDimCompany[CompanyID]&lt;&gt;"","(none)")</f>
        <v>(none)</v>
      </c>
      <c r="C56" t="str" cm="1">
        <f t="array" ref="C56">_xlfn.XLOOKUP(cmCompany,tblDimCompany[CompanyID]&amp;"",tblDimCompany[CompanyName],"")</f>
        <v/>
      </c>
      <c r="D56" t="str" cm="1">
        <f t="array" ref="D56">_xlfn.LET(_xlpm.f,_xlfn.XLOOKUP(cmCompany,tblDimCompany[CompanyID]&amp;"",tblDimCompany[ExpectedFromPeriod],0),_xlpm.t,_xlfn.XLOOKUP(cmCompany,tblDimCompany[CompanyID]&amp;"",tblDimCompany[ExpectedToPeriod],0),IF(cmCompany="(none)","N",IF((_xlpm.f&lt;=cpActivePeriod)*((_xlpm.t=0)+(_xlpm.t&gt;=cpActivePeriod)),"Y","N")))</f>
        <v>N</v>
      </c>
      <c r="E56" cm="1">
        <f t="array" ref="E56">COUNTIFS(STG_Files[CompanyID],cmCompany,STG_Files[PeriodKey],cpActivePeriod,STG_Files[MatchStatus],"MATCHED")</f>
        <v>0</v>
      </c>
      <c r="F56" cm="1">
        <f t="array" ref="F56">COUNTIFS(tblNilReturn[CompanyID],cmCompany,tblNilReturn[PeriodKey],cpActivePeriod)</f>
        <v>0</v>
      </c>
      <c r="G56" cm="1">
        <f t="array" ref="G56">COUNTIFS(STG_ActiveFact[CompanyID],cmCompany)</f>
        <v>0</v>
      </c>
      <c r="H56" s="46" cm="1">
        <f t="array" ref="H56">SUMIFS(STG_ActiveFact[GrossAmountTRY],STG_ActiveFact[CompanyID],cmCompany)</f>
        <v>0</v>
      </c>
      <c r="I56" t="str" cm="1">
        <f t="array" ref="I56">IF((cmExpected="N")*(cmFiles=0),"n/a",IF(((cmExpected="Y")*(cmFiles=0)*(cmNil=0))+(cmFiles&gt;1)+((cmExpected="N")*(cmFiles&gt;0))+(cmRecon="REVIEW")+(cmRecon="NO INPUT")+(cmChrono&gt;0)+(cmDup&gt;0)+(cmMissFX&gt;0)+(cmOOP&gt;0)+(cmDQ&gt;0)+(cmOutliers&gt;0)&gt;0,"REVIEW","OK"))</f>
        <v>n/a</v>
      </c>
      <c r="J56" t="str" cm="1">
        <f t="array" ref="J56">IF(cmStatus="n/a","Not expected this period.",IF(cmStatus="OK",IF(cmNil&gt;0,"Nil return recorded.","No findings."),TRIM(IF((cmExpected="Y")*(cmFiles=0)*(cmNil=0),"No file delivered. ","")&amp;IF(cmNil&gt;0,"Nil return recorded. ","")&amp;IF(cmFiles&gt;1,cmFiles&amp;" copies of the file. ","")&amp;IF((cmExpected="N")*(cmFiles&gt;0),"File from a company not expected this period. ","")&amp;IF(cmRecon="REVIEW","Reconciliation variance. ","")&amp;IF(cmRecon="NO INPUT","No independent total on Recon. ","")&amp;IF(cmChrono&gt;0,cmChrono&amp;" chronology break(s). ","")&amp;IF(cmDup&gt;0,cmDup&amp;" duplicate-key line(s). ","")&amp;IF(cmMissFX&gt;0,cmMissFX&amp;" line(s) without FX rate. ","")&amp;IF(cmOOP&gt;0,cmOOP&amp;" line(s) paid outside the file period. ","")&amp;IF(cmDQ&gt;0,cmDQ&amp;" data-quality issue(s) - see STG_DQ. ","")&amp;IF(cmOutliers&gt;0,cmOutliers&amp;" large payment(s) to review. ",""))))</f>
        <v>Not expected this period.</v>
      </c>
      <c r="K56" t="str" cm="1">
        <f t="array" ref="K56">IF(COUNTIFS(tblRecon[PeriodKey],cpActivePeriod,tblRecon[CompanyID],cmCompany)=0,IF(cmLines=0,"n/a","NO INPUT"),IF(COUNTIFS(tblRecon[PeriodKey],cpActivePeriod,tblRecon[CompanyID],cmCompany,tblRecon[Status],"REVIEW")&gt;0,"REVIEW","OK"))</f>
        <v>n/a</v>
      </c>
      <c r="L56" cm="1">
        <f t="array" ref="L56">SUMIFS(STG_ActiveFact[ChronoViolation],STG_ActiveFact[CompanyID],cmCompany)</f>
        <v>0</v>
      </c>
      <c r="M56" cm="1">
        <f t="array" ref="M56">SUMIFS(STG_ActiveFact[IsDuplicateKey],STG_ActiveFact[CompanyID],cmCompany)</f>
        <v>0</v>
      </c>
      <c r="N56" cm="1">
        <f t="array" ref="N56">SUMIFS(STG_ActiveFact[FXRateMissing],STG_ActiveFact[CompanyID],cmCompany)</f>
        <v>0</v>
      </c>
      <c r="O56" cm="1">
        <f t="array" ref="O56">SUMIFS(STG_ActiveFact[PaymentOutsidePeriod],STG_ActiveFact[CompanyID],cmCompany)</f>
        <v>0</v>
      </c>
    </row>
    <row r="57" spans="1:52">
      <c r="H57" s="46"/>
    </row>
    <row r="58" spans="1:52">
      <c r="H58" s="46"/>
    </row>
    <row r="59" spans="1:52">
      <c r="H59" s="46"/>
    </row>
    <row r="60" spans="1:52">
      <c r="H60" s="46"/>
    </row>
    <row r="61" spans="1:52">
      <c r="H61" s="46"/>
    </row>
    <row r="62" spans="1:52">
      <c r="H62" s="46"/>
    </row>
    <row r="63" spans="1:52">
      <c r="H63" s="46"/>
    </row>
    <row r="64" spans="1:52">
      <c r="H64" s="46"/>
    </row>
    <row r="65" spans="8:8">
      <c r="H65" s="46"/>
    </row>
    <row r="66" spans="8:8">
      <c r="H66" s="46"/>
    </row>
    <row r="67" spans="8:8">
      <c r="H67" s="46"/>
    </row>
    <row r="68" spans="8:8">
      <c r="H68" s="46"/>
    </row>
    <row r="69" spans="8:8">
      <c r="H69" s="46"/>
    </row>
    <row r="70" spans="8:8">
      <c r="H70" s="46"/>
    </row>
    <row r="71" spans="8:8">
      <c r="H71" s="46"/>
    </row>
    <row r="72" spans="8:8">
      <c r="H72" s="46"/>
    </row>
    <row r="73" spans="8:8">
      <c r="H73" s="46"/>
    </row>
    <row r="74" spans="8:8">
      <c r="H74" s="46"/>
    </row>
    <row r="75" spans="8:8">
      <c r="H75" s="46"/>
    </row>
    <row r="76" spans="8:8">
      <c r="H76" s="46"/>
    </row>
    <row r="77" spans="8:8">
      <c r="H77" s="46"/>
    </row>
    <row r="78" spans="8:8">
      <c r="H78" s="46"/>
    </row>
    <row r="79" spans="8:8">
      <c r="H79" s="46"/>
    </row>
    <row r="80" spans="8:8">
      <c r="H80" s="46"/>
    </row>
    <row r="81" spans="8:8">
      <c r="H81" s="46"/>
    </row>
    <row r="82" spans="8:8">
      <c r="H82" s="46"/>
    </row>
    <row r="83" spans="8:8">
      <c r="H83" s="46"/>
    </row>
    <row r="84" spans="8:8">
      <c r="H84" s="46"/>
    </row>
    <row r="85" spans="8:8">
      <c r="H85" s="46"/>
    </row>
    <row r="86" spans="8:8" ht="29.1" customHeight="1">
      <c r="H86" s="46"/>
    </row>
    <row r="87" spans="8:8">
      <c r="H87" s="46"/>
    </row>
    <row r="88" spans="8:8">
      <c r="H88" s="46"/>
    </row>
    <row r="89" spans="8:8">
      <c r="H89" s="46"/>
    </row>
    <row r="90" spans="8:8">
      <c r="H90" s="46"/>
    </row>
    <row r="91" spans="8:8">
      <c r="H91" s="46"/>
    </row>
    <row r="92" spans="8:8">
      <c r="H92" s="46"/>
    </row>
    <row r="93" spans="8:8">
      <c r="H93" s="46"/>
    </row>
    <row r="94" spans="8:8">
      <c r="H94" s="46"/>
    </row>
    <row r="95" spans="8:8">
      <c r="H95" s="46"/>
    </row>
    <row r="96" spans="8:8">
      <c r="H96" s="46"/>
    </row>
    <row r="97" spans="8:8">
      <c r="H97" s="46"/>
    </row>
    <row r="98" spans="8:8">
      <c r="H98" s="46"/>
    </row>
    <row r="99" spans="8:8">
      <c r="H99" s="46"/>
    </row>
    <row r="100" spans="8:8">
      <c r="H100" s="46"/>
    </row>
    <row r="101" spans="8:8">
      <c r="H101" s="46"/>
    </row>
    <row r="102" spans="8:8">
      <c r="H102" s="46"/>
    </row>
    <row r="103" spans="8:8">
      <c r="H103" s="46"/>
    </row>
    <row r="104" spans="8:8">
      <c r="H104" s="46"/>
    </row>
    <row r="105" spans="8:8">
      <c r="H105" s="46"/>
    </row>
    <row r="106" spans="8:8">
      <c r="H106" s="46"/>
    </row>
    <row r="107" spans="8:8">
      <c r="H107" s="46"/>
    </row>
    <row r="108" spans="8:8">
      <c r="H108" s="46"/>
    </row>
    <row r="109" spans="8:8">
      <c r="H109" s="46"/>
    </row>
    <row r="110" spans="8:8">
      <c r="H110" s="46"/>
    </row>
    <row r="111" spans="8:8">
      <c r="H111" s="46"/>
    </row>
    <row r="112" spans="8:8">
      <c r="H112" s="46"/>
    </row>
    <row r="113" spans="8:8">
      <c r="H113" s="46"/>
    </row>
    <row r="114" spans="8:8">
      <c r="H114" s="46"/>
    </row>
    <row r="115" spans="8:8">
      <c r="H115" s="46"/>
    </row>
    <row r="116" spans="8:8">
      <c r="H116" s="46"/>
    </row>
    <row r="117" spans="8:8">
      <c r="H117" s="46"/>
    </row>
    <row r="118" spans="8:8">
      <c r="H118" s="46"/>
    </row>
    <row r="119" spans="8:8">
      <c r="H119" s="46"/>
    </row>
    <row r="120" spans="8:8">
      <c r="H120" s="46"/>
    </row>
    <row r="121" spans="8:8">
      <c r="H121" s="46"/>
    </row>
    <row r="122" spans="8:8">
      <c r="H122" s="46"/>
    </row>
    <row r="123" spans="8:8">
      <c r="H123" s="46"/>
    </row>
    <row r="124" spans="8:8">
      <c r="H124" s="46"/>
    </row>
    <row r="125" spans="8:8">
      <c r="H125" s="46"/>
    </row>
    <row r="126" spans="8:8">
      <c r="H126" s="46"/>
    </row>
    <row r="127" spans="8:8">
      <c r="H127" s="46"/>
    </row>
    <row r="128" spans="8:8">
      <c r="H128" s="46"/>
    </row>
    <row r="129" spans="8:8">
      <c r="H129" s="46"/>
    </row>
    <row r="130" spans="8:8">
      <c r="H130" s="46"/>
    </row>
    <row r="131" spans="8:8">
      <c r="H131" s="46"/>
    </row>
    <row r="132" spans="8:8">
      <c r="H132" s="46"/>
    </row>
    <row r="133" spans="8:8">
      <c r="H133" s="46"/>
    </row>
    <row r="134" spans="8:8">
      <c r="H134" s="46"/>
    </row>
    <row r="135" spans="8:8">
      <c r="H135" s="46"/>
    </row>
    <row r="136" spans="8:8">
      <c r="H136" s="46"/>
    </row>
    <row r="137" spans="8:8">
      <c r="H137" s="46"/>
    </row>
    <row r="138" spans="8:8">
      <c r="H138" s="46"/>
    </row>
    <row r="139" spans="8:8">
      <c r="H139" s="46"/>
    </row>
    <row r="140" spans="8:8">
      <c r="H140" s="46"/>
    </row>
    <row r="141" spans="8:8">
      <c r="H141" s="46"/>
    </row>
    <row r="142" spans="8:8">
      <c r="H142" s="46"/>
    </row>
    <row r="143" spans="8:8">
      <c r="H143" s="46"/>
    </row>
    <row r="144" spans="8:8">
      <c r="H144" s="46"/>
    </row>
    <row r="145" spans="8:8">
      <c r="H145" s="46"/>
    </row>
    <row r="146" spans="8:8">
      <c r="H146" s="46"/>
    </row>
    <row r="147" spans="8:8">
      <c r="H147" s="46"/>
    </row>
    <row r="148" spans="8:8">
      <c r="H148" s="46"/>
    </row>
    <row r="149" spans="8:8">
      <c r="H149" s="46"/>
    </row>
    <row r="150" spans="8:8">
      <c r="H150" s="46"/>
    </row>
    <row r="151" spans="8:8">
      <c r="H151" s="46"/>
    </row>
    <row r="152" spans="8:8">
      <c r="H152" s="46"/>
    </row>
    <row r="153" spans="8:8">
      <c r="H153" s="46"/>
    </row>
    <row r="154" spans="8:8">
      <c r="H154" s="46"/>
    </row>
    <row r="155" spans="8:8">
      <c r="H155" s="46"/>
    </row>
    <row r="156" spans="8:8">
      <c r="H156" s="46"/>
    </row>
    <row r="157" spans="8:8">
      <c r="H157" s="46"/>
    </row>
    <row r="158" spans="8:8">
      <c r="H158" s="46"/>
    </row>
    <row r="159" spans="8:8">
      <c r="H159" s="46"/>
    </row>
    <row r="160" spans="8:8">
      <c r="H160" s="46"/>
    </row>
    <row r="161" spans="8:8">
      <c r="H161" s="46"/>
    </row>
    <row r="162" spans="8:8">
      <c r="H162" s="46"/>
    </row>
    <row r="163" spans="8:8">
      <c r="H163" s="46"/>
    </row>
    <row r="164" spans="8:8">
      <c r="H164" s="46"/>
    </row>
    <row r="165" spans="8:8">
      <c r="H165" s="46"/>
    </row>
    <row r="166" spans="8:8">
      <c r="H166" s="46"/>
    </row>
    <row r="167" spans="8:8">
      <c r="H167" s="46"/>
    </row>
    <row r="168" spans="8:8">
      <c r="H168" s="46"/>
    </row>
    <row r="169" spans="8:8">
      <c r="H169" s="46"/>
    </row>
    <row r="170" spans="8:8">
      <c r="H170" s="46"/>
    </row>
    <row r="171" spans="8:8">
      <c r="H171" s="46"/>
    </row>
    <row r="172" spans="8:8">
      <c r="H172" s="46"/>
    </row>
    <row r="173" spans="8:8">
      <c r="H173" s="46"/>
    </row>
    <row r="174" spans="8:8">
      <c r="H174" s="46"/>
    </row>
    <row r="175" spans="8:8">
      <c r="H175" s="46"/>
    </row>
    <row r="176" spans="8:8">
      <c r="H176" s="46"/>
    </row>
    <row r="177" spans="8:8">
      <c r="H177" s="46"/>
    </row>
    <row r="178" spans="8:8">
      <c r="H178" s="46"/>
    </row>
    <row r="179" spans="8:8">
      <c r="H179" s="46"/>
    </row>
    <row r="180" spans="8:8">
      <c r="H180" s="46"/>
    </row>
    <row r="181" spans="8:8">
      <c r="H181" s="46"/>
    </row>
    <row r="182" spans="8:8">
      <c r="H182" s="46"/>
    </row>
    <row r="183" spans="8:8">
      <c r="H183" s="46"/>
    </row>
    <row r="184" spans="8:8">
      <c r="H184" s="46"/>
    </row>
    <row r="185" spans="8:8">
      <c r="H185" s="46"/>
    </row>
    <row r="186" spans="8:8">
      <c r="H186" s="46"/>
    </row>
    <row r="187" spans="8:8">
      <c r="H187" s="46"/>
    </row>
    <row r="188" spans="8:8">
      <c r="H188" s="46"/>
    </row>
    <row r="189" spans="8:8">
      <c r="H189" s="46"/>
    </row>
    <row r="190" spans="8:8">
      <c r="H190" s="46"/>
    </row>
    <row r="191" spans="8:8">
      <c r="H191" s="46"/>
    </row>
    <row r="192" spans="8:8">
      <c r="H192" s="46"/>
    </row>
    <row r="193" spans="8:8">
      <c r="H193" s="46"/>
    </row>
    <row r="194" spans="8:8">
      <c r="H194" s="46"/>
    </row>
    <row r="195" spans="8:8">
      <c r="H195" s="46"/>
    </row>
    <row r="196" spans="8:8">
      <c r="H196" s="46"/>
    </row>
    <row r="197" spans="8:8">
      <c r="H197" s="46"/>
    </row>
    <row r="198" spans="8:8">
      <c r="H198" s="46"/>
    </row>
    <row r="199" spans="8:8">
      <c r="H199" s="46"/>
    </row>
    <row r="200" spans="8:8">
      <c r="H200" s="46"/>
    </row>
    <row r="201" spans="8:8">
      <c r="H201" s="46"/>
    </row>
    <row r="202" spans="8:8">
      <c r="H202" s="46"/>
    </row>
  </sheetData>
  <sheetProtection algorithmName="SHA-512" hashValue="ezH94iy4G6lIvEpoIwu6w3diqXmaazZP44zvjNYp+hDehfhGSQJaZQ822c0nYBJT2oO2rdtb8i3hYOSxEF6NIg==" saltValue="4oPsk3a1wy/7RtZKq8YVkw==" spinCount="100000" sheet="1" scenarios="1" formatColumns="0" sort="0" autoFilter="0"/>
  <conditionalFormatting sqref="A3">
    <cfRule type="expression" dxfId="661" priority="1" stopIfTrue="1">
      <formula>OR(LEFT(A3,2)="OK",LEFT(A3,4)="OPEN",LEFT(A3,10)="PRODUCTION")</formula>
    </cfRule>
    <cfRule type="expression" dxfId="660" priority="2" stopIfTrue="1">
      <formula>OR(LEFT(A3,7)="BLOCKED",LEFT(A3,6)="BROKEN",LEFT(A3,6)="REVIEW",LEFT(A3,3)="PRE",LEFT(A3,3)="NOT")</formula>
    </cfRule>
  </conditionalFormatting>
  <conditionalFormatting sqref="I21:I47">
    <cfRule type="cellIs" dxfId="659" priority="21" stopIfTrue="1" operator="equal">
      <formula>"OK"</formula>
    </cfRule>
    <cfRule type="cellIs" dxfId="658" priority="22" stopIfTrue="1" operator="equal">
      <formula>"REVIEW"</formula>
    </cfRule>
    <cfRule type="cellIs" dxfId="657" priority="23" stopIfTrue="1" operator="equal">
      <formula>"NO INPUT"</formula>
    </cfRule>
    <cfRule type="cellIs" dxfId="656" priority="24" stopIfTrue="1" operator="equal">
      <formula>"INFO"</formula>
    </cfRule>
    <cfRule type="cellIs" dxfId="655" priority="25" stopIfTrue="1" operator="equal">
      <formula>"ADVISORY"</formula>
    </cfRule>
  </conditionalFormatting>
  <conditionalFormatting sqref="I5">
    <cfRule type="cellIs" dxfId="654" priority="15" stopIfTrue="1" operator="equal">
      <formula>"OK"</formula>
    </cfRule>
    <cfRule type="cellIs" dxfId="653" priority="16" stopIfTrue="1" operator="equal">
      <formula>"REVIEW"</formula>
    </cfRule>
    <cfRule type="cellIs" dxfId="652" priority="17" stopIfTrue="1" operator="equal">
      <formula>"NO INPUT"</formula>
    </cfRule>
    <cfRule type="cellIs" dxfId="651" priority="18" stopIfTrue="1" operator="equal">
      <formula>"INFO"</formula>
    </cfRule>
  </conditionalFormatting>
  <conditionalFormatting sqref="I8:I12">
    <cfRule type="expression" dxfId="650" priority="19" stopIfTrue="1">
      <formula>OR(LEFT(I8,2)="OK",LEFT(I8,4)="OPEN",LEFT(I8,10)="PRODUCTION")</formula>
    </cfRule>
    <cfRule type="expression" dxfId="649" priority="20" stopIfTrue="1">
      <formula>OR(LEFT(I8,7)="BLOCKED",LEFT(I8,6)="BROKEN",LEFT(I8,6)="REVIEW",LEFT(I8,3)="PRE",LEFT(I8,3)="NOT")</formula>
    </cfRule>
  </conditionalFormatting>
  <conditionalFormatting sqref="I56:I202">
    <cfRule type="cellIs" dxfId="648" priority="3" stopIfTrue="1" operator="equal">
      <formula>"OK"</formula>
    </cfRule>
    <cfRule type="cellIs" dxfId="647" priority="4" stopIfTrue="1" operator="equal">
      <formula>"REVIEW"</formula>
    </cfRule>
    <cfRule type="cellIs" dxfId="646" priority="5" stopIfTrue="1" operator="equal">
      <formula>"NO INPUT"</formula>
    </cfRule>
    <cfRule type="cellIs" dxfId="645" priority="6" stopIfTrue="1" operator="equal">
      <formula>"INFO"</formula>
    </cfRule>
  </conditionalFormatting>
  <conditionalFormatting sqref="K56:K202">
    <cfRule type="cellIs" dxfId="644" priority="7" stopIfTrue="1" operator="equal">
      <formula>"OK"</formula>
    </cfRule>
    <cfRule type="cellIs" dxfId="643" priority="8" stopIfTrue="1" operator="equal">
      <formula>"REVIEW"</formula>
    </cfRule>
    <cfRule type="cellIs" dxfId="642" priority="9" stopIfTrue="1" operator="equal">
      <formula>"NO INPUT"</formula>
    </cfRule>
    <cfRule type="cellIs" dxfId="641" priority="10" stopIfTrue="1" operator="equal">
      <formula>"INFO"</formula>
    </cfRule>
  </conditionalFormatting>
  <conditionalFormatting sqref="T54:AZ200">
    <cfRule type="cellIs" dxfId="640" priority="11" stopIfTrue="1" operator="equal">
      <formula>"OK"</formula>
    </cfRule>
    <cfRule type="cellIs" dxfId="639" priority="12" stopIfTrue="1" operator="equal">
      <formula>"MISSING"</formula>
    </cfRule>
    <cfRule type="cellIs" dxfId="638" priority="13" stopIfTrue="1" operator="equal">
      <formula>"NIL"</formula>
    </cfRule>
    <cfRule type="cellIs" dxfId="637" priority="14" stopIfTrue="1" operator="equal">
      <formula>"n/a"</formula>
    </cfRule>
  </conditionalFormatting>
  <conditionalFormatting sqref="H21:H47">
    <cfRule type="cellIs" dxfId="636" priority="26" stopIfTrue="1" operator="equal">
      <formula>"ADVISORY"</formula>
    </cfRule>
  </conditionalFormatting>
  <dataValidations count="1">
    <dataValidation type="list" allowBlank="1" showInputMessage="1" showErrorMessage="1" sqref="H21:H47" xr:uid="{47FE25F3-D2D9-4F5E-8924-CD379A46F687}">
      <formula1>lstSeverity</formula1>
    </dataValidation>
  </dataValidations>
  <pageMargins left="0.75" right="0.75" top="1" bottom="1" header="0.5" footer="0.5"/>
  <pageSetup paperSize="9" scale="35" fitToHeight="0" orientation="landscape" r:id="rId1"/>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1F3864"/>
    <pageSetUpPr fitToPage="1"/>
  </sheetPr>
  <dimension ref="A1:N70"/>
  <sheetViews>
    <sheetView showGridLines="0" workbookViewId="0">
      <selection activeCell="D16" sqref="D16"/>
    </sheetView>
  </sheetViews>
  <sheetFormatPr defaultRowHeight="12.75"/>
  <cols>
    <col min="1" max="14" width="14.7109375" customWidth="1"/>
  </cols>
  <sheetData>
    <row r="1" spans="1:14" ht="20.25">
      <c r="A1" s="53" t="s">
        <v>3275</v>
      </c>
    </row>
    <row r="2" spans="1:14">
      <c r="A2" s="47" t="str" cm="1">
        <f t="array" ref="A2">IF(prmSetupCompletedOn="",_xlfn.XLOOKUP("NODATA",tblUIText[Key],tblUIText[Text],"NODATA"),"")</f>
        <v>Henüz veri yok – Kurulum'u tamamlayın (Giriş sayfası).
No data yet – complete Setup (Home).</v>
      </c>
    </row>
    <row r="3" spans="1:14">
      <c r="A3" s="73" t="s">
        <v>135</v>
      </c>
      <c r="B3" s="74">
        <f>cpActivePeriod</f>
        <v>0</v>
      </c>
      <c r="C3" s="73" t="s">
        <v>3276</v>
      </c>
      <c r="D3" s="74" t="str">
        <f>cpOverallStatus</f>
        <v>REVIEW</v>
      </c>
      <c r="E3" s="73" t="s">
        <v>3277</v>
      </c>
      <c r="F3" s="74">
        <f>cpReviewCount</f>
        <v>2</v>
      </c>
      <c r="G3" s="73" t="s">
        <v>3278</v>
      </c>
      <c r="H3" s="74" t="str">
        <f>cpSubmission</f>
        <v>Not submitted</v>
      </c>
    </row>
    <row r="4" spans="1:14">
      <c r="A4" s="73" t="s">
        <v>3256</v>
      </c>
      <c r="B4" s="74" t="str">
        <f>cpCloseGate</f>
        <v>BLOCKED: staging is not current or the refresh was not logged - run Refresh</v>
      </c>
    </row>
    <row r="5" spans="1:14" ht="18" customHeight="1"/>
    <row r="6" spans="1:14" ht="18" customHeight="1"/>
    <row r="7" spans="1:14" ht="18" customHeight="1"/>
    <row r="8" spans="1:14" ht="18" customHeight="1"/>
    <row r="9" spans="1:14" ht="18" customHeight="1"/>
    <row r="10" spans="1:14" ht="18" customHeight="1"/>
    <row r="12" spans="1:14">
      <c r="A12" s="218" t="s">
        <v>3280</v>
      </c>
      <c r="B12" s="219"/>
      <c r="C12" s="218" t="s">
        <v>3281</v>
      </c>
      <c r="D12" s="219"/>
      <c r="E12" s="218" t="s">
        <v>3282</v>
      </c>
      <c r="F12" s="219"/>
      <c r="G12" s="218" t="s">
        <v>3283</v>
      </c>
      <c r="H12" s="219"/>
      <c r="I12" s="218" t="s">
        <v>3284</v>
      </c>
      <c r="J12" s="219"/>
      <c r="K12" s="218" t="s">
        <v>3285</v>
      </c>
      <c r="L12" s="224"/>
      <c r="M12" s="224"/>
      <c r="N12" s="219"/>
    </row>
    <row r="13" spans="1:14" ht="30" customHeight="1">
      <c r="A13" s="231" t="str" vm="2">
        <f>IFERROR(CUBEVALUE("ThisWorkbookDataModel","[Measures].[Total Payments TRY]",Slicer_YearMonth,Slicer_CompanyType,Slicer_CurrencyCode),"-")</f>
        <v/>
      </c>
      <c r="B13" s="232"/>
      <c r="C13" s="231" t="str" vm="5">
        <f>IFERROR(CUBEVALUE("ThisWorkbookDataModel","[Measures].[Net Payments TRY]",Slicer_YearMonth,Slicer_CompanyType,Slicer_CurrencyCode),"-")</f>
        <v/>
      </c>
      <c r="D13" s="232"/>
      <c r="E13" s="231" t="str" vm="1">
        <f>IFERROR(CUBEVALUE("ThisWorkbookDataModel","[Measures].[Distinct Cases]",Slicer_YearMonth,Slicer_CompanyType,Slicer_CurrencyCode),"-")</f>
        <v/>
      </c>
      <c r="F13" s="232"/>
      <c r="G13" s="233" t="str" vm="4">
        <f>IFERROR(CUBEVALUE("ThisWorkbookDataModel","[Measures].[MoM Change %]",Slicer_YearMonth,Slicer_CompanyType,Slicer_CurrencyCode),"-")</f>
        <v/>
      </c>
      <c r="H13" s="234"/>
      <c r="I13" s="220" t="str" vm="3">
        <f>IFERROR(CUBEVALUE("ThisWorkbookDataModel","[Measures].[Avg Days Notification to Payment]",Slicer_YearMonth,Slicer_CompanyType,Slicer_CurrencyCode),"-")</f>
        <v/>
      </c>
      <c r="J13" s="221"/>
      <c r="K13" s="225" t="str" cm="1">
        <f t="array" ref="K13">IFERROR(CUBERANKEDMEMBER("ThisWorkbookDataModel",Slicer_YearMonth,1),"-")&amp;IF(IFERROR(CUBESETCOUNT(Slicer_YearMonth),1)&gt;1," (+"&amp;(CUBESETCOUNT(Slicer_YearMonth)-1)&amp;" more)","")</f>
        <v>2026-08</v>
      </c>
      <c r="L13" s="226"/>
      <c r="M13" s="226"/>
      <c r="N13" s="227"/>
    </row>
    <row r="14" spans="1:14" ht="36" customHeight="1">
      <c r="A14" s="222" t="str" cm="1">
        <f t="array" ref="A14">_xlfn.TEXTJOIN(" ",TRUE,IF((tblKPICaveat[KPI]="Total Payments TRY")*(IFERROR(_xlfn.XLOOKUP(tblKPICaveat[CheckID],tblControl[CheckID],tblControl[Status]),"")="REVIEW"),tblKPICaveat[Caveat],""))</f>
        <v/>
      </c>
      <c r="B14" s="223"/>
      <c r="C14" s="222" t="str" cm="1">
        <f t="array" ref="C14">_xlfn.TEXTJOIN(" ",TRUE,IF((tblKPICaveat[KPI]="Net Payments TRY")*(IFERROR(_xlfn.XLOOKUP(tblKPICaveat[CheckID],tblControl[CheckID],tblControl[Status]),"")="REVIEW"),tblKPICaveat[Caveat],""))</f>
        <v/>
      </c>
      <c r="D14" s="223"/>
      <c r="E14" s="222" t="str" cm="1">
        <f t="array" ref="E14">_xlfn.TEXTJOIN(" ",TRUE,IF((tblKPICaveat[KPI]="Distinct Cases")*(IFERROR(_xlfn.XLOOKUP(tblKPICaveat[CheckID],tblControl[CheckID],tblControl[Status]),"")="REVIEW"),tblKPICaveat[Caveat],""))</f>
        <v/>
      </c>
      <c r="F14" s="223"/>
      <c r="G14" s="222" t="str" cm="1">
        <f t="array" ref="G14">_xlfn.TEXTJOIN(" ",TRUE,IF((tblKPICaveat[KPI]="MoM Change %")*(IFERROR(_xlfn.XLOOKUP(tblKPICaveat[CheckID],tblControl[CheckID],tblControl[Status]),"")="REVIEW"),tblKPICaveat[Caveat],""))</f>
        <v/>
      </c>
      <c r="H14" s="223"/>
      <c r="I14" s="222" t="str" cm="1">
        <f t="array" ref="I14">_xlfn.TEXTJOIN(" ",TRUE,IF((tblKPICaveat[KPI]="Avg Days Notification to Payment")*(IFERROR(_xlfn.XLOOKUP(tblKPICaveat[CheckID],tblControl[CheckID],tblControl[Status]),"")="REVIEW"),tblKPICaveat[Caveat],""))</f>
        <v/>
      </c>
      <c r="J14" s="223"/>
      <c r="K14" s="228" t="str" cm="1">
        <f t="array" ref="K14">"Company type: "&amp;IFERROR(CUBERANKEDMEMBER("ThisWorkbookDataModel",Slicer_CompanyType,1),"-")&amp;" | Currency: "&amp;IFERROR(CUBERANKEDMEMBER("ThisWorkbookDataModel",Slicer_CurrencyCode,1),"-")</f>
        <v>Company type: All | Currency: All</v>
      </c>
      <c r="L14" s="229"/>
      <c r="M14" s="229"/>
      <c r="N14" s="230"/>
    </row>
    <row r="16" spans="1:14">
      <c r="A16" s="47" t="s">
        <v>3286</v>
      </c>
      <c r="D16" s="76" t="str">
        <f>IFERROR(_xlfn.LET(_xlpm.p,"[DimDate].[PeriodKey].&amp;["&amp;cpActivePeriod&amp;"]",_xlpm.t,CUBEVALUE("ThisWorkbookDataModel","[Measures].[Total Payments TRY]",_xlpm.p),_xlpm.l,CUBEVALUE("ThisWorkbookDataModel","[Measures].[Payment Lines]",_xlpm.p),_xlpm.d,CUBEVALUE("ThisWorkbookDataModel","[Measures].[Distinct Cases]",_xlpm.p),IF(AND(ROUND(N(_xlpm.t)-N(kpiTotalTRY),2)=0,N(_xlpm.l)=N(kpiLines),N(_xlpm.d)=N(kpiCases)),"OK","REVIEW")),"n/a")</f>
        <v>n/a</v>
      </c>
      <c r="E16" s="73" t="s">
        <v>3287</v>
      </c>
    </row>
    <row r="17" spans="1:1">
      <c r="A17" s="75" t="s">
        <v>3279</v>
      </c>
    </row>
    <row r="50" spans="1:14" ht="15">
      <c r="A50" s="58" t="s">
        <v>3288</v>
      </c>
      <c r="B50" s="58"/>
      <c r="C50" s="58"/>
      <c r="D50" s="58"/>
      <c r="E50" s="58"/>
      <c r="F50" s="58"/>
      <c r="G50" s="58"/>
      <c r="H50" s="58" t="s">
        <v>3289</v>
      </c>
      <c r="I50" s="58"/>
      <c r="J50" s="58"/>
      <c r="K50" s="58"/>
      <c r="L50" s="58"/>
      <c r="M50" s="58"/>
      <c r="N50" s="58"/>
    </row>
    <row r="51" spans="1:14">
      <c r="A51" s="62" t="str" cm="1">
        <f t="array" ref="A51:B52">IFERROR(_xlfn.TAKE(_xlfn._xlws.FILTER(_xlfn.HSTACK(tblControl[CheckID],tblControl[Finding]),tblControl[Status]="REVIEW"),8),"All checks are OK.")</f>
        <v>STG_CURRENT</v>
      </c>
      <c r="B51" s="62" t="str">
        <v>No data yet - complete Setup (Home).</v>
      </c>
      <c r="C51" s="62"/>
      <c r="D51" s="62"/>
      <c r="E51" s="62"/>
      <c r="F51" s="62"/>
      <c r="G51" s="62"/>
      <c r="H51" s="62" t="str" cm="1">
        <f t="array" ref="H51">IFERROR(_xlfn.TAKE(_xlfn.SORTBY(_xlfn._xlws.FILTER(_xlfn.HSTACK(STG_DQ[CompanyID],STG_DQ[IssueType],STG_DQ[AffectedCount],STG_DQ[Detail]),STG_DQ[Severity]="REVIEW"),_xlfn._xlws.FILTER(STG_DQ[AffectedCount],STG_DQ[Severity]="REVIEW"),-1),5),"No REVIEW issue in STG_DQ.")</f>
        <v>No REVIEW issue in STG_DQ.</v>
      </c>
      <c r="I51" s="62"/>
      <c r="J51" s="62"/>
      <c r="K51" s="62"/>
      <c r="L51" s="62"/>
      <c r="M51" s="62"/>
      <c r="N51" s="62"/>
    </row>
    <row r="52" spans="1:14">
      <c r="A52" s="62" t="str">
        <v>COLUMNMAP_LOCK</v>
      </c>
      <c r="B52" s="62" t="str">
        <v>Kolon haritası kilitli değil / The column map is not locked: Backfill, Close and Rebuild store are blocked.</v>
      </c>
      <c r="C52" s="62"/>
      <c r="D52" s="62"/>
      <c r="E52" s="62"/>
      <c r="F52" s="62"/>
      <c r="G52" s="62"/>
      <c r="H52" s="62"/>
      <c r="I52" s="62"/>
      <c r="J52" s="62"/>
      <c r="K52" s="62"/>
      <c r="L52" s="62"/>
      <c r="M52" s="62"/>
      <c r="N52" s="62"/>
    </row>
    <row r="53" spans="1:14">
      <c r="A53" s="62"/>
      <c r="B53" s="62"/>
      <c r="C53" s="62"/>
      <c r="D53" s="62"/>
      <c r="E53" s="62"/>
      <c r="F53" s="62"/>
      <c r="G53" s="62"/>
      <c r="H53" s="62"/>
      <c r="I53" s="62"/>
      <c r="J53" s="62"/>
      <c r="K53" s="62"/>
      <c r="L53" s="62"/>
      <c r="M53" s="62"/>
      <c r="N53" s="62"/>
    </row>
    <row r="54" spans="1:14">
      <c r="A54" s="62"/>
      <c r="B54" s="62"/>
      <c r="C54" s="62"/>
      <c r="D54" s="62"/>
      <c r="E54" s="62"/>
      <c r="F54" s="62"/>
      <c r="G54" s="62"/>
      <c r="H54" s="62"/>
      <c r="I54" s="62"/>
      <c r="J54" s="62"/>
      <c r="K54" s="62"/>
      <c r="L54" s="62"/>
      <c r="M54" s="62"/>
      <c r="N54" s="62"/>
    </row>
    <row r="55" spans="1:14">
      <c r="A55" s="62"/>
      <c r="B55" s="62"/>
      <c r="C55" s="62"/>
      <c r="D55" s="62"/>
      <c r="E55" s="62"/>
      <c r="F55" s="62"/>
      <c r="G55" s="62"/>
      <c r="H55" s="62"/>
      <c r="I55" s="62"/>
      <c r="J55" s="62"/>
      <c r="K55" s="62"/>
      <c r="L55" s="62"/>
      <c r="M55" s="62"/>
      <c r="N55" s="62"/>
    </row>
    <row r="56" spans="1:14">
      <c r="A56" s="62"/>
      <c r="B56" s="62"/>
      <c r="C56" s="62"/>
      <c r="D56" s="62"/>
      <c r="E56" s="62"/>
      <c r="F56" s="62"/>
      <c r="G56" s="62"/>
      <c r="H56" s="62"/>
      <c r="I56" s="62"/>
      <c r="J56" s="62"/>
      <c r="K56" s="62"/>
      <c r="L56" s="62"/>
      <c r="M56" s="62"/>
      <c r="N56" s="62"/>
    </row>
    <row r="57" spans="1:14">
      <c r="A57" s="62"/>
      <c r="B57" s="62"/>
      <c r="C57" s="62"/>
      <c r="D57" s="62"/>
      <c r="E57" s="62"/>
      <c r="F57" s="62"/>
      <c r="G57" s="62"/>
      <c r="H57" s="62"/>
      <c r="I57" s="62"/>
      <c r="J57" s="62"/>
      <c r="K57" s="62"/>
      <c r="L57" s="62"/>
      <c r="M57" s="62"/>
      <c r="N57" s="62"/>
    </row>
    <row r="58" spans="1:14">
      <c r="A58" s="62"/>
      <c r="B58" s="62"/>
      <c r="C58" s="62"/>
      <c r="D58" s="62"/>
      <c r="E58" s="62"/>
      <c r="F58" s="62"/>
      <c r="G58" s="62"/>
      <c r="H58" s="62"/>
      <c r="I58" s="62"/>
      <c r="J58" s="62"/>
      <c r="K58" s="62"/>
      <c r="L58" s="62"/>
      <c r="M58" s="62"/>
      <c r="N58" s="62"/>
    </row>
    <row r="59" spans="1:14">
      <c r="A59" s="62"/>
      <c r="B59" s="62"/>
      <c r="C59" s="62"/>
      <c r="D59" s="62"/>
      <c r="E59" s="62"/>
      <c r="F59" s="62"/>
      <c r="G59" s="62"/>
      <c r="H59" s="62"/>
      <c r="I59" s="62"/>
      <c r="J59" s="62"/>
      <c r="K59" s="62"/>
      <c r="L59" s="62"/>
      <c r="M59" s="62"/>
      <c r="N59" s="62"/>
    </row>
    <row r="60" spans="1:14">
      <c r="A60" s="62"/>
      <c r="B60" s="62"/>
      <c r="C60" s="62"/>
      <c r="D60" s="62"/>
      <c r="E60" s="62"/>
      <c r="F60" s="62"/>
      <c r="G60" s="62"/>
      <c r="H60" s="62"/>
      <c r="I60" s="62"/>
      <c r="J60" s="62"/>
      <c r="K60" s="62"/>
      <c r="L60" s="62"/>
      <c r="M60" s="62"/>
      <c r="N60" s="62"/>
    </row>
    <row r="68" spans="1:14" ht="15">
      <c r="A68" s="58" t="s">
        <v>3290</v>
      </c>
      <c r="B68" s="58"/>
      <c r="C68" s="58"/>
      <c r="D68" s="58"/>
      <c r="E68" s="58"/>
      <c r="F68" s="58"/>
      <c r="G68" s="58"/>
      <c r="H68" s="58"/>
      <c r="I68" s="58"/>
      <c r="J68" s="58"/>
      <c r="K68" s="58"/>
      <c r="L68" s="58"/>
      <c r="M68" s="58"/>
      <c r="N68" s="58"/>
    </row>
    <row r="70" spans="1:14">
      <c r="A70" s="44" t="s">
        <v>2379</v>
      </c>
      <c r="B70" t="s">
        <v>205</v>
      </c>
      <c r="C70" t="s">
        <v>207</v>
      </c>
      <c r="D70" t="s">
        <v>213</v>
      </c>
      <c r="E70" t="s">
        <v>2541</v>
      </c>
      <c r="F70" t="s">
        <v>219</v>
      </c>
      <c r="G70" t="s">
        <v>221</v>
      </c>
      <c r="H70" t="s">
        <v>225</v>
      </c>
    </row>
  </sheetData>
  <sheetProtection algorithmName="SHA-512" hashValue="RLuw14CnymRvcmkEKUTEPgYCh8dQ0ktioger7DQVvnWStTquhu63gVzkaLPmHvfTjBtiVAR3esnLVRAbyFUa+w==" saltValue="bXnBViIrceIiZw7zGPjatQ==" spinCount="100000" sheet="1" scenarios="1" formatColumns="0" sort="0" autoFilter="0" pivotTables="0"/>
  <mergeCells count="18">
    <mergeCell ref="A12:B12"/>
    <mergeCell ref="A13:B13"/>
    <mergeCell ref="A14:B14"/>
    <mergeCell ref="C12:D12"/>
    <mergeCell ref="C13:D13"/>
    <mergeCell ref="C14:D14"/>
    <mergeCell ref="E12:F12"/>
    <mergeCell ref="E13:F13"/>
    <mergeCell ref="E14:F14"/>
    <mergeCell ref="G12:H12"/>
    <mergeCell ref="G13:H13"/>
    <mergeCell ref="G14:H14"/>
    <mergeCell ref="I12:J12"/>
    <mergeCell ref="I13:J13"/>
    <mergeCell ref="I14:J14"/>
    <mergeCell ref="K12:N12"/>
    <mergeCell ref="K13:N13"/>
    <mergeCell ref="K14:N14"/>
  </mergeCells>
  <conditionalFormatting sqref="A2">
    <cfRule type="expression" dxfId="635" priority="1" stopIfTrue="1">
      <formula>OR(LEFT(A2,2)="OK",LEFT(A2,4)="OPEN",LEFT(A2,10)="PRODUCTION")</formula>
    </cfRule>
    <cfRule type="expression" dxfId="634" priority="2" stopIfTrue="1">
      <formula>OR(LEFT(A2,7)="BLOCKED",LEFT(A2,6)="BROKEN",LEFT(A2,6)="REVIEW",LEFT(A2,3)="PRE",LEFT(A2,3)="NOT")</formula>
    </cfRule>
  </conditionalFormatting>
  <conditionalFormatting sqref="B4">
    <cfRule type="expression" dxfId="633" priority="9" stopIfTrue="1">
      <formula>OR(LEFT(B4,2)="OK",LEFT(B4,4)="OPEN",LEFT(B4,10)="PRODUCTION")</formula>
    </cfRule>
    <cfRule type="expression" dxfId="632" priority="10" stopIfTrue="1">
      <formula>OR(LEFT(B4,7)="BLOCKED",LEFT(B4,6)="BROKEN",LEFT(B4,6)="REVIEW",LEFT(B4,3)="PRE",LEFT(B4,3)="NOT")</formula>
    </cfRule>
  </conditionalFormatting>
  <conditionalFormatting sqref="D3">
    <cfRule type="cellIs" dxfId="631" priority="3" stopIfTrue="1" operator="equal">
      <formula>"OK"</formula>
    </cfRule>
    <cfRule type="cellIs" dxfId="630" priority="4" stopIfTrue="1" operator="equal">
      <formula>"REVIEW"</formula>
    </cfRule>
    <cfRule type="cellIs" dxfId="629" priority="5" stopIfTrue="1" operator="equal">
      <formula>"NO INPUT"</formula>
    </cfRule>
    <cfRule type="cellIs" dxfId="628" priority="6" stopIfTrue="1" operator="equal">
      <formula>"INFO"</formula>
    </cfRule>
  </conditionalFormatting>
  <conditionalFormatting sqref="D16">
    <cfRule type="cellIs" dxfId="627" priority="11" stopIfTrue="1" operator="equal">
      <formula>"OK"</formula>
    </cfRule>
    <cfRule type="cellIs" dxfId="626" priority="12" stopIfTrue="1" operator="equal">
      <formula>"REVIEW"</formula>
    </cfRule>
    <cfRule type="cellIs" dxfId="625" priority="13" stopIfTrue="1" operator="equal">
      <formula>"NO INPUT"</formula>
    </cfRule>
    <cfRule type="cellIs" dxfId="624" priority="14" stopIfTrue="1" operator="equal">
      <formula>"INFO"</formula>
    </cfRule>
  </conditionalFormatting>
  <conditionalFormatting sqref="H3">
    <cfRule type="expression" dxfId="623" priority="7" stopIfTrue="1">
      <formula>OR(LEFT(H3,2)="OK",LEFT(H3,4)="OPEN",LEFT(H3,10)="PRODUCTION")</formula>
    </cfRule>
    <cfRule type="expression" dxfId="622" priority="8" stopIfTrue="1">
      <formula>OR(LEFT(H3,7)="BLOCKED",LEFT(H3,6)="BROKEN",LEFT(H3,6)="REVIEW",LEFT(H3,3)="PRE",LEFT(H3,3)="NOT")</formula>
    </cfRule>
  </conditionalFormatting>
  <printOptions horizontalCentered="1"/>
  <pageMargins left="0.75" right="0.75" top="1" bottom="1" header="0.5" footer="0.5"/>
  <pageSetup paperSize="9" scale="64" fitToHeight="0" orientation="landscape" r:id="rId2"/>
  <drawing r:id="rId3"/>
  <extLst>
    <ext xmlns:x14="http://schemas.microsoft.com/office/spreadsheetml/2009/9/main" uri="{A8765BA9-456A-4dab-B4F3-ACF838C121DE}">
      <x14:slicerList>
        <x14:slicer r:id="rId4"/>
      </x14:slicerList>
    </ext>
    <ext xmlns:x15="http://schemas.microsoft.com/office/spreadsheetml/2010/11/main" uri="{7E03D99C-DC04-49d9-9315-930204A7B6E9}">
      <x15:timelineRefs>
        <x15:timelineRef r:id="rId5"/>
      </x15:timelineRef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E9387-0BFC-49B9-96FB-E61142264978}">
  <sheetPr codeName="Sheet5"/>
  <dimension ref="A1:B13"/>
  <sheetViews>
    <sheetView workbookViewId="0"/>
  </sheetViews>
  <sheetFormatPr defaultRowHeight="12.75"/>
  <cols>
    <col min="1" max="1" width="19.42578125" bestFit="1" customWidth="1"/>
    <col min="2" max="2" width="17" bestFit="1" customWidth="1"/>
    <col min="3" max="3" width="13.85546875" bestFit="1" customWidth="1"/>
    <col min="4" max="4" width="12.7109375" bestFit="1" customWidth="1"/>
    <col min="5" max="5" width="13.85546875" bestFit="1" customWidth="1"/>
    <col min="6" max="9" width="12.7109375" bestFit="1" customWidth="1"/>
    <col min="10" max="14" width="13.85546875" bestFit="1" customWidth="1"/>
    <col min="15" max="15" width="12.7109375" bestFit="1" customWidth="1"/>
    <col min="16" max="25" width="13.85546875" bestFit="1" customWidth="1"/>
    <col min="26" max="26" width="15.42578125" bestFit="1" customWidth="1"/>
    <col min="27" max="373" width="7.5703125" bestFit="1" customWidth="1"/>
    <col min="374" max="374" width="11.7109375" bestFit="1" customWidth="1"/>
  </cols>
  <sheetData>
    <row r="1" spans="1:2" ht="20.25">
      <c r="A1" s="53" t="s">
        <v>3291</v>
      </c>
    </row>
    <row r="2" spans="1:2">
      <c r="A2" s="54" t="s">
        <v>3292</v>
      </c>
    </row>
    <row r="3" spans="1:2">
      <c r="A3" s="101" t="str" cm="1">
        <f t="array" ref="A3">IF(prmSetupCompletedOn="",_xlfn.XLOOKUP("NODATA",tblUIText[Key],tblUIText[Text],"NODATA"),"")</f>
        <v>Henüz veri yok – Kurulum'u tamamlayın (Giriş sayfası).
No data yet – complete Setup (Home).</v>
      </c>
    </row>
    <row r="12" spans="1:2">
      <c r="A12" s="44" t="s">
        <v>205</v>
      </c>
      <c r="B12" s="44" t="s">
        <v>3293</v>
      </c>
    </row>
    <row r="13" spans="1:2">
      <c r="A13" s="44" t="s">
        <v>3274</v>
      </c>
    </row>
  </sheetData>
  <sheetProtection algorithmName="SHA-512" hashValue="HxnJcqV+BImtviqmvZz48+DzOT20Sv/dg8R1Sw+OOCASzm/Id86ZImmiE7ImMvGOnMkSQBc3gMC9kwNuIImUsw==" saltValue="gHl5dpdbmToOhZKEv+DPWg==" spinCount="100000" sheet="1" scenarios="1" formatColumns="0" sort="0" autoFilter="0" pivotTables="0"/>
  <conditionalFormatting pivot="1">
    <cfRule type="colorScale" priority="1">
      <colorScale>
        <cfvo type="min"/>
        <cfvo type="percentile" val="50"/>
        <cfvo type="max"/>
        <color rgb="FFF8696B"/>
        <color rgb="FFFFEB84"/>
        <color rgb="FF63BE7B"/>
      </colorScale>
    </cfRule>
  </conditionalFormatting>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87B36-0721-4A71-AA46-E583F115990E}">
  <sheetPr codeName="Sheet74">
    <pageSetUpPr fitToPage="1"/>
  </sheetPr>
  <dimension ref="B1:Z33"/>
  <sheetViews>
    <sheetView showGridLines="0" workbookViewId="0"/>
  </sheetViews>
  <sheetFormatPr defaultRowHeight="12.75"/>
  <cols>
    <col min="1" max="1" width="2.28515625" customWidth="1"/>
    <col min="2" max="2" width="18.7109375" customWidth="1"/>
    <col min="3" max="19" width="8.7109375" customWidth="1"/>
  </cols>
  <sheetData>
    <row r="1" spans="2:26" ht="18">
      <c r="B1" s="123" t="str">
        <f>_xlfn.XLOOKUP("AN_IDX_TITLE",tblUIText[Key],tblUIText[TR],"AN_IDX_TITLE")&amp;" / "&amp;_xlfn.XLOOKUP("AN_IDX_TITLE",tblUIText[Key],tblUIText[EN],"")</f>
        <v>Analitik sayfalar / Analytics pages</v>
      </c>
    </row>
    <row r="2" spans="2:26" ht="45.95" customHeight="1">
      <c r="B2" s="240" t="str">
        <f>_xlfn.XLOOKUP("AN_IDX_NOTE",tblUIText[Key],tblUIText[TR],"AN_IDX_NOTE")&amp;" / "&amp;_xlfn.XLOOKUP("AN_IDX_NOTE",tblUIText[Key],tblUIText[EN],"")&amp;CHAR(10)&amp;_xlfn.XLOOKUP("AN_HOWTO_INDEX",tblUIText[Key],tblUIText[TR],"AN_HOWTO_INDEX")&amp;" / "&amp;_xlfn.XLOOKUP("AN_HOWTO_INDEX",tblUIText[Key],tblUIText[EN],"")</f>
        <v>Her sayfa tek bir soruyu yanıtlar; her sayı KPI kataloğundaki bir tanıma dayanır. Segmentler hiçbir sayfada toplanmaz. / Each page answers one question; every figure traces to a definition in the KPI catalog. No page adds segments.
Nasıl okunur: her satır bir sayfa; veri durumu yeşilse sayfa güvenilir veriyle çalışıyor, INSUFFICIENT DATA ise neden yazılı. / How to read: one row per page; green readiness means enough data, otherwise the reason is given.</v>
      </c>
      <c r="C2" s="237"/>
      <c r="D2" s="237"/>
      <c r="E2" s="237"/>
      <c r="F2" s="237"/>
      <c r="G2" s="237"/>
      <c r="H2" s="237"/>
      <c r="I2" s="237"/>
      <c r="J2" s="237"/>
      <c r="K2" s="237"/>
      <c r="L2" s="237"/>
      <c r="M2" s="237"/>
      <c r="N2" s="237"/>
      <c r="O2" s="237"/>
      <c r="P2" s="237"/>
      <c r="Q2" s="237"/>
      <c r="R2" s="237"/>
    </row>
    <row r="3" spans="2:26">
      <c r="B3" s="127" t="str">
        <f>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row>
    <row r="5" spans="2:26">
      <c r="B5" s="108" t="str">
        <f>_xlfn.XLOOKUP("AN_IDX_COVERAGE",tblUIText[Key],tblUIText[TR],"AN_IDX_COVERAGE")&amp;" / "&amp;_xlfn.XLOOKUP("AN_IDX_COVERAGE",tblUIText[Key],tblUIText[EN],"")</f>
        <v>Veri kapsamı / Data coverage</v>
      </c>
    </row>
    <row r="6" spans="2:26">
      <c r="B6" s="130" t="str">
        <f>_xlfn.XLOOKUP("AN_IDX_FIRST",tblUIText[Key],tblUIText[TR],"AN_IDX_FIRST")&amp;" / "&amp;_xlfn.XLOOKUP("AN_IDX_FIRST",tblUIText[Key],tblUIText[EN],"")</f>
        <v>İlk ay / First month</v>
      </c>
      <c r="E6" s="135" t="str" cm="1">
        <f t="array" ref="E6">IFERROR(_xlfn.TAKE(anMonthsAsc,1),"")</f>
        <v/>
      </c>
    </row>
    <row r="7" spans="2:26">
      <c r="B7" s="130" t="str">
        <f>_xlfn.XLOOKUP("AN_IDX_LAST",tblUIText[Key],tblUIText[TR],"AN_IDX_LAST")&amp;" / "&amp;_xlfn.XLOOKUP("AN_IDX_LAST",tblUIText[Key],tblUIText[EN],"")</f>
        <v>Son ay / Last month</v>
      </c>
      <c r="E7" s="135" t="str" cm="1">
        <f t="array" ref="E7">IFERROR(_xlfn.TAKE(anMonthsAsc,-1),"")</f>
        <v/>
      </c>
    </row>
    <row r="8" spans="2:26">
      <c r="B8" s="130" t="str">
        <f>_xlfn.XLOOKUP("AN_IDX_MONTHS",tblUIText[Key],tblUIText[TR],"AN_IDX_MONTHS")&amp;" / "&amp;_xlfn.XLOOKUP("AN_IDX_MONTHS",tblUIText[Key],tblUIText[EN],"")</f>
        <v>Ay sayısı / Months</v>
      </c>
      <c r="E8" s="135">
        <f>IFERROR(ROWS(anMonthsAsc),0)</f>
        <v>1</v>
      </c>
    </row>
    <row r="9" spans="2:26">
      <c r="B9" s="130" t="str">
        <f>_xlfn.XLOOKUP("AN_LBL_REFRESH",tblUIText[Key],tblUIText[TR],"AN_LBL_REFRESH")&amp;" / "&amp;_xlfn.XLOOKUP("AN_LBL_REFRESH",tblUIText[Key],tblUIText[EN],"")</f>
        <v>Son yenileme / Last refresh</v>
      </c>
      <c r="E9" s="135" t="str">
        <f>IFERROR(TEXT(cpLastLoggedRefresh,"yyyy-mm-dd hh:mm"),cpLastLoggedRefresh&amp;"")</f>
        <v>none</v>
      </c>
    </row>
    <row r="10" spans="2:26">
      <c r="B10" s="130" t="str">
        <f>_xlfn.XLOOKUP("AN_IDX_REF",tblUIText[Key],tblUIText[TR],"AN_IDX_REF")&amp;" / "&amp;_xlfn.XLOOKUP("AN_IDX_REF",tblUIText[Key],tblUIText[EN],"")</f>
        <v>Referans verisi / Reference data</v>
      </c>
      <c r="E10" s="135" t="str">
        <f>RefData!$A$3</f>
        <v>Referans verisi güncel; son yenileme: 2026-10-05 16:22 (release build) / Reference data in sync; last refreshed: 2026-10-05 16:22</v>
      </c>
    </row>
    <row r="11" spans="2:26" ht="57.95" customHeight="1">
      <c r="B11" s="241" t="str" cm="1">
        <f t="array" ref="B11">_xlfn.LET(_xlpm.rf,IFERROR(SUMPRODUCT(--(STG_Rejected[FileName]&lt;&gt;"")),0),_xlpm.u,SUMIFS(anSM_Lines,anSM_Seg,"Unassigned"),IF(_xlpm.rf&gt;0,_xlfn.XLOOKUP("AN_MSG_REJECTED",tblUIText[Key],tblUIText[TR],"AN_MSG_REJECTED")&amp;" / "&amp;_xlfn.XLOOKUP("AN_MSG_REJECTED",tblUIText[Key],tblUIText[EN],"AN_MSG_REJECTED")&amp;CHAR(10),"")&amp;IF(_xlpm.u&gt;0,_xlfn.XLOOKUP("AN_MSG_UNASSIGNED",tblUIText[Key],tblUIText[TR],"AN_MSG_UNASSIGNED")&amp;" "&amp;_xlpm.u&amp;" / "&amp;_xlfn.XLOOKUP("AN_MSG_UNASSIGNED",tblUIText[Key],tblUIText[EN],"AN_MSG_UNASSIGNED")&amp;" "&amp;_xlpm.u,""))</f>
        <v/>
      </c>
      <c r="C11" s="237"/>
      <c r="D11" s="237"/>
      <c r="E11" s="237"/>
      <c r="F11" s="237"/>
      <c r="G11" s="237"/>
      <c r="H11" s="237"/>
      <c r="I11" s="237"/>
      <c r="J11" s="237"/>
      <c r="K11" s="237"/>
      <c r="L11" s="237"/>
      <c r="M11" s="237"/>
      <c r="N11" s="237"/>
      <c r="O11" s="237"/>
      <c r="P11" s="237"/>
      <c r="Q11" s="237"/>
      <c r="R11" s="237"/>
    </row>
    <row r="13" spans="2:26" ht="24" customHeight="1">
      <c r="B13" s="195" t="str">
        <f>_xlfn.XLOOKUP("AN_IDX_PAGE",tblUIText[Key],tblUIText[TR],"AN_IDX_PAGE")&amp;" / "&amp;_xlfn.XLOOKUP("AN_IDX_PAGE",tblUIText[Key],tblUIText[EN],"")</f>
        <v>Sayfa / Page</v>
      </c>
      <c r="C13" s="242" t="str">
        <f>_xlfn.XLOOKUP("AN_IDX_QUESTION",tblUIText[Key],tblUIText[TR],"AN_IDX_QUESTION")&amp;" / "&amp;_xlfn.XLOOKUP("AN_IDX_QUESTION",tblUIText[Key],tblUIText[EN],"")</f>
        <v>Yanıtladığı soru / Question answered</v>
      </c>
      <c r="D13" s="243"/>
      <c r="E13" s="243"/>
      <c r="F13" s="243"/>
      <c r="G13" s="243"/>
      <c r="H13" s="242" t="str">
        <f>_xlfn.XLOOKUP("AN_IDX_AUDIENCE",tblUIText[Key],tblUIText[TR],"AN_IDX_AUDIENCE")&amp;" / "&amp;_xlfn.XLOOKUP("AN_IDX_AUDIENCE",tblUIText[Key],tblUIText[EN],"")</f>
        <v>Kimin için / Audience</v>
      </c>
      <c r="I13" s="243"/>
      <c r="J13" s="197" t="str">
        <f>_xlfn.XLOOKUP("AN_IDX_TIER",tblUIText[Key],tblUIText[TR],"AN_IDX_TIER")&amp;" / "&amp;_xlfn.XLOOKUP("AN_IDX_TIER",tblUIText[Key],tblUIText[EN],"")</f>
        <v>Kademe / Tier</v>
      </c>
      <c r="K13" s="242" t="str">
        <f>_xlfn.XLOOKUP("AN_IDX_READY",tblUIText[Key],tblUIText[TR],"AN_IDX_READY")&amp;" / "&amp;_xlfn.XLOOKUP("AN_IDX_READY",tblUIText[Key],tblUIText[EN],"")</f>
        <v>Veri durumu / Data readiness</v>
      </c>
      <c r="L13" s="243"/>
      <c r="M13" s="243"/>
      <c r="N13" s="243"/>
      <c r="O13" s="243"/>
      <c r="P13" s="243"/>
      <c r="Q13" s="243"/>
      <c r="R13" s="195" t="str">
        <f>_xlfn.XLOOKUP("AN_IDX_GO",tblUIText[Key],tblUIText[TR],"AN_IDX_GO")&amp;" / "&amp;_xlfn.XLOOKUP("AN_IDX_GO",tblUIText[Key],tblUIText[EN],"")</f>
        <v>Git / Go</v>
      </c>
      <c r="S13" s="196"/>
    </row>
    <row r="14" spans="2:26" ht="33.950000000000003" customHeight="1">
      <c r="B14" s="212" t="str">
        <f>_xlfn.XLOOKUP("AN_NAV_LIFE",tblUIText[Key],tblUIText[TR],"AN_NAV_LIFE")&amp;" / "&amp;_xlfn.XLOOKUP("AN_NAV_LIFE",tblUIText[Key],tblUIText[EN],"")</f>
        <v>Hayat / Life</v>
      </c>
      <c r="C14" s="239" t="str">
        <f>_xlfn.XLOOKUP("AN_Q_EXEC",tblUIText[Key],tblUIText[TR],"AN_Q_EXEC")&amp;" / "&amp;_xlfn.XLOOKUP("AN_Q_EXEC",tblUIText[Key],tblUIText[EN],"")</f>
        <v>Bu segmentin bu ayki ödeme faaliyeti olağan mı? / Is this segment's payment activity normal this period?</v>
      </c>
      <c r="D14" s="239"/>
      <c r="E14" s="239"/>
      <c r="F14" s="239"/>
      <c r="G14" s="239"/>
      <c r="H14" s="239" t="str">
        <f>_xlfn.XLOOKUP("AN_AUD_EXEC",tblUIText[Key],tblUIText[TR],"AN_AUD_EXEC")&amp;" / "&amp;_xlfn.XLOOKUP("AN_AUD_EXEC",tblUIText[Key],tblUIText[EN],"")</f>
        <v>Yönetici, gözden geçiren / Management, reviewer</v>
      </c>
      <c r="I14" s="239"/>
      <c r="J14" s="213">
        <v>1</v>
      </c>
      <c r="K14" s="239" t="str" cm="1">
        <f t="array" ref="K14">IFERROR(_xlfn.LET(_xlpm.ms,_xlfn._xlws.SORT(_xlfn.UNIQUE(_xlfn._xlws.FILTER(anSM_YM,(anSM_Seg="Life")*(anSM_Lines&lt;&gt;"")))),_xlpm.last,_xlfn.TAKE(_xlpm.ms,-1),_xlpm.l,SUMIFS(anSM_Lines,anSM_Seg,"Life",anSM_YM,_xlpm.last),IF(_xlpm.l&gt;=_xlfn.XLOOKUP("MinLinesForQuantile",AnParam[Param],AnParam[Value]),"OK","INSUFFICIENT DATA")&amp;": "&amp;ROWS(_xlpm.ms)&amp;" "&amp;_xlfn.XLOOKUP("AN_READY_MONTHS",tblUIText[Key],tblUIText[TR],"AN_READY_MONTHS")&amp;" / "&amp;_xlfn.XLOOKUP("AN_READY_MONTHS",tblUIText[Key],tblUIText[EN],"")&amp;"; "&amp;_xlpm.l&amp;" "&amp;_xlfn.XLOOKUP("AN_READY_LINES",tblUIText[Key],tblUIText[TR],"AN_READY_LINES")&amp;" / "&amp;_xlfn.XLOOKUP("AN_READY_LINES",tblUIText[Key],tblUIText[EN],"")),"INSUFFICIENT DATA")</f>
        <v>INSUFFICIENT DATA</v>
      </c>
      <c r="L14" s="239"/>
      <c r="M14" s="239"/>
      <c r="N14" s="239"/>
      <c r="O14" s="239"/>
      <c r="P14" s="239"/>
      <c r="Q14" s="239"/>
      <c r="R14" s="136" t="str">
        <f>HYPERLINK("#'AN_Exec_Life'!A1","AN_Exec_Life")</f>
        <v>AN_Exec_Life</v>
      </c>
      <c r="S14" s="213"/>
    </row>
    <row r="15" spans="2:26" ht="33.950000000000003" customHeight="1">
      <c r="B15" s="140" t="str">
        <f>_xlfn.XLOOKUP("AN_NAV_PENSION",tblUIText[Key],tblUIText[TR],"AN_NAV_PENSION")&amp;" / "&amp;_xlfn.XLOOKUP("AN_NAV_PENSION",tblUIText[Key],tblUIText[EN],"")</f>
        <v>Emeklilik / Pension</v>
      </c>
      <c r="C15" s="238" t="str">
        <f>_xlfn.XLOOKUP("AN_Q_EXEC",tblUIText[Key],tblUIText[TR],"AN_Q_EXEC")&amp;" / "&amp;_xlfn.XLOOKUP("AN_Q_EXEC",tblUIText[Key],tblUIText[EN],"")</f>
        <v>Bu segmentin bu ayki ödeme faaliyeti olağan mı? / Is this segment's payment activity normal this period?</v>
      </c>
      <c r="D15" s="238"/>
      <c r="E15" s="238"/>
      <c r="F15" s="238"/>
      <c r="G15" s="238"/>
      <c r="H15" s="238" t="str">
        <f>_xlfn.XLOOKUP("AN_AUD_EXEC",tblUIText[Key],tblUIText[TR],"AN_AUD_EXEC")&amp;" / "&amp;_xlfn.XLOOKUP("AN_AUD_EXEC",tblUIText[Key],tblUIText[EN],"")</f>
        <v>Yönetici, gözden geçiren / Management, reviewer</v>
      </c>
      <c r="I15" s="238"/>
      <c r="J15" s="141">
        <v>1</v>
      </c>
      <c r="K15" s="238" t="str" cm="1">
        <f t="array" ref="K15">IFERROR(_xlfn.LET(_xlpm.ms,_xlfn._xlws.SORT(_xlfn.UNIQUE(_xlfn._xlws.FILTER(anSM_YM,(anSM_Seg="Pension")*(anSM_Lines&lt;&gt;"")))),_xlpm.last,_xlfn.TAKE(_xlpm.ms,-1),_xlpm.l,SUMIFS(anSM_Lines,anSM_Seg,"Pension",anSM_YM,_xlpm.last),IF(_xlpm.l&gt;=_xlfn.XLOOKUP("MinLinesForQuantile",AnParam[Param],AnParam[Value]),"OK","INSUFFICIENT DATA")&amp;": "&amp;ROWS(_xlpm.ms)&amp;" "&amp;_xlfn.XLOOKUP("AN_READY_MONTHS",tblUIText[Key],tblUIText[TR],"AN_READY_MONTHS")&amp;" / "&amp;_xlfn.XLOOKUP("AN_READY_MONTHS",tblUIText[Key],tblUIText[EN],"")&amp;"; "&amp;_xlpm.l&amp;" "&amp;_xlfn.XLOOKUP("AN_READY_LINES",tblUIText[Key],tblUIText[TR],"AN_READY_LINES")&amp;" / "&amp;_xlfn.XLOOKUP("AN_READY_LINES",tblUIText[Key],tblUIText[EN],"")),"INSUFFICIENT DATA")</f>
        <v>INSUFFICIENT DATA</v>
      </c>
      <c r="L15" s="238"/>
      <c r="M15" s="238"/>
      <c r="N15" s="238"/>
      <c r="O15" s="238"/>
      <c r="P15" s="238"/>
      <c r="Q15" s="238"/>
      <c r="R15" s="142" t="str">
        <f>HYPERLINK("#'AN_Exec_Pension'!A1","AN_Exec_Pension")</f>
        <v>AN_Exec_Pension</v>
      </c>
      <c r="S15" s="141"/>
    </row>
    <row r="16" spans="2:26" ht="33.950000000000003" customHeight="1">
      <c r="B16" s="140" t="str">
        <f>_xlfn.XLOOKUP("AN_NAV_NONLIFE",tblUIText[Key],tblUIText[TR],"AN_NAV_NONLIFE")&amp;" / "&amp;_xlfn.XLOOKUP("AN_NAV_NONLIFE",tblUIText[Key],tblUIText[EN],"")</f>
        <v>Elementer / Non-life</v>
      </c>
      <c r="C16" s="238" t="str">
        <f>_xlfn.XLOOKUP("AN_Q_EXEC",tblUIText[Key],tblUIText[TR],"AN_Q_EXEC")&amp;" / "&amp;_xlfn.XLOOKUP("AN_Q_EXEC",tblUIText[Key],tblUIText[EN],"")</f>
        <v>Bu segmentin bu ayki ödeme faaliyeti olağan mı? / Is this segment's payment activity normal this period?</v>
      </c>
      <c r="D16" s="238"/>
      <c r="E16" s="238"/>
      <c r="F16" s="238"/>
      <c r="G16" s="238"/>
      <c r="H16" s="238" t="str">
        <f>_xlfn.XLOOKUP("AN_AUD_EXEC",tblUIText[Key],tblUIText[TR],"AN_AUD_EXEC")&amp;" / "&amp;_xlfn.XLOOKUP("AN_AUD_EXEC",tblUIText[Key],tblUIText[EN],"")</f>
        <v>Yönetici, gözden geçiren / Management, reviewer</v>
      </c>
      <c r="I16" s="238"/>
      <c r="J16" s="141">
        <v>1</v>
      </c>
      <c r="K16" s="238" t="str" cm="1">
        <f t="array" ref="K16">IFERROR(_xlfn.LET(_xlpm.ms,_xlfn._xlws.SORT(_xlfn.UNIQUE(_xlfn._xlws.FILTER(anSM_YM,(anSM_Seg="Non-life")*(anSM_Lines&lt;&gt;"")))),_xlpm.last,_xlfn.TAKE(_xlpm.ms,-1),_xlpm.l,SUMIFS(anSM_Lines,anSM_Seg,"Non-life",anSM_YM,_xlpm.last),IF(_xlpm.l&gt;=_xlfn.XLOOKUP("MinLinesForQuantile",AnParam[Param],AnParam[Value]),"OK","INSUFFICIENT DATA")&amp;": "&amp;ROWS(_xlpm.ms)&amp;" "&amp;_xlfn.XLOOKUP("AN_READY_MONTHS",tblUIText[Key],tblUIText[TR],"AN_READY_MONTHS")&amp;" / "&amp;_xlfn.XLOOKUP("AN_READY_MONTHS",tblUIText[Key],tblUIText[EN],"")&amp;"; "&amp;_xlpm.l&amp;" "&amp;_xlfn.XLOOKUP("AN_READY_LINES",tblUIText[Key],tblUIText[TR],"AN_READY_LINES")&amp;" / "&amp;_xlfn.XLOOKUP("AN_READY_LINES",tblUIText[Key],tblUIText[EN],"")),"INSUFFICIENT DATA")</f>
        <v>INSUFFICIENT DATA</v>
      </c>
      <c r="L16" s="238"/>
      <c r="M16" s="238"/>
      <c r="N16" s="238"/>
      <c r="O16" s="238"/>
      <c r="P16" s="238"/>
      <c r="Q16" s="238"/>
      <c r="R16" s="142" t="str">
        <f>HYPERLINK("#'AN_Exec_NonLife'!A1","AN_Exec_NonLife")</f>
        <v>AN_Exec_NonLife</v>
      </c>
      <c r="S16" s="141"/>
    </row>
    <row r="17" spans="2:19" ht="33.950000000000003" customHeight="1">
      <c r="B17" s="140" t="str">
        <f>_xlfn.XLOOKUP("AN_NAV_TREND",tblUIText[Key],tblUIText[TR],"AN_NAV_TREND")&amp;" / "&amp;_xlfn.XLOOKUP("AN_NAV_TREND",tblUIText[Key],tblUIText[EN],"")</f>
        <v>Eğilim / Trend</v>
      </c>
      <c r="C17" s="238" t="str">
        <f>_xlfn.XLOOKUP("AN_Q_TREND",tblUIText[Key],tblUIText[TR],"AN_Q_TREND")&amp;" / "&amp;_xlfn.XLOOKUP("AN_Q_TREND",tblUIText[Key],tblUIText[EN],"")</f>
        <v>Ödemeler mevsimsel olarak ve geçen yıla göre nasıl gelişiyor? / How do payments evolve, seasonally and versus last year?</v>
      </c>
      <c r="D17" s="238"/>
      <c r="E17" s="238"/>
      <c r="F17" s="238"/>
      <c r="G17" s="238"/>
      <c r="H17" s="238" t="str">
        <f>_xlfn.XLOOKUP("AN_AUD_ACT",tblUIText[Key],tblUIText[TR],"AN_AUD_ACT")&amp;" / "&amp;_xlfn.XLOOKUP("AN_AUD_ACT",tblUIText[Key],tblUIText[EN],"")</f>
        <v>Aktüer, analist / Actuary, analyst</v>
      </c>
      <c r="I17" s="238"/>
      <c r="J17" s="141">
        <v>1</v>
      </c>
      <c r="K17" s="238" t="str">
        <f>IFERROR(_xlfn.LET(_xlpm.n,IFERROR(ROWS(anMonthsAsc),0),_xlpm.si,_xlfn.XLOOKUP("MinMonthsForSeasonalIndex",AnParam[Param],AnParam[Value]),"OK: "&amp;_xlpm.n&amp;" "&amp;_xlfn.XLOOKUP("AN_READY_MONTHS",tblUIText[Key],tblUIText[TR],"AN_READY_MONTHS")&amp;" / "&amp;_xlfn.XLOOKUP("AN_READY_MONTHS",tblUIText[Key],tblUIText[EN],"")&amp;"; "&amp;_xlfn.XLOOKUP("AN_TR_SI",tblUIText[Key],tblUIText[TR],"AN_TR_SI")&amp;" / "&amp;_xlfn.XLOOKUP("AN_TR_SI",tblUIText[Key],tblUIText[EN],"")&amp;": "&amp;IF(_xlpm.n&gt;=_xlpm.si,"OK","INSUFFICIENT DATA ("&amp;_xlpm.si&amp;")")&amp;"; "&amp;_xlfn.XLOOKUP("AN_TR_FORECAST",tblUIText[Key],tblUIText[TR],"AN_TR_FORECAST")&amp;" / "&amp;_xlfn.XLOOKUP("AN_TR_FORECAST",tblUIText[Key],tblUIText[EN],"")&amp;": "&amp;IF(_xlpm.n&gt;=24,"OK","INSUFFICIENT DATA (24)")),"INSUFFICIENT DATA")</f>
        <v>OK: 1 ay veri / months of data; Mevsim endeksi / Seasonal index: INSUFFICIENT DATA (36); Tahmin / Forecast: INSUFFICIENT DATA (24)</v>
      </c>
      <c r="L17" s="238"/>
      <c r="M17" s="238"/>
      <c r="N17" s="238"/>
      <c r="O17" s="238"/>
      <c r="P17" s="238"/>
      <c r="Q17" s="238"/>
      <c r="R17" s="142" t="str">
        <f>HYPERLINK("#'AN_Trend'!A1","AN_Trend")</f>
        <v>AN_Trend</v>
      </c>
      <c r="S17" s="141"/>
    </row>
    <row r="18" spans="2:19" ht="33.950000000000003" customHeight="1">
      <c r="B18" s="140" t="str">
        <f>_xlfn.XLOOKUP("AN_NAV_TRIANGLE",tblUIText[Key],tblUIText[TR],"AN_NAV_TRIANGLE")&amp;" / "&amp;_xlfn.XLOOKUP("AN_NAV_TRIANGLE",tblUIText[Key],tblUIText[EN],"")</f>
        <v>Üçgen / Triangle</v>
      </c>
      <c r="C18" s="238" t="str">
        <f>_xlfn.XLOOKUP("AN_Q_TRIANGLE",tblUIText[Key],tblUIText[TR],"AN_Q_TRIANGLE")&amp;" / "&amp;_xlfn.XLOOKUP("AN_Q_TRIANGLE",tblUIText[Key],tblUIText[EN],"")</f>
        <v>Ödenen tutarlar hasardan sonra nasıl gelişiyor? / How do paid amounts develop after loss?</v>
      </c>
      <c r="D18" s="238"/>
      <c r="E18" s="238"/>
      <c r="F18" s="238"/>
      <c r="G18" s="238"/>
      <c r="H18" s="238" t="str">
        <f>_xlfn.XLOOKUP("AN_AUD_ACT",tblUIText[Key],tblUIText[TR],"AN_AUD_ACT")&amp;" / "&amp;_xlfn.XLOOKUP("AN_AUD_ACT",tblUIText[Key],tblUIText[EN],"")</f>
        <v>Aktüer, analist / Actuary, analyst</v>
      </c>
      <c r="I18" s="238"/>
      <c r="J18" s="141">
        <v>1</v>
      </c>
      <c r="K18" s="238" t="str" cm="1">
        <f t="array" ref="K18">IFERROR(_xlfn.LET(_xlpm.f,--SUBSTITUTE(_xlfn.TAKE(anMonthsAsc,1),"-",""),_xlpm.l,_xlfn.UNIQUE(_xlfn._xlws.FILTER(anTRI_Loss,anTRI_Loss&lt;&gt;"")),_xlpm.pa,SUM(--(--_xlpm.l&lt;_xlpm.f)),"OK; "&amp;_xlpm.pa&amp;" PARTIAL: "&amp;_xlfn.XLOOKUP("AN_TRI_LOSSM",tblUIText[Key],tblUIText[TR],"AN_TRI_LOSSM")&amp;" / "&amp;_xlfn.XLOOKUP("AN_TRI_LOSSM",tblUIText[Key],tblUIText[EN],"")),"INSUFFICIENT DATA")</f>
        <v>INSUFFICIENT DATA</v>
      </c>
      <c r="L18" s="238"/>
      <c r="M18" s="238"/>
      <c r="N18" s="238"/>
      <c r="O18" s="238"/>
      <c r="P18" s="238"/>
      <c r="Q18" s="238"/>
      <c r="R18" s="142" t="str">
        <f>HYPERLINK("#'AN_Triangle'!A1","AN_Triangle")</f>
        <v>AN_Triangle</v>
      </c>
      <c r="S18" s="141"/>
    </row>
    <row r="19" spans="2:19" ht="33.950000000000003" customHeight="1">
      <c r="B19" s="140" t="str">
        <f>_xlfn.XLOOKUP("AN_NAV_LAGS",tblUIText[Key],tblUIText[TR],"AN_NAV_LAGS")&amp;" / "&amp;_xlfn.XLOOKUP("AN_NAV_LAGS",tblUIText[Key],tblUIText[EN],"")</f>
        <v>Süreler / Lags</v>
      </c>
      <c r="C19" s="238" t="str">
        <f>_xlfn.XLOOKUP("AN_Q_LAGS",tblUIText[Key],tblUIText[TR],"AN_Q_LAGS")&amp;" / "&amp;_xlfn.XLOOKUP("AN_Q_LAGS",tblUIText[Key],tblUIText[EN],"")</f>
        <v>Dosyalar ne kadar hızlı ilerliyor? / How fast do cases move?</v>
      </c>
      <c r="D19" s="238"/>
      <c r="E19" s="238"/>
      <c r="F19" s="238"/>
      <c r="G19" s="238"/>
      <c r="H19" s="238" t="str">
        <f>_xlfn.XLOOKUP("AN_AUD_ACT",tblUIText[Key],tblUIText[TR],"AN_AUD_ACT")&amp;" / "&amp;_xlfn.XLOOKUP("AN_AUD_ACT",tblUIText[Key],tblUIText[EN],"")</f>
        <v>Aktüer, analist / Actuary, analyst</v>
      </c>
      <c r="I19" s="238"/>
      <c r="J19" s="141">
        <v>1</v>
      </c>
      <c r="K19" s="238" t="str" cm="1">
        <f t="array" ref="K19">IFERROR("OK: "&amp;anNum(SUM(anLAGALL_L2P_N),0)&amp;" "&amp;_xlfn.XLOOKUP("AN_LAG_N",tblUIText[Key],tblUIText[TR],"AN_LAG_N")&amp;" / "&amp;_xlfn.XLOOKUP("AN_LAG_N",tblUIText[Key],tblUIText[EN],"")&amp;" ("&amp;_xlfn.XLOOKUP("AN_ST_L2P",tblUIText[Key],tblUIText[TR],"AN_ST_L2P")&amp;" / "&amp;_xlfn.XLOOKUP("AN_ST_L2P",tblUIText[Key],tblUIText[EN],"")&amp;")","INSUFFICIENT DATA")</f>
        <v>OK: 0 Adet / Count (Hasar → ödeme / Loss → payment)</v>
      </c>
      <c r="L19" s="238"/>
      <c r="M19" s="238"/>
      <c r="N19" s="238"/>
      <c r="O19" s="238"/>
      <c r="P19" s="238"/>
      <c r="Q19" s="238"/>
      <c r="R19" s="142" t="str">
        <f>HYPERLINK("#'AN_Lags'!A1","AN_Lags")</f>
        <v>AN_Lags</v>
      </c>
      <c r="S19" s="141"/>
    </row>
    <row r="20" spans="2:19" ht="33.950000000000003" customHeight="1">
      <c r="B20" s="140" t="str">
        <f>_xlfn.XLOOKUP("AN_NAV_SEVERITY",tblUIText[Key],tblUIText[TR],"AN_NAV_SEVERITY")&amp;" / "&amp;_xlfn.XLOOKUP("AN_NAV_SEVERITY",tblUIText[Key],tblUIText[EN],"")</f>
        <v>Şiddet / Severity</v>
      </c>
      <c r="C20" s="238" t="str">
        <f>_xlfn.XLOOKUP("AN_Q_SEVERITY",tblUIText[Key],tblUIText[TR],"AN_Q_SEVERITY")&amp;" / "&amp;_xlfn.XLOOKUP("AN_Q_SEVERITY",tblUIText[Key],tblUIText[EN],"")</f>
        <v>Ödemeler ne kadar büyük ve kuyruk ne kadar ağır? / How large are the payments and how heavy is the tail?</v>
      </c>
      <c r="D20" s="238"/>
      <c r="E20" s="238"/>
      <c r="F20" s="238"/>
      <c r="G20" s="238"/>
      <c r="H20" s="238" t="str">
        <f>_xlfn.XLOOKUP("AN_AUD_ACT",tblUIText[Key],tblUIText[TR],"AN_AUD_ACT")&amp;" / "&amp;_xlfn.XLOOKUP("AN_AUD_ACT",tblUIText[Key],tblUIText[EN],"")</f>
        <v>Aktüer, analist / Actuary, analyst</v>
      </c>
      <c r="I20" s="238"/>
      <c r="J20" s="141">
        <v>1</v>
      </c>
      <c r="K20" s="238" t="str" cm="1">
        <f t="array" ref="K20">IFERROR("OK: "&amp;anNum(COUNT(anCASE_Paid),0)&amp;" "&amp;_xlfn.XLOOKUP("AN_SEV_N",tblUIText[Key],tblUIText[TR],"AN_SEV_N")&amp;" / "&amp;_xlfn.XLOOKUP("AN_SEV_N",tblUIText[Key],tblUIText[EN],""),"INSUFFICIENT DATA")</f>
        <v>OK: 0 Dosya / Cases</v>
      </c>
      <c r="L20" s="238"/>
      <c r="M20" s="238"/>
      <c r="N20" s="238"/>
      <c r="O20" s="238"/>
      <c r="P20" s="238"/>
      <c r="Q20" s="238"/>
      <c r="R20" s="142" t="str">
        <f>HYPERLINK("#'AN_Severity'!A1","AN_Severity")</f>
        <v>AN_Severity</v>
      </c>
      <c r="S20" s="141"/>
    </row>
    <row r="21" spans="2:19" ht="33.950000000000003" customHeight="1">
      <c r="B21" s="140" t="str">
        <f>_xlfn.XLOOKUP("AN_NAV_LIMITS",tblUIText[Key],tblUIText[TR],"AN_NAV_LIMITS")&amp;" / "&amp;_xlfn.XLOOKUP("AN_NAV_LIMITS",tblUIText[Key],tblUIText[EN],"")</f>
        <v>Limitler / Limits</v>
      </c>
      <c r="C21" s="238" t="str">
        <f>_xlfn.XLOOKUP("AN_Q_LIMITS",tblUIText[Key],tblUIText[TR],"AN_Q_LIMITS")&amp;" / "&amp;_xlfn.XLOOKUP("AN_Q_LIMITS",tblUIText[Key],tblUIText[EN],"")</f>
        <v>Ödemeler teminat limitleri ve ilk muallaklarla nasıl karşılaştırılır? / How do payments compare with limits and initial reserves?</v>
      </c>
      <c r="D21" s="238"/>
      <c r="E21" s="238"/>
      <c r="F21" s="238"/>
      <c r="G21" s="238"/>
      <c r="H21" s="238" t="str">
        <f>_xlfn.XLOOKUP("AN_AUD_ACT",tblUIText[Key],tblUIText[TR],"AN_AUD_ACT")&amp;" / "&amp;_xlfn.XLOOKUP("AN_AUD_ACT",tblUIText[Key],tblUIText[EN],"")</f>
        <v>Aktüer, analist / Actuary, analyst</v>
      </c>
      <c r="I21" s="238"/>
      <c r="J21" s="141">
        <v>2</v>
      </c>
      <c r="K21" s="238" t="str" cm="1">
        <f t="array" ref="K21">IFERROR("OK: "&amp;anNum(COUNT(anCASE_Cover),0)&amp;" "&amp;_xlfn.XLOOKUP("AN_LIM_N",tblUIText[Key],tblUIText[TR],"AN_LIM_N")&amp;" / "&amp;_xlfn.XLOOKUP("AN_LIM_N",tblUIText[Key],tblUIText[EN],""),"INSUFFICIENT DATA")</f>
        <v>OK: 0 Dosya (oranlı) / Cases (with a ratio)</v>
      </c>
      <c r="L21" s="238"/>
      <c r="M21" s="238"/>
      <c r="N21" s="238"/>
      <c r="O21" s="238"/>
      <c r="P21" s="238"/>
      <c r="Q21" s="238"/>
      <c r="R21" s="142" t="str">
        <f>HYPERLINK("#'AN_Limits'!A1","AN_Limits")</f>
        <v>AN_Limits</v>
      </c>
      <c r="S21" s="141"/>
    </row>
    <row r="22" spans="2:19" ht="33.950000000000003" customHeight="1">
      <c r="B22" s="140" t="str">
        <f>_xlfn.XLOOKUP("AN_NAV_ANOMALY",tblUIText[Key],tblUIText[TR],"AN_NAV_ANOMALY")&amp;" / "&amp;_xlfn.XLOOKUP("AN_NAV_ANOMALY",tblUIText[Key],tblUIText[EN],"")</f>
        <v>Anomali / Anomaly</v>
      </c>
      <c r="C22" s="238" t="str">
        <f>_xlfn.XLOOKUP("AN_Q_ANOMALY",tblUIText[Key],tblUIText[TR],"AN_Q_ANOMALY")&amp;" / "&amp;_xlfn.XLOOKUP("AN_Q_ANOMALY",tblUIText[Key],tblUIText[EN],"")</f>
        <v>Bir şirketin bu ayki ödemeleri kendi geçmişine göre istatistiksel olarak olağandışı mı? / Are a company's payments this month statistically unusual against its own history?</v>
      </c>
      <c r="D22" s="238"/>
      <c r="E22" s="238"/>
      <c r="F22" s="238"/>
      <c r="G22" s="238"/>
      <c r="H22" s="238" t="str">
        <f>_xlfn.XLOOKUP("AN_AUD_ACT",tblUIText[Key],tblUIText[TR],"AN_AUD_ACT")&amp;" / "&amp;_xlfn.XLOOKUP("AN_AUD_ACT",tblUIText[Key],tblUIText[EN],"")</f>
        <v>Aktüer, analist / Actuary, analyst</v>
      </c>
      <c r="I22" s="238"/>
      <c r="J22" s="141" t="s">
        <v>21492</v>
      </c>
      <c r="K22" s="238" t="str" cm="1">
        <f t="array" ref="K22">IFERROR("OK: "&amp;IFERROR(ROWS(_xlfn.UNIQUE(_xlfn._xlws.FILTER(anCM_Comp,anCM_Comp&lt;&gt;""))),0)&amp;" "&amp;_xlfn.XLOOKUP("AN_ANO_COMPANIES",tblUIText[Key],tblUIText[TR],"AN_ANO_COMPANIES")&amp;" / "&amp;_xlfn.XLOOKUP("AN_ANO_COMPANIES",tblUIText[Key],tblUIText[EN],"")&amp;"; "&amp;IFERROR(ROWS(_xlfn.UNIQUE(_xlfn._xlws.FILTER(anCM_YM,anCM_YM&lt;&gt;""))),0)&amp;" "&amp;_xlfn.XLOOKUP("AN_READY_MONTHS",tblUIText[Key],tblUIText[TR],"AN_READY_MONTHS")&amp;" / "&amp;_xlfn.XLOOKUP("AN_READY_MONTHS",tblUIText[Key],tblUIText[EN],"")&amp;" (DRAFT)","INSUFFICIENT DATA")</f>
        <v>OK: 0 şirket / companies; 0 ay veri / months of data (DRAFT)</v>
      </c>
      <c r="L22" s="238"/>
      <c r="M22" s="238"/>
      <c r="N22" s="238"/>
      <c r="O22" s="238"/>
      <c r="P22" s="238"/>
      <c r="Q22" s="238"/>
      <c r="R22" s="142" t="str">
        <f>HYPERLINK("#'AN_Anomaly'!A1","AN_Anomaly")</f>
        <v>AN_Anomaly</v>
      </c>
      <c r="S22" s="141"/>
    </row>
    <row r="23" spans="2:19" ht="33.950000000000003" customHeight="1">
      <c r="B23" s="140" t="str">
        <f>_xlfn.XLOOKUP("AN_NAV_WATCHLIST",tblUIText[Key],tblUIText[TR],"AN_NAV_WATCHLIST")&amp;" / "&amp;_xlfn.XLOOKUP("AN_NAV_WATCHLIST",tblUIText[Key],tblUIText[EN],"")</f>
        <v>İzleme listesi / Watchlist</v>
      </c>
      <c r="C23" s="238" t="str">
        <f>_xlfn.XLOOKUP("AN_Q_WATCHLIST",tblUIText[Key],tblUIText[TR],"AN_Q_WATCHLIST")&amp;" / "&amp;_xlfn.XLOOKUP("AN_Q_WATCHLIST",tblUIText[Key],tblUIText[EN],"")</f>
        <v>İncelemeci bu ay neye bakmalı? / What must the reviewer look at this month?</v>
      </c>
      <c r="D23" s="238"/>
      <c r="E23" s="238"/>
      <c r="F23" s="238"/>
      <c r="G23" s="238"/>
      <c r="H23" s="238" t="str">
        <f>_xlfn.XLOOKUP("AN_AUD_REV",tblUIText[Key],tblUIText[TR],"AN_AUD_REV")&amp;" / "&amp;_xlfn.XLOOKUP("AN_AUD_REV",tblUIText[Key],tblUIText[EN],"")</f>
        <v>İncelemeci, aktüerya / Reviewer, actuarial</v>
      </c>
      <c r="I23" s="238"/>
      <c r="J23" s="141">
        <v>1</v>
      </c>
      <c r="K23" s="238" t="str">
        <f>IFERROR(IFERROR(AN_Watchlist!$AB$2,""),"INSUFFICIENT DATA")</f>
        <v>INSUFFICIENT DATA</v>
      </c>
      <c r="L23" s="238"/>
      <c r="M23" s="238"/>
      <c r="N23" s="238"/>
      <c r="O23" s="238"/>
      <c r="P23" s="238"/>
      <c r="Q23" s="238"/>
      <c r="R23" s="142" t="str">
        <f>HYPERLINK("#'AN_Watchlist'!A1","AN_Watchlist")</f>
        <v>AN_Watchlist</v>
      </c>
      <c r="S23" s="141"/>
    </row>
    <row r="24" spans="2:19" ht="33.950000000000003" customHeight="1">
      <c r="B24" s="140" t="str">
        <f>_xlfn.XLOOKUP("AN_NAV_RAWVIEW",tblUIText[Key],tblUIText[TR],"AN_NAV_RAWVIEW")&amp;" / "&amp;_xlfn.XLOOKUP("AN_NAV_RAWVIEW",tblUIText[Key],tblUIText[EN],"")</f>
        <v>Satırlar / Raw view</v>
      </c>
      <c r="C24" s="238" t="str">
        <f>_xlfn.XLOOKUP("AN_Q_RAWVIEW",tblUIText[Key],tblUIText[TR],"AN_Q_RAWVIEW")&amp;" / "&amp;_xlfn.XLOOKUP("AN_Q_RAWVIEW",tblUIText[Key],tblUIText[EN],"")</f>
        <v>Seçilen şirket ve dönemlerin satırları neler, kayıtlı toplamlarla tutuyor mu? / What are the lines of the selected companies and months, and do they reconcile to the recorded totals?</v>
      </c>
      <c r="D24" s="238"/>
      <c r="E24" s="238"/>
      <c r="F24" s="238"/>
      <c r="G24" s="238"/>
      <c r="H24" s="238" t="str">
        <f>_xlfn.XLOOKUP("AN_AUD_RAW",tblUIText[Key],tblUIText[TR],"AN_AUD_RAW")&amp;" / "&amp;_xlfn.XLOOKUP("AN_AUD_RAW",tblUIText[Key],tblUIText[EN],"")</f>
        <v>Analist, Hazırlayan, İncelemeci / Analyst, Preparer, Reviewer</v>
      </c>
      <c r="I24" s="238"/>
      <c r="J24" s="141">
        <v>1</v>
      </c>
      <c r="K24" s="238" t="str">
        <f>IFERROR(_xlfn.XLOOKUP("AN_RV_READY",tblUIText[Key],tblUIText[TR],"AN_RV_READY")&amp;" / "&amp;_xlfn.XLOOKUP("AN_RV_READY",tblUIText[Key],tblUIText[EN],""),"INSUFFICIENT DATA")</f>
        <v>Komutla doldurulur; satırlar dosyayla kaydedilmez / Filled by a command; the lines are never saved with the file</v>
      </c>
      <c r="L24" s="238"/>
      <c r="M24" s="238"/>
      <c r="N24" s="238"/>
      <c r="O24" s="238"/>
      <c r="P24" s="238"/>
      <c r="Q24" s="238"/>
      <c r="R24" s="142" t="str">
        <f>HYPERLINK("#'AN_RawView'!A1","AN_RawView")</f>
        <v>AN_RawView</v>
      </c>
      <c r="S24" s="141"/>
    </row>
    <row r="25" spans="2:19" ht="33.950000000000003" customHeight="1">
      <c r="B25" s="140" t="str">
        <f>_xlfn.XLOOKUP("AN_NAV_BACKTEST",tblUIText[Key],tblUIText[TR],"AN_NAV_BACKTEST")&amp;" / "&amp;_xlfn.XLOOKUP("AN_NAV_BACKTEST",tblUIText[Key],tblUIText[EN],"")</f>
        <v>Tahmin testi / Forecast backtest</v>
      </c>
      <c r="C25" s="238" t="str">
        <f>_xlfn.XLOOKUP("AN_Q_BACKTEST",tblUIText[Key],tblUIText[TR],"AN_Q_BACKTEST")&amp;" / "&amp;_xlfn.XLOOKUP("AN_Q_BACKTEST",tblUIText[Key],tblUIText[EN],"")</f>
        <v>AN_Trend tahmini geçmişte ne kadar isabetliydi ve aralığı gerçekleşenleri kapsadı mı? / How accurate was the AN_Trend forecast in the past, and did its interval cover the actual values?</v>
      </c>
      <c r="D25" s="238"/>
      <c r="E25" s="238"/>
      <c r="F25" s="238"/>
      <c r="G25" s="238"/>
      <c r="H25" s="238" t="str">
        <f>_xlfn.XLOOKUP("AN_AUD_ACT",tblUIText[Key],tblUIText[TR],"AN_AUD_ACT")&amp;" / "&amp;_xlfn.XLOOKUP("AN_AUD_ACT",tblUIText[Key],tblUIText[EN],"")</f>
        <v>Aktüer, analist / Actuary, analyst</v>
      </c>
      <c r="I25" s="238"/>
      <c r="J25" s="141">
        <v>2</v>
      </c>
      <c r="K25" s="238" t="str">
        <f>IFERROR(IFERROR(AN_Backtest!$AB$2,""),"INSUFFICIENT DATA")</f>
        <v>INSUFFICIENT DATA: 0 months of data; the test needs at least 24 training months + 3 horizon months</v>
      </c>
      <c r="L25" s="238"/>
      <c r="M25" s="238"/>
      <c r="N25" s="238"/>
      <c r="O25" s="238"/>
      <c r="P25" s="238"/>
      <c r="Q25" s="238"/>
      <c r="R25" s="142" t="str">
        <f>HYPERLINK("#'AN_Backtest'!A1","AN_Backtest")</f>
        <v>AN_Backtest</v>
      </c>
      <c r="S25" s="141"/>
    </row>
    <row r="26" spans="2:19" ht="33.950000000000003" customHeight="1">
      <c r="B26" s="140" t="str">
        <f>_xlfn.XLOOKUP("AN_NAV_DISPERSION",tblUIText[Key],tblUIText[TR],"AN_NAV_DISPERSION")&amp;" / "&amp;_xlfn.XLOOKUP("AN_NAV_DISPERSION",tblUIText[Key],tblUIText[EN],"")</f>
        <v>Üçgen dağılımı / Triangle dispersion</v>
      </c>
      <c r="C26" s="238" t="str">
        <f>_xlfn.XLOOKUP("AN_Q_DISPERSION",tblUIText[Key],tblUIText[TR],"AN_Q_DISPERSION")&amp;" / "&amp;_xlfn.XLOOKUP("AN_Q_DISPERSION",tblUIText[Key],tblUIText[EN],"")</f>
        <v>Zincir merdiven ek ödemeleri ne kadar belirsiz (Mack tipi standart hata)? / How uncertain are the chain-ladder further payments (Mack-style standard error)?</v>
      </c>
      <c r="D26" s="238"/>
      <c r="E26" s="238"/>
      <c r="F26" s="238"/>
      <c r="G26" s="238"/>
      <c r="H26" s="238" t="str">
        <f>_xlfn.XLOOKUP("AN_AUD_ACT",tblUIText[Key],tblUIText[TR],"AN_AUD_ACT")&amp;" / "&amp;_xlfn.XLOOKUP("AN_AUD_ACT",tblUIText[Key],tblUIText[EN],"")</f>
        <v>Aktüer, analist / Actuary, analyst</v>
      </c>
      <c r="I26" s="238"/>
      <c r="J26" s="141">
        <v>2</v>
      </c>
      <c r="K26" s="238" t="str">
        <f>IFERROR(IFERROR(AN_Dispersion!$AB$2,""),"INSUFFICIENT DATA")</f>
        <v>INSUFFICIENT DATA: 0 loss months that are not PARTIAL (at least 12) or a missing factor</v>
      </c>
      <c r="L26" s="238"/>
      <c r="M26" s="238"/>
      <c r="N26" s="238"/>
      <c r="O26" s="238"/>
      <c r="P26" s="238"/>
      <c r="Q26" s="238"/>
      <c r="R26" s="142" t="str">
        <f>HYPERLINK("#'AN_Dispersion'!A1","AN_Dispersion")</f>
        <v>AN_Dispersion</v>
      </c>
      <c r="S26" s="141"/>
    </row>
    <row r="27" spans="2:19" ht="33.950000000000003" customHeight="1">
      <c r="B27" s="140" t="str">
        <f>_xlfn.XLOOKUP("AN_NAV_TAILFIT",tblUIText[Key],tblUIText[TR],"AN_NAV_TAILFIT")&amp;" / "&amp;_xlfn.XLOOKUP("AN_NAV_TAILFIT",tblUIText[Key],tblUIText[EN],"")</f>
        <v>Kuyruk uyumu / Tail fit</v>
      </c>
      <c r="C27" s="238" t="str">
        <f>_xlfn.XLOOKUP("AN_Q_TAILFIT",tblUIText[Key],tblUIText[TR],"AN_Q_TAILFIT")&amp;" / "&amp;_xlfn.XLOOKUP("AN_Q_TAILFIT",tblUIText[Key],tblUIText[EN],"")</f>
        <v>Dosya başı ödemelerin kuyruğu ne kadar ağır ve tahmin eşik seçimine göre ne kadar kararlı? / How heavy is the tail of paid per case, and how stable is the estimate across thresholds?</v>
      </c>
      <c r="D27" s="238"/>
      <c r="E27" s="238"/>
      <c r="F27" s="238"/>
      <c r="G27" s="238"/>
      <c r="H27" s="238" t="str">
        <f>_xlfn.XLOOKUP("AN_AUD_ACT",tblUIText[Key],tblUIText[TR],"AN_AUD_ACT")&amp;" / "&amp;_xlfn.XLOOKUP("AN_AUD_ACT",tblUIText[Key],tblUIText[EN],"")</f>
        <v>Aktüer, analist / Actuary, analyst</v>
      </c>
      <c r="I27" s="238"/>
      <c r="J27" s="141">
        <v>2</v>
      </c>
      <c r="K27" s="238" t="str">
        <f>IFERROR(IFERROR(AN_TailFit!$AB$2,""),"INSUFFICIENT DATA")</f>
        <v>INSUFFICIENT DATA: 0 cases (at least 200) or 0 cases above the threshold (at least 10)</v>
      </c>
      <c r="L27" s="238"/>
      <c r="M27" s="238"/>
      <c r="N27" s="238"/>
      <c r="O27" s="238"/>
      <c r="P27" s="238"/>
      <c r="Q27" s="238"/>
      <c r="R27" s="142" t="str">
        <f>HYPERLINK("#'AN_TailFit'!A1","AN_TailFit")</f>
        <v>AN_TailFit</v>
      </c>
      <c r="S27" s="141"/>
    </row>
    <row r="28" spans="2:19" ht="33.950000000000003" customHeight="1">
      <c r="B28" s="140" t="str">
        <f>_xlfn.XLOOKUP("AN_NAV_METHOD",tblUIText[Key],tblUIText[TR],"AN_NAV_METHOD")&amp;" / "&amp;_xlfn.XLOOKUP("AN_NAV_METHOD",tblUIText[Key],tblUIText[EN],"")</f>
        <v>Yöntem dizini / Method index</v>
      </c>
      <c r="C28" s="238" t="str">
        <f>_xlfn.XLOOKUP("AN_Q_METHOD",tblUIText[Key],tblUIText[TR],"AN_Q_METHOD")&amp;" / "&amp;_xlfn.XLOOKUP("AN_Q_METHOD",tblUIText[Key],tblUIText[EN],"")</f>
        <v>Her istatistiksel model nasıl hesaplanır; parametreleri, varsayımları, sınırları ve doğrulaması nedir? / How is each statistical model computed; what are its parameters, assumptions, limits and validation?</v>
      </c>
      <c r="D28" s="238"/>
      <c r="E28" s="238"/>
      <c r="F28" s="238"/>
      <c r="G28" s="238"/>
      <c r="H28" s="238" t="str">
        <f>_xlfn.XLOOKUP("AN_AUD_ALL",tblUIText[Key],tblUIText[TR],"AN_AUD_ALL")&amp;" / "&amp;_xlfn.XLOOKUP("AN_AUD_ALL",tblUIText[Key],tblUIText[EN],"")</f>
        <v>Herkes / Everyone</v>
      </c>
      <c r="I28" s="238"/>
      <c r="J28" s="141" t="s">
        <v>1</v>
      </c>
      <c r="K28" s="238" t="str">
        <f>IFERROR("OK: "&amp;COUNTA(tblMethod[ID])&amp;" "&amp;_xlfn.XLOOKUP("AN_READY_CARDS",tblUIText[Key],tblUIText[TR],"AN_READY_CARDS")&amp;" / "&amp;_xlfn.XLOOKUP("AN_READY_CARDS",tblUIText[Key],tblUIText[EN],""),"INSUFFICIENT DATA")</f>
        <v>OK: 9 model kartı / model cards</v>
      </c>
      <c r="L28" s="238"/>
      <c r="M28" s="238"/>
      <c r="N28" s="238"/>
      <c r="O28" s="238"/>
      <c r="P28" s="238"/>
      <c r="Q28" s="238"/>
      <c r="R28" s="142" t="str">
        <f>HYPERLINK("#'Method_Index'!A1","Method_Index")</f>
        <v>Method_Index</v>
      </c>
      <c r="S28" s="141"/>
    </row>
    <row r="29" spans="2:19" ht="33.950000000000003" customHeight="1">
      <c r="B29" s="140" t="str">
        <f>_xlfn.XLOOKUP("AN_NAV_SHEETMAP",tblUIText[Key],tblUIText[TR],"AN_NAV_SHEETMAP")&amp;" / "&amp;_xlfn.XLOOKUP("AN_NAV_SHEETMAP",tblUIText[Key],tblUIText[EN],"")</f>
        <v>Sayfa haritası / Sheet map</v>
      </c>
      <c r="C29" s="238" t="str">
        <f>_xlfn.XLOOKUP("AN_Q_SHEETMAP",tblUIText[Key],tblUIText[TR],"AN_Q_SHEETMAP")&amp;" / "&amp;_xlfn.XLOOKUP("AN_Q_SHEETMAP",tblUIText[Key],tblUIText[EN],"")</f>
        <v>Çalışma kitabındaki her sayfa ne işe yarar, kim görür, kim günceller? / What is each sheet of the workbook for, who sees it and who maintains it?</v>
      </c>
      <c r="D29" s="238"/>
      <c r="E29" s="238"/>
      <c r="F29" s="238"/>
      <c r="G29" s="238"/>
      <c r="H29" s="238" t="str">
        <f>_xlfn.XLOOKUP("AN_AUD_ALL",tblUIText[Key],tblUIText[TR],"AN_AUD_ALL")&amp;" / "&amp;_xlfn.XLOOKUP("AN_AUD_ALL",tblUIText[Key],tblUIText[EN],"")</f>
        <v>Herkes / Everyone</v>
      </c>
      <c r="I29" s="238"/>
      <c r="J29" s="141" t="s">
        <v>1</v>
      </c>
      <c r="K29" s="238" t="str">
        <f>IFERROR("OK: "&amp;COUNTA(tblSheetMap[Sheet])&amp;" "&amp;_xlfn.XLOOKUP("AN_READY_SHEETS",tblUIText[Key],tblUIText[TR],"AN_READY_SHEETS")&amp;" / "&amp;_xlfn.XLOOKUP("AN_READY_SHEETS",tblUIText[Key],tblUIText[EN],""),"INSUFFICIENT DATA")</f>
        <v>OK: 61 sayfa / sheets</v>
      </c>
      <c r="L29" s="238"/>
      <c r="M29" s="238"/>
      <c r="N29" s="238"/>
      <c r="O29" s="238"/>
      <c r="P29" s="238"/>
      <c r="Q29" s="238"/>
      <c r="R29" s="142" t="str">
        <f>HYPERLINK("#'Sheet_Map'!A1","Sheet_Map")</f>
        <v>Sheet_Map</v>
      </c>
      <c r="S29" s="141"/>
    </row>
    <row r="30" spans="2:19" ht="33.950000000000003" customHeight="1">
      <c r="B30" s="140" t="str">
        <f>_xlfn.XLOOKUP("AN_NAV_CATALOG",tblUIText[Key],tblUIText[TR],"AN_NAV_CATALOG")&amp;" / "&amp;_xlfn.XLOOKUP("AN_NAV_CATALOG",tblUIText[Key],tblUIText[EN],"")</f>
        <v>KPI kataloğu / KPI catalog</v>
      </c>
      <c r="C30" s="238" t="str">
        <f>_xlfn.XLOOKUP("AN_Q_CATALOG",tblUIText[Key],tblUIText[TR],"AN_Q_CATALOG")&amp;" / "&amp;_xlfn.XLOOKUP("AN_Q_CATALOG",tblUIText[Key],tblUIText[EN],"")</f>
        <v>Her gösterge nasıl tanımlanır? / How is each indicator defined?</v>
      </c>
      <c r="D30" s="238"/>
      <c r="E30" s="238"/>
      <c r="F30" s="238"/>
      <c r="G30" s="238"/>
      <c r="H30" s="238" t="str">
        <f>_xlfn.XLOOKUP("AN_AUD_ALL",tblUIText[Key],tblUIText[TR],"AN_AUD_ALL")&amp;" / "&amp;_xlfn.XLOOKUP("AN_AUD_ALL",tblUIText[Key],tblUIText[EN],"")</f>
        <v>Herkes / Everyone</v>
      </c>
      <c r="I30" s="238"/>
      <c r="J30" s="141" t="s">
        <v>1</v>
      </c>
      <c r="K30" s="238" t="str">
        <f>IFERROR(COUNTIF(tblKPI[Status],"BUILT")&amp;" BUILT / "&amp;ROWS(tblKPI[KPI_ID]),"INSUFFICIENT DATA")</f>
        <v>61 BUILT / 70</v>
      </c>
      <c r="L30" s="238"/>
      <c r="M30" s="238"/>
      <c r="N30" s="238"/>
      <c r="O30" s="238"/>
      <c r="P30" s="238"/>
      <c r="Q30" s="238"/>
      <c r="R30" s="142" t="str">
        <f>HYPERLINK("#'KPI_Catalog'!A1","KPI_Catalog")</f>
        <v>KPI_Catalog</v>
      </c>
      <c r="S30" s="141"/>
    </row>
    <row r="31" spans="2:19" ht="33.950000000000003" customHeight="1">
      <c r="B31" s="137" t="str">
        <f>_xlfn.XLOOKUP("AN_NAV_THRESHOLD",tblUIText[Key],tblUIText[TR],"AN_NAV_THRESHOLD")&amp;" / "&amp;_xlfn.XLOOKUP("AN_NAV_THRESHOLD",tblUIText[Key],tblUIText[EN],"")</f>
        <v>Eşik kaydı / Thresholds</v>
      </c>
      <c r="C31" s="235" t="str">
        <f>_xlfn.XLOOKUP("AN_Q_THRESHOLD",tblUIText[Key],tblUIText[TR],"AN_Q_THRESHOLD")&amp;" / "&amp;_xlfn.XLOOKUP("AN_Q_THRESHOLD",tblUIText[Key],tblUIText[EN],"")</f>
        <v>Hangi eşik hangi gerekçeyle? / Which threshold, on what rationale?</v>
      </c>
      <c r="D31" s="235"/>
      <c r="E31" s="235"/>
      <c r="F31" s="235"/>
      <c r="G31" s="235"/>
      <c r="H31" s="235" t="str">
        <f>_xlfn.XLOOKUP("AN_AUD_ACT",tblUIText[Key],tblUIText[TR],"AN_AUD_ACT")&amp;" / "&amp;_xlfn.XLOOKUP("AN_AUD_ACT",tblUIText[Key],tblUIText[EN],"")</f>
        <v>Aktüer, analist / Actuary, analyst</v>
      </c>
      <c r="I31" s="235"/>
      <c r="J31" s="138" t="s">
        <v>1</v>
      </c>
      <c r="K31" s="235" t="str">
        <f>IFERROR(COUNTIF(tblThreshold[Status],"DRAFT")&amp;" DRAFT / "&amp;ROWS(tblThreshold[ThresholdID]),"INSUFFICIENT DATA")</f>
        <v>17 DRAFT / 17</v>
      </c>
      <c r="L31" s="235"/>
      <c r="M31" s="235"/>
      <c r="N31" s="235"/>
      <c r="O31" s="235"/>
      <c r="P31" s="235"/>
      <c r="Q31" s="235"/>
      <c r="R31" s="139" t="str">
        <f>HYPERLINK("#'Threshold_Register'!A1","Threshold_Register")</f>
        <v>Threshold_Register</v>
      </c>
      <c r="S31" s="138"/>
    </row>
    <row r="33" spans="2:18" ht="21.95" customHeight="1">
      <c r="B33" s="236"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C33" s="237"/>
      <c r="D33" s="237"/>
      <c r="E33" s="237"/>
      <c r="F33" s="237"/>
      <c r="G33" s="237"/>
      <c r="H33" s="237"/>
      <c r="I33" s="237"/>
      <c r="J33" s="237"/>
      <c r="K33" s="237"/>
      <c r="L33" s="237"/>
      <c r="M33" s="237"/>
      <c r="N33" s="237"/>
      <c r="O33" s="237"/>
      <c r="P33" s="237"/>
      <c r="Q33" s="237"/>
      <c r="R33" s="237"/>
    </row>
  </sheetData>
  <sheetProtection algorithmName="SHA-512" hashValue="d10zoNZsUyGIFtCNkTu6ZRce7fFip6kMttc0uHaemtvvH9p+XsnWkge+MTPozINjc4RI0FSbHBDxXJ95HP9oKg==" saltValue="oa9wC6oY1AJY6loGEiwt1A==" spinCount="100000" sheet="1" scenarios="1" formatColumns="0" sort="0" autoFilter="0"/>
  <mergeCells count="60">
    <mergeCell ref="C22:G22"/>
    <mergeCell ref="H22:I22"/>
    <mergeCell ref="K22:Q22"/>
    <mergeCell ref="C23:G23"/>
    <mergeCell ref="H23:I23"/>
    <mergeCell ref="K23:Q23"/>
    <mergeCell ref="C21:G21"/>
    <mergeCell ref="H21:I21"/>
    <mergeCell ref="K21:Q21"/>
    <mergeCell ref="C18:G18"/>
    <mergeCell ref="H18:I18"/>
    <mergeCell ref="K18:Q18"/>
    <mergeCell ref="C20:G20"/>
    <mergeCell ref="H20:I20"/>
    <mergeCell ref="K20:Q20"/>
    <mergeCell ref="H17:I17"/>
    <mergeCell ref="K17:Q17"/>
    <mergeCell ref="B2:R2"/>
    <mergeCell ref="B11:R11"/>
    <mergeCell ref="C13:G13"/>
    <mergeCell ref="H13:I13"/>
    <mergeCell ref="K13:Q13"/>
    <mergeCell ref="C28:G28"/>
    <mergeCell ref="H28:I28"/>
    <mergeCell ref="K28:Q28"/>
    <mergeCell ref="C14:G14"/>
    <mergeCell ref="H14:I14"/>
    <mergeCell ref="K14:Q14"/>
    <mergeCell ref="C19:G19"/>
    <mergeCell ref="H19:I19"/>
    <mergeCell ref="K19:Q19"/>
    <mergeCell ref="C15:G15"/>
    <mergeCell ref="H15:I15"/>
    <mergeCell ref="K15:Q15"/>
    <mergeCell ref="C16:G16"/>
    <mergeCell ref="H16:I16"/>
    <mergeCell ref="K16:Q16"/>
    <mergeCell ref="C17:G17"/>
    <mergeCell ref="C26:G26"/>
    <mergeCell ref="H26:I26"/>
    <mergeCell ref="K26:Q26"/>
    <mergeCell ref="C27:G27"/>
    <mergeCell ref="H27:I27"/>
    <mergeCell ref="K27:Q27"/>
    <mergeCell ref="C24:G24"/>
    <mergeCell ref="H24:I24"/>
    <mergeCell ref="K24:Q24"/>
    <mergeCell ref="C25:G25"/>
    <mergeCell ref="H25:I25"/>
    <mergeCell ref="K25:Q25"/>
    <mergeCell ref="C31:G31"/>
    <mergeCell ref="H31:I31"/>
    <mergeCell ref="K31:Q31"/>
    <mergeCell ref="B33:R33"/>
    <mergeCell ref="C29:G29"/>
    <mergeCell ref="H29:I29"/>
    <mergeCell ref="K29:Q29"/>
    <mergeCell ref="C30:G30"/>
    <mergeCell ref="H30:I30"/>
    <mergeCell ref="K30:Q30"/>
  </mergeCells>
  <conditionalFormatting sqref="K14:K31">
    <cfRule type="expression" dxfId="621" priority="1" stopIfTrue="1">
      <formula>RIGHT(K14,1)="*"</formula>
    </cfRule>
    <cfRule type="expression" dxfId="620" priority="2" stopIfTrue="1">
      <formula>LEFT(K14,5)="ALERT"</formula>
    </cfRule>
    <cfRule type="expression" dxfId="619" priority="3" stopIfTrue="1">
      <formula>LEFT(K14,5)="WATCH"</formula>
    </cfRule>
    <cfRule type="expression" dxfId="618" priority="4" stopIfTrue="1">
      <formula>LEFT(K14,2)="OK"</formula>
    </cfRule>
    <cfRule type="expression" dxfId="617" priority="5" stopIfTrue="1">
      <formula>LEFT(K14,12)="INSUFFICIENT"</formula>
    </cfRule>
  </conditionalFormatting>
  <printOptions horizontalCentered="1"/>
  <pageMargins left="0.25" right="0.25" top="0.25" bottom="0.25" header="0.3" footer="0.3"/>
  <pageSetup paperSize="9" scale="6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7748F-3A93-4263-A8A5-501026FDFF1C}">
  <sheetPr codeName="Sheet75">
    <pageSetUpPr fitToPage="1"/>
  </sheetPr>
  <dimension ref="B1:AV37"/>
  <sheetViews>
    <sheetView showGridLines="0" workbookViewId="0"/>
  </sheetViews>
  <sheetFormatPr defaultRowHeight="12"/>
  <cols>
    <col min="1" max="1" width="2.28515625" style="122" customWidth="1"/>
    <col min="2" max="12" width="9.28515625" style="122" customWidth="1"/>
    <col min="13" max="13" width="14.7109375" style="122" customWidth="1"/>
    <col min="14" max="19" width="9.28515625" style="122" customWidth="1"/>
    <col min="20" max="27" width="9.140625" style="122"/>
    <col min="28" max="48" width="0" style="122" hidden="1" customWidth="1"/>
    <col min="49" max="16384" width="9.140625" style="122"/>
  </cols>
  <sheetData>
    <row r="1" spans="2:48" ht="18">
      <c r="B1" s="123" t="str" cm="1">
        <f t="array" ref="B1">_xlfn.XLOOKUP("AN_SEG_"&amp;$AB$3,tblUIText[Key],tblUIText[TR],$AB$3)&amp;": "&amp;$AB$5&amp;" "&amp;_xlfn.XLOOKUP("AN_W_PAID",tblUIText[Key],tblUIText[TR],"AN_W_PAID")&amp;" "&amp;IF(ISNUMBER($AC$31),anNum($AC$31/1000000,1)&amp;" "&amp;_xlfn.XLOOKUP("AN_W_UNITM",tblUIText[Key],tblUIText[TR],"AN_W_UNITM"),"-")&amp;IF(ISNUMBER($AD$31),", "&amp;_xlfn.XLOOKUP("AN_T_VSPM",tblUIText[Key],tblUIText[TR],"AN_T_VSPM")&amp;" "&amp;anPctS($AD$31,1),"")&amp;"; "&amp;$AQ$12&amp;" "&amp;_xlfn.XLOOKUP("AN_W_OPEN_ALERTS",tblUIText[Key],tblUIText[TR],"AN_W_OPEN_ALERTS")</f>
        <v>Hayat:  ödemeleri -; 0 açık uyarı</v>
      </c>
    </row>
    <row r="2" spans="2:48" ht="15">
      <c r="B2" s="124" t="str" cm="1">
        <f t="array" ref="B2">_xlfn.XLOOKUP("AN_SEG_"&amp;$AB$3,tblUIText[Key],tblUIText[EN],$AB$3)&amp;": "&amp;_xlfn.XLOOKUP("AN_W_PAID",tblUIText[Key],tblUIText[EN],"AN_W_PAID")&amp;" "&amp;IF(ISNUMBER($AC$31),anNum($AC$31/1000000,1)&amp;" "&amp;_xlfn.XLOOKUP("AN_W_UNITM",tblUIText[Key],tblUIText[EN],"AN_W_UNITM"),"-")&amp;" in "&amp;$AB$5&amp;IF(ISNUMBER($AD$31),", "&amp;anPctS($AD$31,1)&amp;" "&amp;_xlfn.XLOOKUP("AN_T_VSPM",tblUIText[Key],tblUIText[EN],"AN_T_VSPM"),"")&amp;"; "&amp;$AQ$12&amp;" "&amp;_xlfn.XLOOKUP("AN_W_OPEN_ALERTS",tblUIText[Key],tblUIText[EN],"AN_W_OPEN_ALERTS")</f>
        <v>Life: paid - in ; 0 open alert(s)</v>
      </c>
      <c r="AB2" s="122" t="s">
        <v>19090</v>
      </c>
    </row>
    <row r="3" spans="2:48">
      <c r="B3" s="125" t="str">
        <f>HYPERLINK("#'AN_Index'!A1",_xlfn.XLOOKUP("AN_NAV_INDEX",tblUIText[Key],tblUIText[TR],"AN_NAV_INDEX"))</f>
        <v>Dizin</v>
      </c>
      <c r="D3" s="127" t="str">
        <f>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
        <v>113</v>
      </c>
    </row>
    <row r="4" spans="2:48" ht="33.950000000000003" customHeight="1">
      <c r="B4" s="244" t="str">
        <f>_xlfn.XLOOKUP("AN_EXEC_PURPOSE",tblUIText[Key],tblUIText[TR],"AN_EXEC_PURPOSE")&amp;" / "&amp;_xlfn.XLOOKUP("AN_EXEC_PURPOSE",tblUIText[Key],tblUIText[EN],"")&amp;CHAR(10)&amp;_xlfn.XLOOKUP("AN_HOWTO_EXEC",tblUIText[Key],tblUIText[TR],"AN_HOWTO_EXEC")&amp;" / "&amp;_xlfn.XLOOKUP("AN_HOWTO_EXEC",tblUIText[Key],tblUIText[EN],"")</f>
        <v>Bu segmentin seçilen aydaki ödeme faaliyeti olağan mı? / Is this segment's payment activity normal in the selected month?
Nasıl okunur: altı kutucuk seçilen ayın değeri, önceki aya değişim, 12 aylık seyir ve durumdur; durum taslak eşiklere göre hesaplanır. Grafik bandı log ölçekte olağan aralığı gösterir. / How to read: six tiles give the selected month's value, change vs the previous month, a 12-month sparkline and a status against draft levels; the chart band shows the usual range on a log scale.</v>
      </c>
      <c r="C4" s="244"/>
      <c r="D4" s="244"/>
      <c r="E4" s="244"/>
      <c r="F4" s="244"/>
      <c r="G4" s="244"/>
      <c r="H4" s="244"/>
      <c r="I4" s="244"/>
      <c r="J4" s="244"/>
      <c r="K4" s="244"/>
      <c r="L4" s="244"/>
      <c r="M4" s="244"/>
      <c r="N4" s="244"/>
      <c r="O4" s="244"/>
      <c r="P4" s="244"/>
      <c r="Q4" s="244"/>
      <c r="R4" s="244"/>
      <c r="S4" s="244"/>
      <c r="AB4" s="122">
        <f>COUNTIF($AB$8:$AB$31,"?*")</f>
        <v>0</v>
      </c>
    </row>
    <row r="5" spans="2:48">
      <c r="B5" s="128" t="s">
        <v>19100</v>
      </c>
      <c r="C5" s="126" t="str">
        <f>_xlfn.XLOOKUP("AN_SEG_"&amp;$AB$3,tblUIText[Key],tblUIText[TR],$AB$3)&amp;" / "&amp;_xlfn.XLOOKUP("AN_SEG_"&amp;$AB$3,tblUIText[Key],tblUIText[EN],$AB$3)</f>
        <v>Hayat / Life</v>
      </c>
      <c r="I5" s="129" t="str">
        <f>_xlfn.XLOOKUP("AN_LBL_MONTH",tblUIText[Key],tblUIText[TR],"AN_LBL_MONTH")&amp;" / "&amp;_xlfn.XLOOKUP("AN_LBL_MONTH",tblUIText[Key],tblUIText[EN],"")&amp;":"</f>
        <v>Ay / Month:</v>
      </c>
      <c r="J5" s="131" t="s">
        <v>19101</v>
      </c>
      <c r="M5" s="130" t="str">
        <f>_xlfn.XLOOKUP("AN_LBL_REFRESH",tblUIText[Key],tblUIText[TR],"AN_LBL_REFRESH")&amp;" / "&amp;_xlfn.XLOOKUP("AN_LBL_REFRESH",tblUIText[Key],tblUIText[EN],"")&amp;": "&amp;IFERROR(TEXT(cpLastLoggedRefresh,"yyyy-mm-dd hh:mm"),cpLastLoggedRefresh&amp;"")</f>
        <v>Son yenileme / Last refresh: none</v>
      </c>
      <c r="AB5" s="122" t="str" cm="1">
        <f t="array" ref="AB5">IF($J$5=_xlfn.XLOOKUP("AN_LBL_LATEST",tblUIText[Key],tblUIText[TR],"AN_LBL_LATEST")&amp;" / "&amp;_xlfn.XLOOKUP("AN_LBL_LATEST",tblUIText[Key],tblUIText[EN],""),_xlfn.TAKE(_xlfn.ANCHORARRAY($AV$8),-1),$J$5)</f>
        <v/>
      </c>
    </row>
    <row r="6" spans="2:48">
      <c r="B6" s="245" t="str" cm="1">
        <f t="array" ref="B6">_xlfn.XLOOKUP("AN_LBL_READINESS",tblUIText[Key],tblUIText[TR],"AN_LBL_READINESS")&amp;" / "&amp;_xlfn.XLOOKUP("AN_LBL_READINESS",tblUIText[Key],tblUIText[EN],"")&amp;": "&amp;_xlfn.LET(_xlpm.n,$AB$4,_xlpm.l,$AJ$31,_xlpm.mn,_xlfn.XLOOKUP("MinLinesForQuantile",AnParam[Param],AnParam[Value]),IF(N(_xlpm.l)&lt;_xlpm.mn,"INSUFFICIENT DATA","OK")&amp;": "&amp;_xlpm.n&amp;" "&amp;_xlfn.XLOOKUP("AN_READY_MONTHS",tblUIText[Key],tblUIText[TR],"AN_READY_MONTHS")&amp;" / "&amp;_xlfn.XLOOKUP("AN_READY_MONTHS",tblUIText[Key],tblUIText[EN],"")&amp;"; "&amp;anNum(N(_xlpm.l),0)&amp;" "&amp;_xlfn.XLOOKUP("AN_READY_LINES",tblUIText[Key],tblUIText[TR],"AN_READY_LINES")&amp;" / "&amp;_xlfn.XLOOKUP("AN_READY_LINES",tblUIText[Key],tblUIText[EN],""))</f>
        <v>Veri durumu / Data readiness: INSUFFICIENT DATA: 0 ay veri / months of data; 0 satır bu ay / lines this month</v>
      </c>
      <c r="C6" s="246"/>
      <c r="D6" s="246"/>
      <c r="E6" s="246"/>
      <c r="F6" s="246"/>
      <c r="G6" s="246"/>
      <c r="H6" s="246"/>
      <c r="I6" s="246"/>
      <c r="J6" s="246"/>
      <c r="K6" s="246"/>
      <c r="L6" s="246"/>
      <c r="M6" s="246"/>
      <c r="N6" s="246"/>
      <c r="O6" s="246"/>
      <c r="P6" s="246"/>
      <c r="Q6" s="246"/>
      <c r="R6" s="246"/>
      <c r="S6" s="246"/>
      <c r="AB6" s="122">
        <f>IFERROR(MATCH($AB$5,_xlfn.ANCHORARRAY($AV$8),0),ROWS(_xlfn.ANCHORARRAY($AV$8)))</f>
        <v>1</v>
      </c>
    </row>
    <row r="7" spans="2:48"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B7" s="122" t="s">
        <v>19091</v>
      </c>
      <c r="AC7" s="122" t="s">
        <v>16979</v>
      </c>
      <c r="AD7" s="122" t="s">
        <v>19092</v>
      </c>
      <c r="AE7" s="122" t="s">
        <v>17025</v>
      </c>
      <c r="AF7" s="122" t="s">
        <v>19008</v>
      </c>
      <c r="AG7" s="122" t="s">
        <v>16940</v>
      </c>
      <c r="AH7" s="122" t="s">
        <v>19093</v>
      </c>
      <c r="AI7" s="122" t="s">
        <v>19094</v>
      </c>
      <c r="AJ7" s="122" t="s">
        <v>184</v>
      </c>
      <c r="AK7" s="122" t="s">
        <v>19095</v>
      </c>
      <c r="AL7" s="122" t="s">
        <v>19097</v>
      </c>
      <c r="AM7" s="122" t="s">
        <v>19098</v>
      </c>
      <c r="AN7" s="122" t="s">
        <v>19099</v>
      </c>
      <c r="AQ7" s="122" t="s">
        <v>19096</v>
      </c>
      <c r="AS7" s="122" t="s">
        <v>19102</v>
      </c>
      <c r="AT7" s="122" t="s">
        <v>19103</v>
      </c>
      <c r="AU7" s="122" t="s">
        <v>19958</v>
      </c>
    </row>
    <row r="8" spans="2:48">
      <c r="AB8" s="122" t="str" cm="1">
        <f t="array" ref="AB8">IFERROR(INDEX(_xlfn.ANCHORARRAY($AV$8),$AB$6-24+ROW()-7),"")</f>
        <v/>
      </c>
      <c r="AC8" s="122" t="str" cm="1">
        <f t="array" ref="AC8">IF($AB8="","",_xlfn.LET(_xlpm.r,_xlfn.XLOOKUP($AB$3&amp;"|"&amp;$AB8,anSM_Seg&amp;"|"&amp;anSM_YM,anSM_Paid,""),IF(ISBLANK(_xlpm.r),"",_xlpm.r)))</f>
        <v/>
      </c>
      <c r="AD8" s="122" t="str" cm="1">
        <f t="array" ref="AD8">IF($AB8="","",_xlfn.LET(_xlpm.r,_xlfn.XLOOKUP($AB$3&amp;"|"&amp;$AB8,anSM_Seg&amp;"|"&amp;anSM_YM,anSM_MoM,""),IF(ISBLANK(_xlpm.r),"",_xlpm.r)))</f>
        <v/>
      </c>
      <c r="AE8" s="122" t="str" cm="1">
        <f t="array" ref="AE8">IF($AB8="","",_xlfn.LET(_xlpm.r,_xlfn.XLOOKUP($AB$3&amp;"|"&amp;$AB8,anSM_Seg&amp;"|"&amp;anSM_YM,anSM_Cases,""),IF(ISBLANK(_xlpm.r),"",_xlpm.r)))</f>
        <v/>
      </c>
      <c r="AF8" s="122" t="str" cm="1">
        <f t="array" ref="AF8">IF($AB8="","",_xlfn.LET(_xlpm.r,_xlfn.XLOOKUP($AB$3&amp;"|"&amp;$AB8,anSM_Seg&amp;"|"&amp;anSM_YM,anSM_Mean,""),IF(ISBLANK(_xlpm.r),"",_xlpm.r)))</f>
        <v/>
      </c>
      <c r="AG8" s="122" t="str" cm="1">
        <f t="array" ref="AG8">IF($AB8="","",_xlfn.LET(_xlpm.r,_xlfn.XLOOKUP($AB$3&amp;"|"&amp;$AB8,anSM_Seg&amp;"|"&amp;anSM_YM,anSM_P90,""),IF(ISBLANK(_xlpm.r),"",_xlpm.r)))</f>
        <v/>
      </c>
      <c r="AH8" s="122" t="str" cm="1">
        <f t="array" ref="AH8">IF($AB8="","",_xlfn.LET(_xlpm.r,_xlfn.XLOOKUP($AB$3&amp;"|"&amp;$AB8,anSM_Seg&amp;"|"&amp;anSM_YM,anSM_LagP50,""),IF(ISBLANK(_xlpm.r),"",_xlpm.r)))</f>
        <v/>
      </c>
      <c r="AI8" s="122" t="str" cm="1">
        <f t="array" ref="AI8">IF($AB8="","",_xlfn.LET(_xlpm.r,_xlfn.XLOOKUP($AB$3&amp;"|"&amp;$AB8,anSM_Seg&amp;"|"&amp;anSM_YM,anSM_SLA,""),IF(ISBLANK(_xlpm.r),"",_xlpm.r)))</f>
        <v/>
      </c>
      <c r="AJ8" s="122" t="str" cm="1">
        <f t="array" ref="AJ8">IF($AB8="","",_xlfn.LET(_xlpm.r,_xlfn.XLOOKUP($AB$3&amp;"|"&amp;$AB8,anSM_Seg&amp;"|"&amp;anSM_YM,anSM_Lines,""),IF(ISBLANK(_xlpm.r),"",_xlpm.r)))</f>
        <v/>
      </c>
      <c r="AK8" s="122" t="str" cm="1">
        <f t="array" ref="AK8">IF($AB8="","",_xlfn.LET(_xlpm.r,_xlfn.XLOOKUP($AB$3&amp;"|"&amp;$AB8,anSM_Seg&amp;"|"&amp;anSM_YM,anSM_PM,""),IF(ISBLANK(_xlpm.r),"",_xlpm.r)))</f>
        <v/>
      </c>
      <c r="AL8" s="122" t="str">
        <f t="shared" ref="AL8:AL31" si="0">IF(OR($AB8="",$AQ$8=""),"",EXP($AQ$8))</f>
        <v/>
      </c>
      <c r="AM8" s="122" t="str">
        <f t="shared" ref="AM8:AM31" si="1">IF(OR($AB8="",$AQ$9=""),"",EXP($AQ$8-$AQ$10*$AQ$9))</f>
        <v/>
      </c>
      <c r="AN8" s="122" t="str">
        <f t="shared" ref="AN8:AN31" si="2">IF(OR($AB8="",$AQ$9=""),"",EXP($AQ$8+$AQ$10*$AQ$9))</f>
        <v/>
      </c>
      <c r="AQ8" s="122" t="str" cm="1">
        <f t="array" ref="AQ8">_xlfn.LET(_xlpm.h,_xlfn._xlws.FILTER($AC$8:$AC$30,ISNUMBER($AC$8:$AC$30)*($AC$8:$AC$30&gt;0),""),IFERROR(MEDIAN(LN(_xlpm.h)),""))</f>
        <v/>
      </c>
      <c r="AS8" s="122" t="str">
        <f>_xlfn.XLOOKUP("AN_T_PAID",tblUIText[Key],tblUIText[TR],"AN_T_PAID")&amp;" / "&amp;_xlfn.XLOOKUP("AN_T_PAID",tblUIText[Key],tblUIText[EN],"")</f>
        <v>Ödenen (mn TL) / Paid (TRY m)</v>
      </c>
      <c r="AT8" s="122" t="str">
        <f>$B$13</f>
        <v>INSUFFICIENT DATA</v>
      </c>
      <c r="AU8" s="122" t="str" cm="1">
        <f t="array" ref="AU8">_xlfn.LET(_xlpm.m,_xlfn.XLOOKUP("PD01",tblThreshold[KPI_ID],tblThreshold[Method],""),_xlpm.rs,_xlfn.XLOOKUP("PD01",tblThreshold[KPI_ID],tblThreshold[Status],""),_xlpm.wl,_xlfn.XLOOKUP("PD01",tblThreshold[KPI_ID],tblThreshold[WatchLevel],""),_xlpm.al,_xlfn.XLOOKUP("PD01",tblThreshold[KPI_ID],tblThreshold[AlertLevel],""),_xlpm.mm,_xlfn.XLOOKUP("PD01",tblThreshold[KPI_ID],tblThreshold[MinMonths],0),_xlpm.mn,_xlfn.XLOOKUP("PD01",tblThreshold[KPI_ID],tblThreshold[MinN],0),_xlpm.per,IF(ISNUMBER(SEARCH("WATCH: 2",_xlfn.XLOOKUP("PD01",tblThreshold[KPI_ID],tblThreshold[Persistence],""))),2,1),_xlpm.hr,$AC$8:$AC$30,_xlpm.h,_xlfn._xlws.FILTER(_xlpm.hr,ISNUMBER(_xlpm.hr),""),_xlpm.x,$AC$31,_xlpm.xp,$AC$30,_xlpm.n,$AJ$31,_xlpm.side,IF(LEFT("PD01",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AV8" s="122" t="str" cm="1">
        <f t="array" ref="AV8">_xlfn._xlws.SORT(_xlfn.UNIQUE(_xlfn._xlws.FILTER(anSM_YM,(anSM_Seg=$AB$3)*(anSM_Lines&lt;&gt;"")*(anSM_YM&lt;&gt;""),"")))</f>
        <v/>
      </c>
    </row>
    <row r="9" spans="2:48" ht="24" customHeight="1">
      <c r="B9" s="247" t="str">
        <f>_xlfn.XLOOKUP("AN_T_PAID",tblUIText[Key],tblUIText[TR],"AN_T_PAID")&amp;" / "&amp;_xlfn.XLOOKUP("AN_T_PAID",tblUIText[Key],tblUIText[EN],"")</f>
        <v>Ödenen (mn TL) / Paid (TRY m)</v>
      </c>
      <c r="C9" s="248"/>
      <c r="D9" s="249"/>
      <c r="E9" s="247" t="str">
        <f>_xlfn.XLOOKUP("AN_T_CASES",tblUIText[Key],tblUIText[TR],"AN_T_CASES")&amp;" / "&amp;_xlfn.XLOOKUP("AN_T_CASES",tblUIText[Key],tblUIText[EN],"")</f>
        <v>Dosya sayısı / Cases</v>
      </c>
      <c r="F9" s="248"/>
      <c r="G9" s="249"/>
      <c r="H9" s="247" t="str">
        <f>_xlfn.XLOOKUP("AN_T_MEAN",tblUIText[Key],tblUIText[TR],"AN_T_MEAN")&amp;" / "&amp;_xlfn.XLOOKUP("AN_T_MEAN",tblUIText[Key],tblUIText[EN],"")</f>
        <v>Dosya başına ort. (bin TL) / Mean per case (TRY k)</v>
      </c>
      <c r="I9" s="248"/>
      <c r="J9" s="249"/>
      <c r="K9" s="247" t="str">
        <f>_xlfn.XLOOKUP("AN_T_P90",tblUIText[Key],tblUIText[TR],"AN_T_P90")&amp;" / "&amp;_xlfn.XLOOKUP("AN_T_P90",tblUIText[Key],tblUIText[EN],"")</f>
        <v>Dosya başına P90 (bin TL) / P90 per case (TRY k)</v>
      </c>
      <c r="L9" s="248"/>
      <c r="M9" s="249"/>
      <c r="N9" s="247" t="str">
        <f>_xlfn.XLOOKUP("AN_T_LAG",tblUIText[Key],tblUIText[TR],"AN_T_LAG")&amp;" / "&amp;_xlfn.XLOOKUP("AN_T_LAG",tblUIText[Key],tblUIText[EN],"")</f>
        <v>Hasar→ödeme P50 (gün) / Loss→payment P50 (days)</v>
      </c>
      <c r="O9" s="248"/>
      <c r="P9" s="249"/>
      <c r="Q9" s="247" t="str">
        <f>_xlfn.XLOOKUP("AN_T_SLA",tblUIText[Key],tblUIText[TR],"AN_T_SLA")&amp;" / "&amp;_xlfn.XLOOKUP("AN_T_SLA",tblUIText[Key],tblUIText[EN],"")</f>
        <v>Uçtan uca SLA aşımı / SLA breach, end to end</v>
      </c>
      <c r="R9" s="248"/>
      <c r="S9" s="249"/>
      <c r="AB9" s="122" t="str" cm="1">
        <f t="array" ref="AB9">IFERROR(INDEX(_xlfn.ANCHORARRAY($AV$8),$AB$6-24+ROW()-7),"")</f>
        <v/>
      </c>
      <c r="AC9" s="122" t="str" cm="1">
        <f t="array" ref="AC9">IF($AB9="","",_xlfn.LET(_xlpm.r,_xlfn.XLOOKUP($AB$3&amp;"|"&amp;$AB9,anSM_Seg&amp;"|"&amp;anSM_YM,anSM_Paid,""),IF(ISBLANK(_xlpm.r),"",_xlpm.r)))</f>
        <v/>
      </c>
      <c r="AD9" s="122" t="str" cm="1">
        <f t="array" ref="AD9">IF($AB9="","",_xlfn.LET(_xlpm.r,_xlfn.XLOOKUP($AB$3&amp;"|"&amp;$AB9,anSM_Seg&amp;"|"&amp;anSM_YM,anSM_MoM,""),IF(ISBLANK(_xlpm.r),"",_xlpm.r)))</f>
        <v/>
      </c>
      <c r="AE9" s="122" t="str" cm="1">
        <f t="array" ref="AE9">IF($AB9="","",_xlfn.LET(_xlpm.r,_xlfn.XLOOKUP($AB$3&amp;"|"&amp;$AB9,anSM_Seg&amp;"|"&amp;anSM_YM,anSM_Cases,""),IF(ISBLANK(_xlpm.r),"",_xlpm.r)))</f>
        <v/>
      </c>
      <c r="AF9" s="122" t="str" cm="1">
        <f t="array" ref="AF9">IF($AB9="","",_xlfn.LET(_xlpm.r,_xlfn.XLOOKUP($AB$3&amp;"|"&amp;$AB9,anSM_Seg&amp;"|"&amp;anSM_YM,anSM_Mean,""),IF(ISBLANK(_xlpm.r),"",_xlpm.r)))</f>
        <v/>
      </c>
      <c r="AG9" s="122" t="str" cm="1">
        <f t="array" ref="AG9">IF($AB9="","",_xlfn.LET(_xlpm.r,_xlfn.XLOOKUP($AB$3&amp;"|"&amp;$AB9,anSM_Seg&amp;"|"&amp;anSM_YM,anSM_P90,""),IF(ISBLANK(_xlpm.r),"",_xlpm.r)))</f>
        <v/>
      </c>
      <c r="AH9" s="122" t="str" cm="1">
        <f t="array" ref="AH9">IF($AB9="","",_xlfn.LET(_xlpm.r,_xlfn.XLOOKUP($AB$3&amp;"|"&amp;$AB9,anSM_Seg&amp;"|"&amp;anSM_YM,anSM_LagP50,""),IF(ISBLANK(_xlpm.r),"",_xlpm.r)))</f>
        <v/>
      </c>
      <c r="AI9" s="122" t="str" cm="1">
        <f t="array" ref="AI9">IF($AB9="","",_xlfn.LET(_xlpm.r,_xlfn.XLOOKUP($AB$3&amp;"|"&amp;$AB9,anSM_Seg&amp;"|"&amp;anSM_YM,anSM_SLA,""),IF(ISBLANK(_xlpm.r),"",_xlpm.r)))</f>
        <v/>
      </c>
      <c r="AJ9" s="122" t="str" cm="1">
        <f t="array" ref="AJ9">IF($AB9="","",_xlfn.LET(_xlpm.r,_xlfn.XLOOKUP($AB$3&amp;"|"&amp;$AB9,anSM_Seg&amp;"|"&amp;anSM_YM,anSM_Lines,""),IF(ISBLANK(_xlpm.r),"",_xlpm.r)))</f>
        <v/>
      </c>
      <c r="AK9" s="122" t="str" cm="1">
        <f t="array" ref="AK9">IF($AB9="","",_xlfn.LET(_xlpm.r,_xlfn.XLOOKUP($AB$3&amp;"|"&amp;$AB9,anSM_Seg&amp;"|"&amp;anSM_YM,anSM_PM,""),IF(ISBLANK(_xlpm.r),"",_xlpm.r)))</f>
        <v/>
      </c>
      <c r="AL9" s="122" t="str">
        <f t="shared" si="0"/>
        <v/>
      </c>
      <c r="AM9" s="122" t="str">
        <f t="shared" si="1"/>
        <v/>
      </c>
      <c r="AN9" s="122" t="str">
        <f t="shared" si="2"/>
        <v/>
      </c>
      <c r="AQ9" s="122" t="str" cm="1">
        <f t="array" ref="AQ9">_xlfn.LET(_xlpm.h,_xlfn._xlws.FILTER($AC$8:$AC$30,ISNUMBER($AC$8:$AC$30)*($AC$8:$AC$30&gt;0),""),_xlpm.lh,LN(_xlpm.h),_xlpm.md,MEDIAN(_xlpm.lh),IFERROR(1.4826*MEDIAN(ABS(_xlpm.lh-_xlpm.md)),""))</f>
        <v/>
      </c>
      <c r="AS9" s="122" t="str">
        <f>_xlfn.XLOOKUP("AN_T_CASES",tblUIText[Key],tblUIText[TR],"AN_T_CASES")&amp;" / "&amp;_xlfn.XLOOKUP("AN_T_CASES",tblUIText[Key],tblUIText[EN],"")</f>
        <v>Dosya sayısı / Cases</v>
      </c>
      <c r="AT9" s="122" t="str">
        <f>$E$13</f>
        <v>—</v>
      </c>
      <c r="AU9" s="122" t="str" cm="1">
        <f t="array" ref="AU9">_xlfn.LET(_xlpm.m,_xlfn.XLOOKUP("TI01",tblThreshold[KPI_ID],tblThreshold[Method],""),_xlpm.rs,_xlfn.XLOOKUP("TI01",tblThreshold[KPI_ID],tblThreshold[Status],""),_xlpm.mm,_xlfn.XLOOKUP("TI01",tblThreshold[KPI_ID],tblThreshold[MinMonths],12),_xlpm.hr,$AC$19:$AC$30,_xlpm.h,_xlfn._xlws.FILTER(_xlpm.hr,ISNUMBER(_xlpm.hr),""),_xlpm.x,$AD$31,_xlpm.pv,$AC$30,_xlpm.dn,_xlfn.XLOOKUP("MomDropLimit",AnParam[Param],AnParam[Value]),_xlpm.up,_xlfn.XLOOKUP("MomRiseLimit",AnParam[Param],AnParam[Value]),_xlpm.ms,_xlfn.XLOOKUP("MomMaterialityShare",AnParam[Param],AnParam[Value]),_xlpm.sfx,IF(_xlpm.rs&lt;&gt;"APPROVED"," (draft)",""),IF(_xlpm.m&lt;&gt;"MOM_RULE","—",IF(OR(NOT(ISNUMBER(_xlpm.x)),NOT(ISNUMBER(_xlpm.pv)),COUNT(_xlpm.h)&lt;MIN(_xlpm.mm,12)),"INSUFFICIENT DATA",IF(_xlpm.pv&lt;=_xlpm.ms*AVERAGE(_xlpm.h),"OK",IF(OR(_xlpm.x&lt;=_xlpm.dn,_xlpm.x&gt;=_xlpm.up),"WATCH"&amp;_xlpm.sfx,"OK")))))</f>
        <v>INSUFFICIENT DATA</v>
      </c>
    </row>
    <row r="10" spans="2:48" ht="27.95" customHeight="1">
      <c r="B10" s="250" t="str" cm="1">
        <f t="array" ref="B10">IF(ISNUMBER($AC$31),anNum($AC$31/1000000,1),"")</f>
        <v/>
      </c>
      <c r="C10" s="251"/>
      <c r="D10" s="252"/>
      <c r="E10" s="250" t="str" cm="1">
        <f t="array" ref="E10">IF(ISNUMBER($AE$31),anNum($AE$31,0),"")</f>
        <v/>
      </c>
      <c r="F10" s="251"/>
      <c r="G10" s="252"/>
      <c r="H10" s="250" t="str" cm="1">
        <f t="array" ref="H10">IF(ISNUMBER($AF$31),anNum($AF$31/1000,1),"")</f>
        <v/>
      </c>
      <c r="I10" s="251"/>
      <c r="J10" s="252"/>
      <c r="K10" s="250" t="str" cm="1">
        <f t="array" ref="K10">IF(ISNUMBER($AG$31),anNum($AG$31/1000,1),"")</f>
        <v/>
      </c>
      <c r="L10" s="251"/>
      <c r="M10" s="252"/>
      <c r="N10" s="250" t="str" cm="1">
        <f t="array" ref="N10">IF(ISNUMBER($AH$31),anNum($AH$31,1),"")</f>
        <v/>
      </c>
      <c r="O10" s="251"/>
      <c r="P10" s="252"/>
      <c r="Q10" s="250" t="str" cm="1">
        <f t="array" ref="Q10">IF(ISNUMBER($AI$31),anPct($AI$31,1),"")</f>
        <v/>
      </c>
      <c r="R10" s="251"/>
      <c r="S10" s="252"/>
      <c r="AB10" s="122" t="str" cm="1">
        <f t="array" ref="AB10">IFERROR(INDEX(_xlfn.ANCHORARRAY($AV$8),$AB$6-24+ROW()-7),"")</f>
        <v/>
      </c>
      <c r="AC10" s="122" t="str" cm="1">
        <f t="array" ref="AC10">IF($AB10="","",_xlfn.LET(_xlpm.r,_xlfn.XLOOKUP($AB$3&amp;"|"&amp;$AB10,anSM_Seg&amp;"|"&amp;anSM_YM,anSM_Paid,""),IF(ISBLANK(_xlpm.r),"",_xlpm.r)))</f>
        <v/>
      </c>
      <c r="AD10" s="122" t="str" cm="1">
        <f t="array" ref="AD10">IF($AB10="","",_xlfn.LET(_xlpm.r,_xlfn.XLOOKUP($AB$3&amp;"|"&amp;$AB10,anSM_Seg&amp;"|"&amp;anSM_YM,anSM_MoM,""),IF(ISBLANK(_xlpm.r),"",_xlpm.r)))</f>
        <v/>
      </c>
      <c r="AE10" s="122" t="str" cm="1">
        <f t="array" ref="AE10">IF($AB10="","",_xlfn.LET(_xlpm.r,_xlfn.XLOOKUP($AB$3&amp;"|"&amp;$AB10,anSM_Seg&amp;"|"&amp;anSM_YM,anSM_Cases,""),IF(ISBLANK(_xlpm.r),"",_xlpm.r)))</f>
        <v/>
      </c>
      <c r="AF10" s="122" t="str" cm="1">
        <f t="array" ref="AF10">IF($AB10="","",_xlfn.LET(_xlpm.r,_xlfn.XLOOKUP($AB$3&amp;"|"&amp;$AB10,anSM_Seg&amp;"|"&amp;anSM_YM,anSM_Mean,""),IF(ISBLANK(_xlpm.r),"",_xlpm.r)))</f>
        <v/>
      </c>
      <c r="AG10" s="122" t="str" cm="1">
        <f t="array" ref="AG10">IF($AB10="","",_xlfn.LET(_xlpm.r,_xlfn.XLOOKUP($AB$3&amp;"|"&amp;$AB10,anSM_Seg&amp;"|"&amp;anSM_YM,anSM_P90,""),IF(ISBLANK(_xlpm.r),"",_xlpm.r)))</f>
        <v/>
      </c>
      <c r="AH10" s="122" t="str" cm="1">
        <f t="array" ref="AH10">IF($AB10="","",_xlfn.LET(_xlpm.r,_xlfn.XLOOKUP($AB$3&amp;"|"&amp;$AB10,anSM_Seg&amp;"|"&amp;anSM_YM,anSM_LagP50,""),IF(ISBLANK(_xlpm.r),"",_xlpm.r)))</f>
        <v/>
      </c>
      <c r="AI10" s="122" t="str" cm="1">
        <f t="array" ref="AI10">IF($AB10="","",_xlfn.LET(_xlpm.r,_xlfn.XLOOKUP($AB$3&amp;"|"&amp;$AB10,anSM_Seg&amp;"|"&amp;anSM_YM,anSM_SLA,""),IF(ISBLANK(_xlpm.r),"",_xlpm.r)))</f>
        <v/>
      </c>
      <c r="AJ10" s="122" t="str" cm="1">
        <f t="array" ref="AJ10">IF($AB10="","",_xlfn.LET(_xlpm.r,_xlfn.XLOOKUP($AB$3&amp;"|"&amp;$AB10,anSM_Seg&amp;"|"&amp;anSM_YM,anSM_Lines,""),IF(ISBLANK(_xlpm.r),"",_xlpm.r)))</f>
        <v/>
      </c>
      <c r="AK10" s="122" t="str" cm="1">
        <f t="array" ref="AK10">IF($AB10="","",_xlfn.LET(_xlpm.r,_xlfn.XLOOKUP($AB$3&amp;"|"&amp;$AB10,anSM_Seg&amp;"|"&amp;anSM_YM,anSM_PM,""),IF(ISBLANK(_xlpm.r),"",_xlpm.r)))</f>
        <v/>
      </c>
      <c r="AL10" s="122" t="str">
        <f t="shared" si="0"/>
        <v/>
      </c>
      <c r="AM10" s="122" t="str">
        <f t="shared" si="1"/>
        <v/>
      </c>
      <c r="AN10" s="122" t="str">
        <f t="shared" si="2"/>
        <v/>
      </c>
      <c r="AQ10" s="122">
        <f>_xlfn.XLOOKUP("TrendBandWidth",AnParam[Param],AnParam[Value],2.5)</f>
        <v>2.5</v>
      </c>
      <c r="AS10" s="122" t="str">
        <f>_xlfn.XLOOKUP("AN_T_MEAN",tblUIText[Key],tblUIText[TR],"AN_T_MEAN")&amp;" / "&amp;_xlfn.XLOOKUP("AN_T_MEAN",tblUIText[Key],tblUIText[EN],"")</f>
        <v>Dosya başına ort. (bin TL) / Mean per case (TRY k)</v>
      </c>
      <c r="AT10" s="122" t="str">
        <f>$H$13</f>
        <v>INSUFFICIENT DATA</v>
      </c>
      <c r="AU10" s="122" t="str" cm="1">
        <f t="array" ref="AU10">_xlfn.LET(_xlpm.a,$AU$8,_xlpm.b,$AU$9,_xlpm.r,_xlfn.LAMBDA(_xlpm.s,IF(RIGHT(_xlpm.s,1)="*",1.5,IF(LEFT(_xlpm.s,5)="ALERT",4,IF(LEFT(_xlpm.s,5)="WATCH",3,IF(LEFT(_xlpm.s,2)="OK",2,IF(LEFT(_xlpm.s,5)="INSUF",1,0)))))),IF(_xlpm.r(_xlpm.a)&gt;=_xlpm.r(_xlpm.b),_xlpm.a,_xlpm.b))</f>
        <v>INSUFFICIENT DATA</v>
      </c>
    </row>
    <row r="11" spans="2:48" ht="20.100000000000001" customHeight="1">
      <c r="B11" s="253" t="str" cm="1">
        <f t="array" ref="B11">IF(ISNUMBER($AD$31),anPctS($AD$31,1)&amp;" "&amp;_xlfn.XLOOKUP("AN_T_VSPM_S",tblUIText[Key],tblUIText[TR],"AN_T_VSPM_S")&amp;" / "&amp;_xlfn.XLOOKUP("AN_T_VSPM_S",tblUIText[Key],tblUIText[EN],""),"")</f>
        <v/>
      </c>
      <c r="C11" s="254"/>
      <c r="D11" s="255"/>
      <c r="E11" s="253" t="str" cm="1">
        <f t="array" ref="E11">IF(AND(ISNUMBER($AE$31),ISNUMBER($AE$30)),anPctS($AE$31/$AE$30-1,1)&amp;" "&amp;_xlfn.XLOOKUP("AN_T_VSPM_S",tblUIText[Key],tblUIText[TR],"AN_T_VSPM_S")&amp;" / "&amp;_xlfn.XLOOKUP("AN_T_VSPM_S",tblUIText[Key],tblUIText[EN],""),"")</f>
        <v/>
      </c>
      <c r="F11" s="254"/>
      <c r="G11" s="255"/>
      <c r="H11" s="253" t="str" cm="1">
        <f t="array" ref="H11">IF(AND(ISNUMBER($AF$31),ISNUMBER($AF$30)),anPctS($AF$31/$AF$30-1,1)&amp;" "&amp;_xlfn.XLOOKUP("AN_T_VSPM_S",tblUIText[Key],tblUIText[TR],"AN_T_VSPM_S")&amp;" / "&amp;_xlfn.XLOOKUP("AN_T_VSPM_S",tblUIText[Key],tblUIText[EN],""),"")</f>
        <v/>
      </c>
      <c r="I11" s="254"/>
      <c r="J11" s="255"/>
      <c r="K11" s="253" t="str" cm="1">
        <f t="array" ref="K11">IF(AND(ISNUMBER($AG$31),ISNUMBER($AG$30)),anPctS($AG$31/$AG$30-1,1)&amp;" "&amp;_xlfn.XLOOKUP("AN_T_VSPM_S",tblUIText[Key],tblUIText[TR],"AN_T_VSPM_S")&amp;" / "&amp;_xlfn.XLOOKUP("AN_T_VSPM_S",tblUIText[Key],tblUIText[EN],""),"")</f>
        <v/>
      </c>
      <c r="L11" s="254"/>
      <c r="M11" s="255"/>
      <c r="N11" s="253" t="str" cm="1">
        <f t="array" ref="N11">IF(AND(ISNUMBER($AH$31),ISNUMBER($AH$30)),anSgn($AH$31-$AH$30,1)&amp;" "&amp;_xlfn.XLOOKUP("AN_W_DAYS",tblUIText[Key],tblUIText[TR],"AN_W_DAYS")&amp;" / "&amp;_xlfn.XLOOKUP("AN_W_DAYS",tblUIText[Key],tblUIText[EN],""),"")</f>
        <v/>
      </c>
      <c r="O11" s="254"/>
      <c r="P11" s="255"/>
      <c r="Q11" s="253" t="str" cm="1">
        <f t="array" ref="Q11">IF(AND(ISNUMBER($AI$31),ISNUMBER($AI$30)),anSgn(($AI$31-$AI$30)*100,1)&amp;" "&amp;_xlfn.XLOOKUP("AN_W_PP",tblUIText[Key],tblUIText[TR],"AN_W_PP")&amp;" / "&amp;_xlfn.XLOOKUP("AN_W_PP",tblUIText[Key],tblUIText[EN],""),"")</f>
        <v/>
      </c>
      <c r="R11" s="254"/>
      <c r="S11" s="255"/>
      <c r="AB11" s="122" t="str" cm="1">
        <f t="array" ref="AB11">IFERROR(INDEX(_xlfn.ANCHORARRAY($AV$8),$AB$6-24+ROW()-7),"")</f>
        <v/>
      </c>
      <c r="AC11" s="122" t="str" cm="1">
        <f t="array" ref="AC11">IF($AB11="","",_xlfn.LET(_xlpm.r,_xlfn.XLOOKUP($AB$3&amp;"|"&amp;$AB11,anSM_Seg&amp;"|"&amp;anSM_YM,anSM_Paid,""),IF(ISBLANK(_xlpm.r),"",_xlpm.r)))</f>
        <v/>
      </c>
      <c r="AD11" s="122" t="str" cm="1">
        <f t="array" ref="AD11">IF($AB11="","",_xlfn.LET(_xlpm.r,_xlfn.XLOOKUP($AB$3&amp;"|"&amp;$AB11,anSM_Seg&amp;"|"&amp;anSM_YM,anSM_MoM,""),IF(ISBLANK(_xlpm.r),"",_xlpm.r)))</f>
        <v/>
      </c>
      <c r="AE11" s="122" t="str" cm="1">
        <f t="array" ref="AE11">IF($AB11="","",_xlfn.LET(_xlpm.r,_xlfn.XLOOKUP($AB$3&amp;"|"&amp;$AB11,anSM_Seg&amp;"|"&amp;anSM_YM,anSM_Cases,""),IF(ISBLANK(_xlpm.r),"",_xlpm.r)))</f>
        <v/>
      </c>
      <c r="AF11" s="122" t="str" cm="1">
        <f t="array" ref="AF11">IF($AB11="","",_xlfn.LET(_xlpm.r,_xlfn.XLOOKUP($AB$3&amp;"|"&amp;$AB11,anSM_Seg&amp;"|"&amp;anSM_YM,anSM_Mean,""),IF(ISBLANK(_xlpm.r),"",_xlpm.r)))</f>
        <v/>
      </c>
      <c r="AG11" s="122" t="str" cm="1">
        <f t="array" ref="AG11">IF($AB11="","",_xlfn.LET(_xlpm.r,_xlfn.XLOOKUP($AB$3&amp;"|"&amp;$AB11,anSM_Seg&amp;"|"&amp;anSM_YM,anSM_P90,""),IF(ISBLANK(_xlpm.r),"",_xlpm.r)))</f>
        <v/>
      </c>
      <c r="AH11" s="122" t="str" cm="1">
        <f t="array" ref="AH11">IF($AB11="","",_xlfn.LET(_xlpm.r,_xlfn.XLOOKUP($AB$3&amp;"|"&amp;$AB11,anSM_Seg&amp;"|"&amp;anSM_YM,anSM_LagP50,""),IF(ISBLANK(_xlpm.r),"",_xlpm.r)))</f>
        <v/>
      </c>
      <c r="AI11" s="122" t="str" cm="1">
        <f t="array" ref="AI11">IF($AB11="","",_xlfn.LET(_xlpm.r,_xlfn.XLOOKUP($AB$3&amp;"|"&amp;$AB11,anSM_Seg&amp;"|"&amp;anSM_YM,anSM_SLA,""),IF(ISBLANK(_xlpm.r),"",_xlpm.r)))</f>
        <v/>
      </c>
      <c r="AJ11" s="122" t="str" cm="1">
        <f t="array" ref="AJ11">IF($AB11="","",_xlfn.LET(_xlpm.r,_xlfn.XLOOKUP($AB$3&amp;"|"&amp;$AB11,anSM_Seg&amp;"|"&amp;anSM_YM,anSM_Lines,""),IF(ISBLANK(_xlpm.r),"",_xlpm.r)))</f>
        <v/>
      </c>
      <c r="AK11" s="122" t="str" cm="1">
        <f t="array" ref="AK11">IF($AB11="","",_xlfn.LET(_xlpm.r,_xlfn.XLOOKUP($AB$3&amp;"|"&amp;$AB11,anSM_Seg&amp;"|"&amp;anSM_YM,anSM_PM,""),IF(ISBLANK(_xlpm.r),"",_xlpm.r)))</f>
        <v/>
      </c>
      <c r="AL11" s="122" t="str">
        <f t="shared" si="0"/>
        <v/>
      </c>
      <c r="AM11" s="122" t="str">
        <f t="shared" si="1"/>
        <v/>
      </c>
      <c r="AN11" s="122" t="str">
        <f t="shared" si="2"/>
        <v/>
      </c>
      <c r="AS11" s="122" t="str">
        <f>_xlfn.XLOOKUP("AN_T_P90",tblUIText[Key],tblUIText[TR],"AN_T_P90")&amp;" / "&amp;_xlfn.XLOOKUP("AN_T_P90",tblUIText[Key],tblUIText[EN],"")</f>
        <v>Dosya başına P90 (bin TL) / P90 per case (TRY k)</v>
      </c>
      <c r="AT11" s="122" t="str">
        <f>$K$13</f>
        <v>INSUFFICIENT DATA</v>
      </c>
    </row>
    <row r="12" spans="2:48" ht="26.1" customHeight="1">
      <c r="B12" s="259"/>
      <c r="C12" s="246"/>
      <c r="D12" s="260"/>
      <c r="E12" s="259"/>
      <c r="F12" s="246"/>
      <c r="G12" s="260"/>
      <c r="H12" s="259"/>
      <c r="I12" s="246"/>
      <c r="J12" s="260"/>
      <c r="K12" s="259"/>
      <c r="L12" s="246"/>
      <c r="M12" s="260"/>
      <c r="N12" s="259"/>
      <c r="O12" s="246"/>
      <c r="P12" s="260"/>
      <c r="Q12" s="259"/>
      <c r="R12" s="246"/>
      <c r="S12" s="260"/>
      <c r="AB12" s="122" t="str" cm="1">
        <f t="array" ref="AB12">IFERROR(INDEX(_xlfn.ANCHORARRAY($AV$8),$AB$6-24+ROW()-7),"")</f>
        <v/>
      </c>
      <c r="AC12" s="122" t="str" cm="1">
        <f t="array" ref="AC12">IF($AB12="","",_xlfn.LET(_xlpm.r,_xlfn.XLOOKUP($AB$3&amp;"|"&amp;$AB12,anSM_Seg&amp;"|"&amp;anSM_YM,anSM_Paid,""),IF(ISBLANK(_xlpm.r),"",_xlpm.r)))</f>
        <v/>
      </c>
      <c r="AD12" s="122" t="str" cm="1">
        <f t="array" ref="AD12">IF($AB12="","",_xlfn.LET(_xlpm.r,_xlfn.XLOOKUP($AB$3&amp;"|"&amp;$AB12,anSM_Seg&amp;"|"&amp;anSM_YM,anSM_MoM,""),IF(ISBLANK(_xlpm.r),"",_xlpm.r)))</f>
        <v/>
      </c>
      <c r="AE12" s="122" t="str" cm="1">
        <f t="array" ref="AE12">IF($AB12="","",_xlfn.LET(_xlpm.r,_xlfn.XLOOKUP($AB$3&amp;"|"&amp;$AB12,anSM_Seg&amp;"|"&amp;anSM_YM,anSM_Cases,""),IF(ISBLANK(_xlpm.r),"",_xlpm.r)))</f>
        <v/>
      </c>
      <c r="AF12" s="122" t="str" cm="1">
        <f t="array" ref="AF12">IF($AB12="","",_xlfn.LET(_xlpm.r,_xlfn.XLOOKUP($AB$3&amp;"|"&amp;$AB12,anSM_Seg&amp;"|"&amp;anSM_YM,anSM_Mean,""),IF(ISBLANK(_xlpm.r),"",_xlpm.r)))</f>
        <v/>
      </c>
      <c r="AG12" s="122" t="str" cm="1">
        <f t="array" ref="AG12">IF($AB12="","",_xlfn.LET(_xlpm.r,_xlfn.XLOOKUP($AB$3&amp;"|"&amp;$AB12,anSM_Seg&amp;"|"&amp;anSM_YM,anSM_P90,""),IF(ISBLANK(_xlpm.r),"",_xlpm.r)))</f>
        <v/>
      </c>
      <c r="AH12" s="122" t="str" cm="1">
        <f t="array" ref="AH12">IF($AB12="","",_xlfn.LET(_xlpm.r,_xlfn.XLOOKUP($AB$3&amp;"|"&amp;$AB12,anSM_Seg&amp;"|"&amp;anSM_YM,anSM_LagP50,""),IF(ISBLANK(_xlpm.r),"",_xlpm.r)))</f>
        <v/>
      </c>
      <c r="AI12" s="122" t="str" cm="1">
        <f t="array" ref="AI12">IF($AB12="","",_xlfn.LET(_xlpm.r,_xlfn.XLOOKUP($AB$3&amp;"|"&amp;$AB12,anSM_Seg&amp;"|"&amp;anSM_YM,anSM_SLA,""),IF(ISBLANK(_xlpm.r),"",_xlpm.r)))</f>
        <v/>
      </c>
      <c r="AJ12" s="122" t="str" cm="1">
        <f t="array" ref="AJ12">IF($AB12="","",_xlfn.LET(_xlpm.r,_xlfn.XLOOKUP($AB$3&amp;"|"&amp;$AB12,anSM_Seg&amp;"|"&amp;anSM_YM,anSM_Lines,""),IF(ISBLANK(_xlpm.r),"",_xlpm.r)))</f>
        <v/>
      </c>
      <c r="AK12" s="122" t="str" cm="1">
        <f t="array" ref="AK12">IF($AB12="","",_xlfn.LET(_xlpm.r,_xlfn.XLOOKUP($AB$3&amp;"|"&amp;$AB12,anSM_Seg&amp;"|"&amp;anSM_YM,anSM_PM,""),IF(ISBLANK(_xlpm.r),"",_xlpm.r)))</f>
        <v/>
      </c>
      <c r="AL12" s="122" t="str">
        <f t="shared" si="0"/>
        <v/>
      </c>
      <c r="AM12" s="122" t="str">
        <f t="shared" si="1"/>
        <v/>
      </c>
      <c r="AN12" s="122" t="str">
        <f t="shared" si="2"/>
        <v/>
      </c>
      <c r="AQ12" s="122" cm="1">
        <f t="array" ref="AQ12">SUMPRODUCT(((LEFT($AT$8:$AT$13,5)="WATCH")+(LEFT($AT$8:$AT$13,5)="ALERT"))*(RIGHT($AT$8:$AT$13,1)&lt;&gt;"*"))</f>
        <v>0</v>
      </c>
      <c r="AS12" s="122" t="str">
        <f>_xlfn.XLOOKUP("AN_T_LAG",tblUIText[Key],tblUIText[TR],"AN_T_LAG")&amp;" / "&amp;_xlfn.XLOOKUP("AN_T_LAG",tblUIText[Key],tblUIText[EN],"")</f>
        <v>Hasar→ödeme P50 (gün) / Loss→payment P50 (days)</v>
      </c>
      <c r="AT12" s="122" t="str">
        <f>$N$13</f>
        <v>INSUFFICIENT DATA</v>
      </c>
    </row>
    <row r="13" spans="2:48">
      <c r="B13" s="261" t="str">
        <f>$AU$10</f>
        <v>INSUFFICIENT DATA</v>
      </c>
      <c r="C13" s="262"/>
      <c r="D13" s="263"/>
      <c r="E13" s="261" t="str" cm="1">
        <f t="array" ref="E13">_xlfn.LET(_xlpm.m,_xlfn.XLOOKUP("CT02",tblThreshold[KPI_ID],tblThreshold[Method],""),_xlpm.rs,_xlfn.XLOOKUP("CT02",tblThreshold[KPI_ID],tblThreshold[Status],""),_xlpm.wl,_xlfn.XLOOKUP("CT02",tblThreshold[KPI_ID],tblThreshold[WatchLevel],""),_xlpm.al,_xlfn.XLOOKUP("CT02",tblThreshold[KPI_ID],tblThreshold[AlertLevel],""),_xlpm.mm,_xlfn.XLOOKUP("CT02",tblThreshold[KPI_ID],tblThreshold[MinMonths],0),_xlpm.mn,_xlfn.XLOOKUP("CT02",tblThreshold[KPI_ID],tblThreshold[MinN],0),_xlpm.per,IF(ISNUMBER(SEARCH("WATCH: 2",_xlfn.XLOOKUP("CT02",tblThreshold[KPI_ID],tblThreshold[Persistence],""))),2,1),_xlpm.hr,$AE$8:$AE$30,_xlpm.h,_xlfn._xlws.FILTER(_xlpm.hr,ISNUMBER(_xlpm.hr),""),_xlpm.x,$AE$31,_xlpm.xp,$AE$30,_xlpm.n,$AE$31,_xlpm.side,IF(LEFT("CT02",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v>
      </c>
      <c r="F13" s="262"/>
      <c r="G13" s="263"/>
      <c r="H13" s="261" t="str" cm="1">
        <f t="array" ref="H13">_xlfn.LET(_xlpm.m,_xlfn.XLOOKUP("AV01",tblThreshold[KPI_ID],tblThreshold[Method],""),_xlpm.rs,_xlfn.XLOOKUP("AV01",tblThreshold[KPI_ID],tblThreshold[Status],""),_xlpm.wl,_xlfn.XLOOKUP("AV01",tblThreshold[KPI_ID],tblThreshold[WatchLevel],""),_xlpm.al,_xlfn.XLOOKUP("AV01",tblThreshold[KPI_ID],tblThreshold[AlertLevel],""),_xlpm.mm,_xlfn.XLOOKUP("AV01",tblThreshold[KPI_ID],tblThreshold[MinMonths],0),_xlpm.mn,_xlfn.XLOOKUP("AV01",tblThreshold[KPI_ID],tblThreshold[MinN],0),_xlpm.per,IF(ISNUMBER(SEARCH("WATCH: 2",_xlfn.XLOOKUP("AV01",tblThreshold[KPI_ID],tblThreshold[Persistence],""))),2,1),_xlpm.hr,$AF$8:$AF$30,_xlpm.h,_xlfn._xlws.FILTER(_xlpm.hr,ISNUMBER(_xlpm.hr),""),_xlpm.x,$AF$31,_xlpm.xp,$AF$30,_xlpm.n,$AE$31,_xlpm.side,IF(LEFT("AV01",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I13" s="262"/>
      <c r="J13" s="263"/>
      <c r="K13" s="261" t="str" cm="1">
        <f t="array" ref="K13">_xlfn.LET(_xlpm.m,_xlfn.XLOOKUP("AV03",tblThreshold[KPI_ID],tblThreshold[Method],""),_xlpm.rs,_xlfn.XLOOKUP("AV03",tblThreshold[KPI_ID],tblThreshold[Status],""),_xlpm.wl,_xlfn.XLOOKUP("AV03",tblThreshold[KPI_ID],tblThreshold[WatchLevel],""),_xlpm.al,_xlfn.XLOOKUP("AV03",tblThreshold[KPI_ID],tblThreshold[AlertLevel],""),_xlpm.mm,_xlfn.XLOOKUP("AV03",tblThreshold[KPI_ID],tblThreshold[MinMonths],0),_xlpm.mn,_xlfn.XLOOKUP("AV03",tblThreshold[KPI_ID],tblThreshold[MinN],0),_xlpm.per,IF(ISNUMBER(SEARCH("WATCH: 2",_xlfn.XLOOKUP("AV03",tblThreshold[KPI_ID],tblThreshold[Persistence],""))),2,1),_xlpm.hr,$AG$8:$AG$30,_xlpm.h,_xlfn._xlws.FILTER(_xlpm.hr,ISNUMBER(_xlpm.hr),""),_xlpm.x,$AG$31,_xlpm.xp,$AG$30,_xlpm.n,$AE$31,_xlpm.side,IF(LEFT("AV03",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L13" s="262"/>
      <c r="M13" s="263"/>
      <c r="N13" s="261" t="str" cm="1">
        <f t="array" ref="N13">_xlfn.LET(_xlpm.m,_xlfn.XLOOKUP("LG06",tblThreshold[KPI_ID],tblThreshold[Method],""),_xlpm.rs,_xlfn.XLOOKUP("LG06",tblThreshold[KPI_ID],tblThreshold[Status],""),_xlpm.wl,_xlfn.XLOOKUP("LG06",tblThreshold[KPI_ID],tblThreshold[WatchLevel],""),_xlpm.al,_xlfn.XLOOKUP("LG06",tblThreshold[KPI_ID],tblThreshold[AlertLevel],""),_xlpm.mm,_xlfn.XLOOKUP("LG06",tblThreshold[KPI_ID],tblThreshold[MinMonths],0),_xlpm.mn,_xlfn.XLOOKUP("LG06",tblThreshold[KPI_ID],tblThreshold[MinN],0),_xlpm.per,IF(ISNUMBER(SEARCH("WATCH: 2",_xlfn.XLOOKUP("LG06",tblThreshold[KPI_ID],tblThreshold[Persistence],""))),2,1),_xlpm.hr,$AH$8:$AH$30,_xlpm.h,_xlfn._xlws.FILTER(_xlpm.hr,ISNUMBER(_xlpm.hr),""),_xlpm.x,$AH$31,_xlpm.xp,$AH$30,_xlpm.n,$AJ$31,_xlpm.side,IF(LEFT("LG06",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O13" s="262"/>
      <c r="P13" s="263"/>
      <c r="Q13" s="261" t="str" cm="1">
        <f t="array" ref="Q13">_xlfn.LET(_xlpm.m,_xlfn.XLOOKUP("LG07",tblThreshold[KPI_ID],tblThreshold[Method],""),_xlpm.rs,_xlfn.XLOOKUP("LG07",tblThreshold[KPI_ID],tblThreshold[Status],""),_xlpm.wl,_xlfn.XLOOKUP("LG07",tblThreshold[KPI_ID],tblThreshold[WatchLevel],""),_xlpm.al,_xlfn.XLOOKUP("LG07",tblThreshold[KPI_ID],tblThreshold[AlertLevel],""),_xlpm.mm,_xlfn.XLOOKUP("LG07",tblThreshold[KPI_ID],tblThreshold[MinMonths],0),_xlpm.mn,_xlfn.XLOOKUP("LG07",tblThreshold[KPI_ID],tblThreshold[MinN],0),_xlpm.per,IF(ISNUMBER(SEARCH("WATCH: 2",_xlfn.XLOOKUP("LG07",tblThreshold[KPI_ID],tblThreshold[Persistence],""))),2,1),_xlpm.hr,$AI$8:$AI$30,_xlpm.h,_xlfn._xlws.FILTER(_xlpm.hr,ISNUMBER(_xlpm.hr),""),_xlpm.x,$AI$31,_xlpm.xp,$AI$30,_xlpm.n,$AJ$31,_xlpm.side,IF(LEFT("LG07",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R13" s="262"/>
      <c r="S13" s="263"/>
      <c r="AB13" s="122" t="str" cm="1">
        <f t="array" ref="AB13">IFERROR(INDEX(_xlfn.ANCHORARRAY($AV$8),$AB$6-24+ROW()-7),"")</f>
        <v/>
      </c>
      <c r="AC13" s="122" t="str" cm="1">
        <f t="array" ref="AC13">IF($AB13="","",_xlfn.LET(_xlpm.r,_xlfn.XLOOKUP($AB$3&amp;"|"&amp;$AB13,anSM_Seg&amp;"|"&amp;anSM_YM,anSM_Paid,""),IF(ISBLANK(_xlpm.r),"",_xlpm.r)))</f>
        <v/>
      </c>
      <c r="AD13" s="122" t="str" cm="1">
        <f t="array" ref="AD13">IF($AB13="","",_xlfn.LET(_xlpm.r,_xlfn.XLOOKUP($AB$3&amp;"|"&amp;$AB13,anSM_Seg&amp;"|"&amp;anSM_YM,anSM_MoM,""),IF(ISBLANK(_xlpm.r),"",_xlpm.r)))</f>
        <v/>
      </c>
      <c r="AE13" s="122" t="str" cm="1">
        <f t="array" ref="AE13">IF($AB13="","",_xlfn.LET(_xlpm.r,_xlfn.XLOOKUP($AB$3&amp;"|"&amp;$AB13,anSM_Seg&amp;"|"&amp;anSM_YM,anSM_Cases,""),IF(ISBLANK(_xlpm.r),"",_xlpm.r)))</f>
        <v/>
      </c>
      <c r="AF13" s="122" t="str" cm="1">
        <f t="array" ref="AF13">IF($AB13="","",_xlfn.LET(_xlpm.r,_xlfn.XLOOKUP($AB$3&amp;"|"&amp;$AB13,anSM_Seg&amp;"|"&amp;anSM_YM,anSM_Mean,""),IF(ISBLANK(_xlpm.r),"",_xlpm.r)))</f>
        <v/>
      </c>
      <c r="AG13" s="122" t="str" cm="1">
        <f t="array" ref="AG13">IF($AB13="","",_xlfn.LET(_xlpm.r,_xlfn.XLOOKUP($AB$3&amp;"|"&amp;$AB13,anSM_Seg&amp;"|"&amp;anSM_YM,anSM_P90,""),IF(ISBLANK(_xlpm.r),"",_xlpm.r)))</f>
        <v/>
      </c>
      <c r="AH13" s="122" t="str" cm="1">
        <f t="array" ref="AH13">IF($AB13="","",_xlfn.LET(_xlpm.r,_xlfn.XLOOKUP($AB$3&amp;"|"&amp;$AB13,anSM_Seg&amp;"|"&amp;anSM_YM,anSM_LagP50,""),IF(ISBLANK(_xlpm.r),"",_xlpm.r)))</f>
        <v/>
      </c>
      <c r="AI13" s="122" t="str" cm="1">
        <f t="array" ref="AI13">IF($AB13="","",_xlfn.LET(_xlpm.r,_xlfn.XLOOKUP($AB$3&amp;"|"&amp;$AB13,anSM_Seg&amp;"|"&amp;anSM_YM,anSM_SLA,""),IF(ISBLANK(_xlpm.r),"",_xlpm.r)))</f>
        <v/>
      </c>
      <c r="AJ13" s="122" t="str" cm="1">
        <f t="array" ref="AJ13">IF($AB13="","",_xlfn.LET(_xlpm.r,_xlfn.XLOOKUP($AB$3&amp;"|"&amp;$AB13,anSM_Seg&amp;"|"&amp;anSM_YM,anSM_Lines,""),IF(ISBLANK(_xlpm.r),"",_xlpm.r)))</f>
        <v/>
      </c>
      <c r="AK13" s="122" t="str" cm="1">
        <f t="array" ref="AK13">IF($AB13="","",_xlfn.LET(_xlpm.r,_xlfn.XLOOKUP($AB$3&amp;"|"&amp;$AB13,anSM_Seg&amp;"|"&amp;anSM_YM,anSM_PM,""),IF(ISBLANK(_xlpm.r),"",_xlpm.r)))</f>
        <v/>
      </c>
      <c r="AL13" s="122" t="str">
        <f t="shared" si="0"/>
        <v/>
      </c>
      <c r="AM13" s="122" t="str">
        <f t="shared" si="1"/>
        <v/>
      </c>
      <c r="AN13" s="122" t="str">
        <f t="shared" si="2"/>
        <v/>
      </c>
      <c r="AS13" s="122" t="str">
        <f>_xlfn.XLOOKUP("AN_T_SLA",tblUIText[Key],tblUIText[TR],"AN_T_SLA")&amp;" / "&amp;_xlfn.XLOOKUP("AN_T_SLA",tblUIText[Key],tblUIText[EN],"")</f>
        <v>Uçtan uca SLA aşımı / SLA breach, end to end</v>
      </c>
      <c r="AT13" s="122" t="str">
        <f>$Q$13</f>
        <v>INSUFFICIENT DATA</v>
      </c>
    </row>
    <row r="14" spans="2:48" ht="30" customHeight="1">
      <c r="B14" s="256" t="str">
        <f>_xlfn.XLOOKUP("AN_T_PAID_NOTE",tblUIText[Key],tblUIText[TR],"AN_T_PAID_NOTE")&amp;" / "&amp;_xlfn.XLOOKUP("AN_T_PAID_NOTE",tblUIText[Key],tblUIText[EN],"")</f>
        <v>TH12 log-z + TH01 aylık kural / TH12 log-z + TH01 MoM rule</v>
      </c>
      <c r="C14" s="257"/>
      <c r="D14" s="258"/>
      <c r="E14" s="256" t="str" cm="1">
        <f t="array" ref="E14">_xlfn.XLOOKUP("CT02",tblThreshold[KPI_ID],tblThreshold[ThresholdID]&amp;" "&amp;tblThreshold[Method],_xlfn.XLOOKUP("AN_NO_THRESHOLD",tblUIText[Key],tblUIText[TR],"AN_NO_THRESHOLD")&amp;" / "&amp;_xlfn.XLOOKUP("AN_NO_THRESHOLD",tblUIText[Key],tblUIText[EN],""))</f>
        <v>eşik yok / no threshold</v>
      </c>
      <c r="F14" s="257"/>
      <c r="G14" s="258"/>
      <c r="H14" s="256" t="str" cm="1">
        <f t="array" ref="H14">_xlfn.XLOOKUP("AV01",tblThreshold[KPI_ID],tblThreshold[ThresholdID]&amp;" "&amp;tblThreshold[Method],_xlfn.XLOOKUP("AN_NO_THRESHOLD",tblUIText[Key],tblUIText[TR],"AN_NO_THRESHOLD")&amp;" / "&amp;_xlfn.XLOOKUP("AN_NO_THRESHOLD",tblUIText[Key],tblUIText[EN],""))</f>
        <v>TH02 STAT_LOGZ</v>
      </c>
      <c r="I14" s="257"/>
      <c r="J14" s="258"/>
      <c r="K14" s="256" t="str" cm="1">
        <f t="array" ref="K14">_xlfn.XLOOKUP("AV03",tblThreshold[KPI_ID],tblThreshold[ThresholdID]&amp;" "&amp;tblThreshold[Method],_xlfn.XLOOKUP("AN_NO_THRESHOLD",tblUIText[Key],tblUIText[TR],"AN_NO_THRESHOLD")&amp;" / "&amp;_xlfn.XLOOKUP("AN_NO_THRESHOLD",tblUIText[Key],tblUIText[EN],""))</f>
        <v>TH03 STAT_LOGZ</v>
      </c>
      <c r="L14" s="257"/>
      <c r="M14" s="258"/>
      <c r="N14" s="256" t="str" cm="1">
        <f t="array" ref="N14">_xlfn.XLOOKUP("LG06",tblThreshold[KPI_ID],tblThreshold[ThresholdID]&amp;" "&amp;tblThreshold[Method],_xlfn.XLOOKUP("AN_NO_THRESHOLD",tblUIText[Key],tblUIText[TR],"AN_NO_THRESHOLD")&amp;" / "&amp;_xlfn.XLOOKUP("AN_NO_THRESHOLD",tblUIText[Key],tblUIText[EN],""))</f>
        <v>TH04 STAT_PCT</v>
      </c>
      <c r="O14" s="257"/>
      <c r="P14" s="258"/>
      <c r="Q14" s="256" t="str" cm="1">
        <f t="array" ref="Q14">_xlfn.XLOOKUP("LG07",tblThreshold[KPI_ID],tblThreshold[ThresholdID]&amp;" "&amp;tblThreshold[Method],"")&amp;" · "&amp;_xlfn.XLOOKUP("AN_SLA_SHORT",tblUIText[Key],tblUIText[TR],"AN_SLA_SHORT")&amp;" / "&amp;_xlfn.XLOOKUP("AN_SLA_SHORT",tblUIText[Key],tblUIText[EN],"")</f>
        <v>TH05 FIXED · SLA geçici değer / SLA placeholder</v>
      </c>
      <c r="R14" s="257"/>
      <c r="S14" s="258"/>
      <c r="AB14" s="122" t="str" cm="1">
        <f t="array" ref="AB14">IFERROR(INDEX(_xlfn.ANCHORARRAY($AV$8),$AB$6-24+ROW()-7),"")</f>
        <v/>
      </c>
      <c r="AC14" s="122" t="str" cm="1">
        <f t="array" ref="AC14">IF($AB14="","",_xlfn.LET(_xlpm.r,_xlfn.XLOOKUP($AB$3&amp;"|"&amp;$AB14,anSM_Seg&amp;"|"&amp;anSM_YM,anSM_Paid,""),IF(ISBLANK(_xlpm.r),"",_xlpm.r)))</f>
        <v/>
      </c>
      <c r="AD14" s="122" t="str" cm="1">
        <f t="array" ref="AD14">IF($AB14="","",_xlfn.LET(_xlpm.r,_xlfn.XLOOKUP($AB$3&amp;"|"&amp;$AB14,anSM_Seg&amp;"|"&amp;anSM_YM,anSM_MoM,""),IF(ISBLANK(_xlpm.r),"",_xlpm.r)))</f>
        <v/>
      </c>
      <c r="AE14" s="122" t="str" cm="1">
        <f t="array" ref="AE14">IF($AB14="","",_xlfn.LET(_xlpm.r,_xlfn.XLOOKUP($AB$3&amp;"|"&amp;$AB14,anSM_Seg&amp;"|"&amp;anSM_YM,anSM_Cases,""),IF(ISBLANK(_xlpm.r),"",_xlpm.r)))</f>
        <v/>
      </c>
      <c r="AF14" s="122" t="str" cm="1">
        <f t="array" ref="AF14">IF($AB14="","",_xlfn.LET(_xlpm.r,_xlfn.XLOOKUP($AB$3&amp;"|"&amp;$AB14,anSM_Seg&amp;"|"&amp;anSM_YM,anSM_Mean,""),IF(ISBLANK(_xlpm.r),"",_xlpm.r)))</f>
        <v/>
      </c>
      <c r="AG14" s="122" t="str" cm="1">
        <f t="array" ref="AG14">IF($AB14="","",_xlfn.LET(_xlpm.r,_xlfn.XLOOKUP($AB$3&amp;"|"&amp;$AB14,anSM_Seg&amp;"|"&amp;anSM_YM,anSM_P90,""),IF(ISBLANK(_xlpm.r),"",_xlpm.r)))</f>
        <v/>
      </c>
      <c r="AH14" s="122" t="str" cm="1">
        <f t="array" ref="AH14">IF($AB14="","",_xlfn.LET(_xlpm.r,_xlfn.XLOOKUP($AB$3&amp;"|"&amp;$AB14,anSM_Seg&amp;"|"&amp;anSM_YM,anSM_LagP50,""),IF(ISBLANK(_xlpm.r),"",_xlpm.r)))</f>
        <v/>
      </c>
      <c r="AI14" s="122" t="str" cm="1">
        <f t="array" ref="AI14">IF($AB14="","",_xlfn.LET(_xlpm.r,_xlfn.XLOOKUP($AB$3&amp;"|"&amp;$AB14,anSM_Seg&amp;"|"&amp;anSM_YM,anSM_SLA,""),IF(ISBLANK(_xlpm.r),"",_xlpm.r)))</f>
        <v/>
      </c>
      <c r="AJ14" s="122" t="str" cm="1">
        <f t="array" ref="AJ14">IF($AB14="","",_xlfn.LET(_xlpm.r,_xlfn.XLOOKUP($AB$3&amp;"|"&amp;$AB14,anSM_Seg&amp;"|"&amp;anSM_YM,anSM_Lines,""),IF(ISBLANK(_xlpm.r),"",_xlpm.r)))</f>
        <v/>
      </c>
      <c r="AK14" s="122" t="str" cm="1">
        <f t="array" ref="AK14">IF($AB14="","",_xlfn.LET(_xlpm.r,_xlfn.XLOOKUP($AB$3&amp;"|"&amp;$AB14,anSM_Seg&amp;"|"&amp;anSM_YM,anSM_PM,""),IF(ISBLANK(_xlpm.r),"",_xlpm.r)))</f>
        <v/>
      </c>
      <c r="AL14" s="122" t="str">
        <f t="shared" si="0"/>
        <v/>
      </c>
      <c r="AM14" s="122" t="str">
        <f t="shared" si="1"/>
        <v/>
      </c>
      <c r="AN14" s="122" t="str">
        <f t="shared" si="2"/>
        <v/>
      </c>
      <c r="AQ14" s="122" t="str">
        <f>_xlfn.XLOOKUP("AN_TREND_TITLE",tblUIText[Key],tblUIText[TR],"AN_TREND_TITLE")&amp;" / "&amp;_xlfn.XLOOKUP("AN_TREND_TITLE",tblUIText[Key],tblUIText[EN],"")</f>
        <v>Aylık ödenen (mn TL), medyan ve olağan bant (log ölçekte medyan ± k robust sapma) / Monthly paid (TRY m), median and normal band (median ± k robust SD on the log scale)</v>
      </c>
    </row>
    <row r="15" spans="2:48">
      <c r="AB15" s="122" t="str" cm="1">
        <f t="array" ref="AB15">IFERROR(INDEX(_xlfn.ANCHORARRAY($AV$8),$AB$6-24+ROW()-7),"")</f>
        <v/>
      </c>
      <c r="AC15" s="122" t="str" cm="1">
        <f t="array" ref="AC15">IF($AB15="","",_xlfn.LET(_xlpm.r,_xlfn.XLOOKUP($AB$3&amp;"|"&amp;$AB15,anSM_Seg&amp;"|"&amp;anSM_YM,anSM_Paid,""),IF(ISBLANK(_xlpm.r),"",_xlpm.r)))</f>
        <v/>
      </c>
      <c r="AD15" s="122" t="str" cm="1">
        <f t="array" ref="AD15">IF($AB15="","",_xlfn.LET(_xlpm.r,_xlfn.XLOOKUP($AB$3&amp;"|"&amp;$AB15,anSM_Seg&amp;"|"&amp;anSM_YM,anSM_MoM,""),IF(ISBLANK(_xlpm.r),"",_xlpm.r)))</f>
        <v/>
      </c>
      <c r="AE15" s="122" t="str" cm="1">
        <f t="array" ref="AE15">IF($AB15="","",_xlfn.LET(_xlpm.r,_xlfn.XLOOKUP($AB$3&amp;"|"&amp;$AB15,anSM_Seg&amp;"|"&amp;anSM_YM,anSM_Cases,""),IF(ISBLANK(_xlpm.r),"",_xlpm.r)))</f>
        <v/>
      </c>
      <c r="AF15" s="122" t="str" cm="1">
        <f t="array" ref="AF15">IF($AB15="","",_xlfn.LET(_xlpm.r,_xlfn.XLOOKUP($AB$3&amp;"|"&amp;$AB15,anSM_Seg&amp;"|"&amp;anSM_YM,anSM_Mean,""),IF(ISBLANK(_xlpm.r),"",_xlpm.r)))</f>
        <v/>
      </c>
      <c r="AG15" s="122" t="str" cm="1">
        <f t="array" ref="AG15">IF($AB15="","",_xlfn.LET(_xlpm.r,_xlfn.XLOOKUP($AB$3&amp;"|"&amp;$AB15,anSM_Seg&amp;"|"&amp;anSM_YM,anSM_P90,""),IF(ISBLANK(_xlpm.r),"",_xlpm.r)))</f>
        <v/>
      </c>
      <c r="AH15" s="122" t="str" cm="1">
        <f t="array" ref="AH15">IF($AB15="","",_xlfn.LET(_xlpm.r,_xlfn.XLOOKUP($AB$3&amp;"|"&amp;$AB15,anSM_Seg&amp;"|"&amp;anSM_YM,anSM_LagP50,""),IF(ISBLANK(_xlpm.r),"",_xlpm.r)))</f>
        <v/>
      </c>
      <c r="AI15" s="122" t="str" cm="1">
        <f t="array" ref="AI15">IF($AB15="","",_xlfn.LET(_xlpm.r,_xlfn.XLOOKUP($AB$3&amp;"|"&amp;$AB15,anSM_Seg&amp;"|"&amp;anSM_YM,anSM_SLA,""),IF(ISBLANK(_xlpm.r),"",_xlpm.r)))</f>
        <v/>
      </c>
      <c r="AJ15" s="122" t="str" cm="1">
        <f t="array" ref="AJ15">IF($AB15="","",_xlfn.LET(_xlpm.r,_xlfn.XLOOKUP($AB$3&amp;"|"&amp;$AB15,anSM_Seg&amp;"|"&amp;anSM_YM,anSM_Lines,""),IF(ISBLANK(_xlpm.r),"",_xlpm.r)))</f>
        <v/>
      </c>
      <c r="AK15" s="122" t="str" cm="1">
        <f t="array" ref="AK15">IF($AB15="","",_xlfn.LET(_xlpm.r,_xlfn.XLOOKUP($AB$3&amp;"|"&amp;$AB15,anSM_Seg&amp;"|"&amp;anSM_YM,anSM_PM,""),IF(ISBLANK(_xlpm.r),"",_xlpm.r)))</f>
        <v/>
      </c>
      <c r="AL15" s="122" t="str">
        <f t="shared" si="0"/>
        <v/>
      </c>
      <c r="AM15" s="122" t="str">
        <f t="shared" si="1"/>
        <v/>
      </c>
      <c r="AN15" s="122" t="str">
        <f t="shared" si="2"/>
        <v/>
      </c>
    </row>
    <row r="16" spans="2:48" ht="21.95" customHeight="1">
      <c r="M16" s="264" t="str">
        <f>_xlfn.XLOOKUP("AN_MOVERS",tblUIText[Key],tblUIText[TR],"AN_MOVERS")&amp;" / "&amp;_xlfn.XLOOKUP("AN_MOVERS",tblUIText[Key],tblUIText[EN],"")</f>
        <v>En çok değişen ödeme nedenleri (önceki aya göre, mn TL) / Top movers by reason code (vs previous month, TRY m)</v>
      </c>
      <c r="N16" s="265"/>
      <c r="O16" s="265"/>
      <c r="P16" s="265"/>
      <c r="Q16" s="265"/>
      <c r="R16" s="265"/>
      <c r="S16" s="265"/>
      <c r="AB16" s="122" t="str" cm="1">
        <f t="array" ref="AB16">IFERROR(INDEX(_xlfn.ANCHORARRAY($AV$8),$AB$6-24+ROW()-7),"")</f>
        <v/>
      </c>
      <c r="AC16" s="122" t="str" cm="1">
        <f t="array" ref="AC16">IF($AB16="","",_xlfn.LET(_xlpm.r,_xlfn.XLOOKUP($AB$3&amp;"|"&amp;$AB16,anSM_Seg&amp;"|"&amp;anSM_YM,anSM_Paid,""),IF(ISBLANK(_xlpm.r),"",_xlpm.r)))</f>
        <v/>
      </c>
      <c r="AD16" s="122" t="str" cm="1">
        <f t="array" ref="AD16">IF($AB16="","",_xlfn.LET(_xlpm.r,_xlfn.XLOOKUP($AB$3&amp;"|"&amp;$AB16,anSM_Seg&amp;"|"&amp;anSM_YM,anSM_MoM,""),IF(ISBLANK(_xlpm.r),"",_xlpm.r)))</f>
        <v/>
      </c>
      <c r="AE16" s="122" t="str" cm="1">
        <f t="array" ref="AE16">IF($AB16="","",_xlfn.LET(_xlpm.r,_xlfn.XLOOKUP($AB$3&amp;"|"&amp;$AB16,anSM_Seg&amp;"|"&amp;anSM_YM,anSM_Cases,""),IF(ISBLANK(_xlpm.r),"",_xlpm.r)))</f>
        <v/>
      </c>
      <c r="AF16" s="122" t="str" cm="1">
        <f t="array" ref="AF16">IF($AB16="","",_xlfn.LET(_xlpm.r,_xlfn.XLOOKUP($AB$3&amp;"|"&amp;$AB16,anSM_Seg&amp;"|"&amp;anSM_YM,anSM_Mean,""),IF(ISBLANK(_xlpm.r),"",_xlpm.r)))</f>
        <v/>
      </c>
      <c r="AG16" s="122" t="str" cm="1">
        <f t="array" ref="AG16">IF($AB16="","",_xlfn.LET(_xlpm.r,_xlfn.XLOOKUP($AB$3&amp;"|"&amp;$AB16,anSM_Seg&amp;"|"&amp;anSM_YM,anSM_P90,""),IF(ISBLANK(_xlpm.r),"",_xlpm.r)))</f>
        <v/>
      </c>
      <c r="AH16" s="122" t="str" cm="1">
        <f t="array" ref="AH16">IF($AB16="","",_xlfn.LET(_xlpm.r,_xlfn.XLOOKUP($AB$3&amp;"|"&amp;$AB16,anSM_Seg&amp;"|"&amp;anSM_YM,anSM_LagP50,""),IF(ISBLANK(_xlpm.r),"",_xlpm.r)))</f>
        <v/>
      </c>
      <c r="AI16" s="122" t="str" cm="1">
        <f t="array" ref="AI16">IF($AB16="","",_xlfn.LET(_xlpm.r,_xlfn.XLOOKUP($AB$3&amp;"|"&amp;$AB16,anSM_Seg&amp;"|"&amp;anSM_YM,anSM_SLA,""),IF(ISBLANK(_xlpm.r),"",_xlpm.r)))</f>
        <v/>
      </c>
      <c r="AJ16" s="122" t="str" cm="1">
        <f t="array" ref="AJ16">IF($AB16="","",_xlfn.LET(_xlpm.r,_xlfn.XLOOKUP($AB$3&amp;"|"&amp;$AB16,anSM_Seg&amp;"|"&amp;anSM_YM,anSM_Lines,""),IF(ISBLANK(_xlpm.r),"",_xlpm.r)))</f>
        <v/>
      </c>
      <c r="AK16" s="122" t="str" cm="1">
        <f t="array" ref="AK16">IF($AB16="","",_xlfn.LET(_xlpm.r,_xlfn.XLOOKUP($AB$3&amp;"|"&amp;$AB16,anSM_Seg&amp;"|"&amp;anSM_YM,anSM_PM,""),IF(ISBLANK(_xlpm.r),"",_xlpm.r)))</f>
        <v/>
      </c>
      <c r="AL16" s="122" t="str">
        <f t="shared" si="0"/>
        <v/>
      </c>
      <c r="AM16" s="122" t="str">
        <f t="shared" si="1"/>
        <v/>
      </c>
      <c r="AN16" s="122" t="str">
        <f t="shared" si="2"/>
        <v/>
      </c>
    </row>
    <row r="17" spans="13:40" ht="24" customHeight="1">
      <c r="M17" s="132" t="str">
        <f>_xlfn.XLOOKUP("AN_COL_REASON",tblUIText[Key],tblUIText[TR],"AN_COL_REASON")&amp;" / "&amp;_xlfn.XLOOKUP("AN_COL_REASON",tblUIText[Key],tblUIText[EN],"")</f>
        <v>Neden / Reason</v>
      </c>
      <c r="N17" s="132" t="str">
        <f>_xlfn.XLOOKUP("AN_COL_PREV",tblUIText[Key],tblUIText[TR],"AN_COL_PREV")&amp;" / "&amp;_xlfn.XLOOKUP("AN_COL_PREV",tblUIText[Key],tblUIText[EN],"")</f>
        <v>Önceki / Previous</v>
      </c>
      <c r="O17" s="132" t="str">
        <f>_xlfn.XLOOKUP("AN_COL_CUR",tblUIText[Key],tblUIText[TR],"AN_COL_CUR")&amp;" / "&amp;_xlfn.XLOOKUP("AN_COL_CUR",tblUIText[Key],tblUIText[EN],"")</f>
        <v>Bu ay / This month</v>
      </c>
      <c r="P17" s="132" t="str">
        <f>_xlfn.XLOOKUP("AN_COL_CHANGE",tblUIText[Key],tblUIText[TR],"AN_COL_CHANGE")&amp;" / "&amp;_xlfn.XLOOKUP("AN_COL_CHANGE",tblUIText[Key],tblUIText[EN],"")</f>
        <v>Fark / Change</v>
      </c>
      <c r="Q17" s="133" t="s">
        <v>19104</v>
      </c>
      <c r="AB17" s="122" t="str" cm="1">
        <f t="array" ref="AB17">IFERROR(INDEX(_xlfn.ANCHORARRAY($AV$8),$AB$6-24+ROW()-7),"")</f>
        <v/>
      </c>
      <c r="AC17" s="122" t="str" cm="1">
        <f t="array" ref="AC17">IF($AB17="","",_xlfn.LET(_xlpm.r,_xlfn.XLOOKUP($AB$3&amp;"|"&amp;$AB17,anSM_Seg&amp;"|"&amp;anSM_YM,anSM_Paid,""),IF(ISBLANK(_xlpm.r),"",_xlpm.r)))</f>
        <v/>
      </c>
      <c r="AD17" s="122" t="str" cm="1">
        <f t="array" ref="AD17">IF($AB17="","",_xlfn.LET(_xlpm.r,_xlfn.XLOOKUP($AB$3&amp;"|"&amp;$AB17,anSM_Seg&amp;"|"&amp;anSM_YM,anSM_MoM,""),IF(ISBLANK(_xlpm.r),"",_xlpm.r)))</f>
        <v/>
      </c>
      <c r="AE17" s="122" t="str" cm="1">
        <f t="array" ref="AE17">IF($AB17="","",_xlfn.LET(_xlpm.r,_xlfn.XLOOKUP($AB$3&amp;"|"&amp;$AB17,anSM_Seg&amp;"|"&amp;anSM_YM,anSM_Cases,""),IF(ISBLANK(_xlpm.r),"",_xlpm.r)))</f>
        <v/>
      </c>
      <c r="AF17" s="122" t="str" cm="1">
        <f t="array" ref="AF17">IF($AB17="","",_xlfn.LET(_xlpm.r,_xlfn.XLOOKUP($AB$3&amp;"|"&amp;$AB17,anSM_Seg&amp;"|"&amp;anSM_YM,anSM_Mean,""),IF(ISBLANK(_xlpm.r),"",_xlpm.r)))</f>
        <v/>
      </c>
      <c r="AG17" s="122" t="str" cm="1">
        <f t="array" ref="AG17">IF($AB17="","",_xlfn.LET(_xlpm.r,_xlfn.XLOOKUP($AB$3&amp;"|"&amp;$AB17,anSM_Seg&amp;"|"&amp;anSM_YM,anSM_P90,""),IF(ISBLANK(_xlpm.r),"",_xlpm.r)))</f>
        <v/>
      </c>
      <c r="AH17" s="122" t="str" cm="1">
        <f t="array" ref="AH17">IF($AB17="","",_xlfn.LET(_xlpm.r,_xlfn.XLOOKUP($AB$3&amp;"|"&amp;$AB17,anSM_Seg&amp;"|"&amp;anSM_YM,anSM_LagP50,""),IF(ISBLANK(_xlpm.r),"",_xlpm.r)))</f>
        <v/>
      </c>
      <c r="AI17" s="122" t="str" cm="1">
        <f t="array" ref="AI17">IF($AB17="","",_xlfn.LET(_xlpm.r,_xlfn.XLOOKUP($AB$3&amp;"|"&amp;$AB17,anSM_Seg&amp;"|"&amp;anSM_YM,anSM_SLA,""),IF(ISBLANK(_xlpm.r),"",_xlpm.r)))</f>
        <v/>
      </c>
      <c r="AJ17" s="122" t="str" cm="1">
        <f t="array" ref="AJ17">IF($AB17="","",_xlfn.LET(_xlpm.r,_xlfn.XLOOKUP($AB$3&amp;"|"&amp;$AB17,anSM_Seg&amp;"|"&amp;anSM_YM,anSM_Lines,""),IF(ISBLANK(_xlpm.r),"",_xlpm.r)))</f>
        <v/>
      </c>
      <c r="AK17" s="122" t="str" cm="1">
        <f t="array" ref="AK17">IF($AB17="","",_xlfn.LET(_xlpm.r,_xlfn.XLOOKUP($AB$3&amp;"|"&amp;$AB17,anSM_Seg&amp;"|"&amp;anSM_YM,anSM_PM,""),IF(ISBLANK(_xlpm.r),"",_xlpm.r)))</f>
        <v/>
      </c>
      <c r="AL17" s="122" t="str">
        <f t="shared" si="0"/>
        <v/>
      </c>
      <c r="AM17" s="122" t="str">
        <f t="shared" si="1"/>
        <v/>
      </c>
      <c r="AN17" s="122" t="str">
        <f t="shared" si="2"/>
        <v/>
      </c>
    </row>
    <row r="18" spans="13:40" ht="27" customHeight="1">
      <c r="M18" s="174" t="str" cm="1">
        <f t="array" ref="M18">_xlfn.LET(_xlpm.seg,$AB$3,_xlpm.m,$AB$5,_xlpm.pv,$AB$30,_xlpm.rc,_xlfn.UNIQUE(_xlfn._xlws.FILTER(anNAT_Reason,(anNAT_Seg=_xlpm.seg)*((anNAT_YM=_xlpm.m)+(anNAT_YM=_xlpm.pv))*(anNAT_Reason&lt;&gt;""),"")),IF(INDEX(_xlpm.rc,1)="","",_xlfn.LET(_xlpm.cur,SUMIFS(anNAT_Paid,anNAT_Seg,_xlpm.seg,anNAT_YM,_xlpm.m,anNAT_Reason,_xlpm.rc),_xlpm.prv,SUMIFS(anNAT_Paid,anNAT_Seg,_xlpm.seg,anNAT_YM,_xlpm.pv,anNAT_Reason,_xlpm.rc),_xlpm.d,_xlpm.cur-_xlpm.prv,_xlpm.ms,_xlfn.XLOOKUP("MomMaterialityShare",AnParam[Param],AnParam[Value],0.01)*SUM(_xlpm.prv),_xlpm.lab,IFERROR(_xlfn.XLOOKUP(_xlpm.rc,DimPaymentNature[ReasonCode],DimPaymentNature[DescriptionTR])&amp;" / "&amp;_xlfn.XLOOKUP(_xlpm.rc,DimPaymentNature[ReasonCode],DimPaymentNature[DescriptionEN]),_xlpm.rc),_xlpm.s,_xlfn.SORTBY(_xlfn.HSTACK(_xlpm.lab,_xlfn.MAP(_xlpm.prv,_xlfn.LAMBDA(_xlpm.v,anNum(_xlpm.v/1000000,2))),_xlfn.MAP(_xlpm.cur,_xlfn.LAMBDA(_xlpm.v,anNum(_xlpm.v/1000000,2))),_xlfn.MAP(_xlpm.d,_xlfn.LAMBDA(_xlpm.v,anSgn(_xlpm.v/1000000,2))),_xlfn.MAP(_xlpm.prv,_xlpm.d,_xlfn.LAMBDA(_xlpm.v,_xlpm.w,IF(_xlpm.v&gt;_xlpm.ms,anPctS(_xlpm.w/_xlpm.v,0),"n.a.")))),ABS(_xlpm.d),-1),_xlfn.TAKE(_xlpm.s,MIN(6,ROWS(_xlpm.s))))))</f>
        <v/>
      </c>
      <c r="N18" s="175"/>
      <c r="O18" s="175"/>
      <c r="P18" s="175"/>
      <c r="Q18" s="175"/>
      <c r="AB18" s="122" t="str" cm="1">
        <f t="array" ref="AB18">IFERROR(INDEX(_xlfn.ANCHORARRAY($AV$8),$AB$6-24+ROW()-7),"")</f>
        <v/>
      </c>
      <c r="AC18" s="122" t="str" cm="1">
        <f t="array" ref="AC18">IF($AB18="","",_xlfn.LET(_xlpm.r,_xlfn.XLOOKUP($AB$3&amp;"|"&amp;$AB18,anSM_Seg&amp;"|"&amp;anSM_YM,anSM_Paid,""),IF(ISBLANK(_xlpm.r),"",_xlpm.r)))</f>
        <v/>
      </c>
      <c r="AD18" s="122" t="str" cm="1">
        <f t="array" ref="AD18">IF($AB18="","",_xlfn.LET(_xlpm.r,_xlfn.XLOOKUP($AB$3&amp;"|"&amp;$AB18,anSM_Seg&amp;"|"&amp;anSM_YM,anSM_MoM,""),IF(ISBLANK(_xlpm.r),"",_xlpm.r)))</f>
        <v/>
      </c>
      <c r="AE18" s="122" t="str" cm="1">
        <f t="array" ref="AE18">IF($AB18="","",_xlfn.LET(_xlpm.r,_xlfn.XLOOKUP($AB$3&amp;"|"&amp;$AB18,anSM_Seg&amp;"|"&amp;anSM_YM,anSM_Cases,""),IF(ISBLANK(_xlpm.r),"",_xlpm.r)))</f>
        <v/>
      </c>
      <c r="AF18" s="122" t="str" cm="1">
        <f t="array" ref="AF18">IF($AB18="","",_xlfn.LET(_xlpm.r,_xlfn.XLOOKUP($AB$3&amp;"|"&amp;$AB18,anSM_Seg&amp;"|"&amp;anSM_YM,anSM_Mean,""),IF(ISBLANK(_xlpm.r),"",_xlpm.r)))</f>
        <v/>
      </c>
      <c r="AG18" s="122" t="str" cm="1">
        <f t="array" ref="AG18">IF($AB18="","",_xlfn.LET(_xlpm.r,_xlfn.XLOOKUP($AB$3&amp;"|"&amp;$AB18,anSM_Seg&amp;"|"&amp;anSM_YM,anSM_P90,""),IF(ISBLANK(_xlpm.r),"",_xlpm.r)))</f>
        <v/>
      </c>
      <c r="AH18" s="122" t="str" cm="1">
        <f t="array" ref="AH18">IF($AB18="","",_xlfn.LET(_xlpm.r,_xlfn.XLOOKUP($AB$3&amp;"|"&amp;$AB18,anSM_Seg&amp;"|"&amp;anSM_YM,anSM_LagP50,""),IF(ISBLANK(_xlpm.r),"",_xlpm.r)))</f>
        <v/>
      </c>
      <c r="AI18" s="122" t="str" cm="1">
        <f t="array" ref="AI18">IF($AB18="","",_xlfn.LET(_xlpm.r,_xlfn.XLOOKUP($AB$3&amp;"|"&amp;$AB18,anSM_Seg&amp;"|"&amp;anSM_YM,anSM_SLA,""),IF(ISBLANK(_xlpm.r),"",_xlpm.r)))</f>
        <v/>
      </c>
      <c r="AJ18" s="122" t="str" cm="1">
        <f t="array" ref="AJ18">IF($AB18="","",_xlfn.LET(_xlpm.r,_xlfn.XLOOKUP($AB$3&amp;"|"&amp;$AB18,anSM_Seg&amp;"|"&amp;anSM_YM,anSM_Lines,""),IF(ISBLANK(_xlpm.r),"",_xlpm.r)))</f>
        <v/>
      </c>
      <c r="AK18" s="122" t="str" cm="1">
        <f t="array" ref="AK18">IF($AB18="","",_xlfn.LET(_xlpm.r,_xlfn.XLOOKUP($AB$3&amp;"|"&amp;$AB18,anSM_Seg&amp;"|"&amp;anSM_YM,anSM_PM,""),IF(ISBLANK(_xlpm.r),"",_xlpm.r)))</f>
        <v/>
      </c>
      <c r="AL18" s="122" t="str">
        <f t="shared" si="0"/>
        <v/>
      </c>
      <c r="AM18" s="122" t="str">
        <f t="shared" si="1"/>
        <v/>
      </c>
      <c r="AN18" s="122" t="str">
        <f t="shared" si="2"/>
        <v/>
      </c>
    </row>
    <row r="19" spans="13:40" ht="27" customHeight="1">
      <c r="M19" s="174"/>
      <c r="N19" s="175"/>
      <c r="O19" s="175"/>
      <c r="P19" s="175"/>
      <c r="Q19" s="175"/>
      <c r="AB19" s="122" t="str" cm="1">
        <f t="array" ref="AB19">IFERROR(INDEX(_xlfn.ANCHORARRAY($AV$8),$AB$6-24+ROW()-7),"")</f>
        <v/>
      </c>
      <c r="AC19" s="122" t="str" cm="1">
        <f t="array" ref="AC19">IF($AB19="","",_xlfn.LET(_xlpm.r,_xlfn.XLOOKUP($AB$3&amp;"|"&amp;$AB19,anSM_Seg&amp;"|"&amp;anSM_YM,anSM_Paid,""),IF(ISBLANK(_xlpm.r),"",_xlpm.r)))</f>
        <v/>
      </c>
      <c r="AD19" s="122" t="str" cm="1">
        <f t="array" ref="AD19">IF($AB19="","",_xlfn.LET(_xlpm.r,_xlfn.XLOOKUP($AB$3&amp;"|"&amp;$AB19,anSM_Seg&amp;"|"&amp;anSM_YM,anSM_MoM,""),IF(ISBLANK(_xlpm.r),"",_xlpm.r)))</f>
        <v/>
      </c>
      <c r="AE19" s="122" t="str" cm="1">
        <f t="array" ref="AE19">IF($AB19="","",_xlfn.LET(_xlpm.r,_xlfn.XLOOKUP($AB$3&amp;"|"&amp;$AB19,anSM_Seg&amp;"|"&amp;anSM_YM,anSM_Cases,""),IF(ISBLANK(_xlpm.r),"",_xlpm.r)))</f>
        <v/>
      </c>
      <c r="AF19" s="122" t="str" cm="1">
        <f t="array" ref="AF19">IF($AB19="","",_xlfn.LET(_xlpm.r,_xlfn.XLOOKUP($AB$3&amp;"|"&amp;$AB19,anSM_Seg&amp;"|"&amp;anSM_YM,anSM_Mean,""),IF(ISBLANK(_xlpm.r),"",_xlpm.r)))</f>
        <v/>
      </c>
      <c r="AG19" s="122" t="str" cm="1">
        <f t="array" ref="AG19">IF($AB19="","",_xlfn.LET(_xlpm.r,_xlfn.XLOOKUP($AB$3&amp;"|"&amp;$AB19,anSM_Seg&amp;"|"&amp;anSM_YM,anSM_P90,""),IF(ISBLANK(_xlpm.r),"",_xlpm.r)))</f>
        <v/>
      </c>
      <c r="AH19" s="122" t="str" cm="1">
        <f t="array" ref="AH19">IF($AB19="","",_xlfn.LET(_xlpm.r,_xlfn.XLOOKUP($AB$3&amp;"|"&amp;$AB19,anSM_Seg&amp;"|"&amp;anSM_YM,anSM_LagP50,""),IF(ISBLANK(_xlpm.r),"",_xlpm.r)))</f>
        <v/>
      </c>
      <c r="AI19" s="122" t="str" cm="1">
        <f t="array" ref="AI19">IF($AB19="","",_xlfn.LET(_xlpm.r,_xlfn.XLOOKUP($AB$3&amp;"|"&amp;$AB19,anSM_Seg&amp;"|"&amp;anSM_YM,anSM_SLA,""),IF(ISBLANK(_xlpm.r),"",_xlpm.r)))</f>
        <v/>
      </c>
      <c r="AJ19" s="122" t="str" cm="1">
        <f t="array" ref="AJ19">IF($AB19="","",_xlfn.LET(_xlpm.r,_xlfn.XLOOKUP($AB$3&amp;"|"&amp;$AB19,anSM_Seg&amp;"|"&amp;anSM_YM,anSM_Lines,""),IF(ISBLANK(_xlpm.r),"",_xlpm.r)))</f>
        <v/>
      </c>
      <c r="AK19" s="122" t="str" cm="1">
        <f t="array" ref="AK19">IF($AB19="","",_xlfn.LET(_xlpm.r,_xlfn.XLOOKUP($AB$3&amp;"|"&amp;$AB19,anSM_Seg&amp;"|"&amp;anSM_YM,anSM_PM,""),IF(ISBLANK(_xlpm.r),"",_xlpm.r)))</f>
        <v/>
      </c>
      <c r="AL19" s="122" t="str">
        <f t="shared" si="0"/>
        <v/>
      </c>
      <c r="AM19" s="122" t="str">
        <f t="shared" si="1"/>
        <v/>
      </c>
      <c r="AN19" s="122" t="str">
        <f t="shared" si="2"/>
        <v/>
      </c>
    </row>
    <row r="20" spans="13:40" ht="27" customHeight="1">
      <c r="M20" s="174"/>
      <c r="N20" s="175"/>
      <c r="O20" s="175"/>
      <c r="P20" s="175"/>
      <c r="Q20" s="175"/>
      <c r="AB20" s="122" t="str" cm="1">
        <f t="array" ref="AB20">IFERROR(INDEX(_xlfn.ANCHORARRAY($AV$8),$AB$6-24+ROW()-7),"")</f>
        <v/>
      </c>
      <c r="AC20" s="122" t="str" cm="1">
        <f t="array" ref="AC20">IF($AB20="","",_xlfn.LET(_xlpm.r,_xlfn.XLOOKUP($AB$3&amp;"|"&amp;$AB20,anSM_Seg&amp;"|"&amp;anSM_YM,anSM_Paid,""),IF(ISBLANK(_xlpm.r),"",_xlpm.r)))</f>
        <v/>
      </c>
      <c r="AD20" s="122" t="str" cm="1">
        <f t="array" ref="AD20">IF($AB20="","",_xlfn.LET(_xlpm.r,_xlfn.XLOOKUP($AB$3&amp;"|"&amp;$AB20,anSM_Seg&amp;"|"&amp;anSM_YM,anSM_MoM,""),IF(ISBLANK(_xlpm.r),"",_xlpm.r)))</f>
        <v/>
      </c>
      <c r="AE20" s="122" t="str" cm="1">
        <f t="array" ref="AE20">IF($AB20="","",_xlfn.LET(_xlpm.r,_xlfn.XLOOKUP($AB$3&amp;"|"&amp;$AB20,anSM_Seg&amp;"|"&amp;anSM_YM,anSM_Cases,""),IF(ISBLANK(_xlpm.r),"",_xlpm.r)))</f>
        <v/>
      </c>
      <c r="AF20" s="122" t="str" cm="1">
        <f t="array" ref="AF20">IF($AB20="","",_xlfn.LET(_xlpm.r,_xlfn.XLOOKUP($AB$3&amp;"|"&amp;$AB20,anSM_Seg&amp;"|"&amp;anSM_YM,anSM_Mean,""),IF(ISBLANK(_xlpm.r),"",_xlpm.r)))</f>
        <v/>
      </c>
      <c r="AG20" s="122" t="str" cm="1">
        <f t="array" ref="AG20">IF($AB20="","",_xlfn.LET(_xlpm.r,_xlfn.XLOOKUP($AB$3&amp;"|"&amp;$AB20,anSM_Seg&amp;"|"&amp;anSM_YM,anSM_P90,""),IF(ISBLANK(_xlpm.r),"",_xlpm.r)))</f>
        <v/>
      </c>
      <c r="AH20" s="122" t="str" cm="1">
        <f t="array" ref="AH20">IF($AB20="","",_xlfn.LET(_xlpm.r,_xlfn.XLOOKUP($AB$3&amp;"|"&amp;$AB20,anSM_Seg&amp;"|"&amp;anSM_YM,anSM_LagP50,""),IF(ISBLANK(_xlpm.r),"",_xlpm.r)))</f>
        <v/>
      </c>
      <c r="AI20" s="122" t="str" cm="1">
        <f t="array" ref="AI20">IF($AB20="","",_xlfn.LET(_xlpm.r,_xlfn.XLOOKUP($AB$3&amp;"|"&amp;$AB20,anSM_Seg&amp;"|"&amp;anSM_YM,anSM_SLA,""),IF(ISBLANK(_xlpm.r),"",_xlpm.r)))</f>
        <v/>
      </c>
      <c r="AJ20" s="122" t="str" cm="1">
        <f t="array" ref="AJ20">IF($AB20="","",_xlfn.LET(_xlpm.r,_xlfn.XLOOKUP($AB$3&amp;"|"&amp;$AB20,anSM_Seg&amp;"|"&amp;anSM_YM,anSM_Lines,""),IF(ISBLANK(_xlpm.r),"",_xlpm.r)))</f>
        <v/>
      </c>
      <c r="AK20" s="122" t="str" cm="1">
        <f t="array" ref="AK20">IF($AB20="","",_xlfn.LET(_xlpm.r,_xlfn.XLOOKUP($AB$3&amp;"|"&amp;$AB20,anSM_Seg&amp;"|"&amp;anSM_YM,anSM_PM,""),IF(ISBLANK(_xlpm.r),"",_xlpm.r)))</f>
        <v/>
      </c>
      <c r="AL20" s="122" t="str">
        <f t="shared" si="0"/>
        <v/>
      </c>
      <c r="AM20" s="122" t="str">
        <f t="shared" si="1"/>
        <v/>
      </c>
      <c r="AN20" s="122" t="str">
        <f t="shared" si="2"/>
        <v/>
      </c>
    </row>
    <row r="21" spans="13:40" ht="27" customHeight="1">
      <c r="M21" s="174"/>
      <c r="N21" s="175"/>
      <c r="O21" s="175"/>
      <c r="P21" s="175"/>
      <c r="Q21" s="175"/>
      <c r="AB21" s="122" t="str" cm="1">
        <f t="array" ref="AB21">IFERROR(INDEX(_xlfn.ANCHORARRAY($AV$8),$AB$6-24+ROW()-7),"")</f>
        <v/>
      </c>
      <c r="AC21" s="122" t="str" cm="1">
        <f t="array" ref="AC21">IF($AB21="","",_xlfn.LET(_xlpm.r,_xlfn.XLOOKUP($AB$3&amp;"|"&amp;$AB21,anSM_Seg&amp;"|"&amp;anSM_YM,anSM_Paid,""),IF(ISBLANK(_xlpm.r),"",_xlpm.r)))</f>
        <v/>
      </c>
      <c r="AD21" s="122" t="str" cm="1">
        <f t="array" ref="AD21">IF($AB21="","",_xlfn.LET(_xlpm.r,_xlfn.XLOOKUP($AB$3&amp;"|"&amp;$AB21,anSM_Seg&amp;"|"&amp;anSM_YM,anSM_MoM,""),IF(ISBLANK(_xlpm.r),"",_xlpm.r)))</f>
        <v/>
      </c>
      <c r="AE21" s="122" t="str" cm="1">
        <f t="array" ref="AE21">IF($AB21="","",_xlfn.LET(_xlpm.r,_xlfn.XLOOKUP($AB$3&amp;"|"&amp;$AB21,anSM_Seg&amp;"|"&amp;anSM_YM,anSM_Cases,""),IF(ISBLANK(_xlpm.r),"",_xlpm.r)))</f>
        <v/>
      </c>
      <c r="AF21" s="122" t="str" cm="1">
        <f t="array" ref="AF21">IF($AB21="","",_xlfn.LET(_xlpm.r,_xlfn.XLOOKUP($AB$3&amp;"|"&amp;$AB21,anSM_Seg&amp;"|"&amp;anSM_YM,anSM_Mean,""),IF(ISBLANK(_xlpm.r),"",_xlpm.r)))</f>
        <v/>
      </c>
      <c r="AG21" s="122" t="str" cm="1">
        <f t="array" ref="AG21">IF($AB21="","",_xlfn.LET(_xlpm.r,_xlfn.XLOOKUP($AB$3&amp;"|"&amp;$AB21,anSM_Seg&amp;"|"&amp;anSM_YM,anSM_P90,""),IF(ISBLANK(_xlpm.r),"",_xlpm.r)))</f>
        <v/>
      </c>
      <c r="AH21" s="122" t="str" cm="1">
        <f t="array" ref="AH21">IF($AB21="","",_xlfn.LET(_xlpm.r,_xlfn.XLOOKUP($AB$3&amp;"|"&amp;$AB21,anSM_Seg&amp;"|"&amp;anSM_YM,anSM_LagP50,""),IF(ISBLANK(_xlpm.r),"",_xlpm.r)))</f>
        <v/>
      </c>
      <c r="AI21" s="122" t="str" cm="1">
        <f t="array" ref="AI21">IF($AB21="","",_xlfn.LET(_xlpm.r,_xlfn.XLOOKUP($AB$3&amp;"|"&amp;$AB21,anSM_Seg&amp;"|"&amp;anSM_YM,anSM_SLA,""),IF(ISBLANK(_xlpm.r),"",_xlpm.r)))</f>
        <v/>
      </c>
      <c r="AJ21" s="122" t="str" cm="1">
        <f t="array" ref="AJ21">IF($AB21="","",_xlfn.LET(_xlpm.r,_xlfn.XLOOKUP($AB$3&amp;"|"&amp;$AB21,anSM_Seg&amp;"|"&amp;anSM_YM,anSM_Lines,""),IF(ISBLANK(_xlpm.r),"",_xlpm.r)))</f>
        <v/>
      </c>
      <c r="AK21" s="122" t="str" cm="1">
        <f t="array" ref="AK21">IF($AB21="","",_xlfn.LET(_xlpm.r,_xlfn.XLOOKUP($AB$3&amp;"|"&amp;$AB21,anSM_Seg&amp;"|"&amp;anSM_YM,anSM_PM,""),IF(ISBLANK(_xlpm.r),"",_xlpm.r)))</f>
        <v/>
      </c>
      <c r="AL21" s="122" t="str">
        <f t="shared" si="0"/>
        <v/>
      </c>
      <c r="AM21" s="122" t="str">
        <f t="shared" si="1"/>
        <v/>
      </c>
      <c r="AN21" s="122" t="str">
        <f t="shared" si="2"/>
        <v/>
      </c>
    </row>
    <row r="22" spans="13:40" ht="27" customHeight="1">
      <c r="M22" s="174"/>
      <c r="N22" s="175"/>
      <c r="O22" s="175"/>
      <c r="P22" s="175"/>
      <c r="Q22" s="175"/>
      <c r="AB22" s="122" t="str" cm="1">
        <f t="array" ref="AB22">IFERROR(INDEX(_xlfn.ANCHORARRAY($AV$8),$AB$6-24+ROW()-7),"")</f>
        <v/>
      </c>
      <c r="AC22" s="122" t="str" cm="1">
        <f t="array" ref="AC22">IF($AB22="","",_xlfn.LET(_xlpm.r,_xlfn.XLOOKUP($AB$3&amp;"|"&amp;$AB22,anSM_Seg&amp;"|"&amp;anSM_YM,anSM_Paid,""),IF(ISBLANK(_xlpm.r),"",_xlpm.r)))</f>
        <v/>
      </c>
      <c r="AD22" s="122" t="str" cm="1">
        <f t="array" ref="AD22">IF($AB22="","",_xlfn.LET(_xlpm.r,_xlfn.XLOOKUP($AB$3&amp;"|"&amp;$AB22,anSM_Seg&amp;"|"&amp;anSM_YM,anSM_MoM,""),IF(ISBLANK(_xlpm.r),"",_xlpm.r)))</f>
        <v/>
      </c>
      <c r="AE22" s="122" t="str" cm="1">
        <f t="array" ref="AE22">IF($AB22="","",_xlfn.LET(_xlpm.r,_xlfn.XLOOKUP($AB$3&amp;"|"&amp;$AB22,anSM_Seg&amp;"|"&amp;anSM_YM,anSM_Cases,""),IF(ISBLANK(_xlpm.r),"",_xlpm.r)))</f>
        <v/>
      </c>
      <c r="AF22" s="122" t="str" cm="1">
        <f t="array" ref="AF22">IF($AB22="","",_xlfn.LET(_xlpm.r,_xlfn.XLOOKUP($AB$3&amp;"|"&amp;$AB22,anSM_Seg&amp;"|"&amp;anSM_YM,anSM_Mean,""),IF(ISBLANK(_xlpm.r),"",_xlpm.r)))</f>
        <v/>
      </c>
      <c r="AG22" s="122" t="str" cm="1">
        <f t="array" ref="AG22">IF($AB22="","",_xlfn.LET(_xlpm.r,_xlfn.XLOOKUP($AB$3&amp;"|"&amp;$AB22,anSM_Seg&amp;"|"&amp;anSM_YM,anSM_P90,""),IF(ISBLANK(_xlpm.r),"",_xlpm.r)))</f>
        <v/>
      </c>
      <c r="AH22" s="122" t="str" cm="1">
        <f t="array" ref="AH22">IF($AB22="","",_xlfn.LET(_xlpm.r,_xlfn.XLOOKUP($AB$3&amp;"|"&amp;$AB22,anSM_Seg&amp;"|"&amp;anSM_YM,anSM_LagP50,""),IF(ISBLANK(_xlpm.r),"",_xlpm.r)))</f>
        <v/>
      </c>
      <c r="AI22" s="122" t="str" cm="1">
        <f t="array" ref="AI22">IF($AB22="","",_xlfn.LET(_xlpm.r,_xlfn.XLOOKUP($AB$3&amp;"|"&amp;$AB22,anSM_Seg&amp;"|"&amp;anSM_YM,anSM_SLA,""),IF(ISBLANK(_xlpm.r),"",_xlpm.r)))</f>
        <v/>
      </c>
      <c r="AJ22" s="122" t="str" cm="1">
        <f t="array" ref="AJ22">IF($AB22="","",_xlfn.LET(_xlpm.r,_xlfn.XLOOKUP($AB$3&amp;"|"&amp;$AB22,anSM_Seg&amp;"|"&amp;anSM_YM,anSM_Lines,""),IF(ISBLANK(_xlpm.r),"",_xlpm.r)))</f>
        <v/>
      </c>
      <c r="AK22" s="122" t="str" cm="1">
        <f t="array" ref="AK22">IF($AB22="","",_xlfn.LET(_xlpm.r,_xlfn.XLOOKUP($AB$3&amp;"|"&amp;$AB22,anSM_Seg&amp;"|"&amp;anSM_YM,anSM_PM,""),IF(ISBLANK(_xlpm.r),"",_xlpm.r)))</f>
        <v/>
      </c>
      <c r="AL22" s="122" t="str">
        <f t="shared" si="0"/>
        <v/>
      </c>
      <c r="AM22" s="122" t="str">
        <f t="shared" si="1"/>
        <v/>
      </c>
      <c r="AN22" s="122" t="str">
        <f t="shared" si="2"/>
        <v/>
      </c>
    </row>
    <row r="23" spans="13:40" ht="27" customHeight="1">
      <c r="M23" s="174"/>
      <c r="N23" s="175"/>
      <c r="O23" s="175"/>
      <c r="P23" s="175"/>
      <c r="Q23" s="175"/>
      <c r="AB23" s="122" t="str" cm="1">
        <f t="array" ref="AB23">IFERROR(INDEX(_xlfn.ANCHORARRAY($AV$8),$AB$6-24+ROW()-7),"")</f>
        <v/>
      </c>
      <c r="AC23" s="122" t="str" cm="1">
        <f t="array" ref="AC23">IF($AB23="","",_xlfn.LET(_xlpm.r,_xlfn.XLOOKUP($AB$3&amp;"|"&amp;$AB23,anSM_Seg&amp;"|"&amp;anSM_YM,anSM_Paid,""),IF(ISBLANK(_xlpm.r),"",_xlpm.r)))</f>
        <v/>
      </c>
      <c r="AD23" s="122" t="str" cm="1">
        <f t="array" ref="AD23">IF($AB23="","",_xlfn.LET(_xlpm.r,_xlfn.XLOOKUP($AB$3&amp;"|"&amp;$AB23,anSM_Seg&amp;"|"&amp;anSM_YM,anSM_MoM,""),IF(ISBLANK(_xlpm.r),"",_xlpm.r)))</f>
        <v/>
      </c>
      <c r="AE23" s="122" t="str" cm="1">
        <f t="array" ref="AE23">IF($AB23="","",_xlfn.LET(_xlpm.r,_xlfn.XLOOKUP($AB$3&amp;"|"&amp;$AB23,anSM_Seg&amp;"|"&amp;anSM_YM,anSM_Cases,""),IF(ISBLANK(_xlpm.r),"",_xlpm.r)))</f>
        <v/>
      </c>
      <c r="AF23" s="122" t="str" cm="1">
        <f t="array" ref="AF23">IF($AB23="","",_xlfn.LET(_xlpm.r,_xlfn.XLOOKUP($AB$3&amp;"|"&amp;$AB23,anSM_Seg&amp;"|"&amp;anSM_YM,anSM_Mean,""),IF(ISBLANK(_xlpm.r),"",_xlpm.r)))</f>
        <v/>
      </c>
      <c r="AG23" s="122" t="str" cm="1">
        <f t="array" ref="AG23">IF($AB23="","",_xlfn.LET(_xlpm.r,_xlfn.XLOOKUP($AB$3&amp;"|"&amp;$AB23,anSM_Seg&amp;"|"&amp;anSM_YM,anSM_P90,""),IF(ISBLANK(_xlpm.r),"",_xlpm.r)))</f>
        <v/>
      </c>
      <c r="AH23" s="122" t="str" cm="1">
        <f t="array" ref="AH23">IF($AB23="","",_xlfn.LET(_xlpm.r,_xlfn.XLOOKUP($AB$3&amp;"|"&amp;$AB23,anSM_Seg&amp;"|"&amp;anSM_YM,anSM_LagP50,""),IF(ISBLANK(_xlpm.r),"",_xlpm.r)))</f>
        <v/>
      </c>
      <c r="AI23" s="122" t="str" cm="1">
        <f t="array" ref="AI23">IF($AB23="","",_xlfn.LET(_xlpm.r,_xlfn.XLOOKUP($AB$3&amp;"|"&amp;$AB23,anSM_Seg&amp;"|"&amp;anSM_YM,anSM_SLA,""),IF(ISBLANK(_xlpm.r),"",_xlpm.r)))</f>
        <v/>
      </c>
      <c r="AJ23" s="122" t="str" cm="1">
        <f t="array" ref="AJ23">IF($AB23="","",_xlfn.LET(_xlpm.r,_xlfn.XLOOKUP($AB$3&amp;"|"&amp;$AB23,anSM_Seg&amp;"|"&amp;anSM_YM,anSM_Lines,""),IF(ISBLANK(_xlpm.r),"",_xlpm.r)))</f>
        <v/>
      </c>
      <c r="AK23" s="122" t="str" cm="1">
        <f t="array" ref="AK23">IF($AB23="","",_xlfn.LET(_xlpm.r,_xlfn.XLOOKUP($AB$3&amp;"|"&amp;$AB23,anSM_Seg&amp;"|"&amp;anSM_YM,anSM_PM,""),IF(ISBLANK(_xlpm.r),"",_xlpm.r)))</f>
        <v/>
      </c>
      <c r="AL23" s="122" t="str">
        <f t="shared" si="0"/>
        <v/>
      </c>
      <c r="AM23" s="122" t="str">
        <f t="shared" si="1"/>
        <v/>
      </c>
      <c r="AN23" s="122" t="str">
        <f t="shared" si="2"/>
        <v/>
      </c>
    </row>
    <row r="24" spans="13:40">
      <c r="AB24" s="122" t="str" cm="1">
        <f t="array" ref="AB24">IFERROR(INDEX(_xlfn.ANCHORARRAY($AV$8),$AB$6-24+ROW()-7),"")</f>
        <v/>
      </c>
      <c r="AC24" s="122" t="str" cm="1">
        <f t="array" ref="AC24">IF($AB24="","",_xlfn.LET(_xlpm.r,_xlfn.XLOOKUP($AB$3&amp;"|"&amp;$AB24,anSM_Seg&amp;"|"&amp;anSM_YM,anSM_Paid,""),IF(ISBLANK(_xlpm.r),"",_xlpm.r)))</f>
        <v/>
      </c>
      <c r="AD24" s="122" t="str" cm="1">
        <f t="array" ref="AD24">IF($AB24="","",_xlfn.LET(_xlpm.r,_xlfn.XLOOKUP($AB$3&amp;"|"&amp;$AB24,anSM_Seg&amp;"|"&amp;anSM_YM,anSM_MoM,""),IF(ISBLANK(_xlpm.r),"",_xlpm.r)))</f>
        <v/>
      </c>
      <c r="AE24" s="122" t="str" cm="1">
        <f t="array" ref="AE24">IF($AB24="","",_xlfn.LET(_xlpm.r,_xlfn.XLOOKUP($AB$3&amp;"|"&amp;$AB24,anSM_Seg&amp;"|"&amp;anSM_YM,anSM_Cases,""),IF(ISBLANK(_xlpm.r),"",_xlpm.r)))</f>
        <v/>
      </c>
      <c r="AF24" s="122" t="str" cm="1">
        <f t="array" ref="AF24">IF($AB24="","",_xlfn.LET(_xlpm.r,_xlfn.XLOOKUP($AB$3&amp;"|"&amp;$AB24,anSM_Seg&amp;"|"&amp;anSM_YM,anSM_Mean,""),IF(ISBLANK(_xlpm.r),"",_xlpm.r)))</f>
        <v/>
      </c>
      <c r="AG24" s="122" t="str" cm="1">
        <f t="array" ref="AG24">IF($AB24="","",_xlfn.LET(_xlpm.r,_xlfn.XLOOKUP($AB$3&amp;"|"&amp;$AB24,anSM_Seg&amp;"|"&amp;anSM_YM,anSM_P90,""),IF(ISBLANK(_xlpm.r),"",_xlpm.r)))</f>
        <v/>
      </c>
      <c r="AH24" s="122" t="str" cm="1">
        <f t="array" ref="AH24">IF($AB24="","",_xlfn.LET(_xlpm.r,_xlfn.XLOOKUP($AB$3&amp;"|"&amp;$AB24,anSM_Seg&amp;"|"&amp;anSM_YM,anSM_LagP50,""),IF(ISBLANK(_xlpm.r),"",_xlpm.r)))</f>
        <v/>
      </c>
      <c r="AI24" s="122" t="str" cm="1">
        <f t="array" ref="AI24">IF($AB24="","",_xlfn.LET(_xlpm.r,_xlfn.XLOOKUP($AB$3&amp;"|"&amp;$AB24,anSM_Seg&amp;"|"&amp;anSM_YM,anSM_SLA,""),IF(ISBLANK(_xlpm.r),"",_xlpm.r)))</f>
        <v/>
      </c>
      <c r="AJ24" s="122" t="str" cm="1">
        <f t="array" ref="AJ24">IF($AB24="","",_xlfn.LET(_xlpm.r,_xlfn.XLOOKUP($AB$3&amp;"|"&amp;$AB24,anSM_Seg&amp;"|"&amp;anSM_YM,anSM_Lines,""),IF(ISBLANK(_xlpm.r),"",_xlpm.r)))</f>
        <v/>
      </c>
      <c r="AK24" s="122" t="str" cm="1">
        <f t="array" ref="AK24">IF($AB24="","",_xlfn.LET(_xlpm.r,_xlfn.XLOOKUP($AB$3&amp;"|"&amp;$AB24,anSM_Seg&amp;"|"&amp;anSM_YM,anSM_PM,""),IF(ISBLANK(_xlpm.r),"",_xlpm.r)))</f>
        <v/>
      </c>
      <c r="AL24" s="122" t="str">
        <f t="shared" si="0"/>
        <v/>
      </c>
      <c r="AM24" s="122" t="str">
        <f t="shared" si="1"/>
        <v/>
      </c>
      <c r="AN24" s="122" t="str">
        <f t="shared" si="2"/>
        <v/>
      </c>
    </row>
    <row r="25" spans="13:40">
      <c r="AB25" s="122" t="str" cm="1">
        <f t="array" ref="AB25">IFERROR(INDEX(_xlfn.ANCHORARRAY($AV$8),$AB$6-24+ROW()-7),"")</f>
        <v/>
      </c>
      <c r="AC25" s="122" t="str" cm="1">
        <f t="array" ref="AC25">IF($AB25="","",_xlfn.LET(_xlpm.r,_xlfn.XLOOKUP($AB$3&amp;"|"&amp;$AB25,anSM_Seg&amp;"|"&amp;anSM_YM,anSM_Paid,""),IF(ISBLANK(_xlpm.r),"",_xlpm.r)))</f>
        <v/>
      </c>
      <c r="AD25" s="122" t="str" cm="1">
        <f t="array" ref="AD25">IF($AB25="","",_xlfn.LET(_xlpm.r,_xlfn.XLOOKUP($AB$3&amp;"|"&amp;$AB25,anSM_Seg&amp;"|"&amp;anSM_YM,anSM_MoM,""),IF(ISBLANK(_xlpm.r),"",_xlpm.r)))</f>
        <v/>
      </c>
      <c r="AE25" s="122" t="str" cm="1">
        <f t="array" ref="AE25">IF($AB25="","",_xlfn.LET(_xlpm.r,_xlfn.XLOOKUP($AB$3&amp;"|"&amp;$AB25,anSM_Seg&amp;"|"&amp;anSM_YM,anSM_Cases,""),IF(ISBLANK(_xlpm.r),"",_xlpm.r)))</f>
        <v/>
      </c>
      <c r="AF25" s="122" t="str" cm="1">
        <f t="array" ref="AF25">IF($AB25="","",_xlfn.LET(_xlpm.r,_xlfn.XLOOKUP($AB$3&amp;"|"&amp;$AB25,anSM_Seg&amp;"|"&amp;anSM_YM,anSM_Mean,""),IF(ISBLANK(_xlpm.r),"",_xlpm.r)))</f>
        <v/>
      </c>
      <c r="AG25" s="122" t="str" cm="1">
        <f t="array" ref="AG25">IF($AB25="","",_xlfn.LET(_xlpm.r,_xlfn.XLOOKUP($AB$3&amp;"|"&amp;$AB25,anSM_Seg&amp;"|"&amp;anSM_YM,anSM_P90,""),IF(ISBLANK(_xlpm.r),"",_xlpm.r)))</f>
        <v/>
      </c>
      <c r="AH25" s="122" t="str" cm="1">
        <f t="array" ref="AH25">IF($AB25="","",_xlfn.LET(_xlpm.r,_xlfn.XLOOKUP($AB$3&amp;"|"&amp;$AB25,anSM_Seg&amp;"|"&amp;anSM_YM,anSM_LagP50,""),IF(ISBLANK(_xlpm.r),"",_xlpm.r)))</f>
        <v/>
      </c>
      <c r="AI25" s="122" t="str" cm="1">
        <f t="array" ref="AI25">IF($AB25="","",_xlfn.LET(_xlpm.r,_xlfn.XLOOKUP($AB$3&amp;"|"&amp;$AB25,anSM_Seg&amp;"|"&amp;anSM_YM,anSM_SLA,""),IF(ISBLANK(_xlpm.r),"",_xlpm.r)))</f>
        <v/>
      </c>
      <c r="AJ25" s="122" t="str" cm="1">
        <f t="array" ref="AJ25">IF($AB25="","",_xlfn.LET(_xlpm.r,_xlfn.XLOOKUP($AB$3&amp;"|"&amp;$AB25,anSM_Seg&amp;"|"&amp;anSM_YM,anSM_Lines,""),IF(ISBLANK(_xlpm.r),"",_xlpm.r)))</f>
        <v/>
      </c>
      <c r="AK25" s="122" t="str" cm="1">
        <f t="array" ref="AK25">IF($AB25="","",_xlfn.LET(_xlpm.r,_xlfn.XLOOKUP($AB$3&amp;"|"&amp;$AB25,anSM_Seg&amp;"|"&amp;anSM_YM,anSM_PM,""),IF(ISBLANK(_xlpm.r),"",_xlpm.r)))</f>
        <v/>
      </c>
      <c r="AL25" s="122" t="str">
        <f t="shared" si="0"/>
        <v/>
      </c>
      <c r="AM25" s="122" t="str">
        <f t="shared" si="1"/>
        <v/>
      </c>
      <c r="AN25" s="122" t="str">
        <f t="shared" si="2"/>
        <v/>
      </c>
    </row>
    <row r="26" spans="13:40">
      <c r="M26" s="127" t="str">
        <f>_xlfn.XLOOKUP("AN_ALERTS",tblUIText[Key],tblUIText[TR],"AN_ALERTS")&amp;" / "&amp;_xlfn.XLOOKUP("AN_ALERTS",tblUIText[Key],tblUIText[EN],"")</f>
        <v>Açık uyarılar / Open alerts</v>
      </c>
      <c r="AB26" s="122" t="str" cm="1">
        <f t="array" ref="AB26">IFERROR(INDEX(_xlfn.ANCHORARRAY($AV$8),$AB$6-24+ROW()-7),"")</f>
        <v/>
      </c>
      <c r="AC26" s="122" t="str" cm="1">
        <f t="array" ref="AC26">IF($AB26="","",_xlfn.LET(_xlpm.r,_xlfn.XLOOKUP($AB$3&amp;"|"&amp;$AB26,anSM_Seg&amp;"|"&amp;anSM_YM,anSM_Paid,""),IF(ISBLANK(_xlpm.r),"",_xlpm.r)))</f>
        <v/>
      </c>
      <c r="AD26" s="122" t="str" cm="1">
        <f t="array" ref="AD26">IF($AB26="","",_xlfn.LET(_xlpm.r,_xlfn.XLOOKUP($AB$3&amp;"|"&amp;$AB26,anSM_Seg&amp;"|"&amp;anSM_YM,anSM_MoM,""),IF(ISBLANK(_xlpm.r),"",_xlpm.r)))</f>
        <v/>
      </c>
      <c r="AE26" s="122" t="str" cm="1">
        <f t="array" ref="AE26">IF($AB26="","",_xlfn.LET(_xlpm.r,_xlfn.XLOOKUP($AB$3&amp;"|"&amp;$AB26,anSM_Seg&amp;"|"&amp;anSM_YM,anSM_Cases,""),IF(ISBLANK(_xlpm.r),"",_xlpm.r)))</f>
        <v/>
      </c>
      <c r="AF26" s="122" t="str" cm="1">
        <f t="array" ref="AF26">IF($AB26="","",_xlfn.LET(_xlpm.r,_xlfn.XLOOKUP($AB$3&amp;"|"&amp;$AB26,anSM_Seg&amp;"|"&amp;anSM_YM,anSM_Mean,""),IF(ISBLANK(_xlpm.r),"",_xlpm.r)))</f>
        <v/>
      </c>
      <c r="AG26" s="122" t="str" cm="1">
        <f t="array" ref="AG26">IF($AB26="","",_xlfn.LET(_xlpm.r,_xlfn.XLOOKUP($AB$3&amp;"|"&amp;$AB26,anSM_Seg&amp;"|"&amp;anSM_YM,anSM_P90,""),IF(ISBLANK(_xlpm.r),"",_xlpm.r)))</f>
        <v/>
      </c>
      <c r="AH26" s="122" t="str" cm="1">
        <f t="array" ref="AH26">IF($AB26="","",_xlfn.LET(_xlpm.r,_xlfn.XLOOKUP($AB$3&amp;"|"&amp;$AB26,anSM_Seg&amp;"|"&amp;anSM_YM,anSM_LagP50,""),IF(ISBLANK(_xlpm.r),"",_xlpm.r)))</f>
        <v/>
      </c>
      <c r="AI26" s="122" t="str" cm="1">
        <f t="array" ref="AI26">IF($AB26="","",_xlfn.LET(_xlpm.r,_xlfn.XLOOKUP($AB$3&amp;"|"&amp;$AB26,anSM_Seg&amp;"|"&amp;anSM_YM,anSM_SLA,""),IF(ISBLANK(_xlpm.r),"",_xlpm.r)))</f>
        <v/>
      </c>
      <c r="AJ26" s="122" t="str" cm="1">
        <f t="array" ref="AJ26">IF($AB26="","",_xlfn.LET(_xlpm.r,_xlfn.XLOOKUP($AB$3&amp;"|"&amp;$AB26,anSM_Seg&amp;"|"&amp;anSM_YM,anSM_Lines,""),IF(ISBLANK(_xlpm.r),"",_xlpm.r)))</f>
        <v/>
      </c>
      <c r="AK26" s="122" t="str" cm="1">
        <f t="array" ref="AK26">IF($AB26="","",_xlfn.LET(_xlpm.r,_xlfn.XLOOKUP($AB$3&amp;"|"&amp;$AB26,anSM_Seg&amp;"|"&amp;anSM_YM,anSM_PM,""),IF(ISBLANK(_xlpm.r),"",_xlpm.r)))</f>
        <v/>
      </c>
      <c r="AL26" s="122" t="str">
        <f t="shared" si="0"/>
        <v/>
      </c>
      <c r="AM26" s="122" t="str">
        <f t="shared" si="1"/>
        <v/>
      </c>
      <c r="AN26" s="122" t="str">
        <f t="shared" si="2"/>
        <v/>
      </c>
    </row>
    <row r="27" spans="13:40">
      <c r="M27" s="130" t="str" cm="1">
        <f t="array" ref="M27">_xlfn._xlws.FILTER($AS$8:$AS$13&amp;": "&amp;$AT$8:$AT$13,((LEFT($AT$8:$AT$13,5)="WATCH")+(LEFT($AT$8:$AT$13,5)="ALERT"))*(RIGHT($AT$8:$AT$13,1)&lt;&gt;"*"),_xlfn.XLOOKUP("AN_NO_ALERTS",tblUIText[Key],tblUIText[TR],"AN_NO_ALERTS")&amp;" / "&amp;_xlfn.XLOOKUP("AN_NO_ALERTS",tblUIText[Key],tblUIText[EN],""))</f>
        <v>Açık uyarı yok / No open alerts</v>
      </c>
      <c r="AB27" s="122" t="str" cm="1">
        <f t="array" ref="AB27">IFERROR(INDEX(_xlfn.ANCHORARRAY($AV$8),$AB$6-24+ROW()-7),"")</f>
        <v/>
      </c>
      <c r="AC27" s="122" t="str" cm="1">
        <f t="array" ref="AC27">IF($AB27="","",_xlfn.LET(_xlpm.r,_xlfn.XLOOKUP($AB$3&amp;"|"&amp;$AB27,anSM_Seg&amp;"|"&amp;anSM_YM,anSM_Paid,""),IF(ISBLANK(_xlpm.r),"",_xlpm.r)))</f>
        <v/>
      </c>
      <c r="AD27" s="122" t="str" cm="1">
        <f t="array" ref="AD27">IF($AB27="","",_xlfn.LET(_xlpm.r,_xlfn.XLOOKUP($AB$3&amp;"|"&amp;$AB27,anSM_Seg&amp;"|"&amp;anSM_YM,anSM_MoM,""),IF(ISBLANK(_xlpm.r),"",_xlpm.r)))</f>
        <v/>
      </c>
      <c r="AE27" s="122" t="str" cm="1">
        <f t="array" ref="AE27">IF($AB27="","",_xlfn.LET(_xlpm.r,_xlfn.XLOOKUP($AB$3&amp;"|"&amp;$AB27,anSM_Seg&amp;"|"&amp;anSM_YM,anSM_Cases,""),IF(ISBLANK(_xlpm.r),"",_xlpm.r)))</f>
        <v/>
      </c>
      <c r="AF27" s="122" t="str" cm="1">
        <f t="array" ref="AF27">IF($AB27="","",_xlfn.LET(_xlpm.r,_xlfn.XLOOKUP($AB$3&amp;"|"&amp;$AB27,anSM_Seg&amp;"|"&amp;anSM_YM,anSM_Mean,""),IF(ISBLANK(_xlpm.r),"",_xlpm.r)))</f>
        <v/>
      </c>
      <c r="AG27" s="122" t="str" cm="1">
        <f t="array" ref="AG27">IF($AB27="","",_xlfn.LET(_xlpm.r,_xlfn.XLOOKUP($AB$3&amp;"|"&amp;$AB27,anSM_Seg&amp;"|"&amp;anSM_YM,anSM_P90,""),IF(ISBLANK(_xlpm.r),"",_xlpm.r)))</f>
        <v/>
      </c>
      <c r="AH27" s="122" t="str" cm="1">
        <f t="array" ref="AH27">IF($AB27="","",_xlfn.LET(_xlpm.r,_xlfn.XLOOKUP($AB$3&amp;"|"&amp;$AB27,anSM_Seg&amp;"|"&amp;anSM_YM,anSM_LagP50,""),IF(ISBLANK(_xlpm.r),"",_xlpm.r)))</f>
        <v/>
      </c>
      <c r="AI27" s="122" t="str" cm="1">
        <f t="array" ref="AI27">IF($AB27="","",_xlfn.LET(_xlpm.r,_xlfn.XLOOKUP($AB$3&amp;"|"&amp;$AB27,anSM_Seg&amp;"|"&amp;anSM_YM,anSM_SLA,""),IF(ISBLANK(_xlpm.r),"",_xlpm.r)))</f>
        <v/>
      </c>
      <c r="AJ27" s="122" t="str" cm="1">
        <f t="array" ref="AJ27">IF($AB27="","",_xlfn.LET(_xlpm.r,_xlfn.XLOOKUP($AB$3&amp;"|"&amp;$AB27,anSM_Seg&amp;"|"&amp;anSM_YM,anSM_Lines,""),IF(ISBLANK(_xlpm.r),"",_xlpm.r)))</f>
        <v/>
      </c>
      <c r="AK27" s="122" t="str" cm="1">
        <f t="array" ref="AK27">IF($AB27="","",_xlfn.LET(_xlpm.r,_xlfn.XLOOKUP($AB$3&amp;"|"&amp;$AB27,anSM_Seg&amp;"|"&amp;anSM_YM,anSM_PM,""),IF(ISBLANK(_xlpm.r),"",_xlpm.r)))</f>
        <v/>
      </c>
      <c r="AL27" s="122" t="str">
        <f t="shared" si="0"/>
        <v/>
      </c>
      <c r="AM27" s="122" t="str">
        <f t="shared" si="1"/>
        <v/>
      </c>
      <c r="AN27" s="122" t="str">
        <f t="shared" si="2"/>
        <v/>
      </c>
    </row>
    <row r="28" spans="13:40">
      <c r="M28" s="130"/>
      <c r="AB28" s="122" t="str" cm="1">
        <f t="array" ref="AB28">IFERROR(INDEX(_xlfn.ANCHORARRAY($AV$8),$AB$6-24+ROW()-7),"")</f>
        <v/>
      </c>
      <c r="AC28" s="122" t="str" cm="1">
        <f t="array" ref="AC28">IF($AB28="","",_xlfn.LET(_xlpm.r,_xlfn.XLOOKUP($AB$3&amp;"|"&amp;$AB28,anSM_Seg&amp;"|"&amp;anSM_YM,anSM_Paid,""),IF(ISBLANK(_xlpm.r),"",_xlpm.r)))</f>
        <v/>
      </c>
      <c r="AD28" s="122" t="str" cm="1">
        <f t="array" ref="AD28">IF($AB28="","",_xlfn.LET(_xlpm.r,_xlfn.XLOOKUP($AB$3&amp;"|"&amp;$AB28,anSM_Seg&amp;"|"&amp;anSM_YM,anSM_MoM,""),IF(ISBLANK(_xlpm.r),"",_xlpm.r)))</f>
        <v/>
      </c>
      <c r="AE28" s="122" t="str" cm="1">
        <f t="array" ref="AE28">IF($AB28="","",_xlfn.LET(_xlpm.r,_xlfn.XLOOKUP($AB$3&amp;"|"&amp;$AB28,anSM_Seg&amp;"|"&amp;anSM_YM,anSM_Cases,""),IF(ISBLANK(_xlpm.r),"",_xlpm.r)))</f>
        <v/>
      </c>
      <c r="AF28" s="122" t="str" cm="1">
        <f t="array" ref="AF28">IF($AB28="","",_xlfn.LET(_xlpm.r,_xlfn.XLOOKUP($AB$3&amp;"|"&amp;$AB28,anSM_Seg&amp;"|"&amp;anSM_YM,anSM_Mean,""),IF(ISBLANK(_xlpm.r),"",_xlpm.r)))</f>
        <v/>
      </c>
      <c r="AG28" s="122" t="str" cm="1">
        <f t="array" ref="AG28">IF($AB28="","",_xlfn.LET(_xlpm.r,_xlfn.XLOOKUP($AB$3&amp;"|"&amp;$AB28,anSM_Seg&amp;"|"&amp;anSM_YM,anSM_P90,""),IF(ISBLANK(_xlpm.r),"",_xlpm.r)))</f>
        <v/>
      </c>
      <c r="AH28" s="122" t="str" cm="1">
        <f t="array" ref="AH28">IF($AB28="","",_xlfn.LET(_xlpm.r,_xlfn.XLOOKUP($AB$3&amp;"|"&amp;$AB28,anSM_Seg&amp;"|"&amp;anSM_YM,anSM_LagP50,""),IF(ISBLANK(_xlpm.r),"",_xlpm.r)))</f>
        <v/>
      </c>
      <c r="AI28" s="122" t="str" cm="1">
        <f t="array" ref="AI28">IF($AB28="","",_xlfn.LET(_xlpm.r,_xlfn.XLOOKUP($AB$3&amp;"|"&amp;$AB28,anSM_Seg&amp;"|"&amp;anSM_YM,anSM_SLA,""),IF(ISBLANK(_xlpm.r),"",_xlpm.r)))</f>
        <v/>
      </c>
      <c r="AJ28" s="122" t="str" cm="1">
        <f t="array" ref="AJ28">IF($AB28="","",_xlfn.LET(_xlpm.r,_xlfn.XLOOKUP($AB$3&amp;"|"&amp;$AB28,anSM_Seg&amp;"|"&amp;anSM_YM,anSM_Lines,""),IF(ISBLANK(_xlpm.r),"",_xlpm.r)))</f>
        <v/>
      </c>
      <c r="AK28" s="122" t="str" cm="1">
        <f t="array" ref="AK28">IF($AB28="","",_xlfn.LET(_xlpm.r,_xlfn.XLOOKUP($AB$3&amp;"|"&amp;$AB28,anSM_Seg&amp;"|"&amp;anSM_YM,anSM_PM,""),IF(ISBLANK(_xlpm.r),"",_xlpm.r)))</f>
        <v/>
      </c>
      <c r="AL28" s="122" t="str">
        <f t="shared" si="0"/>
        <v/>
      </c>
      <c r="AM28" s="122" t="str">
        <f t="shared" si="1"/>
        <v/>
      </c>
      <c r="AN28" s="122" t="str">
        <f t="shared" si="2"/>
        <v/>
      </c>
    </row>
    <row r="29" spans="13:40">
      <c r="M29" s="130"/>
      <c r="AB29" s="122" t="str" cm="1">
        <f t="array" ref="AB29">IFERROR(INDEX(_xlfn.ANCHORARRAY($AV$8),$AB$6-24+ROW()-7),"")</f>
        <v/>
      </c>
      <c r="AC29" s="122" t="str" cm="1">
        <f t="array" ref="AC29">IF($AB29="","",_xlfn.LET(_xlpm.r,_xlfn.XLOOKUP($AB$3&amp;"|"&amp;$AB29,anSM_Seg&amp;"|"&amp;anSM_YM,anSM_Paid,""),IF(ISBLANK(_xlpm.r),"",_xlpm.r)))</f>
        <v/>
      </c>
      <c r="AD29" s="122" t="str" cm="1">
        <f t="array" ref="AD29">IF($AB29="","",_xlfn.LET(_xlpm.r,_xlfn.XLOOKUP($AB$3&amp;"|"&amp;$AB29,anSM_Seg&amp;"|"&amp;anSM_YM,anSM_MoM,""),IF(ISBLANK(_xlpm.r),"",_xlpm.r)))</f>
        <v/>
      </c>
      <c r="AE29" s="122" t="str" cm="1">
        <f t="array" ref="AE29">IF($AB29="","",_xlfn.LET(_xlpm.r,_xlfn.XLOOKUP($AB$3&amp;"|"&amp;$AB29,anSM_Seg&amp;"|"&amp;anSM_YM,anSM_Cases,""),IF(ISBLANK(_xlpm.r),"",_xlpm.r)))</f>
        <v/>
      </c>
      <c r="AF29" s="122" t="str" cm="1">
        <f t="array" ref="AF29">IF($AB29="","",_xlfn.LET(_xlpm.r,_xlfn.XLOOKUP($AB$3&amp;"|"&amp;$AB29,anSM_Seg&amp;"|"&amp;anSM_YM,anSM_Mean,""),IF(ISBLANK(_xlpm.r),"",_xlpm.r)))</f>
        <v/>
      </c>
      <c r="AG29" s="122" t="str" cm="1">
        <f t="array" ref="AG29">IF($AB29="","",_xlfn.LET(_xlpm.r,_xlfn.XLOOKUP($AB$3&amp;"|"&amp;$AB29,anSM_Seg&amp;"|"&amp;anSM_YM,anSM_P90,""),IF(ISBLANK(_xlpm.r),"",_xlpm.r)))</f>
        <v/>
      </c>
      <c r="AH29" s="122" t="str" cm="1">
        <f t="array" ref="AH29">IF($AB29="","",_xlfn.LET(_xlpm.r,_xlfn.XLOOKUP($AB$3&amp;"|"&amp;$AB29,anSM_Seg&amp;"|"&amp;anSM_YM,anSM_LagP50,""),IF(ISBLANK(_xlpm.r),"",_xlpm.r)))</f>
        <v/>
      </c>
      <c r="AI29" s="122" t="str" cm="1">
        <f t="array" ref="AI29">IF($AB29="","",_xlfn.LET(_xlpm.r,_xlfn.XLOOKUP($AB$3&amp;"|"&amp;$AB29,anSM_Seg&amp;"|"&amp;anSM_YM,anSM_SLA,""),IF(ISBLANK(_xlpm.r),"",_xlpm.r)))</f>
        <v/>
      </c>
      <c r="AJ29" s="122" t="str" cm="1">
        <f t="array" ref="AJ29">IF($AB29="","",_xlfn.LET(_xlpm.r,_xlfn.XLOOKUP($AB$3&amp;"|"&amp;$AB29,anSM_Seg&amp;"|"&amp;anSM_YM,anSM_Lines,""),IF(ISBLANK(_xlpm.r),"",_xlpm.r)))</f>
        <v/>
      </c>
      <c r="AK29" s="122" t="str" cm="1">
        <f t="array" ref="AK29">IF($AB29="","",_xlfn.LET(_xlpm.r,_xlfn.XLOOKUP($AB$3&amp;"|"&amp;$AB29,anSM_Seg&amp;"|"&amp;anSM_YM,anSM_PM,""),IF(ISBLANK(_xlpm.r),"",_xlpm.r)))</f>
        <v/>
      </c>
      <c r="AL29" s="122" t="str">
        <f t="shared" si="0"/>
        <v/>
      </c>
      <c r="AM29" s="122" t="str">
        <f t="shared" si="1"/>
        <v/>
      </c>
      <c r="AN29" s="122" t="str">
        <f t="shared" si="2"/>
        <v/>
      </c>
    </row>
    <row r="30" spans="13:40">
      <c r="M30" s="130"/>
      <c r="AB30" s="122" t="str" cm="1">
        <f t="array" ref="AB30">IFERROR(INDEX(_xlfn.ANCHORARRAY($AV$8),$AB$6-24+ROW()-7),"")</f>
        <v/>
      </c>
      <c r="AC30" s="122" t="str" cm="1">
        <f t="array" ref="AC30">IF($AB30="","",_xlfn.LET(_xlpm.r,_xlfn.XLOOKUP($AB$3&amp;"|"&amp;$AB30,anSM_Seg&amp;"|"&amp;anSM_YM,anSM_Paid,""),IF(ISBLANK(_xlpm.r),"",_xlpm.r)))</f>
        <v/>
      </c>
      <c r="AD30" s="122" t="str" cm="1">
        <f t="array" ref="AD30">IF($AB30="","",_xlfn.LET(_xlpm.r,_xlfn.XLOOKUP($AB$3&amp;"|"&amp;$AB30,anSM_Seg&amp;"|"&amp;anSM_YM,anSM_MoM,""),IF(ISBLANK(_xlpm.r),"",_xlpm.r)))</f>
        <v/>
      </c>
      <c r="AE30" s="122" t="str" cm="1">
        <f t="array" ref="AE30">IF($AB30="","",_xlfn.LET(_xlpm.r,_xlfn.XLOOKUP($AB$3&amp;"|"&amp;$AB30,anSM_Seg&amp;"|"&amp;anSM_YM,anSM_Cases,""),IF(ISBLANK(_xlpm.r),"",_xlpm.r)))</f>
        <v/>
      </c>
      <c r="AF30" s="122" t="str" cm="1">
        <f t="array" ref="AF30">IF($AB30="","",_xlfn.LET(_xlpm.r,_xlfn.XLOOKUP($AB$3&amp;"|"&amp;$AB30,anSM_Seg&amp;"|"&amp;anSM_YM,anSM_Mean,""),IF(ISBLANK(_xlpm.r),"",_xlpm.r)))</f>
        <v/>
      </c>
      <c r="AG30" s="122" t="str" cm="1">
        <f t="array" ref="AG30">IF($AB30="","",_xlfn.LET(_xlpm.r,_xlfn.XLOOKUP($AB$3&amp;"|"&amp;$AB30,anSM_Seg&amp;"|"&amp;anSM_YM,anSM_P90,""),IF(ISBLANK(_xlpm.r),"",_xlpm.r)))</f>
        <v/>
      </c>
      <c r="AH30" s="122" t="str" cm="1">
        <f t="array" ref="AH30">IF($AB30="","",_xlfn.LET(_xlpm.r,_xlfn.XLOOKUP($AB$3&amp;"|"&amp;$AB30,anSM_Seg&amp;"|"&amp;anSM_YM,anSM_LagP50,""),IF(ISBLANK(_xlpm.r),"",_xlpm.r)))</f>
        <v/>
      </c>
      <c r="AI30" s="122" t="str" cm="1">
        <f t="array" ref="AI30">IF($AB30="","",_xlfn.LET(_xlpm.r,_xlfn.XLOOKUP($AB$3&amp;"|"&amp;$AB30,anSM_Seg&amp;"|"&amp;anSM_YM,anSM_SLA,""),IF(ISBLANK(_xlpm.r),"",_xlpm.r)))</f>
        <v/>
      </c>
      <c r="AJ30" s="122" t="str" cm="1">
        <f t="array" ref="AJ30">IF($AB30="","",_xlfn.LET(_xlpm.r,_xlfn.XLOOKUP($AB$3&amp;"|"&amp;$AB30,anSM_Seg&amp;"|"&amp;anSM_YM,anSM_Lines,""),IF(ISBLANK(_xlpm.r),"",_xlpm.r)))</f>
        <v/>
      </c>
      <c r="AK30" s="122" t="str" cm="1">
        <f t="array" ref="AK30">IF($AB30="","",_xlfn.LET(_xlpm.r,_xlfn.XLOOKUP($AB$3&amp;"|"&amp;$AB30,anSM_Seg&amp;"|"&amp;anSM_YM,anSM_PM,""),IF(ISBLANK(_xlpm.r),"",_xlpm.r)))</f>
        <v/>
      </c>
      <c r="AL30" s="122" t="str">
        <f t="shared" si="0"/>
        <v/>
      </c>
      <c r="AM30" s="122" t="str">
        <f t="shared" si="1"/>
        <v/>
      </c>
      <c r="AN30" s="122" t="str">
        <f t="shared" si="2"/>
        <v/>
      </c>
    </row>
    <row r="31" spans="13:40">
      <c r="M31" s="130"/>
      <c r="AB31" s="122" t="str" cm="1">
        <f t="array" ref="AB31">IFERROR(INDEX(_xlfn.ANCHORARRAY($AV$8),$AB$6-24+ROW()-7),"")</f>
        <v/>
      </c>
      <c r="AC31" s="122" t="str" cm="1">
        <f t="array" ref="AC31">IF($AB31="","",_xlfn.LET(_xlpm.r,_xlfn.XLOOKUP($AB$3&amp;"|"&amp;$AB31,anSM_Seg&amp;"|"&amp;anSM_YM,anSM_Paid,""),IF(ISBLANK(_xlpm.r),"",_xlpm.r)))</f>
        <v/>
      </c>
      <c r="AD31" s="122" t="str" cm="1">
        <f t="array" ref="AD31">IF($AB31="","",_xlfn.LET(_xlpm.r,_xlfn.XLOOKUP($AB$3&amp;"|"&amp;$AB31,anSM_Seg&amp;"|"&amp;anSM_YM,anSM_MoM,""),IF(ISBLANK(_xlpm.r),"",_xlpm.r)))</f>
        <v/>
      </c>
      <c r="AE31" s="122" t="str" cm="1">
        <f t="array" ref="AE31">IF($AB31="","",_xlfn.LET(_xlpm.r,_xlfn.XLOOKUP($AB$3&amp;"|"&amp;$AB31,anSM_Seg&amp;"|"&amp;anSM_YM,anSM_Cases,""),IF(ISBLANK(_xlpm.r),"",_xlpm.r)))</f>
        <v/>
      </c>
      <c r="AF31" s="122" t="str" cm="1">
        <f t="array" ref="AF31">IF($AB31="","",_xlfn.LET(_xlpm.r,_xlfn.XLOOKUP($AB$3&amp;"|"&amp;$AB31,anSM_Seg&amp;"|"&amp;anSM_YM,anSM_Mean,""),IF(ISBLANK(_xlpm.r),"",_xlpm.r)))</f>
        <v/>
      </c>
      <c r="AG31" s="122" t="str" cm="1">
        <f t="array" ref="AG31">IF($AB31="","",_xlfn.LET(_xlpm.r,_xlfn.XLOOKUP($AB$3&amp;"|"&amp;$AB31,anSM_Seg&amp;"|"&amp;anSM_YM,anSM_P90,""),IF(ISBLANK(_xlpm.r),"",_xlpm.r)))</f>
        <v/>
      </c>
      <c r="AH31" s="122" t="str" cm="1">
        <f t="array" ref="AH31">IF($AB31="","",_xlfn.LET(_xlpm.r,_xlfn.XLOOKUP($AB$3&amp;"|"&amp;$AB31,anSM_Seg&amp;"|"&amp;anSM_YM,anSM_LagP50,""),IF(ISBLANK(_xlpm.r),"",_xlpm.r)))</f>
        <v/>
      </c>
      <c r="AI31" s="122" t="str" cm="1">
        <f t="array" ref="AI31">IF($AB31="","",_xlfn.LET(_xlpm.r,_xlfn.XLOOKUP($AB$3&amp;"|"&amp;$AB31,anSM_Seg&amp;"|"&amp;anSM_YM,anSM_SLA,""),IF(ISBLANK(_xlpm.r),"",_xlpm.r)))</f>
        <v/>
      </c>
      <c r="AJ31" s="122" t="str" cm="1">
        <f t="array" ref="AJ31">IF($AB31="","",_xlfn.LET(_xlpm.r,_xlfn.XLOOKUP($AB$3&amp;"|"&amp;$AB31,anSM_Seg&amp;"|"&amp;anSM_YM,anSM_Lines,""),IF(ISBLANK(_xlpm.r),"",_xlpm.r)))</f>
        <v/>
      </c>
      <c r="AK31" s="122" t="str" cm="1">
        <f t="array" ref="AK31">IF($AB31="","",_xlfn.LET(_xlpm.r,_xlfn.XLOOKUP($AB$3&amp;"|"&amp;$AB31,anSM_Seg&amp;"|"&amp;anSM_YM,anSM_PM,""),IF(ISBLANK(_xlpm.r),"",_xlpm.r)))</f>
        <v/>
      </c>
      <c r="AL31" s="122" t="str">
        <f t="shared" si="0"/>
        <v/>
      </c>
      <c r="AM31" s="122" t="str">
        <f t="shared" si="1"/>
        <v/>
      </c>
      <c r="AN31" s="122" t="str">
        <f t="shared" si="2"/>
        <v/>
      </c>
    </row>
    <row r="32" spans="13:40">
      <c r="M32" s="130"/>
    </row>
    <row r="35" spans="2:19" ht="20.100000000000001" customHeight="1">
      <c r="B35" s="266" t="str">
        <f>_xlfn.XLOOKUP("AN_STATUS_LEGEND",tblUIText[Key],tblUIText[TR],"AN_STATUS_LEGEND")&amp;" / "&amp;_xlfn.XLOOKUP("AN_STATUS_LEGEND",tblUIText[Key],tblUIText[EN],"")</f>
        <v>Durum: OK; WATCH = uyarı eşiği aşıldı (kalıcılık kuralıyla); ALERT = alarm eşiği aşıldı; INSUFFICIENT DATA = yetersiz veri; (draft) = taslak istatistiksel eşik, sayılır; * = geçici sabit eşik (gri), uyarı sayılmaz ve sıralanmaz. Eşikler Threshold_Register'da (DRAFT). / Status: OK; WATCH = watch level breached (with the persistence rule); ALERT = alert level breached; INSUFFICIENT DATA = too little data; (draft) = draft statistical level, counted; * = placeholder fixed level (grey), never counted or ranked. Levels in Threshold_Register (DRAFT).</v>
      </c>
      <c r="C35" s="266"/>
      <c r="D35" s="266"/>
      <c r="E35" s="266"/>
      <c r="F35" s="266"/>
      <c r="G35" s="266"/>
      <c r="H35" s="266"/>
      <c r="I35" s="266"/>
      <c r="J35" s="266"/>
      <c r="K35" s="266"/>
      <c r="L35" s="266"/>
      <c r="M35" s="266"/>
      <c r="N35" s="266"/>
      <c r="O35" s="266"/>
      <c r="P35" s="266"/>
      <c r="Q35" s="266"/>
      <c r="R35" s="266"/>
      <c r="S35" s="266"/>
    </row>
    <row r="36" spans="2:19" ht="20.100000000000001" customHeight="1">
      <c r="B36" s="266"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C36" s="266"/>
      <c r="D36" s="266"/>
      <c r="E36" s="266"/>
      <c r="F36" s="266"/>
      <c r="G36" s="266"/>
      <c r="H36" s="266"/>
      <c r="I36" s="266"/>
      <c r="J36" s="266"/>
      <c r="K36" s="266"/>
      <c r="L36" s="266"/>
      <c r="M36" s="266"/>
      <c r="N36" s="266"/>
      <c r="O36" s="266"/>
      <c r="P36" s="266"/>
      <c r="Q36" s="266"/>
      <c r="R36" s="266"/>
      <c r="S36" s="266"/>
    </row>
    <row r="37" spans="2:19" ht="20.100000000000001" customHeight="1">
      <c r="B37" s="266" t="str">
        <f>_xlfn.XLOOKUP("AN_SLA_PLACEHOLDER",tblUIText[Key],tblUIText[TR],"AN_SLA_PLACEHOLDER")&amp;" / "&amp;_xlfn.XLOOKUP("AN_SLA_PLACEHOLDER",tblUIText[Key],tblUIText[EN],"")</f>
        <v>SLA süreleri geçici değerlerdir; operasyon tarafından teyit edilecek / SLA days are placeholders, to be confirmed by operations</v>
      </c>
      <c r="C37" s="266"/>
      <c r="D37" s="266"/>
      <c r="E37" s="266"/>
      <c r="F37" s="266"/>
      <c r="G37" s="266"/>
      <c r="H37" s="266"/>
      <c r="I37" s="266"/>
      <c r="J37" s="266"/>
      <c r="K37" s="266"/>
      <c r="L37" s="266"/>
      <c r="M37" s="266"/>
      <c r="N37" s="266"/>
      <c r="O37" s="266"/>
      <c r="P37" s="266"/>
      <c r="Q37" s="266"/>
      <c r="R37" s="266"/>
      <c r="S37" s="266"/>
    </row>
  </sheetData>
  <sheetProtection algorithmName="SHA-512" hashValue="npEN57vtu4ngFRqQnFrE+0TZFUVNOi7NVaDtI+4qdFXXVp+yn32oVtrSz+XXK0TrgSjEbYhxlCXsWXVy2aMM+Q==" saltValue="N/5zoyUbl+Vo0vGkTB1s4w==" spinCount="100000" sheet="1" scenarios="1" formatColumns="0" sort="0" autoFilter="0"/>
  <mergeCells count="42">
    <mergeCell ref="M16:S16"/>
    <mergeCell ref="B35:S35"/>
    <mergeCell ref="B36:S36"/>
    <mergeCell ref="B37:S37"/>
    <mergeCell ref="Q9:S9"/>
    <mergeCell ref="Q10:S10"/>
    <mergeCell ref="Q11:S11"/>
    <mergeCell ref="Q12:S12"/>
    <mergeCell ref="Q13:S13"/>
    <mergeCell ref="Q14:S14"/>
    <mergeCell ref="N9:P9"/>
    <mergeCell ref="N10:P10"/>
    <mergeCell ref="N11:P11"/>
    <mergeCell ref="N12:P12"/>
    <mergeCell ref="N13:P13"/>
    <mergeCell ref="N14:P14"/>
    <mergeCell ref="H13:J13"/>
    <mergeCell ref="H14:J14"/>
    <mergeCell ref="K9:M9"/>
    <mergeCell ref="K10:M10"/>
    <mergeCell ref="K11:M11"/>
    <mergeCell ref="K12:M12"/>
    <mergeCell ref="K13:M13"/>
    <mergeCell ref="K14:M14"/>
    <mergeCell ref="H9:J9"/>
    <mergeCell ref="H10:J10"/>
    <mergeCell ref="H11:J11"/>
    <mergeCell ref="H12:J12"/>
    <mergeCell ref="B14:D14"/>
    <mergeCell ref="E9:G9"/>
    <mergeCell ref="E10:G10"/>
    <mergeCell ref="E11:G11"/>
    <mergeCell ref="E12:G12"/>
    <mergeCell ref="E13:G13"/>
    <mergeCell ref="E14:G14"/>
    <mergeCell ref="B13:D13"/>
    <mergeCell ref="B12:D12"/>
    <mergeCell ref="B4:S4"/>
    <mergeCell ref="B6:S6"/>
    <mergeCell ref="B9:D9"/>
    <mergeCell ref="B10:D10"/>
    <mergeCell ref="B11:D11"/>
  </mergeCells>
  <conditionalFormatting sqref="B6">
    <cfRule type="expression" dxfId="616" priority="7" stopIfTrue="1">
      <formula>ISNUMBER(SEARCH("INSUFFICIENT",$B$6))</formula>
    </cfRule>
  </conditionalFormatting>
  <conditionalFormatting sqref="B13:D13">
    <cfRule type="expression" dxfId="615" priority="6" stopIfTrue="1">
      <formula>RIGHT(B13,1)="*"</formula>
    </cfRule>
    <cfRule type="expression" dxfId="614" priority="8" stopIfTrue="1">
      <formula>LEFT(B13,5)="ALERT"</formula>
    </cfRule>
    <cfRule type="expression" dxfId="613" priority="9" stopIfTrue="1">
      <formula>LEFT(B13,5)="WATCH"</formula>
    </cfRule>
    <cfRule type="expression" dxfId="612" priority="10" stopIfTrue="1">
      <formula>LEFT(B13,2)="OK"</formula>
    </cfRule>
    <cfRule type="expression" dxfId="611" priority="11" stopIfTrue="1">
      <formula>LEFT(B13,12)="INSUFFICIENT"</formula>
    </cfRule>
  </conditionalFormatting>
  <conditionalFormatting sqref="E13:G13">
    <cfRule type="expression" dxfId="610" priority="5" stopIfTrue="1">
      <formula>RIGHT(E13,1)="*"</formula>
    </cfRule>
    <cfRule type="expression" dxfId="609" priority="12" stopIfTrue="1">
      <formula>LEFT(E13,5)="ALERT"</formula>
    </cfRule>
    <cfRule type="expression" dxfId="608" priority="13" stopIfTrue="1">
      <formula>LEFT(E13,5)="WATCH"</formula>
    </cfRule>
    <cfRule type="expression" dxfId="607" priority="14" stopIfTrue="1">
      <formula>LEFT(E13,2)="OK"</formula>
    </cfRule>
    <cfRule type="expression" dxfId="606" priority="15" stopIfTrue="1">
      <formula>LEFT(E13,12)="INSUFFICIENT"</formula>
    </cfRule>
  </conditionalFormatting>
  <conditionalFormatting sqref="H13:J13">
    <cfRule type="expression" dxfId="605" priority="4" stopIfTrue="1">
      <formula>RIGHT(H13,1)="*"</formula>
    </cfRule>
    <cfRule type="expression" dxfId="604" priority="16" stopIfTrue="1">
      <formula>LEFT(H13,5)="ALERT"</formula>
    </cfRule>
    <cfRule type="expression" dxfId="603" priority="17" stopIfTrue="1">
      <formula>LEFT(H13,5)="WATCH"</formula>
    </cfRule>
    <cfRule type="expression" dxfId="602" priority="18" stopIfTrue="1">
      <formula>LEFT(H13,2)="OK"</formula>
    </cfRule>
    <cfRule type="expression" dxfId="601" priority="19" stopIfTrue="1">
      <formula>LEFT(H13,12)="INSUFFICIENT"</formula>
    </cfRule>
  </conditionalFormatting>
  <conditionalFormatting sqref="K13:M13">
    <cfRule type="expression" dxfId="600" priority="3" stopIfTrue="1">
      <formula>RIGHT(K13,1)="*"</formula>
    </cfRule>
    <cfRule type="expression" dxfId="599" priority="20" stopIfTrue="1">
      <formula>LEFT(K13,5)="ALERT"</formula>
    </cfRule>
    <cfRule type="expression" dxfId="598" priority="21" stopIfTrue="1">
      <formula>LEFT(K13,5)="WATCH"</formula>
    </cfRule>
    <cfRule type="expression" dxfId="597" priority="22" stopIfTrue="1">
      <formula>LEFT(K13,2)="OK"</formula>
    </cfRule>
    <cfRule type="expression" dxfId="596" priority="23" stopIfTrue="1">
      <formula>LEFT(K13,12)="INSUFFICIENT"</formula>
    </cfRule>
  </conditionalFormatting>
  <conditionalFormatting sqref="N13:P13">
    <cfRule type="expression" dxfId="595" priority="2" stopIfTrue="1">
      <formula>RIGHT(N13,1)="*"</formula>
    </cfRule>
    <cfRule type="expression" dxfId="594" priority="24" stopIfTrue="1">
      <formula>LEFT(N13,5)="ALERT"</formula>
    </cfRule>
    <cfRule type="expression" dxfId="593" priority="25" stopIfTrue="1">
      <formula>LEFT(N13,5)="WATCH"</formula>
    </cfRule>
    <cfRule type="expression" dxfId="592" priority="26" stopIfTrue="1">
      <formula>LEFT(N13,2)="OK"</formula>
    </cfRule>
    <cfRule type="expression" dxfId="591" priority="27" stopIfTrue="1">
      <formula>LEFT(N13,12)="INSUFFICIENT"</formula>
    </cfRule>
  </conditionalFormatting>
  <conditionalFormatting sqref="Q13:S13">
    <cfRule type="expression" dxfId="590" priority="1" stopIfTrue="1">
      <formula>RIGHT(Q13,1)="*"</formula>
    </cfRule>
    <cfRule type="expression" dxfId="589" priority="28" stopIfTrue="1">
      <formula>LEFT(Q13,5)="ALERT"</formula>
    </cfRule>
    <cfRule type="expression" dxfId="588" priority="29" stopIfTrue="1">
      <formula>LEFT(Q13,5)="WATCH"</formula>
    </cfRule>
    <cfRule type="expression" dxfId="587" priority="30" stopIfTrue="1">
      <formula>LEFT(Q13,2)="OK"</formula>
    </cfRule>
    <cfRule type="expression" dxfId="586" priority="31" stopIfTrue="1">
      <formula>LEFT(Q13,12)="INSUFFICIENT"</formula>
    </cfRule>
  </conditionalFormatting>
  <conditionalFormatting sqref="M27:M32">
    <cfRule type="expression" dxfId="585" priority="32" stopIfTrue="1">
      <formula>ISNUMBER(SEARCH("ALERT",$M27))</formula>
    </cfRule>
    <cfRule type="expression" dxfId="584" priority="33" stopIfTrue="1">
      <formula>ISNUMBER(SEARCH("WATCH",$M27))</formula>
    </cfRule>
  </conditionalFormatting>
  <dataValidations count="1">
    <dataValidation type="list" allowBlank="1" showInputMessage="1" showErrorMessage="1" sqref="J5" xr:uid="{252959BA-D0C0-4733-B20D-655565426D3C}">
      <formula1>anMonthList</formula1>
    </dataValidation>
  </dataValidations>
  <printOptions horizontalCentered="1"/>
  <pageMargins left="0.25" right="0.25" top="0.25" bottom="0.25" header="0.3" footer="0.3"/>
  <pageSetup paperSize="9" scale="83" orientation="landscape" r:id="rId1"/>
  <drawing r:id="rId2"/>
  <extLst>
    <ext xmlns:x14="http://schemas.microsoft.com/office/spreadsheetml/2009/9/main" uri="{05C60535-1F16-4fd2-B633-F4F36F0B64E0}">
      <x14:sparklineGroups xmlns:xm="http://schemas.microsoft.com/office/excel/2006/main">
        <x14:sparklineGroup displayEmptyCellsAs="gap" last="1" displayHidden="1" xr2:uid="{A74D5C52-A454-4E83-BA2F-A6857F09CD3B}">
          <x14:colorSeries rgb="FF0080B4"/>
          <x14:colorNegative rgb="FFD00000"/>
          <x14:colorAxis rgb="FF000000"/>
          <x14:colorMarkers rgb="FFD00000"/>
          <x14:colorFirst rgb="FFD00000"/>
          <x14:colorLast rgb="FF9C0006"/>
          <x14:colorHigh rgb="FFD00000"/>
          <x14:colorLow rgb="FFD00000"/>
          <x14:sparklines>
            <x14:sparkline>
              <xm:f>AN_Exec_Life!AC20:AC31</xm:f>
              <xm:sqref>B12</xm:sqref>
            </x14:sparkline>
          </x14:sparklines>
        </x14:sparklineGroup>
        <x14:sparklineGroup displayEmptyCellsAs="gap" last="1" displayHidden="1" xr2:uid="{E1D4DDBC-DACD-4FF3-8BC2-5A1F16A5EF6C}">
          <x14:colorSeries rgb="FF0080B4"/>
          <x14:colorNegative rgb="FFD00000"/>
          <x14:colorAxis rgb="FF000000"/>
          <x14:colorMarkers rgb="FFD00000"/>
          <x14:colorFirst rgb="FFD00000"/>
          <x14:colorLast rgb="FF9C0006"/>
          <x14:colorHigh rgb="FFD00000"/>
          <x14:colorLow rgb="FFD00000"/>
          <x14:sparklines>
            <x14:sparkline>
              <xm:f>AN_Exec_Life!AE20:AE31</xm:f>
              <xm:sqref>E12</xm:sqref>
            </x14:sparkline>
          </x14:sparklines>
        </x14:sparklineGroup>
        <x14:sparklineGroup displayEmptyCellsAs="gap" last="1" displayHidden="1" xr2:uid="{45A3C9B5-93A8-4D00-8406-F3CD2F88F96A}">
          <x14:colorSeries rgb="FF0080B4"/>
          <x14:colorNegative rgb="FFD00000"/>
          <x14:colorAxis rgb="FF000000"/>
          <x14:colorMarkers rgb="FFD00000"/>
          <x14:colorFirst rgb="FFD00000"/>
          <x14:colorLast rgb="FF9C0006"/>
          <x14:colorHigh rgb="FFD00000"/>
          <x14:colorLow rgb="FFD00000"/>
          <x14:sparklines>
            <x14:sparkline>
              <xm:f>AN_Exec_Life!AF20:AF31</xm:f>
              <xm:sqref>H12</xm:sqref>
            </x14:sparkline>
          </x14:sparklines>
        </x14:sparklineGroup>
        <x14:sparklineGroup displayEmptyCellsAs="gap" last="1" displayHidden="1" xr2:uid="{FB3302C6-59C8-4887-974A-DAD060570FC9}">
          <x14:colorSeries rgb="FF0080B4"/>
          <x14:colorNegative rgb="FFD00000"/>
          <x14:colorAxis rgb="FF000000"/>
          <x14:colorMarkers rgb="FFD00000"/>
          <x14:colorFirst rgb="FFD00000"/>
          <x14:colorLast rgb="FF9C0006"/>
          <x14:colorHigh rgb="FFD00000"/>
          <x14:colorLow rgb="FFD00000"/>
          <x14:sparklines>
            <x14:sparkline>
              <xm:f>AN_Exec_Life!AG20:AG31</xm:f>
              <xm:sqref>K12</xm:sqref>
            </x14:sparkline>
          </x14:sparklines>
        </x14:sparklineGroup>
        <x14:sparklineGroup displayEmptyCellsAs="gap" last="1" displayHidden="1" xr2:uid="{A29C5D1E-0656-4FFA-A075-78EEF42F7896}">
          <x14:colorSeries rgb="FF0080B4"/>
          <x14:colorNegative rgb="FFD00000"/>
          <x14:colorAxis rgb="FF000000"/>
          <x14:colorMarkers rgb="FFD00000"/>
          <x14:colorFirst rgb="FFD00000"/>
          <x14:colorLast rgb="FF9C0006"/>
          <x14:colorHigh rgb="FFD00000"/>
          <x14:colorLow rgb="FFD00000"/>
          <x14:sparklines>
            <x14:sparkline>
              <xm:f>AN_Exec_Life!AH20:AH31</xm:f>
              <xm:sqref>N12</xm:sqref>
            </x14:sparkline>
          </x14:sparklines>
        </x14:sparklineGroup>
        <x14:sparklineGroup displayEmptyCellsAs="gap" last="1" displayHidden="1" xr2:uid="{184F5A17-AA90-49D7-B3C3-A991142F6808}">
          <x14:colorSeries rgb="FF0080B4"/>
          <x14:colorNegative rgb="FFD00000"/>
          <x14:colorAxis rgb="FF000000"/>
          <x14:colorMarkers rgb="FFD00000"/>
          <x14:colorFirst rgb="FFD00000"/>
          <x14:colorLast rgb="FF9C0006"/>
          <x14:colorHigh rgb="FFD00000"/>
          <x14:colorLow rgb="FFD00000"/>
          <x14:sparklines>
            <x14:sparkline>
              <xm:f>AN_Exec_Life!AI20:AI31</xm:f>
              <xm:sqref>Q12</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D949D-5A6A-4420-AFF2-785E4639F5F0}">
  <sheetPr codeName="Sheet76">
    <pageSetUpPr fitToPage="1"/>
  </sheetPr>
  <dimension ref="B1:AV37"/>
  <sheetViews>
    <sheetView showGridLines="0" workbookViewId="0"/>
  </sheetViews>
  <sheetFormatPr defaultRowHeight="12"/>
  <cols>
    <col min="1" max="1" width="2.28515625" style="122" customWidth="1"/>
    <col min="2" max="12" width="9.28515625" style="122" customWidth="1"/>
    <col min="13" max="13" width="14.7109375" style="122" customWidth="1"/>
    <col min="14" max="19" width="9.28515625" style="122" customWidth="1"/>
    <col min="20" max="27" width="9.140625" style="122"/>
    <col min="28" max="48" width="0" style="122" hidden="1" customWidth="1"/>
    <col min="49" max="16384" width="9.140625" style="122"/>
  </cols>
  <sheetData>
    <row r="1" spans="2:48" ht="18">
      <c r="B1" s="123" t="str" cm="1">
        <f t="array" ref="B1">_xlfn.XLOOKUP("AN_SEG_"&amp;$AB$3,tblUIText[Key],tblUIText[TR],$AB$3)&amp;": "&amp;$AB$5&amp;" "&amp;_xlfn.XLOOKUP("AN_W_PAID",tblUIText[Key],tblUIText[TR],"AN_W_PAID")&amp;" "&amp;IF(ISNUMBER($AC$31),anNum($AC$31/1000000,1)&amp;" "&amp;_xlfn.XLOOKUP("AN_W_UNITM",tblUIText[Key],tblUIText[TR],"AN_W_UNITM"),"-")&amp;IF(ISNUMBER($AD$31),", "&amp;_xlfn.XLOOKUP("AN_T_VSPM",tblUIText[Key],tblUIText[TR],"AN_T_VSPM")&amp;" "&amp;anPctS($AD$31,1),"")&amp;"; "&amp;$AQ$12&amp;" "&amp;_xlfn.XLOOKUP("AN_W_OPEN_ALERTS",tblUIText[Key],tblUIText[TR],"AN_W_OPEN_ALERTS")</f>
        <v>Emeklilik:  ödemeleri -; 0 açık uyarı</v>
      </c>
    </row>
    <row r="2" spans="2:48" ht="15">
      <c r="B2" s="124" t="str" cm="1">
        <f t="array" ref="B2">_xlfn.XLOOKUP("AN_SEG_"&amp;$AB$3,tblUIText[Key],tblUIText[EN],$AB$3)&amp;": "&amp;_xlfn.XLOOKUP("AN_W_PAID",tblUIText[Key],tblUIText[EN],"AN_W_PAID")&amp;" "&amp;IF(ISNUMBER($AC$31),anNum($AC$31/1000000,1)&amp;" "&amp;_xlfn.XLOOKUP("AN_W_UNITM",tblUIText[Key],tblUIText[EN],"AN_W_UNITM"),"-")&amp;" in "&amp;$AB$5&amp;IF(ISNUMBER($AD$31),", "&amp;anPctS($AD$31,1)&amp;" "&amp;_xlfn.XLOOKUP("AN_T_VSPM",tblUIText[Key],tblUIText[EN],"AN_T_VSPM"),"")&amp;"; "&amp;$AQ$12&amp;" "&amp;_xlfn.XLOOKUP("AN_W_OPEN_ALERTS",tblUIText[Key],tblUIText[EN],"AN_W_OPEN_ALERTS")</f>
        <v>Pension: paid - in ; 0 open alert(s)</v>
      </c>
      <c r="AB2" s="122" t="s">
        <v>19090</v>
      </c>
    </row>
    <row r="3" spans="2:48">
      <c r="B3" s="125" t="str">
        <f>HYPERLINK("#'AN_Index'!A1",_xlfn.XLOOKUP("AN_NAV_INDEX",tblUIText[Key],tblUIText[TR],"AN_NAV_INDEX"))</f>
        <v>Dizin</v>
      </c>
      <c r="D3" s="125" t="str">
        <f>HYPERLINK("#'AN_Exec_Life'!A1",_xlfn.XLOOKUP("AN_NAV_LIFE",tblUIText[Key],tblUIText[TR],"AN_NAV_LIFE"))</f>
        <v>Hayat</v>
      </c>
      <c r="F3" s="127" t="str">
        <f>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
        <v>114</v>
      </c>
    </row>
    <row r="4" spans="2:48" ht="33.950000000000003" customHeight="1">
      <c r="B4" s="244" t="str">
        <f>_xlfn.XLOOKUP("AN_EXEC_PURPOSE",tblUIText[Key],tblUIText[TR],"AN_EXEC_PURPOSE")&amp;" / "&amp;_xlfn.XLOOKUP("AN_EXEC_PURPOSE",tblUIText[Key],tblUIText[EN],"")&amp;CHAR(10)&amp;_xlfn.XLOOKUP("AN_HOWTO_EXEC",tblUIText[Key],tblUIText[TR],"AN_HOWTO_EXEC")&amp;" / "&amp;_xlfn.XLOOKUP("AN_HOWTO_EXEC",tblUIText[Key],tblUIText[EN],"")</f>
        <v>Bu segmentin seçilen aydaki ödeme faaliyeti olağan mı? / Is this segment's payment activity normal in the selected month?
Nasıl okunur: altı kutucuk seçilen ayın değeri, önceki aya değişim, 12 aylık seyir ve durumdur; durum taslak eşiklere göre hesaplanır. Grafik bandı log ölçekte olağan aralığı gösterir. / How to read: six tiles give the selected month's value, change vs the previous month, a 12-month sparkline and a status against draft levels; the chart band shows the usual range on a log scale.</v>
      </c>
      <c r="C4" s="244"/>
      <c r="D4" s="244"/>
      <c r="E4" s="244"/>
      <c r="F4" s="244"/>
      <c r="G4" s="244"/>
      <c r="H4" s="244"/>
      <c r="I4" s="244"/>
      <c r="J4" s="244"/>
      <c r="K4" s="244"/>
      <c r="L4" s="244"/>
      <c r="M4" s="244"/>
      <c r="N4" s="244"/>
      <c r="O4" s="244"/>
      <c r="P4" s="244"/>
      <c r="Q4" s="244"/>
      <c r="R4" s="244"/>
      <c r="S4" s="244"/>
      <c r="AB4" s="122">
        <f>COUNTIF($AB$8:$AB$31,"?*")</f>
        <v>0</v>
      </c>
    </row>
    <row r="5" spans="2:48">
      <c r="B5" s="128" t="s">
        <v>19100</v>
      </c>
      <c r="C5" s="126" t="str">
        <f>_xlfn.XLOOKUP("AN_SEG_"&amp;$AB$3,tblUIText[Key],tblUIText[TR],$AB$3)&amp;" / "&amp;_xlfn.XLOOKUP("AN_SEG_"&amp;$AB$3,tblUIText[Key],tblUIText[EN],$AB$3)</f>
        <v>Emeklilik / Pension</v>
      </c>
      <c r="I5" s="129" t="str">
        <f>_xlfn.XLOOKUP("AN_LBL_MONTH",tblUIText[Key],tblUIText[TR],"AN_LBL_MONTH")&amp;" / "&amp;_xlfn.XLOOKUP("AN_LBL_MONTH",tblUIText[Key],tblUIText[EN],"")&amp;":"</f>
        <v>Ay / Month:</v>
      </c>
      <c r="J5" s="131" t="s">
        <v>19101</v>
      </c>
      <c r="M5" s="130" t="str">
        <f>_xlfn.XLOOKUP("AN_LBL_REFRESH",tblUIText[Key],tblUIText[TR],"AN_LBL_REFRESH")&amp;" / "&amp;_xlfn.XLOOKUP("AN_LBL_REFRESH",tblUIText[Key],tblUIText[EN],"")&amp;": "&amp;IFERROR(TEXT(cpLastLoggedRefresh,"yyyy-mm-dd hh:mm"),cpLastLoggedRefresh&amp;"")</f>
        <v>Son yenileme / Last refresh: none</v>
      </c>
      <c r="AB5" s="122" t="str" cm="1">
        <f t="array" ref="AB5">IF($J$5=_xlfn.XLOOKUP("AN_LBL_LATEST",tblUIText[Key],tblUIText[TR],"AN_LBL_LATEST")&amp;" / "&amp;_xlfn.XLOOKUP("AN_LBL_LATEST",tblUIText[Key],tblUIText[EN],""),_xlfn.TAKE(_xlfn.ANCHORARRAY($AV$8),-1),$J$5)</f>
        <v/>
      </c>
    </row>
    <row r="6" spans="2:48">
      <c r="B6" s="245" t="str" cm="1">
        <f t="array" ref="B6">_xlfn.XLOOKUP("AN_LBL_READINESS",tblUIText[Key],tblUIText[TR],"AN_LBL_READINESS")&amp;" / "&amp;_xlfn.XLOOKUP("AN_LBL_READINESS",tblUIText[Key],tblUIText[EN],"")&amp;": "&amp;_xlfn.LET(_xlpm.n,$AB$4,_xlpm.l,$AJ$31,_xlpm.mn,_xlfn.XLOOKUP("MinLinesForQuantile",AnParam[Param],AnParam[Value]),IF(N(_xlpm.l)&lt;_xlpm.mn,"INSUFFICIENT DATA","OK")&amp;": "&amp;_xlpm.n&amp;" "&amp;_xlfn.XLOOKUP("AN_READY_MONTHS",tblUIText[Key],tblUIText[TR],"AN_READY_MONTHS")&amp;" / "&amp;_xlfn.XLOOKUP("AN_READY_MONTHS",tblUIText[Key],tblUIText[EN],"")&amp;"; "&amp;anNum(N(_xlpm.l),0)&amp;" "&amp;_xlfn.XLOOKUP("AN_READY_LINES",tblUIText[Key],tblUIText[TR],"AN_READY_LINES")&amp;" / "&amp;_xlfn.XLOOKUP("AN_READY_LINES",tblUIText[Key],tblUIText[EN],""))</f>
        <v>Veri durumu / Data readiness: INSUFFICIENT DATA: 0 ay veri / months of data; 0 satır bu ay / lines this month</v>
      </c>
      <c r="C6" s="246"/>
      <c r="D6" s="246"/>
      <c r="E6" s="246"/>
      <c r="F6" s="246"/>
      <c r="G6" s="246"/>
      <c r="H6" s="246"/>
      <c r="I6" s="246"/>
      <c r="J6" s="246"/>
      <c r="K6" s="246"/>
      <c r="L6" s="246"/>
      <c r="M6" s="246"/>
      <c r="N6" s="246"/>
      <c r="O6" s="246"/>
      <c r="P6" s="246"/>
      <c r="Q6" s="246"/>
      <c r="R6" s="246"/>
      <c r="S6" s="246"/>
      <c r="AB6" s="122">
        <f>IFERROR(MATCH($AB$5,_xlfn.ANCHORARRAY($AV$8),0),ROWS(_xlfn.ANCHORARRAY($AV$8)))</f>
        <v>1</v>
      </c>
    </row>
    <row r="7" spans="2:48"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B7" s="122" t="s">
        <v>19091</v>
      </c>
      <c r="AC7" s="122" t="s">
        <v>16979</v>
      </c>
      <c r="AD7" s="122" t="s">
        <v>19092</v>
      </c>
      <c r="AE7" s="122" t="s">
        <v>17025</v>
      </c>
      <c r="AF7" s="122" t="s">
        <v>19008</v>
      </c>
      <c r="AG7" s="122" t="s">
        <v>16940</v>
      </c>
      <c r="AH7" s="122" t="s">
        <v>19093</v>
      </c>
      <c r="AI7" s="122" t="s">
        <v>19094</v>
      </c>
      <c r="AJ7" s="122" t="s">
        <v>184</v>
      </c>
      <c r="AK7" s="122" t="s">
        <v>19095</v>
      </c>
      <c r="AL7" s="122" t="s">
        <v>19097</v>
      </c>
      <c r="AM7" s="122" t="s">
        <v>19098</v>
      </c>
      <c r="AN7" s="122" t="s">
        <v>19099</v>
      </c>
      <c r="AQ7" s="122" t="s">
        <v>19096</v>
      </c>
      <c r="AS7" s="122" t="s">
        <v>19102</v>
      </c>
      <c r="AT7" s="122" t="s">
        <v>19103</v>
      </c>
      <c r="AU7" s="122" t="s">
        <v>19958</v>
      </c>
    </row>
    <row r="8" spans="2:48">
      <c r="AB8" s="122" t="str" cm="1">
        <f t="array" ref="AB8">IFERROR(INDEX(_xlfn.ANCHORARRAY($AV$8),$AB$6-24+ROW()-7),"")</f>
        <v/>
      </c>
      <c r="AC8" s="122" t="str" cm="1">
        <f t="array" ref="AC8">IF($AB8="","",_xlfn.LET(_xlpm.r,_xlfn.XLOOKUP($AB$3&amp;"|"&amp;$AB8,anSM_Seg&amp;"|"&amp;anSM_YM,anSM_Paid,""),IF(ISBLANK(_xlpm.r),"",_xlpm.r)))</f>
        <v/>
      </c>
      <c r="AD8" s="122" t="str" cm="1">
        <f t="array" ref="AD8">IF($AB8="","",_xlfn.LET(_xlpm.r,_xlfn.XLOOKUP($AB$3&amp;"|"&amp;$AB8,anSM_Seg&amp;"|"&amp;anSM_YM,anSM_MoM,""),IF(ISBLANK(_xlpm.r),"",_xlpm.r)))</f>
        <v/>
      </c>
      <c r="AE8" s="122" t="str" cm="1">
        <f t="array" ref="AE8">IF($AB8="","",_xlfn.LET(_xlpm.r,_xlfn.XLOOKUP($AB$3&amp;"|"&amp;$AB8,anSM_Seg&amp;"|"&amp;anSM_YM,anSM_Cases,""),IF(ISBLANK(_xlpm.r),"",_xlpm.r)))</f>
        <v/>
      </c>
      <c r="AF8" s="122" t="str" cm="1">
        <f t="array" ref="AF8">IF($AB8="","",_xlfn.LET(_xlpm.r,_xlfn.XLOOKUP($AB$3&amp;"|"&amp;$AB8,anSM_Seg&amp;"|"&amp;anSM_YM,anSM_Mean,""),IF(ISBLANK(_xlpm.r),"",_xlpm.r)))</f>
        <v/>
      </c>
      <c r="AG8" s="122" t="str" cm="1">
        <f t="array" ref="AG8">IF($AB8="","",_xlfn.LET(_xlpm.r,_xlfn.XLOOKUP($AB$3&amp;"|"&amp;$AB8,anSM_Seg&amp;"|"&amp;anSM_YM,anSM_P90,""),IF(ISBLANK(_xlpm.r),"",_xlpm.r)))</f>
        <v/>
      </c>
      <c r="AH8" s="122" t="str" cm="1">
        <f t="array" ref="AH8">IF($AB8="","",_xlfn.LET(_xlpm.r,_xlfn.XLOOKUP($AB$3&amp;"|"&amp;$AB8,anSM_Seg&amp;"|"&amp;anSM_YM,anSM_LagP50,""),IF(ISBLANK(_xlpm.r),"",_xlpm.r)))</f>
        <v/>
      </c>
      <c r="AI8" s="122" t="str" cm="1">
        <f t="array" ref="AI8">IF($AB8="","",_xlfn.LET(_xlpm.r,_xlfn.XLOOKUP($AB$3&amp;"|"&amp;$AB8,anSM_Seg&amp;"|"&amp;anSM_YM,anSM_SLA,""),IF(ISBLANK(_xlpm.r),"",_xlpm.r)))</f>
        <v/>
      </c>
      <c r="AJ8" s="122" t="str" cm="1">
        <f t="array" ref="AJ8">IF($AB8="","",_xlfn.LET(_xlpm.r,_xlfn.XLOOKUP($AB$3&amp;"|"&amp;$AB8,anSM_Seg&amp;"|"&amp;anSM_YM,anSM_Lines,""),IF(ISBLANK(_xlpm.r),"",_xlpm.r)))</f>
        <v/>
      </c>
      <c r="AK8" s="122" t="str" cm="1">
        <f t="array" ref="AK8">IF($AB8="","",_xlfn.LET(_xlpm.r,_xlfn.XLOOKUP($AB$3&amp;"|"&amp;$AB8,anSM_Seg&amp;"|"&amp;anSM_YM,anSM_PM,""),IF(ISBLANK(_xlpm.r),"",_xlpm.r)))</f>
        <v/>
      </c>
      <c r="AL8" s="122" t="str">
        <f t="shared" ref="AL8:AL31" si="0">IF(OR($AB8="",$AQ$8=""),"",EXP($AQ$8))</f>
        <v/>
      </c>
      <c r="AM8" s="122" t="str">
        <f t="shared" ref="AM8:AM31" si="1">IF(OR($AB8="",$AQ$9=""),"",EXP($AQ$8-$AQ$10*$AQ$9))</f>
        <v/>
      </c>
      <c r="AN8" s="122" t="str">
        <f t="shared" ref="AN8:AN31" si="2">IF(OR($AB8="",$AQ$9=""),"",EXP($AQ$8+$AQ$10*$AQ$9))</f>
        <v/>
      </c>
      <c r="AQ8" s="122" t="str" cm="1">
        <f t="array" ref="AQ8">_xlfn.LET(_xlpm.h,_xlfn._xlws.FILTER($AC$8:$AC$30,ISNUMBER($AC$8:$AC$30)*($AC$8:$AC$30&gt;0),""),IFERROR(MEDIAN(LN(_xlpm.h)),""))</f>
        <v/>
      </c>
      <c r="AS8" s="122" t="str">
        <f>_xlfn.XLOOKUP("AN_T_PAID",tblUIText[Key],tblUIText[TR],"AN_T_PAID")&amp;" / "&amp;_xlfn.XLOOKUP("AN_T_PAID",tblUIText[Key],tblUIText[EN],"")</f>
        <v>Ödenen (mn TL) / Paid (TRY m)</v>
      </c>
      <c r="AT8" s="122" t="str">
        <f>$B$13</f>
        <v>INSUFFICIENT DATA</v>
      </c>
      <c r="AU8" s="122" t="str" cm="1">
        <f t="array" ref="AU8">_xlfn.LET(_xlpm.m,_xlfn.XLOOKUP("PD01",tblThreshold[KPI_ID],tblThreshold[Method],""),_xlpm.rs,_xlfn.XLOOKUP("PD01",tblThreshold[KPI_ID],tblThreshold[Status],""),_xlpm.wl,_xlfn.XLOOKUP("PD01",tblThreshold[KPI_ID],tblThreshold[WatchLevel],""),_xlpm.al,_xlfn.XLOOKUP("PD01",tblThreshold[KPI_ID],tblThreshold[AlertLevel],""),_xlpm.mm,_xlfn.XLOOKUP("PD01",tblThreshold[KPI_ID],tblThreshold[MinMonths],0),_xlpm.mn,_xlfn.XLOOKUP("PD01",tblThreshold[KPI_ID],tblThreshold[MinN],0),_xlpm.per,IF(ISNUMBER(SEARCH("WATCH: 2",_xlfn.XLOOKUP("PD01",tblThreshold[KPI_ID],tblThreshold[Persistence],""))),2,1),_xlpm.hr,$AC$8:$AC$30,_xlpm.h,_xlfn._xlws.FILTER(_xlpm.hr,ISNUMBER(_xlpm.hr),""),_xlpm.x,$AC$31,_xlpm.xp,$AC$30,_xlpm.n,$AJ$31,_xlpm.side,IF(LEFT("PD01",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AV8" s="122" t="str" cm="1">
        <f t="array" ref="AV8">_xlfn._xlws.SORT(_xlfn.UNIQUE(_xlfn._xlws.FILTER(anSM_YM,(anSM_Seg=$AB$3)*(anSM_Lines&lt;&gt;"")*(anSM_YM&lt;&gt;""),"")))</f>
        <v/>
      </c>
    </row>
    <row r="9" spans="2:48" ht="24" customHeight="1">
      <c r="B9" s="267" t="str">
        <f>_xlfn.XLOOKUP("AN_T_PAID",tblUIText[Key],tblUIText[TR],"AN_T_PAID")&amp;" / "&amp;_xlfn.XLOOKUP("AN_T_PAID",tblUIText[Key],tblUIText[EN],"")</f>
        <v>Ödenen (mn TL) / Paid (TRY m)</v>
      </c>
      <c r="C9" s="268"/>
      <c r="D9" s="269"/>
      <c r="E9" s="267" t="str">
        <f>_xlfn.XLOOKUP("AN_T_CASES",tblUIText[Key],tblUIText[TR],"AN_T_CASES")&amp;" / "&amp;_xlfn.XLOOKUP("AN_T_CASES",tblUIText[Key],tblUIText[EN],"")</f>
        <v>Dosya sayısı / Cases</v>
      </c>
      <c r="F9" s="268"/>
      <c r="G9" s="269"/>
      <c r="H9" s="267" t="str">
        <f>_xlfn.XLOOKUP("AN_T_MEAN",tblUIText[Key],tblUIText[TR],"AN_T_MEAN")&amp;" / "&amp;_xlfn.XLOOKUP("AN_T_MEAN",tblUIText[Key],tblUIText[EN],"")</f>
        <v>Dosya başına ort. (bin TL) / Mean per case (TRY k)</v>
      </c>
      <c r="I9" s="268"/>
      <c r="J9" s="269"/>
      <c r="K9" s="267" t="str">
        <f>_xlfn.XLOOKUP("AN_T_P90",tblUIText[Key],tblUIText[TR],"AN_T_P90")&amp;" / "&amp;_xlfn.XLOOKUP("AN_T_P90",tblUIText[Key],tblUIText[EN],"")</f>
        <v>Dosya başına P90 (bin TL) / P90 per case (TRY k)</v>
      </c>
      <c r="L9" s="268"/>
      <c r="M9" s="269"/>
      <c r="N9" s="267" t="str">
        <f>_xlfn.XLOOKUP("AN_T_LAG",tblUIText[Key],tblUIText[TR],"AN_T_LAG")&amp;" / "&amp;_xlfn.XLOOKUP("AN_T_LAG",tblUIText[Key],tblUIText[EN],"")</f>
        <v>Hasar→ödeme P50 (gün) / Loss→payment P50 (days)</v>
      </c>
      <c r="O9" s="268"/>
      <c r="P9" s="269"/>
      <c r="Q9" s="267" t="str">
        <f>_xlfn.XLOOKUP("AN_T_SLA",tblUIText[Key],tblUIText[TR],"AN_T_SLA")&amp;" / "&amp;_xlfn.XLOOKUP("AN_T_SLA",tblUIText[Key],tblUIText[EN],"")</f>
        <v>Uçtan uca SLA aşımı / SLA breach, end to end</v>
      </c>
      <c r="R9" s="268"/>
      <c r="S9" s="269"/>
      <c r="AB9" s="122" t="str" cm="1">
        <f t="array" ref="AB9">IFERROR(INDEX(_xlfn.ANCHORARRAY($AV$8),$AB$6-24+ROW()-7),"")</f>
        <v/>
      </c>
      <c r="AC9" s="122" t="str" cm="1">
        <f t="array" ref="AC9">IF($AB9="","",_xlfn.LET(_xlpm.r,_xlfn.XLOOKUP($AB$3&amp;"|"&amp;$AB9,anSM_Seg&amp;"|"&amp;anSM_YM,anSM_Paid,""),IF(ISBLANK(_xlpm.r),"",_xlpm.r)))</f>
        <v/>
      </c>
      <c r="AD9" s="122" t="str" cm="1">
        <f t="array" ref="AD9">IF($AB9="","",_xlfn.LET(_xlpm.r,_xlfn.XLOOKUP($AB$3&amp;"|"&amp;$AB9,anSM_Seg&amp;"|"&amp;anSM_YM,anSM_MoM,""),IF(ISBLANK(_xlpm.r),"",_xlpm.r)))</f>
        <v/>
      </c>
      <c r="AE9" s="122" t="str" cm="1">
        <f t="array" ref="AE9">IF($AB9="","",_xlfn.LET(_xlpm.r,_xlfn.XLOOKUP($AB$3&amp;"|"&amp;$AB9,anSM_Seg&amp;"|"&amp;anSM_YM,anSM_Cases,""),IF(ISBLANK(_xlpm.r),"",_xlpm.r)))</f>
        <v/>
      </c>
      <c r="AF9" s="122" t="str" cm="1">
        <f t="array" ref="AF9">IF($AB9="","",_xlfn.LET(_xlpm.r,_xlfn.XLOOKUP($AB$3&amp;"|"&amp;$AB9,anSM_Seg&amp;"|"&amp;anSM_YM,anSM_Mean,""),IF(ISBLANK(_xlpm.r),"",_xlpm.r)))</f>
        <v/>
      </c>
      <c r="AG9" s="122" t="str" cm="1">
        <f t="array" ref="AG9">IF($AB9="","",_xlfn.LET(_xlpm.r,_xlfn.XLOOKUP($AB$3&amp;"|"&amp;$AB9,anSM_Seg&amp;"|"&amp;anSM_YM,anSM_P90,""),IF(ISBLANK(_xlpm.r),"",_xlpm.r)))</f>
        <v/>
      </c>
      <c r="AH9" s="122" t="str" cm="1">
        <f t="array" ref="AH9">IF($AB9="","",_xlfn.LET(_xlpm.r,_xlfn.XLOOKUP($AB$3&amp;"|"&amp;$AB9,anSM_Seg&amp;"|"&amp;anSM_YM,anSM_LagP50,""),IF(ISBLANK(_xlpm.r),"",_xlpm.r)))</f>
        <v/>
      </c>
      <c r="AI9" s="122" t="str" cm="1">
        <f t="array" ref="AI9">IF($AB9="","",_xlfn.LET(_xlpm.r,_xlfn.XLOOKUP($AB$3&amp;"|"&amp;$AB9,anSM_Seg&amp;"|"&amp;anSM_YM,anSM_SLA,""),IF(ISBLANK(_xlpm.r),"",_xlpm.r)))</f>
        <v/>
      </c>
      <c r="AJ9" s="122" t="str" cm="1">
        <f t="array" ref="AJ9">IF($AB9="","",_xlfn.LET(_xlpm.r,_xlfn.XLOOKUP($AB$3&amp;"|"&amp;$AB9,anSM_Seg&amp;"|"&amp;anSM_YM,anSM_Lines,""),IF(ISBLANK(_xlpm.r),"",_xlpm.r)))</f>
        <v/>
      </c>
      <c r="AK9" s="122" t="str" cm="1">
        <f t="array" ref="AK9">IF($AB9="","",_xlfn.LET(_xlpm.r,_xlfn.XLOOKUP($AB$3&amp;"|"&amp;$AB9,anSM_Seg&amp;"|"&amp;anSM_YM,anSM_PM,""),IF(ISBLANK(_xlpm.r),"",_xlpm.r)))</f>
        <v/>
      </c>
      <c r="AL9" s="122" t="str">
        <f t="shared" si="0"/>
        <v/>
      </c>
      <c r="AM9" s="122" t="str">
        <f t="shared" si="1"/>
        <v/>
      </c>
      <c r="AN9" s="122" t="str">
        <f t="shared" si="2"/>
        <v/>
      </c>
      <c r="AQ9" s="122" t="str" cm="1">
        <f t="array" ref="AQ9">_xlfn.LET(_xlpm.h,_xlfn._xlws.FILTER($AC$8:$AC$30,ISNUMBER($AC$8:$AC$30)*($AC$8:$AC$30&gt;0),""),_xlpm.lh,LN(_xlpm.h),_xlpm.md,MEDIAN(_xlpm.lh),IFERROR(1.4826*MEDIAN(ABS(_xlpm.lh-_xlpm.md)),""))</f>
        <v/>
      </c>
      <c r="AS9" s="122" t="str">
        <f>_xlfn.XLOOKUP("AN_T_CASES",tblUIText[Key],tblUIText[TR],"AN_T_CASES")&amp;" / "&amp;_xlfn.XLOOKUP("AN_T_CASES",tblUIText[Key],tblUIText[EN],"")</f>
        <v>Dosya sayısı / Cases</v>
      </c>
      <c r="AT9" s="122" t="str">
        <f>$E$13</f>
        <v>—</v>
      </c>
      <c r="AU9" s="122" t="str" cm="1">
        <f t="array" ref="AU9">_xlfn.LET(_xlpm.m,_xlfn.XLOOKUP("TI01",tblThreshold[KPI_ID],tblThreshold[Method],""),_xlpm.rs,_xlfn.XLOOKUP("TI01",tblThreshold[KPI_ID],tblThreshold[Status],""),_xlpm.mm,_xlfn.XLOOKUP("TI01",tblThreshold[KPI_ID],tblThreshold[MinMonths],12),_xlpm.hr,$AC$19:$AC$30,_xlpm.h,_xlfn._xlws.FILTER(_xlpm.hr,ISNUMBER(_xlpm.hr),""),_xlpm.x,$AD$31,_xlpm.pv,$AC$30,_xlpm.dn,_xlfn.XLOOKUP("MomDropLimit",AnParam[Param],AnParam[Value]),_xlpm.up,_xlfn.XLOOKUP("MomRiseLimit",AnParam[Param],AnParam[Value]),_xlpm.ms,_xlfn.XLOOKUP("MomMaterialityShare",AnParam[Param],AnParam[Value]),_xlpm.sfx,IF(_xlpm.rs&lt;&gt;"APPROVED"," (draft)",""),IF(_xlpm.m&lt;&gt;"MOM_RULE","—",IF(OR(NOT(ISNUMBER(_xlpm.x)),NOT(ISNUMBER(_xlpm.pv)),COUNT(_xlpm.h)&lt;MIN(_xlpm.mm,12)),"INSUFFICIENT DATA",IF(_xlpm.pv&lt;=_xlpm.ms*AVERAGE(_xlpm.h),"OK",IF(OR(_xlpm.x&lt;=_xlpm.dn,_xlpm.x&gt;=_xlpm.up),"WATCH"&amp;_xlpm.sfx,"OK")))))</f>
        <v>INSUFFICIENT DATA</v>
      </c>
    </row>
    <row r="10" spans="2:48" ht="27.95" customHeight="1">
      <c r="B10" s="250" t="str" cm="1">
        <f t="array" ref="B10">IF(ISNUMBER($AC$31),anNum($AC$31/1000000,1),"")</f>
        <v/>
      </c>
      <c r="C10" s="251"/>
      <c r="D10" s="252"/>
      <c r="E10" s="250" t="str" cm="1">
        <f t="array" ref="E10">IF(ISNUMBER($AE$31),anNum($AE$31,0),"")</f>
        <v/>
      </c>
      <c r="F10" s="251"/>
      <c r="G10" s="252"/>
      <c r="H10" s="250" t="str" cm="1">
        <f t="array" ref="H10">IF(ISNUMBER($AF$31),anNum($AF$31/1000,1),"")</f>
        <v/>
      </c>
      <c r="I10" s="251"/>
      <c r="J10" s="252"/>
      <c r="K10" s="250" t="str" cm="1">
        <f t="array" ref="K10">IF(ISNUMBER($AG$31),anNum($AG$31/1000,1),"")</f>
        <v/>
      </c>
      <c r="L10" s="251"/>
      <c r="M10" s="252"/>
      <c r="N10" s="250" t="str" cm="1">
        <f t="array" ref="N10">IF(ISNUMBER($AH$31),anNum($AH$31,1),"")</f>
        <v/>
      </c>
      <c r="O10" s="251"/>
      <c r="P10" s="252"/>
      <c r="Q10" s="250" t="str" cm="1">
        <f t="array" ref="Q10">IF(ISNUMBER($AI$31),anPct($AI$31,1),"")</f>
        <v/>
      </c>
      <c r="R10" s="251"/>
      <c r="S10" s="252"/>
      <c r="AB10" s="122" t="str" cm="1">
        <f t="array" ref="AB10">IFERROR(INDEX(_xlfn.ANCHORARRAY($AV$8),$AB$6-24+ROW()-7),"")</f>
        <v/>
      </c>
      <c r="AC10" s="122" t="str" cm="1">
        <f t="array" ref="AC10">IF($AB10="","",_xlfn.LET(_xlpm.r,_xlfn.XLOOKUP($AB$3&amp;"|"&amp;$AB10,anSM_Seg&amp;"|"&amp;anSM_YM,anSM_Paid,""),IF(ISBLANK(_xlpm.r),"",_xlpm.r)))</f>
        <v/>
      </c>
      <c r="AD10" s="122" t="str" cm="1">
        <f t="array" ref="AD10">IF($AB10="","",_xlfn.LET(_xlpm.r,_xlfn.XLOOKUP($AB$3&amp;"|"&amp;$AB10,anSM_Seg&amp;"|"&amp;anSM_YM,anSM_MoM,""),IF(ISBLANK(_xlpm.r),"",_xlpm.r)))</f>
        <v/>
      </c>
      <c r="AE10" s="122" t="str" cm="1">
        <f t="array" ref="AE10">IF($AB10="","",_xlfn.LET(_xlpm.r,_xlfn.XLOOKUP($AB$3&amp;"|"&amp;$AB10,anSM_Seg&amp;"|"&amp;anSM_YM,anSM_Cases,""),IF(ISBLANK(_xlpm.r),"",_xlpm.r)))</f>
        <v/>
      </c>
      <c r="AF10" s="122" t="str" cm="1">
        <f t="array" ref="AF10">IF($AB10="","",_xlfn.LET(_xlpm.r,_xlfn.XLOOKUP($AB$3&amp;"|"&amp;$AB10,anSM_Seg&amp;"|"&amp;anSM_YM,anSM_Mean,""),IF(ISBLANK(_xlpm.r),"",_xlpm.r)))</f>
        <v/>
      </c>
      <c r="AG10" s="122" t="str" cm="1">
        <f t="array" ref="AG10">IF($AB10="","",_xlfn.LET(_xlpm.r,_xlfn.XLOOKUP($AB$3&amp;"|"&amp;$AB10,anSM_Seg&amp;"|"&amp;anSM_YM,anSM_P90,""),IF(ISBLANK(_xlpm.r),"",_xlpm.r)))</f>
        <v/>
      </c>
      <c r="AH10" s="122" t="str" cm="1">
        <f t="array" ref="AH10">IF($AB10="","",_xlfn.LET(_xlpm.r,_xlfn.XLOOKUP($AB$3&amp;"|"&amp;$AB10,anSM_Seg&amp;"|"&amp;anSM_YM,anSM_LagP50,""),IF(ISBLANK(_xlpm.r),"",_xlpm.r)))</f>
        <v/>
      </c>
      <c r="AI10" s="122" t="str" cm="1">
        <f t="array" ref="AI10">IF($AB10="","",_xlfn.LET(_xlpm.r,_xlfn.XLOOKUP($AB$3&amp;"|"&amp;$AB10,anSM_Seg&amp;"|"&amp;anSM_YM,anSM_SLA,""),IF(ISBLANK(_xlpm.r),"",_xlpm.r)))</f>
        <v/>
      </c>
      <c r="AJ10" s="122" t="str" cm="1">
        <f t="array" ref="AJ10">IF($AB10="","",_xlfn.LET(_xlpm.r,_xlfn.XLOOKUP($AB$3&amp;"|"&amp;$AB10,anSM_Seg&amp;"|"&amp;anSM_YM,anSM_Lines,""),IF(ISBLANK(_xlpm.r),"",_xlpm.r)))</f>
        <v/>
      </c>
      <c r="AK10" s="122" t="str" cm="1">
        <f t="array" ref="AK10">IF($AB10="","",_xlfn.LET(_xlpm.r,_xlfn.XLOOKUP($AB$3&amp;"|"&amp;$AB10,anSM_Seg&amp;"|"&amp;anSM_YM,anSM_PM,""),IF(ISBLANK(_xlpm.r),"",_xlpm.r)))</f>
        <v/>
      </c>
      <c r="AL10" s="122" t="str">
        <f t="shared" si="0"/>
        <v/>
      </c>
      <c r="AM10" s="122" t="str">
        <f t="shared" si="1"/>
        <v/>
      </c>
      <c r="AN10" s="122" t="str">
        <f t="shared" si="2"/>
        <v/>
      </c>
      <c r="AQ10" s="122">
        <f>_xlfn.XLOOKUP("TrendBandWidth",AnParam[Param],AnParam[Value],2.5)</f>
        <v>2.5</v>
      </c>
      <c r="AS10" s="122" t="str">
        <f>_xlfn.XLOOKUP("AN_T_MEAN",tblUIText[Key],tblUIText[TR],"AN_T_MEAN")&amp;" / "&amp;_xlfn.XLOOKUP("AN_T_MEAN",tblUIText[Key],tblUIText[EN],"")</f>
        <v>Dosya başına ort. (bin TL) / Mean per case (TRY k)</v>
      </c>
      <c r="AT10" s="122" t="str">
        <f>$H$13</f>
        <v>INSUFFICIENT DATA</v>
      </c>
      <c r="AU10" s="122" t="str" cm="1">
        <f t="array" ref="AU10">_xlfn.LET(_xlpm.a,$AU$8,_xlpm.b,$AU$9,_xlpm.r,_xlfn.LAMBDA(_xlpm.s,IF(RIGHT(_xlpm.s,1)="*",1.5,IF(LEFT(_xlpm.s,5)="ALERT",4,IF(LEFT(_xlpm.s,5)="WATCH",3,IF(LEFT(_xlpm.s,2)="OK",2,IF(LEFT(_xlpm.s,5)="INSUF",1,0)))))),IF(_xlpm.r(_xlpm.a)&gt;=_xlpm.r(_xlpm.b),_xlpm.a,_xlpm.b))</f>
        <v>INSUFFICIENT DATA</v>
      </c>
    </row>
    <row r="11" spans="2:48" ht="20.100000000000001" customHeight="1">
      <c r="B11" s="253" t="str" cm="1">
        <f t="array" ref="B11">IF(ISNUMBER($AD$31),anPctS($AD$31,1)&amp;" "&amp;_xlfn.XLOOKUP("AN_T_VSPM_S",tblUIText[Key],tblUIText[TR],"AN_T_VSPM_S")&amp;" / "&amp;_xlfn.XLOOKUP("AN_T_VSPM_S",tblUIText[Key],tblUIText[EN],""),"")</f>
        <v/>
      </c>
      <c r="C11" s="254"/>
      <c r="D11" s="255"/>
      <c r="E11" s="253" t="str" cm="1">
        <f t="array" ref="E11">IF(AND(ISNUMBER($AE$31),ISNUMBER($AE$30)),anPctS($AE$31/$AE$30-1,1)&amp;" "&amp;_xlfn.XLOOKUP("AN_T_VSPM_S",tblUIText[Key],tblUIText[TR],"AN_T_VSPM_S")&amp;" / "&amp;_xlfn.XLOOKUP("AN_T_VSPM_S",tblUIText[Key],tblUIText[EN],""),"")</f>
        <v/>
      </c>
      <c r="F11" s="254"/>
      <c r="G11" s="255"/>
      <c r="H11" s="253" t="str" cm="1">
        <f t="array" ref="H11">IF(AND(ISNUMBER($AF$31),ISNUMBER($AF$30)),anPctS($AF$31/$AF$30-1,1)&amp;" "&amp;_xlfn.XLOOKUP("AN_T_VSPM_S",tblUIText[Key],tblUIText[TR],"AN_T_VSPM_S")&amp;" / "&amp;_xlfn.XLOOKUP("AN_T_VSPM_S",tblUIText[Key],tblUIText[EN],""),"")</f>
        <v/>
      </c>
      <c r="I11" s="254"/>
      <c r="J11" s="255"/>
      <c r="K11" s="253" t="str" cm="1">
        <f t="array" ref="K11">IF(AND(ISNUMBER($AG$31),ISNUMBER($AG$30)),anPctS($AG$31/$AG$30-1,1)&amp;" "&amp;_xlfn.XLOOKUP("AN_T_VSPM_S",tblUIText[Key],tblUIText[TR],"AN_T_VSPM_S")&amp;" / "&amp;_xlfn.XLOOKUP("AN_T_VSPM_S",tblUIText[Key],tblUIText[EN],""),"")</f>
        <v/>
      </c>
      <c r="L11" s="254"/>
      <c r="M11" s="255"/>
      <c r="N11" s="253" t="str" cm="1">
        <f t="array" ref="N11">IF(AND(ISNUMBER($AH$31),ISNUMBER($AH$30)),anSgn($AH$31-$AH$30,1)&amp;" "&amp;_xlfn.XLOOKUP("AN_W_DAYS",tblUIText[Key],tblUIText[TR],"AN_W_DAYS")&amp;" / "&amp;_xlfn.XLOOKUP("AN_W_DAYS",tblUIText[Key],tblUIText[EN],""),"")</f>
        <v/>
      </c>
      <c r="O11" s="254"/>
      <c r="P11" s="255"/>
      <c r="Q11" s="253" t="str" cm="1">
        <f t="array" ref="Q11">IF(AND(ISNUMBER($AI$31),ISNUMBER($AI$30)),anSgn(($AI$31-$AI$30)*100,1)&amp;" "&amp;_xlfn.XLOOKUP("AN_W_PP",tblUIText[Key],tblUIText[TR],"AN_W_PP")&amp;" / "&amp;_xlfn.XLOOKUP("AN_W_PP",tblUIText[Key],tblUIText[EN],""),"")</f>
        <v/>
      </c>
      <c r="R11" s="254"/>
      <c r="S11" s="255"/>
      <c r="AB11" s="122" t="str" cm="1">
        <f t="array" ref="AB11">IFERROR(INDEX(_xlfn.ANCHORARRAY($AV$8),$AB$6-24+ROW()-7),"")</f>
        <v/>
      </c>
      <c r="AC11" s="122" t="str" cm="1">
        <f t="array" ref="AC11">IF($AB11="","",_xlfn.LET(_xlpm.r,_xlfn.XLOOKUP($AB$3&amp;"|"&amp;$AB11,anSM_Seg&amp;"|"&amp;anSM_YM,anSM_Paid,""),IF(ISBLANK(_xlpm.r),"",_xlpm.r)))</f>
        <v/>
      </c>
      <c r="AD11" s="122" t="str" cm="1">
        <f t="array" ref="AD11">IF($AB11="","",_xlfn.LET(_xlpm.r,_xlfn.XLOOKUP($AB$3&amp;"|"&amp;$AB11,anSM_Seg&amp;"|"&amp;anSM_YM,anSM_MoM,""),IF(ISBLANK(_xlpm.r),"",_xlpm.r)))</f>
        <v/>
      </c>
      <c r="AE11" s="122" t="str" cm="1">
        <f t="array" ref="AE11">IF($AB11="","",_xlfn.LET(_xlpm.r,_xlfn.XLOOKUP($AB$3&amp;"|"&amp;$AB11,anSM_Seg&amp;"|"&amp;anSM_YM,anSM_Cases,""),IF(ISBLANK(_xlpm.r),"",_xlpm.r)))</f>
        <v/>
      </c>
      <c r="AF11" s="122" t="str" cm="1">
        <f t="array" ref="AF11">IF($AB11="","",_xlfn.LET(_xlpm.r,_xlfn.XLOOKUP($AB$3&amp;"|"&amp;$AB11,anSM_Seg&amp;"|"&amp;anSM_YM,anSM_Mean,""),IF(ISBLANK(_xlpm.r),"",_xlpm.r)))</f>
        <v/>
      </c>
      <c r="AG11" s="122" t="str" cm="1">
        <f t="array" ref="AG11">IF($AB11="","",_xlfn.LET(_xlpm.r,_xlfn.XLOOKUP($AB$3&amp;"|"&amp;$AB11,anSM_Seg&amp;"|"&amp;anSM_YM,anSM_P90,""),IF(ISBLANK(_xlpm.r),"",_xlpm.r)))</f>
        <v/>
      </c>
      <c r="AH11" s="122" t="str" cm="1">
        <f t="array" ref="AH11">IF($AB11="","",_xlfn.LET(_xlpm.r,_xlfn.XLOOKUP($AB$3&amp;"|"&amp;$AB11,anSM_Seg&amp;"|"&amp;anSM_YM,anSM_LagP50,""),IF(ISBLANK(_xlpm.r),"",_xlpm.r)))</f>
        <v/>
      </c>
      <c r="AI11" s="122" t="str" cm="1">
        <f t="array" ref="AI11">IF($AB11="","",_xlfn.LET(_xlpm.r,_xlfn.XLOOKUP($AB$3&amp;"|"&amp;$AB11,anSM_Seg&amp;"|"&amp;anSM_YM,anSM_SLA,""),IF(ISBLANK(_xlpm.r),"",_xlpm.r)))</f>
        <v/>
      </c>
      <c r="AJ11" s="122" t="str" cm="1">
        <f t="array" ref="AJ11">IF($AB11="","",_xlfn.LET(_xlpm.r,_xlfn.XLOOKUP($AB$3&amp;"|"&amp;$AB11,anSM_Seg&amp;"|"&amp;anSM_YM,anSM_Lines,""),IF(ISBLANK(_xlpm.r),"",_xlpm.r)))</f>
        <v/>
      </c>
      <c r="AK11" s="122" t="str" cm="1">
        <f t="array" ref="AK11">IF($AB11="","",_xlfn.LET(_xlpm.r,_xlfn.XLOOKUP($AB$3&amp;"|"&amp;$AB11,anSM_Seg&amp;"|"&amp;anSM_YM,anSM_PM,""),IF(ISBLANK(_xlpm.r),"",_xlpm.r)))</f>
        <v/>
      </c>
      <c r="AL11" s="122" t="str">
        <f t="shared" si="0"/>
        <v/>
      </c>
      <c r="AM11" s="122" t="str">
        <f t="shared" si="1"/>
        <v/>
      </c>
      <c r="AN11" s="122" t="str">
        <f t="shared" si="2"/>
        <v/>
      </c>
      <c r="AS11" s="122" t="str">
        <f>_xlfn.XLOOKUP("AN_T_P90",tblUIText[Key],tblUIText[TR],"AN_T_P90")&amp;" / "&amp;_xlfn.XLOOKUP("AN_T_P90",tblUIText[Key],tblUIText[EN],"")</f>
        <v>Dosya başına P90 (bin TL) / P90 per case (TRY k)</v>
      </c>
      <c r="AT11" s="122" t="str">
        <f>$K$13</f>
        <v>INSUFFICIENT DATA</v>
      </c>
    </row>
    <row r="12" spans="2:48" ht="26.1" customHeight="1">
      <c r="B12" s="259"/>
      <c r="C12" s="246"/>
      <c r="D12" s="260"/>
      <c r="E12" s="259"/>
      <c r="F12" s="246"/>
      <c r="G12" s="260"/>
      <c r="H12" s="259"/>
      <c r="I12" s="246"/>
      <c r="J12" s="260"/>
      <c r="K12" s="259"/>
      <c r="L12" s="246"/>
      <c r="M12" s="260"/>
      <c r="N12" s="259"/>
      <c r="O12" s="246"/>
      <c r="P12" s="260"/>
      <c r="Q12" s="259"/>
      <c r="R12" s="246"/>
      <c r="S12" s="260"/>
      <c r="AB12" s="122" t="str" cm="1">
        <f t="array" ref="AB12">IFERROR(INDEX(_xlfn.ANCHORARRAY($AV$8),$AB$6-24+ROW()-7),"")</f>
        <v/>
      </c>
      <c r="AC12" s="122" t="str" cm="1">
        <f t="array" ref="AC12">IF($AB12="","",_xlfn.LET(_xlpm.r,_xlfn.XLOOKUP($AB$3&amp;"|"&amp;$AB12,anSM_Seg&amp;"|"&amp;anSM_YM,anSM_Paid,""),IF(ISBLANK(_xlpm.r),"",_xlpm.r)))</f>
        <v/>
      </c>
      <c r="AD12" s="122" t="str" cm="1">
        <f t="array" ref="AD12">IF($AB12="","",_xlfn.LET(_xlpm.r,_xlfn.XLOOKUP($AB$3&amp;"|"&amp;$AB12,anSM_Seg&amp;"|"&amp;anSM_YM,anSM_MoM,""),IF(ISBLANK(_xlpm.r),"",_xlpm.r)))</f>
        <v/>
      </c>
      <c r="AE12" s="122" t="str" cm="1">
        <f t="array" ref="AE12">IF($AB12="","",_xlfn.LET(_xlpm.r,_xlfn.XLOOKUP($AB$3&amp;"|"&amp;$AB12,anSM_Seg&amp;"|"&amp;anSM_YM,anSM_Cases,""),IF(ISBLANK(_xlpm.r),"",_xlpm.r)))</f>
        <v/>
      </c>
      <c r="AF12" s="122" t="str" cm="1">
        <f t="array" ref="AF12">IF($AB12="","",_xlfn.LET(_xlpm.r,_xlfn.XLOOKUP($AB$3&amp;"|"&amp;$AB12,anSM_Seg&amp;"|"&amp;anSM_YM,anSM_Mean,""),IF(ISBLANK(_xlpm.r),"",_xlpm.r)))</f>
        <v/>
      </c>
      <c r="AG12" s="122" t="str" cm="1">
        <f t="array" ref="AG12">IF($AB12="","",_xlfn.LET(_xlpm.r,_xlfn.XLOOKUP($AB$3&amp;"|"&amp;$AB12,anSM_Seg&amp;"|"&amp;anSM_YM,anSM_P90,""),IF(ISBLANK(_xlpm.r),"",_xlpm.r)))</f>
        <v/>
      </c>
      <c r="AH12" s="122" t="str" cm="1">
        <f t="array" ref="AH12">IF($AB12="","",_xlfn.LET(_xlpm.r,_xlfn.XLOOKUP($AB$3&amp;"|"&amp;$AB12,anSM_Seg&amp;"|"&amp;anSM_YM,anSM_LagP50,""),IF(ISBLANK(_xlpm.r),"",_xlpm.r)))</f>
        <v/>
      </c>
      <c r="AI12" s="122" t="str" cm="1">
        <f t="array" ref="AI12">IF($AB12="","",_xlfn.LET(_xlpm.r,_xlfn.XLOOKUP($AB$3&amp;"|"&amp;$AB12,anSM_Seg&amp;"|"&amp;anSM_YM,anSM_SLA,""),IF(ISBLANK(_xlpm.r),"",_xlpm.r)))</f>
        <v/>
      </c>
      <c r="AJ12" s="122" t="str" cm="1">
        <f t="array" ref="AJ12">IF($AB12="","",_xlfn.LET(_xlpm.r,_xlfn.XLOOKUP($AB$3&amp;"|"&amp;$AB12,anSM_Seg&amp;"|"&amp;anSM_YM,anSM_Lines,""),IF(ISBLANK(_xlpm.r),"",_xlpm.r)))</f>
        <v/>
      </c>
      <c r="AK12" s="122" t="str" cm="1">
        <f t="array" ref="AK12">IF($AB12="","",_xlfn.LET(_xlpm.r,_xlfn.XLOOKUP($AB$3&amp;"|"&amp;$AB12,anSM_Seg&amp;"|"&amp;anSM_YM,anSM_PM,""),IF(ISBLANK(_xlpm.r),"",_xlpm.r)))</f>
        <v/>
      </c>
      <c r="AL12" s="122" t="str">
        <f t="shared" si="0"/>
        <v/>
      </c>
      <c r="AM12" s="122" t="str">
        <f t="shared" si="1"/>
        <v/>
      </c>
      <c r="AN12" s="122" t="str">
        <f t="shared" si="2"/>
        <v/>
      </c>
      <c r="AQ12" s="122" cm="1">
        <f t="array" ref="AQ12">SUMPRODUCT(((LEFT($AT$8:$AT$13,5)="WATCH")+(LEFT($AT$8:$AT$13,5)="ALERT"))*(RIGHT($AT$8:$AT$13,1)&lt;&gt;"*"))</f>
        <v>0</v>
      </c>
      <c r="AS12" s="122" t="str">
        <f>_xlfn.XLOOKUP("AN_T_LAG",tblUIText[Key],tblUIText[TR],"AN_T_LAG")&amp;" / "&amp;_xlfn.XLOOKUP("AN_T_LAG",tblUIText[Key],tblUIText[EN],"")</f>
        <v>Hasar→ödeme P50 (gün) / Loss→payment P50 (days)</v>
      </c>
      <c r="AT12" s="122" t="str">
        <f>$N$13</f>
        <v>INSUFFICIENT DATA</v>
      </c>
    </row>
    <row r="13" spans="2:48">
      <c r="B13" s="261" t="str">
        <f>$AU$10</f>
        <v>INSUFFICIENT DATA</v>
      </c>
      <c r="C13" s="262"/>
      <c r="D13" s="263"/>
      <c r="E13" s="261" t="str" cm="1">
        <f t="array" ref="E13">_xlfn.LET(_xlpm.m,_xlfn.XLOOKUP("CT02",tblThreshold[KPI_ID],tblThreshold[Method],""),_xlpm.rs,_xlfn.XLOOKUP("CT02",tblThreshold[KPI_ID],tblThreshold[Status],""),_xlpm.wl,_xlfn.XLOOKUP("CT02",tblThreshold[KPI_ID],tblThreshold[WatchLevel],""),_xlpm.al,_xlfn.XLOOKUP("CT02",tblThreshold[KPI_ID],tblThreshold[AlertLevel],""),_xlpm.mm,_xlfn.XLOOKUP("CT02",tblThreshold[KPI_ID],tblThreshold[MinMonths],0),_xlpm.mn,_xlfn.XLOOKUP("CT02",tblThreshold[KPI_ID],tblThreshold[MinN],0),_xlpm.per,IF(ISNUMBER(SEARCH("WATCH: 2",_xlfn.XLOOKUP("CT02",tblThreshold[KPI_ID],tblThreshold[Persistence],""))),2,1),_xlpm.hr,$AE$8:$AE$30,_xlpm.h,_xlfn._xlws.FILTER(_xlpm.hr,ISNUMBER(_xlpm.hr),""),_xlpm.x,$AE$31,_xlpm.xp,$AE$30,_xlpm.n,$AE$31,_xlpm.side,IF(LEFT("CT02",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v>
      </c>
      <c r="F13" s="262"/>
      <c r="G13" s="263"/>
      <c r="H13" s="261" t="str" cm="1">
        <f t="array" ref="H13">_xlfn.LET(_xlpm.m,_xlfn.XLOOKUP("AV01",tblThreshold[KPI_ID],tblThreshold[Method],""),_xlpm.rs,_xlfn.XLOOKUP("AV01",tblThreshold[KPI_ID],tblThreshold[Status],""),_xlpm.wl,_xlfn.XLOOKUP("AV01",tblThreshold[KPI_ID],tblThreshold[WatchLevel],""),_xlpm.al,_xlfn.XLOOKUP("AV01",tblThreshold[KPI_ID],tblThreshold[AlertLevel],""),_xlpm.mm,_xlfn.XLOOKUP("AV01",tblThreshold[KPI_ID],tblThreshold[MinMonths],0),_xlpm.mn,_xlfn.XLOOKUP("AV01",tblThreshold[KPI_ID],tblThreshold[MinN],0),_xlpm.per,IF(ISNUMBER(SEARCH("WATCH: 2",_xlfn.XLOOKUP("AV01",tblThreshold[KPI_ID],tblThreshold[Persistence],""))),2,1),_xlpm.hr,$AF$8:$AF$30,_xlpm.h,_xlfn._xlws.FILTER(_xlpm.hr,ISNUMBER(_xlpm.hr),""),_xlpm.x,$AF$31,_xlpm.xp,$AF$30,_xlpm.n,$AE$31,_xlpm.side,IF(LEFT("AV01",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I13" s="262"/>
      <c r="J13" s="263"/>
      <c r="K13" s="261" t="str" cm="1">
        <f t="array" ref="K13">_xlfn.LET(_xlpm.m,_xlfn.XLOOKUP("AV03",tblThreshold[KPI_ID],tblThreshold[Method],""),_xlpm.rs,_xlfn.XLOOKUP("AV03",tblThreshold[KPI_ID],tblThreshold[Status],""),_xlpm.wl,_xlfn.XLOOKUP("AV03",tblThreshold[KPI_ID],tblThreshold[WatchLevel],""),_xlpm.al,_xlfn.XLOOKUP("AV03",tblThreshold[KPI_ID],tblThreshold[AlertLevel],""),_xlpm.mm,_xlfn.XLOOKUP("AV03",tblThreshold[KPI_ID],tblThreshold[MinMonths],0),_xlpm.mn,_xlfn.XLOOKUP("AV03",tblThreshold[KPI_ID],tblThreshold[MinN],0),_xlpm.per,IF(ISNUMBER(SEARCH("WATCH: 2",_xlfn.XLOOKUP("AV03",tblThreshold[KPI_ID],tblThreshold[Persistence],""))),2,1),_xlpm.hr,$AG$8:$AG$30,_xlpm.h,_xlfn._xlws.FILTER(_xlpm.hr,ISNUMBER(_xlpm.hr),""),_xlpm.x,$AG$31,_xlpm.xp,$AG$30,_xlpm.n,$AE$31,_xlpm.side,IF(LEFT("AV03",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L13" s="262"/>
      <c r="M13" s="263"/>
      <c r="N13" s="261" t="str" cm="1">
        <f t="array" ref="N13">_xlfn.LET(_xlpm.m,_xlfn.XLOOKUP("LG06",tblThreshold[KPI_ID],tblThreshold[Method],""),_xlpm.rs,_xlfn.XLOOKUP("LG06",tblThreshold[KPI_ID],tblThreshold[Status],""),_xlpm.wl,_xlfn.XLOOKUP("LG06",tblThreshold[KPI_ID],tblThreshold[WatchLevel],""),_xlpm.al,_xlfn.XLOOKUP("LG06",tblThreshold[KPI_ID],tblThreshold[AlertLevel],""),_xlpm.mm,_xlfn.XLOOKUP("LG06",tblThreshold[KPI_ID],tblThreshold[MinMonths],0),_xlpm.mn,_xlfn.XLOOKUP("LG06",tblThreshold[KPI_ID],tblThreshold[MinN],0),_xlpm.per,IF(ISNUMBER(SEARCH("WATCH: 2",_xlfn.XLOOKUP("LG06",tblThreshold[KPI_ID],tblThreshold[Persistence],""))),2,1),_xlpm.hr,$AH$8:$AH$30,_xlpm.h,_xlfn._xlws.FILTER(_xlpm.hr,ISNUMBER(_xlpm.hr),""),_xlpm.x,$AH$31,_xlpm.xp,$AH$30,_xlpm.n,$AJ$31,_xlpm.side,IF(LEFT("LG06",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O13" s="262"/>
      <c r="P13" s="263"/>
      <c r="Q13" s="261" t="str" cm="1">
        <f t="array" ref="Q13">_xlfn.LET(_xlpm.m,_xlfn.XLOOKUP("LG07",tblThreshold[KPI_ID],tblThreshold[Method],""),_xlpm.rs,_xlfn.XLOOKUP("LG07",tblThreshold[KPI_ID],tblThreshold[Status],""),_xlpm.wl,_xlfn.XLOOKUP("LG07",tblThreshold[KPI_ID],tblThreshold[WatchLevel],""),_xlpm.al,_xlfn.XLOOKUP("LG07",tblThreshold[KPI_ID],tblThreshold[AlertLevel],""),_xlpm.mm,_xlfn.XLOOKUP("LG07",tblThreshold[KPI_ID],tblThreshold[MinMonths],0),_xlpm.mn,_xlfn.XLOOKUP("LG07",tblThreshold[KPI_ID],tblThreshold[MinN],0),_xlpm.per,IF(ISNUMBER(SEARCH("WATCH: 2",_xlfn.XLOOKUP("LG07",tblThreshold[KPI_ID],tblThreshold[Persistence],""))),2,1),_xlpm.hr,$AI$8:$AI$30,_xlpm.h,_xlfn._xlws.FILTER(_xlpm.hr,ISNUMBER(_xlpm.hr),""),_xlpm.x,$AI$31,_xlpm.xp,$AI$30,_xlpm.n,$AJ$31,_xlpm.side,IF(LEFT("LG07",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R13" s="262"/>
      <c r="S13" s="263"/>
      <c r="AB13" s="122" t="str" cm="1">
        <f t="array" ref="AB13">IFERROR(INDEX(_xlfn.ANCHORARRAY($AV$8),$AB$6-24+ROW()-7),"")</f>
        <v/>
      </c>
      <c r="AC13" s="122" t="str" cm="1">
        <f t="array" ref="AC13">IF($AB13="","",_xlfn.LET(_xlpm.r,_xlfn.XLOOKUP($AB$3&amp;"|"&amp;$AB13,anSM_Seg&amp;"|"&amp;anSM_YM,anSM_Paid,""),IF(ISBLANK(_xlpm.r),"",_xlpm.r)))</f>
        <v/>
      </c>
      <c r="AD13" s="122" t="str" cm="1">
        <f t="array" ref="AD13">IF($AB13="","",_xlfn.LET(_xlpm.r,_xlfn.XLOOKUP($AB$3&amp;"|"&amp;$AB13,anSM_Seg&amp;"|"&amp;anSM_YM,anSM_MoM,""),IF(ISBLANK(_xlpm.r),"",_xlpm.r)))</f>
        <v/>
      </c>
      <c r="AE13" s="122" t="str" cm="1">
        <f t="array" ref="AE13">IF($AB13="","",_xlfn.LET(_xlpm.r,_xlfn.XLOOKUP($AB$3&amp;"|"&amp;$AB13,anSM_Seg&amp;"|"&amp;anSM_YM,anSM_Cases,""),IF(ISBLANK(_xlpm.r),"",_xlpm.r)))</f>
        <v/>
      </c>
      <c r="AF13" s="122" t="str" cm="1">
        <f t="array" ref="AF13">IF($AB13="","",_xlfn.LET(_xlpm.r,_xlfn.XLOOKUP($AB$3&amp;"|"&amp;$AB13,anSM_Seg&amp;"|"&amp;anSM_YM,anSM_Mean,""),IF(ISBLANK(_xlpm.r),"",_xlpm.r)))</f>
        <v/>
      </c>
      <c r="AG13" s="122" t="str" cm="1">
        <f t="array" ref="AG13">IF($AB13="","",_xlfn.LET(_xlpm.r,_xlfn.XLOOKUP($AB$3&amp;"|"&amp;$AB13,anSM_Seg&amp;"|"&amp;anSM_YM,anSM_P90,""),IF(ISBLANK(_xlpm.r),"",_xlpm.r)))</f>
        <v/>
      </c>
      <c r="AH13" s="122" t="str" cm="1">
        <f t="array" ref="AH13">IF($AB13="","",_xlfn.LET(_xlpm.r,_xlfn.XLOOKUP($AB$3&amp;"|"&amp;$AB13,anSM_Seg&amp;"|"&amp;anSM_YM,anSM_LagP50,""),IF(ISBLANK(_xlpm.r),"",_xlpm.r)))</f>
        <v/>
      </c>
      <c r="AI13" s="122" t="str" cm="1">
        <f t="array" ref="AI13">IF($AB13="","",_xlfn.LET(_xlpm.r,_xlfn.XLOOKUP($AB$3&amp;"|"&amp;$AB13,anSM_Seg&amp;"|"&amp;anSM_YM,anSM_SLA,""),IF(ISBLANK(_xlpm.r),"",_xlpm.r)))</f>
        <v/>
      </c>
      <c r="AJ13" s="122" t="str" cm="1">
        <f t="array" ref="AJ13">IF($AB13="","",_xlfn.LET(_xlpm.r,_xlfn.XLOOKUP($AB$3&amp;"|"&amp;$AB13,anSM_Seg&amp;"|"&amp;anSM_YM,anSM_Lines,""),IF(ISBLANK(_xlpm.r),"",_xlpm.r)))</f>
        <v/>
      </c>
      <c r="AK13" s="122" t="str" cm="1">
        <f t="array" ref="AK13">IF($AB13="","",_xlfn.LET(_xlpm.r,_xlfn.XLOOKUP($AB$3&amp;"|"&amp;$AB13,anSM_Seg&amp;"|"&amp;anSM_YM,anSM_PM,""),IF(ISBLANK(_xlpm.r),"",_xlpm.r)))</f>
        <v/>
      </c>
      <c r="AL13" s="122" t="str">
        <f t="shared" si="0"/>
        <v/>
      </c>
      <c r="AM13" s="122" t="str">
        <f t="shared" si="1"/>
        <v/>
      </c>
      <c r="AN13" s="122" t="str">
        <f t="shared" si="2"/>
        <v/>
      </c>
      <c r="AS13" s="122" t="str">
        <f>_xlfn.XLOOKUP("AN_T_SLA",tblUIText[Key],tblUIText[TR],"AN_T_SLA")&amp;" / "&amp;_xlfn.XLOOKUP("AN_T_SLA",tblUIText[Key],tblUIText[EN],"")</f>
        <v>Uçtan uca SLA aşımı / SLA breach, end to end</v>
      </c>
      <c r="AT13" s="122" t="str">
        <f>$Q$13</f>
        <v>INSUFFICIENT DATA</v>
      </c>
    </row>
    <row r="14" spans="2:48" ht="30" customHeight="1">
      <c r="B14" s="256" t="str">
        <f>_xlfn.XLOOKUP("AN_T_PAID_NOTE",tblUIText[Key],tblUIText[TR],"AN_T_PAID_NOTE")&amp;" / "&amp;_xlfn.XLOOKUP("AN_T_PAID_NOTE",tblUIText[Key],tblUIText[EN],"")</f>
        <v>TH12 log-z + TH01 aylık kural / TH12 log-z + TH01 MoM rule</v>
      </c>
      <c r="C14" s="257"/>
      <c r="D14" s="258"/>
      <c r="E14" s="256" t="str" cm="1">
        <f t="array" ref="E14">_xlfn.XLOOKUP("CT02",tblThreshold[KPI_ID],tblThreshold[ThresholdID]&amp;" "&amp;tblThreshold[Method],_xlfn.XLOOKUP("AN_NO_THRESHOLD",tblUIText[Key],tblUIText[TR],"AN_NO_THRESHOLD")&amp;" / "&amp;_xlfn.XLOOKUP("AN_NO_THRESHOLD",tblUIText[Key],tblUIText[EN],""))</f>
        <v>eşik yok / no threshold</v>
      </c>
      <c r="F14" s="257"/>
      <c r="G14" s="258"/>
      <c r="H14" s="256" t="str" cm="1">
        <f t="array" ref="H14">_xlfn.XLOOKUP("AV01",tblThreshold[KPI_ID],tblThreshold[ThresholdID]&amp;" "&amp;tblThreshold[Method],_xlfn.XLOOKUP("AN_NO_THRESHOLD",tblUIText[Key],tblUIText[TR],"AN_NO_THRESHOLD")&amp;" / "&amp;_xlfn.XLOOKUP("AN_NO_THRESHOLD",tblUIText[Key],tblUIText[EN],""))</f>
        <v>TH02 STAT_LOGZ</v>
      </c>
      <c r="I14" s="257"/>
      <c r="J14" s="258"/>
      <c r="K14" s="256" t="str" cm="1">
        <f t="array" ref="K14">_xlfn.XLOOKUP("AV03",tblThreshold[KPI_ID],tblThreshold[ThresholdID]&amp;" "&amp;tblThreshold[Method],_xlfn.XLOOKUP("AN_NO_THRESHOLD",tblUIText[Key],tblUIText[TR],"AN_NO_THRESHOLD")&amp;" / "&amp;_xlfn.XLOOKUP("AN_NO_THRESHOLD",tblUIText[Key],tblUIText[EN],""))</f>
        <v>TH03 STAT_LOGZ</v>
      </c>
      <c r="L14" s="257"/>
      <c r="M14" s="258"/>
      <c r="N14" s="256" t="str" cm="1">
        <f t="array" ref="N14">_xlfn.XLOOKUP("LG06",tblThreshold[KPI_ID],tblThreshold[ThresholdID]&amp;" "&amp;tblThreshold[Method],_xlfn.XLOOKUP("AN_NO_THRESHOLD",tblUIText[Key],tblUIText[TR],"AN_NO_THRESHOLD")&amp;" / "&amp;_xlfn.XLOOKUP("AN_NO_THRESHOLD",tblUIText[Key],tblUIText[EN],""))</f>
        <v>TH04 STAT_PCT</v>
      </c>
      <c r="O14" s="257"/>
      <c r="P14" s="258"/>
      <c r="Q14" s="256" t="str" cm="1">
        <f t="array" ref="Q14">_xlfn.XLOOKUP("LG07",tblThreshold[KPI_ID],tblThreshold[ThresholdID]&amp;" "&amp;tblThreshold[Method],"")&amp;" · "&amp;_xlfn.XLOOKUP("AN_SLA_SHORT",tblUIText[Key],tblUIText[TR],"AN_SLA_SHORT")&amp;" / "&amp;_xlfn.XLOOKUP("AN_SLA_SHORT",tblUIText[Key],tblUIText[EN],"")</f>
        <v>TH05 FIXED · SLA geçici değer / SLA placeholder</v>
      </c>
      <c r="R14" s="257"/>
      <c r="S14" s="258"/>
      <c r="AB14" s="122" t="str" cm="1">
        <f t="array" ref="AB14">IFERROR(INDEX(_xlfn.ANCHORARRAY($AV$8),$AB$6-24+ROW()-7),"")</f>
        <v/>
      </c>
      <c r="AC14" s="122" t="str" cm="1">
        <f t="array" ref="AC14">IF($AB14="","",_xlfn.LET(_xlpm.r,_xlfn.XLOOKUP($AB$3&amp;"|"&amp;$AB14,anSM_Seg&amp;"|"&amp;anSM_YM,anSM_Paid,""),IF(ISBLANK(_xlpm.r),"",_xlpm.r)))</f>
        <v/>
      </c>
      <c r="AD14" s="122" t="str" cm="1">
        <f t="array" ref="AD14">IF($AB14="","",_xlfn.LET(_xlpm.r,_xlfn.XLOOKUP($AB$3&amp;"|"&amp;$AB14,anSM_Seg&amp;"|"&amp;anSM_YM,anSM_MoM,""),IF(ISBLANK(_xlpm.r),"",_xlpm.r)))</f>
        <v/>
      </c>
      <c r="AE14" s="122" t="str" cm="1">
        <f t="array" ref="AE14">IF($AB14="","",_xlfn.LET(_xlpm.r,_xlfn.XLOOKUP($AB$3&amp;"|"&amp;$AB14,anSM_Seg&amp;"|"&amp;anSM_YM,anSM_Cases,""),IF(ISBLANK(_xlpm.r),"",_xlpm.r)))</f>
        <v/>
      </c>
      <c r="AF14" s="122" t="str" cm="1">
        <f t="array" ref="AF14">IF($AB14="","",_xlfn.LET(_xlpm.r,_xlfn.XLOOKUP($AB$3&amp;"|"&amp;$AB14,anSM_Seg&amp;"|"&amp;anSM_YM,anSM_Mean,""),IF(ISBLANK(_xlpm.r),"",_xlpm.r)))</f>
        <v/>
      </c>
      <c r="AG14" s="122" t="str" cm="1">
        <f t="array" ref="AG14">IF($AB14="","",_xlfn.LET(_xlpm.r,_xlfn.XLOOKUP($AB$3&amp;"|"&amp;$AB14,anSM_Seg&amp;"|"&amp;anSM_YM,anSM_P90,""),IF(ISBLANK(_xlpm.r),"",_xlpm.r)))</f>
        <v/>
      </c>
      <c r="AH14" s="122" t="str" cm="1">
        <f t="array" ref="AH14">IF($AB14="","",_xlfn.LET(_xlpm.r,_xlfn.XLOOKUP($AB$3&amp;"|"&amp;$AB14,anSM_Seg&amp;"|"&amp;anSM_YM,anSM_LagP50,""),IF(ISBLANK(_xlpm.r),"",_xlpm.r)))</f>
        <v/>
      </c>
      <c r="AI14" s="122" t="str" cm="1">
        <f t="array" ref="AI14">IF($AB14="","",_xlfn.LET(_xlpm.r,_xlfn.XLOOKUP($AB$3&amp;"|"&amp;$AB14,anSM_Seg&amp;"|"&amp;anSM_YM,anSM_SLA,""),IF(ISBLANK(_xlpm.r),"",_xlpm.r)))</f>
        <v/>
      </c>
      <c r="AJ14" s="122" t="str" cm="1">
        <f t="array" ref="AJ14">IF($AB14="","",_xlfn.LET(_xlpm.r,_xlfn.XLOOKUP($AB$3&amp;"|"&amp;$AB14,anSM_Seg&amp;"|"&amp;anSM_YM,anSM_Lines,""),IF(ISBLANK(_xlpm.r),"",_xlpm.r)))</f>
        <v/>
      </c>
      <c r="AK14" s="122" t="str" cm="1">
        <f t="array" ref="AK14">IF($AB14="","",_xlfn.LET(_xlpm.r,_xlfn.XLOOKUP($AB$3&amp;"|"&amp;$AB14,anSM_Seg&amp;"|"&amp;anSM_YM,anSM_PM,""),IF(ISBLANK(_xlpm.r),"",_xlpm.r)))</f>
        <v/>
      </c>
      <c r="AL14" s="122" t="str">
        <f t="shared" si="0"/>
        <v/>
      </c>
      <c r="AM14" s="122" t="str">
        <f t="shared" si="1"/>
        <v/>
      </c>
      <c r="AN14" s="122" t="str">
        <f t="shared" si="2"/>
        <v/>
      </c>
      <c r="AQ14" s="122" t="str">
        <f>_xlfn.XLOOKUP("AN_TREND_TITLE",tblUIText[Key],tblUIText[TR],"AN_TREND_TITLE")&amp;" / "&amp;_xlfn.XLOOKUP("AN_TREND_TITLE",tblUIText[Key],tblUIText[EN],"")</f>
        <v>Aylık ödenen (mn TL), medyan ve olağan bant (log ölçekte medyan ± k robust sapma) / Monthly paid (TRY m), median and normal band (median ± k robust SD on the log scale)</v>
      </c>
    </row>
    <row r="15" spans="2:48">
      <c r="AB15" s="122" t="str" cm="1">
        <f t="array" ref="AB15">IFERROR(INDEX(_xlfn.ANCHORARRAY($AV$8),$AB$6-24+ROW()-7),"")</f>
        <v/>
      </c>
      <c r="AC15" s="122" t="str" cm="1">
        <f t="array" ref="AC15">IF($AB15="","",_xlfn.LET(_xlpm.r,_xlfn.XLOOKUP($AB$3&amp;"|"&amp;$AB15,anSM_Seg&amp;"|"&amp;anSM_YM,anSM_Paid,""),IF(ISBLANK(_xlpm.r),"",_xlpm.r)))</f>
        <v/>
      </c>
      <c r="AD15" s="122" t="str" cm="1">
        <f t="array" ref="AD15">IF($AB15="","",_xlfn.LET(_xlpm.r,_xlfn.XLOOKUP($AB$3&amp;"|"&amp;$AB15,anSM_Seg&amp;"|"&amp;anSM_YM,anSM_MoM,""),IF(ISBLANK(_xlpm.r),"",_xlpm.r)))</f>
        <v/>
      </c>
      <c r="AE15" s="122" t="str" cm="1">
        <f t="array" ref="AE15">IF($AB15="","",_xlfn.LET(_xlpm.r,_xlfn.XLOOKUP($AB$3&amp;"|"&amp;$AB15,anSM_Seg&amp;"|"&amp;anSM_YM,anSM_Cases,""),IF(ISBLANK(_xlpm.r),"",_xlpm.r)))</f>
        <v/>
      </c>
      <c r="AF15" s="122" t="str" cm="1">
        <f t="array" ref="AF15">IF($AB15="","",_xlfn.LET(_xlpm.r,_xlfn.XLOOKUP($AB$3&amp;"|"&amp;$AB15,anSM_Seg&amp;"|"&amp;anSM_YM,anSM_Mean,""),IF(ISBLANK(_xlpm.r),"",_xlpm.r)))</f>
        <v/>
      </c>
      <c r="AG15" s="122" t="str" cm="1">
        <f t="array" ref="AG15">IF($AB15="","",_xlfn.LET(_xlpm.r,_xlfn.XLOOKUP($AB$3&amp;"|"&amp;$AB15,anSM_Seg&amp;"|"&amp;anSM_YM,anSM_P90,""),IF(ISBLANK(_xlpm.r),"",_xlpm.r)))</f>
        <v/>
      </c>
      <c r="AH15" s="122" t="str" cm="1">
        <f t="array" ref="AH15">IF($AB15="","",_xlfn.LET(_xlpm.r,_xlfn.XLOOKUP($AB$3&amp;"|"&amp;$AB15,anSM_Seg&amp;"|"&amp;anSM_YM,anSM_LagP50,""),IF(ISBLANK(_xlpm.r),"",_xlpm.r)))</f>
        <v/>
      </c>
      <c r="AI15" s="122" t="str" cm="1">
        <f t="array" ref="AI15">IF($AB15="","",_xlfn.LET(_xlpm.r,_xlfn.XLOOKUP($AB$3&amp;"|"&amp;$AB15,anSM_Seg&amp;"|"&amp;anSM_YM,anSM_SLA,""),IF(ISBLANK(_xlpm.r),"",_xlpm.r)))</f>
        <v/>
      </c>
      <c r="AJ15" s="122" t="str" cm="1">
        <f t="array" ref="AJ15">IF($AB15="","",_xlfn.LET(_xlpm.r,_xlfn.XLOOKUP($AB$3&amp;"|"&amp;$AB15,anSM_Seg&amp;"|"&amp;anSM_YM,anSM_Lines,""),IF(ISBLANK(_xlpm.r),"",_xlpm.r)))</f>
        <v/>
      </c>
      <c r="AK15" s="122" t="str" cm="1">
        <f t="array" ref="AK15">IF($AB15="","",_xlfn.LET(_xlpm.r,_xlfn.XLOOKUP($AB$3&amp;"|"&amp;$AB15,anSM_Seg&amp;"|"&amp;anSM_YM,anSM_PM,""),IF(ISBLANK(_xlpm.r),"",_xlpm.r)))</f>
        <v/>
      </c>
      <c r="AL15" s="122" t="str">
        <f t="shared" si="0"/>
        <v/>
      </c>
      <c r="AM15" s="122" t="str">
        <f t="shared" si="1"/>
        <v/>
      </c>
      <c r="AN15" s="122" t="str">
        <f t="shared" si="2"/>
        <v/>
      </c>
    </row>
    <row r="16" spans="2:48" ht="21.95" customHeight="1">
      <c r="M16" s="264" t="str">
        <f>_xlfn.XLOOKUP("AN_MOVERS",tblUIText[Key],tblUIText[TR],"AN_MOVERS")&amp;" / "&amp;_xlfn.XLOOKUP("AN_MOVERS",tblUIText[Key],tblUIText[EN],"")</f>
        <v>En çok değişen ödeme nedenleri (önceki aya göre, mn TL) / Top movers by reason code (vs previous month, TRY m)</v>
      </c>
      <c r="N16" s="265"/>
      <c r="O16" s="265"/>
      <c r="P16" s="265"/>
      <c r="Q16" s="265"/>
      <c r="R16" s="265"/>
      <c r="S16" s="265"/>
      <c r="AB16" s="122" t="str" cm="1">
        <f t="array" ref="AB16">IFERROR(INDEX(_xlfn.ANCHORARRAY($AV$8),$AB$6-24+ROW()-7),"")</f>
        <v/>
      </c>
      <c r="AC16" s="122" t="str" cm="1">
        <f t="array" ref="AC16">IF($AB16="","",_xlfn.LET(_xlpm.r,_xlfn.XLOOKUP($AB$3&amp;"|"&amp;$AB16,anSM_Seg&amp;"|"&amp;anSM_YM,anSM_Paid,""),IF(ISBLANK(_xlpm.r),"",_xlpm.r)))</f>
        <v/>
      </c>
      <c r="AD16" s="122" t="str" cm="1">
        <f t="array" ref="AD16">IF($AB16="","",_xlfn.LET(_xlpm.r,_xlfn.XLOOKUP($AB$3&amp;"|"&amp;$AB16,anSM_Seg&amp;"|"&amp;anSM_YM,anSM_MoM,""),IF(ISBLANK(_xlpm.r),"",_xlpm.r)))</f>
        <v/>
      </c>
      <c r="AE16" s="122" t="str" cm="1">
        <f t="array" ref="AE16">IF($AB16="","",_xlfn.LET(_xlpm.r,_xlfn.XLOOKUP($AB$3&amp;"|"&amp;$AB16,anSM_Seg&amp;"|"&amp;anSM_YM,anSM_Cases,""),IF(ISBLANK(_xlpm.r),"",_xlpm.r)))</f>
        <v/>
      </c>
      <c r="AF16" s="122" t="str" cm="1">
        <f t="array" ref="AF16">IF($AB16="","",_xlfn.LET(_xlpm.r,_xlfn.XLOOKUP($AB$3&amp;"|"&amp;$AB16,anSM_Seg&amp;"|"&amp;anSM_YM,anSM_Mean,""),IF(ISBLANK(_xlpm.r),"",_xlpm.r)))</f>
        <v/>
      </c>
      <c r="AG16" s="122" t="str" cm="1">
        <f t="array" ref="AG16">IF($AB16="","",_xlfn.LET(_xlpm.r,_xlfn.XLOOKUP($AB$3&amp;"|"&amp;$AB16,anSM_Seg&amp;"|"&amp;anSM_YM,anSM_P90,""),IF(ISBLANK(_xlpm.r),"",_xlpm.r)))</f>
        <v/>
      </c>
      <c r="AH16" s="122" t="str" cm="1">
        <f t="array" ref="AH16">IF($AB16="","",_xlfn.LET(_xlpm.r,_xlfn.XLOOKUP($AB$3&amp;"|"&amp;$AB16,anSM_Seg&amp;"|"&amp;anSM_YM,anSM_LagP50,""),IF(ISBLANK(_xlpm.r),"",_xlpm.r)))</f>
        <v/>
      </c>
      <c r="AI16" s="122" t="str" cm="1">
        <f t="array" ref="AI16">IF($AB16="","",_xlfn.LET(_xlpm.r,_xlfn.XLOOKUP($AB$3&amp;"|"&amp;$AB16,anSM_Seg&amp;"|"&amp;anSM_YM,anSM_SLA,""),IF(ISBLANK(_xlpm.r),"",_xlpm.r)))</f>
        <v/>
      </c>
      <c r="AJ16" s="122" t="str" cm="1">
        <f t="array" ref="AJ16">IF($AB16="","",_xlfn.LET(_xlpm.r,_xlfn.XLOOKUP($AB$3&amp;"|"&amp;$AB16,anSM_Seg&amp;"|"&amp;anSM_YM,anSM_Lines,""),IF(ISBLANK(_xlpm.r),"",_xlpm.r)))</f>
        <v/>
      </c>
      <c r="AK16" s="122" t="str" cm="1">
        <f t="array" ref="AK16">IF($AB16="","",_xlfn.LET(_xlpm.r,_xlfn.XLOOKUP($AB$3&amp;"|"&amp;$AB16,anSM_Seg&amp;"|"&amp;anSM_YM,anSM_PM,""),IF(ISBLANK(_xlpm.r),"",_xlpm.r)))</f>
        <v/>
      </c>
      <c r="AL16" s="122" t="str">
        <f t="shared" si="0"/>
        <v/>
      </c>
      <c r="AM16" s="122" t="str">
        <f t="shared" si="1"/>
        <v/>
      </c>
      <c r="AN16" s="122" t="str">
        <f t="shared" si="2"/>
        <v/>
      </c>
    </row>
    <row r="17" spans="13:40" ht="24" customHeight="1">
      <c r="M17" s="132" t="str">
        <f>_xlfn.XLOOKUP("AN_COL_REASON",tblUIText[Key],tblUIText[TR],"AN_COL_REASON")&amp;" / "&amp;_xlfn.XLOOKUP("AN_COL_REASON",tblUIText[Key],tblUIText[EN],"")</f>
        <v>Neden / Reason</v>
      </c>
      <c r="N17" s="132" t="str">
        <f>_xlfn.XLOOKUP("AN_COL_PREV",tblUIText[Key],tblUIText[TR],"AN_COL_PREV")&amp;" / "&amp;_xlfn.XLOOKUP("AN_COL_PREV",tblUIText[Key],tblUIText[EN],"")</f>
        <v>Önceki / Previous</v>
      </c>
      <c r="O17" s="132" t="str">
        <f>_xlfn.XLOOKUP("AN_COL_CUR",tblUIText[Key],tblUIText[TR],"AN_COL_CUR")&amp;" / "&amp;_xlfn.XLOOKUP("AN_COL_CUR",tblUIText[Key],tblUIText[EN],"")</f>
        <v>Bu ay / This month</v>
      </c>
      <c r="P17" s="132" t="str">
        <f>_xlfn.XLOOKUP("AN_COL_CHANGE",tblUIText[Key],tblUIText[TR],"AN_COL_CHANGE")&amp;" / "&amp;_xlfn.XLOOKUP("AN_COL_CHANGE",tblUIText[Key],tblUIText[EN],"")</f>
        <v>Fark / Change</v>
      </c>
      <c r="Q17" s="133" t="s">
        <v>19104</v>
      </c>
      <c r="AB17" s="122" t="str" cm="1">
        <f t="array" ref="AB17">IFERROR(INDEX(_xlfn.ANCHORARRAY($AV$8),$AB$6-24+ROW()-7),"")</f>
        <v/>
      </c>
      <c r="AC17" s="122" t="str" cm="1">
        <f t="array" ref="AC17">IF($AB17="","",_xlfn.LET(_xlpm.r,_xlfn.XLOOKUP($AB$3&amp;"|"&amp;$AB17,anSM_Seg&amp;"|"&amp;anSM_YM,anSM_Paid,""),IF(ISBLANK(_xlpm.r),"",_xlpm.r)))</f>
        <v/>
      </c>
      <c r="AD17" s="122" t="str" cm="1">
        <f t="array" ref="AD17">IF($AB17="","",_xlfn.LET(_xlpm.r,_xlfn.XLOOKUP($AB$3&amp;"|"&amp;$AB17,anSM_Seg&amp;"|"&amp;anSM_YM,anSM_MoM,""),IF(ISBLANK(_xlpm.r),"",_xlpm.r)))</f>
        <v/>
      </c>
      <c r="AE17" s="122" t="str" cm="1">
        <f t="array" ref="AE17">IF($AB17="","",_xlfn.LET(_xlpm.r,_xlfn.XLOOKUP($AB$3&amp;"|"&amp;$AB17,anSM_Seg&amp;"|"&amp;anSM_YM,anSM_Cases,""),IF(ISBLANK(_xlpm.r),"",_xlpm.r)))</f>
        <v/>
      </c>
      <c r="AF17" s="122" t="str" cm="1">
        <f t="array" ref="AF17">IF($AB17="","",_xlfn.LET(_xlpm.r,_xlfn.XLOOKUP($AB$3&amp;"|"&amp;$AB17,anSM_Seg&amp;"|"&amp;anSM_YM,anSM_Mean,""),IF(ISBLANK(_xlpm.r),"",_xlpm.r)))</f>
        <v/>
      </c>
      <c r="AG17" s="122" t="str" cm="1">
        <f t="array" ref="AG17">IF($AB17="","",_xlfn.LET(_xlpm.r,_xlfn.XLOOKUP($AB$3&amp;"|"&amp;$AB17,anSM_Seg&amp;"|"&amp;anSM_YM,anSM_P90,""),IF(ISBLANK(_xlpm.r),"",_xlpm.r)))</f>
        <v/>
      </c>
      <c r="AH17" s="122" t="str" cm="1">
        <f t="array" ref="AH17">IF($AB17="","",_xlfn.LET(_xlpm.r,_xlfn.XLOOKUP($AB$3&amp;"|"&amp;$AB17,anSM_Seg&amp;"|"&amp;anSM_YM,anSM_LagP50,""),IF(ISBLANK(_xlpm.r),"",_xlpm.r)))</f>
        <v/>
      </c>
      <c r="AI17" s="122" t="str" cm="1">
        <f t="array" ref="AI17">IF($AB17="","",_xlfn.LET(_xlpm.r,_xlfn.XLOOKUP($AB$3&amp;"|"&amp;$AB17,anSM_Seg&amp;"|"&amp;anSM_YM,anSM_SLA,""),IF(ISBLANK(_xlpm.r),"",_xlpm.r)))</f>
        <v/>
      </c>
      <c r="AJ17" s="122" t="str" cm="1">
        <f t="array" ref="AJ17">IF($AB17="","",_xlfn.LET(_xlpm.r,_xlfn.XLOOKUP($AB$3&amp;"|"&amp;$AB17,anSM_Seg&amp;"|"&amp;anSM_YM,anSM_Lines,""),IF(ISBLANK(_xlpm.r),"",_xlpm.r)))</f>
        <v/>
      </c>
      <c r="AK17" s="122" t="str" cm="1">
        <f t="array" ref="AK17">IF($AB17="","",_xlfn.LET(_xlpm.r,_xlfn.XLOOKUP($AB$3&amp;"|"&amp;$AB17,anSM_Seg&amp;"|"&amp;anSM_YM,anSM_PM,""),IF(ISBLANK(_xlpm.r),"",_xlpm.r)))</f>
        <v/>
      </c>
      <c r="AL17" s="122" t="str">
        <f t="shared" si="0"/>
        <v/>
      </c>
      <c r="AM17" s="122" t="str">
        <f t="shared" si="1"/>
        <v/>
      </c>
      <c r="AN17" s="122" t="str">
        <f t="shared" si="2"/>
        <v/>
      </c>
    </row>
    <row r="18" spans="13:40" ht="27" customHeight="1">
      <c r="M18" s="174" t="str" cm="1">
        <f t="array" ref="M18">_xlfn.LET(_xlpm.seg,$AB$3,_xlpm.m,$AB$5,_xlpm.pv,$AB$30,_xlpm.rc,_xlfn.UNIQUE(_xlfn._xlws.FILTER(anNAT_Reason,(anNAT_Seg=_xlpm.seg)*((anNAT_YM=_xlpm.m)+(anNAT_YM=_xlpm.pv))*(anNAT_Reason&lt;&gt;""),"")),IF(INDEX(_xlpm.rc,1)="","",_xlfn.LET(_xlpm.cur,SUMIFS(anNAT_Paid,anNAT_Seg,_xlpm.seg,anNAT_YM,_xlpm.m,anNAT_Reason,_xlpm.rc),_xlpm.prv,SUMIFS(anNAT_Paid,anNAT_Seg,_xlpm.seg,anNAT_YM,_xlpm.pv,anNAT_Reason,_xlpm.rc),_xlpm.d,_xlpm.cur-_xlpm.prv,_xlpm.ms,_xlfn.XLOOKUP("MomMaterialityShare",AnParam[Param],AnParam[Value],0.01)*SUM(_xlpm.prv),_xlpm.lab,IFERROR(_xlfn.XLOOKUP(_xlpm.rc,DimPaymentNature[ReasonCode],DimPaymentNature[DescriptionTR])&amp;" / "&amp;_xlfn.XLOOKUP(_xlpm.rc,DimPaymentNature[ReasonCode],DimPaymentNature[DescriptionEN]),_xlpm.rc),_xlpm.s,_xlfn.SORTBY(_xlfn.HSTACK(_xlpm.lab,_xlfn.MAP(_xlpm.prv,_xlfn.LAMBDA(_xlpm.v,anNum(_xlpm.v/1000000,2))),_xlfn.MAP(_xlpm.cur,_xlfn.LAMBDA(_xlpm.v,anNum(_xlpm.v/1000000,2))),_xlfn.MAP(_xlpm.d,_xlfn.LAMBDA(_xlpm.v,anSgn(_xlpm.v/1000000,2))),_xlfn.MAP(_xlpm.prv,_xlpm.d,_xlfn.LAMBDA(_xlpm.v,_xlpm.w,IF(_xlpm.v&gt;_xlpm.ms,anPctS(_xlpm.w/_xlpm.v,0),"n.a.")))),ABS(_xlpm.d),-1),_xlfn.TAKE(_xlpm.s,MIN(6,ROWS(_xlpm.s))))))</f>
        <v/>
      </c>
      <c r="N18" s="175"/>
      <c r="O18" s="175"/>
      <c r="P18" s="175"/>
      <c r="Q18" s="175"/>
      <c r="AB18" s="122" t="str" cm="1">
        <f t="array" ref="AB18">IFERROR(INDEX(_xlfn.ANCHORARRAY($AV$8),$AB$6-24+ROW()-7),"")</f>
        <v/>
      </c>
      <c r="AC18" s="122" t="str" cm="1">
        <f t="array" ref="AC18">IF($AB18="","",_xlfn.LET(_xlpm.r,_xlfn.XLOOKUP($AB$3&amp;"|"&amp;$AB18,anSM_Seg&amp;"|"&amp;anSM_YM,anSM_Paid,""),IF(ISBLANK(_xlpm.r),"",_xlpm.r)))</f>
        <v/>
      </c>
      <c r="AD18" s="122" t="str" cm="1">
        <f t="array" ref="AD18">IF($AB18="","",_xlfn.LET(_xlpm.r,_xlfn.XLOOKUP($AB$3&amp;"|"&amp;$AB18,anSM_Seg&amp;"|"&amp;anSM_YM,anSM_MoM,""),IF(ISBLANK(_xlpm.r),"",_xlpm.r)))</f>
        <v/>
      </c>
      <c r="AE18" s="122" t="str" cm="1">
        <f t="array" ref="AE18">IF($AB18="","",_xlfn.LET(_xlpm.r,_xlfn.XLOOKUP($AB$3&amp;"|"&amp;$AB18,anSM_Seg&amp;"|"&amp;anSM_YM,anSM_Cases,""),IF(ISBLANK(_xlpm.r),"",_xlpm.r)))</f>
        <v/>
      </c>
      <c r="AF18" s="122" t="str" cm="1">
        <f t="array" ref="AF18">IF($AB18="","",_xlfn.LET(_xlpm.r,_xlfn.XLOOKUP($AB$3&amp;"|"&amp;$AB18,anSM_Seg&amp;"|"&amp;anSM_YM,anSM_Mean,""),IF(ISBLANK(_xlpm.r),"",_xlpm.r)))</f>
        <v/>
      </c>
      <c r="AG18" s="122" t="str" cm="1">
        <f t="array" ref="AG18">IF($AB18="","",_xlfn.LET(_xlpm.r,_xlfn.XLOOKUP($AB$3&amp;"|"&amp;$AB18,anSM_Seg&amp;"|"&amp;anSM_YM,anSM_P90,""),IF(ISBLANK(_xlpm.r),"",_xlpm.r)))</f>
        <v/>
      </c>
      <c r="AH18" s="122" t="str" cm="1">
        <f t="array" ref="AH18">IF($AB18="","",_xlfn.LET(_xlpm.r,_xlfn.XLOOKUP($AB$3&amp;"|"&amp;$AB18,anSM_Seg&amp;"|"&amp;anSM_YM,anSM_LagP50,""),IF(ISBLANK(_xlpm.r),"",_xlpm.r)))</f>
        <v/>
      </c>
      <c r="AI18" s="122" t="str" cm="1">
        <f t="array" ref="AI18">IF($AB18="","",_xlfn.LET(_xlpm.r,_xlfn.XLOOKUP($AB$3&amp;"|"&amp;$AB18,anSM_Seg&amp;"|"&amp;anSM_YM,anSM_SLA,""),IF(ISBLANK(_xlpm.r),"",_xlpm.r)))</f>
        <v/>
      </c>
      <c r="AJ18" s="122" t="str" cm="1">
        <f t="array" ref="AJ18">IF($AB18="","",_xlfn.LET(_xlpm.r,_xlfn.XLOOKUP($AB$3&amp;"|"&amp;$AB18,anSM_Seg&amp;"|"&amp;anSM_YM,anSM_Lines,""),IF(ISBLANK(_xlpm.r),"",_xlpm.r)))</f>
        <v/>
      </c>
      <c r="AK18" s="122" t="str" cm="1">
        <f t="array" ref="AK18">IF($AB18="","",_xlfn.LET(_xlpm.r,_xlfn.XLOOKUP($AB$3&amp;"|"&amp;$AB18,anSM_Seg&amp;"|"&amp;anSM_YM,anSM_PM,""),IF(ISBLANK(_xlpm.r),"",_xlpm.r)))</f>
        <v/>
      </c>
      <c r="AL18" s="122" t="str">
        <f t="shared" si="0"/>
        <v/>
      </c>
      <c r="AM18" s="122" t="str">
        <f t="shared" si="1"/>
        <v/>
      </c>
      <c r="AN18" s="122" t="str">
        <f t="shared" si="2"/>
        <v/>
      </c>
    </row>
    <row r="19" spans="13:40" ht="27" customHeight="1">
      <c r="M19" s="174"/>
      <c r="N19" s="175"/>
      <c r="O19" s="175"/>
      <c r="P19" s="175"/>
      <c r="Q19" s="175"/>
      <c r="AB19" s="122" t="str" cm="1">
        <f t="array" ref="AB19">IFERROR(INDEX(_xlfn.ANCHORARRAY($AV$8),$AB$6-24+ROW()-7),"")</f>
        <v/>
      </c>
      <c r="AC19" s="122" t="str" cm="1">
        <f t="array" ref="AC19">IF($AB19="","",_xlfn.LET(_xlpm.r,_xlfn.XLOOKUP($AB$3&amp;"|"&amp;$AB19,anSM_Seg&amp;"|"&amp;anSM_YM,anSM_Paid,""),IF(ISBLANK(_xlpm.r),"",_xlpm.r)))</f>
        <v/>
      </c>
      <c r="AD19" s="122" t="str" cm="1">
        <f t="array" ref="AD19">IF($AB19="","",_xlfn.LET(_xlpm.r,_xlfn.XLOOKUP($AB$3&amp;"|"&amp;$AB19,anSM_Seg&amp;"|"&amp;anSM_YM,anSM_MoM,""),IF(ISBLANK(_xlpm.r),"",_xlpm.r)))</f>
        <v/>
      </c>
      <c r="AE19" s="122" t="str" cm="1">
        <f t="array" ref="AE19">IF($AB19="","",_xlfn.LET(_xlpm.r,_xlfn.XLOOKUP($AB$3&amp;"|"&amp;$AB19,anSM_Seg&amp;"|"&amp;anSM_YM,anSM_Cases,""),IF(ISBLANK(_xlpm.r),"",_xlpm.r)))</f>
        <v/>
      </c>
      <c r="AF19" s="122" t="str" cm="1">
        <f t="array" ref="AF19">IF($AB19="","",_xlfn.LET(_xlpm.r,_xlfn.XLOOKUP($AB$3&amp;"|"&amp;$AB19,anSM_Seg&amp;"|"&amp;anSM_YM,anSM_Mean,""),IF(ISBLANK(_xlpm.r),"",_xlpm.r)))</f>
        <v/>
      </c>
      <c r="AG19" s="122" t="str" cm="1">
        <f t="array" ref="AG19">IF($AB19="","",_xlfn.LET(_xlpm.r,_xlfn.XLOOKUP($AB$3&amp;"|"&amp;$AB19,anSM_Seg&amp;"|"&amp;anSM_YM,anSM_P90,""),IF(ISBLANK(_xlpm.r),"",_xlpm.r)))</f>
        <v/>
      </c>
      <c r="AH19" s="122" t="str" cm="1">
        <f t="array" ref="AH19">IF($AB19="","",_xlfn.LET(_xlpm.r,_xlfn.XLOOKUP($AB$3&amp;"|"&amp;$AB19,anSM_Seg&amp;"|"&amp;anSM_YM,anSM_LagP50,""),IF(ISBLANK(_xlpm.r),"",_xlpm.r)))</f>
        <v/>
      </c>
      <c r="AI19" s="122" t="str" cm="1">
        <f t="array" ref="AI19">IF($AB19="","",_xlfn.LET(_xlpm.r,_xlfn.XLOOKUP($AB$3&amp;"|"&amp;$AB19,anSM_Seg&amp;"|"&amp;anSM_YM,anSM_SLA,""),IF(ISBLANK(_xlpm.r),"",_xlpm.r)))</f>
        <v/>
      </c>
      <c r="AJ19" s="122" t="str" cm="1">
        <f t="array" ref="AJ19">IF($AB19="","",_xlfn.LET(_xlpm.r,_xlfn.XLOOKUP($AB$3&amp;"|"&amp;$AB19,anSM_Seg&amp;"|"&amp;anSM_YM,anSM_Lines,""),IF(ISBLANK(_xlpm.r),"",_xlpm.r)))</f>
        <v/>
      </c>
      <c r="AK19" s="122" t="str" cm="1">
        <f t="array" ref="AK19">IF($AB19="","",_xlfn.LET(_xlpm.r,_xlfn.XLOOKUP($AB$3&amp;"|"&amp;$AB19,anSM_Seg&amp;"|"&amp;anSM_YM,anSM_PM,""),IF(ISBLANK(_xlpm.r),"",_xlpm.r)))</f>
        <v/>
      </c>
      <c r="AL19" s="122" t="str">
        <f t="shared" si="0"/>
        <v/>
      </c>
      <c r="AM19" s="122" t="str">
        <f t="shared" si="1"/>
        <v/>
      </c>
      <c r="AN19" s="122" t="str">
        <f t="shared" si="2"/>
        <v/>
      </c>
    </row>
    <row r="20" spans="13:40" ht="27" customHeight="1">
      <c r="M20" s="174"/>
      <c r="N20" s="175"/>
      <c r="O20" s="175"/>
      <c r="P20" s="175"/>
      <c r="Q20" s="175"/>
      <c r="AB20" s="122" t="str" cm="1">
        <f t="array" ref="AB20">IFERROR(INDEX(_xlfn.ANCHORARRAY($AV$8),$AB$6-24+ROW()-7),"")</f>
        <v/>
      </c>
      <c r="AC20" s="122" t="str" cm="1">
        <f t="array" ref="AC20">IF($AB20="","",_xlfn.LET(_xlpm.r,_xlfn.XLOOKUP($AB$3&amp;"|"&amp;$AB20,anSM_Seg&amp;"|"&amp;anSM_YM,anSM_Paid,""),IF(ISBLANK(_xlpm.r),"",_xlpm.r)))</f>
        <v/>
      </c>
      <c r="AD20" s="122" t="str" cm="1">
        <f t="array" ref="AD20">IF($AB20="","",_xlfn.LET(_xlpm.r,_xlfn.XLOOKUP($AB$3&amp;"|"&amp;$AB20,anSM_Seg&amp;"|"&amp;anSM_YM,anSM_MoM,""),IF(ISBLANK(_xlpm.r),"",_xlpm.r)))</f>
        <v/>
      </c>
      <c r="AE20" s="122" t="str" cm="1">
        <f t="array" ref="AE20">IF($AB20="","",_xlfn.LET(_xlpm.r,_xlfn.XLOOKUP($AB$3&amp;"|"&amp;$AB20,anSM_Seg&amp;"|"&amp;anSM_YM,anSM_Cases,""),IF(ISBLANK(_xlpm.r),"",_xlpm.r)))</f>
        <v/>
      </c>
      <c r="AF20" s="122" t="str" cm="1">
        <f t="array" ref="AF20">IF($AB20="","",_xlfn.LET(_xlpm.r,_xlfn.XLOOKUP($AB$3&amp;"|"&amp;$AB20,anSM_Seg&amp;"|"&amp;anSM_YM,anSM_Mean,""),IF(ISBLANK(_xlpm.r),"",_xlpm.r)))</f>
        <v/>
      </c>
      <c r="AG20" s="122" t="str" cm="1">
        <f t="array" ref="AG20">IF($AB20="","",_xlfn.LET(_xlpm.r,_xlfn.XLOOKUP($AB$3&amp;"|"&amp;$AB20,anSM_Seg&amp;"|"&amp;anSM_YM,anSM_P90,""),IF(ISBLANK(_xlpm.r),"",_xlpm.r)))</f>
        <v/>
      </c>
      <c r="AH20" s="122" t="str" cm="1">
        <f t="array" ref="AH20">IF($AB20="","",_xlfn.LET(_xlpm.r,_xlfn.XLOOKUP($AB$3&amp;"|"&amp;$AB20,anSM_Seg&amp;"|"&amp;anSM_YM,anSM_LagP50,""),IF(ISBLANK(_xlpm.r),"",_xlpm.r)))</f>
        <v/>
      </c>
      <c r="AI20" s="122" t="str" cm="1">
        <f t="array" ref="AI20">IF($AB20="","",_xlfn.LET(_xlpm.r,_xlfn.XLOOKUP($AB$3&amp;"|"&amp;$AB20,anSM_Seg&amp;"|"&amp;anSM_YM,anSM_SLA,""),IF(ISBLANK(_xlpm.r),"",_xlpm.r)))</f>
        <v/>
      </c>
      <c r="AJ20" s="122" t="str" cm="1">
        <f t="array" ref="AJ20">IF($AB20="","",_xlfn.LET(_xlpm.r,_xlfn.XLOOKUP($AB$3&amp;"|"&amp;$AB20,anSM_Seg&amp;"|"&amp;anSM_YM,anSM_Lines,""),IF(ISBLANK(_xlpm.r),"",_xlpm.r)))</f>
        <v/>
      </c>
      <c r="AK20" s="122" t="str" cm="1">
        <f t="array" ref="AK20">IF($AB20="","",_xlfn.LET(_xlpm.r,_xlfn.XLOOKUP($AB$3&amp;"|"&amp;$AB20,anSM_Seg&amp;"|"&amp;anSM_YM,anSM_PM,""),IF(ISBLANK(_xlpm.r),"",_xlpm.r)))</f>
        <v/>
      </c>
      <c r="AL20" s="122" t="str">
        <f t="shared" si="0"/>
        <v/>
      </c>
      <c r="AM20" s="122" t="str">
        <f t="shared" si="1"/>
        <v/>
      </c>
      <c r="AN20" s="122" t="str">
        <f t="shared" si="2"/>
        <v/>
      </c>
    </row>
    <row r="21" spans="13:40" ht="27" customHeight="1">
      <c r="M21" s="174"/>
      <c r="N21" s="175"/>
      <c r="O21" s="175"/>
      <c r="P21" s="175"/>
      <c r="Q21" s="175"/>
      <c r="AB21" s="122" t="str" cm="1">
        <f t="array" ref="AB21">IFERROR(INDEX(_xlfn.ANCHORARRAY($AV$8),$AB$6-24+ROW()-7),"")</f>
        <v/>
      </c>
      <c r="AC21" s="122" t="str" cm="1">
        <f t="array" ref="AC21">IF($AB21="","",_xlfn.LET(_xlpm.r,_xlfn.XLOOKUP($AB$3&amp;"|"&amp;$AB21,anSM_Seg&amp;"|"&amp;anSM_YM,anSM_Paid,""),IF(ISBLANK(_xlpm.r),"",_xlpm.r)))</f>
        <v/>
      </c>
      <c r="AD21" s="122" t="str" cm="1">
        <f t="array" ref="AD21">IF($AB21="","",_xlfn.LET(_xlpm.r,_xlfn.XLOOKUP($AB$3&amp;"|"&amp;$AB21,anSM_Seg&amp;"|"&amp;anSM_YM,anSM_MoM,""),IF(ISBLANK(_xlpm.r),"",_xlpm.r)))</f>
        <v/>
      </c>
      <c r="AE21" s="122" t="str" cm="1">
        <f t="array" ref="AE21">IF($AB21="","",_xlfn.LET(_xlpm.r,_xlfn.XLOOKUP($AB$3&amp;"|"&amp;$AB21,anSM_Seg&amp;"|"&amp;anSM_YM,anSM_Cases,""),IF(ISBLANK(_xlpm.r),"",_xlpm.r)))</f>
        <v/>
      </c>
      <c r="AF21" s="122" t="str" cm="1">
        <f t="array" ref="AF21">IF($AB21="","",_xlfn.LET(_xlpm.r,_xlfn.XLOOKUP($AB$3&amp;"|"&amp;$AB21,anSM_Seg&amp;"|"&amp;anSM_YM,anSM_Mean,""),IF(ISBLANK(_xlpm.r),"",_xlpm.r)))</f>
        <v/>
      </c>
      <c r="AG21" s="122" t="str" cm="1">
        <f t="array" ref="AG21">IF($AB21="","",_xlfn.LET(_xlpm.r,_xlfn.XLOOKUP($AB$3&amp;"|"&amp;$AB21,anSM_Seg&amp;"|"&amp;anSM_YM,anSM_P90,""),IF(ISBLANK(_xlpm.r),"",_xlpm.r)))</f>
        <v/>
      </c>
      <c r="AH21" s="122" t="str" cm="1">
        <f t="array" ref="AH21">IF($AB21="","",_xlfn.LET(_xlpm.r,_xlfn.XLOOKUP($AB$3&amp;"|"&amp;$AB21,anSM_Seg&amp;"|"&amp;anSM_YM,anSM_LagP50,""),IF(ISBLANK(_xlpm.r),"",_xlpm.r)))</f>
        <v/>
      </c>
      <c r="AI21" s="122" t="str" cm="1">
        <f t="array" ref="AI21">IF($AB21="","",_xlfn.LET(_xlpm.r,_xlfn.XLOOKUP($AB$3&amp;"|"&amp;$AB21,anSM_Seg&amp;"|"&amp;anSM_YM,anSM_SLA,""),IF(ISBLANK(_xlpm.r),"",_xlpm.r)))</f>
        <v/>
      </c>
      <c r="AJ21" s="122" t="str" cm="1">
        <f t="array" ref="AJ21">IF($AB21="","",_xlfn.LET(_xlpm.r,_xlfn.XLOOKUP($AB$3&amp;"|"&amp;$AB21,anSM_Seg&amp;"|"&amp;anSM_YM,anSM_Lines,""),IF(ISBLANK(_xlpm.r),"",_xlpm.r)))</f>
        <v/>
      </c>
      <c r="AK21" s="122" t="str" cm="1">
        <f t="array" ref="AK21">IF($AB21="","",_xlfn.LET(_xlpm.r,_xlfn.XLOOKUP($AB$3&amp;"|"&amp;$AB21,anSM_Seg&amp;"|"&amp;anSM_YM,anSM_PM,""),IF(ISBLANK(_xlpm.r),"",_xlpm.r)))</f>
        <v/>
      </c>
      <c r="AL21" s="122" t="str">
        <f t="shared" si="0"/>
        <v/>
      </c>
      <c r="AM21" s="122" t="str">
        <f t="shared" si="1"/>
        <v/>
      </c>
      <c r="AN21" s="122" t="str">
        <f t="shared" si="2"/>
        <v/>
      </c>
    </row>
    <row r="22" spans="13:40" ht="27" customHeight="1">
      <c r="M22" s="174"/>
      <c r="N22" s="175"/>
      <c r="O22" s="175"/>
      <c r="P22" s="175"/>
      <c r="Q22" s="175"/>
      <c r="AB22" s="122" t="str" cm="1">
        <f t="array" ref="AB22">IFERROR(INDEX(_xlfn.ANCHORARRAY($AV$8),$AB$6-24+ROW()-7),"")</f>
        <v/>
      </c>
      <c r="AC22" s="122" t="str" cm="1">
        <f t="array" ref="AC22">IF($AB22="","",_xlfn.LET(_xlpm.r,_xlfn.XLOOKUP($AB$3&amp;"|"&amp;$AB22,anSM_Seg&amp;"|"&amp;anSM_YM,anSM_Paid,""),IF(ISBLANK(_xlpm.r),"",_xlpm.r)))</f>
        <v/>
      </c>
      <c r="AD22" s="122" t="str" cm="1">
        <f t="array" ref="AD22">IF($AB22="","",_xlfn.LET(_xlpm.r,_xlfn.XLOOKUP($AB$3&amp;"|"&amp;$AB22,anSM_Seg&amp;"|"&amp;anSM_YM,anSM_MoM,""),IF(ISBLANK(_xlpm.r),"",_xlpm.r)))</f>
        <v/>
      </c>
      <c r="AE22" s="122" t="str" cm="1">
        <f t="array" ref="AE22">IF($AB22="","",_xlfn.LET(_xlpm.r,_xlfn.XLOOKUP($AB$3&amp;"|"&amp;$AB22,anSM_Seg&amp;"|"&amp;anSM_YM,anSM_Cases,""),IF(ISBLANK(_xlpm.r),"",_xlpm.r)))</f>
        <v/>
      </c>
      <c r="AF22" s="122" t="str" cm="1">
        <f t="array" ref="AF22">IF($AB22="","",_xlfn.LET(_xlpm.r,_xlfn.XLOOKUP($AB$3&amp;"|"&amp;$AB22,anSM_Seg&amp;"|"&amp;anSM_YM,anSM_Mean,""),IF(ISBLANK(_xlpm.r),"",_xlpm.r)))</f>
        <v/>
      </c>
      <c r="AG22" s="122" t="str" cm="1">
        <f t="array" ref="AG22">IF($AB22="","",_xlfn.LET(_xlpm.r,_xlfn.XLOOKUP($AB$3&amp;"|"&amp;$AB22,anSM_Seg&amp;"|"&amp;anSM_YM,anSM_P90,""),IF(ISBLANK(_xlpm.r),"",_xlpm.r)))</f>
        <v/>
      </c>
      <c r="AH22" s="122" t="str" cm="1">
        <f t="array" ref="AH22">IF($AB22="","",_xlfn.LET(_xlpm.r,_xlfn.XLOOKUP($AB$3&amp;"|"&amp;$AB22,anSM_Seg&amp;"|"&amp;anSM_YM,anSM_LagP50,""),IF(ISBLANK(_xlpm.r),"",_xlpm.r)))</f>
        <v/>
      </c>
      <c r="AI22" s="122" t="str" cm="1">
        <f t="array" ref="AI22">IF($AB22="","",_xlfn.LET(_xlpm.r,_xlfn.XLOOKUP($AB$3&amp;"|"&amp;$AB22,anSM_Seg&amp;"|"&amp;anSM_YM,anSM_SLA,""),IF(ISBLANK(_xlpm.r),"",_xlpm.r)))</f>
        <v/>
      </c>
      <c r="AJ22" s="122" t="str" cm="1">
        <f t="array" ref="AJ22">IF($AB22="","",_xlfn.LET(_xlpm.r,_xlfn.XLOOKUP($AB$3&amp;"|"&amp;$AB22,anSM_Seg&amp;"|"&amp;anSM_YM,anSM_Lines,""),IF(ISBLANK(_xlpm.r),"",_xlpm.r)))</f>
        <v/>
      </c>
      <c r="AK22" s="122" t="str" cm="1">
        <f t="array" ref="AK22">IF($AB22="","",_xlfn.LET(_xlpm.r,_xlfn.XLOOKUP($AB$3&amp;"|"&amp;$AB22,anSM_Seg&amp;"|"&amp;anSM_YM,anSM_PM,""),IF(ISBLANK(_xlpm.r),"",_xlpm.r)))</f>
        <v/>
      </c>
      <c r="AL22" s="122" t="str">
        <f t="shared" si="0"/>
        <v/>
      </c>
      <c r="AM22" s="122" t="str">
        <f t="shared" si="1"/>
        <v/>
      </c>
      <c r="AN22" s="122" t="str">
        <f t="shared" si="2"/>
        <v/>
      </c>
    </row>
    <row r="23" spans="13:40" ht="27" customHeight="1">
      <c r="M23" s="174"/>
      <c r="N23" s="175"/>
      <c r="O23" s="175"/>
      <c r="P23" s="175"/>
      <c r="Q23" s="175"/>
      <c r="AB23" s="122" t="str" cm="1">
        <f t="array" ref="AB23">IFERROR(INDEX(_xlfn.ANCHORARRAY($AV$8),$AB$6-24+ROW()-7),"")</f>
        <v/>
      </c>
      <c r="AC23" s="122" t="str" cm="1">
        <f t="array" ref="AC23">IF($AB23="","",_xlfn.LET(_xlpm.r,_xlfn.XLOOKUP($AB$3&amp;"|"&amp;$AB23,anSM_Seg&amp;"|"&amp;anSM_YM,anSM_Paid,""),IF(ISBLANK(_xlpm.r),"",_xlpm.r)))</f>
        <v/>
      </c>
      <c r="AD23" s="122" t="str" cm="1">
        <f t="array" ref="AD23">IF($AB23="","",_xlfn.LET(_xlpm.r,_xlfn.XLOOKUP($AB$3&amp;"|"&amp;$AB23,anSM_Seg&amp;"|"&amp;anSM_YM,anSM_MoM,""),IF(ISBLANK(_xlpm.r),"",_xlpm.r)))</f>
        <v/>
      </c>
      <c r="AE23" s="122" t="str" cm="1">
        <f t="array" ref="AE23">IF($AB23="","",_xlfn.LET(_xlpm.r,_xlfn.XLOOKUP($AB$3&amp;"|"&amp;$AB23,anSM_Seg&amp;"|"&amp;anSM_YM,anSM_Cases,""),IF(ISBLANK(_xlpm.r),"",_xlpm.r)))</f>
        <v/>
      </c>
      <c r="AF23" s="122" t="str" cm="1">
        <f t="array" ref="AF23">IF($AB23="","",_xlfn.LET(_xlpm.r,_xlfn.XLOOKUP($AB$3&amp;"|"&amp;$AB23,anSM_Seg&amp;"|"&amp;anSM_YM,anSM_Mean,""),IF(ISBLANK(_xlpm.r),"",_xlpm.r)))</f>
        <v/>
      </c>
      <c r="AG23" s="122" t="str" cm="1">
        <f t="array" ref="AG23">IF($AB23="","",_xlfn.LET(_xlpm.r,_xlfn.XLOOKUP($AB$3&amp;"|"&amp;$AB23,anSM_Seg&amp;"|"&amp;anSM_YM,anSM_P90,""),IF(ISBLANK(_xlpm.r),"",_xlpm.r)))</f>
        <v/>
      </c>
      <c r="AH23" s="122" t="str" cm="1">
        <f t="array" ref="AH23">IF($AB23="","",_xlfn.LET(_xlpm.r,_xlfn.XLOOKUP($AB$3&amp;"|"&amp;$AB23,anSM_Seg&amp;"|"&amp;anSM_YM,anSM_LagP50,""),IF(ISBLANK(_xlpm.r),"",_xlpm.r)))</f>
        <v/>
      </c>
      <c r="AI23" s="122" t="str" cm="1">
        <f t="array" ref="AI23">IF($AB23="","",_xlfn.LET(_xlpm.r,_xlfn.XLOOKUP($AB$3&amp;"|"&amp;$AB23,anSM_Seg&amp;"|"&amp;anSM_YM,anSM_SLA,""),IF(ISBLANK(_xlpm.r),"",_xlpm.r)))</f>
        <v/>
      </c>
      <c r="AJ23" s="122" t="str" cm="1">
        <f t="array" ref="AJ23">IF($AB23="","",_xlfn.LET(_xlpm.r,_xlfn.XLOOKUP($AB$3&amp;"|"&amp;$AB23,anSM_Seg&amp;"|"&amp;anSM_YM,anSM_Lines,""),IF(ISBLANK(_xlpm.r),"",_xlpm.r)))</f>
        <v/>
      </c>
      <c r="AK23" s="122" t="str" cm="1">
        <f t="array" ref="AK23">IF($AB23="","",_xlfn.LET(_xlpm.r,_xlfn.XLOOKUP($AB$3&amp;"|"&amp;$AB23,anSM_Seg&amp;"|"&amp;anSM_YM,anSM_PM,""),IF(ISBLANK(_xlpm.r),"",_xlpm.r)))</f>
        <v/>
      </c>
      <c r="AL23" s="122" t="str">
        <f t="shared" si="0"/>
        <v/>
      </c>
      <c r="AM23" s="122" t="str">
        <f t="shared" si="1"/>
        <v/>
      </c>
      <c r="AN23" s="122" t="str">
        <f t="shared" si="2"/>
        <v/>
      </c>
    </row>
    <row r="24" spans="13:40">
      <c r="AB24" s="122" t="str" cm="1">
        <f t="array" ref="AB24">IFERROR(INDEX(_xlfn.ANCHORARRAY($AV$8),$AB$6-24+ROW()-7),"")</f>
        <v/>
      </c>
      <c r="AC24" s="122" t="str" cm="1">
        <f t="array" ref="AC24">IF($AB24="","",_xlfn.LET(_xlpm.r,_xlfn.XLOOKUP($AB$3&amp;"|"&amp;$AB24,anSM_Seg&amp;"|"&amp;anSM_YM,anSM_Paid,""),IF(ISBLANK(_xlpm.r),"",_xlpm.r)))</f>
        <v/>
      </c>
      <c r="AD24" s="122" t="str" cm="1">
        <f t="array" ref="AD24">IF($AB24="","",_xlfn.LET(_xlpm.r,_xlfn.XLOOKUP($AB$3&amp;"|"&amp;$AB24,anSM_Seg&amp;"|"&amp;anSM_YM,anSM_MoM,""),IF(ISBLANK(_xlpm.r),"",_xlpm.r)))</f>
        <v/>
      </c>
      <c r="AE24" s="122" t="str" cm="1">
        <f t="array" ref="AE24">IF($AB24="","",_xlfn.LET(_xlpm.r,_xlfn.XLOOKUP($AB$3&amp;"|"&amp;$AB24,anSM_Seg&amp;"|"&amp;anSM_YM,anSM_Cases,""),IF(ISBLANK(_xlpm.r),"",_xlpm.r)))</f>
        <v/>
      </c>
      <c r="AF24" s="122" t="str" cm="1">
        <f t="array" ref="AF24">IF($AB24="","",_xlfn.LET(_xlpm.r,_xlfn.XLOOKUP($AB$3&amp;"|"&amp;$AB24,anSM_Seg&amp;"|"&amp;anSM_YM,anSM_Mean,""),IF(ISBLANK(_xlpm.r),"",_xlpm.r)))</f>
        <v/>
      </c>
      <c r="AG24" s="122" t="str" cm="1">
        <f t="array" ref="AG24">IF($AB24="","",_xlfn.LET(_xlpm.r,_xlfn.XLOOKUP($AB$3&amp;"|"&amp;$AB24,anSM_Seg&amp;"|"&amp;anSM_YM,anSM_P90,""),IF(ISBLANK(_xlpm.r),"",_xlpm.r)))</f>
        <v/>
      </c>
      <c r="AH24" s="122" t="str" cm="1">
        <f t="array" ref="AH24">IF($AB24="","",_xlfn.LET(_xlpm.r,_xlfn.XLOOKUP($AB$3&amp;"|"&amp;$AB24,anSM_Seg&amp;"|"&amp;anSM_YM,anSM_LagP50,""),IF(ISBLANK(_xlpm.r),"",_xlpm.r)))</f>
        <v/>
      </c>
      <c r="AI24" s="122" t="str" cm="1">
        <f t="array" ref="AI24">IF($AB24="","",_xlfn.LET(_xlpm.r,_xlfn.XLOOKUP($AB$3&amp;"|"&amp;$AB24,anSM_Seg&amp;"|"&amp;anSM_YM,anSM_SLA,""),IF(ISBLANK(_xlpm.r),"",_xlpm.r)))</f>
        <v/>
      </c>
      <c r="AJ24" s="122" t="str" cm="1">
        <f t="array" ref="AJ24">IF($AB24="","",_xlfn.LET(_xlpm.r,_xlfn.XLOOKUP($AB$3&amp;"|"&amp;$AB24,anSM_Seg&amp;"|"&amp;anSM_YM,anSM_Lines,""),IF(ISBLANK(_xlpm.r),"",_xlpm.r)))</f>
        <v/>
      </c>
      <c r="AK24" s="122" t="str" cm="1">
        <f t="array" ref="AK24">IF($AB24="","",_xlfn.LET(_xlpm.r,_xlfn.XLOOKUP($AB$3&amp;"|"&amp;$AB24,anSM_Seg&amp;"|"&amp;anSM_YM,anSM_PM,""),IF(ISBLANK(_xlpm.r),"",_xlpm.r)))</f>
        <v/>
      </c>
      <c r="AL24" s="122" t="str">
        <f t="shared" si="0"/>
        <v/>
      </c>
      <c r="AM24" s="122" t="str">
        <f t="shared" si="1"/>
        <v/>
      </c>
      <c r="AN24" s="122" t="str">
        <f t="shared" si="2"/>
        <v/>
      </c>
    </row>
    <row r="25" spans="13:40">
      <c r="AB25" s="122" t="str" cm="1">
        <f t="array" ref="AB25">IFERROR(INDEX(_xlfn.ANCHORARRAY($AV$8),$AB$6-24+ROW()-7),"")</f>
        <v/>
      </c>
      <c r="AC25" s="122" t="str" cm="1">
        <f t="array" ref="AC25">IF($AB25="","",_xlfn.LET(_xlpm.r,_xlfn.XLOOKUP($AB$3&amp;"|"&amp;$AB25,anSM_Seg&amp;"|"&amp;anSM_YM,anSM_Paid,""),IF(ISBLANK(_xlpm.r),"",_xlpm.r)))</f>
        <v/>
      </c>
      <c r="AD25" s="122" t="str" cm="1">
        <f t="array" ref="AD25">IF($AB25="","",_xlfn.LET(_xlpm.r,_xlfn.XLOOKUP($AB$3&amp;"|"&amp;$AB25,anSM_Seg&amp;"|"&amp;anSM_YM,anSM_MoM,""),IF(ISBLANK(_xlpm.r),"",_xlpm.r)))</f>
        <v/>
      </c>
      <c r="AE25" s="122" t="str" cm="1">
        <f t="array" ref="AE25">IF($AB25="","",_xlfn.LET(_xlpm.r,_xlfn.XLOOKUP($AB$3&amp;"|"&amp;$AB25,anSM_Seg&amp;"|"&amp;anSM_YM,anSM_Cases,""),IF(ISBLANK(_xlpm.r),"",_xlpm.r)))</f>
        <v/>
      </c>
      <c r="AF25" s="122" t="str" cm="1">
        <f t="array" ref="AF25">IF($AB25="","",_xlfn.LET(_xlpm.r,_xlfn.XLOOKUP($AB$3&amp;"|"&amp;$AB25,anSM_Seg&amp;"|"&amp;anSM_YM,anSM_Mean,""),IF(ISBLANK(_xlpm.r),"",_xlpm.r)))</f>
        <v/>
      </c>
      <c r="AG25" s="122" t="str" cm="1">
        <f t="array" ref="AG25">IF($AB25="","",_xlfn.LET(_xlpm.r,_xlfn.XLOOKUP($AB$3&amp;"|"&amp;$AB25,anSM_Seg&amp;"|"&amp;anSM_YM,anSM_P90,""),IF(ISBLANK(_xlpm.r),"",_xlpm.r)))</f>
        <v/>
      </c>
      <c r="AH25" s="122" t="str" cm="1">
        <f t="array" ref="AH25">IF($AB25="","",_xlfn.LET(_xlpm.r,_xlfn.XLOOKUP($AB$3&amp;"|"&amp;$AB25,anSM_Seg&amp;"|"&amp;anSM_YM,anSM_LagP50,""),IF(ISBLANK(_xlpm.r),"",_xlpm.r)))</f>
        <v/>
      </c>
      <c r="AI25" s="122" t="str" cm="1">
        <f t="array" ref="AI25">IF($AB25="","",_xlfn.LET(_xlpm.r,_xlfn.XLOOKUP($AB$3&amp;"|"&amp;$AB25,anSM_Seg&amp;"|"&amp;anSM_YM,anSM_SLA,""),IF(ISBLANK(_xlpm.r),"",_xlpm.r)))</f>
        <v/>
      </c>
      <c r="AJ25" s="122" t="str" cm="1">
        <f t="array" ref="AJ25">IF($AB25="","",_xlfn.LET(_xlpm.r,_xlfn.XLOOKUP($AB$3&amp;"|"&amp;$AB25,anSM_Seg&amp;"|"&amp;anSM_YM,anSM_Lines,""),IF(ISBLANK(_xlpm.r),"",_xlpm.r)))</f>
        <v/>
      </c>
      <c r="AK25" s="122" t="str" cm="1">
        <f t="array" ref="AK25">IF($AB25="","",_xlfn.LET(_xlpm.r,_xlfn.XLOOKUP($AB$3&amp;"|"&amp;$AB25,anSM_Seg&amp;"|"&amp;anSM_YM,anSM_PM,""),IF(ISBLANK(_xlpm.r),"",_xlpm.r)))</f>
        <v/>
      </c>
      <c r="AL25" s="122" t="str">
        <f t="shared" si="0"/>
        <v/>
      </c>
      <c r="AM25" s="122" t="str">
        <f t="shared" si="1"/>
        <v/>
      </c>
      <c r="AN25" s="122" t="str">
        <f t="shared" si="2"/>
        <v/>
      </c>
    </row>
    <row r="26" spans="13:40">
      <c r="M26" s="127" t="str">
        <f>_xlfn.XLOOKUP("AN_ALERTS",tblUIText[Key],tblUIText[TR],"AN_ALERTS")&amp;" / "&amp;_xlfn.XLOOKUP("AN_ALERTS",tblUIText[Key],tblUIText[EN],"")</f>
        <v>Açık uyarılar / Open alerts</v>
      </c>
      <c r="AB26" s="122" t="str" cm="1">
        <f t="array" ref="AB26">IFERROR(INDEX(_xlfn.ANCHORARRAY($AV$8),$AB$6-24+ROW()-7),"")</f>
        <v/>
      </c>
      <c r="AC26" s="122" t="str" cm="1">
        <f t="array" ref="AC26">IF($AB26="","",_xlfn.LET(_xlpm.r,_xlfn.XLOOKUP($AB$3&amp;"|"&amp;$AB26,anSM_Seg&amp;"|"&amp;anSM_YM,anSM_Paid,""),IF(ISBLANK(_xlpm.r),"",_xlpm.r)))</f>
        <v/>
      </c>
      <c r="AD26" s="122" t="str" cm="1">
        <f t="array" ref="AD26">IF($AB26="","",_xlfn.LET(_xlpm.r,_xlfn.XLOOKUP($AB$3&amp;"|"&amp;$AB26,anSM_Seg&amp;"|"&amp;anSM_YM,anSM_MoM,""),IF(ISBLANK(_xlpm.r),"",_xlpm.r)))</f>
        <v/>
      </c>
      <c r="AE26" s="122" t="str" cm="1">
        <f t="array" ref="AE26">IF($AB26="","",_xlfn.LET(_xlpm.r,_xlfn.XLOOKUP($AB$3&amp;"|"&amp;$AB26,anSM_Seg&amp;"|"&amp;anSM_YM,anSM_Cases,""),IF(ISBLANK(_xlpm.r),"",_xlpm.r)))</f>
        <v/>
      </c>
      <c r="AF26" s="122" t="str" cm="1">
        <f t="array" ref="AF26">IF($AB26="","",_xlfn.LET(_xlpm.r,_xlfn.XLOOKUP($AB$3&amp;"|"&amp;$AB26,anSM_Seg&amp;"|"&amp;anSM_YM,anSM_Mean,""),IF(ISBLANK(_xlpm.r),"",_xlpm.r)))</f>
        <v/>
      </c>
      <c r="AG26" s="122" t="str" cm="1">
        <f t="array" ref="AG26">IF($AB26="","",_xlfn.LET(_xlpm.r,_xlfn.XLOOKUP($AB$3&amp;"|"&amp;$AB26,anSM_Seg&amp;"|"&amp;anSM_YM,anSM_P90,""),IF(ISBLANK(_xlpm.r),"",_xlpm.r)))</f>
        <v/>
      </c>
      <c r="AH26" s="122" t="str" cm="1">
        <f t="array" ref="AH26">IF($AB26="","",_xlfn.LET(_xlpm.r,_xlfn.XLOOKUP($AB$3&amp;"|"&amp;$AB26,anSM_Seg&amp;"|"&amp;anSM_YM,anSM_LagP50,""),IF(ISBLANK(_xlpm.r),"",_xlpm.r)))</f>
        <v/>
      </c>
      <c r="AI26" s="122" t="str" cm="1">
        <f t="array" ref="AI26">IF($AB26="","",_xlfn.LET(_xlpm.r,_xlfn.XLOOKUP($AB$3&amp;"|"&amp;$AB26,anSM_Seg&amp;"|"&amp;anSM_YM,anSM_SLA,""),IF(ISBLANK(_xlpm.r),"",_xlpm.r)))</f>
        <v/>
      </c>
      <c r="AJ26" s="122" t="str" cm="1">
        <f t="array" ref="AJ26">IF($AB26="","",_xlfn.LET(_xlpm.r,_xlfn.XLOOKUP($AB$3&amp;"|"&amp;$AB26,anSM_Seg&amp;"|"&amp;anSM_YM,anSM_Lines,""),IF(ISBLANK(_xlpm.r),"",_xlpm.r)))</f>
        <v/>
      </c>
      <c r="AK26" s="122" t="str" cm="1">
        <f t="array" ref="AK26">IF($AB26="","",_xlfn.LET(_xlpm.r,_xlfn.XLOOKUP($AB$3&amp;"|"&amp;$AB26,anSM_Seg&amp;"|"&amp;anSM_YM,anSM_PM,""),IF(ISBLANK(_xlpm.r),"",_xlpm.r)))</f>
        <v/>
      </c>
      <c r="AL26" s="122" t="str">
        <f t="shared" si="0"/>
        <v/>
      </c>
      <c r="AM26" s="122" t="str">
        <f t="shared" si="1"/>
        <v/>
      </c>
      <c r="AN26" s="122" t="str">
        <f t="shared" si="2"/>
        <v/>
      </c>
    </row>
    <row r="27" spans="13:40">
      <c r="M27" s="130" t="str" cm="1">
        <f t="array" ref="M27">_xlfn._xlws.FILTER($AS$8:$AS$13&amp;": "&amp;$AT$8:$AT$13,((LEFT($AT$8:$AT$13,5)="WATCH")+(LEFT($AT$8:$AT$13,5)="ALERT"))*(RIGHT($AT$8:$AT$13,1)&lt;&gt;"*"),_xlfn.XLOOKUP("AN_NO_ALERTS",tblUIText[Key],tblUIText[TR],"AN_NO_ALERTS")&amp;" / "&amp;_xlfn.XLOOKUP("AN_NO_ALERTS",tblUIText[Key],tblUIText[EN],""))</f>
        <v>Açık uyarı yok / No open alerts</v>
      </c>
      <c r="AB27" s="122" t="str" cm="1">
        <f t="array" ref="AB27">IFERROR(INDEX(_xlfn.ANCHORARRAY($AV$8),$AB$6-24+ROW()-7),"")</f>
        <v/>
      </c>
      <c r="AC27" s="122" t="str" cm="1">
        <f t="array" ref="AC27">IF($AB27="","",_xlfn.LET(_xlpm.r,_xlfn.XLOOKUP($AB$3&amp;"|"&amp;$AB27,anSM_Seg&amp;"|"&amp;anSM_YM,anSM_Paid,""),IF(ISBLANK(_xlpm.r),"",_xlpm.r)))</f>
        <v/>
      </c>
      <c r="AD27" s="122" t="str" cm="1">
        <f t="array" ref="AD27">IF($AB27="","",_xlfn.LET(_xlpm.r,_xlfn.XLOOKUP($AB$3&amp;"|"&amp;$AB27,anSM_Seg&amp;"|"&amp;anSM_YM,anSM_MoM,""),IF(ISBLANK(_xlpm.r),"",_xlpm.r)))</f>
        <v/>
      </c>
      <c r="AE27" s="122" t="str" cm="1">
        <f t="array" ref="AE27">IF($AB27="","",_xlfn.LET(_xlpm.r,_xlfn.XLOOKUP($AB$3&amp;"|"&amp;$AB27,anSM_Seg&amp;"|"&amp;anSM_YM,anSM_Cases,""),IF(ISBLANK(_xlpm.r),"",_xlpm.r)))</f>
        <v/>
      </c>
      <c r="AF27" s="122" t="str" cm="1">
        <f t="array" ref="AF27">IF($AB27="","",_xlfn.LET(_xlpm.r,_xlfn.XLOOKUP($AB$3&amp;"|"&amp;$AB27,anSM_Seg&amp;"|"&amp;anSM_YM,anSM_Mean,""),IF(ISBLANK(_xlpm.r),"",_xlpm.r)))</f>
        <v/>
      </c>
      <c r="AG27" s="122" t="str" cm="1">
        <f t="array" ref="AG27">IF($AB27="","",_xlfn.LET(_xlpm.r,_xlfn.XLOOKUP($AB$3&amp;"|"&amp;$AB27,anSM_Seg&amp;"|"&amp;anSM_YM,anSM_P90,""),IF(ISBLANK(_xlpm.r),"",_xlpm.r)))</f>
        <v/>
      </c>
      <c r="AH27" s="122" t="str" cm="1">
        <f t="array" ref="AH27">IF($AB27="","",_xlfn.LET(_xlpm.r,_xlfn.XLOOKUP($AB$3&amp;"|"&amp;$AB27,anSM_Seg&amp;"|"&amp;anSM_YM,anSM_LagP50,""),IF(ISBLANK(_xlpm.r),"",_xlpm.r)))</f>
        <v/>
      </c>
      <c r="AI27" s="122" t="str" cm="1">
        <f t="array" ref="AI27">IF($AB27="","",_xlfn.LET(_xlpm.r,_xlfn.XLOOKUP($AB$3&amp;"|"&amp;$AB27,anSM_Seg&amp;"|"&amp;anSM_YM,anSM_SLA,""),IF(ISBLANK(_xlpm.r),"",_xlpm.r)))</f>
        <v/>
      </c>
      <c r="AJ27" s="122" t="str" cm="1">
        <f t="array" ref="AJ27">IF($AB27="","",_xlfn.LET(_xlpm.r,_xlfn.XLOOKUP($AB$3&amp;"|"&amp;$AB27,anSM_Seg&amp;"|"&amp;anSM_YM,anSM_Lines,""),IF(ISBLANK(_xlpm.r),"",_xlpm.r)))</f>
        <v/>
      </c>
      <c r="AK27" s="122" t="str" cm="1">
        <f t="array" ref="AK27">IF($AB27="","",_xlfn.LET(_xlpm.r,_xlfn.XLOOKUP($AB$3&amp;"|"&amp;$AB27,anSM_Seg&amp;"|"&amp;anSM_YM,anSM_PM,""),IF(ISBLANK(_xlpm.r),"",_xlpm.r)))</f>
        <v/>
      </c>
      <c r="AL27" s="122" t="str">
        <f t="shared" si="0"/>
        <v/>
      </c>
      <c r="AM27" s="122" t="str">
        <f t="shared" si="1"/>
        <v/>
      </c>
      <c r="AN27" s="122" t="str">
        <f t="shared" si="2"/>
        <v/>
      </c>
    </row>
    <row r="28" spans="13:40">
      <c r="M28" s="130"/>
      <c r="AB28" s="122" t="str" cm="1">
        <f t="array" ref="AB28">IFERROR(INDEX(_xlfn.ANCHORARRAY($AV$8),$AB$6-24+ROW()-7),"")</f>
        <v/>
      </c>
      <c r="AC28" s="122" t="str" cm="1">
        <f t="array" ref="AC28">IF($AB28="","",_xlfn.LET(_xlpm.r,_xlfn.XLOOKUP($AB$3&amp;"|"&amp;$AB28,anSM_Seg&amp;"|"&amp;anSM_YM,anSM_Paid,""),IF(ISBLANK(_xlpm.r),"",_xlpm.r)))</f>
        <v/>
      </c>
      <c r="AD28" s="122" t="str" cm="1">
        <f t="array" ref="AD28">IF($AB28="","",_xlfn.LET(_xlpm.r,_xlfn.XLOOKUP($AB$3&amp;"|"&amp;$AB28,anSM_Seg&amp;"|"&amp;anSM_YM,anSM_MoM,""),IF(ISBLANK(_xlpm.r),"",_xlpm.r)))</f>
        <v/>
      </c>
      <c r="AE28" s="122" t="str" cm="1">
        <f t="array" ref="AE28">IF($AB28="","",_xlfn.LET(_xlpm.r,_xlfn.XLOOKUP($AB$3&amp;"|"&amp;$AB28,anSM_Seg&amp;"|"&amp;anSM_YM,anSM_Cases,""),IF(ISBLANK(_xlpm.r),"",_xlpm.r)))</f>
        <v/>
      </c>
      <c r="AF28" s="122" t="str" cm="1">
        <f t="array" ref="AF28">IF($AB28="","",_xlfn.LET(_xlpm.r,_xlfn.XLOOKUP($AB$3&amp;"|"&amp;$AB28,anSM_Seg&amp;"|"&amp;anSM_YM,anSM_Mean,""),IF(ISBLANK(_xlpm.r),"",_xlpm.r)))</f>
        <v/>
      </c>
      <c r="AG28" s="122" t="str" cm="1">
        <f t="array" ref="AG28">IF($AB28="","",_xlfn.LET(_xlpm.r,_xlfn.XLOOKUP($AB$3&amp;"|"&amp;$AB28,anSM_Seg&amp;"|"&amp;anSM_YM,anSM_P90,""),IF(ISBLANK(_xlpm.r),"",_xlpm.r)))</f>
        <v/>
      </c>
      <c r="AH28" s="122" t="str" cm="1">
        <f t="array" ref="AH28">IF($AB28="","",_xlfn.LET(_xlpm.r,_xlfn.XLOOKUP($AB$3&amp;"|"&amp;$AB28,anSM_Seg&amp;"|"&amp;anSM_YM,anSM_LagP50,""),IF(ISBLANK(_xlpm.r),"",_xlpm.r)))</f>
        <v/>
      </c>
      <c r="AI28" s="122" t="str" cm="1">
        <f t="array" ref="AI28">IF($AB28="","",_xlfn.LET(_xlpm.r,_xlfn.XLOOKUP($AB$3&amp;"|"&amp;$AB28,anSM_Seg&amp;"|"&amp;anSM_YM,anSM_SLA,""),IF(ISBLANK(_xlpm.r),"",_xlpm.r)))</f>
        <v/>
      </c>
      <c r="AJ28" s="122" t="str" cm="1">
        <f t="array" ref="AJ28">IF($AB28="","",_xlfn.LET(_xlpm.r,_xlfn.XLOOKUP($AB$3&amp;"|"&amp;$AB28,anSM_Seg&amp;"|"&amp;anSM_YM,anSM_Lines,""),IF(ISBLANK(_xlpm.r),"",_xlpm.r)))</f>
        <v/>
      </c>
      <c r="AK28" s="122" t="str" cm="1">
        <f t="array" ref="AK28">IF($AB28="","",_xlfn.LET(_xlpm.r,_xlfn.XLOOKUP($AB$3&amp;"|"&amp;$AB28,anSM_Seg&amp;"|"&amp;anSM_YM,anSM_PM,""),IF(ISBLANK(_xlpm.r),"",_xlpm.r)))</f>
        <v/>
      </c>
      <c r="AL28" s="122" t="str">
        <f t="shared" si="0"/>
        <v/>
      </c>
      <c r="AM28" s="122" t="str">
        <f t="shared" si="1"/>
        <v/>
      </c>
      <c r="AN28" s="122" t="str">
        <f t="shared" si="2"/>
        <v/>
      </c>
    </row>
    <row r="29" spans="13:40">
      <c r="M29" s="130"/>
      <c r="AB29" s="122" t="str" cm="1">
        <f t="array" ref="AB29">IFERROR(INDEX(_xlfn.ANCHORARRAY($AV$8),$AB$6-24+ROW()-7),"")</f>
        <v/>
      </c>
      <c r="AC29" s="122" t="str" cm="1">
        <f t="array" ref="AC29">IF($AB29="","",_xlfn.LET(_xlpm.r,_xlfn.XLOOKUP($AB$3&amp;"|"&amp;$AB29,anSM_Seg&amp;"|"&amp;anSM_YM,anSM_Paid,""),IF(ISBLANK(_xlpm.r),"",_xlpm.r)))</f>
        <v/>
      </c>
      <c r="AD29" s="122" t="str" cm="1">
        <f t="array" ref="AD29">IF($AB29="","",_xlfn.LET(_xlpm.r,_xlfn.XLOOKUP($AB$3&amp;"|"&amp;$AB29,anSM_Seg&amp;"|"&amp;anSM_YM,anSM_MoM,""),IF(ISBLANK(_xlpm.r),"",_xlpm.r)))</f>
        <v/>
      </c>
      <c r="AE29" s="122" t="str" cm="1">
        <f t="array" ref="AE29">IF($AB29="","",_xlfn.LET(_xlpm.r,_xlfn.XLOOKUP($AB$3&amp;"|"&amp;$AB29,anSM_Seg&amp;"|"&amp;anSM_YM,anSM_Cases,""),IF(ISBLANK(_xlpm.r),"",_xlpm.r)))</f>
        <v/>
      </c>
      <c r="AF29" s="122" t="str" cm="1">
        <f t="array" ref="AF29">IF($AB29="","",_xlfn.LET(_xlpm.r,_xlfn.XLOOKUP($AB$3&amp;"|"&amp;$AB29,anSM_Seg&amp;"|"&amp;anSM_YM,anSM_Mean,""),IF(ISBLANK(_xlpm.r),"",_xlpm.r)))</f>
        <v/>
      </c>
      <c r="AG29" s="122" t="str" cm="1">
        <f t="array" ref="AG29">IF($AB29="","",_xlfn.LET(_xlpm.r,_xlfn.XLOOKUP($AB$3&amp;"|"&amp;$AB29,anSM_Seg&amp;"|"&amp;anSM_YM,anSM_P90,""),IF(ISBLANK(_xlpm.r),"",_xlpm.r)))</f>
        <v/>
      </c>
      <c r="AH29" s="122" t="str" cm="1">
        <f t="array" ref="AH29">IF($AB29="","",_xlfn.LET(_xlpm.r,_xlfn.XLOOKUP($AB$3&amp;"|"&amp;$AB29,anSM_Seg&amp;"|"&amp;anSM_YM,anSM_LagP50,""),IF(ISBLANK(_xlpm.r),"",_xlpm.r)))</f>
        <v/>
      </c>
      <c r="AI29" s="122" t="str" cm="1">
        <f t="array" ref="AI29">IF($AB29="","",_xlfn.LET(_xlpm.r,_xlfn.XLOOKUP($AB$3&amp;"|"&amp;$AB29,anSM_Seg&amp;"|"&amp;anSM_YM,anSM_SLA,""),IF(ISBLANK(_xlpm.r),"",_xlpm.r)))</f>
        <v/>
      </c>
      <c r="AJ29" s="122" t="str" cm="1">
        <f t="array" ref="AJ29">IF($AB29="","",_xlfn.LET(_xlpm.r,_xlfn.XLOOKUP($AB$3&amp;"|"&amp;$AB29,anSM_Seg&amp;"|"&amp;anSM_YM,anSM_Lines,""),IF(ISBLANK(_xlpm.r),"",_xlpm.r)))</f>
        <v/>
      </c>
      <c r="AK29" s="122" t="str" cm="1">
        <f t="array" ref="AK29">IF($AB29="","",_xlfn.LET(_xlpm.r,_xlfn.XLOOKUP($AB$3&amp;"|"&amp;$AB29,anSM_Seg&amp;"|"&amp;anSM_YM,anSM_PM,""),IF(ISBLANK(_xlpm.r),"",_xlpm.r)))</f>
        <v/>
      </c>
      <c r="AL29" s="122" t="str">
        <f t="shared" si="0"/>
        <v/>
      </c>
      <c r="AM29" s="122" t="str">
        <f t="shared" si="1"/>
        <v/>
      </c>
      <c r="AN29" s="122" t="str">
        <f t="shared" si="2"/>
        <v/>
      </c>
    </row>
    <row r="30" spans="13:40">
      <c r="M30" s="130"/>
      <c r="AB30" s="122" t="str" cm="1">
        <f t="array" ref="AB30">IFERROR(INDEX(_xlfn.ANCHORARRAY($AV$8),$AB$6-24+ROW()-7),"")</f>
        <v/>
      </c>
      <c r="AC30" s="122" t="str" cm="1">
        <f t="array" ref="AC30">IF($AB30="","",_xlfn.LET(_xlpm.r,_xlfn.XLOOKUP($AB$3&amp;"|"&amp;$AB30,anSM_Seg&amp;"|"&amp;anSM_YM,anSM_Paid,""),IF(ISBLANK(_xlpm.r),"",_xlpm.r)))</f>
        <v/>
      </c>
      <c r="AD30" s="122" t="str" cm="1">
        <f t="array" ref="AD30">IF($AB30="","",_xlfn.LET(_xlpm.r,_xlfn.XLOOKUP($AB$3&amp;"|"&amp;$AB30,anSM_Seg&amp;"|"&amp;anSM_YM,anSM_MoM,""),IF(ISBLANK(_xlpm.r),"",_xlpm.r)))</f>
        <v/>
      </c>
      <c r="AE30" s="122" t="str" cm="1">
        <f t="array" ref="AE30">IF($AB30="","",_xlfn.LET(_xlpm.r,_xlfn.XLOOKUP($AB$3&amp;"|"&amp;$AB30,anSM_Seg&amp;"|"&amp;anSM_YM,anSM_Cases,""),IF(ISBLANK(_xlpm.r),"",_xlpm.r)))</f>
        <v/>
      </c>
      <c r="AF30" s="122" t="str" cm="1">
        <f t="array" ref="AF30">IF($AB30="","",_xlfn.LET(_xlpm.r,_xlfn.XLOOKUP($AB$3&amp;"|"&amp;$AB30,anSM_Seg&amp;"|"&amp;anSM_YM,anSM_Mean,""),IF(ISBLANK(_xlpm.r),"",_xlpm.r)))</f>
        <v/>
      </c>
      <c r="AG30" s="122" t="str" cm="1">
        <f t="array" ref="AG30">IF($AB30="","",_xlfn.LET(_xlpm.r,_xlfn.XLOOKUP($AB$3&amp;"|"&amp;$AB30,anSM_Seg&amp;"|"&amp;anSM_YM,anSM_P90,""),IF(ISBLANK(_xlpm.r),"",_xlpm.r)))</f>
        <v/>
      </c>
      <c r="AH30" s="122" t="str" cm="1">
        <f t="array" ref="AH30">IF($AB30="","",_xlfn.LET(_xlpm.r,_xlfn.XLOOKUP($AB$3&amp;"|"&amp;$AB30,anSM_Seg&amp;"|"&amp;anSM_YM,anSM_LagP50,""),IF(ISBLANK(_xlpm.r),"",_xlpm.r)))</f>
        <v/>
      </c>
      <c r="AI30" s="122" t="str" cm="1">
        <f t="array" ref="AI30">IF($AB30="","",_xlfn.LET(_xlpm.r,_xlfn.XLOOKUP($AB$3&amp;"|"&amp;$AB30,anSM_Seg&amp;"|"&amp;anSM_YM,anSM_SLA,""),IF(ISBLANK(_xlpm.r),"",_xlpm.r)))</f>
        <v/>
      </c>
      <c r="AJ30" s="122" t="str" cm="1">
        <f t="array" ref="AJ30">IF($AB30="","",_xlfn.LET(_xlpm.r,_xlfn.XLOOKUP($AB$3&amp;"|"&amp;$AB30,anSM_Seg&amp;"|"&amp;anSM_YM,anSM_Lines,""),IF(ISBLANK(_xlpm.r),"",_xlpm.r)))</f>
        <v/>
      </c>
      <c r="AK30" s="122" t="str" cm="1">
        <f t="array" ref="AK30">IF($AB30="","",_xlfn.LET(_xlpm.r,_xlfn.XLOOKUP($AB$3&amp;"|"&amp;$AB30,anSM_Seg&amp;"|"&amp;anSM_YM,anSM_PM,""),IF(ISBLANK(_xlpm.r),"",_xlpm.r)))</f>
        <v/>
      </c>
      <c r="AL30" s="122" t="str">
        <f t="shared" si="0"/>
        <v/>
      </c>
      <c r="AM30" s="122" t="str">
        <f t="shared" si="1"/>
        <v/>
      </c>
      <c r="AN30" s="122" t="str">
        <f t="shared" si="2"/>
        <v/>
      </c>
    </row>
    <row r="31" spans="13:40">
      <c r="M31" s="130"/>
      <c r="AB31" s="122" t="str" cm="1">
        <f t="array" ref="AB31">IFERROR(INDEX(_xlfn.ANCHORARRAY($AV$8),$AB$6-24+ROW()-7),"")</f>
        <v/>
      </c>
      <c r="AC31" s="122" t="str" cm="1">
        <f t="array" ref="AC31">IF($AB31="","",_xlfn.LET(_xlpm.r,_xlfn.XLOOKUP($AB$3&amp;"|"&amp;$AB31,anSM_Seg&amp;"|"&amp;anSM_YM,anSM_Paid,""),IF(ISBLANK(_xlpm.r),"",_xlpm.r)))</f>
        <v/>
      </c>
      <c r="AD31" s="122" t="str" cm="1">
        <f t="array" ref="AD31">IF($AB31="","",_xlfn.LET(_xlpm.r,_xlfn.XLOOKUP($AB$3&amp;"|"&amp;$AB31,anSM_Seg&amp;"|"&amp;anSM_YM,anSM_MoM,""),IF(ISBLANK(_xlpm.r),"",_xlpm.r)))</f>
        <v/>
      </c>
      <c r="AE31" s="122" t="str" cm="1">
        <f t="array" ref="AE31">IF($AB31="","",_xlfn.LET(_xlpm.r,_xlfn.XLOOKUP($AB$3&amp;"|"&amp;$AB31,anSM_Seg&amp;"|"&amp;anSM_YM,anSM_Cases,""),IF(ISBLANK(_xlpm.r),"",_xlpm.r)))</f>
        <v/>
      </c>
      <c r="AF31" s="122" t="str" cm="1">
        <f t="array" ref="AF31">IF($AB31="","",_xlfn.LET(_xlpm.r,_xlfn.XLOOKUP($AB$3&amp;"|"&amp;$AB31,anSM_Seg&amp;"|"&amp;anSM_YM,anSM_Mean,""),IF(ISBLANK(_xlpm.r),"",_xlpm.r)))</f>
        <v/>
      </c>
      <c r="AG31" s="122" t="str" cm="1">
        <f t="array" ref="AG31">IF($AB31="","",_xlfn.LET(_xlpm.r,_xlfn.XLOOKUP($AB$3&amp;"|"&amp;$AB31,anSM_Seg&amp;"|"&amp;anSM_YM,anSM_P90,""),IF(ISBLANK(_xlpm.r),"",_xlpm.r)))</f>
        <v/>
      </c>
      <c r="AH31" s="122" t="str" cm="1">
        <f t="array" ref="AH31">IF($AB31="","",_xlfn.LET(_xlpm.r,_xlfn.XLOOKUP($AB$3&amp;"|"&amp;$AB31,anSM_Seg&amp;"|"&amp;anSM_YM,anSM_LagP50,""),IF(ISBLANK(_xlpm.r),"",_xlpm.r)))</f>
        <v/>
      </c>
      <c r="AI31" s="122" t="str" cm="1">
        <f t="array" ref="AI31">IF($AB31="","",_xlfn.LET(_xlpm.r,_xlfn.XLOOKUP($AB$3&amp;"|"&amp;$AB31,anSM_Seg&amp;"|"&amp;anSM_YM,anSM_SLA,""),IF(ISBLANK(_xlpm.r),"",_xlpm.r)))</f>
        <v/>
      </c>
      <c r="AJ31" s="122" t="str" cm="1">
        <f t="array" ref="AJ31">IF($AB31="","",_xlfn.LET(_xlpm.r,_xlfn.XLOOKUP($AB$3&amp;"|"&amp;$AB31,anSM_Seg&amp;"|"&amp;anSM_YM,anSM_Lines,""),IF(ISBLANK(_xlpm.r),"",_xlpm.r)))</f>
        <v/>
      </c>
      <c r="AK31" s="122" t="str" cm="1">
        <f t="array" ref="AK31">IF($AB31="","",_xlfn.LET(_xlpm.r,_xlfn.XLOOKUP($AB$3&amp;"|"&amp;$AB31,anSM_Seg&amp;"|"&amp;anSM_YM,anSM_PM,""),IF(ISBLANK(_xlpm.r),"",_xlpm.r)))</f>
        <v/>
      </c>
      <c r="AL31" s="122" t="str">
        <f t="shared" si="0"/>
        <v/>
      </c>
      <c r="AM31" s="122" t="str">
        <f t="shared" si="1"/>
        <v/>
      </c>
      <c r="AN31" s="122" t="str">
        <f t="shared" si="2"/>
        <v/>
      </c>
    </row>
    <row r="32" spans="13:40">
      <c r="M32" s="130"/>
    </row>
    <row r="35" spans="2:19" ht="20.100000000000001" customHeight="1">
      <c r="B35" s="266" t="str">
        <f>_xlfn.XLOOKUP("AN_STATUS_LEGEND",tblUIText[Key],tblUIText[TR],"AN_STATUS_LEGEND")&amp;" / "&amp;_xlfn.XLOOKUP("AN_STATUS_LEGEND",tblUIText[Key],tblUIText[EN],"")</f>
        <v>Durum: OK; WATCH = uyarı eşiği aşıldı (kalıcılık kuralıyla); ALERT = alarm eşiği aşıldı; INSUFFICIENT DATA = yetersiz veri; (draft) = taslak istatistiksel eşik, sayılır; * = geçici sabit eşik (gri), uyarı sayılmaz ve sıralanmaz. Eşikler Threshold_Register'da (DRAFT). / Status: OK; WATCH = watch level breached (with the persistence rule); ALERT = alert level breached; INSUFFICIENT DATA = too little data; (draft) = draft statistical level, counted; * = placeholder fixed level (grey), never counted or ranked. Levels in Threshold_Register (DRAFT).</v>
      </c>
      <c r="C35" s="266"/>
      <c r="D35" s="266"/>
      <c r="E35" s="266"/>
      <c r="F35" s="266"/>
      <c r="G35" s="266"/>
      <c r="H35" s="266"/>
      <c r="I35" s="266"/>
      <c r="J35" s="266"/>
      <c r="K35" s="266"/>
      <c r="L35" s="266"/>
      <c r="M35" s="266"/>
      <c r="N35" s="266"/>
      <c r="O35" s="266"/>
      <c r="P35" s="266"/>
      <c r="Q35" s="266"/>
      <c r="R35" s="266"/>
      <c r="S35" s="266"/>
    </row>
    <row r="36" spans="2:19" ht="20.100000000000001" customHeight="1">
      <c r="B36" s="266"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C36" s="266"/>
      <c r="D36" s="266"/>
      <c r="E36" s="266"/>
      <c r="F36" s="266"/>
      <c r="G36" s="266"/>
      <c r="H36" s="266"/>
      <c r="I36" s="266"/>
      <c r="J36" s="266"/>
      <c r="K36" s="266"/>
      <c r="L36" s="266"/>
      <c r="M36" s="266"/>
      <c r="N36" s="266"/>
      <c r="O36" s="266"/>
      <c r="P36" s="266"/>
      <c r="Q36" s="266"/>
      <c r="R36" s="266"/>
      <c r="S36" s="266"/>
    </row>
    <row r="37" spans="2:19" ht="20.100000000000001" customHeight="1">
      <c r="B37" s="266" t="str">
        <f>_xlfn.XLOOKUP("AN_SLA_PLACEHOLDER",tblUIText[Key],tblUIText[TR],"AN_SLA_PLACEHOLDER")&amp;" / "&amp;_xlfn.XLOOKUP("AN_SLA_PLACEHOLDER",tblUIText[Key],tblUIText[EN],"")</f>
        <v>SLA süreleri geçici değerlerdir; operasyon tarafından teyit edilecek / SLA days are placeholders, to be confirmed by operations</v>
      </c>
      <c r="C37" s="266"/>
      <c r="D37" s="266"/>
      <c r="E37" s="266"/>
      <c r="F37" s="266"/>
      <c r="G37" s="266"/>
      <c r="H37" s="266"/>
      <c r="I37" s="266"/>
      <c r="J37" s="266"/>
      <c r="K37" s="266"/>
      <c r="L37" s="266"/>
      <c r="M37" s="266"/>
      <c r="N37" s="266"/>
      <c r="O37" s="266"/>
      <c r="P37" s="266"/>
      <c r="Q37" s="266"/>
      <c r="R37" s="266"/>
      <c r="S37" s="266"/>
    </row>
  </sheetData>
  <sheetProtection algorithmName="SHA-512" hashValue="q7J6xi9yZ9fbUdWJZHC0T601yiFCtb1MDE8cHsArefKjCKX3e5bvmL/qJozR11IwxYG+nJzuxnnu1hGqE2Xiww==" saltValue="sHyDeZDUCkxKsfOj71Xo+Q==" spinCount="100000" sheet="1" scenarios="1" formatColumns="0" sort="0" autoFilter="0"/>
  <mergeCells count="42">
    <mergeCell ref="M16:S16"/>
    <mergeCell ref="B35:S35"/>
    <mergeCell ref="B36:S36"/>
    <mergeCell ref="B37:S37"/>
    <mergeCell ref="Q9:S9"/>
    <mergeCell ref="Q10:S10"/>
    <mergeCell ref="Q11:S11"/>
    <mergeCell ref="Q12:S12"/>
    <mergeCell ref="Q13:S13"/>
    <mergeCell ref="Q14:S14"/>
    <mergeCell ref="N9:P9"/>
    <mergeCell ref="N10:P10"/>
    <mergeCell ref="N11:P11"/>
    <mergeCell ref="N12:P12"/>
    <mergeCell ref="N13:P13"/>
    <mergeCell ref="N14:P14"/>
    <mergeCell ref="H13:J13"/>
    <mergeCell ref="H14:J14"/>
    <mergeCell ref="K9:M9"/>
    <mergeCell ref="K10:M10"/>
    <mergeCell ref="K11:M11"/>
    <mergeCell ref="K12:M12"/>
    <mergeCell ref="K13:M13"/>
    <mergeCell ref="K14:M14"/>
    <mergeCell ref="H9:J9"/>
    <mergeCell ref="H10:J10"/>
    <mergeCell ref="H11:J11"/>
    <mergeCell ref="H12:J12"/>
    <mergeCell ref="B14:D14"/>
    <mergeCell ref="E9:G9"/>
    <mergeCell ref="E10:G10"/>
    <mergeCell ref="E11:G11"/>
    <mergeCell ref="E12:G12"/>
    <mergeCell ref="E13:G13"/>
    <mergeCell ref="E14:G14"/>
    <mergeCell ref="B13:D13"/>
    <mergeCell ref="B12:D12"/>
    <mergeCell ref="B4:S4"/>
    <mergeCell ref="B6:S6"/>
    <mergeCell ref="B9:D9"/>
    <mergeCell ref="B10:D10"/>
    <mergeCell ref="B11:D11"/>
  </mergeCells>
  <conditionalFormatting sqref="B6">
    <cfRule type="expression" dxfId="583" priority="7" stopIfTrue="1">
      <formula>ISNUMBER(SEARCH("INSUFFICIENT",$B$6))</formula>
    </cfRule>
  </conditionalFormatting>
  <conditionalFormatting sqref="B13:D13">
    <cfRule type="expression" dxfId="582" priority="6" stopIfTrue="1">
      <formula>RIGHT(B13,1)="*"</formula>
    </cfRule>
    <cfRule type="expression" dxfId="581" priority="8" stopIfTrue="1">
      <formula>LEFT(B13,5)="ALERT"</formula>
    </cfRule>
    <cfRule type="expression" dxfId="580" priority="9" stopIfTrue="1">
      <formula>LEFT(B13,5)="WATCH"</formula>
    </cfRule>
    <cfRule type="expression" dxfId="579" priority="10" stopIfTrue="1">
      <formula>LEFT(B13,2)="OK"</formula>
    </cfRule>
    <cfRule type="expression" dxfId="578" priority="11" stopIfTrue="1">
      <formula>LEFT(B13,12)="INSUFFICIENT"</formula>
    </cfRule>
  </conditionalFormatting>
  <conditionalFormatting sqref="E13:G13">
    <cfRule type="expression" dxfId="577" priority="5" stopIfTrue="1">
      <formula>RIGHT(E13,1)="*"</formula>
    </cfRule>
    <cfRule type="expression" dxfId="576" priority="12" stopIfTrue="1">
      <formula>LEFT(E13,5)="ALERT"</formula>
    </cfRule>
    <cfRule type="expression" dxfId="575" priority="13" stopIfTrue="1">
      <formula>LEFT(E13,5)="WATCH"</formula>
    </cfRule>
    <cfRule type="expression" dxfId="574" priority="14" stopIfTrue="1">
      <formula>LEFT(E13,2)="OK"</formula>
    </cfRule>
    <cfRule type="expression" dxfId="573" priority="15" stopIfTrue="1">
      <formula>LEFT(E13,12)="INSUFFICIENT"</formula>
    </cfRule>
  </conditionalFormatting>
  <conditionalFormatting sqref="H13:J13">
    <cfRule type="expression" dxfId="572" priority="4" stopIfTrue="1">
      <formula>RIGHT(H13,1)="*"</formula>
    </cfRule>
    <cfRule type="expression" dxfId="571" priority="16" stopIfTrue="1">
      <formula>LEFT(H13,5)="ALERT"</formula>
    </cfRule>
    <cfRule type="expression" dxfId="570" priority="17" stopIfTrue="1">
      <formula>LEFT(H13,5)="WATCH"</formula>
    </cfRule>
    <cfRule type="expression" dxfId="569" priority="18" stopIfTrue="1">
      <formula>LEFT(H13,2)="OK"</formula>
    </cfRule>
    <cfRule type="expression" dxfId="568" priority="19" stopIfTrue="1">
      <formula>LEFT(H13,12)="INSUFFICIENT"</formula>
    </cfRule>
  </conditionalFormatting>
  <conditionalFormatting sqref="K13:M13">
    <cfRule type="expression" dxfId="567" priority="3" stopIfTrue="1">
      <formula>RIGHT(K13,1)="*"</formula>
    </cfRule>
    <cfRule type="expression" dxfId="566" priority="20" stopIfTrue="1">
      <formula>LEFT(K13,5)="ALERT"</formula>
    </cfRule>
    <cfRule type="expression" dxfId="565" priority="21" stopIfTrue="1">
      <formula>LEFT(K13,5)="WATCH"</formula>
    </cfRule>
    <cfRule type="expression" dxfId="564" priority="22" stopIfTrue="1">
      <formula>LEFT(K13,2)="OK"</formula>
    </cfRule>
    <cfRule type="expression" dxfId="563" priority="23" stopIfTrue="1">
      <formula>LEFT(K13,12)="INSUFFICIENT"</formula>
    </cfRule>
  </conditionalFormatting>
  <conditionalFormatting sqref="N13:P13">
    <cfRule type="expression" dxfId="562" priority="2" stopIfTrue="1">
      <formula>RIGHT(N13,1)="*"</formula>
    </cfRule>
    <cfRule type="expression" dxfId="561" priority="24" stopIfTrue="1">
      <formula>LEFT(N13,5)="ALERT"</formula>
    </cfRule>
    <cfRule type="expression" dxfId="560" priority="25" stopIfTrue="1">
      <formula>LEFT(N13,5)="WATCH"</formula>
    </cfRule>
    <cfRule type="expression" dxfId="559" priority="26" stopIfTrue="1">
      <formula>LEFT(N13,2)="OK"</formula>
    </cfRule>
    <cfRule type="expression" dxfId="558" priority="27" stopIfTrue="1">
      <formula>LEFT(N13,12)="INSUFFICIENT"</formula>
    </cfRule>
  </conditionalFormatting>
  <conditionalFormatting sqref="Q13:S13">
    <cfRule type="expression" dxfId="557" priority="1" stopIfTrue="1">
      <formula>RIGHT(Q13,1)="*"</formula>
    </cfRule>
    <cfRule type="expression" dxfId="556" priority="28" stopIfTrue="1">
      <formula>LEFT(Q13,5)="ALERT"</formula>
    </cfRule>
    <cfRule type="expression" dxfId="555" priority="29" stopIfTrue="1">
      <formula>LEFT(Q13,5)="WATCH"</formula>
    </cfRule>
    <cfRule type="expression" dxfId="554" priority="30" stopIfTrue="1">
      <formula>LEFT(Q13,2)="OK"</formula>
    </cfRule>
    <cfRule type="expression" dxfId="553" priority="31" stopIfTrue="1">
      <formula>LEFT(Q13,12)="INSUFFICIENT"</formula>
    </cfRule>
  </conditionalFormatting>
  <conditionalFormatting sqref="M27:M32">
    <cfRule type="expression" dxfId="552" priority="32" stopIfTrue="1">
      <formula>ISNUMBER(SEARCH("ALERT",$M27))</formula>
    </cfRule>
    <cfRule type="expression" dxfId="551" priority="33" stopIfTrue="1">
      <formula>ISNUMBER(SEARCH("WATCH",$M27))</formula>
    </cfRule>
  </conditionalFormatting>
  <dataValidations count="1">
    <dataValidation type="list" allowBlank="1" showInputMessage="1" showErrorMessage="1" sqref="J5" xr:uid="{8B5650CA-00A1-4082-BFAF-6BF19B5911B4}">
      <formula1>anMonthList</formula1>
    </dataValidation>
  </dataValidations>
  <printOptions horizontalCentered="1"/>
  <pageMargins left="0.25" right="0.25" top="0.25" bottom="0.25" header="0.3" footer="0.3"/>
  <pageSetup paperSize="9" scale="83" orientation="landscape" r:id="rId1"/>
  <drawing r:id="rId2"/>
  <extLst>
    <ext xmlns:x14="http://schemas.microsoft.com/office/spreadsheetml/2009/9/main" uri="{05C60535-1F16-4fd2-B633-F4F36F0B64E0}">
      <x14:sparklineGroups xmlns:xm="http://schemas.microsoft.com/office/excel/2006/main">
        <x14:sparklineGroup displayEmptyCellsAs="gap" last="1" displayHidden="1" xr2:uid="{CE8BE72E-265D-4934-A8F6-BC267EE9B320}">
          <x14:colorSeries rgb="FFCC7999"/>
          <x14:colorNegative rgb="FFD00000"/>
          <x14:colorAxis rgb="FF000000"/>
          <x14:colorMarkers rgb="FFD00000"/>
          <x14:colorFirst rgb="FFD00000"/>
          <x14:colorLast rgb="FF9C0006"/>
          <x14:colorHigh rgb="FFD00000"/>
          <x14:colorLow rgb="FFD00000"/>
          <x14:sparklines>
            <x14:sparkline>
              <xm:f>AN_Exec_Pension!AC20:AC31</xm:f>
              <xm:sqref>B12</xm:sqref>
            </x14:sparkline>
          </x14:sparklines>
        </x14:sparklineGroup>
        <x14:sparklineGroup displayEmptyCellsAs="gap" last="1" displayHidden="1" xr2:uid="{FC712F9E-285D-4919-B564-F4EE20B19133}">
          <x14:colorSeries rgb="FFCC7999"/>
          <x14:colorNegative rgb="FFD00000"/>
          <x14:colorAxis rgb="FF000000"/>
          <x14:colorMarkers rgb="FFD00000"/>
          <x14:colorFirst rgb="FFD00000"/>
          <x14:colorLast rgb="FF9C0006"/>
          <x14:colorHigh rgb="FFD00000"/>
          <x14:colorLow rgb="FFD00000"/>
          <x14:sparklines>
            <x14:sparkline>
              <xm:f>AN_Exec_Pension!AE20:AE31</xm:f>
              <xm:sqref>E12</xm:sqref>
            </x14:sparkline>
          </x14:sparklines>
        </x14:sparklineGroup>
        <x14:sparklineGroup displayEmptyCellsAs="gap" last="1" displayHidden="1" xr2:uid="{B02A4FE5-854D-454A-BEA5-AEA1F81A1E96}">
          <x14:colorSeries rgb="FFCC7999"/>
          <x14:colorNegative rgb="FFD00000"/>
          <x14:colorAxis rgb="FF000000"/>
          <x14:colorMarkers rgb="FFD00000"/>
          <x14:colorFirst rgb="FFD00000"/>
          <x14:colorLast rgb="FF9C0006"/>
          <x14:colorHigh rgb="FFD00000"/>
          <x14:colorLow rgb="FFD00000"/>
          <x14:sparklines>
            <x14:sparkline>
              <xm:f>AN_Exec_Pension!AF20:AF31</xm:f>
              <xm:sqref>H12</xm:sqref>
            </x14:sparkline>
          </x14:sparklines>
        </x14:sparklineGroup>
        <x14:sparklineGroup displayEmptyCellsAs="gap" last="1" displayHidden="1" xr2:uid="{88949F00-8E54-419B-B82D-7FF7D5002830}">
          <x14:colorSeries rgb="FFCC7999"/>
          <x14:colorNegative rgb="FFD00000"/>
          <x14:colorAxis rgb="FF000000"/>
          <x14:colorMarkers rgb="FFD00000"/>
          <x14:colorFirst rgb="FFD00000"/>
          <x14:colorLast rgb="FF9C0006"/>
          <x14:colorHigh rgb="FFD00000"/>
          <x14:colorLow rgb="FFD00000"/>
          <x14:sparklines>
            <x14:sparkline>
              <xm:f>AN_Exec_Pension!AG20:AG31</xm:f>
              <xm:sqref>K12</xm:sqref>
            </x14:sparkline>
          </x14:sparklines>
        </x14:sparklineGroup>
        <x14:sparklineGroup displayEmptyCellsAs="gap" last="1" displayHidden="1" xr2:uid="{FB6D2150-183D-4F3E-91DB-BF019DBB5F9E}">
          <x14:colorSeries rgb="FFCC7999"/>
          <x14:colorNegative rgb="FFD00000"/>
          <x14:colorAxis rgb="FF000000"/>
          <x14:colorMarkers rgb="FFD00000"/>
          <x14:colorFirst rgb="FFD00000"/>
          <x14:colorLast rgb="FF9C0006"/>
          <x14:colorHigh rgb="FFD00000"/>
          <x14:colorLow rgb="FFD00000"/>
          <x14:sparklines>
            <x14:sparkline>
              <xm:f>AN_Exec_Pension!AH20:AH31</xm:f>
              <xm:sqref>N12</xm:sqref>
            </x14:sparkline>
          </x14:sparklines>
        </x14:sparklineGroup>
        <x14:sparklineGroup displayEmptyCellsAs="gap" last="1" displayHidden="1" xr2:uid="{6865E7F6-DC70-4F47-AF2A-39ECF6DD8ABC}">
          <x14:colorSeries rgb="FFCC7999"/>
          <x14:colorNegative rgb="FFD00000"/>
          <x14:colorAxis rgb="FF000000"/>
          <x14:colorMarkers rgb="FFD00000"/>
          <x14:colorFirst rgb="FFD00000"/>
          <x14:colorLast rgb="FF9C0006"/>
          <x14:colorHigh rgb="FFD00000"/>
          <x14:colorLow rgb="FFD00000"/>
          <x14:sparklines>
            <x14:sparkline>
              <xm:f>AN_Exec_Pension!AI20:AI31</xm:f>
              <xm:sqref>Q12</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77FC9-0A80-4989-BE21-B6C686B7AF45}">
  <sheetPr codeName="Sheet77">
    <pageSetUpPr fitToPage="1"/>
  </sheetPr>
  <dimension ref="B1:AV37"/>
  <sheetViews>
    <sheetView showGridLines="0" workbookViewId="0"/>
  </sheetViews>
  <sheetFormatPr defaultRowHeight="12"/>
  <cols>
    <col min="1" max="1" width="2.28515625" style="122" customWidth="1"/>
    <col min="2" max="12" width="9.28515625" style="122" customWidth="1"/>
    <col min="13" max="13" width="14.7109375" style="122" customWidth="1"/>
    <col min="14" max="19" width="9.28515625" style="122" customWidth="1"/>
    <col min="20" max="27" width="9.140625" style="122"/>
    <col min="28" max="48" width="0" style="122" hidden="1" customWidth="1"/>
    <col min="49" max="16384" width="9.140625" style="122"/>
  </cols>
  <sheetData>
    <row r="1" spans="2:48" ht="18">
      <c r="B1" s="123" t="str" cm="1">
        <f t="array" ref="B1">_xlfn.XLOOKUP("AN_SEG_"&amp;$AB$3,tblUIText[Key],tblUIText[TR],$AB$3)&amp;": "&amp;$AB$5&amp;" "&amp;_xlfn.XLOOKUP("AN_W_PAID",tblUIText[Key],tblUIText[TR],"AN_W_PAID")&amp;" "&amp;IF(ISNUMBER($AC$31),anNum($AC$31/1000000,1)&amp;" "&amp;_xlfn.XLOOKUP("AN_W_UNITM",tblUIText[Key],tblUIText[TR],"AN_W_UNITM"),"-")&amp;IF(ISNUMBER($AD$31),", "&amp;_xlfn.XLOOKUP("AN_T_VSPM",tblUIText[Key],tblUIText[TR],"AN_T_VSPM")&amp;" "&amp;anPctS($AD$31,1),"")&amp;"; "&amp;$AQ$12&amp;" "&amp;_xlfn.XLOOKUP("AN_W_OPEN_ALERTS",tblUIText[Key],tblUIText[TR],"AN_W_OPEN_ALERTS")</f>
        <v>Elementer:  ödemeleri -; 0 açık uyarı</v>
      </c>
    </row>
    <row r="2" spans="2:48" ht="15">
      <c r="B2" s="124" t="str" cm="1">
        <f t="array" ref="B2">_xlfn.XLOOKUP("AN_SEG_"&amp;$AB$3,tblUIText[Key],tblUIText[EN],$AB$3)&amp;": "&amp;_xlfn.XLOOKUP("AN_W_PAID",tblUIText[Key],tblUIText[EN],"AN_W_PAID")&amp;" "&amp;IF(ISNUMBER($AC$31),anNum($AC$31/1000000,1)&amp;" "&amp;_xlfn.XLOOKUP("AN_W_UNITM",tblUIText[Key],tblUIText[EN],"AN_W_UNITM"),"-")&amp;" in "&amp;$AB$5&amp;IF(ISNUMBER($AD$31),", "&amp;anPctS($AD$31,1)&amp;" "&amp;_xlfn.XLOOKUP("AN_T_VSPM",tblUIText[Key],tblUIText[EN],"AN_T_VSPM"),"")&amp;"; "&amp;$AQ$12&amp;" "&amp;_xlfn.XLOOKUP("AN_W_OPEN_ALERTS",tblUIText[Key],tblUIText[EN],"AN_W_OPEN_ALERTS")</f>
        <v>Non-life: paid - in ; 0 open alert(s)</v>
      </c>
      <c r="AB2" s="122" t="s">
        <v>19090</v>
      </c>
    </row>
    <row r="3" spans="2:48">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7" t="str">
        <f>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
        <v>112</v>
      </c>
    </row>
    <row r="4" spans="2:48" ht="33.950000000000003" customHeight="1">
      <c r="B4" s="244" t="str">
        <f>_xlfn.XLOOKUP("AN_EXEC_PURPOSE",tblUIText[Key],tblUIText[TR],"AN_EXEC_PURPOSE")&amp;" / "&amp;_xlfn.XLOOKUP("AN_EXEC_PURPOSE",tblUIText[Key],tblUIText[EN],"")&amp;CHAR(10)&amp;_xlfn.XLOOKUP("AN_HOWTO_EXEC",tblUIText[Key],tblUIText[TR],"AN_HOWTO_EXEC")&amp;" / "&amp;_xlfn.XLOOKUP("AN_HOWTO_EXEC",tblUIText[Key],tblUIText[EN],"")</f>
        <v>Bu segmentin seçilen aydaki ödeme faaliyeti olağan mı? / Is this segment's payment activity normal in the selected month?
Nasıl okunur: altı kutucuk seçilen ayın değeri, önceki aya değişim, 12 aylık seyir ve durumdur; durum taslak eşiklere göre hesaplanır. Grafik bandı log ölçekte olağan aralığı gösterir. / How to read: six tiles give the selected month's value, change vs the previous month, a 12-month sparkline and a status against draft levels; the chart band shows the usual range on a log scale.</v>
      </c>
      <c r="C4" s="244"/>
      <c r="D4" s="244"/>
      <c r="E4" s="244"/>
      <c r="F4" s="244"/>
      <c r="G4" s="244"/>
      <c r="H4" s="244"/>
      <c r="I4" s="244"/>
      <c r="J4" s="244"/>
      <c r="K4" s="244"/>
      <c r="L4" s="244"/>
      <c r="M4" s="244"/>
      <c r="N4" s="244"/>
      <c r="O4" s="244"/>
      <c r="P4" s="244"/>
      <c r="Q4" s="244"/>
      <c r="R4" s="244"/>
      <c r="S4" s="244"/>
      <c r="AB4" s="122">
        <f>COUNTIF($AB$8:$AB$31,"?*")</f>
        <v>0</v>
      </c>
    </row>
    <row r="5" spans="2:48">
      <c r="B5" s="128" t="s">
        <v>19100</v>
      </c>
      <c r="C5" s="126" t="str">
        <f>_xlfn.XLOOKUP("AN_SEG_"&amp;$AB$3,tblUIText[Key],tblUIText[TR],$AB$3)&amp;" / "&amp;_xlfn.XLOOKUP("AN_SEG_"&amp;$AB$3,tblUIText[Key],tblUIText[EN],$AB$3)</f>
        <v>Elementer / Non-life</v>
      </c>
      <c r="I5" s="129" t="str">
        <f>_xlfn.XLOOKUP("AN_LBL_MONTH",tblUIText[Key],tblUIText[TR],"AN_LBL_MONTH")&amp;" / "&amp;_xlfn.XLOOKUP("AN_LBL_MONTH",tblUIText[Key],tblUIText[EN],"")&amp;":"</f>
        <v>Ay / Month:</v>
      </c>
      <c r="J5" s="131" t="s">
        <v>19101</v>
      </c>
      <c r="M5" s="130" t="str">
        <f>_xlfn.XLOOKUP("AN_LBL_REFRESH",tblUIText[Key],tblUIText[TR],"AN_LBL_REFRESH")&amp;" / "&amp;_xlfn.XLOOKUP("AN_LBL_REFRESH",tblUIText[Key],tblUIText[EN],"")&amp;": "&amp;IFERROR(TEXT(cpLastLoggedRefresh,"yyyy-mm-dd hh:mm"),cpLastLoggedRefresh&amp;"")</f>
        <v>Son yenileme / Last refresh: none</v>
      </c>
      <c r="AB5" s="122" t="str" cm="1">
        <f t="array" ref="AB5">IF($J$5=_xlfn.XLOOKUP("AN_LBL_LATEST",tblUIText[Key],tblUIText[TR],"AN_LBL_LATEST")&amp;" / "&amp;_xlfn.XLOOKUP("AN_LBL_LATEST",tblUIText[Key],tblUIText[EN],""),_xlfn.TAKE(_xlfn.ANCHORARRAY($AV$8),-1),$J$5)</f>
        <v/>
      </c>
    </row>
    <row r="6" spans="2:48">
      <c r="B6" s="245" t="str" cm="1">
        <f t="array" ref="B6">_xlfn.XLOOKUP("AN_LBL_READINESS",tblUIText[Key],tblUIText[TR],"AN_LBL_READINESS")&amp;" / "&amp;_xlfn.XLOOKUP("AN_LBL_READINESS",tblUIText[Key],tblUIText[EN],"")&amp;": "&amp;_xlfn.LET(_xlpm.n,$AB$4,_xlpm.l,$AJ$31,_xlpm.mn,_xlfn.XLOOKUP("MinLinesForQuantile",AnParam[Param],AnParam[Value]),IF(N(_xlpm.l)&lt;_xlpm.mn,"INSUFFICIENT DATA","OK")&amp;": "&amp;_xlpm.n&amp;" "&amp;_xlfn.XLOOKUP("AN_READY_MONTHS",tblUIText[Key],tblUIText[TR],"AN_READY_MONTHS")&amp;" / "&amp;_xlfn.XLOOKUP("AN_READY_MONTHS",tblUIText[Key],tblUIText[EN],"")&amp;"; "&amp;anNum(N(_xlpm.l),0)&amp;" "&amp;_xlfn.XLOOKUP("AN_READY_LINES",tblUIText[Key],tblUIText[TR],"AN_READY_LINES")&amp;" / "&amp;_xlfn.XLOOKUP("AN_READY_LINES",tblUIText[Key],tblUIText[EN],""))</f>
        <v>Veri durumu / Data readiness: INSUFFICIENT DATA: 0 ay veri / months of data; 0 satır bu ay / lines this month</v>
      </c>
      <c r="C6" s="246"/>
      <c r="D6" s="246"/>
      <c r="E6" s="246"/>
      <c r="F6" s="246"/>
      <c r="G6" s="246"/>
      <c r="H6" s="246"/>
      <c r="I6" s="246"/>
      <c r="J6" s="246"/>
      <c r="K6" s="246"/>
      <c r="L6" s="246"/>
      <c r="M6" s="246"/>
      <c r="N6" s="246"/>
      <c r="O6" s="246"/>
      <c r="P6" s="246"/>
      <c r="Q6" s="246"/>
      <c r="R6" s="246"/>
      <c r="S6" s="246"/>
      <c r="AB6" s="122">
        <f>IFERROR(MATCH($AB$5,_xlfn.ANCHORARRAY($AV$8),0),ROWS(_xlfn.ANCHORARRAY($AV$8)))</f>
        <v>1</v>
      </c>
    </row>
    <row r="7" spans="2:48"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B7" s="122" t="s">
        <v>19091</v>
      </c>
      <c r="AC7" s="122" t="s">
        <v>16979</v>
      </c>
      <c r="AD7" s="122" t="s">
        <v>19092</v>
      </c>
      <c r="AE7" s="122" t="s">
        <v>17025</v>
      </c>
      <c r="AF7" s="122" t="s">
        <v>19008</v>
      </c>
      <c r="AG7" s="122" t="s">
        <v>16940</v>
      </c>
      <c r="AH7" s="122" t="s">
        <v>19093</v>
      </c>
      <c r="AI7" s="122" t="s">
        <v>19094</v>
      </c>
      <c r="AJ7" s="122" t="s">
        <v>184</v>
      </c>
      <c r="AK7" s="122" t="s">
        <v>19095</v>
      </c>
      <c r="AL7" s="122" t="s">
        <v>19097</v>
      </c>
      <c r="AM7" s="122" t="s">
        <v>19098</v>
      </c>
      <c r="AN7" s="122" t="s">
        <v>19099</v>
      </c>
      <c r="AQ7" s="122" t="s">
        <v>19096</v>
      </c>
      <c r="AS7" s="122" t="s">
        <v>19102</v>
      </c>
      <c r="AT7" s="122" t="s">
        <v>19103</v>
      </c>
      <c r="AU7" s="122" t="s">
        <v>19958</v>
      </c>
    </row>
    <row r="8" spans="2:48">
      <c r="AB8" s="122" t="str" cm="1">
        <f t="array" ref="AB8">IFERROR(INDEX(_xlfn.ANCHORARRAY($AV$8),$AB$6-24+ROW()-7),"")</f>
        <v/>
      </c>
      <c r="AC8" s="122" t="str" cm="1">
        <f t="array" ref="AC8">IF($AB8="","",_xlfn.LET(_xlpm.r,_xlfn.XLOOKUP($AB$3&amp;"|"&amp;$AB8,anSM_Seg&amp;"|"&amp;anSM_YM,anSM_Paid,""),IF(ISBLANK(_xlpm.r),"",_xlpm.r)))</f>
        <v/>
      </c>
      <c r="AD8" s="122" t="str" cm="1">
        <f t="array" ref="AD8">IF($AB8="","",_xlfn.LET(_xlpm.r,_xlfn.XLOOKUP($AB$3&amp;"|"&amp;$AB8,anSM_Seg&amp;"|"&amp;anSM_YM,anSM_MoM,""),IF(ISBLANK(_xlpm.r),"",_xlpm.r)))</f>
        <v/>
      </c>
      <c r="AE8" s="122" t="str" cm="1">
        <f t="array" ref="AE8">IF($AB8="","",_xlfn.LET(_xlpm.r,_xlfn.XLOOKUP($AB$3&amp;"|"&amp;$AB8,anSM_Seg&amp;"|"&amp;anSM_YM,anSM_Cases,""),IF(ISBLANK(_xlpm.r),"",_xlpm.r)))</f>
        <v/>
      </c>
      <c r="AF8" s="122" t="str" cm="1">
        <f t="array" ref="AF8">IF($AB8="","",_xlfn.LET(_xlpm.r,_xlfn.XLOOKUP($AB$3&amp;"|"&amp;$AB8,anSM_Seg&amp;"|"&amp;anSM_YM,anSM_Mean,""),IF(ISBLANK(_xlpm.r),"",_xlpm.r)))</f>
        <v/>
      </c>
      <c r="AG8" s="122" t="str" cm="1">
        <f t="array" ref="AG8">IF($AB8="","",_xlfn.LET(_xlpm.r,_xlfn.XLOOKUP($AB$3&amp;"|"&amp;$AB8,anSM_Seg&amp;"|"&amp;anSM_YM,anSM_P90,""),IF(ISBLANK(_xlpm.r),"",_xlpm.r)))</f>
        <v/>
      </c>
      <c r="AH8" s="122" t="str" cm="1">
        <f t="array" ref="AH8">IF($AB8="","",_xlfn.LET(_xlpm.r,_xlfn.XLOOKUP($AB$3&amp;"|"&amp;$AB8,anSM_Seg&amp;"|"&amp;anSM_YM,anSM_LagP50,""),IF(ISBLANK(_xlpm.r),"",_xlpm.r)))</f>
        <v/>
      </c>
      <c r="AI8" s="122" t="str" cm="1">
        <f t="array" ref="AI8">IF($AB8="","",_xlfn.LET(_xlpm.r,_xlfn.XLOOKUP($AB$3&amp;"|"&amp;$AB8,anSM_Seg&amp;"|"&amp;anSM_YM,anSM_SLA,""),IF(ISBLANK(_xlpm.r),"",_xlpm.r)))</f>
        <v/>
      </c>
      <c r="AJ8" s="122" t="str" cm="1">
        <f t="array" ref="AJ8">IF($AB8="","",_xlfn.LET(_xlpm.r,_xlfn.XLOOKUP($AB$3&amp;"|"&amp;$AB8,anSM_Seg&amp;"|"&amp;anSM_YM,anSM_Lines,""),IF(ISBLANK(_xlpm.r),"",_xlpm.r)))</f>
        <v/>
      </c>
      <c r="AK8" s="122" t="str" cm="1">
        <f t="array" ref="AK8">IF($AB8="","",_xlfn.LET(_xlpm.r,_xlfn.XLOOKUP($AB$3&amp;"|"&amp;$AB8,anSM_Seg&amp;"|"&amp;anSM_YM,anSM_PM,""),IF(ISBLANK(_xlpm.r),"",_xlpm.r)))</f>
        <v/>
      </c>
      <c r="AL8" s="122" t="str">
        <f t="shared" ref="AL8:AL31" si="0">IF(OR($AB8="",$AQ$8=""),"",EXP($AQ$8))</f>
        <v/>
      </c>
      <c r="AM8" s="122" t="str">
        <f t="shared" ref="AM8:AM31" si="1">IF(OR($AB8="",$AQ$9=""),"",EXP($AQ$8-$AQ$10*$AQ$9))</f>
        <v/>
      </c>
      <c r="AN8" s="122" t="str">
        <f t="shared" ref="AN8:AN31" si="2">IF(OR($AB8="",$AQ$9=""),"",EXP($AQ$8+$AQ$10*$AQ$9))</f>
        <v/>
      </c>
      <c r="AQ8" s="122" t="str" cm="1">
        <f t="array" ref="AQ8">_xlfn.LET(_xlpm.h,_xlfn._xlws.FILTER($AC$8:$AC$30,ISNUMBER($AC$8:$AC$30)*($AC$8:$AC$30&gt;0),""),IFERROR(MEDIAN(LN(_xlpm.h)),""))</f>
        <v/>
      </c>
      <c r="AS8" s="122" t="str">
        <f>_xlfn.XLOOKUP("AN_T_PAID",tblUIText[Key],tblUIText[TR],"AN_T_PAID")&amp;" / "&amp;_xlfn.XLOOKUP("AN_T_PAID",tblUIText[Key],tblUIText[EN],"")</f>
        <v>Ödenen (mn TL) / Paid (TRY m)</v>
      </c>
      <c r="AT8" s="122" t="str">
        <f>$B$13</f>
        <v>INSUFFICIENT DATA</v>
      </c>
      <c r="AU8" s="122" t="str" cm="1">
        <f t="array" ref="AU8">_xlfn.LET(_xlpm.m,_xlfn.XLOOKUP("PD01",tblThreshold[KPI_ID],tblThreshold[Method],""),_xlpm.rs,_xlfn.XLOOKUP("PD01",tblThreshold[KPI_ID],tblThreshold[Status],""),_xlpm.wl,_xlfn.XLOOKUP("PD01",tblThreshold[KPI_ID],tblThreshold[WatchLevel],""),_xlpm.al,_xlfn.XLOOKUP("PD01",tblThreshold[KPI_ID],tblThreshold[AlertLevel],""),_xlpm.mm,_xlfn.XLOOKUP("PD01",tblThreshold[KPI_ID],tblThreshold[MinMonths],0),_xlpm.mn,_xlfn.XLOOKUP("PD01",tblThreshold[KPI_ID],tblThreshold[MinN],0),_xlpm.per,IF(ISNUMBER(SEARCH("WATCH: 2",_xlfn.XLOOKUP("PD01",tblThreshold[KPI_ID],tblThreshold[Persistence],""))),2,1),_xlpm.hr,$AC$8:$AC$30,_xlpm.h,_xlfn._xlws.FILTER(_xlpm.hr,ISNUMBER(_xlpm.hr),""),_xlpm.x,$AC$31,_xlpm.xp,$AC$30,_xlpm.n,$AJ$31,_xlpm.side,IF(LEFT("PD01",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AV8" s="122" t="str" cm="1">
        <f t="array" ref="AV8">_xlfn._xlws.SORT(_xlfn.UNIQUE(_xlfn._xlws.FILTER(anSM_YM,(anSM_Seg=$AB$3)*(anSM_Lines&lt;&gt;"")*(anSM_YM&lt;&gt;""),"")))</f>
        <v/>
      </c>
    </row>
    <row r="9" spans="2:48" ht="24" customHeight="1">
      <c r="B9" s="270" t="str">
        <f>_xlfn.XLOOKUP("AN_T_PAID",tblUIText[Key],tblUIText[TR],"AN_T_PAID")&amp;" / "&amp;_xlfn.XLOOKUP("AN_T_PAID",tblUIText[Key],tblUIText[EN],"")</f>
        <v>Ödenen (mn TL) / Paid (TRY m)</v>
      </c>
      <c r="C9" s="271"/>
      <c r="D9" s="272"/>
      <c r="E9" s="270" t="str">
        <f>_xlfn.XLOOKUP("AN_T_CASES",tblUIText[Key],tblUIText[TR],"AN_T_CASES")&amp;" / "&amp;_xlfn.XLOOKUP("AN_T_CASES",tblUIText[Key],tblUIText[EN],"")</f>
        <v>Dosya sayısı / Cases</v>
      </c>
      <c r="F9" s="271"/>
      <c r="G9" s="272"/>
      <c r="H9" s="270" t="str">
        <f>_xlfn.XLOOKUP("AN_T_MEAN",tblUIText[Key],tblUIText[TR],"AN_T_MEAN")&amp;" / "&amp;_xlfn.XLOOKUP("AN_T_MEAN",tblUIText[Key],tblUIText[EN],"")</f>
        <v>Dosya başına ort. (bin TL) / Mean per case (TRY k)</v>
      </c>
      <c r="I9" s="271"/>
      <c r="J9" s="272"/>
      <c r="K9" s="270" t="str">
        <f>_xlfn.XLOOKUP("AN_T_P90",tblUIText[Key],tblUIText[TR],"AN_T_P90")&amp;" / "&amp;_xlfn.XLOOKUP("AN_T_P90",tblUIText[Key],tblUIText[EN],"")</f>
        <v>Dosya başına P90 (bin TL) / P90 per case (TRY k)</v>
      </c>
      <c r="L9" s="271"/>
      <c r="M9" s="272"/>
      <c r="N9" s="270" t="str">
        <f>_xlfn.XLOOKUP("AN_T_LAG",tblUIText[Key],tblUIText[TR],"AN_T_LAG")&amp;" / "&amp;_xlfn.XLOOKUP("AN_T_LAG",tblUIText[Key],tblUIText[EN],"")</f>
        <v>Hasar→ödeme P50 (gün) / Loss→payment P50 (days)</v>
      </c>
      <c r="O9" s="271"/>
      <c r="P9" s="272"/>
      <c r="Q9" s="270" t="str">
        <f>_xlfn.XLOOKUP("AN_T_SLA",tblUIText[Key],tblUIText[TR],"AN_T_SLA")&amp;" / "&amp;_xlfn.XLOOKUP("AN_T_SLA",tblUIText[Key],tblUIText[EN],"")</f>
        <v>Uçtan uca SLA aşımı / SLA breach, end to end</v>
      </c>
      <c r="R9" s="271"/>
      <c r="S9" s="272"/>
      <c r="AB9" s="122" t="str" cm="1">
        <f t="array" ref="AB9">IFERROR(INDEX(_xlfn.ANCHORARRAY($AV$8),$AB$6-24+ROW()-7),"")</f>
        <v/>
      </c>
      <c r="AC9" s="122" t="str" cm="1">
        <f t="array" ref="AC9">IF($AB9="","",_xlfn.LET(_xlpm.r,_xlfn.XLOOKUP($AB$3&amp;"|"&amp;$AB9,anSM_Seg&amp;"|"&amp;anSM_YM,anSM_Paid,""),IF(ISBLANK(_xlpm.r),"",_xlpm.r)))</f>
        <v/>
      </c>
      <c r="AD9" s="122" t="str" cm="1">
        <f t="array" ref="AD9">IF($AB9="","",_xlfn.LET(_xlpm.r,_xlfn.XLOOKUP($AB$3&amp;"|"&amp;$AB9,anSM_Seg&amp;"|"&amp;anSM_YM,anSM_MoM,""),IF(ISBLANK(_xlpm.r),"",_xlpm.r)))</f>
        <v/>
      </c>
      <c r="AE9" s="122" t="str" cm="1">
        <f t="array" ref="AE9">IF($AB9="","",_xlfn.LET(_xlpm.r,_xlfn.XLOOKUP($AB$3&amp;"|"&amp;$AB9,anSM_Seg&amp;"|"&amp;anSM_YM,anSM_Cases,""),IF(ISBLANK(_xlpm.r),"",_xlpm.r)))</f>
        <v/>
      </c>
      <c r="AF9" s="122" t="str" cm="1">
        <f t="array" ref="AF9">IF($AB9="","",_xlfn.LET(_xlpm.r,_xlfn.XLOOKUP($AB$3&amp;"|"&amp;$AB9,anSM_Seg&amp;"|"&amp;anSM_YM,anSM_Mean,""),IF(ISBLANK(_xlpm.r),"",_xlpm.r)))</f>
        <v/>
      </c>
      <c r="AG9" s="122" t="str" cm="1">
        <f t="array" ref="AG9">IF($AB9="","",_xlfn.LET(_xlpm.r,_xlfn.XLOOKUP($AB$3&amp;"|"&amp;$AB9,anSM_Seg&amp;"|"&amp;anSM_YM,anSM_P90,""),IF(ISBLANK(_xlpm.r),"",_xlpm.r)))</f>
        <v/>
      </c>
      <c r="AH9" s="122" t="str" cm="1">
        <f t="array" ref="AH9">IF($AB9="","",_xlfn.LET(_xlpm.r,_xlfn.XLOOKUP($AB$3&amp;"|"&amp;$AB9,anSM_Seg&amp;"|"&amp;anSM_YM,anSM_LagP50,""),IF(ISBLANK(_xlpm.r),"",_xlpm.r)))</f>
        <v/>
      </c>
      <c r="AI9" s="122" t="str" cm="1">
        <f t="array" ref="AI9">IF($AB9="","",_xlfn.LET(_xlpm.r,_xlfn.XLOOKUP($AB$3&amp;"|"&amp;$AB9,anSM_Seg&amp;"|"&amp;anSM_YM,anSM_SLA,""),IF(ISBLANK(_xlpm.r),"",_xlpm.r)))</f>
        <v/>
      </c>
      <c r="AJ9" s="122" t="str" cm="1">
        <f t="array" ref="AJ9">IF($AB9="","",_xlfn.LET(_xlpm.r,_xlfn.XLOOKUP($AB$3&amp;"|"&amp;$AB9,anSM_Seg&amp;"|"&amp;anSM_YM,anSM_Lines,""),IF(ISBLANK(_xlpm.r),"",_xlpm.r)))</f>
        <v/>
      </c>
      <c r="AK9" s="122" t="str" cm="1">
        <f t="array" ref="AK9">IF($AB9="","",_xlfn.LET(_xlpm.r,_xlfn.XLOOKUP($AB$3&amp;"|"&amp;$AB9,anSM_Seg&amp;"|"&amp;anSM_YM,anSM_PM,""),IF(ISBLANK(_xlpm.r),"",_xlpm.r)))</f>
        <v/>
      </c>
      <c r="AL9" s="122" t="str">
        <f t="shared" si="0"/>
        <v/>
      </c>
      <c r="AM9" s="122" t="str">
        <f t="shared" si="1"/>
        <v/>
      </c>
      <c r="AN9" s="122" t="str">
        <f t="shared" si="2"/>
        <v/>
      </c>
      <c r="AQ9" s="122" t="str" cm="1">
        <f t="array" ref="AQ9">_xlfn.LET(_xlpm.h,_xlfn._xlws.FILTER($AC$8:$AC$30,ISNUMBER($AC$8:$AC$30)*($AC$8:$AC$30&gt;0),""),_xlpm.lh,LN(_xlpm.h),_xlpm.md,MEDIAN(_xlpm.lh),IFERROR(1.4826*MEDIAN(ABS(_xlpm.lh-_xlpm.md)),""))</f>
        <v/>
      </c>
      <c r="AS9" s="122" t="str">
        <f>_xlfn.XLOOKUP("AN_T_CASES",tblUIText[Key],tblUIText[TR],"AN_T_CASES")&amp;" / "&amp;_xlfn.XLOOKUP("AN_T_CASES",tblUIText[Key],tblUIText[EN],"")</f>
        <v>Dosya sayısı / Cases</v>
      </c>
      <c r="AT9" s="122" t="str">
        <f>$E$13</f>
        <v>—</v>
      </c>
      <c r="AU9" s="122" t="str" cm="1">
        <f t="array" ref="AU9">_xlfn.LET(_xlpm.m,_xlfn.XLOOKUP("TI01",tblThreshold[KPI_ID],tblThreshold[Method],""),_xlpm.rs,_xlfn.XLOOKUP("TI01",tblThreshold[KPI_ID],tblThreshold[Status],""),_xlpm.mm,_xlfn.XLOOKUP("TI01",tblThreshold[KPI_ID],tblThreshold[MinMonths],12),_xlpm.hr,$AC$19:$AC$30,_xlpm.h,_xlfn._xlws.FILTER(_xlpm.hr,ISNUMBER(_xlpm.hr),""),_xlpm.x,$AD$31,_xlpm.pv,$AC$30,_xlpm.dn,_xlfn.XLOOKUP("MomDropLimit",AnParam[Param],AnParam[Value]),_xlpm.up,_xlfn.XLOOKUP("MomRiseLimit",AnParam[Param],AnParam[Value]),_xlpm.ms,_xlfn.XLOOKUP("MomMaterialityShare",AnParam[Param],AnParam[Value]),_xlpm.sfx,IF(_xlpm.rs&lt;&gt;"APPROVED"," (draft)",""),IF(_xlpm.m&lt;&gt;"MOM_RULE","—",IF(OR(NOT(ISNUMBER(_xlpm.x)),NOT(ISNUMBER(_xlpm.pv)),COUNT(_xlpm.h)&lt;MIN(_xlpm.mm,12)),"INSUFFICIENT DATA",IF(_xlpm.pv&lt;=_xlpm.ms*AVERAGE(_xlpm.h),"OK",IF(OR(_xlpm.x&lt;=_xlpm.dn,_xlpm.x&gt;=_xlpm.up),"WATCH"&amp;_xlpm.sfx,"OK")))))</f>
        <v>INSUFFICIENT DATA</v>
      </c>
    </row>
    <row r="10" spans="2:48" ht="27.95" customHeight="1">
      <c r="B10" s="250" t="str" cm="1">
        <f t="array" ref="B10">IF(ISNUMBER($AC$31),anNum($AC$31/1000000,1),"")</f>
        <v/>
      </c>
      <c r="C10" s="251"/>
      <c r="D10" s="252"/>
      <c r="E10" s="250" t="str" cm="1">
        <f t="array" ref="E10">IF(ISNUMBER($AE$31),anNum($AE$31,0),"")</f>
        <v/>
      </c>
      <c r="F10" s="251"/>
      <c r="G10" s="252"/>
      <c r="H10" s="250" t="str" cm="1">
        <f t="array" ref="H10">IF(ISNUMBER($AF$31),anNum($AF$31/1000,1),"")</f>
        <v/>
      </c>
      <c r="I10" s="251"/>
      <c r="J10" s="252"/>
      <c r="K10" s="250" t="str" cm="1">
        <f t="array" ref="K10">IF(ISNUMBER($AG$31),anNum($AG$31/1000,1),"")</f>
        <v/>
      </c>
      <c r="L10" s="251"/>
      <c r="M10" s="252"/>
      <c r="N10" s="250" t="str" cm="1">
        <f t="array" ref="N10">IF(ISNUMBER($AH$31),anNum($AH$31,1),"")</f>
        <v/>
      </c>
      <c r="O10" s="251"/>
      <c r="P10" s="252"/>
      <c r="Q10" s="250" t="str" cm="1">
        <f t="array" ref="Q10">IF(ISNUMBER($AI$31),anPct($AI$31,1),"")</f>
        <v/>
      </c>
      <c r="R10" s="251"/>
      <c r="S10" s="252"/>
      <c r="AB10" s="122" t="str" cm="1">
        <f t="array" ref="AB10">IFERROR(INDEX(_xlfn.ANCHORARRAY($AV$8),$AB$6-24+ROW()-7),"")</f>
        <v/>
      </c>
      <c r="AC10" s="122" t="str" cm="1">
        <f t="array" ref="AC10">IF($AB10="","",_xlfn.LET(_xlpm.r,_xlfn.XLOOKUP($AB$3&amp;"|"&amp;$AB10,anSM_Seg&amp;"|"&amp;anSM_YM,anSM_Paid,""),IF(ISBLANK(_xlpm.r),"",_xlpm.r)))</f>
        <v/>
      </c>
      <c r="AD10" s="122" t="str" cm="1">
        <f t="array" ref="AD10">IF($AB10="","",_xlfn.LET(_xlpm.r,_xlfn.XLOOKUP($AB$3&amp;"|"&amp;$AB10,anSM_Seg&amp;"|"&amp;anSM_YM,anSM_MoM,""),IF(ISBLANK(_xlpm.r),"",_xlpm.r)))</f>
        <v/>
      </c>
      <c r="AE10" s="122" t="str" cm="1">
        <f t="array" ref="AE10">IF($AB10="","",_xlfn.LET(_xlpm.r,_xlfn.XLOOKUP($AB$3&amp;"|"&amp;$AB10,anSM_Seg&amp;"|"&amp;anSM_YM,anSM_Cases,""),IF(ISBLANK(_xlpm.r),"",_xlpm.r)))</f>
        <v/>
      </c>
      <c r="AF10" s="122" t="str" cm="1">
        <f t="array" ref="AF10">IF($AB10="","",_xlfn.LET(_xlpm.r,_xlfn.XLOOKUP($AB$3&amp;"|"&amp;$AB10,anSM_Seg&amp;"|"&amp;anSM_YM,anSM_Mean,""),IF(ISBLANK(_xlpm.r),"",_xlpm.r)))</f>
        <v/>
      </c>
      <c r="AG10" s="122" t="str" cm="1">
        <f t="array" ref="AG10">IF($AB10="","",_xlfn.LET(_xlpm.r,_xlfn.XLOOKUP($AB$3&amp;"|"&amp;$AB10,anSM_Seg&amp;"|"&amp;anSM_YM,anSM_P90,""),IF(ISBLANK(_xlpm.r),"",_xlpm.r)))</f>
        <v/>
      </c>
      <c r="AH10" s="122" t="str" cm="1">
        <f t="array" ref="AH10">IF($AB10="","",_xlfn.LET(_xlpm.r,_xlfn.XLOOKUP($AB$3&amp;"|"&amp;$AB10,anSM_Seg&amp;"|"&amp;anSM_YM,anSM_LagP50,""),IF(ISBLANK(_xlpm.r),"",_xlpm.r)))</f>
        <v/>
      </c>
      <c r="AI10" s="122" t="str" cm="1">
        <f t="array" ref="AI10">IF($AB10="","",_xlfn.LET(_xlpm.r,_xlfn.XLOOKUP($AB$3&amp;"|"&amp;$AB10,anSM_Seg&amp;"|"&amp;anSM_YM,anSM_SLA,""),IF(ISBLANK(_xlpm.r),"",_xlpm.r)))</f>
        <v/>
      </c>
      <c r="AJ10" s="122" t="str" cm="1">
        <f t="array" ref="AJ10">IF($AB10="","",_xlfn.LET(_xlpm.r,_xlfn.XLOOKUP($AB$3&amp;"|"&amp;$AB10,anSM_Seg&amp;"|"&amp;anSM_YM,anSM_Lines,""),IF(ISBLANK(_xlpm.r),"",_xlpm.r)))</f>
        <v/>
      </c>
      <c r="AK10" s="122" t="str" cm="1">
        <f t="array" ref="AK10">IF($AB10="","",_xlfn.LET(_xlpm.r,_xlfn.XLOOKUP($AB$3&amp;"|"&amp;$AB10,anSM_Seg&amp;"|"&amp;anSM_YM,anSM_PM,""),IF(ISBLANK(_xlpm.r),"",_xlpm.r)))</f>
        <v/>
      </c>
      <c r="AL10" s="122" t="str">
        <f t="shared" si="0"/>
        <v/>
      </c>
      <c r="AM10" s="122" t="str">
        <f t="shared" si="1"/>
        <v/>
      </c>
      <c r="AN10" s="122" t="str">
        <f t="shared" si="2"/>
        <v/>
      </c>
      <c r="AQ10" s="122">
        <f>_xlfn.XLOOKUP("TrendBandWidth",AnParam[Param],AnParam[Value],2.5)</f>
        <v>2.5</v>
      </c>
      <c r="AS10" s="122" t="str">
        <f>_xlfn.XLOOKUP("AN_T_MEAN",tblUIText[Key],tblUIText[TR],"AN_T_MEAN")&amp;" / "&amp;_xlfn.XLOOKUP("AN_T_MEAN",tblUIText[Key],tblUIText[EN],"")</f>
        <v>Dosya başına ort. (bin TL) / Mean per case (TRY k)</v>
      </c>
      <c r="AT10" s="122" t="str">
        <f>$H$13</f>
        <v>INSUFFICIENT DATA</v>
      </c>
      <c r="AU10" s="122" t="str" cm="1">
        <f t="array" ref="AU10">_xlfn.LET(_xlpm.a,$AU$8,_xlpm.b,$AU$9,_xlpm.r,_xlfn.LAMBDA(_xlpm.s,IF(RIGHT(_xlpm.s,1)="*",1.5,IF(LEFT(_xlpm.s,5)="ALERT",4,IF(LEFT(_xlpm.s,5)="WATCH",3,IF(LEFT(_xlpm.s,2)="OK",2,IF(LEFT(_xlpm.s,5)="INSUF",1,0)))))),IF(_xlpm.r(_xlpm.a)&gt;=_xlpm.r(_xlpm.b),_xlpm.a,_xlpm.b))</f>
        <v>INSUFFICIENT DATA</v>
      </c>
    </row>
    <row r="11" spans="2:48" ht="20.100000000000001" customHeight="1">
      <c r="B11" s="253" t="str" cm="1">
        <f t="array" ref="B11">IF(ISNUMBER($AD$31),anPctS($AD$31,1)&amp;" "&amp;_xlfn.XLOOKUP("AN_T_VSPM_S",tblUIText[Key],tblUIText[TR],"AN_T_VSPM_S")&amp;" / "&amp;_xlfn.XLOOKUP("AN_T_VSPM_S",tblUIText[Key],tblUIText[EN],""),"")</f>
        <v/>
      </c>
      <c r="C11" s="254"/>
      <c r="D11" s="255"/>
      <c r="E11" s="253" t="str" cm="1">
        <f t="array" ref="E11">IF(AND(ISNUMBER($AE$31),ISNUMBER($AE$30)),anPctS($AE$31/$AE$30-1,1)&amp;" "&amp;_xlfn.XLOOKUP("AN_T_VSPM_S",tblUIText[Key],tblUIText[TR],"AN_T_VSPM_S")&amp;" / "&amp;_xlfn.XLOOKUP("AN_T_VSPM_S",tblUIText[Key],tblUIText[EN],""),"")</f>
        <v/>
      </c>
      <c r="F11" s="254"/>
      <c r="G11" s="255"/>
      <c r="H11" s="253" t="str" cm="1">
        <f t="array" ref="H11">IF(AND(ISNUMBER($AF$31),ISNUMBER($AF$30)),anPctS($AF$31/$AF$30-1,1)&amp;" "&amp;_xlfn.XLOOKUP("AN_T_VSPM_S",tblUIText[Key],tblUIText[TR],"AN_T_VSPM_S")&amp;" / "&amp;_xlfn.XLOOKUP("AN_T_VSPM_S",tblUIText[Key],tblUIText[EN],""),"")</f>
        <v/>
      </c>
      <c r="I11" s="254"/>
      <c r="J11" s="255"/>
      <c r="K11" s="253" t="str" cm="1">
        <f t="array" ref="K11">IF(AND(ISNUMBER($AG$31),ISNUMBER($AG$30)),anPctS($AG$31/$AG$30-1,1)&amp;" "&amp;_xlfn.XLOOKUP("AN_T_VSPM_S",tblUIText[Key],tblUIText[TR],"AN_T_VSPM_S")&amp;" / "&amp;_xlfn.XLOOKUP("AN_T_VSPM_S",tblUIText[Key],tblUIText[EN],""),"")</f>
        <v/>
      </c>
      <c r="L11" s="254"/>
      <c r="M11" s="255"/>
      <c r="N11" s="253" t="str" cm="1">
        <f t="array" ref="N11">IF(AND(ISNUMBER($AH$31),ISNUMBER($AH$30)),anSgn($AH$31-$AH$30,1)&amp;" "&amp;_xlfn.XLOOKUP("AN_W_DAYS",tblUIText[Key],tblUIText[TR],"AN_W_DAYS")&amp;" / "&amp;_xlfn.XLOOKUP("AN_W_DAYS",tblUIText[Key],tblUIText[EN],""),"")</f>
        <v/>
      </c>
      <c r="O11" s="254"/>
      <c r="P11" s="255"/>
      <c r="Q11" s="253" t="str" cm="1">
        <f t="array" ref="Q11">IF(AND(ISNUMBER($AI$31),ISNUMBER($AI$30)),anSgn(($AI$31-$AI$30)*100,1)&amp;" "&amp;_xlfn.XLOOKUP("AN_W_PP",tblUIText[Key],tblUIText[TR],"AN_W_PP")&amp;" / "&amp;_xlfn.XLOOKUP("AN_W_PP",tblUIText[Key],tblUIText[EN],""),"")</f>
        <v/>
      </c>
      <c r="R11" s="254"/>
      <c r="S11" s="255"/>
      <c r="AB11" s="122" t="str" cm="1">
        <f t="array" ref="AB11">IFERROR(INDEX(_xlfn.ANCHORARRAY($AV$8),$AB$6-24+ROW()-7),"")</f>
        <v/>
      </c>
      <c r="AC11" s="122" t="str" cm="1">
        <f t="array" ref="AC11">IF($AB11="","",_xlfn.LET(_xlpm.r,_xlfn.XLOOKUP($AB$3&amp;"|"&amp;$AB11,anSM_Seg&amp;"|"&amp;anSM_YM,anSM_Paid,""),IF(ISBLANK(_xlpm.r),"",_xlpm.r)))</f>
        <v/>
      </c>
      <c r="AD11" s="122" t="str" cm="1">
        <f t="array" ref="AD11">IF($AB11="","",_xlfn.LET(_xlpm.r,_xlfn.XLOOKUP($AB$3&amp;"|"&amp;$AB11,anSM_Seg&amp;"|"&amp;anSM_YM,anSM_MoM,""),IF(ISBLANK(_xlpm.r),"",_xlpm.r)))</f>
        <v/>
      </c>
      <c r="AE11" s="122" t="str" cm="1">
        <f t="array" ref="AE11">IF($AB11="","",_xlfn.LET(_xlpm.r,_xlfn.XLOOKUP($AB$3&amp;"|"&amp;$AB11,anSM_Seg&amp;"|"&amp;anSM_YM,anSM_Cases,""),IF(ISBLANK(_xlpm.r),"",_xlpm.r)))</f>
        <v/>
      </c>
      <c r="AF11" s="122" t="str" cm="1">
        <f t="array" ref="AF11">IF($AB11="","",_xlfn.LET(_xlpm.r,_xlfn.XLOOKUP($AB$3&amp;"|"&amp;$AB11,anSM_Seg&amp;"|"&amp;anSM_YM,anSM_Mean,""),IF(ISBLANK(_xlpm.r),"",_xlpm.r)))</f>
        <v/>
      </c>
      <c r="AG11" s="122" t="str" cm="1">
        <f t="array" ref="AG11">IF($AB11="","",_xlfn.LET(_xlpm.r,_xlfn.XLOOKUP($AB$3&amp;"|"&amp;$AB11,anSM_Seg&amp;"|"&amp;anSM_YM,anSM_P90,""),IF(ISBLANK(_xlpm.r),"",_xlpm.r)))</f>
        <v/>
      </c>
      <c r="AH11" s="122" t="str" cm="1">
        <f t="array" ref="AH11">IF($AB11="","",_xlfn.LET(_xlpm.r,_xlfn.XLOOKUP($AB$3&amp;"|"&amp;$AB11,anSM_Seg&amp;"|"&amp;anSM_YM,anSM_LagP50,""),IF(ISBLANK(_xlpm.r),"",_xlpm.r)))</f>
        <v/>
      </c>
      <c r="AI11" s="122" t="str" cm="1">
        <f t="array" ref="AI11">IF($AB11="","",_xlfn.LET(_xlpm.r,_xlfn.XLOOKUP($AB$3&amp;"|"&amp;$AB11,anSM_Seg&amp;"|"&amp;anSM_YM,anSM_SLA,""),IF(ISBLANK(_xlpm.r),"",_xlpm.r)))</f>
        <v/>
      </c>
      <c r="AJ11" s="122" t="str" cm="1">
        <f t="array" ref="AJ11">IF($AB11="","",_xlfn.LET(_xlpm.r,_xlfn.XLOOKUP($AB$3&amp;"|"&amp;$AB11,anSM_Seg&amp;"|"&amp;anSM_YM,anSM_Lines,""),IF(ISBLANK(_xlpm.r),"",_xlpm.r)))</f>
        <v/>
      </c>
      <c r="AK11" s="122" t="str" cm="1">
        <f t="array" ref="AK11">IF($AB11="","",_xlfn.LET(_xlpm.r,_xlfn.XLOOKUP($AB$3&amp;"|"&amp;$AB11,anSM_Seg&amp;"|"&amp;anSM_YM,anSM_PM,""),IF(ISBLANK(_xlpm.r),"",_xlpm.r)))</f>
        <v/>
      </c>
      <c r="AL11" s="122" t="str">
        <f t="shared" si="0"/>
        <v/>
      </c>
      <c r="AM11" s="122" t="str">
        <f t="shared" si="1"/>
        <v/>
      </c>
      <c r="AN11" s="122" t="str">
        <f t="shared" si="2"/>
        <v/>
      </c>
      <c r="AS11" s="122" t="str">
        <f>_xlfn.XLOOKUP("AN_T_P90",tblUIText[Key],tblUIText[TR],"AN_T_P90")&amp;" / "&amp;_xlfn.XLOOKUP("AN_T_P90",tblUIText[Key],tblUIText[EN],"")</f>
        <v>Dosya başına P90 (bin TL) / P90 per case (TRY k)</v>
      </c>
      <c r="AT11" s="122" t="str">
        <f>$K$13</f>
        <v>INSUFFICIENT DATA</v>
      </c>
    </row>
    <row r="12" spans="2:48" ht="26.1" customHeight="1">
      <c r="B12" s="259"/>
      <c r="C12" s="246"/>
      <c r="D12" s="260"/>
      <c r="E12" s="259"/>
      <c r="F12" s="246"/>
      <c r="G12" s="260"/>
      <c r="H12" s="259"/>
      <c r="I12" s="246"/>
      <c r="J12" s="260"/>
      <c r="K12" s="259"/>
      <c r="L12" s="246"/>
      <c r="M12" s="260"/>
      <c r="N12" s="259"/>
      <c r="O12" s="246"/>
      <c r="P12" s="260"/>
      <c r="Q12" s="259"/>
      <c r="R12" s="246"/>
      <c r="S12" s="260"/>
      <c r="AB12" s="122" t="str" cm="1">
        <f t="array" ref="AB12">IFERROR(INDEX(_xlfn.ANCHORARRAY($AV$8),$AB$6-24+ROW()-7),"")</f>
        <v/>
      </c>
      <c r="AC12" s="122" t="str" cm="1">
        <f t="array" ref="AC12">IF($AB12="","",_xlfn.LET(_xlpm.r,_xlfn.XLOOKUP($AB$3&amp;"|"&amp;$AB12,anSM_Seg&amp;"|"&amp;anSM_YM,anSM_Paid,""),IF(ISBLANK(_xlpm.r),"",_xlpm.r)))</f>
        <v/>
      </c>
      <c r="AD12" s="122" t="str" cm="1">
        <f t="array" ref="AD12">IF($AB12="","",_xlfn.LET(_xlpm.r,_xlfn.XLOOKUP($AB$3&amp;"|"&amp;$AB12,anSM_Seg&amp;"|"&amp;anSM_YM,anSM_MoM,""),IF(ISBLANK(_xlpm.r),"",_xlpm.r)))</f>
        <v/>
      </c>
      <c r="AE12" s="122" t="str" cm="1">
        <f t="array" ref="AE12">IF($AB12="","",_xlfn.LET(_xlpm.r,_xlfn.XLOOKUP($AB$3&amp;"|"&amp;$AB12,anSM_Seg&amp;"|"&amp;anSM_YM,anSM_Cases,""),IF(ISBLANK(_xlpm.r),"",_xlpm.r)))</f>
        <v/>
      </c>
      <c r="AF12" s="122" t="str" cm="1">
        <f t="array" ref="AF12">IF($AB12="","",_xlfn.LET(_xlpm.r,_xlfn.XLOOKUP($AB$3&amp;"|"&amp;$AB12,anSM_Seg&amp;"|"&amp;anSM_YM,anSM_Mean,""),IF(ISBLANK(_xlpm.r),"",_xlpm.r)))</f>
        <v/>
      </c>
      <c r="AG12" s="122" t="str" cm="1">
        <f t="array" ref="AG12">IF($AB12="","",_xlfn.LET(_xlpm.r,_xlfn.XLOOKUP($AB$3&amp;"|"&amp;$AB12,anSM_Seg&amp;"|"&amp;anSM_YM,anSM_P90,""),IF(ISBLANK(_xlpm.r),"",_xlpm.r)))</f>
        <v/>
      </c>
      <c r="AH12" s="122" t="str" cm="1">
        <f t="array" ref="AH12">IF($AB12="","",_xlfn.LET(_xlpm.r,_xlfn.XLOOKUP($AB$3&amp;"|"&amp;$AB12,anSM_Seg&amp;"|"&amp;anSM_YM,anSM_LagP50,""),IF(ISBLANK(_xlpm.r),"",_xlpm.r)))</f>
        <v/>
      </c>
      <c r="AI12" s="122" t="str" cm="1">
        <f t="array" ref="AI12">IF($AB12="","",_xlfn.LET(_xlpm.r,_xlfn.XLOOKUP($AB$3&amp;"|"&amp;$AB12,anSM_Seg&amp;"|"&amp;anSM_YM,anSM_SLA,""),IF(ISBLANK(_xlpm.r),"",_xlpm.r)))</f>
        <v/>
      </c>
      <c r="AJ12" s="122" t="str" cm="1">
        <f t="array" ref="AJ12">IF($AB12="","",_xlfn.LET(_xlpm.r,_xlfn.XLOOKUP($AB$3&amp;"|"&amp;$AB12,anSM_Seg&amp;"|"&amp;anSM_YM,anSM_Lines,""),IF(ISBLANK(_xlpm.r),"",_xlpm.r)))</f>
        <v/>
      </c>
      <c r="AK12" s="122" t="str" cm="1">
        <f t="array" ref="AK12">IF($AB12="","",_xlfn.LET(_xlpm.r,_xlfn.XLOOKUP($AB$3&amp;"|"&amp;$AB12,anSM_Seg&amp;"|"&amp;anSM_YM,anSM_PM,""),IF(ISBLANK(_xlpm.r),"",_xlpm.r)))</f>
        <v/>
      </c>
      <c r="AL12" s="122" t="str">
        <f t="shared" si="0"/>
        <v/>
      </c>
      <c r="AM12" s="122" t="str">
        <f t="shared" si="1"/>
        <v/>
      </c>
      <c r="AN12" s="122" t="str">
        <f t="shared" si="2"/>
        <v/>
      </c>
      <c r="AQ12" s="122" cm="1">
        <f t="array" ref="AQ12">SUMPRODUCT(((LEFT($AT$8:$AT$13,5)="WATCH")+(LEFT($AT$8:$AT$13,5)="ALERT"))*(RIGHT($AT$8:$AT$13,1)&lt;&gt;"*"))</f>
        <v>0</v>
      </c>
      <c r="AS12" s="122" t="str">
        <f>_xlfn.XLOOKUP("AN_T_LAG",tblUIText[Key],tblUIText[TR],"AN_T_LAG")&amp;" / "&amp;_xlfn.XLOOKUP("AN_T_LAG",tblUIText[Key],tblUIText[EN],"")</f>
        <v>Hasar→ödeme P50 (gün) / Loss→payment P50 (days)</v>
      </c>
      <c r="AT12" s="122" t="str">
        <f>$N$13</f>
        <v>INSUFFICIENT DATA</v>
      </c>
    </row>
    <row r="13" spans="2:48">
      <c r="B13" s="261" t="str">
        <f>$AU$10</f>
        <v>INSUFFICIENT DATA</v>
      </c>
      <c r="C13" s="262"/>
      <c r="D13" s="263"/>
      <c r="E13" s="261" t="str" cm="1">
        <f t="array" ref="E13">_xlfn.LET(_xlpm.m,_xlfn.XLOOKUP("CT02",tblThreshold[KPI_ID],tblThreshold[Method],""),_xlpm.rs,_xlfn.XLOOKUP("CT02",tblThreshold[KPI_ID],tblThreshold[Status],""),_xlpm.wl,_xlfn.XLOOKUP("CT02",tblThreshold[KPI_ID],tblThreshold[WatchLevel],""),_xlpm.al,_xlfn.XLOOKUP("CT02",tblThreshold[KPI_ID],tblThreshold[AlertLevel],""),_xlpm.mm,_xlfn.XLOOKUP("CT02",tblThreshold[KPI_ID],tblThreshold[MinMonths],0),_xlpm.mn,_xlfn.XLOOKUP("CT02",tblThreshold[KPI_ID],tblThreshold[MinN],0),_xlpm.per,IF(ISNUMBER(SEARCH("WATCH: 2",_xlfn.XLOOKUP("CT02",tblThreshold[KPI_ID],tblThreshold[Persistence],""))),2,1),_xlpm.hr,$AE$8:$AE$30,_xlpm.h,_xlfn._xlws.FILTER(_xlpm.hr,ISNUMBER(_xlpm.hr),""),_xlpm.x,$AE$31,_xlpm.xp,$AE$30,_xlpm.n,$AE$31,_xlpm.side,IF(LEFT("CT02",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v>
      </c>
      <c r="F13" s="262"/>
      <c r="G13" s="263"/>
      <c r="H13" s="261" t="str" cm="1">
        <f t="array" ref="H13">_xlfn.LET(_xlpm.m,_xlfn.XLOOKUP("AV01",tblThreshold[KPI_ID],tblThreshold[Method],""),_xlpm.rs,_xlfn.XLOOKUP("AV01",tblThreshold[KPI_ID],tblThreshold[Status],""),_xlpm.wl,_xlfn.XLOOKUP("AV01",tblThreshold[KPI_ID],tblThreshold[WatchLevel],""),_xlpm.al,_xlfn.XLOOKUP("AV01",tblThreshold[KPI_ID],tblThreshold[AlertLevel],""),_xlpm.mm,_xlfn.XLOOKUP("AV01",tblThreshold[KPI_ID],tblThreshold[MinMonths],0),_xlpm.mn,_xlfn.XLOOKUP("AV01",tblThreshold[KPI_ID],tblThreshold[MinN],0),_xlpm.per,IF(ISNUMBER(SEARCH("WATCH: 2",_xlfn.XLOOKUP("AV01",tblThreshold[KPI_ID],tblThreshold[Persistence],""))),2,1),_xlpm.hr,$AF$8:$AF$30,_xlpm.h,_xlfn._xlws.FILTER(_xlpm.hr,ISNUMBER(_xlpm.hr),""),_xlpm.x,$AF$31,_xlpm.xp,$AF$30,_xlpm.n,$AE$31,_xlpm.side,IF(LEFT("AV01",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I13" s="262"/>
      <c r="J13" s="263"/>
      <c r="K13" s="261" t="str" cm="1">
        <f t="array" ref="K13">_xlfn.LET(_xlpm.m,_xlfn.XLOOKUP("AV03",tblThreshold[KPI_ID],tblThreshold[Method],""),_xlpm.rs,_xlfn.XLOOKUP("AV03",tblThreshold[KPI_ID],tblThreshold[Status],""),_xlpm.wl,_xlfn.XLOOKUP("AV03",tblThreshold[KPI_ID],tblThreshold[WatchLevel],""),_xlpm.al,_xlfn.XLOOKUP("AV03",tblThreshold[KPI_ID],tblThreshold[AlertLevel],""),_xlpm.mm,_xlfn.XLOOKUP("AV03",tblThreshold[KPI_ID],tblThreshold[MinMonths],0),_xlpm.mn,_xlfn.XLOOKUP("AV03",tblThreshold[KPI_ID],tblThreshold[MinN],0),_xlpm.per,IF(ISNUMBER(SEARCH("WATCH: 2",_xlfn.XLOOKUP("AV03",tblThreshold[KPI_ID],tblThreshold[Persistence],""))),2,1),_xlpm.hr,$AG$8:$AG$30,_xlpm.h,_xlfn._xlws.FILTER(_xlpm.hr,ISNUMBER(_xlpm.hr),""),_xlpm.x,$AG$31,_xlpm.xp,$AG$30,_xlpm.n,$AE$31,_xlpm.side,IF(LEFT("AV03",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L13" s="262"/>
      <c r="M13" s="263"/>
      <c r="N13" s="261" t="str" cm="1">
        <f t="array" ref="N13">_xlfn.LET(_xlpm.m,_xlfn.XLOOKUP("LG06",tblThreshold[KPI_ID],tblThreshold[Method],""),_xlpm.rs,_xlfn.XLOOKUP("LG06",tblThreshold[KPI_ID],tblThreshold[Status],""),_xlpm.wl,_xlfn.XLOOKUP("LG06",tblThreshold[KPI_ID],tblThreshold[WatchLevel],""),_xlpm.al,_xlfn.XLOOKUP("LG06",tblThreshold[KPI_ID],tblThreshold[AlertLevel],""),_xlpm.mm,_xlfn.XLOOKUP("LG06",tblThreshold[KPI_ID],tblThreshold[MinMonths],0),_xlpm.mn,_xlfn.XLOOKUP("LG06",tblThreshold[KPI_ID],tblThreshold[MinN],0),_xlpm.per,IF(ISNUMBER(SEARCH("WATCH: 2",_xlfn.XLOOKUP("LG06",tblThreshold[KPI_ID],tblThreshold[Persistence],""))),2,1),_xlpm.hr,$AH$8:$AH$30,_xlpm.h,_xlfn._xlws.FILTER(_xlpm.hr,ISNUMBER(_xlpm.hr),""),_xlpm.x,$AH$31,_xlpm.xp,$AH$30,_xlpm.n,$AJ$31,_xlpm.side,IF(LEFT("LG06",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O13" s="262"/>
      <c r="P13" s="263"/>
      <c r="Q13" s="261" t="str" cm="1">
        <f t="array" ref="Q13">_xlfn.LET(_xlpm.m,_xlfn.XLOOKUP("LG07",tblThreshold[KPI_ID],tblThreshold[Method],""),_xlpm.rs,_xlfn.XLOOKUP("LG07",tblThreshold[KPI_ID],tblThreshold[Status],""),_xlpm.wl,_xlfn.XLOOKUP("LG07",tblThreshold[KPI_ID],tblThreshold[WatchLevel],""),_xlpm.al,_xlfn.XLOOKUP("LG07",tblThreshold[KPI_ID],tblThreshold[AlertLevel],""),_xlpm.mm,_xlfn.XLOOKUP("LG07",tblThreshold[KPI_ID],tblThreshold[MinMonths],0),_xlpm.mn,_xlfn.XLOOKUP("LG07",tblThreshold[KPI_ID],tblThreshold[MinN],0),_xlpm.per,IF(ISNUMBER(SEARCH("WATCH: 2",_xlfn.XLOOKUP("LG07",tblThreshold[KPI_ID],tblThreshold[Persistence],""))),2,1),_xlpm.hr,$AI$8:$AI$30,_xlpm.h,_xlfn._xlws.FILTER(_xlpm.hr,ISNUMBER(_xlpm.hr),""),_xlpm.x,$AI$31,_xlpm.xp,$AI$30,_xlpm.n,$AJ$31,_xlpm.side,IF(LEFT("LG07",2)="LG",1,2),_xlpm.pc,_xlfn.LAMBDA(_xlpm.l,IF(ISNUMBER(_xlpm.l),_xlpm.l,VALUE(SUBSTITUTE(_xlpm.l,"P",""))/100)),_xlpm.br,_xlfn.LAMBDA(_xlpm.v,_xlpm.lev,IF(NOT(ISNUMBER(_xlpm.v)),FALSE,_xlfn.SWITCH(_xlpm.m,"STAT_LOGZ",_xlfn.LET(_xlpm.lh,LN(_xlfn._xlws.FILTER(_xlpm.h,_xlpm.h&gt;0)),_xlpm.md,MEDIAN(_xlpm.lh),_xlpm.sg,1.4826*MEDIAN(ABS(_xlpm.lh-_xlpm.md)),IF(OR(_xlpm.v&lt;=0,_xlpm.sg=0),FALSE,ABS((LN(_xlpm.v)-_xlpm.md)/_xlpm.sg)&gt;=_xlpm.lev)),"STAT_Z",_xlfn.LET(_xlpm.md,MEDIAN(_xlpm.h),_xlpm.mad,MEDIAN(ABS(_xlpm.h-_xlpm.md)),IF(_xlpm.mad=0,FALSE,ABS(0.6745*(_xlpm.v-_xlpm.md)/_xlpm.mad)&gt;=_xlpm.lev)),"STAT_PCT",_xlfn.LET(_xlpm.q,_xlpm.pc(_xlpm.lev),OR(_xlpm.v&gt;_xlfn.PERCENTILE.INC(_xlpm.h,_xlpm.q),AND(_xlpm.side=2,_xlpm.v&lt;_xlfn.PERCENTILE.INC(_xlpm.h,1-_xlpm.q)))),"FIXED",_xlpm.v&gt;=_xlpm.lev,FALSE))),_xlpm.sfx,IF(AND(_xlpm.m="FIXED",_xlpm.rs&lt;&gt;"APPROVED"),"*",IF(_xlpm.rs&lt;&gt;"APPROVED"," (draft)","")),IF(_xlpm.m="","—",IF(OR(NOT(ISNUMBER(_xlpm.x)),COUNT(_xlpm.h)&lt;_xlpm.mm,N(_xlpm.n)&lt;_xlpm.mn),"INSUFFICIENT DATA",IF(_xlpm.br(_xlpm.x,_xlpm.al),"ALERT"&amp;_xlpm.sfx,IF(AND(_xlpm.br(_xlpm.x,_xlpm.wl),OR(_xlpm.per=1,_xlpm.br(_xlpm.xp,_xlpm.wl))),"WATCH"&amp;_xlpm.sfx,"OK"&amp;IF(_xlpm.sfx="*","*",""))))))</f>
        <v>INSUFFICIENT DATA</v>
      </c>
      <c r="R13" s="262"/>
      <c r="S13" s="263"/>
      <c r="AB13" s="122" t="str" cm="1">
        <f t="array" ref="AB13">IFERROR(INDEX(_xlfn.ANCHORARRAY($AV$8),$AB$6-24+ROW()-7),"")</f>
        <v/>
      </c>
      <c r="AC13" s="122" t="str" cm="1">
        <f t="array" ref="AC13">IF($AB13="","",_xlfn.LET(_xlpm.r,_xlfn.XLOOKUP($AB$3&amp;"|"&amp;$AB13,anSM_Seg&amp;"|"&amp;anSM_YM,anSM_Paid,""),IF(ISBLANK(_xlpm.r),"",_xlpm.r)))</f>
        <v/>
      </c>
      <c r="AD13" s="122" t="str" cm="1">
        <f t="array" ref="AD13">IF($AB13="","",_xlfn.LET(_xlpm.r,_xlfn.XLOOKUP($AB$3&amp;"|"&amp;$AB13,anSM_Seg&amp;"|"&amp;anSM_YM,anSM_MoM,""),IF(ISBLANK(_xlpm.r),"",_xlpm.r)))</f>
        <v/>
      </c>
      <c r="AE13" s="122" t="str" cm="1">
        <f t="array" ref="AE13">IF($AB13="","",_xlfn.LET(_xlpm.r,_xlfn.XLOOKUP($AB$3&amp;"|"&amp;$AB13,anSM_Seg&amp;"|"&amp;anSM_YM,anSM_Cases,""),IF(ISBLANK(_xlpm.r),"",_xlpm.r)))</f>
        <v/>
      </c>
      <c r="AF13" s="122" t="str" cm="1">
        <f t="array" ref="AF13">IF($AB13="","",_xlfn.LET(_xlpm.r,_xlfn.XLOOKUP($AB$3&amp;"|"&amp;$AB13,anSM_Seg&amp;"|"&amp;anSM_YM,anSM_Mean,""),IF(ISBLANK(_xlpm.r),"",_xlpm.r)))</f>
        <v/>
      </c>
      <c r="AG13" s="122" t="str" cm="1">
        <f t="array" ref="AG13">IF($AB13="","",_xlfn.LET(_xlpm.r,_xlfn.XLOOKUP($AB$3&amp;"|"&amp;$AB13,anSM_Seg&amp;"|"&amp;anSM_YM,anSM_P90,""),IF(ISBLANK(_xlpm.r),"",_xlpm.r)))</f>
        <v/>
      </c>
      <c r="AH13" s="122" t="str" cm="1">
        <f t="array" ref="AH13">IF($AB13="","",_xlfn.LET(_xlpm.r,_xlfn.XLOOKUP($AB$3&amp;"|"&amp;$AB13,anSM_Seg&amp;"|"&amp;anSM_YM,anSM_LagP50,""),IF(ISBLANK(_xlpm.r),"",_xlpm.r)))</f>
        <v/>
      </c>
      <c r="AI13" s="122" t="str" cm="1">
        <f t="array" ref="AI13">IF($AB13="","",_xlfn.LET(_xlpm.r,_xlfn.XLOOKUP($AB$3&amp;"|"&amp;$AB13,anSM_Seg&amp;"|"&amp;anSM_YM,anSM_SLA,""),IF(ISBLANK(_xlpm.r),"",_xlpm.r)))</f>
        <v/>
      </c>
      <c r="AJ13" s="122" t="str" cm="1">
        <f t="array" ref="AJ13">IF($AB13="","",_xlfn.LET(_xlpm.r,_xlfn.XLOOKUP($AB$3&amp;"|"&amp;$AB13,anSM_Seg&amp;"|"&amp;anSM_YM,anSM_Lines,""),IF(ISBLANK(_xlpm.r),"",_xlpm.r)))</f>
        <v/>
      </c>
      <c r="AK13" s="122" t="str" cm="1">
        <f t="array" ref="AK13">IF($AB13="","",_xlfn.LET(_xlpm.r,_xlfn.XLOOKUP($AB$3&amp;"|"&amp;$AB13,anSM_Seg&amp;"|"&amp;anSM_YM,anSM_PM,""),IF(ISBLANK(_xlpm.r),"",_xlpm.r)))</f>
        <v/>
      </c>
      <c r="AL13" s="122" t="str">
        <f t="shared" si="0"/>
        <v/>
      </c>
      <c r="AM13" s="122" t="str">
        <f t="shared" si="1"/>
        <v/>
      </c>
      <c r="AN13" s="122" t="str">
        <f t="shared" si="2"/>
        <v/>
      </c>
      <c r="AS13" s="122" t="str">
        <f>_xlfn.XLOOKUP("AN_T_SLA",tblUIText[Key],tblUIText[TR],"AN_T_SLA")&amp;" / "&amp;_xlfn.XLOOKUP("AN_T_SLA",tblUIText[Key],tblUIText[EN],"")</f>
        <v>Uçtan uca SLA aşımı / SLA breach, end to end</v>
      </c>
      <c r="AT13" s="122" t="str">
        <f>$Q$13</f>
        <v>INSUFFICIENT DATA</v>
      </c>
    </row>
    <row r="14" spans="2:48" ht="30" customHeight="1">
      <c r="B14" s="256" t="str">
        <f>_xlfn.XLOOKUP("AN_T_PAID_NOTE",tblUIText[Key],tblUIText[TR],"AN_T_PAID_NOTE")&amp;" / "&amp;_xlfn.XLOOKUP("AN_T_PAID_NOTE",tblUIText[Key],tblUIText[EN],"")</f>
        <v>TH12 log-z + TH01 aylık kural / TH12 log-z + TH01 MoM rule</v>
      </c>
      <c r="C14" s="257"/>
      <c r="D14" s="258"/>
      <c r="E14" s="256" t="str" cm="1">
        <f t="array" ref="E14">_xlfn.XLOOKUP("CT02",tblThreshold[KPI_ID],tblThreshold[ThresholdID]&amp;" "&amp;tblThreshold[Method],_xlfn.XLOOKUP("AN_NO_THRESHOLD",tblUIText[Key],tblUIText[TR],"AN_NO_THRESHOLD")&amp;" / "&amp;_xlfn.XLOOKUP("AN_NO_THRESHOLD",tblUIText[Key],tblUIText[EN],""))</f>
        <v>eşik yok / no threshold</v>
      </c>
      <c r="F14" s="257"/>
      <c r="G14" s="258"/>
      <c r="H14" s="256" t="str" cm="1">
        <f t="array" ref="H14">_xlfn.XLOOKUP("AV01",tblThreshold[KPI_ID],tblThreshold[ThresholdID]&amp;" "&amp;tblThreshold[Method],_xlfn.XLOOKUP("AN_NO_THRESHOLD",tblUIText[Key],tblUIText[TR],"AN_NO_THRESHOLD")&amp;" / "&amp;_xlfn.XLOOKUP("AN_NO_THRESHOLD",tblUIText[Key],tblUIText[EN],""))</f>
        <v>TH02 STAT_LOGZ</v>
      </c>
      <c r="I14" s="257"/>
      <c r="J14" s="258"/>
      <c r="K14" s="256" t="str" cm="1">
        <f t="array" ref="K14">_xlfn.XLOOKUP("AV03",tblThreshold[KPI_ID],tblThreshold[ThresholdID]&amp;" "&amp;tblThreshold[Method],_xlfn.XLOOKUP("AN_NO_THRESHOLD",tblUIText[Key],tblUIText[TR],"AN_NO_THRESHOLD")&amp;" / "&amp;_xlfn.XLOOKUP("AN_NO_THRESHOLD",tblUIText[Key],tblUIText[EN],""))</f>
        <v>TH03 STAT_LOGZ</v>
      </c>
      <c r="L14" s="257"/>
      <c r="M14" s="258"/>
      <c r="N14" s="256" t="str" cm="1">
        <f t="array" ref="N14">_xlfn.XLOOKUP("LG06",tblThreshold[KPI_ID],tblThreshold[ThresholdID]&amp;" "&amp;tblThreshold[Method],_xlfn.XLOOKUP("AN_NO_THRESHOLD",tblUIText[Key],tblUIText[TR],"AN_NO_THRESHOLD")&amp;" / "&amp;_xlfn.XLOOKUP("AN_NO_THRESHOLD",tblUIText[Key],tblUIText[EN],""))</f>
        <v>TH04 STAT_PCT</v>
      </c>
      <c r="O14" s="257"/>
      <c r="P14" s="258"/>
      <c r="Q14" s="256" t="str" cm="1">
        <f t="array" ref="Q14">_xlfn.XLOOKUP("LG07",tblThreshold[KPI_ID],tblThreshold[ThresholdID]&amp;" "&amp;tblThreshold[Method],"")&amp;" · "&amp;_xlfn.XLOOKUP("AN_SLA_SHORT",tblUIText[Key],tblUIText[TR],"AN_SLA_SHORT")&amp;" / "&amp;_xlfn.XLOOKUP("AN_SLA_SHORT",tblUIText[Key],tblUIText[EN],"")</f>
        <v>TH05 FIXED · SLA geçici değer / SLA placeholder</v>
      </c>
      <c r="R14" s="257"/>
      <c r="S14" s="258"/>
      <c r="AB14" s="122" t="str" cm="1">
        <f t="array" ref="AB14">IFERROR(INDEX(_xlfn.ANCHORARRAY($AV$8),$AB$6-24+ROW()-7),"")</f>
        <v/>
      </c>
      <c r="AC14" s="122" t="str" cm="1">
        <f t="array" ref="AC14">IF($AB14="","",_xlfn.LET(_xlpm.r,_xlfn.XLOOKUP($AB$3&amp;"|"&amp;$AB14,anSM_Seg&amp;"|"&amp;anSM_YM,anSM_Paid,""),IF(ISBLANK(_xlpm.r),"",_xlpm.r)))</f>
        <v/>
      </c>
      <c r="AD14" s="122" t="str" cm="1">
        <f t="array" ref="AD14">IF($AB14="","",_xlfn.LET(_xlpm.r,_xlfn.XLOOKUP($AB$3&amp;"|"&amp;$AB14,anSM_Seg&amp;"|"&amp;anSM_YM,anSM_MoM,""),IF(ISBLANK(_xlpm.r),"",_xlpm.r)))</f>
        <v/>
      </c>
      <c r="AE14" s="122" t="str" cm="1">
        <f t="array" ref="AE14">IF($AB14="","",_xlfn.LET(_xlpm.r,_xlfn.XLOOKUP($AB$3&amp;"|"&amp;$AB14,anSM_Seg&amp;"|"&amp;anSM_YM,anSM_Cases,""),IF(ISBLANK(_xlpm.r),"",_xlpm.r)))</f>
        <v/>
      </c>
      <c r="AF14" s="122" t="str" cm="1">
        <f t="array" ref="AF14">IF($AB14="","",_xlfn.LET(_xlpm.r,_xlfn.XLOOKUP($AB$3&amp;"|"&amp;$AB14,anSM_Seg&amp;"|"&amp;anSM_YM,anSM_Mean,""),IF(ISBLANK(_xlpm.r),"",_xlpm.r)))</f>
        <v/>
      </c>
      <c r="AG14" s="122" t="str" cm="1">
        <f t="array" ref="AG14">IF($AB14="","",_xlfn.LET(_xlpm.r,_xlfn.XLOOKUP($AB$3&amp;"|"&amp;$AB14,anSM_Seg&amp;"|"&amp;anSM_YM,anSM_P90,""),IF(ISBLANK(_xlpm.r),"",_xlpm.r)))</f>
        <v/>
      </c>
      <c r="AH14" s="122" t="str" cm="1">
        <f t="array" ref="AH14">IF($AB14="","",_xlfn.LET(_xlpm.r,_xlfn.XLOOKUP($AB$3&amp;"|"&amp;$AB14,anSM_Seg&amp;"|"&amp;anSM_YM,anSM_LagP50,""),IF(ISBLANK(_xlpm.r),"",_xlpm.r)))</f>
        <v/>
      </c>
      <c r="AI14" s="122" t="str" cm="1">
        <f t="array" ref="AI14">IF($AB14="","",_xlfn.LET(_xlpm.r,_xlfn.XLOOKUP($AB$3&amp;"|"&amp;$AB14,anSM_Seg&amp;"|"&amp;anSM_YM,anSM_SLA,""),IF(ISBLANK(_xlpm.r),"",_xlpm.r)))</f>
        <v/>
      </c>
      <c r="AJ14" s="122" t="str" cm="1">
        <f t="array" ref="AJ14">IF($AB14="","",_xlfn.LET(_xlpm.r,_xlfn.XLOOKUP($AB$3&amp;"|"&amp;$AB14,anSM_Seg&amp;"|"&amp;anSM_YM,anSM_Lines,""),IF(ISBLANK(_xlpm.r),"",_xlpm.r)))</f>
        <v/>
      </c>
      <c r="AK14" s="122" t="str" cm="1">
        <f t="array" ref="AK14">IF($AB14="","",_xlfn.LET(_xlpm.r,_xlfn.XLOOKUP($AB$3&amp;"|"&amp;$AB14,anSM_Seg&amp;"|"&amp;anSM_YM,anSM_PM,""),IF(ISBLANK(_xlpm.r),"",_xlpm.r)))</f>
        <v/>
      </c>
      <c r="AL14" s="122" t="str">
        <f t="shared" si="0"/>
        <v/>
      </c>
      <c r="AM14" s="122" t="str">
        <f t="shared" si="1"/>
        <v/>
      </c>
      <c r="AN14" s="122" t="str">
        <f t="shared" si="2"/>
        <v/>
      </c>
      <c r="AQ14" s="122" t="str">
        <f>_xlfn.XLOOKUP("AN_TREND_TITLE",tblUIText[Key],tblUIText[TR],"AN_TREND_TITLE")&amp;" / "&amp;_xlfn.XLOOKUP("AN_TREND_TITLE",tblUIText[Key],tblUIText[EN],"")</f>
        <v>Aylık ödenen (mn TL), medyan ve olağan bant (log ölçekte medyan ± k robust sapma) / Monthly paid (TRY m), median and normal band (median ± k robust SD on the log scale)</v>
      </c>
    </row>
    <row r="15" spans="2:48">
      <c r="AB15" s="122" t="str" cm="1">
        <f t="array" ref="AB15">IFERROR(INDEX(_xlfn.ANCHORARRAY($AV$8),$AB$6-24+ROW()-7),"")</f>
        <v/>
      </c>
      <c r="AC15" s="122" t="str" cm="1">
        <f t="array" ref="AC15">IF($AB15="","",_xlfn.LET(_xlpm.r,_xlfn.XLOOKUP($AB$3&amp;"|"&amp;$AB15,anSM_Seg&amp;"|"&amp;anSM_YM,anSM_Paid,""),IF(ISBLANK(_xlpm.r),"",_xlpm.r)))</f>
        <v/>
      </c>
      <c r="AD15" s="122" t="str" cm="1">
        <f t="array" ref="AD15">IF($AB15="","",_xlfn.LET(_xlpm.r,_xlfn.XLOOKUP($AB$3&amp;"|"&amp;$AB15,anSM_Seg&amp;"|"&amp;anSM_YM,anSM_MoM,""),IF(ISBLANK(_xlpm.r),"",_xlpm.r)))</f>
        <v/>
      </c>
      <c r="AE15" s="122" t="str" cm="1">
        <f t="array" ref="AE15">IF($AB15="","",_xlfn.LET(_xlpm.r,_xlfn.XLOOKUP($AB$3&amp;"|"&amp;$AB15,anSM_Seg&amp;"|"&amp;anSM_YM,anSM_Cases,""),IF(ISBLANK(_xlpm.r),"",_xlpm.r)))</f>
        <v/>
      </c>
      <c r="AF15" s="122" t="str" cm="1">
        <f t="array" ref="AF15">IF($AB15="","",_xlfn.LET(_xlpm.r,_xlfn.XLOOKUP($AB$3&amp;"|"&amp;$AB15,anSM_Seg&amp;"|"&amp;anSM_YM,anSM_Mean,""),IF(ISBLANK(_xlpm.r),"",_xlpm.r)))</f>
        <v/>
      </c>
      <c r="AG15" s="122" t="str" cm="1">
        <f t="array" ref="AG15">IF($AB15="","",_xlfn.LET(_xlpm.r,_xlfn.XLOOKUP($AB$3&amp;"|"&amp;$AB15,anSM_Seg&amp;"|"&amp;anSM_YM,anSM_P90,""),IF(ISBLANK(_xlpm.r),"",_xlpm.r)))</f>
        <v/>
      </c>
      <c r="AH15" s="122" t="str" cm="1">
        <f t="array" ref="AH15">IF($AB15="","",_xlfn.LET(_xlpm.r,_xlfn.XLOOKUP($AB$3&amp;"|"&amp;$AB15,anSM_Seg&amp;"|"&amp;anSM_YM,anSM_LagP50,""),IF(ISBLANK(_xlpm.r),"",_xlpm.r)))</f>
        <v/>
      </c>
      <c r="AI15" s="122" t="str" cm="1">
        <f t="array" ref="AI15">IF($AB15="","",_xlfn.LET(_xlpm.r,_xlfn.XLOOKUP($AB$3&amp;"|"&amp;$AB15,anSM_Seg&amp;"|"&amp;anSM_YM,anSM_SLA,""),IF(ISBLANK(_xlpm.r),"",_xlpm.r)))</f>
        <v/>
      </c>
      <c r="AJ15" s="122" t="str" cm="1">
        <f t="array" ref="AJ15">IF($AB15="","",_xlfn.LET(_xlpm.r,_xlfn.XLOOKUP($AB$3&amp;"|"&amp;$AB15,anSM_Seg&amp;"|"&amp;anSM_YM,anSM_Lines,""),IF(ISBLANK(_xlpm.r),"",_xlpm.r)))</f>
        <v/>
      </c>
      <c r="AK15" s="122" t="str" cm="1">
        <f t="array" ref="AK15">IF($AB15="","",_xlfn.LET(_xlpm.r,_xlfn.XLOOKUP($AB$3&amp;"|"&amp;$AB15,anSM_Seg&amp;"|"&amp;anSM_YM,anSM_PM,""),IF(ISBLANK(_xlpm.r),"",_xlpm.r)))</f>
        <v/>
      </c>
      <c r="AL15" s="122" t="str">
        <f t="shared" si="0"/>
        <v/>
      </c>
      <c r="AM15" s="122" t="str">
        <f t="shared" si="1"/>
        <v/>
      </c>
      <c r="AN15" s="122" t="str">
        <f t="shared" si="2"/>
        <v/>
      </c>
    </row>
    <row r="16" spans="2:48" ht="21.95" customHeight="1">
      <c r="M16" s="264" t="str">
        <f>_xlfn.XLOOKUP("AN_MOVERS",tblUIText[Key],tblUIText[TR],"AN_MOVERS")&amp;" / "&amp;_xlfn.XLOOKUP("AN_MOVERS",tblUIText[Key],tblUIText[EN],"")</f>
        <v>En çok değişen ödeme nedenleri (önceki aya göre, mn TL) / Top movers by reason code (vs previous month, TRY m)</v>
      </c>
      <c r="N16" s="265"/>
      <c r="O16" s="265"/>
      <c r="P16" s="265"/>
      <c r="Q16" s="265"/>
      <c r="R16" s="265"/>
      <c r="S16" s="265"/>
      <c r="AB16" s="122" t="str" cm="1">
        <f t="array" ref="AB16">IFERROR(INDEX(_xlfn.ANCHORARRAY($AV$8),$AB$6-24+ROW()-7),"")</f>
        <v/>
      </c>
      <c r="AC16" s="122" t="str" cm="1">
        <f t="array" ref="AC16">IF($AB16="","",_xlfn.LET(_xlpm.r,_xlfn.XLOOKUP($AB$3&amp;"|"&amp;$AB16,anSM_Seg&amp;"|"&amp;anSM_YM,anSM_Paid,""),IF(ISBLANK(_xlpm.r),"",_xlpm.r)))</f>
        <v/>
      </c>
      <c r="AD16" s="122" t="str" cm="1">
        <f t="array" ref="AD16">IF($AB16="","",_xlfn.LET(_xlpm.r,_xlfn.XLOOKUP($AB$3&amp;"|"&amp;$AB16,anSM_Seg&amp;"|"&amp;anSM_YM,anSM_MoM,""),IF(ISBLANK(_xlpm.r),"",_xlpm.r)))</f>
        <v/>
      </c>
      <c r="AE16" s="122" t="str" cm="1">
        <f t="array" ref="AE16">IF($AB16="","",_xlfn.LET(_xlpm.r,_xlfn.XLOOKUP($AB$3&amp;"|"&amp;$AB16,anSM_Seg&amp;"|"&amp;anSM_YM,anSM_Cases,""),IF(ISBLANK(_xlpm.r),"",_xlpm.r)))</f>
        <v/>
      </c>
      <c r="AF16" s="122" t="str" cm="1">
        <f t="array" ref="AF16">IF($AB16="","",_xlfn.LET(_xlpm.r,_xlfn.XLOOKUP($AB$3&amp;"|"&amp;$AB16,anSM_Seg&amp;"|"&amp;anSM_YM,anSM_Mean,""),IF(ISBLANK(_xlpm.r),"",_xlpm.r)))</f>
        <v/>
      </c>
      <c r="AG16" s="122" t="str" cm="1">
        <f t="array" ref="AG16">IF($AB16="","",_xlfn.LET(_xlpm.r,_xlfn.XLOOKUP($AB$3&amp;"|"&amp;$AB16,anSM_Seg&amp;"|"&amp;anSM_YM,anSM_P90,""),IF(ISBLANK(_xlpm.r),"",_xlpm.r)))</f>
        <v/>
      </c>
      <c r="AH16" s="122" t="str" cm="1">
        <f t="array" ref="AH16">IF($AB16="","",_xlfn.LET(_xlpm.r,_xlfn.XLOOKUP($AB$3&amp;"|"&amp;$AB16,anSM_Seg&amp;"|"&amp;anSM_YM,anSM_LagP50,""),IF(ISBLANK(_xlpm.r),"",_xlpm.r)))</f>
        <v/>
      </c>
      <c r="AI16" s="122" t="str" cm="1">
        <f t="array" ref="AI16">IF($AB16="","",_xlfn.LET(_xlpm.r,_xlfn.XLOOKUP($AB$3&amp;"|"&amp;$AB16,anSM_Seg&amp;"|"&amp;anSM_YM,anSM_SLA,""),IF(ISBLANK(_xlpm.r),"",_xlpm.r)))</f>
        <v/>
      </c>
      <c r="AJ16" s="122" t="str" cm="1">
        <f t="array" ref="AJ16">IF($AB16="","",_xlfn.LET(_xlpm.r,_xlfn.XLOOKUP($AB$3&amp;"|"&amp;$AB16,anSM_Seg&amp;"|"&amp;anSM_YM,anSM_Lines,""),IF(ISBLANK(_xlpm.r),"",_xlpm.r)))</f>
        <v/>
      </c>
      <c r="AK16" s="122" t="str" cm="1">
        <f t="array" ref="AK16">IF($AB16="","",_xlfn.LET(_xlpm.r,_xlfn.XLOOKUP($AB$3&amp;"|"&amp;$AB16,anSM_Seg&amp;"|"&amp;anSM_YM,anSM_PM,""),IF(ISBLANK(_xlpm.r),"",_xlpm.r)))</f>
        <v/>
      </c>
      <c r="AL16" s="122" t="str">
        <f t="shared" si="0"/>
        <v/>
      </c>
      <c r="AM16" s="122" t="str">
        <f t="shared" si="1"/>
        <v/>
      </c>
      <c r="AN16" s="122" t="str">
        <f t="shared" si="2"/>
        <v/>
      </c>
    </row>
    <row r="17" spans="13:40" ht="24" customHeight="1">
      <c r="M17" s="132" t="str">
        <f>_xlfn.XLOOKUP("AN_COL_REASON",tblUIText[Key],tblUIText[TR],"AN_COL_REASON")&amp;" / "&amp;_xlfn.XLOOKUP("AN_COL_REASON",tblUIText[Key],tblUIText[EN],"")</f>
        <v>Neden / Reason</v>
      </c>
      <c r="N17" s="132" t="str">
        <f>_xlfn.XLOOKUP("AN_COL_PREV",tblUIText[Key],tblUIText[TR],"AN_COL_PREV")&amp;" / "&amp;_xlfn.XLOOKUP("AN_COL_PREV",tblUIText[Key],tblUIText[EN],"")</f>
        <v>Önceki / Previous</v>
      </c>
      <c r="O17" s="132" t="str">
        <f>_xlfn.XLOOKUP("AN_COL_CUR",tblUIText[Key],tblUIText[TR],"AN_COL_CUR")&amp;" / "&amp;_xlfn.XLOOKUP("AN_COL_CUR",tblUIText[Key],tblUIText[EN],"")</f>
        <v>Bu ay / This month</v>
      </c>
      <c r="P17" s="132" t="str">
        <f>_xlfn.XLOOKUP("AN_COL_CHANGE",tblUIText[Key],tblUIText[TR],"AN_COL_CHANGE")&amp;" / "&amp;_xlfn.XLOOKUP("AN_COL_CHANGE",tblUIText[Key],tblUIText[EN],"")</f>
        <v>Fark / Change</v>
      </c>
      <c r="Q17" s="133" t="s">
        <v>19104</v>
      </c>
      <c r="AB17" s="122" t="str" cm="1">
        <f t="array" ref="AB17">IFERROR(INDEX(_xlfn.ANCHORARRAY($AV$8),$AB$6-24+ROW()-7),"")</f>
        <v/>
      </c>
      <c r="AC17" s="122" t="str" cm="1">
        <f t="array" ref="AC17">IF($AB17="","",_xlfn.LET(_xlpm.r,_xlfn.XLOOKUP($AB$3&amp;"|"&amp;$AB17,anSM_Seg&amp;"|"&amp;anSM_YM,anSM_Paid,""),IF(ISBLANK(_xlpm.r),"",_xlpm.r)))</f>
        <v/>
      </c>
      <c r="AD17" s="122" t="str" cm="1">
        <f t="array" ref="AD17">IF($AB17="","",_xlfn.LET(_xlpm.r,_xlfn.XLOOKUP($AB$3&amp;"|"&amp;$AB17,anSM_Seg&amp;"|"&amp;anSM_YM,anSM_MoM,""),IF(ISBLANK(_xlpm.r),"",_xlpm.r)))</f>
        <v/>
      </c>
      <c r="AE17" s="122" t="str" cm="1">
        <f t="array" ref="AE17">IF($AB17="","",_xlfn.LET(_xlpm.r,_xlfn.XLOOKUP($AB$3&amp;"|"&amp;$AB17,anSM_Seg&amp;"|"&amp;anSM_YM,anSM_Cases,""),IF(ISBLANK(_xlpm.r),"",_xlpm.r)))</f>
        <v/>
      </c>
      <c r="AF17" s="122" t="str" cm="1">
        <f t="array" ref="AF17">IF($AB17="","",_xlfn.LET(_xlpm.r,_xlfn.XLOOKUP($AB$3&amp;"|"&amp;$AB17,anSM_Seg&amp;"|"&amp;anSM_YM,anSM_Mean,""),IF(ISBLANK(_xlpm.r),"",_xlpm.r)))</f>
        <v/>
      </c>
      <c r="AG17" s="122" t="str" cm="1">
        <f t="array" ref="AG17">IF($AB17="","",_xlfn.LET(_xlpm.r,_xlfn.XLOOKUP($AB$3&amp;"|"&amp;$AB17,anSM_Seg&amp;"|"&amp;anSM_YM,anSM_P90,""),IF(ISBLANK(_xlpm.r),"",_xlpm.r)))</f>
        <v/>
      </c>
      <c r="AH17" s="122" t="str" cm="1">
        <f t="array" ref="AH17">IF($AB17="","",_xlfn.LET(_xlpm.r,_xlfn.XLOOKUP($AB$3&amp;"|"&amp;$AB17,anSM_Seg&amp;"|"&amp;anSM_YM,anSM_LagP50,""),IF(ISBLANK(_xlpm.r),"",_xlpm.r)))</f>
        <v/>
      </c>
      <c r="AI17" s="122" t="str" cm="1">
        <f t="array" ref="AI17">IF($AB17="","",_xlfn.LET(_xlpm.r,_xlfn.XLOOKUP($AB$3&amp;"|"&amp;$AB17,anSM_Seg&amp;"|"&amp;anSM_YM,anSM_SLA,""),IF(ISBLANK(_xlpm.r),"",_xlpm.r)))</f>
        <v/>
      </c>
      <c r="AJ17" s="122" t="str" cm="1">
        <f t="array" ref="AJ17">IF($AB17="","",_xlfn.LET(_xlpm.r,_xlfn.XLOOKUP($AB$3&amp;"|"&amp;$AB17,anSM_Seg&amp;"|"&amp;anSM_YM,anSM_Lines,""),IF(ISBLANK(_xlpm.r),"",_xlpm.r)))</f>
        <v/>
      </c>
      <c r="AK17" s="122" t="str" cm="1">
        <f t="array" ref="AK17">IF($AB17="","",_xlfn.LET(_xlpm.r,_xlfn.XLOOKUP($AB$3&amp;"|"&amp;$AB17,anSM_Seg&amp;"|"&amp;anSM_YM,anSM_PM,""),IF(ISBLANK(_xlpm.r),"",_xlpm.r)))</f>
        <v/>
      </c>
      <c r="AL17" s="122" t="str">
        <f t="shared" si="0"/>
        <v/>
      </c>
      <c r="AM17" s="122" t="str">
        <f t="shared" si="1"/>
        <v/>
      </c>
      <c r="AN17" s="122" t="str">
        <f t="shared" si="2"/>
        <v/>
      </c>
    </row>
    <row r="18" spans="13:40" ht="27" customHeight="1">
      <c r="M18" s="174" t="str" cm="1">
        <f t="array" ref="M18">_xlfn.LET(_xlpm.seg,$AB$3,_xlpm.m,$AB$5,_xlpm.pv,$AB$30,_xlpm.rc,_xlfn.UNIQUE(_xlfn._xlws.FILTER(anNAT_Reason,(anNAT_Seg=_xlpm.seg)*((anNAT_YM=_xlpm.m)+(anNAT_YM=_xlpm.pv))*(anNAT_Reason&lt;&gt;""),"")),IF(INDEX(_xlpm.rc,1)="","",_xlfn.LET(_xlpm.cur,SUMIFS(anNAT_Paid,anNAT_Seg,_xlpm.seg,anNAT_YM,_xlpm.m,anNAT_Reason,_xlpm.rc),_xlpm.prv,SUMIFS(anNAT_Paid,anNAT_Seg,_xlpm.seg,anNAT_YM,_xlpm.pv,anNAT_Reason,_xlpm.rc),_xlpm.d,_xlpm.cur-_xlpm.prv,_xlpm.ms,_xlfn.XLOOKUP("MomMaterialityShare",AnParam[Param],AnParam[Value],0.01)*SUM(_xlpm.prv),_xlpm.lab,IFERROR(_xlfn.XLOOKUP(_xlpm.rc,DimPaymentNature[ReasonCode],DimPaymentNature[DescriptionTR])&amp;" / "&amp;_xlfn.XLOOKUP(_xlpm.rc,DimPaymentNature[ReasonCode],DimPaymentNature[DescriptionEN]),_xlpm.rc),_xlpm.s,_xlfn.SORTBY(_xlfn.HSTACK(_xlpm.lab,_xlfn.MAP(_xlpm.prv,_xlfn.LAMBDA(_xlpm.v,anNum(_xlpm.v/1000000,2))),_xlfn.MAP(_xlpm.cur,_xlfn.LAMBDA(_xlpm.v,anNum(_xlpm.v/1000000,2))),_xlfn.MAP(_xlpm.d,_xlfn.LAMBDA(_xlpm.v,anSgn(_xlpm.v/1000000,2))),_xlfn.MAP(_xlpm.prv,_xlpm.d,_xlfn.LAMBDA(_xlpm.v,_xlpm.w,IF(_xlpm.v&gt;_xlpm.ms,anPctS(_xlpm.w/_xlpm.v,0),"n.a.")))),ABS(_xlpm.d),-1),_xlfn.TAKE(_xlpm.s,MIN(6,ROWS(_xlpm.s))))))</f>
        <v/>
      </c>
      <c r="N18" s="175"/>
      <c r="O18" s="175"/>
      <c r="P18" s="175"/>
      <c r="Q18" s="175"/>
      <c r="AB18" s="122" t="str" cm="1">
        <f t="array" ref="AB18">IFERROR(INDEX(_xlfn.ANCHORARRAY($AV$8),$AB$6-24+ROW()-7),"")</f>
        <v/>
      </c>
      <c r="AC18" s="122" t="str" cm="1">
        <f t="array" ref="AC18">IF($AB18="","",_xlfn.LET(_xlpm.r,_xlfn.XLOOKUP($AB$3&amp;"|"&amp;$AB18,anSM_Seg&amp;"|"&amp;anSM_YM,anSM_Paid,""),IF(ISBLANK(_xlpm.r),"",_xlpm.r)))</f>
        <v/>
      </c>
      <c r="AD18" s="122" t="str" cm="1">
        <f t="array" ref="AD18">IF($AB18="","",_xlfn.LET(_xlpm.r,_xlfn.XLOOKUP($AB$3&amp;"|"&amp;$AB18,anSM_Seg&amp;"|"&amp;anSM_YM,anSM_MoM,""),IF(ISBLANK(_xlpm.r),"",_xlpm.r)))</f>
        <v/>
      </c>
      <c r="AE18" s="122" t="str" cm="1">
        <f t="array" ref="AE18">IF($AB18="","",_xlfn.LET(_xlpm.r,_xlfn.XLOOKUP($AB$3&amp;"|"&amp;$AB18,anSM_Seg&amp;"|"&amp;anSM_YM,anSM_Cases,""),IF(ISBLANK(_xlpm.r),"",_xlpm.r)))</f>
        <v/>
      </c>
      <c r="AF18" s="122" t="str" cm="1">
        <f t="array" ref="AF18">IF($AB18="","",_xlfn.LET(_xlpm.r,_xlfn.XLOOKUP($AB$3&amp;"|"&amp;$AB18,anSM_Seg&amp;"|"&amp;anSM_YM,anSM_Mean,""),IF(ISBLANK(_xlpm.r),"",_xlpm.r)))</f>
        <v/>
      </c>
      <c r="AG18" s="122" t="str" cm="1">
        <f t="array" ref="AG18">IF($AB18="","",_xlfn.LET(_xlpm.r,_xlfn.XLOOKUP($AB$3&amp;"|"&amp;$AB18,anSM_Seg&amp;"|"&amp;anSM_YM,anSM_P90,""),IF(ISBLANK(_xlpm.r),"",_xlpm.r)))</f>
        <v/>
      </c>
      <c r="AH18" s="122" t="str" cm="1">
        <f t="array" ref="AH18">IF($AB18="","",_xlfn.LET(_xlpm.r,_xlfn.XLOOKUP($AB$3&amp;"|"&amp;$AB18,anSM_Seg&amp;"|"&amp;anSM_YM,anSM_LagP50,""),IF(ISBLANK(_xlpm.r),"",_xlpm.r)))</f>
        <v/>
      </c>
      <c r="AI18" s="122" t="str" cm="1">
        <f t="array" ref="AI18">IF($AB18="","",_xlfn.LET(_xlpm.r,_xlfn.XLOOKUP($AB$3&amp;"|"&amp;$AB18,anSM_Seg&amp;"|"&amp;anSM_YM,anSM_SLA,""),IF(ISBLANK(_xlpm.r),"",_xlpm.r)))</f>
        <v/>
      </c>
      <c r="AJ18" s="122" t="str" cm="1">
        <f t="array" ref="AJ18">IF($AB18="","",_xlfn.LET(_xlpm.r,_xlfn.XLOOKUP($AB$3&amp;"|"&amp;$AB18,anSM_Seg&amp;"|"&amp;anSM_YM,anSM_Lines,""),IF(ISBLANK(_xlpm.r),"",_xlpm.r)))</f>
        <v/>
      </c>
      <c r="AK18" s="122" t="str" cm="1">
        <f t="array" ref="AK18">IF($AB18="","",_xlfn.LET(_xlpm.r,_xlfn.XLOOKUP($AB$3&amp;"|"&amp;$AB18,anSM_Seg&amp;"|"&amp;anSM_YM,anSM_PM,""),IF(ISBLANK(_xlpm.r),"",_xlpm.r)))</f>
        <v/>
      </c>
      <c r="AL18" s="122" t="str">
        <f t="shared" si="0"/>
        <v/>
      </c>
      <c r="AM18" s="122" t="str">
        <f t="shared" si="1"/>
        <v/>
      </c>
      <c r="AN18" s="122" t="str">
        <f t="shared" si="2"/>
        <v/>
      </c>
    </row>
    <row r="19" spans="13:40" ht="27" customHeight="1">
      <c r="M19" s="174"/>
      <c r="N19" s="175"/>
      <c r="O19" s="175"/>
      <c r="P19" s="175"/>
      <c r="Q19" s="175"/>
      <c r="AB19" s="122" t="str" cm="1">
        <f t="array" ref="AB19">IFERROR(INDEX(_xlfn.ANCHORARRAY($AV$8),$AB$6-24+ROW()-7),"")</f>
        <v/>
      </c>
      <c r="AC19" s="122" t="str" cm="1">
        <f t="array" ref="AC19">IF($AB19="","",_xlfn.LET(_xlpm.r,_xlfn.XLOOKUP($AB$3&amp;"|"&amp;$AB19,anSM_Seg&amp;"|"&amp;anSM_YM,anSM_Paid,""),IF(ISBLANK(_xlpm.r),"",_xlpm.r)))</f>
        <v/>
      </c>
      <c r="AD19" s="122" t="str" cm="1">
        <f t="array" ref="AD19">IF($AB19="","",_xlfn.LET(_xlpm.r,_xlfn.XLOOKUP($AB$3&amp;"|"&amp;$AB19,anSM_Seg&amp;"|"&amp;anSM_YM,anSM_MoM,""),IF(ISBLANK(_xlpm.r),"",_xlpm.r)))</f>
        <v/>
      </c>
      <c r="AE19" s="122" t="str" cm="1">
        <f t="array" ref="AE19">IF($AB19="","",_xlfn.LET(_xlpm.r,_xlfn.XLOOKUP($AB$3&amp;"|"&amp;$AB19,anSM_Seg&amp;"|"&amp;anSM_YM,anSM_Cases,""),IF(ISBLANK(_xlpm.r),"",_xlpm.r)))</f>
        <v/>
      </c>
      <c r="AF19" s="122" t="str" cm="1">
        <f t="array" ref="AF19">IF($AB19="","",_xlfn.LET(_xlpm.r,_xlfn.XLOOKUP($AB$3&amp;"|"&amp;$AB19,anSM_Seg&amp;"|"&amp;anSM_YM,anSM_Mean,""),IF(ISBLANK(_xlpm.r),"",_xlpm.r)))</f>
        <v/>
      </c>
      <c r="AG19" s="122" t="str" cm="1">
        <f t="array" ref="AG19">IF($AB19="","",_xlfn.LET(_xlpm.r,_xlfn.XLOOKUP($AB$3&amp;"|"&amp;$AB19,anSM_Seg&amp;"|"&amp;anSM_YM,anSM_P90,""),IF(ISBLANK(_xlpm.r),"",_xlpm.r)))</f>
        <v/>
      </c>
      <c r="AH19" s="122" t="str" cm="1">
        <f t="array" ref="AH19">IF($AB19="","",_xlfn.LET(_xlpm.r,_xlfn.XLOOKUP($AB$3&amp;"|"&amp;$AB19,anSM_Seg&amp;"|"&amp;anSM_YM,anSM_LagP50,""),IF(ISBLANK(_xlpm.r),"",_xlpm.r)))</f>
        <v/>
      </c>
      <c r="AI19" s="122" t="str" cm="1">
        <f t="array" ref="AI19">IF($AB19="","",_xlfn.LET(_xlpm.r,_xlfn.XLOOKUP($AB$3&amp;"|"&amp;$AB19,anSM_Seg&amp;"|"&amp;anSM_YM,anSM_SLA,""),IF(ISBLANK(_xlpm.r),"",_xlpm.r)))</f>
        <v/>
      </c>
      <c r="AJ19" s="122" t="str" cm="1">
        <f t="array" ref="AJ19">IF($AB19="","",_xlfn.LET(_xlpm.r,_xlfn.XLOOKUP($AB$3&amp;"|"&amp;$AB19,anSM_Seg&amp;"|"&amp;anSM_YM,anSM_Lines,""),IF(ISBLANK(_xlpm.r),"",_xlpm.r)))</f>
        <v/>
      </c>
      <c r="AK19" s="122" t="str" cm="1">
        <f t="array" ref="AK19">IF($AB19="","",_xlfn.LET(_xlpm.r,_xlfn.XLOOKUP($AB$3&amp;"|"&amp;$AB19,anSM_Seg&amp;"|"&amp;anSM_YM,anSM_PM,""),IF(ISBLANK(_xlpm.r),"",_xlpm.r)))</f>
        <v/>
      </c>
      <c r="AL19" s="122" t="str">
        <f t="shared" si="0"/>
        <v/>
      </c>
      <c r="AM19" s="122" t="str">
        <f t="shared" si="1"/>
        <v/>
      </c>
      <c r="AN19" s="122" t="str">
        <f t="shared" si="2"/>
        <v/>
      </c>
    </row>
    <row r="20" spans="13:40" ht="27" customHeight="1">
      <c r="M20" s="174"/>
      <c r="N20" s="175"/>
      <c r="O20" s="175"/>
      <c r="P20" s="175"/>
      <c r="Q20" s="175"/>
      <c r="AB20" s="122" t="str" cm="1">
        <f t="array" ref="AB20">IFERROR(INDEX(_xlfn.ANCHORARRAY($AV$8),$AB$6-24+ROW()-7),"")</f>
        <v/>
      </c>
      <c r="AC20" s="122" t="str" cm="1">
        <f t="array" ref="AC20">IF($AB20="","",_xlfn.LET(_xlpm.r,_xlfn.XLOOKUP($AB$3&amp;"|"&amp;$AB20,anSM_Seg&amp;"|"&amp;anSM_YM,anSM_Paid,""),IF(ISBLANK(_xlpm.r),"",_xlpm.r)))</f>
        <v/>
      </c>
      <c r="AD20" s="122" t="str" cm="1">
        <f t="array" ref="AD20">IF($AB20="","",_xlfn.LET(_xlpm.r,_xlfn.XLOOKUP($AB$3&amp;"|"&amp;$AB20,anSM_Seg&amp;"|"&amp;anSM_YM,anSM_MoM,""),IF(ISBLANK(_xlpm.r),"",_xlpm.r)))</f>
        <v/>
      </c>
      <c r="AE20" s="122" t="str" cm="1">
        <f t="array" ref="AE20">IF($AB20="","",_xlfn.LET(_xlpm.r,_xlfn.XLOOKUP($AB$3&amp;"|"&amp;$AB20,anSM_Seg&amp;"|"&amp;anSM_YM,anSM_Cases,""),IF(ISBLANK(_xlpm.r),"",_xlpm.r)))</f>
        <v/>
      </c>
      <c r="AF20" s="122" t="str" cm="1">
        <f t="array" ref="AF20">IF($AB20="","",_xlfn.LET(_xlpm.r,_xlfn.XLOOKUP($AB$3&amp;"|"&amp;$AB20,anSM_Seg&amp;"|"&amp;anSM_YM,anSM_Mean,""),IF(ISBLANK(_xlpm.r),"",_xlpm.r)))</f>
        <v/>
      </c>
      <c r="AG20" s="122" t="str" cm="1">
        <f t="array" ref="AG20">IF($AB20="","",_xlfn.LET(_xlpm.r,_xlfn.XLOOKUP($AB$3&amp;"|"&amp;$AB20,anSM_Seg&amp;"|"&amp;anSM_YM,anSM_P90,""),IF(ISBLANK(_xlpm.r),"",_xlpm.r)))</f>
        <v/>
      </c>
      <c r="AH20" s="122" t="str" cm="1">
        <f t="array" ref="AH20">IF($AB20="","",_xlfn.LET(_xlpm.r,_xlfn.XLOOKUP($AB$3&amp;"|"&amp;$AB20,anSM_Seg&amp;"|"&amp;anSM_YM,anSM_LagP50,""),IF(ISBLANK(_xlpm.r),"",_xlpm.r)))</f>
        <v/>
      </c>
      <c r="AI20" s="122" t="str" cm="1">
        <f t="array" ref="AI20">IF($AB20="","",_xlfn.LET(_xlpm.r,_xlfn.XLOOKUP($AB$3&amp;"|"&amp;$AB20,anSM_Seg&amp;"|"&amp;anSM_YM,anSM_SLA,""),IF(ISBLANK(_xlpm.r),"",_xlpm.r)))</f>
        <v/>
      </c>
      <c r="AJ20" s="122" t="str" cm="1">
        <f t="array" ref="AJ20">IF($AB20="","",_xlfn.LET(_xlpm.r,_xlfn.XLOOKUP($AB$3&amp;"|"&amp;$AB20,anSM_Seg&amp;"|"&amp;anSM_YM,anSM_Lines,""),IF(ISBLANK(_xlpm.r),"",_xlpm.r)))</f>
        <v/>
      </c>
      <c r="AK20" s="122" t="str" cm="1">
        <f t="array" ref="AK20">IF($AB20="","",_xlfn.LET(_xlpm.r,_xlfn.XLOOKUP($AB$3&amp;"|"&amp;$AB20,anSM_Seg&amp;"|"&amp;anSM_YM,anSM_PM,""),IF(ISBLANK(_xlpm.r),"",_xlpm.r)))</f>
        <v/>
      </c>
      <c r="AL20" s="122" t="str">
        <f t="shared" si="0"/>
        <v/>
      </c>
      <c r="AM20" s="122" t="str">
        <f t="shared" si="1"/>
        <v/>
      </c>
      <c r="AN20" s="122" t="str">
        <f t="shared" si="2"/>
        <v/>
      </c>
    </row>
    <row r="21" spans="13:40" ht="27" customHeight="1">
      <c r="M21" s="174"/>
      <c r="N21" s="175"/>
      <c r="O21" s="175"/>
      <c r="P21" s="175"/>
      <c r="Q21" s="175"/>
      <c r="AB21" s="122" t="str" cm="1">
        <f t="array" ref="AB21">IFERROR(INDEX(_xlfn.ANCHORARRAY($AV$8),$AB$6-24+ROW()-7),"")</f>
        <v/>
      </c>
      <c r="AC21" s="122" t="str" cm="1">
        <f t="array" ref="AC21">IF($AB21="","",_xlfn.LET(_xlpm.r,_xlfn.XLOOKUP($AB$3&amp;"|"&amp;$AB21,anSM_Seg&amp;"|"&amp;anSM_YM,anSM_Paid,""),IF(ISBLANK(_xlpm.r),"",_xlpm.r)))</f>
        <v/>
      </c>
      <c r="AD21" s="122" t="str" cm="1">
        <f t="array" ref="AD21">IF($AB21="","",_xlfn.LET(_xlpm.r,_xlfn.XLOOKUP($AB$3&amp;"|"&amp;$AB21,anSM_Seg&amp;"|"&amp;anSM_YM,anSM_MoM,""),IF(ISBLANK(_xlpm.r),"",_xlpm.r)))</f>
        <v/>
      </c>
      <c r="AE21" s="122" t="str" cm="1">
        <f t="array" ref="AE21">IF($AB21="","",_xlfn.LET(_xlpm.r,_xlfn.XLOOKUP($AB$3&amp;"|"&amp;$AB21,anSM_Seg&amp;"|"&amp;anSM_YM,anSM_Cases,""),IF(ISBLANK(_xlpm.r),"",_xlpm.r)))</f>
        <v/>
      </c>
      <c r="AF21" s="122" t="str" cm="1">
        <f t="array" ref="AF21">IF($AB21="","",_xlfn.LET(_xlpm.r,_xlfn.XLOOKUP($AB$3&amp;"|"&amp;$AB21,anSM_Seg&amp;"|"&amp;anSM_YM,anSM_Mean,""),IF(ISBLANK(_xlpm.r),"",_xlpm.r)))</f>
        <v/>
      </c>
      <c r="AG21" s="122" t="str" cm="1">
        <f t="array" ref="AG21">IF($AB21="","",_xlfn.LET(_xlpm.r,_xlfn.XLOOKUP($AB$3&amp;"|"&amp;$AB21,anSM_Seg&amp;"|"&amp;anSM_YM,anSM_P90,""),IF(ISBLANK(_xlpm.r),"",_xlpm.r)))</f>
        <v/>
      </c>
      <c r="AH21" s="122" t="str" cm="1">
        <f t="array" ref="AH21">IF($AB21="","",_xlfn.LET(_xlpm.r,_xlfn.XLOOKUP($AB$3&amp;"|"&amp;$AB21,anSM_Seg&amp;"|"&amp;anSM_YM,anSM_LagP50,""),IF(ISBLANK(_xlpm.r),"",_xlpm.r)))</f>
        <v/>
      </c>
      <c r="AI21" s="122" t="str" cm="1">
        <f t="array" ref="AI21">IF($AB21="","",_xlfn.LET(_xlpm.r,_xlfn.XLOOKUP($AB$3&amp;"|"&amp;$AB21,anSM_Seg&amp;"|"&amp;anSM_YM,anSM_SLA,""),IF(ISBLANK(_xlpm.r),"",_xlpm.r)))</f>
        <v/>
      </c>
      <c r="AJ21" s="122" t="str" cm="1">
        <f t="array" ref="AJ21">IF($AB21="","",_xlfn.LET(_xlpm.r,_xlfn.XLOOKUP($AB$3&amp;"|"&amp;$AB21,anSM_Seg&amp;"|"&amp;anSM_YM,anSM_Lines,""),IF(ISBLANK(_xlpm.r),"",_xlpm.r)))</f>
        <v/>
      </c>
      <c r="AK21" s="122" t="str" cm="1">
        <f t="array" ref="AK21">IF($AB21="","",_xlfn.LET(_xlpm.r,_xlfn.XLOOKUP($AB$3&amp;"|"&amp;$AB21,anSM_Seg&amp;"|"&amp;anSM_YM,anSM_PM,""),IF(ISBLANK(_xlpm.r),"",_xlpm.r)))</f>
        <v/>
      </c>
      <c r="AL21" s="122" t="str">
        <f t="shared" si="0"/>
        <v/>
      </c>
      <c r="AM21" s="122" t="str">
        <f t="shared" si="1"/>
        <v/>
      </c>
      <c r="AN21" s="122" t="str">
        <f t="shared" si="2"/>
        <v/>
      </c>
    </row>
    <row r="22" spans="13:40" ht="27" customHeight="1">
      <c r="M22" s="174"/>
      <c r="N22" s="175"/>
      <c r="O22" s="175"/>
      <c r="P22" s="175"/>
      <c r="Q22" s="175"/>
      <c r="AB22" s="122" t="str" cm="1">
        <f t="array" ref="AB22">IFERROR(INDEX(_xlfn.ANCHORARRAY($AV$8),$AB$6-24+ROW()-7),"")</f>
        <v/>
      </c>
      <c r="AC22" s="122" t="str" cm="1">
        <f t="array" ref="AC22">IF($AB22="","",_xlfn.LET(_xlpm.r,_xlfn.XLOOKUP($AB$3&amp;"|"&amp;$AB22,anSM_Seg&amp;"|"&amp;anSM_YM,anSM_Paid,""),IF(ISBLANK(_xlpm.r),"",_xlpm.r)))</f>
        <v/>
      </c>
      <c r="AD22" s="122" t="str" cm="1">
        <f t="array" ref="AD22">IF($AB22="","",_xlfn.LET(_xlpm.r,_xlfn.XLOOKUP($AB$3&amp;"|"&amp;$AB22,anSM_Seg&amp;"|"&amp;anSM_YM,anSM_MoM,""),IF(ISBLANK(_xlpm.r),"",_xlpm.r)))</f>
        <v/>
      </c>
      <c r="AE22" s="122" t="str" cm="1">
        <f t="array" ref="AE22">IF($AB22="","",_xlfn.LET(_xlpm.r,_xlfn.XLOOKUP($AB$3&amp;"|"&amp;$AB22,anSM_Seg&amp;"|"&amp;anSM_YM,anSM_Cases,""),IF(ISBLANK(_xlpm.r),"",_xlpm.r)))</f>
        <v/>
      </c>
      <c r="AF22" s="122" t="str" cm="1">
        <f t="array" ref="AF22">IF($AB22="","",_xlfn.LET(_xlpm.r,_xlfn.XLOOKUP($AB$3&amp;"|"&amp;$AB22,anSM_Seg&amp;"|"&amp;anSM_YM,anSM_Mean,""),IF(ISBLANK(_xlpm.r),"",_xlpm.r)))</f>
        <v/>
      </c>
      <c r="AG22" s="122" t="str" cm="1">
        <f t="array" ref="AG22">IF($AB22="","",_xlfn.LET(_xlpm.r,_xlfn.XLOOKUP($AB$3&amp;"|"&amp;$AB22,anSM_Seg&amp;"|"&amp;anSM_YM,anSM_P90,""),IF(ISBLANK(_xlpm.r),"",_xlpm.r)))</f>
        <v/>
      </c>
      <c r="AH22" s="122" t="str" cm="1">
        <f t="array" ref="AH22">IF($AB22="","",_xlfn.LET(_xlpm.r,_xlfn.XLOOKUP($AB$3&amp;"|"&amp;$AB22,anSM_Seg&amp;"|"&amp;anSM_YM,anSM_LagP50,""),IF(ISBLANK(_xlpm.r),"",_xlpm.r)))</f>
        <v/>
      </c>
      <c r="AI22" s="122" t="str" cm="1">
        <f t="array" ref="AI22">IF($AB22="","",_xlfn.LET(_xlpm.r,_xlfn.XLOOKUP($AB$3&amp;"|"&amp;$AB22,anSM_Seg&amp;"|"&amp;anSM_YM,anSM_SLA,""),IF(ISBLANK(_xlpm.r),"",_xlpm.r)))</f>
        <v/>
      </c>
      <c r="AJ22" s="122" t="str" cm="1">
        <f t="array" ref="AJ22">IF($AB22="","",_xlfn.LET(_xlpm.r,_xlfn.XLOOKUP($AB$3&amp;"|"&amp;$AB22,anSM_Seg&amp;"|"&amp;anSM_YM,anSM_Lines,""),IF(ISBLANK(_xlpm.r),"",_xlpm.r)))</f>
        <v/>
      </c>
      <c r="AK22" s="122" t="str" cm="1">
        <f t="array" ref="AK22">IF($AB22="","",_xlfn.LET(_xlpm.r,_xlfn.XLOOKUP($AB$3&amp;"|"&amp;$AB22,anSM_Seg&amp;"|"&amp;anSM_YM,anSM_PM,""),IF(ISBLANK(_xlpm.r),"",_xlpm.r)))</f>
        <v/>
      </c>
      <c r="AL22" s="122" t="str">
        <f t="shared" si="0"/>
        <v/>
      </c>
      <c r="AM22" s="122" t="str">
        <f t="shared" si="1"/>
        <v/>
      </c>
      <c r="AN22" s="122" t="str">
        <f t="shared" si="2"/>
        <v/>
      </c>
    </row>
    <row r="23" spans="13:40" ht="27" customHeight="1">
      <c r="M23" s="174"/>
      <c r="N23" s="175"/>
      <c r="O23" s="175"/>
      <c r="P23" s="175"/>
      <c r="Q23" s="175"/>
      <c r="AB23" s="122" t="str" cm="1">
        <f t="array" ref="AB23">IFERROR(INDEX(_xlfn.ANCHORARRAY($AV$8),$AB$6-24+ROW()-7),"")</f>
        <v/>
      </c>
      <c r="AC23" s="122" t="str" cm="1">
        <f t="array" ref="AC23">IF($AB23="","",_xlfn.LET(_xlpm.r,_xlfn.XLOOKUP($AB$3&amp;"|"&amp;$AB23,anSM_Seg&amp;"|"&amp;anSM_YM,anSM_Paid,""),IF(ISBLANK(_xlpm.r),"",_xlpm.r)))</f>
        <v/>
      </c>
      <c r="AD23" s="122" t="str" cm="1">
        <f t="array" ref="AD23">IF($AB23="","",_xlfn.LET(_xlpm.r,_xlfn.XLOOKUP($AB$3&amp;"|"&amp;$AB23,anSM_Seg&amp;"|"&amp;anSM_YM,anSM_MoM,""),IF(ISBLANK(_xlpm.r),"",_xlpm.r)))</f>
        <v/>
      </c>
      <c r="AE23" s="122" t="str" cm="1">
        <f t="array" ref="AE23">IF($AB23="","",_xlfn.LET(_xlpm.r,_xlfn.XLOOKUP($AB$3&amp;"|"&amp;$AB23,anSM_Seg&amp;"|"&amp;anSM_YM,anSM_Cases,""),IF(ISBLANK(_xlpm.r),"",_xlpm.r)))</f>
        <v/>
      </c>
      <c r="AF23" s="122" t="str" cm="1">
        <f t="array" ref="AF23">IF($AB23="","",_xlfn.LET(_xlpm.r,_xlfn.XLOOKUP($AB$3&amp;"|"&amp;$AB23,anSM_Seg&amp;"|"&amp;anSM_YM,anSM_Mean,""),IF(ISBLANK(_xlpm.r),"",_xlpm.r)))</f>
        <v/>
      </c>
      <c r="AG23" s="122" t="str" cm="1">
        <f t="array" ref="AG23">IF($AB23="","",_xlfn.LET(_xlpm.r,_xlfn.XLOOKUP($AB$3&amp;"|"&amp;$AB23,anSM_Seg&amp;"|"&amp;anSM_YM,anSM_P90,""),IF(ISBLANK(_xlpm.r),"",_xlpm.r)))</f>
        <v/>
      </c>
      <c r="AH23" s="122" t="str" cm="1">
        <f t="array" ref="AH23">IF($AB23="","",_xlfn.LET(_xlpm.r,_xlfn.XLOOKUP($AB$3&amp;"|"&amp;$AB23,anSM_Seg&amp;"|"&amp;anSM_YM,anSM_LagP50,""),IF(ISBLANK(_xlpm.r),"",_xlpm.r)))</f>
        <v/>
      </c>
      <c r="AI23" s="122" t="str" cm="1">
        <f t="array" ref="AI23">IF($AB23="","",_xlfn.LET(_xlpm.r,_xlfn.XLOOKUP($AB$3&amp;"|"&amp;$AB23,anSM_Seg&amp;"|"&amp;anSM_YM,anSM_SLA,""),IF(ISBLANK(_xlpm.r),"",_xlpm.r)))</f>
        <v/>
      </c>
      <c r="AJ23" s="122" t="str" cm="1">
        <f t="array" ref="AJ23">IF($AB23="","",_xlfn.LET(_xlpm.r,_xlfn.XLOOKUP($AB$3&amp;"|"&amp;$AB23,anSM_Seg&amp;"|"&amp;anSM_YM,anSM_Lines,""),IF(ISBLANK(_xlpm.r),"",_xlpm.r)))</f>
        <v/>
      </c>
      <c r="AK23" s="122" t="str" cm="1">
        <f t="array" ref="AK23">IF($AB23="","",_xlfn.LET(_xlpm.r,_xlfn.XLOOKUP($AB$3&amp;"|"&amp;$AB23,anSM_Seg&amp;"|"&amp;anSM_YM,anSM_PM,""),IF(ISBLANK(_xlpm.r),"",_xlpm.r)))</f>
        <v/>
      </c>
      <c r="AL23" s="122" t="str">
        <f t="shared" si="0"/>
        <v/>
      </c>
      <c r="AM23" s="122" t="str">
        <f t="shared" si="1"/>
        <v/>
      </c>
      <c r="AN23" s="122" t="str">
        <f t="shared" si="2"/>
        <v/>
      </c>
    </row>
    <row r="24" spans="13:40">
      <c r="AB24" s="122" t="str" cm="1">
        <f t="array" ref="AB24">IFERROR(INDEX(_xlfn.ANCHORARRAY($AV$8),$AB$6-24+ROW()-7),"")</f>
        <v/>
      </c>
      <c r="AC24" s="122" t="str" cm="1">
        <f t="array" ref="AC24">IF($AB24="","",_xlfn.LET(_xlpm.r,_xlfn.XLOOKUP($AB$3&amp;"|"&amp;$AB24,anSM_Seg&amp;"|"&amp;anSM_YM,anSM_Paid,""),IF(ISBLANK(_xlpm.r),"",_xlpm.r)))</f>
        <v/>
      </c>
      <c r="AD24" s="122" t="str" cm="1">
        <f t="array" ref="AD24">IF($AB24="","",_xlfn.LET(_xlpm.r,_xlfn.XLOOKUP($AB$3&amp;"|"&amp;$AB24,anSM_Seg&amp;"|"&amp;anSM_YM,anSM_MoM,""),IF(ISBLANK(_xlpm.r),"",_xlpm.r)))</f>
        <v/>
      </c>
      <c r="AE24" s="122" t="str" cm="1">
        <f t="array" ref="AE24">IF($AB24="","",_xlfn.LET(_xlpm.r,_xlfn.XLOOKUP($AB$3&amp;"|"&amp;$AB24,anSM_Seg&amp;"|"&amp;anSM_YM,anSM_Cases,""),IF(ISBLANK(_xlpm.r),"",_xlpm.r)))</f>
        <v/>
      </c>
      <c r="AF24" s="122" t="str" cm="1">
        <f t="array" ref="AF24">IF($AB24="","",_xlfn.LET(_xlpm.r,_xlfn.XLOOKUP($AB$3&amp;"|"&amp;$AB24,anSM_Seg&amp;"|"&amp;anSM_YM,anSM_Mean,""),IF(ISBLANK(_xlpm.r),"",_xlpm.r)))</f>
        <v/>
      </c>
      <c r="AG24" s="122" t="str" cm="1">
        <f t="array" ref="AG24">IF($AB24="","",_xlfn.LET(_xlpm.r,_xlfn.XLOOKUP($AB$3&amp;"|"&amp;$AB24,anSM_Seg&amp;"|"&amp;anSM_YM,anSM_P90,""),IF(ISBLANK(_xlpm.r),"",_xlpm.r)))</f>
        <v/>
      </c>
      <c r="AH24" s="122" t="str" cm="1">
        <f t="array" ref="AH24">IF($AB24="","",_xlfn.LET(_xlpm.r,_xlfn.XLOOKUP($AB$3&amp;"|"&amp;$AB24,anSM_Seg&amp;"|"&amp;anSM_YM,anSM_LagP50,""),IF(ISBLANK(_xlpm.r),"",_xlpm.r)))</f>
        <v/>
      </c>
      <c r="AI24" s="122" t="str" cm="1">
        <f t="array" ref="AI24">IF($AB24="","",_xlfn.LET(_xlpm.r,_xlfn.XLOOKUP($AB$3&amp;"|"&amp;$AB24,anSM_Seg&amp;"|"&amp;anSM_YM,anSM_SLA,""),IF(ISBLANK(_xlpm.r),"",_xlpm.r)))</f>
        <v/>
      </c>
      <c r="AJ24" s="122" t="str" cm="1">
        <f t="array" ref="AJ24">IF($AB24="","",_xlfn.LET(_xlpm.r,_xlfn.XLOOKUP($AB$3&amp;"|"&amp;$AB24,anSM_Seg&amp;"|"&amp;anSM_YM,anSM_Lines,""),IF(ISBLANK(_xlpm.r),"",_xlpm.r)))</f>
        <v/>
      </c>
      <c r="AK24" s="122" t="str" cm="1">
        <f t="array" ref="AK24">IF($AB24="","",_xlfn.LET(_xlpm.r,_xlfn.XLOOKUP($AB$3&amp;"|"&amp;$AB24,anSM_Seg&amp;"|"&amp;anSM_YM,anSM_PM,""),IF(ISBLANK(_xlpm.r),"",_xlpm.r)))</f>
        <v/>
      </c>
      <c r="AL24" s="122" t="str">
        <f t="shared" si="0"/>
        <v/>
      </c>
      <c r="AM24" s="122" t="str">
        <f t="shared" si="1"/>
        <v/>
      </c>
      <c r="AN24" s="122" t="str">
        <f t="shared" si="2"/>
        <v/>
      </c>
    </row>
    <row r="25" spans="13:40">
      <c r="AB25" s="122" t="str" cm="1">
        <f t="array" ref="AB25">IFERROR(INDEX(_xlfn.ANCHORARRAY($AV$8),$AB$6-24+ROW()-7),"")</f>
        <v/>
      </c>
      <c r="AC25" s="122" t="str" cm="1">
        <f t="array" ref="AC25">IF($AB25="","",_xlfn.LET(_xlpm.r,_xlfn.XLOOKUP($AB$3&amp;"|"&amp;$AB25,anSM_Seg&amp;"|"&amp;anSM_YM,anSM_Paid,""),IF(ISBLANK(_xlpm.r),"",_xlpm.r)))</f>
        <v/>
      </c>
      <c r="AD25" s="122" t="str" cm="1">
        <f t="array" ref="AD25">IF($AB25="","",_xlfn.LET(_xlpm.r,_xlfn.XLOOKUP($AB$3&amp;"|"&amp;$AB25,anSM_Seg&amp;"|"&amp;anSM_YM,anSM_MoM,""),IF(ISBLANK(_xlpm.r),"",_xlpm.r)))</f>
        <v/>
      </c>
      <c r="AE25" s="122" t="str" cm="1">
        <f t="array" ref="AE25">IF($AB25="","",_xlfn.LET(_xlpm.r,_xlfn.XLOOKUP($AB$3&amp;"|"&amp;$AB25,anSM_Seg&amp;"|"&amp;anSM_YM,anSM_Cases,""),IF(ISBLANK(_xlpm.r),"",_xlpm.r)))</f>
        <v/>
      </c>
      <c r="AF25" s="122" t="str" cm="1">
        <f t="array" ref="AF25">IF($AB25="","",_xlfn.LET(_xlpm.r,_xlfn.XLOOKUP($AB$3&amp;"|"&amp;$AB25,anSM_Seg&amp;"|"&amp;anSM_YM,anSM_Mean,""),IF(ISBLANK(_xlpm.r),"",_xlpm.r)))</f>
        <v/>
      </c>
      <c r="AG25" s="122" t="str" cm="1">
        <f t="array" ref="AG25">IF($AB25="","",_xlfn.LET(_xlpm.r,_xlfn.XLOOKUP($AB$3&amp;"|"&amp;$AB25,anSM_Seg&amp;"|"&amp;anSM_YM,anSM_P90,""),IF(ISBLANK(_xlpm.r),"",_xlpm.r)))</f>
        <v/>
      </c>
      <c r="AH25" s="122" t="str" cm="1">
        <f t="array" ref="AH25">IF($AB25="","",_xlfn.LET(_xlpm.r,_xlfn.XLOOKUP($AB$3&amp;"|"&amp;$AB25,anSM_Seg&amp;"|"&amp;anSM_YM,anSM_LagP50,""),IF(ISBLANK(_xlpm.r),"",_xlpm.r)))</f>
        <v/>
      </c>
      <c r="AI25" s="122" t="str" cm="1">
        <f t="array" ref="AI25">IF($AB25="","",_xlfn.LET(_xlpm.r,_xlfn.XLOOKUP($AB$3&amp;"|"&amp;$AB25,anSM_Seg&amp;"|"&amp;anSM_YM,anSM_SLA,""),IF(ISBLANK(_xlpm.r),"",_xlpm.r)))</f>
        <v/>
      </c>
      <c r="AJ25" s="122" t="str" cm="1">
        <f t="array" ref="AJ25">IF($AB25="","",_xlfn.LET(_xlpm.r,_xlfn.XLOOKUP($AB$3&amp;"|"&amp;$AB25,anSM_Seg&amp;"|"&amp;anSM_YM,anSM_Lines,""),IF(ISBLANK(_xlpm.r),"",_xlpm.r)))</f>
        <v/>
      </c>
      <c r="AK25" s="122" t="str" cm="1">
        <f t="array" ref="AK25">IF($AB25="","",_xlfn.LET(_xlpm.r,_xlfn.XLOOKUP($AB$3&amp;"|"&amp;$AB25,anSM_Seg&amp;"|"&amp;anSM_YM,anSM_PM,""),IF(ISBLANK(_xlpm.r),"",_xlpm.r)))</f>
        <v/>
      </c>
      <c r="AL25" s="122" t="str">
        <f t="shared" si="0"/>
        <v/>
      </c>
      <c r="AM25" s="122" t="str">
        <f t="shared" si="1"/>
        <v/>
      </c>
      <c r="AN25" s="122" t="str">
        <f t="shared" si="2"/>
        <v/>
      </c>
    </row>
    <row r="26" spans="13:40">
      <c r="M26" s="127" t="str">
        <f>_xlfn.XLOOKUP("AN_ALERTS",tblUIText[Key],tblUIText[TR],"AN_ALERTS")&amp;" / "&amp;_xlfn.XLOOKUP("AN_ALERTS",tblUIText[Key],tblUIText[EN],"")</f>
        <v>Açık uyarılar / Open alerts</v>
      </c>
      <c r="AB26" s="122" t="str" cm="1">
        <f t="array" ref="AB26">IFERROR(INDEX(_xlfn.ANCHORARRAY($AV$8),$AB$6-24+ROW()-7),"")</f>
        <v/>
      </c>
      <c r="AC26" s="122" t="str" cm="1">
        <f t="array" ref="AC26">IF($AB26="","",_xlfn.LET(_xlpm.r,_xlfn.XLOOKUP($AB$3&amp;"|"&amp;$AB26,anSM_Seg&amp;"|"&amp;anSM_YM,anSM_Paid,""),IF(ISBLANK(_xlpm.r),"",_xlpm.r)))</f>
        <v/>
      </c>
      <c r="AD26" s="122" t="str" cm="1">
        <f t="array" ref="AD26">IF($AB26="","",_xlfn.LET(_xlpm.r,_xlfn.XLOOKUP($AB$3&amp;"|"&amp;$AB26,anSM_Seg&amp;"|"&amp;anSM_YM,anSM_MoM,""),IF(ISBLANK(_xlpm.r),"",_xlpm.r)))</f>
        <v/>
      </c>
      <c r="AE26" s="122" t="str" cm="1">
        <f t="array" ref="AE26">IF($AB26="","",_xlfn.LET(_xlpm.r,_xlfn.XLOOKUP($AB$3&amp;"|"&amp;$AB26,anSM_Seg&amp;"|"&amp;anSM_YM,anSM_Cases,""),IF(ISBLANK(_xlpm.r),"",_xlpm.r)))</f>
        <v/>
      </c>
      <c r="AF26" s="122" t="str" cm="1">
        <f t="array" ref="AF26">IF($AB26="","",_xlfn.LET(_xlpm.r,_xlfn.XLOOKUP($AB$3&amp;"|"&amp;$AB26,anSM_Seg&amp;"|"&amp;anSM_YM,anSM_Mean,""),IF(ISBLANK(_xlpm.r),"",_xlpm.r)))</f>
        <v/>
      </c>
      <c r="AG26" s="122" t="str" cm="1">
        <f t="array" ref="AG26">IF($AB26="","",_xlfn.LET(_xlpm.r,_xlfn.XLOOKUP($AB$3&amp;"|"&amp;$AB26,anSM_Seg&amp;"|"&amp;anSM_YM,anSM_P90,""),IF(ISBLANK(_xlpm.r),"",_xlpm.r)))</f>
        <v/>
      </c>
      <c r="AH26" s="122" t="str" cm="1">
        <f t="array" ref="AH26">IF($AB26="","",_xlfn.LET(_xlpm.r,_xlfn.XLOOKUP($AB$3&amp;"|"&amp;$AB26,anSM_Seg&amp;"|"&amp;anSM_YM,anSM_LagP50,""),IF(ISBLANK(_xlpm.r),"",_xlpm.r)))</f>
        <v/>
      </c>
      <c r="AI26" s="122" t="str" cm="1">
        <f t="array" ref="AI26">IF($AB26="","",_xlfn.LET(_xlpm.r,_xlfn.XLOOKUP($AB$3&amp;"|"&amp;$AB26,anSM_Seg&amp;"|"&amp;anSM_YM,anSM_SLA,""),IF(ISBLANK(_xlpm.r),"",_xlpm.r)))</f>
        <v/>
      </c>
      <c r="AJ26" s="122" t="str" cm="1">
        <f t="array" ref="AJ26">IF($AB26="","",_xlfn.LET(_xlpm.r,_xlfn.XLOOKUP($AB$3&amp;"|"&amp;$AB26,anSM_Seg&amp;"|"&amp;anSM_YM,anSM_Lines,""),IF(ISBLANK(_xlpm.r),"",_xlpm.r)))</f>
        <v/>
      </c>
      <c r="AK26" s="122" t="str" cm="1">
        <f t="array" ref="AK26">IF($AB26="","",_xlfn.LET(_xlpm.r,_xlfn.XLOOKUP($AB$3&amp;"|"&amp;$AB26,anSM_Seg&amp;"|"&amp;anSM_YM,anSM_PM,""),IF(ISBLANK(_xlpm.r),"",_xlpm.r)))</f>
        <v/>
      </c>
      <c r="AL26" s="122" t="str">
        <f t="shared" si="0"/>
        <v/>
      </c>
      <c r="AM26" s="122" t="str">
        <f t="shared" si="1"/>
        <v/>
      </c>
      <c r="AN26" s="122" t="str">
        <f t="shared" si="2"/>
        <v/>
      </c>
    </row>
    <row r="27" spans="13:40">
      <c r="M27" s="130" t="str" cm="1">
        <f t="array" ref="M27">_xlfn._xlws.FILTER($AS$8:$AS$13&amp;": "&amp;$AT$8:$AT$13,((LEFT($AT$8:$AT$13,5)="WATCH")+(LEFT($AT$8:$AT$13,5)="ALERT"))*(RIGHT($AT$8:$AT$13,1)&lt;&gt;"*"),_xlfn.XLOOKUP("AN_NO_ALERTS",tblUIText[Key],tblUIText[TR],"AN_NO_ALERTS")&amp;" / "&amp;_xlfn.XLOOKUP("AN_NO_ALERTS",tblUIText[Key],tblUIText[EN],""))</f>
        <v>Açık uyarı yok / No open alerts</v>
      </c>
      <c r="AB27" s="122" t="str" cm="1">
        <f t="array" ref="AB27">IFERROR(INDEX(_xlfn.ANCHORARRAY($AV$8),$AB$6-24+ROW()-7),"")</f>
        <v/>
      </c>
      <c r="AC27" s="122" t="str" cm="1">
        <f t="array" ref="AC27">IF($AB27="","",_xlfn.LET(_xlpm.r,_xlfn.XLOOKUP($AB$3&amp;"|"&amp;$AB27,anSM_Seg&amp;"|"&amp;anSM_YM,anSM_Paid,""),IF(ISBLANK(_xlpm.r),"",_xlpm.r)))</f>
        <v/>
      </c>
      <c r="AD27" s="122" t="str" cm="1">
        <f t="array" ref="AD27">IF($AB27="","",_xlfn.LET(_xlpm.r,_xlfn.XLOOKUP($AB$3&amp;"|"&amp;$AB27,anSM_Seg&amp;"|"&amp;anSM_YM,anSM_MoM,""),IF(ISBLANK(_xlpm.r),"",_xlpm.r)))</f>
        <v/>
      </c>
      <c r="AE27" s="122" t="str" cm="1">
        <f t="array" ref="AE27">IF($AB27="","",_xlfn.LET(_xlpm.r,_xlfn.XLOOKUP($AB$3&amp;"|"&amp;$AB27,anSM_Seg&amp;"|"&amp;anSM_YM,anSM_Cases,""),IF(ISBLANK(_xlpm.r),"",_xlpm.r)))</f>
        <v/>
      </c>
      <c r="AF27" s="122" t="str" cm="1">
        <f t="array" ref="AF27">IF($AB27="","",_xlfn.LET(_xlpm.r,_xlfn.XLOOKUP($AB$3&amp;"|"&amp;$AB27,anSM_Seg&amp;"|"&amp;anSM_YM,anSM_Mean,""),IF(ISBLANK(_xlpm.r),"",_xlpm.r)))</f>
        <v/>
      </c>
      <c r="AG27" s="122" t="str" cm="1">
        <f t="array" ref="AG27">IF($AB27="","",_xlfn.LET(_xlpm.r,_xlfn.XLOOKUP($AB$3&amp;"|"&amp;$AB27,anSM_Seg&amp;"|"&amp;anSM_YM,anSM_P90,""),IF(ISBLANK(_xlpm.r),"",_xlpm.r)))</f>
        <v/>
      </c>
      <c r="AH27" s="122" t="str" cm="1">
        <f t="array" ref="AH27">IF($AB27="","",_xlfn.LET(_xlpm.r,_xlfn.XLOOKUP($AB$3&amp;"|"&amp;$AB27,anSM_Seg&amp;"|"&amp;anSM_YM,anSM_LagP50,""),IF(ISBLANK(_xlpm.r),"",_xlpm.r)))</f>
        <v/>
      </c>
      <c r="AI27" s="122" t="str" cm="1">
        <f t="array" ref="AI27">IF($AB27="","",_xlfn.LET(_xlpm.r,_xlfn.XLOOKUP($AB$3&amp;"|"&amp;$AB27,anSM_Seg&amp;"|"&amp;anSM_YM,anSM_SLA,""),IF(ISBLANK(_xlpm.r),"",_xlpm.r)))</f>
        <v/>
      </c>
      <c r="AJ27" s="122" t="str" cm="1">
        <f t="array" ref="AJ27">IF($AB27="","",_xlfn.LET(_xlpm.r,_xlfn.XLOOKUP($AB$3&amp;"|"&amp;$AB27,anSM_Seg&amp;"|"&amp;anSM_YM,anSM_Lines,""),IF(ISBLANK(_xlpm.r),"",_xlpm.r)))</f>
        <v/>
      </c>
      <c r="AK27" s="122" t="str" cm="1">
        <f t="array" ref="AK27">IF($AB27="","",_xlfn.LET(_xlpm.r,_xlfn.XLOOKUP($AB$3&amp;"|"&amp;$AB27,anSM_Seg&amp;"|"&amp;anSM_YM,anSM_PM,""),IF(ISBLANK(_xlpm.r),"",_xlpm.r)))</f>
        <v/>
      </c>
      <c r="AL27" s="122" t="str">
        <f t="shared" si="0"/>
        <v/>
      </c>
      <c r="AM27" s="122" t="str">
        <f t="shared" si="1"/>
        <v/>
      </c>
      <c r="AN27" s="122" t="str">
        <f t="shared" si="2"/>
        <v/>
      </c>
    </row>
    <row r="28" spans="13:40">
      <c r="M28" s="130"/>
      <c r="AB28" s="122" t="str" cm="1">
        <f t="array" ref="AB28">IFERROR(INDEX(_xlfn.ANCHORARRAY($AV$8),$AB$6-24+ROW()-7),"")</f>
        <v/>
      </c>
      <c r="AC28" s="122" t="str" cm="1">
        <f t="array" ref="AC28">IF($AB28="","",_xlfn.LET(_xlpm.r,_xlfn.XLOOKUP($AB$3&amp;"|"&amp;$AB28,anSM_Seg&amp;"|"&amp;anSM_YM,anSM_Paid,""),IF(ISBLANK(_xlpm.r),"",_xlpm.r)))</f>
        <v/>
      </c>
      <c r="AD28" s="122" t="str" cm="1">
        <f t="array" ref="AD28">IF($AB28="","",_xlfn.LET(_xlpm.r,_xlfn.XLOOKUP($AB$3&amp;"|"&amp;$AB28,anSM_Seg&amp;"|"&amp;anSM_YM,anSM_MoM,""),IF(ISBLANK(_xlpm.r),"",_xlpm.r)))</f>
        <v/>
      </c>
      <c r="AE28" s="122" t="str" cm="1">
        <f t="array" ref="AE28">IF($AB28="","",_xlfn.LET(_xlpm.r,_xlfn.XLOOKUP($AB$3&amp;"|"&amp;$AB28,anSM_Seg&amp;"|"&amp;anSM_YM,anSM_Cases,""),IF(ISBLANK(_xlpm.r),"",_xlpm.r)))</f>
        <v/>
      </c>
      <c r="AF28" s="122" t="str" cm="1">
        <f t="array" ref="AF28">IF($AB28="","",_xlfn.LET(_xlpm.r,_xlfn.XLOOKUP($AB$3&amp;"|"&amp;$AB28,anSM_Seg&amp;"|"&amp;anSM_YM,anSM_Mean,""),IF(ISBLANK(_xlpm.r),"",_xlpm.r)))</f>
        <v/>
      </c>
      <c r="AG28" s="122" t="str" cm="1">
        <f t="array" ref="AG28">IF($AB28="","",_xlfn.LET(_xlpm.r,_xlfn.XLOOKUP($AB$3&amp;"|"&amp;$AB28,anSM_Seg&amp;"|"&amp;anSM_YM,anSM_P90,""),IF(ISBLANK(_xlpm.r),"",_xlpm.r)))</f>
        <v/>
      </c>
      <c r="AH28" s="122" t="str" cm="1">
        <f t="array" ref="AH28">IF($AB28="","",_xlfn.LET(_xlpm.r,_xlfn.XLOOKUP($AB$3&amp;"|"&amp;$AB28,anSM_Seg&amp;"|"&amp;anSM_YM,anSM_LagP50,""),IF(ISBLANK(_xlpm.r),"",_xlpm.r)))</f>
        <v/>
      </c>
      <c r="AI28" s="122" t="str" cm="1">
        <f t="array" ref="AI28">IF($AB28="","",_xlfn.LET(_xlpm.r,_xlfn.XLOOKUP($AB$3&amp;"|"&amp;$AB28,anSM_Seg&amp;"|"&amp;anSM_YM,anSM_SLA,""),IF(ISBLANK(_xlpm.r),"",_xlpm.r)))</f>
        <v/>
      </c>
      <c r="AJ28" s="122" t="str" cm="1">
        <f t="array" ref="AJ28">IF($AB28="","",_xlfn.LET(_xlpm.r,_xlfn.XLOOKUP($AB$3&amp;"|"&amp;$AB28,anSM_Seg&amp;"|"&amp;anSM_YM,anSM_Lines,""),IF(ISBLANK(_xlpm.r),"",_xlpm.r)))</f>
        <v/>
      </c>
      <c r="AK28" s="122" t="str" cm="1">
        <f t="array" ref="AK28">IF($AB28="","",_xlfn.LET(_xlpm.r,_xlfn.XLOOKUP($AB$3&amp;"|"&amp;$AB28,anSM_Seg&amp;"|"&amp;anSM_YM,anSM_PM,""),IF(ISBLANK(_xlpm.r),"",_xlpm.r)))</f>
        <v/>
      </c>
      <c r="AL28" s="122" t="str">
        <f t="shared" si="0"/>
        <v/>
      </c>
      <c r="AM28" s="122" t="str">
        <f t="shared" si="1"/>
        <v/>
      </c>
      <c r="AN28" s="122" t="str">
        <f t="shared" si="2"/>
        <v/>
      </c>
    </row>
    <row r="29" spans="13:40">
      <c r="M29" s="130"/>
      <c r="AB29" s="122" t="str" cm="1">
        <f t="array" ref="AB29">IFERROR(INDEX(_xlfn.ANCHORARRAY($AV$8),$AB$6-24+ROW()-7),"")</f>
        <v/>
      </c>
      <c r="AC29" s="122" t="str" cm="1">
        <f t="array" ref="AC29">IF($AB29="","",_xlfn.LET(_xlpm.r,_xlfn.XLOOKUP($AB$3&amp;"|"&amp;$AB29,anSM_Seg&amp;"|"&amp;anSM_YM,anSM_Paid,""),IF(ISBLANK(_xlpm.r),"",_xlpm.r)))</f>
        <v/>
      </c>
      <c r="AD29" s="122" t="str" cm="1">
        <f t="array" ref="AD29">IF($AB29="","",_xlfn.LET(_xlpm.r,_xlfn.XLOOKUP($AB$3&amp;"|"&amp;$AB29,anSM_Seg&amp;"|"&amp;anSM_YM,anSM_MoM,""),IF(ISBLANK(_xlpm.r),"",_xlpm.r)))</f>
        <v/>
      </c>
      <c r="AE29" s="122" t="str" cm="1">
        <f t="array" ref="AE29">IF($AB29="","",_xlfn.LET(_xlpm.r,_xlfn.XLOOKUP($AB$3&amp;"|"&amp;$AB29,anSM_Seg&amp;"|"&amp;anSM_YM,anSM_Cases,""),IF(ISBLANK(_xlpm.r),"",_xlpm.r)))</f>
        <v/>
      </c>
      <c r="AF29" s="122" t="str" cm="1">
        <f t="array" ref="AF29">IF($AB29="","",_xlfn.LET(_xlpm.r,_xlfn.XLOOKUP($AB$3&amp;"|"&amp;$AB29,anSM_Seg&amp;"|"&amp;anSM_YM,anSM_Mean,""),IF(ISBLANK(_xlpm.r),"",_xlpm.r)))</f>
        <v/>
      </c>
      <c r="AG29" s="122" t="str" cm="1">
        <f t="array" ref="AG29">IF($AB29="","",_xlfn.LET(_xlpm.r,_xlfn.XLOOKUP($AB$3&amp;"|"&amp;$AB29,anSM_Seg&amp;"|"&amp;anSM_YM,anSM_P90,""),IF(ISBLANK(_xlpm.r),"",_xlpm.r)))</f>
        <v/>
      </c>
      <c r="AH29" s="122" t="str" cm="1">
        <f t="array" ref="AH29">IF($AB29="","",_xlfn.LET(_xlpm.r,_xlfn.XLOOKUP($AB$3&amp;"|"&amp;$AB29,anSM_Seg&amp;"|"&amp;anSM_YM,anSM_LagP50,""),IF(ISBLANK(_xlpm.r),"",_xlpm.r)))</f>
        <v/>
      </c>
      <c r="AI29" s="122" t="str" cm="1">
        <f t="array" ref="AI29">IF($AB29="","",_xlfn.LET(_xlpm.r,_xlfn.XLOOKUP($AB$3&amp;"|"&amp;$AB29,anSM_Seg&amp;"|"&amp;anSM_YM,anSM_SLA,""),IF(ISBLANK(_xlpm.r),"",_xlpm.r)))</f>
        <v/>
      </c>
      <c r="AJ29" s="122" t="str" cm="1">
        <f t="array" ref="AJ29">IF($AB29="","",_xlfn.LET(_xlpm.r,_xlfn.XLOOKUP($AB$3&amp;"|"&amp;$AB29,anSM_Seg&amp;"|"&amp;anSM_YM,anSM_Lines,""),IF(ISBLANK(_xlpm.r),"",_xlpm.r)))</f>
        <v/>
      </c>
      <c r="AK29" s="122" t="str" cm="1">
        <f t="array" ref="AK29">IF($AB29="","",_xlfn.LET(_xlpm.r,_xlfn.XLOOKUP($AB$3&amp;"|"&amp;$AB29,anSM_Seg&amp;"|"&amp;anSM_YM,anSM_PM,""),IF(ISBLANK(_xlpm.r),"",_xlpm.r)))</f>
        <v/>
      </c>
      <c r="AL29" s="122" t="str">
        <f t="shared" si="0"/>
        <v/>
      </c>
      <c r="AM29" s="122" t="str">
        <f t="shared" si="1"/>
        <v/>
      </c>
      <c r="AN29" s="122" t="str">
        <f t="shared" si="2"/>
        <v/>
      </c>
    </row>
    <row r="30" spans="13:40">
      <c r="M30" s="130"/>
      <c r="AB30" s="122" t="str" cm="1">
        <f t="array" ref="AB30">IFERROR(INDEX(_xlfn.ANCHORARRAY($AV$8),$AB$6-24+ROW()-7),"")</f>
        <v/>
      </c>
      <c r="AC30" s="122" t="str" cm="1">
        <f t="array" ref="AC30">IF($AB30="","",_xlfn.LET(_xlpm.r,_xlfn.XLOOKUP($AB$3&amp;"|"&amp;$AB30,anSM_Seg&amp;"|"&amp;anSM_YM,anSM_Paid,""),IF(ISBLANK(_xlpm.r),"",_xlpm.r)))</f>
        <v/>
      </c>
      <c r="AD30" s="122" t="str" cm="1">
        <f t="array" ref="AD30">IF($AB30="","",_xlfn.LET(_xlpm.r,_xlfn.XLOOKUP($AB$3&amp;"|"&amp;$AB30,anSM_Seg&amp;"|"&amp;anSM_YM,anSM_MoM,""),IF(ISBLANK(_xlpm.r),"",_xlpm.r)))</f>
        <v/>
      </c>
      <c r="AE30" s="122" t="str" cm="1">
        <f t="array" ref="AE30">IF($AB30="","",_xlfn.LET(_xlpm.r,_xlfn.XLOOKUP($AB$3&amp;"|"&amp;$AB30,anSM_Seg&amp;"|"&amp;anSM_YM,anSM_Cases,""),IF(ISBLANK(_xlpm.r),"",_xlpm.r)))</f>
        <v/>
      </c>
      <c r="AF30" s="122" t="str" cm="1">
        <f t="array" ref="AF30">IF($AB30="","",_xlfn.LET(_xlpm.r,_xlfn.XLOOKUP($AB$3&amp;"|"&amp;$AB30,anSM_Seg&amp;"|"&amp;anSM_YM,anSM_Mean,""),IF(ISBLANK(_xlpm.r),"",_xlpm.r)))</f>
        <v/>
      </c>
      <c r="AG30" s="122" t="str" cm="1">
        <f t="array" ref="AG30">IF($AB30="","",_xlfn.LET(_xlpm.r,_xlfn.XLOOKUP($AB$3&amp;"|"&amp;$AB30,anSM_Seg&amp;"|"&amp;anSM_YM,anSM_P90,""),IF(ISBLANK(_xlpm.r),"",_xlpm.r)))</f>
        <v/>
      </c>
      <c r="AH30" s="122" t="str" cm="1">
        <f t="array" ref="AH30">IF($AB30="","",_xlfn.LET(_xlpm.r,_xlfn.XLOOKUP($AB$3&amp;"|"&amp;$AB30,anSM_Seg&amp;"|"&amp;anSM_YM,anSM_LagP50,""),IF(ISBLANK(_xlpm.r),"",_xlpm.r)))</f>
        <v/>
      </c>
      <c r="AI30" s="122" t="str" cm="1">
        <f t="array" ref="AI30">IF($AB30="","",_xlfn.LET(_xlpm.r,_xlfn.XLOOKUP($AB$3&amp;"|"&amp;$AB30,anSM_Seg&amp;"|"&amp;anSM_YM,anSM_SLA,""),IF(ISBLANK(_xlpm.r),"",_xlpm.r)))</f>
        <v/>
      </c>
      <c r="AJ30" s="122" t="str" cm="1">
        <f t="array" ref="AJ30">IF($AB30="","",_xlfn.LET(_xlpm.r,_xlfn.XLOOKUP($AB$3&amp;"|"&amp;$AB30,anSM_Seg&amp;"|"&amp;anSM_YM,anSM_Lines,""),IF(ISBLANK(_xlpm.r),"",_xlpm.r)))</f>
        <v/>
      </c>
      <c r="AK30" s="122" t="str" cm="1">
        <f t="array" ref="AK30">IF($AB30="","",_xlfn.LET(_xlpm.r,_xlfn.XLOOKUP($AB$3&amp;"|"&amp;$AB30,anSM_Seg&amp;"|"&amp;anSM_YM,anSM_PM,""),IF(ISBLANK(_xlpm.r),"",_xlpm.r)))</f>
        <v/>
      </c>
      <c r="AL30" s="122" t="str">
        <f t="shared" si="0"/>
        <v/>
      </c>
      <c r="AM30" s="122" t="str">
        <f t="shared" si="1"/>
        <v/>
      </c>
      <c r="AN30" s="122" t="str">
        <f t="shared" si="2"/>
        <v/>
      </c>
    </row>
    <row r="31" spans="13:40">
      <c r="M31" s="130"/>
      <c r="AB31" s="122" t="str" cm="1">
        <f t="array" ref="AB31">IFERROR(INDEX(_xlfn.ANCHORARRAY($AV$8),$AB$6-24+ROW()-7),"")</f>
        <v/>
      </c>
      <c r="AC31" s="122" t="str" cm="1">
        <f t="array" ref="AC31">IF($AB31="","",_xlfn.LET(_xlpm.r,_xlfn.XLOOKUP($AB$3&amp;"|"&amp;$AB31,anSM_Seg&amp;"|"&amp;anSM_YM,anSM_Paid,""),IF(ISBLANK(_xlpm.r),"",_xlpm.r)))</f>
        <v/>
      </c>
      <c r="AD31" s="122" t="str" cm="1">
        <f t="array" ref="AD31">IF($AB31="","",_xlfn.LET(_xlpm.r,_xlfn.XLOOKUP($AB$3&amp;"|"&amp;$AB31,anSM_Seg&amp;"|"&amp;anSM_YM,anSM_MoM,""),IF(ISBLANK(_xlpm.r),"",_xlpm.r)))</f>
        <v/>
      </c>
      <c r="AE31" s="122" t="str" cm="1">
        <f t="array" ref="AE31">IF($AB31="","",_xlfn.LET(_xlpm.r,_xlfn.XLOOKUP($AB$3&amp;"|"&amp;$AB31,anSM_Seg&amp;"|"&amp;anSM_YM,anSM_Cases,""),IF(ISBLANK(_xlpm.r),"",_xlpm.r)))</f>
        <v/>
      </c>
      <c r="AF31" s="122" t="str" cm="1">
        <f t="array" ref="AF31">IF($AB31="","",_xlfn.LET(_xlpm.r,_xlfn.XLOOKUP($AB$3&amp;"|"&amp;$AB31,anSM_Seg&amp;"|"&amp;anSM_YM,anSM_Mean,""),IF(ISBLANK(_xlpm.r),"",_xlpm.r)))</f>
        <v/>
      </c>
      <c r="AG31" s="122" t="str" cm="1">
        <f t="array" ref="AG31">IF($AB31="","",_xlfn.LET(_xlpm.r,_xlfn.XLOOKUP($AB$3&amp;"|"&amp;$AB31,anSM_Seg&amp;"|"&amp;anSM_YM,anSM_P90,""),IF(ISBLANK(_xlpm.r),"",_xlpm.r)))</f>
        <v/>
      </c>
      <c r="AH31" s="122" t="str" cm="1">
        <f t="array" ref="AH31">IF($AB31="","",_xlfn.LET(_xlpm.r,_xlfn.XLOOKUP($AB$3&amp;"|"&amp;$AB31,anSM_Seg&amp;"|"&amp;anSM_YM,anSM_LagP50,""),IF(ISBLANK(_xlpm.r),"",_xlpm.r)))</f>
        <v/>
      </c>
      <c r="AI31" s="122" t="str" cm="1">
        <f t="array" ref="AI31">IF($AB31="","",_xlfn.LET(_xlpm.r,_xlfn.XLOOKUP($AB$3&amp;"|"&amp;$AB31,anSM_Seg&amp;"|"&amp;anSM_YM,anSM_SLA,""),IF(ISBLANK(_xlpm.r),"",_xlpm.r)))</f>
        <v/>
      </c>
      <c r="AJ31" s="122" t="str" cm="1">
        <f t="array" ref="AJ31">IF($AB31="","",_xlfn.LET(_xlpm.r,_xlfn.XLOOKUP($AB$3&amp;"|"&amp;$AB31,anSM_Seg&amp;"|"&amp;anSM_YM,anSM_Lines,""),IF(ISBLANK(_xlpm.r),"",_xlpm.r)))</f>
        <v/>
      </c>
      <c r="AK31" s="122" t="str" cm="1">
        <f t="array" ref="AK31">IF($AB31="","",_xlfn.LET(_xlpm.r,_xlfn.XLOOKUP($AB$3&amp;"|"&amp;$AB31,anSM_Seg&amp;"|"&amp;anSM_YM,anSM_PM,""),IF(ISBLANK(_xlpm.r),"",_xlpm.r)))</f>
        <v/>
      </c>
      <c r="AL31" s="122" t="str">
        <f t="shared" si="0"/>
        <v/>
      </c>
      <c r="AM31" s="122" t="str">
        <f t="shared" si="1"/>
        <v/>
      </c>
      <c r="AN31" s="122" t="str">
        <f t="shared" si="2"/>
        <v/>
      </c>
    </row>
    <row r="32" spans="13:40">
      <c r="M32" s="130"/>
    </row>
    <row r="35" spans="2:19" ht="20.100000000000001" customHeight="1">
      <c r="B35" s="266" t="str">
        <f>_xlfn.XLOOKUP("AN_STATUS_LEGEND",tblUIText[Key],tblUIText[TR],"AN_STATUS_LEGEND")&amp;" / "&amp;_xlfn.XLOOKUP("AN_STATUS_LEGEND",tblUIText[Key],tblUIText[EN],"")</f>
        <v>Durum: OK; WATCH = uyarı eşiği aşıldı (kalıcılık kuralıyla); ALERT = alarm eşiği aşıldı; INSUFFICIENT DATA = yetersiz veri; (draft) = taslak istatistiksel eşik, sayılır; * = geçici sabit eşik (gri), uyarı sayılmaz ve sıralanmaz. Eşikler Threshold_Register'da (DRAFT). / Status: OK; WATCH = watch level breached (with the persistence rule); ALERT = alert level breached; INSUFFICIENT DATA = too little data; (draft) = draft statistical level, counted; * = placeholder fixed level (grey), never counted or ranked. Levels in Threshold_Register (DRAFT).</v>
      </c>
      <c r="C35" s="266"/>
      <c r="D35" s="266"/>
      <c r="E35" s="266"/>
      <c r="F35" s="266"/>
      <c r="G35" s="266"/>
      <c r="H35" s="266"/>
      <c r="I35" s="266"/>
      <c r="J35" s="266"/>
      <c r="K35" s="266"/>
      <c r="L35" s="266"/>
      <c r="M35" s="266"/>
      <c r="N35" s="266"/>
      <c r="O35" s="266"/>
      <c r="P35" s="266"/>
      <c r="Q35" s="266"/>
      <c r="R35" s="266"/>
      <c r="S35" s="266"/>
    </row>
    <row r="36" spans="2:19" ht="20.100000000000001" customHeight="1">
      <c r="B36" s="266"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C36" s="266"/>
      <c r="D36" s="266"/>
      <c r="E36" s="266"/>
      <c r="F36" s="266"/>
      <c r="G36" s="266"/>
      <c r="H36" s="266"/>
      <c r="I36" s="266"/>
      <c r="J36" s="266"/>
      <c r="K36" s="266"/>
      <c r="L36" s="266"/>
      <c r="M36" s="266"/>
      <c r="N36" s="266"/>
      <c r="O36" s="266"/>
      <c r="P36" s="266"/>
      <c r="Q36" s="266"/>
      <c r="R36" s="266"/>
      <c r="S36" s="266"/>
    </row>
    <row r="37" spans="2:19" ht="20.100000000000001" customHeight="1">
      <c r="B37" s="266" t="str">
        <f>_xlfn.XLOOKUP("AN_SLA_PLACEHOLDER",tblUIText[Key],tblUIText[TR],"AN_SLA_PLACEHOLDER")&amp;" / "&amp;_xlfn.XLOOKUP("AN_SLA_PLACEHOLDER",tblUIText[Key],tblUIText[EN],"")</f>
        <v>SLA süreleri geçici değerlerdir; operasyon tarafından teyit edilecek / SLA days are placeholders, to be confirmed by operations</v>
      </c>
      <c r="C37" s="266"/>
      <c r="D37" s="266"/>
      <c r="E37" s="266"/>
      <c r="F37" s="266"/>
      <c r="G37" s="266"/>
      <c r="H37" s="266"/>
      <c r="I37" s="266"/>
      <c r="J37" s="266"/>
      <c r="K37" s="266"/>
      <c r="L37" s="266"/>
      <c r="M37" s="266"/>
      <c r="N37" s="266"/>
      <c r="O37" s="266"/>
      <c r="P37" s="266"/>
      <c r="Q37" s="266"/>
      <c r="R37" s="266"/>
      <c r="S37" s="266"/>
    </row>
  </sheetData>
  <sheetProtection algorithmName="SHA-512" hashValue="qMp0UEeH5DLbg0I8QgAVC/V+khvi14wv1SVDb6tGzEag/aR4f/mi59rslzUZXGeL74zhwC3IanuMU4L4VBpXzQ==" saltValue="BkgnCb3fA4ON37AT/upZNA==" spinCount="100000" sheet="1" scenarios="1" formatColumns="0" sort="0" autoFilter="0"/>
  <mergeCells count="42">
    <mergeCell ref="M16:S16"/>
    <mergeCell ref="B35:S35"/>
    <mergeCell ref="B36:S36"/>
    <mergeCell ref="B37:S37"/>
    <mergeCell ref="Q9:S9"/>
    <mergeCell ref="Q10:S10"/>
    <mergeCell ref="Q11:S11"/>
    <mergeCell ref="Q12:S12"/>
    <mergeCell ref="Q13:S13"/>
    <mergeCell ref="Q14:S14"/>
    <mergeCell ref="N9:P9"/>
    <mergeCell ref="N10:P10"/>
    <mergeCell ref="N11:P11"/>
    <mergeCell ref="N12:P12"/>
    <mergeCell ref="N13:P13"/>
    <mergeCell ref="N14:P14"/>
    <mergeCell ref="H13:J13"/>
    <mergeCell ref="H14:J14"/>
    <mergeCell ref="K9:M9"/>
    <mergeCell ref="K10:M10"/>
    <mergeCell ref="K11:M11"/>
    <mergeCell ref="K12:M12"/>
    <mergeCell ref="K13:M13"/>
    <mergeCell ref="K14:M14"/>
    <mergeCell ref="H9:J9"/>
    <mergeCell ref="H10:J10"/>
    <mergeCell ref="H11:J11"/>
    <mergeCell ref="H12:J12"/>
    <mergeCell ref="B14:D14"/>
    <mergeCell ref="E9:G9"/>
    <mergeCell ref="E10:G10"/>
    <mergeCell ref="E11:G11"/>
    <mergeCell ref="E12:G12"/>
    <mergeCell ref="E13:G13"/>
    <mergeCell ref="E14:G14"/>
    <mergeCell ref="B13:D13"/>
    <mergeCell ref="B12:D12"/>
    <mergeCell ref="B4:S4"/>
    <mergeCell ref="B6:S6"/>
    <mergeCell ref="B9:D9"/>
    <mergeCell ref="B10:D10"/>
    <mergeCell ref="B11:D11"/>
  </mergeCells>
  <conditionalFormatting sqref="B6">
    <cfRule type="expression" dxfId="550" priority="7" stopIfTrue="1">
      <formula>ISNUMBER(SEARCH("INSUFFICIENT",$B$6))</formula>
    </cfRule>
  </conditionalFormatting>
  <conditionalFormatting sqref="B13:D13">
    <cfRule type="expression" dxfId="549" priority="6" stopIfTrue="1">
      <formula>RIGHT(B13,1)="*"</formula>
    </cfRule>
    <cfRule type="expression" dxfId="548" priority="8" stopIfTrue="1">
      <formula>LEFT(B13,5)="ALERT"</formula>
    </cfRule>
    <cfRule type="expression" dxfId="547" priority="9" stopIfTrue="1">
      <formula>LEFT(B13,5)="WATCH"</formula>
    </cfRule>
    <cfRule type="expression" dxfId="546" priority="10" stopIfTrue="1">
      <formula>LEFT(B13,2)="OK"</formula>
    </cfRule>
    <cfRule type="expression" dxfId="545" priority="11" stopIfTrue="1">
      <formula>LEFT(B13,12)="INSUFFICIENT"</formula>
    </cfRule>
  </conditionalFormatting>
  <conditionalFormatting sqref="E13:G13">
    <cfRule type="expression" dxfId="544" priority="5" stopIfTrue="1">
      <formula>RIGHT(E13,1)="*"</formula>
    </cfRule>
    <cfRule type="expression" dxfId="543" priority="12" stopIfTrue="1">
      <formula>LEFT(E13,5)="ALERT"</formula>
    </cfRule>
    <cfRule type="expression" dxfId="542" priority="13" stopIfTrue="1">
      <formula>LEFT(E13,5)="WATCH"</formula>
    </cfRule>
    <cfRule type="expression" dxfId="541" priority="14" stopIfTrue="1">
      <formula>LEFT(E13,2)="OK"</formula>
    </cfRule>
    <cfRule type="expression" dxfId="540" priority="15" stopIfTrue="1">
      <formula>LEFT(E13,12)="INSUFFICIENT"</formula>
    </cfRule>
  </conditionalFormatting>
  <conditionalFormatting sqref="H13:J13">
    <cfRule type="expression" dxfId="539" priority="4" stopIfTrue="1">
      <formula>RIGHT(H13,1)="*"</formula>
    </cfRule>
    <cfRule type="expression" dxfId="538" priority="16" stopIfTrue="1">
      <formula>LEFT(H13,5)="ALERT"</formula>
    </cfRule>
    <cfRule type="expression" dxfId="537" priority="17" stopIfTrue="1">
      <formula>LEFT(H13,5)="WATCH"</formula>
    </cfRule>
    <cfRule type="expression" dxfId="536" priority="18" stopIfTrue="1">
      <formula>LEFT(H13,2)="OK"</formula>
    </cfRule>
    <cfRule type="expression" dxfId="535" priority="19" stopIfTrue="1">
      <formula>LEFT(H13,12)="INSUFFICIENT"</formula>
    </cfRule>
  </conditionalFormatting>
  <conditionalFormatting sqref="K13:M13">
    <cfRule type="expression" dxfId="534" priority="3" stopIfTrue="1">
      <formula>RIGHT(K13,1)="*"</formula>
    </cfRule>
    <cfRule type="expression" dxfId="533" priority="20" stopIfTrue="1">
      <formula>LEFT(K13,5)="ALERT"</formula>
    </cfRule>
    <cfRule type="expression" dxfId="532" priority="21" stopIfTrue="1">
      <formula>LEFT(K13,5)="WATCH"</formula>
    </cfRule>
    <cfRule type="expression" dxfId="531" priority="22" stopIfTrue="1">
      <formula>LEFT(K13,2)="OK"</formula>
    </cfRule>
    <cfRule type="expression" dxfId="530" priority="23" stopIfTrue="1">
      <formula>LEFT(K13,12)="INSUFFICIENT"</formula>
    </cfRule>
  </conditionalFormatting>
  <conditionalFormatting sqref="N13:P13">
    <cfRule type="expression" dxfId="529" priority="2" stopIfTrue="1">
      <formula>RIGHT(N13,1)="*"</formula>
    </cfRule>
    <cfRule type="expression" dxfId="528" priority="24" stopIfTrue="1">
      <formula>LEFT(N13,5)="ALERT"</formula>
    </cfRule>
    <cfRule type="expression" dxfId="527" priority="25" stopIfTrue="1">
      <formula>LEFT(N13,5)="WATCH"</formula>
    </cfRule>
    <cfRule type="expression" dxfId="526" priority="26" stopIfTrue="1">
      <formula>LEFT(N13,2)="OK"</formula>
    </cfRule>
    <cfRule type="expression" dxfId="525" priority="27" stopIfTrue="1">
      <formula>LEFT(N13,12)="INSUFFICIENT"</formula>
    </cfRule>
  </conditionalFormatting>
  <conditionalFormatting sqref="Q13:S13">
    <cfRule type="expression" dxfId="524" priority="1" stopIfTrue="1">
      <formula>RIGHT(Q13,1)="*"</formula>
    </cfRule>
    <cfRule type="expression" dxfId="523" priority="28" stopIfTrue="1">
      <formula>LEFT(Q13,5)="ALERT"</formula>
    </cfRule>
    <cfRule type="expression" dxfId="522" priority="29" stopIfTrue="1">
      <formula>LEFT(Q13,5)="WATCH"</formula>
    </cfRule>
    <cfRule type="expression" dxfId="521" priority="30" stopIfTrue="1">
      <formula>LEFT(Q13,2)="OK"</formula>
    </cfRule>
    <cfRule type="expression" dxfId="520" priority="31" stopIfTrue="1">
      <formula>LEFT(Q13,12)="INSUFFICIENT"</formula>
    </cfRule>
  </conditionalFormatting>
  <conditionalFormatting sqref="M27:M32">
    <cfRule type="expression" dxfId="519" priority="32" stopIfTrue="1">
      <formula>ISNUMBER(SEARCH("ALERT",$M27))</formula>
    </cfRule>
    <cfRule type="expression" dxfId="518" priority="33" stopIfTrue="1">
      <formula>ISNUMBER(SEARCH("WATCH",$M27))</formula>
    </cfRule>
  </conditionalFormatting>
  <dataValidations count="1">
    <dataValidation type="list" allowBlank="1" showInputMessage="1" showErrorMessage="1" sqref="J5" xr:uid="{75E2A879-8B26-4B47-969C-EF8D09F45366}">
      <formula1>anMonthList</formula1>
    </dataValidation>
  </dataValidations>
  <printOptions horizontalCentered="1"/>
  <pageMargins left="0.25" right="0.25" top="0.25" bottom="0.25" header="0.3" footer="0.3"/>
  <pageSetup paperSize="9" scale="83" orientation="landscape" r:id="rId1"/>
  <drawing r:id="rId2"/>
  <extLst>
    <ext xmlns:x14="http://schemas.microsoft.com/office/spreadsheetml/2009/9/main" uri="{05C60535-1F16-4fd2-B633-F4F36F0B64E0}">
      <x14:sparklineGroups xmlns:xm="http://schemas.microsoft.com/office/excel/2006/main">
        <x14:sparklineGroup displayEmptyCellsAs="gap" last="1" displayHidden="1" xr2:uid="{FEAEAA86-6B1D-4DFB-8A2C-C4E9F4906FD3}">
          <x14:colorSeries rgb="FFE69F00"/>
          <x14:colorNegative rgb="FFD00000"/>
          <x14:colorAxis rgb="FF000000"/>
          <x14:colorMarkers rgb="FFD00000"/>
          <x14:colorFirst rgb="FFD00000"/>
          <x14:colorLast rgb="FF9C0006"/>
          <x14:colorHigh rgb="FFD00000"/>
          <x14:colorLow rgb="FFD00000"/>
          <x14:sparklines>
            <x14:sparkline>
              <xm:f>AN_Exec_NonLife!AC20:AC31</xm:f>
              <xm:sqref>B12</xm:sqref>
            </x14:sparkline>
          </x14:sparklines>
        </x14:sparklineGroup>
        <x14:sparklineGroup displayEmptyCellsAs="gap" last="1" displayHidden="1" xr2:uid="{4186A3E9-CE3F-41DF-B83D-8B513B805008}">
          <x14:colorSeries rgb="FFE69F00"/>
          <x14:colorNegative rgb="FFD00000"/>
          <x14:colorAxis rgb="FF000000"/>
          <x14:colorMarkers rgb="FFD00000"/>
          <x14:colorFirst rgb="FFD00000"/>
          <x14:colorLast rgb="FF9C0006"/>
          <x14:colorHigh rgb="FFD00000"/>
          <x14:colorLow rgb="FFD00000"/>
          <x14:sparklines>
            <x14:sparkline>
              <xm:f>AN_Exec_NonLife!AE20:AE31</xm:f>
              <xm:sqref>E12</xm:sqref>
            </x14:sparkline>
          </x14:sparklines>
        </x14:sparklineGroup>
        <x14:sparklineGroup displayEmptyCellsAs="gap" last="1" displayHidden="1" xr2:uid="{ABBD6DC3-1208-445E-9869-972069C587AE}">
          <x14:colorSeries rgb="FFE69F00"/>
          <x14:colorNegative rgb="FFD00000"/>
          <x14:colorAxis rgb="FF000000"/>
          <x14:colorMarkers rgb="FFD00000"/>
          <x14:colorFirst rgb="FFD00000"/>
          <x14:colorLast rgb="FF9C0006"/>
          <x14:colorHigh rgb="FFD00000"/>
          <x14:colorLow rgb="FFD00000"/>
          <x14:sparklines>
            <x14:sparkline>
              <xm:f>AN_Exec_NonLife!AF20:AF31</xm:f>
              <xm:sqref>H12</xm:sqref>
            </x14:sparkline>
          </x14:sparklines>
        </x14:sparklineGroup>
        <x14:sparklineGroup displayEmptyCellsAs="gap" last="1" displayHidden="1" xr2:uid="{7DA40AD0-8FE3-459D-923F-435A83AC360A}">
          <x14:colorSeries rgb="FFE69F00"/>
          <x14:colorNegative rgb="FFD00000"/>
          <x14:colorAxis rgb="FF000000"/>
          <x14:colorMarkers rgb="FFD00000"/>
          <x14:colorFirst rgb="FFD00000"/>
          <x14:colorLast rgb="FF9C0006"/>
          <x14:colorHigh rgb="FFD00000"/>
          <x14:colorLow rgb="FFD00000"/>
          <x14:sparklines>
            <x14:sparkline>
              <xm:f>AN_Exec_NonLife!AG20:AG31</xm:f>
              <xm:sqref>K12</xm:sqref>
            </x14:sparkline>
          </x14:sparklines>
        </x14:sparklineGroup>
        <x14:sparklineGroup displayEmptyCellsAs="gap" last="1" displayHidden="1" xr2:uid="{980E0053-A840-4642-B66A-6B092CA4D904}">
          <x14:colorSeries rgb="FFE69F00"/>
          <x14:colorNegative rgb="FFD00000"/>
          <x14:colorAxis rgb="FF000000"/>
          <x14:colorMarkers rgb="FFD00000"/>
          <x14:colorFirst rgb="FFD00000"/>
          <x14:colorLast rgb="FF9C0006"/>
          <x14:colorHigh rgb="FFD00000"/>
          <x14:colorLow rgb="FFD00000"/>
          <x14:sparklines>
            <x14:sparkline>
              <xm:f>AN_Exec_NonLife!AH20:AH31</xm:f>
              <xm:sqref>N12</xm:sqref>
            </x14:sparkline>
          </x14:sparklines>
        </x14:sparklineGroup>
        <x14:sparklineGroup displayEmptyCellsAs="gap" last="1" displayHidden="1" xr2:uid="{85661489-5E90-4851-A483-008388C3C458}">
          <x14:colorSeries rgb="FFE69F00"/>
          <x14:colorNegative rgb="FFD00000"/>
          <x14:colorAxis rgb="FF000000"/>
          <x14:colorMarkers rgb="FFD00000"/>
          <x14:colorFirst rgb="FFD00000"/>
          <x14:colorLast rgb="FF9C0006"/>
          <x14:colorHigh rgb="FFD00000"/>
          <x14:colorLow rgb="FFD00000"/>
          <x14:sparklines>
            <x14:sparkline>
              <xm:f>AN_Exec_NonLife!AI20:AI31</xm:f>
              <xm:sqref>Q12</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07DBD-B9F2-4F47-B6FF-A55318D53FAD}">
  <sheetPr codeName="Sheet79">
    <pageSetUpPr fitToPage="1"/>
  </sheetPr>
  <dimension ref="B1:CO53"/>
  <sheetViews>
    <sheetView showGridLines="0" workbookViewId="0"/>
  </sheetViews>
  <sheetFormatPr defaultRowHeight="12"/>
  <cols>
    <col min="1" max="1" width="2.28515625" style="122" customWidth="1"/>
    <col min="2" max="19" width="9.28515625" style="122" customWidth="1"/>
    <col min="20" max="27" width="9.140625" style="122"/>
    <col min="28" max="93" width="0" style="122" hidden="1" customWidth="1"/>
    <col min="94" max="16384" width="9.140625" style="122"/>
  </cols>
  <sheetData>
    <row r="1" spans="2:93" ht="18">
      <c r="B1" s="123" t="str" cm="1">
        <f t="array" ref="B1">_xlfn.LET(_xlpm.pv,IFERROR(INDEX($AC$8:$AC$43,$AB$6)/1000000,""),_xlpm.yv,IFERROR(INDEX($AE$8:$AE$43,$AB$6),""),_xlpm.rv,IFERROR(INDEX($AI$8:$AI$43,$AB$6)/1000000,""),_xlfn.XLOOKUP("AN_SEG_"&amp;$AB$3,tblUIText[Key],tblUIText[TR],$AB$3)&amp;": "&amp;$AB$5&amp;" "&amp;_xlfn.XLOOKUP("AN_W_PAID",tblUIText[Key],tblUIText[TR],"AN_W_PAID")&amp;" "&amp;IF(ISNUMBER(_xlpm.pv),anNum(_xlpm.pv,1),"-")&amp;" "&amp;_xlfn.XLOOKUP("AN_W_UNITM",tblUIText[Key],tblUIText[TR],"AN_W_UNITM")&amp;IF(ISNUMBER(_xlpm.yv),"; "&amp;_xlfn.XLOOKUP("AN_W_VSPY",tblUIText[Key],tblUIText[TR],"AN_W_VSPY")&amp;" "&amp;anPctS(_xlpm.yv,1),"")&amp;IF(ISNUMBER(_xlpm.rv),"; "&amp;_xlfn.XLOOKUP("AN_W_R12",tblUIText[Key],tblUIText[TR],"AN_W_R12")&amp;" "&amp;anNum(_xlpm.rv,1)&amp;" "&amp;_xlfn.XLOOKUP("AN_W_UNITM",tblUIText[Key],tblUIText[TR],"AN_W_UNITM"),""))</f>
        <v>Hayat:  ödemeleri - mn TL</v>
      </c>
    </row>
    <row r="2" spans="2:93" ht="15">
      <c r="B2" s="124" t="str" cm="1">
        <f t="array" ref="B2">_xlfn.LET(_xlpm.pv,IFERROR(INDEX($AC$8:$AC$43,$AB$6)/1000000,""),_xlpm.yv,IFERROR(INDEX($AE$8:$AE$43,$AB$6),""),_xlpm.rv,IFERROR(INDEX($AI$8:$AI$43,$AB$6)/1000000,""),_xlfn.XLOOKUP("AN_SEG_"&amp;$AB$3,tblUIText[Key],tblUIText[EN],$AB$3)&amp;": "&amp;_xlfn.XLOOKUP("AN_W_PAID",tblUIText[Key],tblUIText[EN],"AN_W_PAID")&amp;" "&amp;IF(ISNUMBER(_xlpm.pv),anNum(_xlpm.pv,1),"-")&amp;" "&amp;_xlfn.XLOOKUP("AN_W_UNITM",tblUIText[Key],tblUIText[EN],"AN_W_UNITM")&amp;" in "&amp;$AB$5&amp;IF(ISNUMBER(_xlpm.yv),", "&amp;anPctS(_xlpm.yv,1)&amp;" "&amp;_xlfn.XLOOKUP("AN_W_VSPY",tblUIText[Key],tblUIText[EN],"AN_W_VSPY"),"")&amp;IF(ISNUMBER(_xlpm.rv),"; "&amp;_xlfn.XLOOKUP("AN_W_R12",tblUIText[Key],tblUIText[EN],"AN_W_R12")&amp;" "&amp;anNum(_xlpm.rv,1)&amp;" "&amp;_xlfn.XLOOKUP("AN_W_UNITM",tblUIText[Key],tblUIText[EN],"AN_W_UNITM"),""))</f>
        <v xml:space="preserve">Life: paid - TRY m in </v>
      </c>
      <c r="AB2" s="122" t="s">
        <v>19090</v>
      </c>
    </row>
    <row r="3" spans="2:93">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7" t="str">
        <f>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tr">
        <f>$C$5</f>
        <v>Life</v>
      </c>
      <c r="BK3" s="122" t="b">
        <f ca="1">_xlfn.LET(_xlpm.n,$AB$4,_xlpm.mn,_xlfn.XLOOKUP("MinMonthsForSeasonalIndex",AnParam[Param],AnParam[Value]),_xlpm.ok,AND(_xlpm.n&gt;=_xlpm.mn,COUNT($BJ$8:$BJ$19)=12),_xlpm.ok)</f>
        <v>0</v>
      </c>
      <c r="BL3" s="122" t="b">
        <f>AND(COUNT($AC$8:$AC$43)&gt;=24,$AB$4&gt;=24)</f>
        <v>0</v>
      </c>
    </row>
    <row r="4" spans="2:93" ht="33.950000000000003" customHeight="1">
      <c r="B4" s="244" t="str">
        <f>_xlfn.XLOOKUP("AN_TREND_PURPOSE",tblUIText[Key],tblUIText[TR],"AN_TREND_PURPOSE")&amp;" / "&amp;_xlfn.XLOOKUP("AN_TREND_PURPOSE",tblUIText[Key],tblUIText[EN],"")&amp;CHAR(10)&amp;_xlfn.XLOOKUP("AN_HOWTO_TREND",tblUIText[Key],tblUIText[TR],"AN_HOWTO_TREND")&amp;" / "&amp;_xlfn.XLOOKUP("AN_HOWTO_TREND",tblUIText[Key],tblUIText[EN],"")</f>
        <v>Ödemeler mevsimsel olarak ve geçen yıla göre nasıl gelişiyor? / How do payments evolve, seasonally and versus last year?
Nasıl okunur: üst sol grafik aylık ödenen, geçen yıl, 12 aylık ortalama ve tahmin; köprüler değişimi ödeme türlerine ayırır; tablo seçilen aya kadar 12 ay. / How to read: top left shows monthly paid, last year, the 12-month average and the forecast; the bridges split the change by payment nature; the table gives the 12 months up to the selected month.</v>
      </c>
      <c r="C4" s="244"/>
      <c r="D4" s="244"/>
      <c r="E4" s="244"/>
      <c r="F4" s="244"/>
      <c r="G4" s="244"/>
      <c r="H4" s="244"/>
      <c r="I4" s="244"/>
      <c r="J4" s="244"/>
      <c r="K4" s="244"/>
      <c r="L4" s="244"/>
      <c r="M4" s="244"/>
      <c r="N4" s="244"/>
      <c r="O4" s="244"/>
      <c r="P4" s="244"/>
      <c r="Q4" s="244"/>
      <c r="R4" s="244"/>
      <c r="S4" s="244"/>
      <c r="AB4" s="122">
        <f>COUNTIF($AB$8:$AB$43,"?*")</f>
        <v>0</v>
      </c>
      <c r="BL4" s="122">
        <f>_xlfn.XLOOKUP("ForecastHorizonMonths",AnParam[Param],AnParam[Value])</f>
        <v>3</v>
      </c>
    </row>
    <row r="5" spans="2:93">
      <c r="B5" s="128" t="s">
        <v>19100</v>
      </c>
      <c r="C5" s="275" t="s">
        <v>113</v>
      </c>
      <c r="D5" s="275"/>
      <c r="E5" s="126" t="str">
        <f>_xlfn.XLOOKUP("AN_SEG_"&amp;$AB$3,tblUIText[Key],tblUIText[TR],$AB$3)&amp;" / "&amp;_xlfn.XLOOKUP("AN_SEG_"&amp;$AB$3,tblUIText[Key],tblUIText[EN],$AB$3)</f>
        <v>Hayat / Life</v>
      </c>
      <c r="I5" s="129" t="str">
        <f>_xlfn.XLOOKUP("AN_LBL_MONTH",tblUIText[Key],tblUIText[TR],"AN_LBL_MONTH")&amp;" / "&amp;_xlfn.XLOOKUP("AN_LBL_MONTH",tblUIText[Key],tblUIText[EN],"")&amp;":"</f>
        <v>Ay / Month:</v>
      </c>
      <c r="J5" s="144" t="s">
        <v>19101</v>
      </c>
      <c r="M5" s="130" t="str">
        <f>_xlfn.XLOOKUP("AN_LBL_REFRESH",tblUIText[Key],tblUIText[TR],"AN_LBL_REFRESH")&amp;" / "&amp;_xlfn.XLOOKUP("AN_LBL_REFRESH",tblUIText[Key],tblUIText[EN],"")&amp;": "&amp;IFERROR(TEXT(cpLastLoggedRefresh,"yyyy-mm-dd hh:mm"),cpLastLoggedRefresh&amp;"")</f>
        <v>Son yenileme / Last refresh: none</v>
      </c>
      <c r="AB5" s="122" t="str" cm="1">
        <f t="array" ref="AB5">IF($J$5=_xlfn.XLOOKUP("AN_LBL_LATEST",tblUIText[Key],tblUIText[TR],"AN_LBL_LATEST")&amp;" / "&amp;_xlfn.XLOOKUP("AN_LBL_LATEST",tblUIText[Key],tblUIText[EN],""),_xlfn.TAKE(_xlfn.ANCHORARRAY($AZ$8),-1),$J$5)</f>
        <v/>
      </c>
      <c r="BL5" s="122">
        <f>_xlfn.XLOOKUP("ForecastConfidence",AnParam[Param],AnParam[Value])</f>
        <v>0.95</v>
      </c>
    </row>
    <row r="6" spans="2:93">
      <c r="B6" s="245" t="str">
        <f ca="1">_xlfn.XLOOKUP("AN_LBL_READINESS",tblUIText[Key],tblUIText[TR],"AN_LBL_READINESS")&amp;" / "&amp;_xlfn.XLOOKUP("AN_LBL_READINESS",tblUIText[Key],tblUIText[EN],"")&amp;": "&amp;_xlfn.LET(_xlpm.n,$AB$4,_xlpm.si,_xlfn.XLOOKUP("MinMonthsForSeasonalIndex",AnParam[Param],AnParam[Value]),IF(_xlpm.n&lt;12,"INSUFFICIENT DATA","OK")&amp;": "&amp;_xlpm.n&amp;" "&amp;_xlfn.XLOOKUP("AN_READY_MONTHS",tblUIText[Key],tblUIText[TR],"AN_READY_MONTHS")&amp;" / "&amp;_xlfn.XLOOKUP("AN_READY_MONTHS",tblUIText[Key],tblUIText[EN],"")&amp;"; "&amp;_xlfn.XLOOKUP("AN_TR_SI",tblUIText[Key],tblUIText[TR],"AN_TR_SI")&amp;" / "&amp;_xlfn.XLOOKUP("AN_TR_SI",tblUIText[Key],tblUIText[EN],"")&amp;": "&amp;IF($BK$3,"OK","INSUFFICIENT DATA ("&amp;_xlpm.si&amp;")")&amp;"; "&amp;_xlfn.XLOOKUP("AN_TR_FORECAST",tblUIText[Key],tblUIText[TR],"AN_TR_FORECAST")&amp;" / "&amp;_xlfn.XLOOKUP("AN_TR_FORECAST",tblUIText[Key],tblUIText[EN],"")&amp;": "&amp;IF($BL$3,"OK","INSUFFICIENT DATA (24)"))</f>
        <v>Veri durumu / Data readiness: INSUFFICIENT DATA: 0 ay veri / months of data; Mevsim endeksi / Seasonal index: INSUFFICIENT DATA (36); Tahmin / Forecast: INSUFFICIENT DATA (24)</v>
      </c>
      <c r="C6" s="246"/>
      <c r="D6" s="246"/>
      <c r="E6" s="246"/>
      <c r="F6" s="246"/>
      <c r="G6" s="246"/>
      <c r="H6" s="246"/>
      <c r="I6" s="246"/>
      <c r="J6" s="246"/>
      <c r="K6" s="246"/>
      <c r="L6" s="246"/>
      <c r="M6" s="246"/>
      <c r="N6" s="246"/>
      <c r="O6" s="246"/>
      <c r="P6" s="246"/>
      <c r="Q6" s="246"/>
      <c r="R6" s="246"/>
      <c r="S6" s="246"/>
      <c r="AB6" s="122">
        <f>IFERROR(MATCH($AB$5,_xlfn.ANCHORARRAY($AZ$8),0),$AB$4)</f>
        <v>1</v>
      </c>
      <c r="BB6" s="122" t="str" cm="1">
        <f t="array" ref="BB6">IF($AB$6&gt;1,INDEX(_xlfn.ANCHORARRAY($AZ$8),$AB$6-1),"")</f>
        <v/>
      </c>
      <c r="BE6" s="122" t="str">
        <f>_xlfn.LET(_xlpm.t,TEXT(EDATE(DATE(LEFT($AB$5,4),RIGHT($AB$5,2),1),-12),"yyyy-mm"),IF(ISNUMBER(MATCH(_xlpm.t,_xlfn.ANCHORARRAY($AZ$8),0)),_xlpm.t,""))</f>
        <v/>
      </c>
      <c r="BR6" s="122" t="str">
        <f>_xlfn.LET(_xlpm.n,COUNT($AC$8:$AC$43),IF(AND($BL$3,_xlpm.n&lt;_xlfn.XLOOKUP("ForecastConfidentMonths",AnParam[Param],AnParam[Value])),SUBSTITUTE(_xlfn.XLOOKUP("AN_TR_LOWCONF",tblUIText[Key],tblUIText[TR],"AN_TR_LOWCONF"),"{0}",_xlpm.n)&amp;" / "&amp;SUBSTITUTE(_xlfn.XLOOKUP("AN_TR_LOWCONF",tblUIText[Key],tblUIText[EN],"AN_TR_LOWCONF"),"{0}",_xlpm.n),""))</f>
        <v/>
      </c>
    </row>
    <row r="7" spans="2:93"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B7" s="122" t="s">
        <v>19091</v>
      </c>
      <c r="AC7" s="122" t="s">
        <v>16979</v>
      </c>
      <c r="AD7" s="122" t="s">
        <v>19653</v>
      </c>
      <c r="AE7" s="122" t="s">
        <v>19654</v>
      </c>
      <c r="AF7" s="122" t="s">
        <v>19092</v>
      </c>
      <c r="AG7" s="122" t="s">
        <v>18880</v>
      </c>
      <c r="AH7" s="122" t="s">
        <v>19655</v>
      </c>
      <c r="AI7" s="122" t="s">
        <v>19656</v>
      </c>
      <c r="AJ7" s="122" t="s">
        <v>184</v>
      </c>
      <c r="AK7" s="122" t="s">
        <v>17025</v>
      </c>
      <c r="AL7" s="122" t="s">
        <v>19657</v>
      </c>
      <c r="AM7" s="122" t="s">
        <v>19658</v>
      </c>
      <c r="AN7" s="122" t="s">
        <v>17012</v>
      </c>
      <c r="AO7" s="122" t="s">
        <v>19659</v>
      </c>
      <c r="AP7" s="122" t="s">
        <v>19660</v>
      </c>
      <c r="AQ7" s="122" t="s">
        <v>99</v>
      </c>
      <c r="BB7" s="122" t="s">
        <v>19666</v>
      </c>
      <c r="BE7" s="122" t="s">
        <v>19667</v>
      </c>
      <c r="BH7" s="122" t="s">
        <v>19661</v>
      </c>
      <c r="BI7" s="122" t="s">
        <v>19662</v>
      </c>
      <c r="BJ7" s="122" t="s">
        <v>19663</v>
      </c>
      <c r="BK7" s="122" t="s">
        <v>19659</v>
      </c>
      <c r="BL7" s="122" t="s">
        <v>19664</v>
      </c>
      <c r="BM7" s="122" t="s">
        <v>19665</v>
      </c>
      <c r="BN7" s="122" t="s">
        <v>19098</v>
      </c>
      <c r="BO7" s="122" t="s">
        <v>19099</v>
      </c>
      <c r="BT7" s="122" t="s">
        <v>19668</v>
      </c>
      <c r="BU7" s="122" t="s">
        <v>19669</v>
      </c>
      <c r="BV7" s="122" t="s">
        <v>19670</v>
      </c>
      <c r="BW7" s="122" t="s">
        <v>19671</v>
      </c>
      <c r="CA7" s="122" t="s">
        <v>19668</v>
      </c>
      <c r="CB7" s="122" t="s">
        <v>19669</v>
      </c>
      <c r="CC7" s="122" t="s">
        <v>19670</v>
      </c>
      <c r="CD7" s="122" t="s">
        <v>19671</v>
      </c>
      <c r="CG7" s="122" t="s">
        <v>20131</v>
      </c>
      <c r="CH7" s="122" t="s">
        <v>20132</v>
      </c>
      <c r="CI7" s="122" t="s">
        <v>20133</v>
      </c>
      <c r="CJ7" s="122" t="s">
        <v>20134</v>
      </c>
      <c r="CK7" s="122" t="s">
        <v>20135</v>
      </c>
      <c r="CL7" s="122" t="s">
        <v>20136</v>
      </c>
      <c r="CM7" s="122" t="s">
        <v>20137</v>
      </c>
      <c r="CN7" s="122" t="s">
        <v>20138</v>
      </c>
      <c r="CO7" s="122" t="s">
        <v>20139</v>
      </c>
    </row>
    <row r="8" spans="2:93">
      <c r="AB8" s="122" t="str" cm="1">
        <f t="array" ref="AB8">IF(ROW()-7&gt;ROWS(_xlfn.ANCHORARRAY($AZ$8)),"",INDEX(_xlfn.ANCHORARRAY($AZ$8),ROW()-7)&amp;"")</f>
        <v/>
      </c>
      <c r="AC8" s="122" t="str" cm="1">
        <f t="array" ref="AC8">IF($AB8="","",_xlfn.LET(_xlpm.r,_xlfn.XLOOKUP($AB$3&amp;"|"&amp;$AB8,anSM_Seg&amp;"|"&amp;anSM_YM,anSM_Paid,""),IF(ISBLANK(_xlpm.r),"",_xlpm.r)))</f>
        <v/>
      </c>
      <c r="AD8" s="122" t="str" cm="1">
        <f t="array" ref="AD8">IF($AB8="","",_xlfn.LET(_xlpm.r,_xlfn.XLOOKUP($AB$3&amp;"|"&amp;$AB8,anSM_Seg&amp;"|"&amp;anSM_YM,anSM_PY,""),IF(ISBLANK(_xlpm.r),"",_xlpm.r)))</f>
        <v/>
      </c>
      <c r="AE8" s="122" t="str" cm="1">
        <f t="array" ref="AE8">IF($AB8="","",_xlfn.LET(_xlpm.r,_xlfn.XLOOKUP($AB$3&amp;"|"&amp;$AB8,anSM_Seg&amp;"|"&amp;anSM_YM,anSM_YoY,""),IF(ISBLANK(_xlpm.r),"",_xlpm.r)))</f>
        <v/>
      </c>
      <c r="AF8" s="122" t="str" cm="1">
        <f t="array" ref="AF8">IF($AB8="","",_xlfn.LET(_xlpm.r,_xlfn.XLOOKUP($AB$3&amp;"|"&amp;$AB8,anSM_Seg&amp;"|"&amp;anSM_YM,anSM_MoM,""),IF(ISBLANK(_xlpm.r),"",_xlpm.r)))</f>
        <v/>
      </c>
      <c r="AG8" s="122" t="str" cm="1">
        <f t="array" ref="AG8">IF($AB8="","",_xlfn.LET(_xlpm.r,_xlfn.XLOOKUP($AB$3&amp;"|"&amp;$AB8,anSM_Seg&amp;"|"&amp;anSM_YM,anSM_YTD,""),IF(ISBLANK(_xlpm.r),"",_xlpm.r)))</f>
        <v/>
      </c>
      <c r="AH8" s="122" t="str" cm="1">
        <f t="array" ref="AH8">IF($AB8="","",_xlfn.LET(_xlpm.r,_xlfn.XLOOKUP($AB$3&amp;"|"&amp;$AB8,anSM_Seg&amp;"|"&amp;anSM_YM,anSM_R3,""),IF(ISBLANK(_xlpm.r),"",_xlpm.r)))</f>
        <v/>
      </c>
      <c r="AI8" s="122" t="str" cm="1">
        <f t="array" ref="AI8">IF($AB8="","",_xlfn.LET(_xlpm.r,_xlfn.XLOOKUP($AB$3&amp;"|"&amp;$AB8,anSM_Seg&amp;"|"&amp;anSM_YM,anSM_R12,""),IF(ISBLANK(_xlpm.r),"",_xlpm.r)))</f>
        <v/>
      </c>
      <c r="AJ8" s="122" t="str" cm="1">
        <f t="array" ref="AJ8">IF($AB8="","",_xlfn.LET(_xlpm.r,_xlfn.XLOOKUP($AB$3&amp;"|"&amp;$AB8,anSM_Seg&amp;"|"&amp;anSM_YM,anSM_Lines,""),IF(ISBLANK(_xlpm.r),"",_xlpm.r)))</f>
        <v/>
      </c>
      <c r="AK8" s="122" t="str" cm="1">
        <f t="array" ref="AK8">IF($AB8="","",_xlfn.LET(_xlpm.r,_xlfn.XLOOKUP($AB$3&amp;"|"&amp;$AB8,anSM_Seg&amp;"|"&amp;anSM_YM,anSM_Cases,""),IF(ISBLANK(_xlpm.r),"",_xlpm.r)))</f>
        <v/>
      </c>
      <c r="AL8" s="122" t="str">
        <f t="shared" ref="AL8:AL43" si="0">IF(ISNUMBER($AI8),$AI8/12,"")</f>
        <v/>
      </c>
      <c r="AM8" s="122" t="str">
        <f t="shared" ref="AM8:AM43" ca="1" si="1">IF(OR(ROW()-7&lt;7,ROW()-7&gt;$AB$4-6),"",_xlfn.LET(_xlpm.w,OFFSET($AC8,-6,0,13,1),IF(COUNT(_xlpm.w)&lt;13,"",(SUM(_xlpm.w)-0.5*INDEX(_xlpm.w,1)-0.5*INDEX(_xlpm.w,13))/12)))</f>
        <v/>
      </c>
      <c r="AN8" s="122" t="str">
        <f t="shared" ref="AN8:AN43" ca="1" si="2">IF(AND(ISNUMBER($AC8),ISNUMBER($AM8)),$AC8/$AM8,"")</f>
        <v/>
      </c>
      <c r="AO8" s="122" t="str" cm="1">
        <f t="array" aca="1" ref="AO8" ca="1">IF(AND($BK$3,$AB8&lt;&gt;""),INDEX($BK$8:$BK$19,--RIGHT($AB8,2)),"")</f>
        <v/>
      </c>
      <c r="AP8" s="122" t="str">
        <f t="shared" ref="AP8:AP43" ca="1" si="3">IF(AND(ISNUMBER($AO8),ISNUMBER($AC8)),$AC8/$AO8,"")</f>
        <v/>
      </c>
      <c r="AQ8" s="122" t="str">
        <f t="shared" ref="AQ8:AQ43" si="4">IF($AB8="","",DATE(LEFT($AB8,4),RIGHT($AB8,2),1))</f>
        <v/>
      </c>
      <c r="AZ8" s="122" t="str" cm="1">
        <f t="array" ref="AZ8">IFERROR(_xlfn._xlws.SORT(_xlfn.UNIQUE(_xlfn._xlws.FILTER(anSM_YM,(anSM_Seg=$AB$3)*(anSM_Lines&lt;&gt;"")*(anSM_YM&lt;&gt;"")))),"")</f>
        <v/>
      </c>
      <c r="BB8" s="122" t="str">
        <f>IF($BB$6="","",_xlfn.XLOOKUP("AN_TR_PREV_TOTAL",tblUIText[Key],tblUIText[TR],"AN_TR_PREV_TOTAL")&amp;" / "&amp;_xlfn.XLOOKUP("AN_TR_PREV_TOTAL",tblUIText[Key],tblUIText[EN],""))</f>
        <v/>
      </c>
      <c r="BC8" s="122">
        <f>IF($BB$6="",0,SUMIFS(anNAT_Paid,anNAT_Seg,$AB$3,anNAT_YM,$BB$6)/1000000)</f>
        <v>0</v>
      </c>
      <c r="BE8" s="122" t="str">
        <f>IF($BE$6="","",_xlfn.XLOOKUP("AN_TR_PY_TOTAL",tblUIText[Key],tblUIText[TR],"AN_TR_PY_TOTAL")&amp;" / "&amp;_xlfn.XLOOKUP("AN_TR_PY_TOTAL",tblUIText[Key],tblUIText[EN],""))</f>
        <v/>
      </c>
      <c r="BF8" s="122">
        <f>IF($BE$6="",0,SUMIFS(anNAT_Paid,anNAT_Seg,$AB$3,anNAT_YM,$BE$6)/1000000)</f>
        <v>0</v>
      </c>
      <c r="BH8" s="122">
        <f t="shared" ref="BH8:BH19" si="5">ROW()-7</f>
        <v>1</v>
      </c>
      <c r="BI8" s="122" cm="1">
        <f t="array" aca="1" ref="BI8" ca="1">SUMPRODUCT(--ISNUMBER($AN$8:$AN$43),--(IFERROR(--RIGHT($AB$8:$AB$43,2),0)=$BH8))</f>
        <v>0</v>
      </c>
      <c r="BJ8" s="122" t="str">
        <f t="shared" ref="BJ8:BJ19" ca="1" si="6">IF($BI8&lt;2,"",AVERAGEIFS($AN$8:$AN$43,$AQ$8:$AQ$43,"&gt;0",$AB$8:$AB$43,"*-"&amp;TEXT($BH8,"00")))</f>
        <v/>
      </c>
      <c r="BK8" s="122" t="str">
        <f t="shared" ref="BK8:BK19" ca="1" si="7">IF($BK$3,$BJ8/AVERAGE($BJ$8:$BJ$19),"")</f>
        <v/>
      </c>
      <c r="BL8" s="122" t="str" cm="1">
        <f t="array" ref="BL8">IF($AB$4=0,"",INDEX($AQ$8:$AQ$43,$AB$4))</f>
        <v/>
      </c>
      <c r="BM8" s="122" t="str" cm="1">
        <f t="array" ref="BM8">IF($AB$4=0,"",INDEX($AC$8:$AC$43,$AB$4))</f>
        <v/>
      </c>
      <c r="BN8" s="122" t="str" cm="1">
        <f t="array" ref="BN8">IF($AB$4=0,"",INDEX($AC$8:$AC$43,$AB$4))</f>
        <v/>
      </c>
      <c r="BO8" s="122" t="str" cm="1">
        <f t="array" ref="BO8">IF($AB$4=0,"",INDEX($AC$8:$AC$43,$AB$4))</f>
        <v/>
      </c>
      <c r="BR8" s="122" t="str">
        <f>_xlfn.XLOOKUP("AN_TR_MONTHLY",tblUIText[Key],tblUIText[TR],"AN_TR_MONTHLY")&amp;" / "&amp;_xlfn.XLOOKUP("AN_TR_MONTHLY",tblUIText[Key],tblUIText[EN],"")&amp;IF($BL$3,IF($BR$6&lt;&gt;""," - "&amp;$BR$6,""),CHAR(10)&amp;_xlfn.XLOOKUP("AN_TR_FC_GATE",tblUIText[Key],tblUIText[TR],"AN_TR_FC_GATE")&amp;" / "&amp;_xlfn.XLOOKUP("AN_TR_FC_GATE",tblUIText[Key],tblUIText[EN],""))</f>
        <v>Aylık ödenen, geçen yıl, 12 aylık ortalama ve tahmin (mn TL) / Monthly paid, last year, 12-month average and forecast (TRY m)
Tahmin için en az 24 aylık nokta gerekir: INSUFFICIENT DATA / The forecast needs at least 24 monthly points: INSUFFICIENT DATA</v>
      </c>
      <c r="BS8" s="122" t="str">
        <f t="shared" ref="BS8:BS15" si="8">IF(BB8=""," ",BB8)</f>
        <v xml:space="preserve"> </v>
      </c>
      <c r="BT8" s="122">
        <v>0</v>
      </c>
      <c r="BU8" s="122">
        <v>0</v>
      </c>
      <c r="BV8" s="122">
        <v>0</v>
      </c>
      <c r="BW8" s="122">
        <f>BC8</f>
        <v>0</v>
      </c>
      <c r="BZ8" s="122" t="str">
        <f t="shared" ref="BZ8:BZ15" si="9">IF(BE8=""," ",BE8)</f>
        <v xml:space="preserve"> </v>
      </c>
      <c r="CA8" s="122">
        <v>0</v>
      </c>
      <c r="CB8" s="122">
        <v>0</v>
      </c>
      <c r="CC8" s="122">
        <v>0</v>
      </c>
      <c r="CD8" s="122">
        <f>BF8</f>
        <v>0</v>
      </c>
      <c r="CG8" s="122" t="str" cm="1">
        <f t="array" ref="CG8">_xlfn.LET(_xlpm.k,ROW()-7,IF(_xlpm.k&lt;=$AB$4,$AB8,IF(_xlpm.k&lt;=$AB$4+IF($BL$3,$BL$4,0),TEXT(INDEX($BL$9:$BL$14,_xlpm.k-$AB$4),"yyyy-mm"),"")))</f>
        <v/>
      </c>
      <c r="CH8" s="122" t="e" cm="1">
        <f t="array" ref="CH8">_xlfn.LET(_xlpm.k,ROW()-7,IF(_xlpm.k&gt;$AB$4,NA(),_xlfn.LET(_xlpm.v,INDEX($AC$8:$AC$43,_xlpm.k),IF(ISNUMBER(_xlpm.v),_xlpm.v/1000000,NA()))))</f>
        <v>#N/A</v>
      </c>
      <c r="CI8" s="122" t="e" cm="1">
        <f t="array" ref="CI8">_xlfn.LET(_xlpm.k,ROW()-7,IF(_xlpm.k&gt;$AB$4,NA(),_xlfn.LET(_xlpm.v,INDEX($AD$8:$AD$43,_xlpm.k),IF(ISNUMBER(_xlpm.v),_xlpm.v/1000000,NA()))))</f>
        <v>#N/A</v>
      </c>
      <c r="CJ8" s="122" t="e" cm="1">
        <f t="array" ref="CJ8">_xlfn.LET(_xlpm.k,ROW()-7,IF(_xlpm.k&gt;$AB$4,NA(),_xlfn.LET(_xlpm.v,INDEX($AL$8:$AL$43,_xlpm.k),IF(ISNUMBER(_xlpm.v),_xlpm.v/1000000,NA()))))</f>
        <v>#N/A</v>
      </c>
      <c r="CK8" s="122" t="e" cm="1">
        <f t="array" ref="CK8">_xlfn.LET(_xlpm.k,ROW()-7,IF(OR(NOT($BL$3),_xlpm.k&lt;$AB$4,_xlpm.k&gt;$AB$4+IF($BL$3,$BL$4,0)),NA(),INDEX($BM$8:$BM$14,_xlpm.k-$AB$4+1)/1000000))</f>
        <v>#N/A</v>
      </c>
      <c r="CL8" s="122" t="e" cm="1">
        <f t="array" ref="CL8">_xlfn.LET(_xlpm.k,ROW()-7,IF(OR(NOT($BL$3),_xlpm.k&lt;$AB$4,_xlpm.k&gt;$AB$4+IF($BL$3,$BL$4,0)),NA(),INDEX($BN$8:$BN$14,_xlpm.k-$AB$4+1)/1000000))</f>
        <v>#N/A</v>
      </c>
      <c r="CM8" s="122" t="e" cm="1">
        <f t="array" ref="CM8">_xlfn.LET(_xlpm.k,ROW()-7,IF(OR(NOT($BL$3),_xlpm.k&lt;$AB$4,_xlpm.k&gt;$AB$4+IF($BL$3,$BL$4,0)),NA(),INDEX($BO$8:$BO$14,_xlpm.k-$AB$4+1)/1000000))</f>
        <v>#N/A</v>
      </c>
      <c r="CN8" s="122" t="e" cm="1">
        <f t="array" ref="CN8">_xlfn.LET(_xlpm.k,ROW()-7,IF(_xlpm.k&gt;$AB$4,NA(),_xlfn.LET(_xlpm.v,INDEX($AI$8:$AI$43,_xlpm.k),IF(ISNUMBER(_xlpm.v),_xlpm.v/1000000,NA()))))</f>
        <v>#N/A</v>
      </c>
      <c r="CO8" s="122" t="e" cm="1">
        <f t="array" ref="CO8">_xlfn.LET(_xlpm.k,ROW()-7,IF(OR(_xlpm.k&gt;$AB$4,_xlpm.k&lt;=12),NA(),_xlfn.LET(_xlpm.a,INDEX($AI$8:$AI$43,_xlpm.k),_xlpm.b,INDEX($AI$8:$AI$43,_xlpm.k-12),IF(AND(ISNUMBER(_xlpm.a),ISNUMBER(_xlpm.b),N(_xlpm.b)&gt;0),_xlpm.a/_xlpm.b-1,NA()))))</f>
        <v>#N/A</v>
      </c>
    </row>
    <row r="9" spans="2:93">
      <c r="AB9" s="122" t="str" cm="1">
        <f t="array" ref="AB9">IF(ROW()-7&gt;ROWS(_xlfn.ANCHORARRAY($AZ$8)),"",INDEX(_xlfn.ANCHORARRAY($AZ$8),ROW()-7)&amp;"")</f>
        <v/>
      </c>
      <c r="AC9" s="122" t="str" cm="1">
        <f t="array" ref="AC9">IF($AB9="","",_xlfn.LET(_xlpm.r,_xlfn.XLOOKUP($AB$3&amp;"|"&amp;$AB9,anSM_Seg&amp;"|"&amp;anSM_YM,anSM_Paid,""),IF(ISBLANK(_xlpm.r),"",_xlpm.r)))</f>
        <v/>
      </c>
      <c r="AD9" s="122" t="str" cm="1">
        <f t="array" ref="AD9">IF($AB9="","",_xlfn.LET(_xlpm.r,_xlfn.XLOOKUP($AB$3&amp;"|"&amp;$AB9,anSM_Seg&amp;"|"&amp;anSM_YM,anSM_PY,""),IF(ISBLANK(_xlpm.r),"",_xlpm.r)))</f>
        <v/>
      </c>
      <c r="AE9" s="122" t="str" cm="1">
        <f t="array" ref="AE9">IF($AB9="","",_xlfn.LET(_xlpm.r,_xlfn.XLOOKUP($AB$3&amp;"|"&amp;$AB9,anSM_Seg&amp;"|"&amp;anSM_YM,anSM_YoY,""),IF(ISBLANK(_xlpm.r),"",_xlpm.r)))</f>
        <v/>
      </c>
      <c r="AF9" s="122" t="str" cm="1">
        <f t="array" ref="AF9">IF($AB9="","",_xlfn.LET(_xlpm.r,_xlfn.XLOOKUP($AB$3&amp;"|"&amp;$AB9,anSM_Seg&amp;"|"&amp;anSM_YM,anSM_MoM,""),IF(ISBLANK(_xlpm.r),"",_xlpm.r)))</f>
        <v/>
      </c>
      <c r="AG9" s="122" t="str" cm="1">
        <f t="array" ref="AG9">IF($AB9="","",_xlfn.LET(_xlpm.r,_xlfn.XLOOKUP($AB$3&amp;"|"&amp;$AB9,anSM_Seg&amp;"|"&amp;anSM_YM,anSM_YTD,""),IF(ISBLANK(_xlpm.r),"",_xlpm.r)))</f>
        <v/>
      </c>
      <c r="AH9" s="122" t="str" cm="1">
        <f t="array" ref="AH9">IF($AB9="","",_xlfn.LET(_xlpm.r,_xlfn.XLOOKUP($AB$3&amp;"|"&amp;$AB9,anSM_Seg&amp;"|"&amp;anSM_YM,anSM_R3,""),IF(ISBLANK(_xlpm.r),"",_xlpm.r)))</f>
        <v/>
      </c>
      <c r="AI9" s="122" t="str" cm="1">
        <f t="array" ref="AI9">IF($AB9="","",_xlfn.LET(_xlpm.r,_xlfn.XLOOKUP($AB$3&amp;"|"&amp;$AB9,anSM_Seg&amp;"|"&amp;anSM_YM,anSM_R12,""),IF(ISBLANK(_xlpm.r),"",_xlpm.r)))</f>
        <v/>
      </c>
      <c r="AJ9" s="122" t="str" cm="1">
        <f t="array" ref="AJ9">IF($AB9="","",_xlfn.LET(_xlpm.r,_xlfn.XLOOKUP($AB$3&amp;"|"&amp;$AB9,anSM_Seg&amp;"|"&amp;anSM_YM,anSM_Lines,""),IF(ISBLANK(_xlpm.r),"",_xlpm.r)))</f>
        <v/>
      </c>
      <c r="AK9" s="122" t="str" cm="1">
        <f t="array" ref="AK9">IF($AB9="","",_xlfn.LET(_xlpm.r,_xlfn.XLOOKUP($AB$3&amp;"|"&amp;$AB9,anSM_Seg&amp;"|"&amp;anSM_YM,anSM_Cases,""),IF(ISBLANK(_xlpm.r),"",_xlpm.r)))</f>
        <v/>
      </c>
      <c r="AL9" s="122" t="str">
        <f t="shared" si="0"/>
        <v/>
      </c>
      <c r="AM9" s="122" t="str">
        <f t="shared" ca="1" si="1"/>
        <v/>
      </c>
      <c r="AN9" s="122" t="str">
        <f t="shared" ca="1" si="2"/>
        <v/>
      </c>
      <c r="AO9" s="122" t="str" cm="1">
        <f t="array" aca="1" ref="AO9" ca="1">IF(AND($BK$3,$AB9&lt;&gt;""),INDEX($BK$8:$BK$19,--RIGHT($AB9,2)),"")</f>
        <v/>
      </c>
      <c r="AP9" s="122" t="str">
        <f t="shared" ca="1" si="3"/>
        <v/>
      </c>
      <c r="AQ9" s="122" t="str">
        <f t="shared" si="4"/>
        <v/>
      </c>
      <c r="BB9" s="122" t="str" cm="1">
        <f t="array" ref="BB9">IF($BB$6="","",IFERROR(_xlfn.LET(_xlpm.s,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1,1),IFERROR(_xlfn.XLOOKUP(_xlpm.n,DimPaymentNature[PaymentNature],DimPaymentNature[NatureTR])&amp;" / "&amp;_xlfn.XLOOKUP(_xlpm.n,DimPaymentNature[PaymentNature],DimPaymentNature[NatureEN]),_xlpm.n)),""))</f>
        <v/>
      </c>
      <c r="BC9" s="122" cm="1">
        <f t="array" ref="BC9">IF($BB$6="",0,IFERROR(INDEX(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1,2),0))</f>
        <v>0</v>
      </c>
      <c r="BE9" s="122" t="str" cm="1">
        <f t="array" ref="BE9">IF($BE$6="","",IFERROR(_xlfn.LET(_xlpm.s,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1,1),IFERROR(_xlfn.XLOOKUP(_xlpm.n,DimPaymentNature[PaymentNature],DimPaymentNature[NatureTR])&amp;" / "&amp;_xlfn.XLOOKUP(_xlpm.n,DimPaymentNature[PaymentNature],DimPaymentNature[NatureEN]),_xlpm.n)),""))</f>
        <v/>
      </c>
      <c r="BF9" s="122" cm="1">
        <f t="array" ref="BF9">IF($BE$6="",0,IFERROR(INDEX(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1,2),0))</f>
        <v>0</v>
      </c>
      <c r="BH9" s="122">
        <f t="shared" si="5"/>
        <v>2</v>
      </c>
      <c r="BI9" s="122" cm="1">
        <f t="array" aca="1" ref="BI9" ca="1">SUMPRODUCT(--ISNUMBER($AN$8:$AN$43),--(IFERROR(--RIGHT($AB$8:$AB$43,2),0)=$BH9))</f>
        <v>0</v>
      </c>
      <c r="BJ9" s="122" t="str">
        <f t="shared" ca="1" si="6"/>
        <v/>
      </c>
      <c r="BK9" s="122" t="str">
        <f t="shared" ca="1" si="7"/>
        <v/>
      </c>
      <c r="BL9" s="122" t="str">
        <f t="shared" ref="BL9:BL14" si="10">IF(OR(NOT($BL$3),ROW()-8&gt;$BL$4),"",EDATE($BL$8,ROW()-8))</f>
        <v/>
      </c>
      <c r="BM9" s="122" t="str" cm="1">
        <f t="array" ref="BM9">IF($BL9="","",_xlfn.FORECAST.ETS($AB$4+ROW()-8,_xlfn._xlws.FILTER($AC$8:$AC$43,ISNUMBER($AC$8:$AC$43)),_xlfn.SEQUENCE(COUNT($AC$8:$AC$43)),1,1))</f>
        <v/>
      </c>
      <c r="BN9" s="122" t="str">
        <f t="shared" ref="BN9:BN14" si="11">IF($BL9="","",MAX(0,$BM9-$BP9))</f>
        <v/>
      </c>
      <c r="BO9" s="122" t="str">
        <f t="shared" ref="BO9:BO14" si="12">IF($BL9="","",$BM9+$BP9)</f>
        <v/>
      </c>
      <c r="BP9" s="122" t="str" cm="1">
        <f t="array" ref="BP9">IF($BL9="","",_xlfn.FORECAST.ETS.CONFINT($AB$4+ROW()-8,_xlfn._xlws.FILTER($AC$8:$AC$43,ISNUMBER($AC$8:$AC$43)),_xlfn.SEQUENCE(COUNT($AC$8:$AC$43)),$BL$5,1,1))</f>
        <v/>
      </c>
      <c r="BR9" s="122" t="str">
        <f>_xlfn.XLOOKUP("AN_TR_R12CHART",tblUIText[Key],tblUIText[TR],"AN_TR_R12CHART")&amp;" / "&amp;_xlfn.XLOOKUP("AN_TR_R12CHART",tblUIText[Key],tblUIText[EN],"")</f>
        <v>Son 12 ay toplamı (mn TL) / Rolling 12-month total (TRY m)</v>
      </c>
      <c r="BS9" s="122" t="str">
        <f t="shared" si="8"/>
        <v xml:space="preserve"> </v>
      </c>
      <c r="BT9" s="122">
        <f>_xlfn.LET(_xlpm.lp,SUM($BC$8:BC8),MIN(_xlpm.lp,_xlpm.lp+BC9))</f>
        <v>0</v>
      </c>
      <c r="BU9" s="122">
        <f t="shared" ref="BU9:BU14" si="13">MAX(BC9,0)</f>
        <v>0</v>
      </c>
      <c r="BV9" s="122">
        <f t="shared" ref="BV9:BV14" si="14">MAX(-BC9,0)</f>
        <v>0</v>
      </c>
      <c r="BW9" s="122">
        <v>0</v>
      </c>
      <c r="BZ9" s="122" t="str">
        <f t="shared" si="9"/>
        <v xml:space="preserve"> </v>
      </c>
      <c r="CA9" s="122">
        <f>_xlfn.LET(_xlpm.lp,SUM($BF$8:BF8),MIN(_xlpm.lp,_xlpm.lp+BF9))</f>
        <v>0</v>
      </c>
      <c r="CB9" s="122">
        <f t="shared" ref="CB9:CB14" si="15">MAX(BF9,0)</f>
        <v>0</v>
      </c>
      <c r="CC9" s="122">
        <f t="shared" ref="CC9:CC14" si="16">MAX(-BF9,0)</f>
        <v>0</v>
      </c>
      <c r="CD9" s="122">
        <v>0</v>
      </c>
      <c r="CG9" s="122" t="str" cm="1">
        <f t="array" ref="CG9">_xlfn.LET(_xlpm.k,ROW()-7,IF(_xlpm.k&lt;=$AB$4,$AB9,IF(_xlpm.k&lt;=$AB$4+IF($BL$3,$BL$4,0),TEXT(INDEX($BL$9:$BL$14,_xlpm.k-$AB$4),"yyyy-mm"),"")))</f>
        <v/>
      </c>
      <c r="CH9" s="122" t="e" cm="1">
        <f t="array" ref="CH9">_xlfn.LET(_xlpm.k,ROW()-7,IF(_xlpm.k&gt;$AB$4,NA(),_xlfn.LET(_xlpm.v,INDEX($AC$8:$AC$43,_xlpm.k),IF(ISNUMBER(_xlpm.v),_xlpm.v/1000000,NA()))))</f>
        <v>#N/A</v>
      </c>
      <c r="CI9" s="122" t="e" cm="1">
        <f t="array" ref="CI9">_xlfn.LET(_xlpm.k,ROW()-7,IF(_xlpm.k&gt;$AB$4,NA(),_xlfn.LET(_xlpm.v,INDEX($AD$8:$AD$43,_xlpm.k),IF(ISNUMBER(_xlpm.v),_xlpm.v/1000000,NA()))))</f>
        <v>#N/A</v>
      </c>
      <c r="CJ9" s="122" t="e" cm="1">
        <f t="array" ref="CJ9">_xlfn.LET(_xlpm.k,ROW()-7,IF(_xlpm.k&gt;$AB$4,NA(),_xlfn.LET(_xlpm.v,INDEX($AL$8:$AL$43,_xlpm.k),IF(ISNUMBER(_xlpm.v),_xlpm.v/1000000,NA()))))</f>
        <v>#N/A</v>
      </c>
      <c r="CK9" s="122" t="e" cm="1">
        <f t="array" ref="CK9">_xlfn.LET(_xlpm.k,ROW()-7,IF(OR(NOT($BL$3),_xlpm.k&lt;$AB$4,_xlpm.k&gt;$AB$4+IF($BL$3,$BL$4,0)),NA(),INDEX($BM$8:$BM$14,_xlpm.k-$AB$4+1)/1000000))</f>
        <v>#N/A</v>
      </c>
      <c r="CL9" s="122" t="e" cm="1">
        <f t="array" ref="CL9">_xlfn.LET(_xlpm.k,ROW()-7,IF(OR(NOT($BL$3),_xlpm.k&lt;$AB$4,_xlpm.k&gt;$AB$4+IF($BL$3,$BL$4,0)),NA(),INDEX($BN$8:$BN$14,_xlpm.k-$AB$4+1)/1000000))</f>
        <v>#N/A</v>
      </c>
      <c r="CM9" s="122" t="e" cm="1">
        <f t="array" ref="CM9">_xlfn.LET(_xlpm.k,ROW()-7,IF(OR(NOT($BL$3),_xlpm.k&lt;$AB$4,_xlpm.k&gt;$AB$4+IF($BL$3,$BL$4,0)),NA(),INDEX($BO$8:$BO$14,_xlpm.k-$AB$4+1)/1000000))</f>
        <v>#N/A</v>
      </c>
      <c r="CN9" s="122" t="e" cm="1">
        <f t="array" ref="CN9">_xlfn.LET(_xlpm.k,ROW()-7,IF(_xlpm.k&gt;$AB$4,NA(),_xlfn.LET(_xlpm.v,INDEX($AI$8:$AI$43,_xlpm.k),IF(ISNUMBER(_xlpm.v),_xlpm.v/1000000,NA()))))</f>
        <v>#N/A</v>
      </c>
      <c r="CO9" s="122" t="e" cm="1">
        <f t="array" ref="CO9">_xlfn.LET(_xlpm.k,ROW()-7,IF(OR(_xlpm.k&gt;$AB$4,_xlpm.k&lt;=12),NA(),_xlfn.LET(_xlpm.a,INDEX($AI$8:$AI$43,_xlpm.k),_xlpm.b,INDEX($AI$8:$AI$43,_xlpm.k-12),IF(AND(ISNUMBER(_xlpm.a),ISNUMBER(_xlpm.b),N(_xlpm.b)&gt;0),_xlpm.a/_xlpm.b-1,NA()))))</f>
        <v>#N/A</v>
      </c>
    </row>
    <row r="10" spans="2:93">
      <c r="AB10" s="122" t="str" cm="1">
        <f t="array" ref="AB10">IF(ROW()-7&gt;ROWS(_xlfn.ANCHORARRAY($AZ$8)),"",INDEX(_xlfn.ANCHORARRAY($AZ$8),ROW()-7)&amp;"")</f>
        <v/>
      </c>
      <c r="AC10" s="122" t="str" cm="1">
        <f t="array" ref="AC10">IF($AB10="","",_xlfn.LET(_xlpm.r,_xlfn.XLOOKUP($AB$3&amp;"|"&amp;$AB10,anSM_Seg&amp;"|"&amp;anSM_YM,anSM_Paid,""),IF(ISBLANK(_xlpm.r),"",_xlpm.r)))</f>
        <v/>
      </c>
      <c r="AD10" s="122" t="str" cm="1">
        <f t="array" ref="AD10">IF($AB10="","",_xlfn.LET(_xlpm.r,_xlfn.XLOOKUP($AB$3&amp;"|"&amp;$AB10,anSM_Seg&amp;"|"&amp;anSM_YM,anSM_PY,""),IF(ISBLANK(_xlpm.r),"",_xlpm.r)))</f>
        <v/>
      </c>
      <c r="AE10" s="122" t="str" cm="1">
        <f t="array" ref="AE10">IF($AB10="","",_xlfn.LET(_xlpm.r,_xlfn.XLOOKUP($AB$3&amp;"|"&amp;$AB10,anSM_Seg&amp;"|"&amp;anSM_YM,anSM_YoY,""),IF(ISBLANK(_xlpm.r),"",_xlpm.r)))</f>
        <v/>
      </c>
      <c r="AF10" s="122" t="str" cm="1">
        <f t="array" ref="AF10">IF($AB10="","",_xlfn.LET(_xlpm.r,_xlfn.XLOOKUP($AB$3&amp;"|"&amp;$AB10,anSM_Seg&amp;"|"&amp;anSM_YM,anSM_MoM,""),IF(ISBLANK(_xlpm.r),"",_xlpm.r)))</f>
        <v/>
      </c>
      <c r="AG10" s="122" t="str" cm="1">
        <f t="array" ref="AG10">IF($AB10="","",_xlfn.LET(_xlpm.r,_xlfn.XLOOKUP($AB$3&amp;"|"&amp;$AB10,anSM_Seg&amp;"|"&amp;anSM_YM,anSM_YTD,""),IF(ISBLANK(_xlpm.r),"",_xlpm.r)))</f>
        <v/>
      </c>
      <c r="AH10" s="122" t="str" cm="1">
        <f t="array" ref="AH10">IF($AB10="","",_xlfn.LET(_xlpm.r,_xlfn.XLOOKUP($AB$3&amp;"|"&amp;$AB10,anSM_Seg&amp;"|"&amp;anSM_YM,anSM_R3,""),IF(ISBLANK(_xlpm.r),"",_xlpm.r)))</f>
        <v/>
      </c>
      <c r="AI10" s="122" t="str" cm="1">
        <f t="array" ref="AI10">IF($AB10="","",_xlfn.LET(_xlpm.r,_xlfn.XLOOKUP($AB$3&amp;"|"&amp;$AB10,anSM_Seg&amp;"|"&amp;anSM_YM,anSM_R12,""),IF(ISBLANK(_xlpm.r),"",_xlpm.r)))</f>
        <v/>
      </c>
      <c r="AJ10" s="122" t="str" cm="1">
        <f t="array" ref="AJ10">IF($AB10="","",_xlfn.LET(_xlpm.r,_xlfn.XLOOKUP($AB$3&amp;"|"&amp;$AB10,anSM_Seg&amp;"|"&amp;anSM_YM,anSM_Lines,""),IF(ISBLANK(_xlpm.r),"",_xlpm.r)))</f>
        <v/>
      </c>
      <c r="AK10" s="122" t="str" cm="1">
        <f t="array" ref="AK10">IF($AB10="","",_xlfn.LET(_xlpm.r,_xlfn.XLOOKUP($AB$3&amp;"|"&amp;$AB10,anSM_Seg&amp;"|"&amp;anSM_YM,anSM_Cases,""),IF(ISBLANK(_xlpm.r),"",_xlpm.r)))</f>
        <v/>
      </c>
      <c r="AL10" s="122" t="str">
        <f t="shared" si="0"/>
        <v/>
      </c>
      <c r="AM10" s="122" t="str">
        <f t="shared" ca="1" si="1"/>
        <v/>
      </c>
      <c r="AN10" s="122" t="str">
        <f t="shared" ca="1" si="2"/>
        <v/>
      </c>
      <c r="AO10" s="122" t="str" cm="1">
        <f t="array" aca="1" ref="AO10" ca="1">IF(AND($BK$3,$AB10&lt;&gt;""),INDEX($BK$8:$BK$19,--RIGHT($AB10,2)),"")</f>
        <v/>
      </c>
      <c r="AP10" s="122" t="str">
        <f t="shared" ca="1" si="3"/>
        <v/>
      </c>
      <c r="AQ10" s="122" t="str">
        <f t="shared" si="4"/>
        <v/>
      </c>
      <c r="BB10" s="122" t="str" cm="1">
        <f t="array" ref="BB10">IF($BB$6="","",IFERROR(_xlfn.LET(_xlpm.s,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2,1),IFERROR(_xlfn.XLOOKUP(_xlpm.n,DimPaymentNature[PaymentNature],DimPaymentNature[NatureTR])&amp;" / "&amp;_xlfn.XLOOKUP(_xlpm.n,DimPaymentNature[PaymentNature],DimPaymentNature[NatureEN]),_xlpm.n)),""))</f>
        <v/>
      </c>
      <c r="BC10" s="122" cm="1">
        <f t="array" ref="BC10">IF($BB$6="",0,IFERROR(INDEX(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2,2),0))</f>
        <v>0</v>
      </c>
      <c r="BE10" s="122" t="str" cm="1">
        <f t="array" ref="BE10">IF($BE$6="","",IFERROR(_xlfn.LET(_xlpm.s,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2,1),IFERROR(_xlfn.XLOOKUP(_xlpm.n,DimPaymentNature[PaymentNature],DimPaymentNature[NatureTR])&amp;" / "&amp;_xlfn.XLOOKUP(_xlpm.n,DimPaymentNature[PaymentNature],DimPaymentNature[NatureEN]),_xlpm.n)),""))</f>
        <v/>
      </c>
      <c r="BF10" s="122" cm="1">
        <f t="array" ref="BF10">IF($BE$6="",0,IFERROR(INDEX(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2,2),0))</f>
        <v>0</v>
      </c>
      <c r="BH10" s="122">
        <f t="shared" si="5"/>
        <v>3</v>
      </c>
      <c r="BI10" s="122" cm="1">
        <f t="array" aca="1" ref="BI10" ca="1">SUMPRODUCT(--ISNUMBER($AN$8:$AN$43),--(IFERROR(--RIGHT($AB$8:$AB$43,2),0)=$BH10))</f>
        <v>0</v>
      </c>
      <c r="BJ10" s="122" t="str">
        <f t="shared" ca="1" si="6"/>
        <v/>
      </c>
      <c r="BK10" s="122" t="str">
        <f t="shared" ca="1" si="7"/>
        <v/>
      </c>
      <c r="BL10" s="122" t="str">
        <f t="shared" si="10"/>
        <v/>
      </c>
      <c r="BM10" s="122" t="str" cm="1">
        <f t="array" ref="BM10">IF($BL10="","",_xlfn.FORECAST.ETS($AB$4+ROW()-8,_xlfn._xlws.FILTER($AC$8:$AC$43,ISNUMBER($AC$8:$AC$43)),_xlfn.SEQUENCE(COUNT($AC$8:$AC$43)),1,1))</f>
        <v/>
      </c>
      <c r="BN10" s="122" t="str">
        <f t="shared" si="11"/>
        <v/>
      </c>
      <c r="BO10" s="122" t="str">
        <f t="shared" si="12"/>
        <v/>
      </c>
      <c r="BP10" s="122" t="str" cm="1">
        <f t="array" ref="BP10">IF($BL10="","",_xlfn.FORECAST.ETS.CONFINT($AB$4+ROW()-8,_xlfn._xlws.FILTER($AC$8:$AC$43,ISNUMBER($AC$8:$AC$43)),_xlfn.SEQUENCE(COUNT($AC$8:$AC$43)),$BL$5,1,1))</f>
        <v/>
      </c>
      <c r="BR10" s="122" t="str">
        <f>IF($BB$6="",_xlfn.XLOOKUP("AN_TR_BRIDGE_GATE",tblUIText[Key],tblUIText[TR],"AN_TR_BRIDGE_GATE")&amp;" / "&amp;_xlfn.XLOOKUP("AN_TR_BRIDGE_GATE",tblUIText[Key],tblUIText[EN],""),_xlfn.XLOOKUP("AN_TR_BRIDGE_MOM",tblUIText[Key],tblUIText[TR],"AN_TR_BRIDGE_MOM")&amp;" / "&amp;_xlfn.XLOOKUP("AN_TR_BRIDGE_MOM",tblUIText[Key],tblUIText[EN],"")&amp;": "&amp;$BB$6&amp;" → "&amp;$AB$5)</f>
        <v>Karşılaştırma ayında veri yok: INSUFFICIENT DATA / No data in the comparison month: INSUFFICIENT DATA</v>
      </c>
      <c r="BS10" s="122" t="str">
        <f t="shared" si="8"/>
        <v xml:space="preserve"> </v>
      </c>
      <c r="BT10" s="122">
        <f>_xlfn.LET(_xlpm.lp,SUM($BC$8:BC9),MIN(_xlpm.lp,_xlpm.lp+BC10))</f>
        <v>0</v>
      </c>
      <c r="BU10" s="122">
        <f t="shared" si="13"/>
        <v>0</v>
      </c>
      <c r="BV10" s="122">
        <f t="shared" si="14"/>
        <v>0</v>
      </c>
      <c r="BW10" s="122">
        <v>0</v>
      </c>
      <c r="BZ10" s="122" t="str">
        <f t="shared" si="9"/>
        <v xml:space="preserve"> </v>
      </c>
      <c r="CA10" s="122">
        <f>_xlfn.LET(_xlpm.lp,SUM($BF$8:BF9),MIN(_xlpm.lp,_xlpm.lp+BF10))</f>
        <v>0</v>
      </c>
      <c r="CB10" s="122">
        <f t="shared" si="15"/>
        <v>0</v>
      </c>
      <c r="CC10" s="122">
        <f t="shared" si="16"/>
        <v>0</v>
      </c>
      <c r="CD10" s="122">
        <v>0</v>
      </c>
      <c r="CG10" s="122" t="str" cm="1">
        <f t="array" ref="CG10">_xlfn.LET(_xlpm.k,ROW()-7,IF(_xlpm.k&lt;=$AB$4,$AB10,IF(_xlpm.k&lt;=$AB$4+IF($BL$3,$BL$4,0),TEXT(INDEX($BL$9:$BL$14,_xlpm.k-$AB$4),"yyyy-mm"),"")))</f>
        <v/>
      </c>
      <c r="CH10" s="122" t="e" cm="1">
        <f t="array" ref="CH10">_xlfn.LET(_xlpm.k,ROW()-7,IF(_xlpm.k&gt;$AB$4,NA(),_xlfn.LET(_xlpm.v,INDEX($AC$8:$AC$43,_xlpm.k),IF(ISNUMBER(_xlpm.v),_xlpm.v/1000000,NA()))))</f>
        <v>#N/A</v>
      </c>
      <c r="CI10" s="122" t="e" cm="1">
        <f t="array" ref="CI10">_xlfn.LET(_xlpm.k,ROW()-7,IF(_xlpm.k&gt;$AB$4,NA(),_xlfn.LET(_xlpm.v,INDEX($AD$8:$AD$43,_xlpm.k),IF(ISNUMBER(_xlpm.v),_xlpm.v/1000000,NA()))))</f>
        <v>#N/A</v>
      </c>
      <c r="CJ10" s="122" t="e" cm="1">
        <f t="array" ref="CJ10">_xlfn.LET(_xlpm.k,ROW()-7,IF(_xlpm.k&gt;$AB$4,NA(),_xlfn.LET(_xlpm.v,INDEX($AL$8:$AL$43,_xlpm.k),IF(ISNUMBER(_xlpm.v),_xlpm.v/1000000,NA()))))</f>
        <v>#N/A</v>
      </c>
      <c r="CK10" s="122" t="e" cm="1">
        <f t="array" ref="CK10">_xlfn.LET(_xlpm.k,ROW()-7,IF(OR(NOT($BL$3),_xlpm.k&lt;$AB$4,_xlpm.k&gt;$AB$4+IF($BL$3,$BL$4,0)),NA(),INDEX($BM$8:$BM$14,_xlpm.k-$AB$4+1)/1000000))</f>
        <v>#N/A</v>
      </c>
      <c r="CL10" s="122" t="e" cm="1">
        <f t="array" ref="CL10">_xlfn.LET(_xlpm.k,ROW()-7,IF(OR(NOT($BL$3),_xlpm.k&lt;$AB$4,_xlpm.k&gt;$AB$4+IF($BL$3,$BL$4,0)),NA(),INDEX($BN$8:$BN$14,_xlpm.k-$AB$4+1)/1000000))</f>
        <v>#N/A</v>
      </c>
      <c r="CM10" s="122" t="e" cm="1">
        <f t="array" ref="CM10">_xlfn.LET(_xlpm.k,ROW()-7,IF(OR(NOT($BL$3),_xlpm.k&lt;$AB$4,_xlpm.k&gt;$AB$4+IF($BL$3,$BL$4,0)),NA(),INDEX($BO$8:$BO$14,_xlpm.k-$AB$4+1)/1000000))</f>
        <v>#N/A</v>
      </c>
      <c r="CN10" s="122" t="e" cm="1">
        <f t="array" ref="CN10">_xlfn.LET(_xlpm.k,ROW()-7,IF(_xlpm.k&gt;$AB$4,NA(),_xlfn.LET(_xlpm.v,INDEX($AI$8:$AI$43,_xlpm.k),IF(ISNUMBER(_xlpm.v),_xlpm.v/1000000,NA()))))</f>
        <v>#N/A</v>
      </c>
      <c r="CO10" s="122" t="e" cm="1">
        <f t="array" ref="CO10">_xlfn.LET(_xlpm.k,ROW()-7,IF(OR(_xlpm.k&gt;$AB$4,_xlpm.k&lt;=12),NA(),_xlfn.LET(_xlpm.a,INDEX($AI$8:$AI$43,_xlpm.k),_xlpm.b,INDEX($AI$8:$AI$43,_xlpm.k-12),IF(AND(ISNUMBER(_xlpm.a),ISNUMBER(_xlpm.b),N(_xlpm.b)&gt;0),_xlpm.a/_xlpm.b-1,NA()))))</f>
        <v>#N/A</v>
      </c>
    </row>
    <row r="11" spans="2:93">
      <c r="AB11" s="122" t="str" cm="1">
        <f t="array" ref="AB11">IF(ROW()-7&gt;ROWS(_xlfn.ANCHORARRAY($AZ$8)),"",INDEX(_xlfn.ANCHORARRAY($AZ$8),ROW()-7)&amp;"")</f>
        <v/>
      </c>
      <c r="AC11" s="122" t="str" cm="1">
        <f t="array" ref="AC11">IF($AB11="","",_xlfn.LET(_xlpm.r,_xlfn.XLOOKUP($AB$3&amp;"|"&amp;$AB11,anSM_Seg&amp;"|"&amp;anSM_YM,anSM_Paid,""),IF(ISBLANK(_xlpm.r),"",_xlpm.r)))</f>
        <v/>
      </c>
      <c r="AD11" s="122" t="str" cm="1">
        <f t="array" ref="AD11">IF($AB11="","",_xlfn.LET(_xlpm.r,_xlfn.XLOOKUP($AB$3&amp;"|"&amp;$AB11,anSM_Seg&amp;"|"&amp;anSM_YM,anSM_PY,""),IF(ISBLANK(_xlpm.r),"",_xlpm.r)))</f>
        <v/>
      </c>
      <c r="AE11" s="122" t="str" cm="1">
        <f t="array" ref="AE11">IF($AB11="","",_xlfn.LET(_xlpm.r,_xlfn.XLOOKUP($AB$3&amp;"|"&amp;$AB11,anSM_Seg&amp;"|"&amp;anSM_YM,anSM_YoY,""),IF(ISBLANK(_xlpm.r),"",_xlpm.r)))</f>
        <v/>
      </c>
      <c r="AF11" s="122" t="str" cm="1">
        <f t="array" ref="AF11">IF($AB11="","",_xlfn.LET(_xlpm.r,_xlfn.XLOOKUP($AB$3&amp;"|"&amp;$AB11,anSM_Seg&amp;"|"&amp;anSM_YM,anSM_MoM,""),IF(ISBLANK(_xlpm.r),"",_xlpm.r)))</f>
        <v/>
      </c>
      <c r="AG11" s="122" t="str" cm="1">
        <f t="array" ref="AG11">IF($AB11="","",_xlfn.LET(_xlpm.r,_xlfn.XLOOKUP($AB$3&amp;"|"&amp;$AB11,anSM_Seg&amp;"|"&amp;anSM_YM,anSM_YTD,""),IF(ISBLANK(_xlpm.r),"",_xlpm.r)))</f>
        <v/>
      </c>
      <c r="AH11" s="122" t="str" cm="1">
        <f t="array" ref="AH11">IF($AB11="","",_xlfn.LET(_xlpm.r,_xlfn.XLOOKUP($AB$3&amp;"|"&amp;$AB11,anSM_Seg&amp;"|"&amp;anSM_YM,anSM_R3,""),IF(ISBLANK(_xlpm.r),"",_xlpm.r)))</f>
        <v/>
      </c>
      <c r="AI11" s="122" t="str" cm="1">
        <f t="array" ref="AI11">IF($AB11="","",_xlfn.LET(_xlpm.r,_xlfn.XLOOKUP($AB$3&amp;"|"&amp;$AB11,anSM_Seg&amp;"|"&amp;anSM_YM,anSM_R12,""),IF(ISBLANK(_xlpm.r),"",_xlpm.r)))</f>
        <v/>
      </c>
      <c r="AJ11" s="122" t="str" cm="1">
        <f t="array" ref="AJ11">IF($AB11="","",_xlfn.LET(_xlpm.r,_xlfn.XLOOKUP($AB$3&amp;"|"&amp;$AB11,anSM_Seg&amp;"|"&amp;anSM_YM,anSM_Lines,""),IF(ISBLANK(_xlpm.r),"",_xlpm.r)))</f>
        <v/>
      </c>
      <c r="AK11" s="122" t="str" cm="1">
        <f t="array" ref="AK11">IF($AB11="","",_xlfn.LET(_xlpm.r,_xlfn.XLOOKUP($AB$3&amp;"|"&amp;$AB11,anSM_Seg&amp;"|"&amp;anSM_YM,anSM_Cases,""),IF(ISBLANK(_xlpm.r),"",_xlpm.r)))</f>
        <v/>
      </c>
      <c r="AL11" s="122" t="str">
        <f t="shared" si="0"/>
        <v/>
      </c>
      <c r="AM11" s="122" t="str">
        <f t="shared" ca="1" si="1"/>
        <v/>
      </c>
      <c r="AN11" s="122" t="str">
        <f t="shared" ca="1" si="2"/>
        <v/>
      </c>
      <c r="AO11" s="122" t="str" cm="1">
        <f t="array" aca="1" ref="AO11" ca="1">IF(AND($BK$3,$AB11&lt;&gt;""),INDEX($BK$8:$BK$19,--RIGHT($AB11,2)),"")</f>
        <v/>
      </c>
      <c r="AP11" s="122" t="str">
        <f t="shared" ca="1" si="3"/>
        <v/>
      </c>
      <c r="AQ11" s="122" t="str">
        <f t="shared" si="4"/>
        <v/>
      </c>
      <c r="BB11" s="122" t="str" cm="1">
        <f t="array" ref="BB11">IF($BB$6="","",IFERROR(_xlfn.LET(_xlpm.s,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3,1),IFERROR(_xlfn.XLOOKUP(_xlpm.n,DimPaymentNature[PaymentNature],DimPaymentNature[NatureTR])&amp;" / "&amp;_xlfn.XLOOKUP(_xlpm.n,DimPaymentNature[PaymentNature],DimPaymentNature[NatureEN]),_xlpm.n)),""))</f>
        <v/>
      </c>
      <c r="BC11" s="122" cm="1">
        <f t="array" ref="BC11">IF($BB$6="",0,IFERROR(INDEX(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3,2),0))</f>
        <v>0</v>
      </c>
      <c r="BE11" s="122" t="str" cm="1">
        <f t="array" ref="BE11">IF($BE$6="","",IFERROR(_xlfn.LET(_xlpm.s,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3,1),IFERROR(_xlfn.XLOOKUP(_xlpm.n,DimPaymentNature[PaymentNature],DimPaymentNature[NatureTR])&amp;" / "&amp;_xlfn.XLOOKUP(_xlpm.n,DimPaymentNature[PaymentNature],DimPaymentNature[NatureEN]),_xlpm.n)),""))</f>
        <v/>
      </c>
      <c r="BF11" s="122" cm="1">
        <f t="array" ref="BF11">IF($BE$6="",0,IFERROR(INDEX(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3,2),0))</f>
        <v>0</v>
      </c>
      <c r="BH11" s="122">
        <f t="shared" si="5"/>
        <v>4</v>
      </c>
      <c r="BI11" s="122" cm="1">
        <f t="array" aca="1" ref="BI11" ca="1">SUMPRODUCT(--ISNUMBER($AN$8:$AN$43),--(IFERROR(--RIGHT($AB$8:$AB$43,2),0)=$BH11))</f>
        <v>0</v>
      </c>
      <c r="BJ11" s="122" t="str">
        <f t="shared" ca="1" si="6"/>
        <v/>
      </c>
      <c r="BK11" s="122" t="str">
        <f t="shared" ca="1" si="7"/>
        <v/>
      </c>
      <c r="BL11" s="122" t="str">
        <f t="shared" si="10"/>
        <v/>
      </c>
      <c r="BM11" s="122" t="str" cm="1">
        <f t="array" ref="BM11">IF($BL11="","",_xlfn.FORECAST.ETS($AB$4+ROW()-8,_xlfn._xlws.FILTER($AC$8:$AC$43,ISNUMBER($AC$8:$AC$43)),_xlfn.SEQUENCE(COUNT($AC$8:$AC$43)),1,1))</f>
        <v/>
      </c>
      <c r="BN11" s="122" t="str">
        <f t="shared" si="11"/>
        <v/>
      </c>
      <c r="BO11" s="122" t="str">
        <f t="shared" si="12"/>
        <v/>
      </c>
      <c r="BP11" s="122" t="str" cm="1">
        <f t="array" ref="BP11">IF($BL11="","",_xlfn.FORECAST.ETS.CONFINT($AB$4+ROW()-8,_xlfn._xlws.FILTER($AC$8:$AC$43,ISNUMBER($AC$8:$AC$43)),_xlfn.SEQUENCE(COUNT($AC$8:$AC$43)),$BL$5,1,1))</f>
        <v/>
      </c>
      <c r="BR11" s="122" t="str">
        <f>IF($BE$6="",_xlfn.XLOOKUP("AN_TR_BRIDGE_YOY",tblUIText[Key],tblUIText[TR],"AN_TR_BRIDGE_YOY")&amp;" / "&amp;_xlfn.XLOOKUP("AN_TR_BRIDGE_YOY",tblUIText[Key],tblUIText[EN],"")&amp;": "&amp;_xlfn.XLOOKUP("AN_TR_BRIDGE_GATE",tblUIText[Key],tblUIText[TR],"AN_TR_BRIDGE_GATE")&amp;" / "&amp;_xlfn.XLOOKUP("AN_TR_BRIDGE_GATE",tblUIText[Key],tblUIText[EN],""),_xlfn.XLOOKUP("AN_TR_BRIDGE_YOY",tblUIText[Key],tblUIText[TR],"AN_TR_BRIDGE_YOY")&amp;" / "&amp;_xlfn.XLOOKUP("AN_TR_BRIDGE_YOY",tblUIText[Key],tblUIText[EN],"")&amp;": "&amp;$BE$6&amp;" → "&amp;$AB$5)</f>
        <v>Yıllık değişim köprüsü: ödeme türüne göre (mn TL) / Year-over-year bridge by payment nature (TRY m): Karşılaştırma ayında veri yok: INSUFFICIENT DATA / No data in the comparison month: INSUFFICIENT DATA</v>
      </c>
      <c r="BS11" s="122" t="str">
        <f t="shared" si="8"/>
        <v xml:space="preserve"> </v>
      </c>
      <c r="BT11" s="122">
        <f>_xlfn.LET(_xlpm.lp,SUM($BC$8:BC10),MIN(_xlpm.lp,_xlpm.lp+BC11))</f>
        <v>0</v>
      </c>
      <c r="BU11" s="122">
        <f t="shared" si="13"/>
        <v>0</v>
      </c>
      <c r="BV11" s="122">
        <f t="shared" si="14"/>
        <v>0</v>
      </c>
      <c r="BW11" s="122">
        <v>0</v>
      </c>
      <c r="BZ11" s="122" t="str">
        <f t="shared" si="9"/>
        <v xml:space="preserve"> </v>
      </c>
      <c r="CA11" s="122">
        <f>_xlfn.LET(_xlpm.lp,SUM($BF$8:BF10),MIN(_xlpm.lp,_xlpm.lp+BF11))</f>
        <v>0</v>
      </c>
      <c r="CB11" s="122">
        <f t="shared" si="15"/>
        <v>0</v>
      </c>
      <c r="CC11" s="122">
        <f t="shared" si="16"/>
        <v>0</v>
      </c>
      <c r="CD11" s="122">
        <v>0</v>
      </c>
      <c r="CG11" s="122" t="str" cm="1">
        <f t="array" ref="CG11">_xlfn.LET(_xlpm.k,ROW()-7,IF(_xlpm.k&lt;=$AB$4,$AB11,IF(_xlpm.k&lt;=$AB$4+IF($BL$3,$BL$4,0),TEXT(INDEX($BL$9:$BL$14,_xlpm.k-$AB$4),"yyyy-mm"),"")))</f>
        <v/>
      </c>
      <c r="CH11" s="122" t="e" cm="1">
        <f t="array" ref="CH11">_xlfn.LET(_xlpm.k,ROW()-7,IF(_xlpm.k&gt;$AB$4,NA(),_xlfn.LET(_xlpm.v,INDEX($AC$8:$AC$43,_xlpm.k),IF(ISNUMBER(_xlpm.v),_xlpm.v/1000000,NA()))))</f>
        <v>#N/A</v>
      </c>
      <c r="CI11" s="122" t="e" cm="1">
        <f t="array" ref="CI11">_xlfn.LET(_xlpm.k,ROW()-7,IF(_xlpm.k&gt;$AB$4,NA(),_xlfn.LET(_xlpm.v,INDEX($AD$8:$AD$43,_xlpm.k),IF(ISNUMBER(_xlpm.v),_xlpm.v/1000000,NA()))))</f>
        <v>#N/A</v>
      </c>
      <c r="CJ11" s="122" t="e" cm="1">
        <f t="array" ref="CJ11">_xlfn.LET(_xlpm.k,ROW()-7,IF(_xlpm.k&gt;$AB$4,NA(),_xlfn.LET(_xlpm.v,INDEX($AL$8:$AL$43,_xlpm.k),IF(ISNUMBER(_xlpm.v),_xlpm.v/1000000,NA()))))</f>
        <v>#N/A</v>
      </c>
      <c r="CK11" s="122" t="e" cm="1">
        <f t="array" ref="CK11">_xlfn.LET(_xlpm.k,ROW()-7,IF(OR(NOT($BL$3),_xlpm.k&lt;$AB$4,_xlpm.k&gt;$AB$4+IF($BL$3,$BL$4,0)),NA(),INDEX($BM$8:$BM$14,_xlpm.k-$AB$4+1)/1000000))</f>
        <v>#N/A</v>
      </c>
      <c r="CL11" s="122" t="e" cm="1">
        <f t="array" ref="CL11">_xlfn.LET(_xlpm.k,ROW()-7,IF(OR(NOT($BL$3),_xlpm.k&lt;$AB$4,_xlpm.k&gt;$AB$4+IF($BL$3,$BL$4,0)),NA(),INDEX($BN$8:$BN$14,_xlpm.k-$AB$4+1)/1000000))</f>
        <v>#N/A</v>
      </c>
      <c r="CM11" s="122" t="e" cm="1">
        <f t="array" ref="CM11">_xlfn.LET(_xlpm.k,ROW()-7,IF(OR(NOT($BL$3),_xlpm.k&lt;$AB$4,_xlpm.k&gt;$AB$4+IF($BL$3,$BL$4,0)),NA(),INDEX($BO$8:$BO$14,_xlpm.k-$AB$4+1)/1000000))</f>
        <v>#N/A</v>
      </c>
      <c r="CN11" s="122" t="e" cm="1">
        <f t="array" ref="CN11">_xlfn.LET(_xlpm.k,ROW()-7,IF(_xlpm.k&gt;$AB$4,NA(),_xlfn.LET(_xlpm.v,INDEX($AI$8:$AI$43,_xlpm.k),IF(ISNUMBER(_xlpm.v),_xlpm.v/1000000,NA()))))</f>
        <v>#N/A</v>
      </c>
      <c r="CO11" s="122" t="e" cm="1">
        <f t="array" ref="CO11">_xlfn.LET(_xlpm.k,ROW()-7,IF(OR(_xlpm.k&gt;$AB$4,_xlpm.k&lt;=12),NA(),_xlfn.LET(_xlpm.a,INDEX($AI$8:$AI$43,_xlpm.k),_xlpm.b,INDEX($AI$8:$AI$43,_xlpm.k-12),IF(AND(ISNUMBER(_xlpm.a),ISNUMBER(_xlpm.b),N(_xlpm.b)&gt;0),_xlpm.a/_xlpm.b-1,NA()))))</f>
        <v>#N/A</v>
      </c>
    </row>
    <row r="12" spans="2:93">
      <c r="AB12" s="122" t="str" cm="1">
        <f t="array" ref="AB12">IF(ROW()-7&gt;ROWS(_xlfn.ANCHORARRAY($AZ$8)),"",INDEX(_xlfn.ANCHORARRAY($AZ$8),ROW()-7)&amp;"")</f>
        <v/>
      </c>
      <c r="AC12" s="122" t="str" cm="1">
        <f t="array" ref="AC12">IF($AB12="","",_xlfn.LET(_xlpm.r,_xlfn.XLOOKUP($AB$3&amp;"|"&amp;$AB12,anSM_Seg&amp;"|"&amp;anSM_YM,anSM_Paid,""),IF(ISBLANK(_xlpm.r),"",_xlpm.r)))</f>
        <v/>
      </c>
      <c r="AD12" s="122" t="str" cm="1">
        <f t="array" ref="AD12">IF($AB12="","",_xlfn.LET(_xlpm.r,_xlfn.XLOOKUP($AB$3&amp;"|"&amp;$AB12,anSM_Seg&amp;"|"&amp;anSM_YM,anSM_PY,""),IF(ISBLANK(_xlpm.r),"",_xlpm.r)))</f>
        <v/>
      </c>
      <c r="AE12" s="122" t="str" cm="1">
        <f t="array" ref="AE12">IF($AB12="","",_xlfn.LET(_xlpm.r,_xlfn.XLOOKUP($AB$3&amp;"|"&amp;$AB12,anSM_Seg&amp;"|"&amp;anSM_YM,anSM_YoY,""),IF(ISBLANK(_xlpm.r),"",_xlpm.r)))</f>
        <v/>
      </c>
      <c r="AF12" s="122" t="str" cm="1">
        <f t="array" ref="AF12">IF($AB12="","",_xlfn.LET(_xlpm.r,_xlfn.XLOOKUP($AB$3&amp;"|"&amp;$AB12,anSM_Seg&amp;"|"&amp;anSM_YM,anSM_MoM,""),IF(ISBLANK(_xlpm.r),"",_xlpm.r)))</f>
        <v/>
      </c>
      <c r="AG12" s="122" t="str" cm="1">
        <f t="array" ref="AG12">IF($AB12="","",_xlfn.LET(_xlpm.r,_xlfn.XLOOKUP($AB$3&amp;"|"&amp;$AB12,anSM_Seg&amp;"|"&amp;anSM_YM,anSM_YTD,""),IF(ISBLANK(_xlpm.r),"",_xlpm.r)))</f>
        <v/>
      </c>
      <c r="AH12" s="122" t="str" cm="1">
        <f t="array" ref="AH12">IF($AB12="","",_xlfn.LET(_xlpm.r,_xlfn.XLOOKUP($AB$3&amp;"|"&amp;$AB12,anSM_Seg&amp;"|"&amp;anSM_YM,anSM_R3,""),IF(ISBLANK(_xlpm.r),"",_xlpm.r)))</f>
        <v/>
      </c>
      <c r="AI12" s="122" t="str" cm="1">
        <f t="array" ref="AI12">IF($AB12="","",_xlfn.LET(_xlpm.r,_xlfn.XLOOKUP($AB$3&amp;"|"&amp;$AB12,anSM_Seg&amp;"|"&amp;anSM_YM,anSM_R12,""),IF(ISBLANK(_xlpm.r),"",_xlpm.r)))</f>
        <v/>
      </c>
      <c r="AJ12" s="122" t="str" cm="1">
        <f t="array" ref="AJ12">IF($AB12="","",_xlfn.LET(_xlpm.r,_xlfn.XLOOKUP($AB$3&amp;"|"&amp;$AB12,anSM_Seg&amp;"|"&amp;anSM_YM,anSM_Lines,""),IF(ISBLANK(_xlpm.r),"",_xlpm.r)))</f>
        <v/>
      </c>
      <c r="AK12" s="122" t="str" cm="1">
        <f t="array" ref="AK12">IF($AB12="","",_xlfn.LET(_xlpm.r,_xlfn.XLOOKUP($AB$3&amp;"|"&amp;$AB12,anSM_Seg&amp;"|"&amp;anSM_YM,anSM_Cases,""),IF(ISBLANK(_xlpm.r),"",_xlpm.r)))</f>
        <v/>
      </c>
      <c r="AL12" s="122" t="str">
        <f t="shared" si="0"/>
        <v/>
      </c>
      <c r="AM12" s="122" t="str">
        <f t="shared" ca="1" si="1"/>
        <v/>
      </c>
      <c r="AN12" s="122" t="str">
        <f t="shared" ca="1" si="2"/>
        <v/>
      </c>
      <c r="AO12" s="122" t="str" cm="1">
        <f t="array" aca="1" ref="AO12" ca="1">IF(AND($BK$3,$AB12&lt;&gt;""),INDEX($BK$8:$BK$19,--RIGHT($AB12,2)),"")</f>
        <v/>
      </c>
      <c r="AP12" s="122" t="str">
        <f t="shared" ca="1" si="3"/>
        <v/>
      </c>
      <c r="AQ12" s="122" t="str">
        <f t="shared" si="4"/>
        <v/>
      </c>
      <c r="BB12" s="122" t="str" cm="1">
        <f t="array" ref="BB12">IF($BB$6="","",IFERROR(_xlfn.LET(_xlpm.s,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4,1),IFERROR(_xlfn.XLOOKUP(_xlpm.n,DimPaymentNature[PaymentNature],DimPaymentNature[NatureTR])&amp;" / "&amp;_xlfn.XLOOKUP(_xlpm.n,DimPaymentNature[PaymentNature],DimPaymentNature[NatureEN]),_xlpm.n)),""))</f>
        <v/>
      </c>
      <c r="BC12" s="122" cm="1">
        <f t="array" ref="BC12">IF($BB$6="",0,IFERROR(INDEX(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4,2),0))</f>
        <v>0</v>
      </c>
      <c r="BE12" s="122" t="str" cm="1">
        <f t="array" ref="BE12">IF($BE$6="","",IFERROR(_xlfn.LET(_xlpm.s,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4,1),IFERROR(_xlfn.XLOOKUP(_xlpm.n,DimPaymentNature[PaymentNature],DimPaymentNature[NatureTR])&amp;" / "&amp;_xlfn.XLOOKUP(_xlpm.n,DimPaymentNature[PaymentNature],DimPaymentNature[NatureEN]),_xlpm.n)),""))</f>
        <v/>
      </c>
      <c r="BF12" s="122" cm="1">
        <f t="array" ref="BF12">IF($BE$6="",0,IFERROR(INDEX(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4,2),0))</f>
        <v>0</v>
      </c>
      <c r="BH12" s="122">
        <f t="shared" si="5"/>
        <v>5</v>
      </c>
      <c r="BI12" s="122" cm="1">
        <f t="array" aca="1" ref="BI12" ca="1">SUMPRODUCT(--ISNUMBER($AN$8:$AN$43),--(IFERROR(--RIGHT($AB$8:$AB$43,2),0)=$BH12))</f>
        <v>0</v>
      </c>
      <c r="BJ12" s="122" t="str">
        <f t="shared" ca="1" si="6"/>
        <v/>
      </c>
      <c r="BK12" s="122" t="str">
        <f t="shared" ca="1" si="7"/>
        <v/>
      </c>
      <c r="BL12" s="122" t="str">
        <f t="shared" si="10"/>
        <v/>
      </c>
      <c r="BM12" s="122" t="str" cm="1">
        <f t="array" ref="BM12">IF($BL12="","",_xlfn.FORECAST.ETS($AB$4+ROW()-8,_xlfn._xlws.FILTER($AC$8:$AC$43,ISNUMBER($AC$8:$AC$43)),_xlfn.SEQUENCE(COUNT($AC$8:$AC$43)),1,1))</f>
        <v/>
      </c>
      <c r="BN12" s="122" t="str">
        <f t="shared" si="11"/>
        <v/>
      </c>
      <c r="BO12" s="122" t="str">
        <f t="shared" si="12"/>
        <v/>
      </c>
      <c r="BP12" s="122" t="str" cm="1">
        <f t="array" ref="BP12">IF($BL12="","",_xlfn.FORECAST.ETS.CONFINT($AB$4+ROW()-8,_xlfn._xlws.FILTER($AC$8:$AC$43,ISNUMBER($AC$8:$AC$43)),_xlfn.SEQUENCE(COUNT($AC$8:$AC$43)),$BL$5,1,1))</f>
        <v/>
      </c>
      <c r="BS12" s="122" t="str">
        <f t="shared" si="8"/>
        <v xml:space="preserve"> </v>
      </c>
      <c r="BT12" s="122">
        <f>_xlfn.LET(_xlpm.lp,SUM($BC$8:BC11),MIN(_xlpm.lp,_xlpm.lp+BC12))</f>
        <v>0</v>
      </c>
      <c r="BU12" s="122">
        <f t="shared" si="13"/>
        <v>0</v>
      </c>
      <c r="BV12" s="122">
        <f t="shared" si="14"/>
        <v>0</v>
      </c>
      <c r="BW12" s="122">
        <v>0</v>
      </c>
      <c r="BZ12" s="122" t="str">
        <f t="shared" si="9"/>
        <v xml:space="preserve"> </v>
      </c>
      <c r="CA12" s="122">
        <f>_xlfn.LET(_xlpm.lp,SUM($BF$8:BF11),MIN(_xlpm.lp,_xlpm.lp+BF12))</f>
        <v>0</v>
      </c>
      <c r="CB12" s="122">
        <f t="shared" si="15"/>
        <v>0</v>
      </c>
      <c r="CC12" s="122">
        <f t="shared" si="16"/>
        <v>0</v>
      </c>
      <c r="CD12" s="122">
        <v>0</v>
      </c>
      <c r="CG12" s="122" t="str" cm="1">
        <f t="array" ref="CG12">_xlfn.LET(_xlpm.k,ROW()-7,IF(_xlpm.k&lt;=$AB$4,$AB12,IF(_xlpm.k&lt;=$AB$4+IF($BL$3,$BL$4,0),TEXT(INDEX($BL$9:$BL$14,_xlpm.k-$AB$4),"yyyy-mm"),"")))</f>
        <v/>
      </c>
      <c r="CH12" s="122" t="e" cm="1">
        <f t="array" ref="CH12">_xlfn.LET(_xlpm.k,ROW()-7,IF(_xlpm.k&gt;$AB$4,NA(),_xlfn.LET(_xlpm.v,INDEX($AC$8:$AC$43,_xlpm.k),IF(ISNUMBER(_xlpm.v),_xlpm.v/1000000,NA()))))</f>
        <v>#N/A</v>
      </c>
      <c r="CI12" s="122" t="e" cm="1">
        <f t="array" ref="CI12">_xlfn.LET(_xlpm.k,ROW()-7,IF(_xlpm.k&gt;$AB$4,NA(),_xlfn.LET(_xlpm.v,INDEX($AD$8:$AD$43,_xlpm.k),IF(ISNUMBER(_xlpm.v),_xlpm.v/1000000,NA()))))</f>
        <v>#N/A</v>
      </c>
      <c r="CJ12" s="122" t="e" cm="1">
        <f t="array" ref="CJ12">_xlfn.LET(_xlpm.k,ROW()-7,IF(_xlpm.k&gt;$AB$4,NA(),_xlfn.LET(_xlpm.v,INDEX($AL$8:$AL$43,_xlpm.k),IF(ISNUMBER(_xlpm.v),_xlpm.v/1000000,NA()))))</f>
        <v>#N/A</v>
      </c>
      <c r="CK12" s="122" t="e" cm="1">
        <f t="array" ref="CK12">_xlfn.LET(_xlpm.k,ROW()-7,IF(OR(NOT($BL$3),_xlpm.k&lt;$AB$4,_xlpm.k&gt;$AB$4+IF($BL$3,$BL$4,0)),NA(),INDEX($BM$8:$BM$14,_xlpm.k-$AB$4+1)/1000000))</f>
        <v>#N/A</v>
      </c>
      <c r="CL12" s="122" t="e" cm="1">
        <f t="array" ref="CL12">_xlfn.LET(_xlpm.k,ROW()-7,IF(OR(NOT($BL$3),_xlpm.k&lt;$AB$4,_xlpm.k&gt;$AB$4+IF($BL$3,$BL$4,0)),NA(),INDEX($BN$8:$BN$14,_xlpm.k-$AB$4+1)/1000000))</f>
        <v>#N/A</v>
      </c>
      <c r="CM12" s="122" t="e" cm="1">
        <f t="array" ref="CM12">_xlfn.LET(_xlpm.k,ROW()-7,IF(OR(NOT($BL$3),_xlpm.k&lt;$AB$4,_xlpm.k&gt;$AB$4+IF($BL$3,$BL$4,0)),NA(),INDEX($BO$8:$BO$14,_xlpm.k-$AB$4+1)/1000000))</f>
        <v>#N/A</v>
      </c>
      <c r="CN12" s="122" t="e" cm="1">
        <f t="array" ref="CN12">_xlfn.LET(_xlpm.k,ROW()-7,IF(_xlpm.k&gt;$AB$4,NA(),_xlfn.LET(_xlpm.v,INDEX($AI$8:$AI$43,_xlpm.k),IF(ISNUMBER(_xlpm.v),_xlpm.v/1000000,NA()))))</f>
        <v>#N/A</v>
      </c>
      <c r="CO12" s="122" t="e" cm="1">
        <f t="array" ref="CO12">_xlfn.LET(_xlpm.k,ROW()-7,IF(OR(_xlpm.k&gt;$AB$4,_xlpm.k&lt;=12),NA(),_xlfn.LET(_xlpm.a,INDEX($AI$8:$AI$43,_xlpm.k),_xlpm.b,INDEX($AI$8:$AI$43,_xlpm.k-12),IF(AND(ISNUMBER(_xlpm.a),ISNUMBER(_xlpm.b),N(_xlpm.b)&gt;0),_xlpm.a/_xlpm.b-1,NA()))))</f>
        <v>#N/A</v>
      </c>
    </row>
    <row r="13" spans="2:93">
      <c r="AB13" s="122" t="str" cm="1">
        <f t="array" ref="AB13">IF(ROW()-7&gt;ROWS(_xlfn.ANCHORARRAY($AZ$8)),"",INDEX(_xlfn.ANCHORARRAY($AZ$8),ROW()-7)&amp;"")</f>
        <v/>
      </c>
      <c r="AC13" s="122" t="str" cm="1">
        <f t="array" ref="AC13">IF($AB13="","",_xlfn.LET(_xlpm.r,_xlfn.XLOOKUP($AB$3&amp;"|"&amp;$AB13,anSM_Seg&amp;"|"&amp;anSM_YM,anSM_Paid,""),IF(ISBLANK(_xlpm.r),"",_xlpm.r)))</f>
        <v/>
      </c>
      <c r="AD13" s="122" t="str" cm="1">
        <f t="array" ref="AD13">IF($AB13="","",_xlfn.LET(_xlpm.r,_xlfn.XLOOKUP($AB$3&amp;"|"&amp;$AB13,anSM_Seg&amp;"|"&amp;anSM_YM,anSM_PY,""),IF(ISBLANK(_xlpm.r),"",_xlpm.r)))</f>
        <v/>
      </c>
      <c r="AE13" s="122" t="str" cm="1">
        <f t="array" ref="AE13">IF($AB13="","",_xlfn.LET(_xlpm.r,_xlfn.XLOOKUP($AB$3&amp;"|"&amp;$AB13,anSM_Seg&amp;"|"&amp;anSM_YM,anSM_YoY,""),IF(ISBLANK(_xlpm.r),"",_xlpm.r)))</f>
        <v/>
      </c>
      <c r="AF13" s="122" t="str" cm="1">
        <f t="array" ref="AF13">IF($AB13="","",_xlfn.LET(_xlpm.r,_xlfn.XLOOKUP($AB$3&amp;"|"&amp;$AB13,anSM_Seg&amp;"|"&amp;anSM_YM,anSM_MoM,""),IF(ISBLANK(_xlpm.r),"",_xlpm.r)))</f>
        <v/>
      </c>
      <c r="AG13" s="122" t="str" cm="1">
        <f t="array" ref="AG13">IF($AB13="","",_xlfn.LET(_xlpm.r,_xlfn.XLOOKUP($AB$3&amp;"|"&amp;$AB13,anSM_Seg&amp;"|"&amp;anSM_YM,anSM_YTD,""),IF(ISBLANK(_xlpm.r),"",_xlpm.r)))</f>
        <v/>
      </c>
      <c r="AH13" s="122" t="str" cm="1">
        <f t="array" ref="AH13">IF($AB13="","",_xlfn.LET(_xlpm.r,_xlfn.XLOOKUP($AB$3&amp;"|"&amp;$AB13,anSM_Seg&amp;"|"&amp;anSM_YM,anSM_R3,""),IF(ISBLANK(_xlpm.r),"",_xlpm.r)))</f>
        <v/>
      </c>
      <c r="AI13" s="122" t="str" cm="1">
        <f t="array" ref="AI13">IF($AB13="","",_xlfn.LET(_xlpm.r,_xlfn.XLOOKUP($AB$3&amp;"|"&amp;$AB13,anSM_Seg&amp;"|"&amp;anSM_YM,anSM_R12,""),IF(ISBLANK(_xlpm.r),"",_xlpm.r)))</f>
        <v/>
      </c>
      <c r="AJ13" s="122" t="str" cm="1">
        <f t="array" ref="AJ13">IF($AB13="","",_xlfn.LET(_xlpm.r,_xlfn.XLOOKUP($AB$3&amp;"|"&amp;$AB13,anSM_Seg&amp;"|"&amp;anSM_YM,anSM_Lines,""),IF(ISBLANK(_xlpm.r),"",_xlpm.r)))</f>
        <v/>
      </c>
      <c r="AK13" s="122" t="str" cm="1">
        <f t="array" ref="AK13">IF($AB13="","",_xlfn.LET(_xlpm.r,_xlfn.XLOOKUP($AB$3&amp;"|"&amp;$AB13,anSM_Seg&amp;"|"&amp;anSM_YM,anSM_Cases,""),IF(ISBLANK(_xlpm.r),"",_xlpm.r)))</f>
        <v/>
      </c>
      <c r="AL13" s="122" t="str">
        <f t="shared" si="0"/>
        <v/>
      </c>
      <c r="AM13" s="122" t="str">
        <f t="shared" ca="1" si="1"/>
        <v/>
      </c>
      <c r="AN13" s="122" t="str">
        <f t="shared" ca="1" si="2"/>
        <v/>
      </c>
      <c r="AO13" s="122" t="str" cm="1">
        <f t="array" aca="1" ref="AO13" ca="1">IF(AND($BK$3,$AB13&lt;&gt;""),INDEX($BK$8:$BK$19,--RIGHT($AB13,2)),"")</f>
        <v/>
      </c>
      <c r="AP13" s="122" t="str">
        <f t="shared" ca="1" si="3"/>
        <v/>
      </c>
      <c r="AQ13" s="122" t="str">
        <f t="shared" si="4"/>
        <v/>
      </c>
      <c r="BB13" s="122" t="str" cm="1">
        <f t="array" ref="BB13">IF($BB$6="","",IFERROR(_xlfn.LET(_xlpm.s,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5,1),IFERROR(_xlfn.XLOOKUP(_xlpm.n,DimPaymentNature[PaymentNature],DimPaymentNature[NatureTR])&amp;" / "&amp;_xlfn.XLOOKUP(_xlpm.n,DimPaymentNature[PaymentNature],DimPaymentNature[NatureEN]),_xlpm.n)),""))</f>
        <v/>
      </c>
      <c r="BC13" s="122" cm="1">
        <f t="array" ref="BC13">IF($BB$6="",0,IFERROR(INDEX(_xlfn.LET(_xlpm.seg,$AB$3,_xlpm.m,$AB$5,_xlpm.c,$BB$6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5,2),0))</f>
        <v>0</v>
      </c>
      <c r="BE13" s="122" t="str" cm="1">
        <f t="array" ref="BE13">IF($BE$6="","",IFERROR(_xlfn.LET(_xlpm.s,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_xlpm.n,INDEX(_xlpm.s,5,1),IFERROR(_xlfn.XLOOKUP(_xlpm.n,DimPaymentNature[PaymentNature],DimPaymentNature[NatureTR])&amp;" / "&amp;_xlfn.XLOOKUP(_xlpm.n,DimPaymentNature[PaymentNature],DimPaymentNature[NatureEN]),_xlpm.n)),""))</f>
        <v/>
      </c>
      <c r="BF13" s="122" cm="1">
        <f t="array" ref="BF13">IF($BE$6="",0,IFERROR(INDEX(_xlfn.LET(_xlpm.seg,$AB$3,_xlpm.m,$AB$5,_xlpm.c,$BE$6,_xlpm.nat,_xlfn.UNIQUE(_xlfn._xlws.FILTER(anNAT_Nature,(anNAT_Seg=_xlpm.seg)*((anNAT_YM=_xlpm.m)+(anNAT_YM=_xlpm.c))*(anNAT_Nature&lt;&gt;""),"")),_xlpm.cur,SUMIFS(anNAT_Paid,anNAT_Seg,_xlpm.seg,anNAT_YM,_xlpm.m,anNAT_Nature,_xlpm.nat),_xlpm.prv,SUMIFS(anNAT_Paid,anNAT_Seg,_xlpm.seg,anNAT_YM,_xlpm.c,anNAT_Nature,_xlpm.nat),_xlfn.SORTBY(_xlfn.HSTACK(_xlpm.nat,(_xlpm.cur-_xlpm.prv)/1000000),ABS(_xlpm.cur-_xlpm.prv),-1)),5,2),0))</f>
        <v>0</v>
      </c>
      <c r="BH13" s="122">
        <f t="shared" si="5"/>
        <v>6</v>
      </c>
      <c r="BI13" s="122" cm="1">
        <f t="array" aca="1" ref="BI13" ca="1">SUMPRODUCT(--ISNUMBER($AN$8:$AN$43),--(IFERROR(--RIGHT($AB$8:$AB$43,2),0)=$BH13))</f>
        <v>0</v>
      </c>
      <c r="BJ13" s="122" t="str">
        <f t="shared" ca="1" si="6"/>
        <v/>
      </c>
      <c r="BK13" s="122" t="str">
        <f t="shared" ca="1" si="7"/>
        <v/>
      </c>
      <c r="BL13" s="122" t="str">
        <f t="shared" si="10"/>
        <v/>
      </c>
      <c r="BM13" s="122" t="str" cm="1">
        <f t="array" ref="BM13">IF($BL13="","",_xlfn.FORECAST.ETS($AB$4+ROW()-8,_xlfn._xlws.FILTER($AC$8:$AC$43,ISNUMBER($AC$8:$AC$43)),_xlfn.SEQUENCE(COUNT($AC$8:$AC$43)),1,1))</f>
        <v/>
      </c>
      <c r="BN13" s="122" t="str">
        <f t="shared" si="11"/>
        <v/>
      </c>
      <c r="BO13" s="122" t="str">
        <f t="shared" si="12"/>
        <v/>
      </c>
      <c r="BP13" s="122" t="str" cm="1">
        <f t="array" ref="BP13">IF($BL13="","",_xlfn.FORECAST.ETS.CONFINT($AB$4+ROW()-8,_xlfn._xlws.FILTER($AC$8:$AC$43,ISNUMBER($AC$8:$AC$43)),_xlfn.SEQUENCE(COUNT($AC$8:$AC$43)),$BL$5,1,1))</f>
        <v/>
      </c>
      <c r="BS13" s="122" t="str">
        <f t="shared" si="8"/>
        <v xml:space="preserve"> </v>
      </c>
      <c r="BT13" s="122">
        <f>_xlfn.LET(_xlpm.lp,SUM($BC$8:BC12),MIN(_xlpm.lp,_xlpm.lp+BC13))</f>
        <v>0</v>
      </c>
      <c r="BU13" s="122">
        <f t="shared" si="13"/>
        <v>0</v>
      </c>
      <c r="BV13" s="122">
        <f t="shared" si="14"/>
        <v>0</v>
      </c>
      <c r="BW13" s="122">
        <v>0</v>
      </c>
      <c r="BZ13" s="122" t="str">
        <f t="shared" si="9"/>
        <v xml:space="preserve"> </v>
      </c>
      <c r="CA13" s="122">
        <f>_xlfn.LET(_xlpm.lp,SUM($BF$8:BF12),MIN(_xlpm.lp,_xlpm.lp+BF13))</f>
        <v>0</v>
      </c>
      <c r="CB13" s="122">
        <f t="shared" si="15"/>
        <v>0</v>
      </c>
      <c r="CC13" s="122">
        <f t="shared" si="16"/>
        <v>0</v>
      </c>
      <c r="CD13" s="122">
        <v>0</v>
      </c>
      <c r="CG13" s="122" t="str" cm="1">
        <f t="array" ref="CG13">_xlfn.LET(_xlpm.k,ROW()-7,IF(_xlpm.k&lt;=$AB$4,$AB13,IF(_xlpm.k&lt;=$AB$4+IF($BL$3,$BL$4,0),TEXT(INDEX($BL$9:$BL$14,_xlpm.k-$AB$4),"yyyy-mm"),"")))</f>
        <v/>
      </c>
      <c r="CH13" s="122" t="e" cm="1">
        <f t="array" ref="CH13">_xlfn.LET(_xlpm.k,ROW()-7,IF(_xlpm.k&gt;$AB$4,NA(),_xlfn.LET(_xlpm.v,INDEX($AC$8:$AC$43,_xlpm.k),IF(ISNUMBER(_xlpm.v),_xlpm.v/1000000,NA()))))</f>
        <v>#N/A</v>
      </c>
      <c r="CI13" s="122" t="e" cm="1">
        <f t="array" ref="CI13">_xlfn.LET(_xlpm.k,ROW()-7,IF(_xlpm.k&gt;$AB$4,NA(),_xlfn.LET(_xlpm.v,INDEX($AD$8:$AD$43,_xlpm.k),IF(ISNUMBER(_xlpm.v),_xlpm.v/1000000,NA()))))</f>
        <v>#N/A</v>
      </c>
      <c r="CJ13" s="122" t="e" cm="1">
        <f t="array" ref="CJ13">_xlfn.LET(_xlpm.k,ROW()-7,IF(_xlpm.k&gt;$AB$4,NA(),_xlfn.LET(_xlpm.v,INDEX($AL$8:$AL$43,_xlpm.k),IF(ISNUMBER(_xlpm.v),_xlpm.v/1000000,NA()))))</f>
        <v>#N/A</v>
      </c>
      <c r="CK13" s="122" t="e" cm="1">
        <f t="array" ref="CK13">_xlfn.LET(_xlpm.k,ROW()-7,IF(OR(NOT($BL$3),_xlpm.k&lt;$AB$4,_xlpm.k&gt;$AB$4+IF($BL$3,$BL$4,0)),NA(),INDEX($BM$8:$BM$14,_xlpm.k-$AB$4+1)/1000000))</f>
        <v>#N/A</v>
      </c>
      <c r="CL13" s="122" t="e" cm="1">
        <f t="array" ref="CL13">_xlfn.LET(_xlpm.k,ROW()-7,IF(OR(NOT($BL$3),_xlpm.k&lt;$AB$4,_xlpm.k&gt;$AB$4+IF($BL$3,$BL$4,0)),NA(),INDEX($BN$8:$BN$14,_xlpm.k-$AB$4+1)/1000000))</f>
        <v>#N/A</v>
      </c>
      <c r="CM13" s="122" t="e" cm="1">
        <f t="array" ref="CM13">_xlfn.LET(_xlpm.k,ROW()-7,IF(OR(NOT($BL$3),_xlpm.k&lt;$AB$4,_xlpm.k&gt;$AB$4+IF($BL$3,$BL$4,0)),NA(),INDEX($BO$8:$BO$14,_xlpm.k-$AB$4+1)/1000000))</f>
        <v>#N/A</v>
      </c>
      <c r="CN13" s="122" t="e" cm="1">
        <f t="array" ref="CN13">_xlfn.LET(_xlpm.k,ROW()-7,IF(_xlpm.k&gt;$AB$4,NA(),_xlfn.LET(_xlpm.v,INDEX($AI$8:$AI$43,_xlpm.k),IF(ISNUMBER(_xlpm.v),_xlpm.v/1000000,NA()))))</f>
        <v>#N/A</v>
      </c>
      <c r="CO13" s="122" t="e" cm="1">
        <f t="array" ref="CO13">_xlfn.LET(_xlpm.k,ROW()-7,IF(OR(_xlpm.k&gt;$AB$4,_xlpm.k&lt;=12),NA(),_xlfn.LET(_xlpm.a,INDEX($AI$8:$AI$43,_xlpm.k),_xlpm.b,INDEX($AI$8:$AI$43,_xlpm.k-12),IF(AND(ISNUMBER(_xlpm.a),ISNUMBER(_xlpm.b),N(_xlpm.b)&gt;0),_xlpm.a/_xlpm.b-1,NA()))))</f>
        <v>#N/A</v>
      </c>
    </row>
    <row r="14" spans="2:93">
      <c r="AB14" s="122" t="str" cm="1">
        <f t="array" ref="AB14">IF(ROW()-7&gt;ROWS(_xlfn.ANCHORARRAY($AZ$8)),"",INDEX(_xlfn.ANCHORARRAY($AZ$8),ROW()-7)&amp;"")</f>
        <v/>
      </c>
      <c r="AC14" s="122" t="str" cm="1">
        <f t="array" ref="AC14">IF($AB14="","",_xlfn.LET(_xlpm.r,_xlfn.XLOOKUP($AB$3&amp;"|"&amp;$AB14,anSM_Seg&amp;"|"&amp;anSM_YM,anSM_Paid,""),IF(ISBLANK(_xlpm.r),"",_xlpm.r)))</f>
        <v/>
      </c>
      <c r="AD14" s="122" t="str" cm="1">
        <f t="array" ref="AD14">IF($AB14="","",_xlfn.LET(_xlpm.r,_xlfn.XLOOKUP($AB$3&amp;"|"&amp;$AB14,anSM_Seg&amp;"|"&amp;anSM_YM,anSM_PY,""),IF(ISBLANK(_xlpm.r),"",_xlpm.r)))</f>
        <v/>
      </c>
      <c r="AE14" s="122" t="str" cm="1">
        <f t="array" ref="AE14">IF($AB14="","",_xlfn.LET(_xlpm.r,_xlfn.XLOOKUP($AB$3&amp;"|"&amp;$AB14,anSM_Seg&amp;"|"&amp;anSM_YM,anSM_YoY,""),IF(ISBLANK(_xlpm.r),"",_xlpm.r)))</f>
        <v/>
      </c>
      <c r="AF14" s="122" t="str" cm="1">
        <f t="array" ref="AF14">IF($AB14="","",_xlfn.LET(_xlpm.r,_xlfn.XLOOKUP($AB$3&amp;"|"&amp;$AB14,anSM_Seg&amp;"|"&amp;anSM_YM,anSM_MoM,""),IF(ISBLANK(_xlpm.r),"",_xlpm.r)))</f>
        <v/>
      </c>
      <c r="AG14" s="122" t="str" cm="1">
        <f t="array" ref="AG14">IF($AB14="","",_xlfn.LET(_xlpm.r,_xlfn.XLOOKUP($AB$3&amp;"|"&amp;$AB14,anSM_Seg&amp;"|"&amp;anSM_YM,anSM_YTD,""),IF(ISBLANK(_xlpm.r),"",_xlpm.r)))</f>
        <v/>
      </c>
      <c r="AH14" s="122" t="str" cm="1">
        <f t="array" ref="AH14">IF($AB14="","",_xlfn.LET(_xlpm.r,_xlfn.XLOOKUP($AB$3&amp;"|"&amp;$AB14,anSM_Seg&amp;"|"&amp;anSM_YM,anSM_R3,""),IF(ISBLANK(_xlpm.r),"",_xlpm.r)))</f>
        <v/>
      </c>
      <c r="AI14" s="122" t="str" cm="1">
        <f t="array" ref="AI14">IF($AB14="","",_xlfn.LET(_xlpm.r,_xlfn.XLOOKUP($AB$3&amp;"|"&amp;$AB14,anSM_Seg&amp;"|"&amp;anSM_YM,anSM_R12,""),IF(ISBLANK(_xlpm.r),"",_xlpm.r)))</f>
        <v/>
      </c>
      <c r="AJ14" s="122" t="str" cm="1">
        <f t="array" ref="AJ14">IF($AB14="","",_xlfn.LET(_xlpm.r,_xlfn.XLOOKUP($AB$3&amp;"|"&amp;$AB14,anSM_Seg&amp;"|"&amp;anSM_YM,anSM_Lines,""),IF(ISBLANK(_xlpm.r),"",_xlpm.r)))</f>
        <v/>
      </c>
      <c r="AK14" s="122" t="str" cm="1">
        <f t="array" ref="AK14">IF($AB14="","",_xlfn.LET(_xlpm.r,_xlfn.XLOOKUP($AB$3&amp;"|"&amp;$AB14,anSM_Seg&amp;"|"&amp;anSM_YM,anSM_Cases,""),IF(ISBLANK(_xlpm.r),"",_xlpm.r)))</f>
        <v/>
      </c>
      <c r="AL14" s="122" t="str">
        <f t="shared" si="0"/>
        <v/>
      </c>
      <c r="AM14" s="122" t="str">
        <f t="shared" ca="1" si="1"/>
        <v/>
      </c>
      <c r="AN14" s="122" t="str">
        <f t="shared" ca="1" si="2"/>
        <v/>
      </c>
      <c r="AO14" s="122" t="str" cm="1">
        <f t="array" aca="1" ref="AO14" ca="1">IF(AND($BK$3,$AB14&lt;&gt;""),INDEX($BK$8:$BK$19,--RIGHT($AB14,2)),"")</f>
        <v/>
      </c>
      <c r="AP14" s="122" t="str">
        <f t="shared" ca="1" si="3"/>
        <v/>
      </c>
      <c r="AQ14" s="122" t="str">
        <f t="shared" si="4"/>
        <v/>
      </c>
      <c r="BB14" s="122" t="str">
        <f>IF($BB$6="","","Diğer / Other")</f>
        <v/>
      </c>
      <c r="BC14" s="122">
        <f>IF($BB$6="",0,ROUND((SUMIFS(anNAT_Paid,anNAT_Seg,$AB$3,anNAT_YM,$AB$5)/1000000-BC8)-SUM(BC9:BC13),6))</f>
        <v>0</v>
      </c>
      <c r="BE14" s="122" t="str">
        <f>IF($BE$6="","","Diğer / Other")</f>
        <v/>
      </c>
      <c r="BF14" s="122">
        <f>IF($BE$6="",0,ROUND((SUMIFS(anNAT_Paid,anNAT_Seg,$AB$3,anNAT_YM,$AB$5)/1000000-BF8)-SUM(BF9:BF13),6))</f>
        <v>0</v>
      </c>
      <c r="BH14" s="122">
        <f t="shared" si="5"/>
        <v>7</v>
      </c>
      <c r="BI14" s="122" cm="1">
        <f t="array" aca="1" ref="BI14" ca="1">SUMPRODUCT(--ISNUMBER($AN$8:$AN$43),--(IFERROR(--RIGHT($AB$8:$AB$43,2),0)=$BH14))</f>
        <v>0</v>
      </c>
      <c r="BJ14" s="122" t="str">
        <f t="shared" ca="1" si="6"/>
        <v/>
      </c>
      <c r="BK14" s="122" t="str">
        <f t="shared" ca="1" si="7"/>
        <v/>
      </c>
      <c r="BL14" s="122" t="str">
        <f t="shared" si="10"/>
        <v/>
      </c>
      <c r="BM14" s="122" t="str" cm="1">
        <f t="array" ref="BM14">IF($BL14="","",_xlfn.FORECAST.ETS($AB$4+ROW()-8,_xlfn._xlws.FILTER($AC$8:$AC$43,ISNUMBER($AC$8:$AC$43)),_xlfn.SEQUENCE(COUNT($AC$8:$AC$43)),1,1))</f>
        <v/>
      </c>
      <c r="BN14" s="122" t="str">
        <f t="shared" si="11"/>
        <v/>
      </c>
      <c r="BO14" s="122" t="str">
        <f t="shared" si="12"/>
        <v/>
      </c>
      <c r="BP14" s="122" t="str" cm="1">
        <f t="array" ref="BP14">IF($BL14="","",_xlfn.FORECAST.ETS.CONFINT($AB$4+ROW()-8,_xlfn._xlws.FILTER($AC$8:$AC$43,ISNUMBER($AC$8:$AC$43)),_xlfn.SEQUENCE(COUNT($AC$8:$AC$43)),$BL$5,1,1))</f>
        <v/>
      </c>
      <c r="BS14" s="122" t="str">
        <f t="shared" si="8"/>
        <v xml:space="preserve"> </v>
      </c>
      <c r="BT14" s="122">
        <f>_xlfn.LET(_xlpm.lp,SUM($BC$8:BC13),MIN(_xlpm.lp,_xlpm.lp+BC14))</f>
        <v>0</v>
      </c>
      <c r="BU14" s="122">
        <f t="shared" si="13"/>
        <v>0</v>
      </c>
      <c r="BV14" s="122">
        <f t="shared" si="14"/>
        <v>0</v>
      </c>
      <c r="BW14" s="122">
        <v>0</v>
      </c>
      <c r="BZ14" s="122" t="str">
        <f t="shared" si="9"/>
        <v xml:space="preserve"> </v>
      </c>
      <c r="CA14" s="122">
        <f>_xlfn.LET(_xlpm.lp,SUM($BF$8:BF13),MIN(_xlpm.lp,_xlpm.lp+BF14))</f>
        <v>0</v>
      </c>
      <c r="CB14" s="122">
        <f t="shared" si="15"/>
        <v>0</v>
      </c>
      <c r="CC14" s="122">
        <f t="shared" si="16"/>
        <v>0</v>
      </c>
      <c r="CD14" s="122">
        <v>0</v>
      </c>
      <c r="CG14" s="122" t="str" cm="1">
        <f t="array" ref="CG14">_xlfn.LET(_xlpm.k,ROW()-7,IF(_xlpm.k&lt;=$AB$4,$AB14,IF(_xlpm.k&lt;=$AB$4+IF($BL$3,$BL$4,0),TEXT(INDEX($BL$9:$BL$14,_xlpm.k-$AB$4),"yyyy-mm"),"")))</f>
        <v/>
      </c>
      <c r="CH14" s="122" t="e" cm="1">
        <f t="array" ref="CH14">_xlfn.LET(_xlpm.k,ROW()-7,IF(_xlpm.k&gt;$AB$4,NA(),_xlfn.LET(_xlpm.v,INDEX($AC$8:$AC$43,_xlpm.k),IF(ISNUMBER(_xlpm.v),_xlpm.v/1000000,NA()))))</f>
        <v>#N/A</v>
      </c>
      <c r="CI14" s="122" t="e" cm="1">
        <f t="array" ref="CI14">_xlfn.LET(_xlpm.k,ROW()-7,IF(_xlpm.k&gt;$AB$4,NA(),_xlfn.LET(_xlpm.v,INDEX($AD$8:$AD$43,_xlpm.k),IF(ISNUMBER(_xlpm.v),_xlpm.v/1000000,NA()))))</f>
        <v>#N/A</v>
      </c>
      <c r="CJ14" s="122" t="e" cm="1">
        <f t="array" ref="CJ14">_xlfn.LET(_xlpm.k,ROW()-7,IF(_xlpm.k&gt;$AB$4,NA(),_xlfn.LET(_xlpm.v,INDEX($AL$8:$AL$43,_xlpm.k),IF(ISNUMBER(_xlpm.v),_xlpm.v/1000000,NA()))))</f>
        <v>#N/A</v>
      </c>
      <c r="CK14" s="122" t="e" cm="1">
        <f t="array" ref="CK14">_xlfn.LET(_xlpm.k,ROW()-7,IF(OR(NOT($BL$3),_xlpm.k&lt;$AB$4,_xlpm.k&gt;$AB$4+IF($BL$3,$BL$4,0)),NA(),INDEX($BM$8:$BM$14,_xlpm.k-$AB$4+1)/1000000))</f>
        <v>#N/A</v>
      </c>
      <c r="CL14" s="122" t="e" cm="1">
        <f t="array" ref="CL14">_xlfn.LET(_xlpm.k,ROW()-7,IF(OR(NOT($BL$3),_xlpm.k&lt;$AB$4,_xlpm.k&gt;$AB$4+IF($BL$3,$BL$4,0)),NA(),INDEX($BN$8:$BN$14,_xlpm.k-$AB$4+1)/1000000))</f>
        <v>#N/A</v>
      </c>
      <c r="CM14" s="122" t="e" cm="1">
        <f t="array" ref="CM14">_xlfn.LET(_xlpm.k,ROW()-7,IF(OR(NOT($BL$3),_xlpm.k&lt;$AB$4,_xlpm.k&gt;$AB$4+IF($BL$3,$BL$4,0)),NA(),INDEX($BO$8:$BO$14,_xlpm.k-$AB$4+1)/1000000))</f>
        <v>#N/A</v>
      </c>
      <c r="CN14" s="122" t="e" cm="1">
        <f t="array" ref="CN14">_xlfn.LET(_xlpm.k,ROW()-7,IF(_xlpm.k&gt;$AB$4,NA(),_xlfn.LET(_xlpm.v,INDEX($AI$8:$AI$43,_xlpm.k),IF(ISNUMBER(_xlpm.v),_xlpm.v/1000000,NA()))))</f>
        <v>#N/A</v>
      </c>
      <c r="CO14" s="122" t="e" cm="1">
        <f t="array" ref="CO14">_xlfn.LET(_xlpm.k,ROW()-7,IF(OR(_xlpm.k&gt;$AB$4,_xlpm.k&lt;=12),NA(),_xlfn.LET(_xlpm.a,INDEX($AI$8:$AI$43,_xlpm.k),_xlpm.b,INDEX($AI$8:$AI$43,_xlpm.k-12),IF(AND(ISNUMBER(_xlpm.a),ISNUMBER(_xlpm.b),N(_xlpm.b)&gt;0),_xlpm.a/_xlpm.b-1,NA()))))</f>
        <v>#N/A</v>
      </c>
    </row>
    <row r="15" spans="2:93">
      <c r="AB15" s="122" t="str" cm="1">
        <f t="array" ref="AB15">IF(ROW()-7&gt;ROWS(_xlfn.ANCHORARRAY($AZ$8)),"",INDEX(_xlfn.ANCHORARRAY($AZ$8),ROW()-7)&amp;"")</f>
        <v/>
      </c>
      <c r="AC15" s="122" t="str" cm="1">
        <f t="array" ref="AC15">IF($AB15="","",_xlfn.LET(_xlpm.r,_xlfn.XLOOKUP($AB$3&amp;"|"&amp;$AB15,anSM_Seg&amp;"|"&amp;anSM_YM,anSM_Paid,""),IF(ISBLANK(_xlpm.r),"",_xlpm.r)))</f>
        <v/>
      </c>
      <c r="AD15" s="122" t="str" cm="1">
        <f t="array" ref="AD15">IF($AB15="","",_xlfn.LET(_xlpm.r,_xlfn.XLOOKUP($AB$3&amp;"|"&amp;$AB15,anSM_Seg&amp;"|"&amp;anSM_YM,anSM_PY,""),IF(ISBLANK(_xlpm.r),"",_xlpm.r)))</f>
        <v/>
      </c>
      <c r="AE15" s="122" t="str" cm="1">
        <f t="array" ref="AE15">IF($AB15="","",_xlfn.LET(_xlpm.r,_xlfn.XLOOKUP($AB$3&amp;"|"&amp;$AB15,anSM_Seg&amp;"|"&amp;anSM_YM,anSM_YoY,""),IF(ISBLANK(_xlpm.r),"",_xlpm.r)))</f>
        <v/>
      </c>
      <c r="AF15" s="122" t="str" cm="1">
        <f t="array" ref="AF15">IF($AB15="","",_xlfn.LET(_xlpm.r,_xlfn.XLOOKUP($AB$3&amp;"|"&amp;$AB15,anSM_Seg&amp;"|"&amp;anSM_YM,anSM_MoM,""),IF(ISBLANK(_xlpm.r),"",_xlpm.r)))</f>
        <v/>
      </c>
      <c r="AG15" s="122" t="str" cm="1">
        <f t="array" ref="AG15">IF($AB15="","",_xlfn.LET(_xlpm.r,_xlfn.XLOOKUP($AB$3&amp;"|"&amp;$AB15,anSM_Seg&amp;"|"&amp;anSM_YM,anSM_YTD,""),IF(ISBLANK(_xlpm.r),"",_xlpm.r)))</f>
        <v/>
      </c>
      <c r="AH15" s="122" t="str" cm="1">
        <f t="array" ref="AH15">IF($AB15="","",_xlfn.LET(_xlpm.r,_xlfn.XLOOKUP($AB$3&amp;"|"&amp;$AB15,anSM_Seg&amp;"|"&amp;anSM_YM,anSM_R3,""),IF(ISBLANK(_xlpm.r),"",_xlpm.r)))</f>
        <v/>
      </c>
      <c r="AI15" s="122" t="str" cm="1">
        <f t="array" ref="AI15">IF($AB15="","",_xlfn.LET(_xlpm.r,_xlfn.XLOOKUP($AB$3&amp;"|"&amp;$AB15,anSM_Seg&amp;"|"&amp;anSM_YM,anSM_R12,""),IF(ISBLANK(_xlpm.r),"",_xlpm.r)))</f>
        <v/>
      </c>
      <c r="AJ15" s="122" t="str" cm="1">
        <f t="array" ref="AJ15">IF($AB15="","",_xlfn.LET(_xlpm.r,_xlfn.XLOOKUP($AB$3&amp;"|"&amp;$AB15,anSM_Seg&amp;"|"&amp;anSM_YM,anSM_Lines,""),IF(ISBLANK(_xlpm.r),"",_xlpm.r)))</f>
        <v/>
      </c>
      <c r="AK15" s="122" t="str" cm="1">
        <f t="array" ref="AK15">IF($AB15="","",_xlfn.LET(_xlpm.r,_xlfn.XLOOKUP($AB$3&amp;"|"&amp;$AB15,anSM_Seg&amp;"|"&amp;anSM_YM,anSM_Cases,""),IF(ISBLANK(_xlpm.r),"",_xlpm.r)))</f>
        <v/>
      </c>
      <c r="AL15" s="122" t="str">
        <f t="shared" si="0"/>
        <v/>
      </c>
      <c r="AM15" s="122" t="str">
        <f t="shared" ca="1" si="1"/>
        <v/>
      </c>
      <c r="AN15" s="122" t="str">
        <f t="shared" ca="1" si="2"/>
        <v/>
      </c>
      <c r="AO15" s="122" t="str" cm="1">
        <f t="array" aca="1" ref="AO15" ca="1">IF(AND($BK$3,$AB15&lt;&gt;""),INDEX($BK$8:$BK$19,--RIGHT($AB15,2)),"")</f>
        <v/>
      </c>
      <c r="AP15" s="122" t="str">
        <f t="shared" ca="1" si="3"/>
        <v/>
      </c>
      <c r="AQ15" s="122" t="str">
        <f t="shared" si="4"/>
        <v/>
      </c>
      <c r="BB15" s="122" t="str">
        <f>IF($BB$6="","",_xlfn.XLOOKUP("AN_TR_CUR_TOTAL",tblUIText[Key],tblUIText[TR],"AN_TR_CUR_TOTAL")&amp;" / "&amp;_xlfn.XLOOKUP("AN_TR_CUR_TOTAL",tblUIText[Key],tblUIText[EN],""))</f>
        <v/>
      </c>
      <c r="BC15" s="122">
        <f>IF($BB$6="",0,SUMIFS(anNAT_Paid,anNAT_Seg,$AB$3,anNAT_YM,$AB$5)/1000000)</f>
        <v>0</v>
      </c>
      <c r="BE15" s="122" t="str">
        <f>IF($BE$6="","",_xlfn.XLOOKUP("AN_TR_CUR_TOTAL",tblUIText[Key],tblUIText[TR],"AN_TR_CUR_TOTAL")&amp;" / "&amp;_xlfn.XLOOKUP("AN_TR_CUR_TOTAL",tblUIText[Key],tblUIText[EN],""))</f>
        <v/>
      </c>
      <c r="BF15" s="122">
        <f>IF($BE$6="",0,SUMIFS(anNAT_Paid,anNAT_Seg,$AB$3,anNAT_YM,$AB$5)/1000000)</f>
        <v>0</v>
      </c>
      <c r="BH15" s="122">
        <f t="shared" si="5"/>
        <v>8</v>
      </c>
      <c r="BI15" s="122" cm="1">
        <f t="array" aca="1" ref="BI15" ca="1">SUMPRODUCT(--ISNUMBER($AN$8:$AN$43),--(IFERROR(--RIGHT($AB$8:$AB$43,2),0)=$BH15))</f>
        <v>0</v>
      </c>
      <c r="BJ15" s="122" t="str">
        <f t="shared" ca="1" si="6"/>
        <v/>
      </c>
      <c r="BK15" s="122" t="str">
        <f t="shared" ca="1" si="7"/>
        <v/>
      </c>
      <c r="BS15" s="122" t="str">
        <f t="shared" si="8"/>
        <v xml:space="preserve"> </v>
      </c>
      <c r="BT15" s="122">
        <v>0</v>
      </c>
      <c r="BU15" s="122">
        <v>0</v>
      </c>
      <c r="BV15" s="122">
        <v>0</v>
      </c>
      <c r="BW15" s="122">
        <f>BC15</f>
        <v>0</v>
      </c>
      <c r="BZ15" s="122" t="str">
        <f t="shared" si="9"/>
        <v xml:space="preserve"> </v>
      </c>
      <c r="CA15" s="122">
        <v>0</v>
      </c>
      <c r="CB15" s="122">
        <v>0</v>
      </c>
      <c r="CC15" s="122">
        <v>0</v>
      </c>
      <c r="CD15" s="122">
        <f>BF15</f>
        <v>0</v>
      </c>
      <c r="CG15" s="122" t="str" cm="1">
        <f t="array" ref="CG15">_xlfn.LET(_xlpm.k,ROW()-7,IF(_xlpm.k&lt;=$AB$4,$AB15,IF(_xlpm.k&lt;=$AB$4+IF($BL$3,$BL$4,0),TEXT(INDEX($BL$9:$BL$14,_xlpm.k-$AB$4),"yyyy-mm"),"")))</f>
        <v/>
      </c>
      <c r="CH15" s="122" t="e" cm="1">
        <f t="array" ref="CH15">_xlfn.LET(_xlpm.k,ROW()-7,IF(_xlpm.k&gt;$AB$4,NA(),_xlfn.LET(_xlpm.v,INDEX($AC$8:$AC$43,_xlpm.k),IF(ISNUMBER(_xlpm.v),_xlpm.v/1000000,NA()))))</f>
        <v>#N/A</v>
      </c>
      <c r="CI15" s="122" t="e" cm="1">
        <f t="array" ref="CI15">_xlfn.LET(_xlpm.k,ROW()-7,IF(_xlpm.k&gt;$AB$4,NA(),_xlfn.LET(_xlpm.v,INDEX($AD$8:$AD$43,_xlpm.k),IF(ISNUMBER(_xlpm.v),_xlpm.v/1000000,NA()))))</f>
        <v>#N/A</v>
      </c>
      <c r="CJ15" s="122" t="e" cm="1">
        <f t="array" ref="CJ15">_xlfn.LET(_xlpm.k,ROW()-7,IF(_xlpm.k&gt;$AB$4,NA(),_xlfn.LET(_xlpm.v,INDEX($AL$8:$AL$43,_xlpm.k),IF(ISNUMBER(_xlpm.v),_xlpm.v/1000000,NA()))))</f>
        <v>#N/A</v>
      </c>
      <c r="CK15" s="122" t="e" cm="1">
        <f t="array" ref="CK15">_xlfn.LET(_xlpm.k,ROW()-7,IF(OR(NOT($BL$3),_xlpm.k&lt;$AB$4,_xlpm.k&gt;$AB$4+IF($BL$3,$BL$4,0)),NA(),INDEX($BM$8:$BM$14,_xlpm.k-$AB$4+1)/1000000))</f>
        <v>#N/A</v>
      </c>
      <c r="CL15" s="122" t="e" cm="1">
        <f t="array" ref="CL15">_xlfn.LET(_xlpm.k,ROW()-7,IF(OR(NOT($BL$3),_xlpm.k&lt;$AB$4,_xlpm.k&gt;$AB$4+IF($BL$3,$BL$4,0)),NA(),INDEX($BN$8:$BN$14,_xlpm.k-$AB$4+1)/1000000))</f>
        <v>#N/A</v>
      </c>
      <c r="CM15" s="122" t="e" cm="1">
        <f t="array" ref="CM15">_xlfn.LET(_xlpm.k,ROW()-7,IF(OR(NOT($BL$3),_xlpm.k&lt;$AB$4,_xlpm.k&gt;$AB$4+IF($BL$3,$BL$4,0)),NA(),INDEX($BO$8:$BO$14,_xlpm.k-$AB$4+1)/1000000))</f>
        <v>#N/A</v>
      </c>
      <c r="CN15" s="122" t="e" cm="1">
        <f t="array" ref="CN15">_xlfn.LET(_xlpm.k,ROW()-7,IF(_xlpm.k&gt;$AB$4,NA(),_xlfn.LET(_xlpm.v,INDEX($AI$8:$AI$43,_xlpm.k),IF(ISNUMBER(_xlpm.v),_xlpm.v/1000000,NA()))))</f>
        <v>#N/A</v>
      </c>
      <c r="CO15" s="122" t="e" cm="1">
        <f t="array" ref="CO15">_xlfn.LET(_xlpm.k,ROW()-7,IF(OR(_xlpm.k&gt;$AB$4,_xlpm.k&lt;=12),NA(),_xlfn.LET(_xlpm.a,INDEX($AI$8:$AI$43,_xlpm.k),_xlpm.b,INDEX($AI$8:$AI$43,_xlpm.k-12),IF(AND(ISNUMBER(_xlpm.a),ISNUMBER(_xlpm.b),N(_xlpm.b)&gt;0),_xlpm.a/_xlpm.b-1,NA()))))</f>
        <v>#N/A</v>
      </c>
    </row>
    <row r="16" spans="2:93">
      <c r="AB16" s="122" t="str" cm="1">
        <f t="array" ref="AB16">IF(ROW()-7&gt;ROWS(_xlfn.ANCHORARRAY($AZ$8)),"",INDEX(_xlfn.ANCHORARRAY($AZ$8),ROW()-7)&amp;"")</f>
        <v/>
      </c>
      <c r="AC16" s="122" t="str" cm="1">
        <f t="array" ref="AC16">IF($AB16="","",_xlfn.LET(_xlpm.r,_xlfn.XLOOKUP($AB$3&amp;"|"&amp;$AB16,anSM_Seg&amp;"|"&amp;anSM_YM,anSM_Paid,""),IF(ISBLANK(_xlpm.r),"",_xlpm.r)))</f>
        <v/>
      </c>
      <c r="AD16" s="122" t="str" cm="1">
        <f t="array" ref="AD16">IF($AB16="","",_xlfn.LET(_xlpm.r,_xlfn.XLOOKUP($AB$3&amp;"|"&amp;$AB16,anSM_Seg&amp;"|"&amp;anSM_YM,anSM_PY,""),IF(ISBLANK(_xlpm.r),"",_xlpm.r)))</f>
        <v/>
      </c>
      <c r="AE16" s="122" t="str" cm="1">
        <f t="array" ref="AE16">IF($AB16="","",_xlfn.LET(_xlpm.r,_xlfn.XLOOKUP($AB$3&amp;"|"&amp;$AB16,anSM_Seg&amp;"|"&amp;anSM_YM,anSM_YoY,""),IF(ISBLANK(_xlpm.r),"",_xlpm.r)))</f>
        <v/>
      </c>
      <c r="AF16" s="122" t="str" cm="1">
        <f t="array" ref="AF16">IF($AB16="","",_xlfn.LET(_xlpm.r,_xlfn.XLOOKUP($AB$3&amp;"|"&amp;$AB16,anSM_Seg&amp;"|"&amp;anSM_YM,anSM_MoM,""),IF(ISBLANK(_xlpm.r),"",_xlpm.r)))</f>
        <v/>
      </c>
      <c r="AG16" s="122" t="str" cm="1">
        <f t="array" ref="AG16">IF($AB16="","",_xlfn.LET(_xlpm.r,_xlfn.XLOOKUP($AB$3&amp;"|"&amp;$AB16,anSM_Seg&amp;"|"&amp;anSM_YM,anSM_YTD,""),IF(ISBLANK(_xlpm.r),"",_xlpm.r)))</f>
        <v/>
      </c>
      <c r="AH16" s="122" t="str" cm="1">
        <f t="array" ref="AH16">IF($AB16="","",_xlfn.LET(_xlpm.r,_xlfn.XLOOKUP($AB$3&amp;"|"&amp;$AB16,anSM_Seg&amp;"|"&amp;anSM_YM,anSM_R3,""),IF(ISBLANK(_xlpm.r),"",_xlpm.r)))</f>
        <v/>
      </c>
      <c r="AI16" s="122" t="str" cm="1">
        <f t="array" ref="AI16">IF($AB16="","",_xlfn.LET(_xlpm.r,_xlfn.XLOOKUP($AB$3&amp;"|"&amp;$AB16,anSM_Seg&amp;"|"&amp;anSM_YM,anSM_R12,""),IF(ISBLANK(_xlpm.r),"",_xlpm.r)))</f>
        <v/>
      </c>
      <c r="AJ16" s="122" t="str" cm="1">
        <f t="array" ref="AJ16">IF($AB16="","",_xlfn.LET(_xlpm.r,_xlfn.XLOOKUP($AB$3&amp;"|"&amp;$AB16,anSM_Seg&amp;"|"&amp;anSM_YM,anSM_Lines,""),IF(ISBLANK(_xlpm.r),"",_xlpm.r)))</f>
        <v/>
      </c>
      <c r="AK16" s="122" t="str" cm="1">
        <f t="array" ref="AK16">IF($AB16="","",_xlfn.LET(_xlpm.r,_xlfn.XLOOKUP($AB$3&amp;"|"&amp;$AB16,anSM_Seg&amp;"|"&amp;anSM_YM,anSM_Cases,""),IF(ISBLANK(_xlpm.r),"",_xlpm.r)))</f>
        <v/>
      </c>
      <c r="AL16" s="122" t="str">
        <f t="shared" si="0"/>
        <v/>
      </c>
      <c r="AM16" s="122" t="str">
        <f t="shared" ca="1" si="1"/>
        <v/>
      </c>
      <c r="AN16" s="122" t="str">
        <f t="shared" ca="1" si="2"/>
        <v/>
      </c>
      <c r="AO16" s="122" t="str" cm="1">
        <f t="array" aca="1" ref="AO16" ca="1">IF(AND($BK$3,$AB16&lt;&gt;""),INDEX($BK$8:$BK$19,--RIGHT($AB16,2)),"")</f>
        <v/>
      </c>
      <c r="AP16" s="122" t="str">
        <f t="shared" ca="1" si="3"/>
        <v/>
      </c>
      <c r="AQ16" s="122" t="str">
        <f t="shared" si="4"/>
        <v/>
      </c>
      <c r="BH16" s="122">
        <f t="shared" si="5"/>
        <v>9</v>
      </c>
      <c r="BI16" s="122" cm="1">
        <f t="array" aca="1" ref="BI16" ca="1">SUMPRODUCT(--ISNUMBER($AN$8:$AN$43),--(IFERROR(--RIGHT($AB$8:$AB$43,2),0)=$BH16))</f>
        <v>0</v>
      </c>
      <c r="BJ16" s="122" t="str">
        <f t="shared" ca="1" si="6"/>
        <v/>
      </c>
      <c r="BK16" s="122" t="str">
        <f t="shared" ca="1" si="7"/>
        <v/>
      </c>
      <c r="CG16" s="122" t="str" cm="1">
        <f t="array" ref="CG16">_xlfn.LET(_xlpm.k,ROW()-7,IF(_xlpm.k&lt;=$AB$4,$AB16,IF(_xlpm.k&lt;=$AB$4+IF($BL$3,$BL$4,0),TEXT(INDEX($BL$9:$BL$14,_xlpm.k-$AB$4),"yyyy-mm"),"")))</f>
        <v/>
      </c>
      <c r="CH16" s="122" t="e" cm="1">
        <f t="array" ref="CH16">_xlfn.LET(_xlpm.k,ROW()-7,IF(_xlpm.k&gt;$AB$4,NA(),_xlfn.LET(_xlpm.v,INDEX($AC$8:$AC$43,_xlpm.k),IF(ISNUMBER(_xlpm.v),_xlpm.v/1000000,NA()))))</f>
        <v>#N/A</v>
      </c>
      <c r="CI16" s="122" t="e" cm="1">
        <f t="array" ref="CI16">_xlfn.LET(_xlpm.k,ROW()-7,IF(_xlpm.k&gt;$AB$4,NA(),_xlfn.LET(_xlpm.v,INDEX($AD$8:$AD$43,_xlpm.k),IF(ISNUMBER(_xlpm.v),_xlpm.v/1000000,NA()))))</f>
        <v>#N/A</v>
      </c>
      <c r="CJ16" s="122" t="e" cm="1">
        <f t="array" ref="CJ16">_xlfn.LET(_xlpm.k,ROW()-7,IF(_xlpm.k&gt;$AB$4,NA(),_xlfn.LET(_xlpm.v,INDEX($AL$8:$AL$43,_xlpm.k),IF(ISNUMBER(_xlpm.v),_xlpm.v/1000000,NA()))))</f>
        <v>#N/A</v>
      </c>
      <c r="CK16" s="122" t="e" cm="1">
        <f t="array" ref="CK16">_xlfn.LET(_xlpm.k,ROW()-7,IF(OR(NOT($BL$3),_xlpm.k&lt;$AB$4,_xlpm.k&gt;$AB$4+IF($BL$3,$BL$4,0)),NA(),INDEX($BM$8:$BM$14,_xlpm.k-$AB$4+1)/1000000))</f>
        <v>#N/A</v>
      </c>
      <c r="CL16" s="122" t="e" cm="1">
        <f t="array" ref="CL16">_xlfn.LET(_xlpm.k,ROW()-7,IF(OR(NOT($BL$3),_xlpm.k&lt;$AB$4,_xlpm.k&gt;$AB$4+IF($BL$3,$BL$4,0)),NA(),INDEX($BN$8:$BN$14,_xlpm.k-$AB$4+1)/1000000))</f>
        <v>#N/A</v>
      </c>
      <c r="CM16" s="122" t="e" cm="1">
        <f t="array" ref="CM16">_xlfn.LET(_xlpm.k,ROW()-7,IF(OR(NOT($BL$3),_xlpm.k&lt;$AB$4,_xlpm.k&gt;$AB$4+IF($BL$3,$BL$4,0)),NA(),INDEX($BO$8:$BO$14,_xlpm.k-$AB$4+1)/1000000))</f>
        <v>#N/A</v>
      </c>
      <c r="CN16" s="122" t="e" cm="1">
        <f t="array" ref="CN16">_xlfn.LET(_xlpm.k,ROW()-7,IF(_xlpm.k&gt;$AB$4,NA(),_xlfn.LET(_xlpm.v,INDEX($AI$8:$AI$43,_xlpm.k),IF(ISNUMBER(_xlpm.v),_xlpm.v/1000000,NA()))))</f>
        <v>#N/A</v>
      </c>
      <c r="CO16" s="122" t="e" cm="1">
        <f t="array" ref="CO16">_xlfn.LET(_xlpm.k,ROW()-7,IF(OR(_xlpm.k&gt;$AB$4,_xlpm.k&lt;=12),NA(),_xlfn.LET(_xlpm.a,INDEX($AI$8:$AI$43,_xlpm.k),_xlpm.b,INDEX($AI$8:$AI$43,_xlpm.k-12),IF(AND(ISNUMBER(_xlpm.a),ISNUMBER(_xlpm.b),N(_xlpm.b)&gt;0),_xlpm.a/_xlpm.b-1,NA()))))</f>
        <v>#N/A</v>
      </c>
    </row>
    <row r="17" spans="28:93">
      <c r="AB17" s="122" t="str" cm="1">
        <f t="array" ref="AB17">IF(ROW()-7&gt;ROWS(_xlfn.ANCHORARRAY($AZ$8)),"",INDEX(_xlfn.ANCHORARRAY($AZ$8),ROW()-7)&amp;"")</f>
        <v/>
      </c>
      <c r="AC17" s="122" t="str" cm="1">
        <f t="array" ref="AC17">IF($AB17="","",_xlfn.LET(_xlpm.r,_xlfn.XLOOKUP($AB$3&amp;"|"&amp;$AB17,anSM_Seg&amp;"|"&amp;anSM_YM,anSM_Paid,""),IF(ISBLANK(_xlpm.r),"",_xlpm.r)))</f>
        <v/>
      </c>
      <c r="AD17" s="122" t="str" cm="1">
        <f t="array" ref="AD17">IF($AB17="","",_xlfn.LET(_xlpm.r,_xlfn.XLOOKUP($AB$3&amp;"|"&amp;$AB17,anSM_Seg&amp;"|"&amp;anSM_YM,anSM_PY,""),IF(ISBLANK(_xlpm.r),"",_xlpm.r)))</f>
        <v/>
      </c>
      <c r="AE17" s="122" t="str" cm="1">
        <f t="array" ref="AE17">IF($AB17="","",_xlfn.LET(_xlpm.r,_xlfn.XLOOKUP($AB$3&amp;"|"&amp;$AB17,anSM_Seg&amp;"|"&amp;anSM_YM,anSM_YoY,""),IF(ISBLANK(_xlpm.r),"",_xlpm.r)))</f>
        <v/>
      </c>
      <c r="AF17" s="122" t="str" cm="1">
        <f t="array" ref="AF17">IF($AB17="","",_xlfn.LET(_xlpm.r,_xlfn.XLOOKUP($AB$3&amp;"|"&amp;$AB17,anSM_Seg&amp;"|"&amp;anSM_YM,anSM_MoM,""),IF(ISBLANK(_xlpm.r),"",_xlpm.r)))</f>
        <v/>
      </c>
      <c r="AG17" s="122" t="str" cm="1">
        <f t="array" ref="AG17">IF($AB17="","",_xlfn.LET(_xlpm.r,_xlfn.XLOOKUP($AB$3&amp;"|"&amp;$AB17,anSM_Seg&amp;"|"&amp;anSM_YM,anSM_YTD,""),IF(ISBLANK(_xlpm.r),"",_xlpm.r)))</f>
        <v/>
      </c>
      <c r="AH17" s="122" t="str" cm="1">
        <f t="array" ref="AH17">IF($AB17="","",_xlfn.LET(_xlpm.r,_xlfn.XLOOKUP($AB$3&amp;"|"&amp;$AB17,anSM_Seg&amp;"|"&amp;anSM_YM,anSM_R3,""),IF(ISBLANK(_xlpm.r),"",_xlpm.r)))</f>
        <v/>
      </c>
      <c r="AI17" s="122" t="str" cm="1">
        <f t="array" ref="AI17">IF($AB17="","",_xlfn.LET(_xlpm.r,_xlfn.XLOOKUP($AB$3&amp;"|"&amp;$AB17,anSM_Seg&amp;"|"&amp;anSM_YM,anSM_R12,""),IF(ISBLANK(_xlpm.r),"",_xlpm.r)))</f>
        <v/>
      </c>
      <c r="AJ17" s="122" t="str" cm="1">
        <f t="array" ref="AJ17">IF($AB17="","",_xlfn.LET(_xlpm.r,_xlfn.XLOOKUP($AB$3&amp;"|"&amp;$AB17,anSM_Seg&amp;"|"&amp;anSM_YM,anSM_Lines,""),IF(ISBLANK(_xlpm.r),"",_xlpm.r)))</f>
        <v/>
      </c>
      <c r="AK17" s="122" t="str" cm="1">
        <f t="array" ref="AK17">IF($AB17="","",_xlfn.LET(_xlpm.r,_xlfn.XLOOKUP($AB$3&amp;"|"&amp;$AB17,anSM_Seg&amp;"|"&amp;anSM_YM,anSM_Cases,""),IF(ISBLANK(_xlpm.r),"",_xlpm.r)))</f>
        <v/>
      </c>
      <c r="AL17" s="122" t="str">
        <f t="shared" si="0"/>
        <v/>
      </c>
      <c r="AM17" s="122" t="str">
        <f t="shared" ca="1" si="1"/>
        <v/>
      </c>
      <c r="AN17" s="122" t="str">
        <f t="shared" ca="1" si="2"/>
        <v/>
      </c>
      <c r="AO17" s="122" t="str" cm="1">
        <f t="array" aca="1" ref="AO17" ca="1">IF(AND($BK$3,$AB17&lt;&gt;""),INDEX($BK$8:$BK$19,--RIGHT($AB17,2)),"")</f>
        <v/>
      </c>
      <c r="AP17" s="122" t="str">
        <f t="shared" ca="1" si="3"/>
        <v/>
      </c>
      <c r="AQ17" s="122" t="str">
        <f t="shared" si="4"/>
        <v/>
      </c>
      <c r="BH17" s="122">
        <f t="shared" si="5"/>
        <v>10</v>
      </c>
      <c r="BI17" s="122" cm="1">
        <f t="array" aca="1" ref="BI17" ca="1">SUMPRODUCT(--ISNUMBER($AN$8:$AN$43),--(IFERROR(--RIGHT($AB$8:$AB$43,2),0)=$BH17))</f>
        <v>0</v>
      </c>
      <c r="BJ17" s="122" t="str">
        <f t="shared" ca="1" si="6"/>
        <v/>
      </c>
      <c r="BK17" s="122" t="str">
        <f t="shared" ca="1" si="7"/>
        <v/>
      </c>
      <c r="CG17" s="122" t="str" cm="1">
        <f t="array" ref="CG17">_xlfn.LET(_xlpm.k,ROW()-7,IF(_xlpm.k&lt;=$AB$4,$AB17,IF(_xlpm.k&lt;=$AB$4+IF($BL$3,$BL$4,0),TEXT(INDEX($BL$9:$BL$14,_xlpm.k-$AB$4),"yyyy-mm"),"")))</f>
        <v/>
      </c>
      <c r="CH17" s="122" t="e" cm="1">
        <f t="array" ref="CH17">_xlfn.LET(_xlpm.k,ROW()-7,IF(_xlpm.k&gt;$AB$4,NA(),_xlfn.LET(_xlpm.v,INDEX($AC$8:$AC$43,_xlpm.k),IF(ISNUMBER(_xlpm.v),_xlpm.v/1000000,NA()))))</f>
        <v>#N/A</v>
      </c>
      <c r="CI17" s="122" t="e" cm="1">
        <f t="array" ref="CI17">_xlfn.LET(_xlpm.k,ROW()-7,IF(_xlpm.k&gt;$AB$4,NA(),_xlfn.LET(_xlpm.v,INDEX($AD$8:$AD$43,_xlpm.k),IF(ISNUMBER(_xlpm.v),_xlpm.v/1000000,NA()))))</f>
        <v>#N/A</v>
      </c>
      <c r="CJ17" s="122" t="e" cm="1">
        <f t="array" ref="CJ17">_xlfn.LET(_xlpm.k,ROW()-7,IF(_xlpm.k&gt;$AB$4,NA(),_xlfn.LET(_xlpm.v,INDEX($AL$8:$AL$43,_xlpm.k),IF(ISNUMBER(_xlpm.v),_xlpm.v/1000000,NA()))))</f>
        <v>#N/A</v>
      </c>
      <c r="CK17" s="122" t="e" cm="1">
        <f t="array" ref="CK17">_xlfn.LET(_xlpm.k,ROW()-7,IF(OR(NOT($BL$3),_xlpm.k&lt;$AB$4,_xlpm.k&gt;$AB$4+IF($BL$3,$BL$4,0)),NA(),INDEX($BM$8:$BM$14,_xlpm.k-$AB$4+1)/1000000))</f>
        <v>#N/A</v>
      </c>
      <c r="CL17" s="122" t="e" cm="1">
        <f t="array" ref="CL17">_xlfn.LET(_xlpm.k,ROW()-7,IF(OR(NOT($BL$3),_xlpm.k&lt;$AB$4,_xlpm.k&gt;$AB$4+IF($BL$3,$BL$4,0)),NA(),INDEX($BN$8:$BN$14,_xlpm.k-$AB$4+1)/1000000))</f>
        <v>#N/A</v>
      </c>
      <c r="CM17" s="122" t="e" cm="1">
        <f t="array" ref="CM17">_xlfn.LET(_xlpm.k,ROW()-7,IF(OR(NOT($BL$3),_xlpm.k&lt;$AB$4,_xlpm.k&gt;$AB$4+IF($BL$3,$BL$4,0)),NA(),INDEX($BO$8:$BO$14,_xlpm.k-$AB$4+1)/1000000))</f>
        <v>#N/A</v>
      </c>
      <c r="CN17" s="122" t="e" cm="1">
        <f t="array" ref="CN17">_xlfn.LET(_xlpm.k,ROW()-7,IF(_xlpm.k&gt;$AB$4,NA(),_xlfn.LET(_xlpm.v,INDEX($AI$8:$AI$43,_xlpm.k),IF(ISNUMBER(_xlpm.v),_xlpm.v/1000000,NA()))))</f>
        <v>#N/A</v>
      </c>
      <c r="CO17" s="122" t="e" cm="1">
        <f t="array" ref="CO17">_xlfn.LET(_xlpm.k,ROW()-7,IF(OR(_xlpm.k&gt;$AB$4,_xlpm.k&lt;=12),NA(),_xlfn.LET(_xlpm.a,INDEX($AI$8:$AI$43,_xlpm.k),_xlpm.b,INDEX($AI$8:$AI$43,_xlpm.k-12),IF(AND(ISNUMBER(_xlpm.a),ISNUMBER(_xlpm.b),N(_xlpm.b)&gt;0),_xlpm.a/_xlpm.b-1,NA()))))</f>
        <v>#N/A</v>
      </c>
    </row>
    <row r="18" spans="28:93">
      <c r="AB18" s="122" t="str" cm="1">
        <f t="array" ref="AB18">IF(ROW()-7&gt;ROWS(_xlfn.ANCHORARRAY($AZ$8)),"",INDEX(_xlfn.ANCHORARRAY($AZ$8),ROW()-7)&amp;"")</f>
        <v/>
      </c>
      <c r="AC18" s="122" t="str" cm="1">
        <f t="array" ref="AC18">IF($AB18="","",_xlfn.LET(_xlpm.r,_xlfn.XLOOKUP($AB$3&amp;"|"&amp;$AB18,anSM_Seg&amp;"|"&amp;anSM_YM,anSM_Paid,""),IF(ISBLANK(_xlpm.r),"",_xlpm.r)))</f>
        <v/>
      </c>
      <c r="AD18" s="122" t="str" cm="1">
        <f t="array" ref="AD18">IF($AB18="","",_xlfn.LET(_xlpm.r,_xlfn.XLOOKUP($AB$3&amp;"|"&amp;$AB18,anSM_Seg&amp;"|"&amp;anSM_YM,anSM_PY,""),IF(ISBLANK(_xlpm.r),"",_xlpm.r)))</f>
        <v/>
      </c>
      <c r="AE18" s="122" t="str" cm="1">
        <f t="array" ref="AE18">IF($AB18="","",_xlfn.LET(_xlpm.r,_xlfn.XLOOKUP($AB$3&amp;"|"&amp;$AB18,anSM_Seg&amp;"|"&amp;anSM_YM,anSM_YoY,""),IF(ISBLANK(_xlpm.r),"",_xlpm.r)))</f>
        <v/>
      </c>
      <c r="AF18" s="122" t="str" cm="1">
        <f t="array" ref="AF18">IF($AB18="","",_xlfn.LET(_xlpm.r,_xlfn.XLOOKUP($AB$3&amp;"|"&amp;$AB18,anSM_Seg&amp;"|"&amp;anSM_YM,anSM_MoM,""),IF(ISBLANK(_xlpm.r),"",_xlpm.r)))</f>
        <v/>
      </c>
      <c r="AG18" s="122" t="str" cm="1">
        <f t="array" ref="AG18">IF($AB18="","",_xlfn.LET(_xlpm.r,_xlfn.XLOOKUP($AB$3&amp;"|"&amp;$AB18,anSM_Seg&amp;"|"&amp;anSM_YM,anSM_YTD,""),IF(ISBLANK(_xlpm.r),"",_xlpm.r)))</f>
        <v/>
      </c>
      <c r="AH18" s="122" t="str" cm="1">
        <f t="array" ref="AH18">IF($AB18="","",_xlfn.LET(_xlpm.r,_xlfn.XLOOKUP($AB$3&amp;"|"&amp;$AB18,anSM_Seg&amp;"|"&amp;anSM_YM,anSM_R3,""),IF(ISBLANK(_xlpm.r),"",_xlpm.r)))</f>
        <v/>
      </c>
      <c r="AI18" s="122" t="str" cm="1">
        <f t="array" ref="AI18">IF($AB18="","",_xlfn.LET(_xlpm.r,_xlfn.XLOOKUP($AB$3&amp;"|"&amp;$AB18,anSM_Seg&amp;"|"&amp;anSM_YM,anSM_R12,""),IF(ISBLANK(_xlpm.r),"",_xlpm.r)))</f>
        <v/>
      </c>
      <c r="AJ18" s="122" t="str" cm="1">
        <f t="array" ref="AJ18">IF($AB18="","",_xlfn.LET(_xlpm.r,_xlfn.XLOOKUP($AB$3&amp;"|"&amp;$AB18,anSM_Seg&amp;"|"&amp;anSM_YM,anSM_Lines,""),IF(ISBLANK(_xlpm.r),"",_xlpm.r)))</f>
        <v/>
      </c>
      <c r="AK18" s="122" t="str" cm="1">
        <f t="array" ref="AK18">IF($AB18="","",_xlfn.LET(_xlpm.r,_xlfn.XLOOKUP($AB$3&amp;"|"&amp;$AB18,anSM_Seg&amp;"|"&amp;anSM_YM,anSM_Cases,""),IF(ISBLANK(_xlpm.r),"",_xlpm.r)))</f>
        <v/>
      </c>
      <c r="AL18" s="122" t="str">
        <f t="shared" si="0"/>
        <v/>
      </c>
      <c r="AM18" s="122" t="str">
        <f t="shared" ca="1" si="1"/>
        <v/>
      </c>
      <c r="AN18" s="122" t="str">
        <f t="shared" ca="1" si="2"/>
        <v/>
      </c>
      <c r="AO18" s="122" t="str" cm="1">
        <f t="array" aca="1" ref="AO18" ca="1">IF(AND($BK$3,$AB18&lt;&gt;""),INDEX($BK$8:$BK$19,--RIGHT($AB18,2)),"")</f>
        <v/>
      </c>
      <c r="AP18" s="122" t="str">
        <f t="shared" ca="1" si="3"/>
        <v/>
      </c>
      <c r="AQ18" s="122" t="str">
        <f t="shared" si="4"/>
        <v/>
      </c>
      <c r="BH18" s="122">
        <f t="shared" si="5"/>
        <v>11</v>
      </c>
      <c r="BI18" s="122" cm="1">
        <f t="array" aca="1" ref="BI18" ca="1">SUMPRODUCT(--ISNUMBER($AN$8:$AN$43),--(IFERROR(--RIGHT($AB$8:$AB$43,2),0)=$BH18))</f>
        <v>0</v>
      </c>
      <c r="BJ18" s="122" t="str">
        <f t="shared" ca="1" si="6"/>
        <v/>
      </c>
      <c r="BK18" s="122" t="str">
        <f t="shared" ca="1" si="7"/>
        <v/>
      </c>
      <c r="CG18" s="122" t="str" cm="1">
        <f t="array" ref="CG18">_xlfn.LET(_xlpm.k,ROW()-7,IF(_xlpm.k&lt;=$AB$4,$AB18,IF(_xlpm.k&lt;=$AB$4+IF($BL$3,$BL$4,0),TEXT(INDEX($BL$9:$BL$14,_xlpm.k-$AB$4),"yyyy-mm"),"")))</f>
        <v/>
      </c>
      <c r="CH18" s="122" t="e" cm="1">
        <f t="array" ref="CH18">_xlfn.LET(_xlpm.k,ROW()-7,IF(_xlpm.k&gt;$AB$4,NA(),_xlfn.LET(_xlpm.v,INDEX($AC$8:$AC$43,_xlpm.k),IF(ISNUMBER(_xlpm.v),_xlpm.v/1000000,NA()))))</f>
        <v>#N/A</v>
      </c>
      <c r="CI18" s="122" t="e" cm="1">
        <f t="array" ref="CI18">_xlfn.LET(_xlpm.k,ROW()-7,IF(_xlpm.k&gt;$AB$4,NA(),_xlfn.LET(_xlpm.v,INDEX($AD$8:$AD$43,_xlpm.k),IF(ISNUMBER(_xlpm.v),_xlpm.v/1000000,NA()))))</f>
        <v>#N/A</v>
      </c>
      <c r="CJ18" s="122" t="e" cm="1">
        <f t="array" ref="CJ18">_xlfn.LET(_xlpm.k,ROW()-7,IF(_xlpm.k&gt;$AB$4,NA(),_xlfn.LET(_xlpm.v,INDEX($AL$8:$AL$43,_xlpm.k),IF(ISNUMBER(_xlpm.v),_xlpm.v/1000000,NA()))))</f>
        <v>#N/A</v>
      </c>
      <c r="CK18" s="122" t="e" cm="1">
        <f t="array" ref="CK18">_xlfn.LET(_xlpm.k,ROW()-7,IF(OR(NOT($BL$3),_xlpm.k&lt;$AB$4,_xlpm.k&gt;$AB$4+IF($BL$3,$BL$4,0)),NA(),INDEX($BM$8:$BM$14,_xlpm.k-$AB$4+1)/1000000))</f>
        <v>#N/A</v>
      </c>
      <c r="CL18" s="122" t="e" cm="1">
        <f t="array" ref="CL18">_xlfn.LET(_xlpm.k,ROW()-7,IF(OR(NOT($BL$3),_xlpm.k&lt;$AB$4,_xlpm.k&gt;$AB$4+IF($BL$3,$BL$4,0)),NA(),INDEX($BN$8:$BN$14,_xlpm.k-$AB$4+1)/1000000))</f>
        <v>#N/A</v>
      </c>
      <c r="CM18" s="122" t="e" cm="1">
        <f t="array" ref="CM18">_xlfn.LET(_xlpm.k,ROW()-7,IF(OR(NOT($BL$3),_xlpm.k&lt;$AB$4,_xlpm.k&gt;$AB$4+IF($BL$3,$BL$4,0)),NA(),INDEX($BO$8:$BO$14,_xlpm.k-$AB$4+1)/1000000))</f>
        <v>#N/A</v>
      </c>
      <c r="CN18" s="122" t="e" cm="1">
        <f t="array" ref="CN18">_xlfn.LET(_xlpm.k,ROW()-7,IF(_xlpm.k&gt;$AB$4,NA(),_xlfn.LET(_xlpm.v,INDEX($AI$8:$AI$43,_xlpm.k),IF(ISNUMBER(_xlpm.v),_xlpm.v/1000000,NA()))))</f>
        <v>#N/A</v>
      </c>
      <c r="CO18" s="122" t="e" cm="1">
        <f t="array" ref="CO18">_xlfn.LET(_xlpm.k,ROW()-7,IF(OR(_xlpm.k&gt;$AB$4,_xlpm.k&lt;=12),NA(),_xlfn.LET(_xlpm.a,INDEX($AI$8:$AI$43,_xlpm.k),_xlpm.b,INDEX($AI$8:$AI$43,_xlpm.k-12),IF(AND(ISNUMBER(_xlpm.a),ISNUMBER(_xlpm.b),N(_xlpm.b)&gt;0),_xlpm.a/_xlpm.b-1,NA()))))</f>
        <v>#N/A</v>
      </c>
    </row>
    <row r="19" spans="28:93">
      <c r="AB19" s="122" t="str" cm="1">
        <f t="array" ref="AB19">IF(ROW()-7&gt;ROWS(_xlfn.ANCHORARRAY($AZ$8)),"",INDEX(_xlfn.ANCHORARRAY($AZ$8),ROW()-7)&amp;"")</f>
        <v/>
      </c>
      <c r="AC19" s="122" t="str" cm="1">
        <f t="array" ref="AC19">IF($AB19="","",_xlfn.LET(_xlpm.r,_xlfn.XLOOKUP($AB$3&amp;"|"&amp;$AB19,anSM_Seg&amp;"|"&amp;anSM_YM,anSM_Paid,""),IF(ISBLANK(_xlpm.r),"",_xlpm.r)))</f>
        <v/>
      </c>
      <c r="AD19" s="122" t="str" cm="1">
        <f t="array" ref="AD19">IF($AB19="","",_xlfn.LET(_xlpm.r,_xlfn.XLOOKUP($AB$3&amp;"|"&amp;$AB19,anSM_Seg&amp;"|"&amp;anSM_YM,anSM_PY,""),IF(ISBLANK(_xlpm.r),"",_xlpm.r)))</f>
        <v/>
      </c>
      <c r="AE19" s="122" t="str" cm="1">
        <f t="array" ref="AE19">IF($AB19="","",_xlfn.LET(_xlpm.r,_xlfn.XLOOKUP($AB$3&amp;"|"&amp;$AB19,anSM_Seg&amp;"|"&amp;anSM_YM,anSM_YoY,""),IF(ISBLANK(_xlpm.r),"",_xlpm.r)))</f>
        <v/>
      </c>
      <c r="AF19" s="122" t="str" cm="1">
        <f t="array" ref="AF19">IF($AB19="","",_xlfn.LET(_xlpm.r,_xlfn.XLOOKUP($AB$3&amp;"|"&amp;$AB19,anSM_Seg&amp;"|"&amp;anSM_YM,anSM_MoM,""),IF(ISBLANK(_xlpm.r),"",_xlpm.r)))</f>
        <v/>
      </c>
      <c r="AG19" s="122" t="str" cm="1">
        <f t="array" ref="AG19">IF($AB19="","",_xlfn.LET(_xlpm.r,_xlfn.XLOOKUP($AB$3&amp;"|"&amp;$AB19,anSM_Seg&amp;"|"&amp;anSM_YM,anSM_YTD,""),IF(ISBLANK(_xlpm.r),"",_xlpm.r)))</f>
        <v/>
      </c>
      <c r="AH19" s="122" t="str" cm="1">
        <f t="array" ref="AH19">IF($AB19="","",_xlfn.LET(_xlpm.r,_xlfn.XLOOKUP($AB$3&amp;"|"&amp;$AB19,anSM_Seg&amp;"|"&amp;anSM_YM,anSM_R3,""),IF(ISBLANK(_xlpm.r),"",_xlpm.r)))</f>
        <v/>
      </c>
      <c r="AI19" s="122" t="str" cm="1">
        <f t="array" ref="AI19">IF($AB19="","",_xlfn.LET(_xlpm.r,_xlfn.XLOOKUP($AB$3&amp;"|"&amp;$AB19,anSM_Seg&amp;"|"&amp;anSM_YM,anSM_R12,""),IF(ISBLANK(_xlpm.r),"",_xlpm.r)))</f>
        <v/>
      </c>
      <c r="AJ19" s="122" t="str" cm="1">
        <f t="array" ref="AJ19">IF($AB19="","",_xlfn.LET(_xlpm.r,_xlfn.XLOOKUP($AB$3&amp;"|"&amp;$AB19,anSM_Seg&amp;"|"&amp;anSM_YM,anSM_Lines,""),IF(ISBLANK(_xlpm.r),"",_xlpm.r)))</f>
        <v/>
      </c>
      <c r="AK19" s="122" t="str" cm="1">
        <f t="array" ref="AK19">IF($AB19="","",_xlfn.LET(_xlpm.r,_xlfn.XLOOKUP($AB$3&amp;"|"&amp;$AB19,anSM_Seg&amp;"|"&amp;anSM_YM,anSM_Cases,""),IF(ISBLANK(_xlpm.r),"",_xlpm.r)))</f>
        <v/>
      </c>
      <c r="AL19" s="122" t="str">
        <f t="shared" si="0"/>
        <v/>
      </c>
      <c r="AM19" s="122" t="str">
        <f t="shared" ca="1" si="1"/>
        <v/>
      </c>
      <c r="AN19" s="122" t="str">
        <f t="shared" ca="1" si="2"/>
        <v/>
      </c>
      <c r="AO19" s="122" t="str" cm="1">
        <f t="array" aca="1" ref="AO19" ca="1">IF(AND($BK$3,$AB19&lt;&gt;""),INDEX($BK$8:$BK$19,--RIGHT($AB19,2)),"")</f>
        <v/>
      </c>
      <c r="AP19" s="122" t="str">
        <f t="shared" ca="1" si="3"/>
        <v/>
      </c>
      <c r="AQ19" s="122" t="str">
        <f t="shared" si="4"/>
        <v/>
      </c>
      <c r="BH19" s="122">
        <f t="shared" si="5"/>
        <v>12</v>
      </c>
      <c r="BI19" s="122" cm="1">
        <f t="array" aca="1" ref="BI19" ca="1">SUMPRODUCT(--ISNUMBER($AN$8:$AN$43),--(IFERROR(--RIGHT($AB$8:$AB$43,2),0)=$BH19))</f>
        <v>0</v>
      </c>
      <c r="BJ19" s="122" t="str">
        <f t="shared" ca="1" si="6"/>
        <v/>
      </c>
      <c r="BK19" s="122" t="str">
        <f t="shared" ca="1" si="7"/>
        <v/>
      </c>
      <c r="CG19" s="122" t="str" cm="1">
        <f t="array" ref="CG19">_xlfn.LET(_xlpm.k,ROW()-7,IF(_xlpm.k&lt;=$AB$4,$AB19,IF(_xlpm.k&lt;=$AB$4+IF($BL$3,$BL$4,0),TEXT(INDEX($BL$9:$BL$14,_xlpm.k-$AB$4),"yyyy-mm"),"")))</f>
        <v/>
      </c>
      <c r="CH19" s="122" t="e" cm="1">
        <f t="array" ref="CH19">_xlfn.LET(_xlpm.k,ROW()-7,IF(_xlpm.k&gt;$AB$4,NA(),_xlfn.LET(_xlpm.v,INDEX($AC$8:$AC$43,_xlpm.k),IF(ISNUMBER(_xlpm.v),_xlpm.v/1000000,NA()))))</f>
        <v>#N/A</v>
      </c>
      <c r="CI19" s="122" t="e" cm="1">
        <f t="array" ref="CI19">_xlfn.LET(_xlpm.k,ROW()-7,IF(_xlpm.k&gt;$AB$4,NA(),_xlfn.LET(_xlpm.v,INDEX($AD$8:$AD$43,_xlpm.k),IF(ISNUMBER(_xlpm.v),_xlpm.v/1000000,NA()))))</f>
        <v>#N/A</v>
      </c>
      <c r="CJ19" s="122" t="e" cm="1">
        <f t="array" ref="CJ19">_xlfn.LET(_xlpm.k,ROW()-7,IF(_xlpm.k&gt;$AB$4,NA(),_xlfn.LET(_xlpm.v,INDEX($AL$8:$AL$43,_xlpm.k),IF(ISNUMBER(_xlpm.v),_xlpm.v/1000000,NA()))))</f>
        <v>#N/A</v>
      </c>
      <c r="CK19" s="122" t="e" cm="1">
        <f t="array" ref="CK19">_xlfn.LET(_xlpm.k,ROW()-7,IF(OR(NOT($BL$3),_xlpm.k&lt;$AB$4,_xlpm.k&gt;$AB$4+IF($BL$3,$BL$4,0)),NA(),INDEX($BM$8:$BM$14,_xlpm.k-$AB$4+1)/1000000))</f>
        <v>#N/A</v>
      </c>
      <c r="CL19" s="122" t="e" cm="1">
        <f t="array" ref="CL19">_xlfn.LET(_xlpm.k,ROW()-7,IF(OR(NOT($BL$3),_xlpm.k&lt;$AB$4,_xlpm.k&gt;$AB$4+IF($BL$3,$BL$4,0)),NA(),INDEX($BN$8:$BN$14,_xlpm.k-$AB$4+1)/1000000))</f>
        <v>#N/A</v>
      </c>
      <c r="CM19" s="122" t="e" cm="1">
        <f t="array" ref="CM19">_xlfn.LET(_xlpm.k,ROW()-7,IF(OR(NOT($BL$3),_xlpm.k&lt;$AB$4,_xlpm.k&gt;$AB$4+IF($BL$3,$BL$4,0)),NA(),INDEX($BO$8:$BO$14,_xlpm.k-$AB$4+1)/1000000))</f>
        <v>#N/A</v>
      </c>
      <c r="CN19" s="122" t="e" cm="1">
        <f t="array" ref="CN19">_xlfn.LET(_xlpm.k,ROW()-7,IF(_xlpm.k&gt;$AB$4,NA(),_xlfn.LET(_xlpm.v,INDEX($AI$8:$AI$43,_xlpm.k),IF(ISNUMBER(_xlpm.v),_xlpm.v/1000000,NA()))))</f>
        <v>#N/A</v>
      </c>
      <c r="CO19" s="122" t="e" cm="1">
        <f t="array" ref="CO19">_xlfn.LET(_xlpm.k,ROW()-7,IF(OR(_xlpm.k&gt;$AB$4,_xlpm.k&lt;=12),NA(),_xlfn.LET(_xlpm.a,INDEX($AI$8:$AI$43,_xlpm.k),_xlpm.b,INDEX($AI$8:$AI$43,_xlpm.k-12),IF(AND(ISNUMBER(_xlpm.a),ISNUMBER(_xlpm.b),N(_xlpm.b)&gt;0),_xlpm.a/_xlpm.b-1,NA()))))</f>
        <v>#N/A</v>
      </c>
    </row>
    <row r="20" spans="28:93">
      <c r="AB20" s="122" t="str" cm="1">
        <f t="array" ref="AB20">IF(ROW()-7&gt;ROWS(_xlfn.ANCHORARRAY($AZ$8)),"",INDEX(_xlfn.ANCHORARRAY($AZ$8),ROW()-7)&amp;"")</f>
        <v/>
      </c>
      <c r="AC20" s="122" t="str" cm="1">
        <f t="array" ref="AC20">IF($AB20="","",_xlfn.LET(_xlpm.r,_xlfn.XLOOKUP($AB$3&amp;"|"&amp;$AB20,anSM_Seg&amp;"|"&amp;anSM_YM,anSM_Paid,""),IF(ISBLANK(_xlpm.r),"",_xlpm.r)))</f>
        <v/>
      </c>
      <c r="AD20" s="122" t="str" cm="1">
        <f t="array" ref="AD20">IF($AB20="","",_xlfn.LET(_xlpm.r,_xlfn.XLOOKUP($AB$3&amp;"|"&amp;$AB20,anSM_Seg&amp;"|"&amp;anSM_YM,anSM_PY,""),IF(ISBLANK(_xlpm.r),"",_xlpm.r)))</f>
        <v/>
      </c>
      <c r="AE20" s="122" t="str" cm="1">
        <f t="array" ref="AE20">IF($AB20="","",_xlfn.LET(_xlpm.r,_xlfn.XLOOKUP($AB$3&amp;"|"&amp;$AB20,anSM_Seg&amp;"|"&amp;anSM_YM,anSM_YoY,""),IF(ISBLANK(_xlpm.r),"",_xlpm.r)))</f>
        <v/>
      </c>
      <c r="AF20" s="122" t="str" cm="1">
        <f t="array" ref="AF20">IF($AB20="","",_xlfn.LET(_xlpm.r,_xlfn.XLOOKUP($AB$3&amp;"|"&amp;$AB20,anSM_Seg&amp;"|"&amp;anSM_YM,anSM_MoM,""),IF(ISBLANK(_xlpm.r),"",_xlpm.r)))</f>
        <v/>
      </c>
      <c r="AG20" s="122" t="str" cm="1">
        <f t="array" ref="AG20">IF($AB20="","",_xlfn.LET(_xlpm.r,_xlfn.XLOOKUP($AB$3&amp;"|"&amp;$AB20,anSM_Seg&amp;"|"&amp;anSM_YM,anSM_YTD,""),IF(ISBLANK(_xlpm.r),"",_xlpm.r)))</f>
        <v/>
      </c>
      <c r="AH20" s="122" t="str" cm="1">
        <f t="array" ref="AH20">IF($AB20="","",_xlfn.LET(_xlpm.r,_xlfn.XLOOKUP($AB$3&amp;"|"&amp;$AB20,anSM_Seg&amp;"|"&amp;anSM_YM,anSM_R3,""),IF(ISBLANK(_xlpm.r),"",_xlpm.r)))</f>
        <v/>
      </c>
      <c r="AI20" s="122" t="str" cm="1">
        <f t="array" ref="AI20">IF($AB20="","",_xlfn.LET(_xlpm.r,_xlfn.XLOOKUP($AB$3&amp;"|"&amp;$AB20,anSM_Seg&amp;"|"&amp;anSM_YM,anSM_R12,""),IF(ISBLANK(_xlpm.r),"",_xlpm.r)))</f>
        <v/>
      </c>
      <c r="AJ20" s="122" t="str" cm="1">
        <f t="array" ref="AJ20">IF($AB20="","",_xlfn.LET(_xlpm.r,_xlfn.XLOOKUP($AB$3&amp;"|"&amp;$AB20,anSM_Seg&amp;"|"&amp;anSM_YM,anSM_Lines,""),IF(ISBLANK(_xlpm.r),"",_xlpm.r)))</f>
        <v/>
      </c>
      <c r="AK20" s="122" t="str" cm="1">
        <f t="array" ref="AK20">IF($AB20="","",_xlfn.LET(_xlpm.r,_xlfn.XLOOKUP($AB$3&amp;"|"&amp;$AB20,anSM_Seg&amp;"|"&amp;anSM_YM,anSM_Cases,""),IF(ISBLANK(_xlpm.r),"",_xlpm.r)))</f>
        <v/>
      </c>
      <c r="AL20" s="122" t="str">
        <f t="shared" si="0"/>
        <v/>
      </c>
      <c r="AM20" s="122" t="str">
        <f t="shared" ca="1" si="1"/>
        <v/>
      </c>
      <c r="AN20" s="122" t="str">
        <f t="shared" ca="1" si="2"/>
        <v/>
      </c>
      <c r="AO20" s="122" t="str" cm="1">
        <f t="array" aca="1" ref="AO20" ca="1">IF(AND($BK$3,$AB20&lt;&gt;""),INDEX($BK$8:$BK$19,--RIGHT($AB20,2)),"")</f>
        <v/>
      </c>
      <c r="AP20" s="122" t="str">
        <f t="shared" ca="1" si="3"/>
        <v/>
      </c>
      <c r="AQ20" s="122" t="str">
        <f t="shared" si="4"/>
        <v/>
      </c>
      <c r="CG20" s="122" t="str" cm="1">
        <f t="array" ref="CG20">_xlfn.LET(_xlpm.k,ROW()-7,IF(_xlpm.k&lt;=$AB$4,$AB20,IF(_xlpm.k&lt;=$AB$4+IF($BL$3,$BL$4,0),TEXT(INDEX($BL$9:$BL$14,_xlpm.k-$AB$4),"yyyy-mm"),"")))</f>
        <v/>
      </c>
      <c r="CH20" s="122" t="e" cm="1">
        <f t="array" ref="CH20">_xlfn.LET(_xlpm.k,ROW()-7,IF(_xlpm.k&gt;$AB$4,NA(),_xlfn.LET(_xlpm.v,INDEX($AC$8:$AC$43,_xlpm.k),IF(ISNUMBER(_xlpm.v),_xlpm.v/1000000,NA()))))</f>
        <v>#N/A</v>
      </c>
      <c r="CI20" s="122" t="e" cm="1">
        <f t="array" ref="CI20">_xlfn.LET(_xlpm.k,ROW()-7,IF(_xlpm.k&gt;$AB$4,NA(),_xlfn.LET(_xlpm.v,INDEX($AD$8:$AD$43,_xlpm.k),IF(ISNUMBER(_xlpm.v),_xlpm.v/1000000,NA()))))</f>
        <v>#N/A</v>
      </c>
      <c r="CJ20" s="122" t="e" cm="1">
        <f t="array" ref="CJ20">_xlfn.LET(_xlpm.k,ROW()-7,IF(_xlpm.k&gt;$AB$4,NA(),_xlfn.LET(_xlpm.v,INDEX($AL$8:$AL$43,_xlpm.k),IF(ISNUMBER(_xlpm.v),_xlpm.v/1000000,NA()))))</f>
        <v>#N/A</v>
      </c>
      <c r="CK20" s="122" t="e" cm="1">
        <f t="array" ref="CK20">_xlfn.LET(_xlpm.k,ROW()-7,IF(OR(NOT($BL$3),_xlpm.k&lt;$AB$4,_xlpm.k&gt;$AB$4+IF($BL$3,$BL$4,0)),NA(),INDEX($BM$8:$BM$14,_xlpm.k-$AB$4+1)/1000000))</f>
        <v>#N/A</v>
      </c>
      <c r="CL20" s="122" t="e" cm="1">
        <f t="array" ref="CL20">_xlfn.LET(_xlpm.k,ROW()-7,IF(OR(NOT($BL$3),_xlpm.k&lt;$AB$4,_xlpm.k&gt;$AB$4+IF($BL$3,$BL$4,0)),NA(),INDEX($BN$8:$BN$14,_xlpm.k-$AB$4+1)/1000000))</f>
        <v>#N/A</v>
      </c>
      <c r="CM20" s="122" t="e" cm="1">
        <f t="array" ref="CM20">_xlfn.LET(_xlpm.k,ROW()-7,IF(OR(NOT($BL$3),_xlpm.k&lt;$AB$4,_xlpm.k&gt;$AB$4+IF($BL$3,$BL$4,0)),NA(),INDEX($BO$8:$BO$14,_xlpm.k-$AB$4+1)/1000000))</f>
        <v>#N/A</v>
      </c>
      <c r="CN20" s="122" t="e" cm="1">
        <f t="array" ref="CN20">_xlfn.LET(_xlpm.k,ROW()-7,IF(_xlpm.k&gt;$AB$4,NA(),_xlfn.LET(_xlpm.v,INDEX($AI$8:$AI$43,_xlpm.k),IF(ISNUMBER(_xlpm.v),_xlpm.v/1000000,NA()))))</f>
        <v>#N/A</v>
      </c>
      <c r="CO20" s="122" t="e" cm="1">
        <f t="array" ref="CO20">_xlfn.LET(_xlpm.k,ROW()-7,IF(OR(_xlpm.k&gt;$AB$4,_xlpm.k&lt;=12),NA(),_xlfn.LET(_xlpm.a,INDEX($AI$8:$AI$43,_xlpm.k),_xlpm.b,INDEX($AI$8:$AI$43,_xlpm.k-12),IF(AND(ISNUMBER(_xlpm.a),ISNUMBER(_xlpm.b),N(_xlpm.b)&gt;0),_xlpm.a/_xlpm.b-1,NA()))))</f>
        <v>#N/A</v>
      </c>
    </row>
    <row r="21" spans="28:93">
      <c r="AB21" s="122" t="str" cm="1">
        <f t="array" ref="AB21">IF(ROW()-7&gt;ROWS(_xlfn.ANCHORARRAY($AZ$8)),"",INDEX(_xlfn.ANCHORARRAY($AZ$8),ROW()-7)&amp;"")</f>
        <v/>
      </c>
      <c r="AC21" s="122" t="str" cm="1">
        <f t="array" ref="AC21">IF($AB21="","",_xlfn.LET(_xlpm.r,_xlfn.XLOOKUP($AB$3&amp;"|"&amp;$AB21,anSM_Seg&amp;"|"&amp;anSM_YM,anSM_Paid,""),IF(ISBLANK(_xlpm.r),"",_xlpm.r)))</f>
        <v/>
      </c>
      <c r="AD21" s="122" t="str" cm="1">
        <f t="array" ref="AD21">IF($AB21="","",_xlfn.LET(_xlpm.r,_xlfn.XLOOKUP($AB$3&amp;"|"&amp;$AB21,anSM_Seg&amp;"|"&amp;anSM_YM,anSM_PY,""),IF(ISBLANK(_xlpm.r),"",_xlpm.r)))</f>
        <v/>
      </c>
      <c r="AE21" s="122" t="str" cm="1">
        <f t="array" ref="AE21">IF($AB21="","",_xlfn.LET(_xlpm.r,_xlfn.XLOOKUP($AB$3&amp;"|"&amp;$AB21,anSM_Seg&amp;"|"&amp;anSM_YM,anSM_YoY,""),IF(ISBLANK(_xlpm.r),"",_xlpm.r)))</f>
        <v/>
      </c>
      <c r="AF21" s="122" t="str" cm="1">
        <f t="array" ref="AF21">IF($AB21="","",_xlfn.LET(_xlpm.r,_xlfn.XLOOKUP($AB$3&amp;"|"&amp;$AB21,anSM_Seg&amp;"|"&amp;anSM_YM,anSM_MoM,""),IF(ISBLANK(_xlpm.r),"",_xlpm.r)))</f>
        <v/>
      </c>
      <c r="AG21" s="122" t="str" cm="1">
        <f t="array" ref="AG21">IF($AB21="","",_xlfn.LET(_xlpm.r,_xlfn.XLOOKUP($AB$3&amp;"|"&amp;$AB21,anSM_Seg&amp;"|"&amp;anSM_YM,anSM_YTD,""),IF(ISBLANK(_xlpm.r),"",_xlpm.r)))</f>
        <v/>
      </c>
      <c r="AH21" s="122" t="str" cm="1">
        <f t="array" ref="AH21">IF($AB21="","",_xlfn.LET(_xlpm.r,_xlfn.XLOOKUP($AB$3&amp;"|"&amp;$AB21,anSM_Seg&amp;"|"&amp;anSM_YM,anSM_R3,""),IF(ISBLANK(_xlpm.r),"",_xlpm.r)))</f>
        <v/>
      </c>
      <c r="AI21" s="122" t="str" cm="1">
        <f t="array" ref="AI21">IF($AB21="","",_xlfn.LET(_xlpm.r,_xlfn.XLOOKUP($AB$3&amp;"|"&amp;$AB21,anSM_Seg&amp;"|"&amp;anSM_YM,anSM_R12,""),IF(ISBLANK(_xlpm.r),"",_xlpm.r)))</f>
        <v/>
      </c>
      <c r="AJ21" s="122" t="str" cm="1">
        <f t="array" ref="AJ21">IF($AB21="","",_xlfn.LET(_xlpm.r,_xlfn.XLOOKUP($AB$3&amp;"|"&amp;$AB21,anSM_Seg&amp;"|"&amp;anSM_YM,anSM_Lines,""),IF(ISBLANK(_xlpm.r),"",_xlpm.r)))</f>
        <v/>
      </c>
      <c r="AK21" s="122" t="str" cm="1">
        <f t="array" ref="AK21">IF($AB21="","",_xlfn.LET(_xlpm.r,_xlfn.XLOOKUP($AB$3&amp;"|"&amp;$AB21,anSM_Seg&amp;"|"&amp;anSM_YM,anSM_Cases,""),IF(ISBLANK(_xlpm.r),"",_xlpm.r)))</f>
        <v/>
      </c>
      <c r="AL21" s="122" t="str">
        <f t="shared" si="0"/>
        <v/>
      </c>
      <c r="AM21" s="122" t="str">
        <f t="shared" ca="1" si="1"/>
        <v/>
      </c>
      <c r="AN21" s="122" t="str">
        <f t="shared" ca="1" si="2"/>
        <v/>
      </c>
      <c r="AO21" s="122" t="str" cm="1">
        <f t="array" aca="1" ref="AO21" ca="1">IF(AND($BK$3,$AB21&lt;&gt;""),INDEX($BK$8:$BK$19,--RIGHT($AB21,2)),"")</f>
        <v/>
      </c>
      <c r="AP21" s="122" t="str">
        <f t="shared" ca="1" si="3"/>
        <v/>
      </c>
      <c r="AQ21" s="122" t="str">
        <f t="shared" si="4"/>
        <v/>
      </c>
      <c r="CG21" s="122" t="str" cm="1">
        <f t="array" ref="CG21">_xlfn.LET(_xlpm.k,ROW()-7,IF(_xlpm.k&lt;=$AB$4,$AB21,IF(_xlpm.k&lt;=$AB$4+IF($BL$3,$BL$4,0),TEXT(INDEX($BL$9:$BL$14,_xlpm.k-$AB$4),"yyyy-mm"),"")))</f>
        <v/>
      </c>
      <c r="CH21" s="122" t="e" cm="1">
        <f t="array" ref="CH21">_xlfn.LET(_xlpm.k,ROW()-7,IF(_xlpm.k&gt;$AB$4,NA(),_xlfn.LET(_xlpm.v,INDEX($AC$8:$AC$43,_xlpm.k),IF(ISNUMBER(_xlpm.v),_xlpm.v/1000000,NA()))))</f>
        <v>#N/A</v>
      </c>
      <c r="CI21" s="122" t="e" cm="1">
        <f t="array" ref="CI21">_xlfn.LET(_xlpm.k,ROW()-7,IF(_xlpm.k&gt;$AB$4,NA(),_xlfn.LET(_xlpm.v,INDEX($AD$8:$AD$43,_xlpm.k),IF(ISNUMBER(_xlpm.v),_xlpm.v/1000000,NA()))))</f>
        <v>#N/A</v>
      </c>
      <c r="CJ21" s="122" t="e" cm="1">
        <f t="array" ref="CJ21">_xlfn.LET(_xlpm.k,ROW()-7,IF(_xlpm.k&gt;$AB$4,NA(),_xlfn.LET(_xlpm.v,INDEX($AL$8:$AL$43,_xlpm.k),IF(ISNUMBER(_xlpm.v),_xlpm.v/1000000,NA()))))</f>
        <v>#N/A</v>
      </c>
      <c r="CK21" s="122" t="e" cm="1">
        <f t="array" ref="CK21">_xlfn.LET(_xlpm.k,ROW()-7,IF(OR(NOT($BL$3),_xlpm.k&lt;$AB$4,_xlpm.k&gt;$AB$4+IF($BL$3,$BL$4,0)),NA(),INDEX($BM$8:$BM$14,_xlpm.k-$AB$4+1)/1000000))</f>
        <v>#N/A</v>
      </c>
      <c r="CL21" s="122" t="e" cm="1">
        <f t="array" ref="CL21">_xlfn.LET(_xlpm.k,ROW()-7,IF(OR(NOT($BL$3),_xlpm.k&lt;$AB$4,_xlpm.k&gt;$AB$4+IF($BL$3,$BL$4,0)),NA(),INDEX($BN$8:$BN$14,_xlpm.k-$AB$4+1)/1000000))</f>
        <v>#N/A</v>
      </c>
      <c r="CM21" s="122" t="e" cm="1">
        <f t="array" ref="CM21">_xlfn.LET(_xlpm.k,ROW()-7,IF(OR(NOT($BL$3),_xlpm.k&lt;$AB$4,_xlpm.k&gt;$AB$4+IF($BL$3,$BL$4,0)),NA(),INDEX($BO$8:$BO$14,_xlpm.k-$AB$4+1)/1000000))</f>
        <v>#N/A</v>
      </c>
      <c r="CN21" s="122" t="e" cm="1">
        <f t="array" ref="CN21">_xlfn.LET(_xlpm.k,ROW()-7,IF(_xlpm.k&gt;$AB$4,NA(),_xlfn.LET(_xlpm.v,INDEX($AI$8:$AI$43,_xlpm.k),IF(ISNUMBER(_xlpm.v),_xlpm.v/1000000,NA()))))</f>
        <v>#N/A</v>
      </c>
      <c r="CO21" s="122" t="e" cm="1">
        <f t="array" ref="CO21">_xlfn.LET(_xlpm.k,ROW()-7,IF(OR(_xlpm.k&gt;$AB$4,_xlpm.k&lt;=12),NA(),_xlfn.LET(_xlpm.a,INDEX($AI$8:$AI$43,_xlpm.k),_xlpm.b,INDEX($AI$8:$AI$43,_xlpm.k-12),IF(AND(ISNUMBER(_xlpm.a),ISNUMBER(_xlpm.b),N(_xlpm.b)&gt;0),_xlpm.a/_xlpm.b-1,NA()))))</f>
        <v>#N/A</v>
      </c>
    </row>
    <row r="22" spans="28:93">
      <c r="AB22" s="122" t="str" cm="1">
        <f t="array" ref="AB22">IF(ROW()-7&gt;ROWS(_xlfn.ANCHORARRAY($AZ$8)),"",INDEX(_xlfn.ANCHORARRAY($AZ$8),ROW()-7)&amp;"")</f>
        <v/>
      </c>
      <c r="AC22" s="122" t="str" cm="1">
        <f t="array" ref="AC22">IF($AB22="","",_xlfn.LET(_xlpm.r,_xlfn.XLOOKUP($AB$3&amp;"|"&amp;$AB22,anSM_Seg&amp;"|"&amp;anSM_YM,anSM_Paid,""),IF(ISBLANK(_xlpm.r),"",_xlpm.r)))</f>
        <v/>
      </c>
      <c r="AD22" s="122" t="str" cm="1">
        <f t="array" ref="AD22">IF($AB22="","",_xlfn.LET(_xlpm.r,_xlfn.XLOOKUP($AB$3&amp;"|"&amp;$AB22,anSM_Seg&amp;"|"&amp;anSM_YM,anSM_PY,""),IF(ISBLANK(_xlpm.r),"",_xlpm.r)))</f>
        <v/>
      </c>
      <c r="AE22" s="122" t="str" cm="1">
        <f t="array" ref="AE22">IF($AB22="","",_xlfn.LET(_xlpm.r,_xlfn.XLOOKUP($AB$3&amp;"|"&amp;$AB22,anSM_Seg&amp;"|"&amp;anSM_YM,anSM_YoY,""),IF(ISBLANK(_xlpm.r),"",_xlpm.r)))</f>
        <v/>
      </c>
      <c r="AF22" s="122" t="str" cm="1">
        <f t="array" ref="AF22">IF($AB22="","",_xlfn.LET(_xlpm.r,_xlfn.XLOOKUP($AB$3&amp;"|"&amp;$AB22,anSM_Seg&amp;"|"&amp;anSM_YM,anSM_MoM,""),IF(ISBLANK(_xlpm.r),"",_xlpm.r)))</f>
        <v/>
      </c>
      <c r="AG22" s="122" t="str" cm="1">
        <f t="array" ref="AG22">IF($AB22="","",_xlfn.LET(_xlpm.r,_xlfn.XLOOKUP($AB$3&amp;"|"&amp;$AB22,anSM_Seg&amp;"|"&amp;anSM_YM,anSM_YTD,""),IF(ISBLANK(_xlpm.r),"",_xlpm.r)))</f>
        <v/>
      </c>
      <c r="AH22" s="122" t="str" cm="1">
        <f t="array" ref="AH22">IF($AB22="","",_xlfn.LET(_xlpm.r,_xlfn.XLOOKUP($AB$3&amp;"|"&amp;$AB22,anSM_Seg&amp;"|"&amp;anSM_YM,anSM_R3,""),IF(ISBLANK(_xlpm.r),"",_xlpm.r)))</f>
        <v/>
      </c>
      <c r="AI22" s="122" t="str" cm="1">
        <f t="array" ref="AI22">IF($AB22="","",_xlfn.LET(_xlpm.r,_xlfn.XLOOKUP($AB$3&amp;"|"&amp;$AB22,anSM_Seg&amp;"|"&amp;anSM_YM,anSM_R12,""),IF(ISBLANK(_xlpm.r),"",_xlpm.r)))</f>
        <v/>
      </c>
      <c r="AJ22" s="122" t="str" cm="1">
        <f t="array" ref="AJ22">IF($AB22="","",_xlfn.LET(_xlpm.r,_xlfn.XLOOKUP($AB$3&amp;"|"&amp;$AB22,anSM_Seg&amp;"|"&amp;anSM_YM,anSM_Lines,""),IF(ISBLANK(_xlpm.r),"",_xlpm.r)))</f>
        <v/>
      </c>
      <c r="AK22" s="122" t="str" cm="1">
        <f t="array" ref="AK22">IF($AB22="","",_xlfn.LET(_xlpm.r,_xlfn.XLOOKUP($AB$3&amp;"|"&amp;$AB22,anSM_Seg&amp;"|"&amp;anSM_YM,anSM_Cases,""),IF(ISBLANK(_xlpm.r),"",_xlpm.r)))</f>
        <v/>
      </c>
      <c r="AL22" s="122" t="str">
        <f t="shared" si="0"/>
        <v/>
      </c>
      <c r="AM22" s="122" t="str">
        <f t="shared" ca="1" si="1"/>
        <v/>
      </c>
      <c r="AN22" s="122" t="str">
        <f t="shared" ca="1" si="2"/>
        <v/>
      </c>
      <c r="AO22" s="122" t="str" cm="1">
        <f t="array" aca="1" ref="AO22" ca="1">IF(AND($BK$3,$AB22&lt;&gt;""),INDEX($BK$8:$BK$19,--RIGHT($AB22,2)),"")</f>
        <v/>
      </c>
      <c r="AP22" s="122" t="str">
        <f t="shared" ca="1" si="3"/>
        <v/>
      </c>
      <c r="AQ22" s="122" t="str">
        <f t="shared" si="4"/>
        <v/>
      </c>
      <c r="CG22" s="122" t="str" cm="1">
        <f t="array" ref="CG22">_xlfn.LET(_xlpm.k,ROW()-7,IF(_xlpm.k&lt;=$AB$4,$AB22,IF(_xlpm.k&lt;=$AB$4+IF($BL$3,$BL$4,0),TEXT(INDEX($BL$9:$BL$14,_xlpm.k-$AB$4),"yyyy-mm"),"")))</f>
        <v/>
      </c>
      <c r="CH22" s="122" t="e" cm="1">
        <f t="array" ref="CH22">_xlfn.LET(_xlpm.k,ROW()-7,IF(_xlpm.k&gt;$AB$4,NA(),_xlfn.LET(_xlpm.v,INDEX($AC$8:$AC$43,_xlpm.k),IF(ISNUMBER(_xlpm.v),_xlpm.v/1000000,NA()))))</f>
        <v>#N/A</v>
      </c>
      <c r="CI22" s="122" t="e" cm="1">
        <f t="array" ref="CI22">_xlfn.LET(_xlpm.k,ROW()-7,IF(_xlpm.k&gt;$AB$4,NA(),_xlfn.LET(_xlpm.v,INDEX($AD$8:$AD$43,_xlpm.k),IF(ISNUMBER(_xlpm.v),_xlpm.v/1000000,NA()))))</f>
        <v>#N/A</v>
      </c>
      <c r="CJ22" s="122" t="e" cm="1">
        <f t="array" ref="CJ22">_xlfn.LET(_xlpm.k,ROW()-7,IF(_xlpm.k&gt;$AB$4,NA(),_xlfn.LET(_xlpm.v,INDEX($AL$8:$AL$43,_xlpm.k),IF(ISNUMBER(_xlpm.v),_xlpm.v/1000000,NA()))))</f>
        <v>#N/A</v>
      </c>
      <c r="CK22" s="122" t="e" cm="1">
        <f t="array" ref="CK22">_xlfn.LET(_xlpm.k,ROW()-7,IF(OR(NOT($BL$3),_xlpm.k&lt;$AB$4,_xlpm.k&gt;$AB$4+IF($BL$3,$BL$4,0)),NA(),INDEX($BM$8:$BM$14,_xlpm.k-$AB$4+1)/1000000))</f>
        <v>#N/A</v>
      </c>
      <c r="CL22" s="122" t="e" cm="1">
        <f t="array" ref="CL22">_xlfn.LET(_xlpm.k,ROW()-7,IF(OR(NOT($BL$3),_xlpm.k&lt;$AB$4,_xlpm.k&gt;$AB$4+IF($BL$3,$BL$4,0)),NA(),INDEX($BN$8:$BN$14,_xlpm.k-$AB$4+1)/1000000))</f>
        <v>#N/A</v>
      </c>
      <c r="CM22" s="122" t="e" cm="1">
        <f t="array" ref="CM22">_xlfn.LET(_xlpm.k,ROW()-7,IF(OR(NOT($BL$3),_xlpm.k&lt;$AB$4,_xlpm.k&gt;$AB$4+IF($BL$3,$BL$4,0)),NA(),INDEX($BO$8:$BO$14,_xlpm.k-$AB$4+1)/1000000))</f>
        <v>#N/A</v>
      </c>
      <c r="CN22" s="122" t="e" cm="1">
        <f t="array" ref="CN22">_xlfn.LET(_xlpm.k,ROW()-7,IF(_xlpm.k&gt;$AB$4,NA(),_xlfn.LET(_xlpm.v,INDEX($AI$8:$AI$43,_xlpm.k),IF(ISNUMBER(_xlpm.v),_xlpm.v/1000000,NA()))))</f>
        <v>#N/A</v>
      </c>
      <c r="CO22" s="122" t="e" cm="1">
        <f t="array" ref="CO22">_xlfn.LET(_xlpm.k,ROW()-7,IF(OR(_xlpm.k&gt;$AB$4,_xlpm.k&lt;=12),NA(),_xlfn.LET(_xlpm.a,INDEX($AI$8:$AI$43,_xlpm.k),_xlpm.b,INDEX($AI$8:$AI$43,_xlpm.k-12),IF(AND(ISNUMBER(_xlpm.a),ISNUMBER(_xlpm.b),N(_xlpm.b)&gt;0),_xlpm.a/_xlpm.b-1,NA()))))</f>
        <v>#N/A</v>
      </c>
    </row>
    <row r="23" spans="28:93">
      <c r="AB23" s="122" t="str" cm="1">
        <f t="array" ref="AB23">IF(ROW()-7&gt;ROWS(_xlfn.ANCHORARRAY($AZ$8)),"",INDEX(_xlfn.ANCHORARRAY($AZ$8),ROW()-7)&amp;"")</f>
        <v/>
      </c>
      <c r="AC23" s="122" t="str" cm="1">
        <f t="array" ref="AC23">IF($AB23="","",_xlfn.LET(_xlpm.r,_xlfn.XLOOKUP($AB$3&amp;"|"&amp;$AB23,anSM_Seg&amp;"|"&amp;anSM_YM,anSM_Paid,""),IF(ISBLANK(_xlpm.r),"",_xlpm.r)))</f>
        <v/>
      </c>
      <c r="AD23" s="122" t="str" cm="1">
        <f t="array" ref="AD23">IF($AB23="","",_xlfn.LET(_xlpm.r,_xlfn.XLOOKUP($AB$3&amp;"|"&amp;$AB23,anSM_Seg&amp;"|"&amp;anSM_YM,anSM_PY,""),IF(ISBLANK(_xlpm.r),"",_xlpm.r)))</f>
        <v/>
      </c>
      <c r="AE23" s="122" t="str" cm="1">
        <f t="array" ref="AE23">IF($AB23="","",_xlfn.LET(_xlpm.r,_xlfn.XLOOKUP($AB$3&amp;"|"&amp;$AB23,anSM_Seg&amp;"|"&amp;anSM_YM,anSM_YoY,""),IF(ISBLANK(_xlpm.r),"",_xlpm.r)))</f>
        <v/>
      </c>
      <c r="AF23" s="122" t="str" cm="1">
        <f t="array" ref="AF23">IF($AB23="","",_xlfn.LET(_xlpm.r,_xlfn.XLOOKUP($AB$3&amp;"|"&amp;$AB23,anSM_Seg&amp;"|"&amp;anSM_YM,anSM_MoM,""),IF(ISBLANK(_xlpm.r),"",_xlpm.r)))</f>
        <v/>
      </c>
      <c r="AG23" s="122" t="str" cm="1">
        <f t="array" ref="AG23">IF($AB23="","",_xlfn.LET(_xlpm.r,_xlfn.XLOOKUP($AB$3&amp;"|"&amp;$AB23,anSM_Seg&amp;"|"&amp;anSM_YM,anSM_YTD,""),IF(ISBLANK(_xlpm.r),"",_xlpm.r)))</f>
        <v/>
      </c>
      <c r="AH23" s="122" t="str" cm="1">
        <f t="array" ref="AH23">IF($AB23="","",_xlfn.LET(_xlpm.r,_xlfn.XLOOKUP($AB$3&amp;"|"&amp;$AB23,anSM_Seg&amp;"|"&amp;anSM_YM,anSM_R3,""),IF(ISBLANK(_xlpm.r),"",_xlpm.r)))</f>
        <v/>
      </c>
      <c r="AI23" s="122" t="str" cm="1">
        <f t="array" ref="AI23">IF($AB23="","",_xlfn.LET(_xlpm.r,_xlfn.XLOOKUP($AB$3&amp;"|"&amp;$AB23,anSM_Seg&amp;"|"&amp;anSM_YM,anSM_R12,""),IF(ISBLANK(_xlpm.r),"",_xlpm.r)))</f>
        <v/>
      </c>
      <c r="AJ23" s="122" t="str" cm="1">
        <f t="array" ref="AJ23">IF($AB23="","",_xlfn.LET(_xlpm.r,_xlfn.XLOOKUP($AB$3&amp;"|"&amp;$AB23,anSM_Seg&amp;"|"&amp;anSM_YM,anSM_Lines,""),IF(ISBLANK(_xlpm.r),"",_xlpm.r)))</f>
        <v/>
      </c>
      <c r="AK23" s="122" t="str" cm="1">
        <f t="array" ref="AK23">IF($AB23="","",_xlfn.LET(_xlpm.r,_xlfn.XLOOKUP($AB$3&amp;"|"&amp;$AB23,anSM_Seg&amp;"|"&amp;anSM_YM,anSM_Cases,""),IF(ISBLANK(_xlpm.r),"",_xlpm.r)))</f>
        <v/>
      </c>
      <c r="AL23" s="122" t="str">
        <f t="shared" si="0"/>
        <v/>
      </c>
      <c r="AM23" s="122" t="str">
        <f t="shared" ca="1" si="1"/>
        <v/>
      </c>
      <c r="AN23" s="122" t="str">
        <f t="shared" ca="1" si="2"/>
        <v/>
      </c>
      <c r="AO23" s="122" t="str" cm="1">
        <f t="array" aca="1" ref="AO23" ca="1">IF(AND($BK$3,$AB23&lt;&gt;""),INDEX($BK$8:$BK$19,--RIGHT($AB23,2)),"")</f>
        <v/>
      </c>
      <c r="AP23" s="122" t="str">
        <f t="shared" ca="1" si="3"/>
        <v/>
      </c>
      <c r="AQ23" s="122" t="str">
        <f t="shared" si="4"/>
        <v/>
      </c>
      <c r="CG23" s="122" t="str" cm="1">
        <f t="array" ref="CG23">_xlfn.LET(_xlpm.k,ROW()-7,IF(_xlpm.k&lt;=$AB$4,$AB23,IF(_xlpm.k&lt;=$AB$4+IF($BL$3,$BL$4,0),TEXT(INDEX($BL$9:$BL$14,_xlpm.k-$AB$4),"yyyy-mm"),"")))</f>
        <v/>
      </c>
      <c r="CH23" s="122" t="e" cm="1">
        <f t="array" ref="CH23">_xlfn.LET(_xlpm.k,ROW()-7,IF(_xlpm.k&gt;$AB$4,NA(),_xlfn.LET(_xlpm.v,INDEX($AC$8:$AC$43,_xlpm.k),IF(ISNUMBER(_xlpm.v),_xlpm.v/1000000,NA()))))</f>
        <v>#N/A</v>
      </c>
      <c r="CI23" s="122" t="e" cm="1">
        <f t="array" ref="CI23">_xlfn.LET(_xlpm.k,ROW()-7,IF(_xlpm.k&gt;$AB$4,NA(),_xlfn.LET(_xlpm.v,INDEX($AD$8:$AD$43,_xlpm.k),IF(ISNUMBER(_xlpm.v),_xlpm.v/1000000,NA()))))</f>
        <v>#N/A</v>
      </c>
      <c r="CJ23" s="122" t="e" cm="1">
        <f t="array" ref="CJ23">_xlfn.LET(_xlpm.k,ROW()-7,IF(_xlpm.k&gt;$AB$4,NA(),_xlfn.LET(_xlpm.v,INDEX($AL$8:$AL$43,_xlpm.k),IF(ISNUMBER(_xlpm.v),_xlpm.v/1000000,NA()))))</f>
        <v>#N/A</v>
      </c>
      <c r="CK23" s="122" t="e" cm="1">
        <f t="array" ref="CK23">_xlfn.LET(_xlpm.k,ROW()-7,IF(OR(NOT($BL$3),_xlpm.k&lt;$AB$4,_xlpm.k&gt;$AB$4+IF($BL$3,$BL$4,0)),NA(),INDEX($BM$8:$BM$14,_xlpm.k-$AB$4+1)/1000000))</f>
        <v>#N/A</v>
      </c>
      <c r="CL23" s="122" t="e" cm="1">
        <f t="array" ref="CL23">_xlfn.LET(_xlpm.k,ROW()-7,IF(OR(NOT($BL$3),_xlpm.k&lt;$AB$4,_xlpm.k&gt;$AB$4+IF($BL$3,$BL$4,0)),NA(),INDEX($BN$8:$BN$14,_xlpm.k-$AB$4+1)/1000000))</f>
        <v>#N/A</v>
      </c>
      <c r="CM23" s="122" t="e" cm="1">
        <f t="array" ref="CM23">_xlfn.LET(_xlpm.k,ROW()-7,IF(OR(NOT($BL$3),_xlpm.k&lt;$AB$4,_xlpm.k&gt;$AB$4+IF($BL$3,$BL$4,0)),NA(),INDEX($BO$8:$BO$14,_xlpm.k-$AB$4+1)/1000000))</f>
        <v>#N/A</v>
      </c>
      <c r="CN23" s="122" t="e" cm="1">
        <f t="array" ref="CN23">_xlfn.LET(_xlpm.k,ROW()-7,IF(_xlpm.k&gt;$AB$4,NA(),_xlfn.LET(_xlpm.v,INDEX($AI$8:$AI$43,_xlpm.k),IF(ISNUMBER(_xlpm.v),_xlpm.v/1000000,NA()))))</f>
        <v>#N/A</v>
      </c>
      <c r="CO23" s="122" t="e" cm="1">
        <f t="array" ref="CO23">_xlfn.LET(_xlpm.k,ROW()-7,IF(OR(_xlpm.k&gt;$AB$4,_xlpm.k&lt;=12),NA(),_xlfn.LET(_xlpm.a,INDEX($AI$8:$AI$43,_xlpm.k),_xlpm.b,INDEX($AI$8:$AI$43,_xlpm.k-12),IF(AND(ISNUMBER(_xlpm.a),ISNUMBER(_xlpm.b),N(_xlpm.b)&gt;0),_xlpm.a/_xlpm.b-1,NA()))))</f>
        <v>#N/A</v>
      </c>
    </row>
    <row r="24" spans="28:93">
      <c r="AB24" s="122" t="str" cm="1">
        <f t="array" ref="AB24">IF(ROW()-7&gt;ROWS(_xlfn.ANCHORARRAY($AZ$8)),"",INDEX(_xlfn.ANCHORARRAY($AZ$8),ROW()-7)&amp;"")</f>
        <v/>
      </c>
      <c r="AC24" s="122" t="str" cm="1">
        <f t="array" ref="AC24">IF($AB24="","",_xlfn.LET(_xlpm.r,_xlfn.XLOOKUP($AB$3&amp;"|"&amp;$AB24,anSM_Seg&amp;"|"&amp;anSM_YM,anSM_Paid,""),IF(ISBLANK(_xlpm.r),"",_xlpm.r)))</f>
        <v/>
      </c>
      <c r="AD24" s="122" t="str" cm="1">
        <f t="array" ref="AD24">IF($AB24="","",_xlfn.LET(_xlpm.r,_xlfn.XLOOKUP($AB$3&amp;"|"&amp;$AB24,anSM_Seg&amp;"|"&amp;anSM_YM,anSM_PY,""),IF(ISBLANK(_xlpm.r),"",_xlpm.r)))</f>
        <v/>
      </c>
      <c r="AE24" s="122" t="str" cm="1">
        <f t="array" ref="AE24">IF($AB24="","",_xlfn.LET(_xlpm.r,_xlfn.XLOOKUP($AB$3&amp;"|"&amp;$AB24,anSM_Seg&amp;"|"&amp;anSM_YM,anSM_YoY,""),IF(ISBLANK(_xlpm.r),"",_xlpm.r)))</f>
        <v/>
      </c>
      <c r="AF24" s="122" t="str" cm="1">
        <f t="array" ref="AF24">IF($AB24="","",_xlfn.LET(_xlpm.r,_xlfn.XLOOKUP($AB$3&amp;"|"&amp;$AB24,anSM_Seg&amp;"|"&amp;anSM_YM,anSM_MoM,""),IF(ISBLANK(_xlpm.r),"",_xlpm.r)))</f>
        <v/>
      </c>
      <c r="AG24" s="122" t="str" cm="1">
        <f t="array" ref="AG24">IF($AB24="","",_xlfn.LET(_xlpm.r,_xlfn.XLOOKUP($AB$3&amp;"|"&amp;$AB24,anSM_Seg&amp;"|"&amp;anSM_YM,anSM_YTD,""),IF(ISBLANK(_xlpm.r),"",_xlpm.r)))</f>
        <v/>
      </c>
      <c r="AH24" s="122" t="str" cm="1">
        <f t="array" ref="AH24">IF($AB24="","",_xlfn.LET(_xlpm.r,_xlfn.XLOOKUP($AB$3&amp;"|"&amp;$AB24,anSM_Seg&amp;"|"&amp;anSM_YM,anSM_R3,""),IF(ISBLANK(_xlpm.r),"",_xlpm.r)))</f>
        <v/>
      </c>
      <c r="AI24" s="122" t="str" cm="1">
        <f t="array" ref="AI24">IF($AB24="","",_xlfn.LET(_xlpm.r,_xlfn.XLOOKUP($AB$3&amp;"|"&amp;$AB24,anSM_Seg&amp;"|"&amp;anSM_YM,anSM_R12,""),IF(ISBLANK(_xlpm.r),"",_xlpm.r)))</f>
        <v/>
      </c>
      <c r="AJ24" s="122" t="str" cm="1">
        <f t="array" ref="AJ24">IF($AB24="","",_xlfn.LET(_xlpm.r,_xlfn.XLOOKUP($AB$3&amp;"|"&amp;$AB24,anSM_Seg&amp;"|"&amp;anSM_YM,anSM_Lines,""),IF(ISBLANK(_xlpm.r),"",_xlpm.r)))</f>
        <v/>
      </c>
      <c r="AK24" s="122" t="str" cm="1">
        <f t="array" ref="AK24">IF($AB24="","",_xlfn.LET(_xlpm.r,_xlfn.XLOOKUP($AB$3&amp;"|"&amp;$AB24,anSM_Seg&amp;"|"&amp;anSM_YM,anSM_Cases,""),IF(ISBLANK(_xlpm.r),"",_xlpm.r)))</f>
        <v/>
      </c>
      <c r="AL24" s="122" t="str">
        <f t="shared" si="0"/>
        <v/>
      </c>
      <c r="AM24" s="122" t="str">
        <f t="shared" ca="1" si="1"/>
        <v/>
      </c>
      <c r="AN24" s="122" t="str">
        <f t="shared" ca="1" si="2"/>
        <v/>
      </c>
      <c r="AO24" s="122" t="str" cm="1">
        <f t="array" aca="1" ref="AO24" ca="1">IF(AND($BK$3,$AB24&lt;&gt;""),INDEX($BK$8:$BK$19,--RIGHT($AB24,2)),"")</f>
        <v/>
      </c>
      <c r="AP24" s="122" t="str">
        <f t="shared" ca="1" si="3"/>
        <v/>
      </c>
      <c r="AQ24" s="122" t="str">
        <f t="shared" si="4"/>
        <v/>
      </c>
      <c r="CG24" s="122" t="str" cm="1">
        <f t="array" ref="CG24">_xlfn.LET(_xlpm.k,ROW()-7,IF(_xlpm.k&lt;=$AB$4,$AB24,IF(_xlpm.k&lt;=$AB$4+IF($BL$3,$BL$4,0),TEXT(INDEX($BL$9:$BL$14,_xlpm.k-$AB$4),"yyyy-mm"),"")))</f>
        <v/>
      </c>
      <c r="CH24" s="122" t="e" cm="1">
        <f t="array" ref="CH24">_xlfn.LET(_xlpm.k,ROW()-7,IF(_xlpm.k&gt;$AB$4,NA(),_xlfn.LET(_xlpm.v,INDEX($AC$8:$AC$43,_xlpm.k),IF(ISNUMBER(_xlpm.v),_xlpm.v/1000000,NA()))))</f>
        <v>#N/A</v>
      </c>
      <c r="CI24" s="122" t="e" cm="1">
        <f t="array" ref="CI24">_xlfn.LET(_xlpm.k,ROW()-7,IF(_xlpm.k&gt;$AB$4,NA(),_xlfn.LET(_xlpm.v,INDEX($AD$8:$AD$43,_xlpm.k),IF(ISNUMBER(_xlpm.v),_xlpm.v/1000000,NA()))))</f>
        <v>#N/A</v>
      </c>
      <c r="CJ24" s="122" t="e" cm="1">
        <f t="array" ref="CJ24">_xlfn.LET(_xlpm.k,ROW()-7,IF(_xlpm.k&gt;$AB$4,NA(),_xlfn.LET(_xlpm.v,INDEX($AL$8:$AL$43,_xlpm.k),IF(ISNUMBER(_xlpm.v),_xlpm.v/1000000,NA()))))</f>
        <v>#N/A</v>
      </c>
      <c r="CK24" s="122" t="e" cm="1">
        <f t="array" ref="CK24">_xlfn.LET(_xlpm.k,ROW()-7,IF(OR(NOT($BL$3),_xlpm.k&lt;$AB$4,_xlpm.k&gt;$AB$4+IF($BL$3,$BL$4,0)),NA(),INDEX($BM$8:$BM$14,_xlpm.k-$AB$4+1)/1000000))</f>
        <v>#N/A</v>
      </c>
      <c r="CL24" s="122" t="e" cm="1">
        <f t="array" ref="CL24">_xlfn.LET(_xlpm.k,ROW()-7,IF(OR(NOT($BL$3),_xlpm.k&lt;$AB$4,_xlpm.k&gt;$AB$4+IF($BL$3,$BL$4,0)),NA(),INDEX($BN$8:$BN$14,_xlpm.k-$AB$4+1)/1000000))</f>
        <v>#N/A</v>
      </c>
      <c r="CM24" s="122" t="e" cm="1">
        <f t="array" ref="CM24">_xlfn.LET(_xlpm.k,ROW()-7,IF(OR(NOT($BL$3),_xlpm.k&lt;$AB$4,_xlpm.k&gt;$AB$4+IF($BL$3,$BL$4,0)),NA(),INDEX($BO$8:$BO$14,_xlpm.k-$AB$4+1)/1000000))</f>
        <v>#N/A</v>
      </c>
      <c r="CN24" s="122" t="e" cm="1">
        <f t="array" ref="CN24">_xlfn.LET(_xlpm.k,ROW()-7,IF(_xlpm.k&gt;$AB$4,NA(),_xlfn.LET(_xlpm.v,INDEX($AI$8:$AI$43,_xlpm.k),IF(ISNUMBER(_xlpm.v),_xlpm.v/1000000,NA()))))</f>
        <v>#N/A</v>
      </c>
      <c r="CO24" s="122" t="e" cm="1">
        <f t="array" ref="CO24">_xlfn.LET(_xlpm.k,ROW()-7,IF(OR(_xlpm.k&gt;$AB$4,_xlpm.k&lt;=12),NA(),_xlfn.LET(_xlpm.a,INDEX($AI$8:$AI$43,_xlpm.k),_xlpm.b,INDEX($AI$8:$AI$43,_xlpm.k-12),IF(AND(ISNUMBER(_xlpm.a),ISNUMBER(_xlpm.b),N(_xlpm.b)&gt;0),_xlpm.a/_xlpm.b-1,NA()))))</f>
        <v>#N/A</v>
      </c>
    </row>
    <row r="25" spans="28:93">
      <c r="AB25" s="122" t="str" cm="1">
        <f t="array" ref="AB25">IF(ROW()-7&gt;ROWS(_xlfn.ANCHORARRAY($AZ$8)),"",INDEX(_xlfn.ANCHORARRAY($AZ$8),ROW()-7)&amp;"")</f>
        <v/>
      </c>
      <c r="AC25" s="122" t="str" cm="1">
        <f t="array" ref="AC25">IF($AB25="","",_xlfn.LET(_xlpm.r,_xlfn.XLOOKUP($AB$3&amp;"|"&amp;$AB25,anSM_Seg&amp;"|"&amp;anSM_YM,anSM_Paid,""),IF(ISBLANK(_xlpm.r),"",_xlpm.r)))</f>
        <v/>
      </c>
      <c r="AD25" s="122" t="str" cm="1">
        <f t="array" ref="AD25">IF($AB25="","",_xlfn.LET(_xlpm.r,_xlfn.XLOOKUP($AB$3&amp;"|"&amp;$AB25,anSM_Seg&amp;"|"&amp;anSM_YM,anSM_PY,""),IF(ISBLANK(_xlpm.r),"",_xlpm.r)))</f>
        <v/>
      </c>
      <c r="AE25" s="122" t="str" cm="1">
        <f t="array" ref="AE25">IF($AB25="","",_xlfn.LET(_xlpm.r,_xlfn.XLOOKUP($AB$3&amp;"|"&amp;$AB25,anSM_Seg&amp;"|"&amp;anSM_YM,anSM_YoY,""),IF(ISBLANK(_xlpm.r),"",_xlpm.r)))</f>
        <v/>
      </c>
      <c r="AF25" s="122" t="str" cm="1">
        <f t="array" ref="AF25">IF($AB25="","",_xlfn.LET(_xlpm.r,_xlfn.XLOOKUP($AB$3&amp;"|"&amp;$AB25,anSM_Seg&amp;"|"&amp;anSM_YM,anSM_MoM,""),IF(ISBLANK(_xlpm.r),"",_xlpm.r)))</f>
        <v/>
      </c>
      <c r="AG25" s="122" t="str" cm="1">
        <f t="array" ref="AG25">IF($AB25="","",_xlfn.LET(_xlpm.r,_xlfn.XLOOKUP($AB$3&amp;"|"&amp;$AB25,anSM_Seg&amp;"|"&amp;anSM_YM,anSM_YTD,""),IF(ISBLANK(_xlpm.r),"",_xlpm.r)))</f>
        <v/>
      </c>
      <c r="AH25" s="122" t="str" cm="1">
        <f t="array" ref="AH25">IF($AB25="","",_xlfn.LET(_xlpm.r,_xlfn.XLOOKUP($AB$3&amp;"|"&amp;$AB25,anSM_Seg&amp;"|"&amp;anSM_YM,anSM_R3,""),IF(ISBLANK(_xlpm.r),"",_xlpm.r)))</f>
        <v/>
      </c>
      <c r="AI25" s="122" t="str" cm="1">
        <f t="array" ref="AI25">IF($AB25="","",_xlfn.LET(_xlpm.r,_xlfn.XLOOKUP($AB$3&amp;"|"&amp;$AB25,anSM_Seg&amp;"|"&amp;anSM_YM,anSM_R12,""),IF(ISBLANK(_xlpm.r),"",_xlpm.r)))</f>
        <v/>
      </c>
      <c r="AJ25" s="122" t="str" cm="1">
        <f t="array" ref="AJ25">IF($AB25="","",_xlfn.LET(_xlpm.r,_xlfn.XLOOKUP($AB$3&amp;"|"&amp;$AB25,anSM_Seg&amp;"|"&amp;anSM_YM,anSM_Lines,""),IF(ISBLANK(_xlpm.r),"",_xlpm.r)))</f>
        <v/>
      </c>
      <c r="AK25" s="122" t="str" cm="1">
        <f t="array" ref="AK25">IF($AB25="","",_xlfn.LET(_xlpm.r,_xlfn.XLOOKUP($AB$3&amp;"|"&amp;$AB25,anSM_Seg&amp;"|"&amp;anSM_YM,anSM_Cases,""),IF(ISBLANK(_xlpm.r),"",_xlpm.r)))</f>
        <v/>
      </c>
      <c r="AL25" s="122" t="str">
        <f t="shared" si="0"/>
        <v/>
      </c>
      <c r="AM25" s="122" t="str">
        <f t="shared" ca="1" si="1"/>
        <v/>
      </c>
      <c r="AN25" s="122" t="str">
        <f t="shared" ca="1" si="2"/>
        <v/>
      </c>
      <c r="AO25" s="122" t="str" cm="1">
        <f t="array" aca="1" ref="AO25" ca="1">IF(AND($BK$3,$AB25&lt;&gt;""),INDEX($BK$8:$BK$19,--RIGHT($AB25,2)),"")</f>
        <v/>
      </c>
      <c r="AP25" s="122" t="str">
        <f t="shared" ca="1" si="3"/>
        <v/>
      </c>
      <c r="AQ25" s="122" t="str">
        <f t="shared" si="4"/>
        <v/>
      </c>
      <c r="CG25" s="122" t="str" cm="1">
        <f t="array" ref="CG25">_xlfn.LET(_xlpm.k,ROW()-7,IF(_xlpm.k&lt;=$AB$4,$AB25,IF(_xlpm.k&lt;=$AB$4+IF($BL$3,$BL$4,0),TEXT(INDEX($BL$9:$BL$14,_xlpm.k-$AB$4),"yyyy-mm"),"")))</f>
        <v/>
      </c>
      <c r="CH25" s="122" t="e" cm="1">
        <f t="array" ref="CH25">_xlfn.LET(_xlpm.k,ROW()-7,IF(_xlpm.k&gt;$AB$4,NA(),_xlfn.LET(_xlpm.v,INDEX($AC$8:$AC$43,_xlpm.k),IF(ISNUMBER(_xlpm.v),_xlpm.v/1000000,NA()))))</f>
        <v>#N/A</v>
      </c>
      <c r="CI25" s="122" t="e" cm="1">
        <f t="array" ref="CI25">_xlfn.LET(_xlpm.k,ROW()-7,IF(_xlpm.k&gt;$AB$4,NA(),_xlfn.LET(_xlpm.v,INDEX($AD$8:$AD$43,_xlpm.k),IF(ISNUMBER(_xlpm.v),_xlpm.v/1000000,NA()))))</f>
        <v>#N/A</v>
      </c>
      <c r="CJ25" s="122" t="e" cm="1">
        <f t="array" ref="CJ25">_xlfn.LET(_xlpm.k,ROW()-7,IF(_xlpm.k&gt;$AB$4,NA(),_xlfn.LET(_xlpm.v,INDEX($AL$8:$AL$43,_xlpm.k),IF(ISNUMBER(_xlpm.v),_xlpm.v/1000000,NA()))))</f>
        <v>#N/A</v>
      </c>
      <c r="CK25" s="122" t="e" cm="1">
        <f t="array" ref="CK25">_xlfn.LET(_xlpm.k,ROW()-7,IF(OR(NOT($BL$3),_xlpm.k&lt;$AB$4,_xlpm.k&gt;$AB$4+IF($BL$3,$BL$4,0)),NA(),INDEX($BM$8:$BM$14,_xlpm.k-$AB$4+1)/1000000))</f>
        <v>#N/A</v>
      </c>
      <c r="CL25" s="122" t="e" cm="1">
        <f t="array" ref="CL25">_xlfn.LET(_xlpm.k,ROW()-7,IF(OR(NOT($BL$3),_xlpm.k&lt;$AB$4,_xlpm.k&gt;$AB$4+IF($BL$3,$BL$4,0)),NA(),INDEX($BN$8:$BN$14,_xlpm.k-$AB$4+1)/1000000))</f>
        <v>#N/A</v>
      </c>
      <c r="CM25" s="122" t="e" cm="1">
        <f t="array" ref="CM25">_xlfn.LET(_xlpm.k,ROW()-7,IF(OR(NOT($BL$3),_xlpm.k&lt;$AB$4,_xlpm.k&gt;$AB$4+IF($BL$3,$BL$4,0)),NA(),INDEX($BO$8:$BO$14,_xlpm.k-$AB$4+1)/1000000))</f>
        <v>#N/A</v>
      </c>
      <c r="CN25" s="122" t="e" cm="1">
        <f t="array" ref="CN25">_xlfn.LET(_xlpm.k,ROW()-7,IF(_xlpm.k&gt;$AB$4,NA(),_xlfn.LET(_xlpm.v,INDEX($AI$8:$AI$43,_xlpm.k),IF(ISNUMBER(_xlpm.v),_xlpm.v/1000000,NA()))))</f>
        <v>#N/A</v>
      </c>
      <c r="CO25" s="122" t="e" cm="1">
        <f t="array" ref="CO25">_xlfn.LET(_xlpm.k,ROW()-7,IF(OR(_xlpm.k&gt;$AB$4,_xlpm.k&lt;=12),NA(),_xlfn.LET(_xlpm.a,INDEX($AI$8:$AI$43,_xlpm.k),_xlpm.b,INDEX($AI$8:$AI$43,_xlpm.k-12),IF(AND(ISNUMBER(_xlpm.a),ISNUMBER(_xlpm.b),N(_xlpm.b)&gt;0),_xlpm.a/_xlpm.b-1,NA()))))</f>
        <v>#N/A</v>
      </c>
    </row>
    <row r="26" spans="28:93">
      <c r="AB26" s="122" t="str" cm="1">
        <f t="array" ref="AB26">IF(ROW()-7&gt;ROWS(_xlfn.ANCHORARRAY($AZ$8)),"",INDEX(_xlfn.ANCHORARRAY($AZ$8),ROW()-7)&amp;"")</f>
        <v/>
      </c>
      <c r="AC26" s="122" t="str" cm="1">
        <f t="array" ref="AC26">IF($AB26="","",_xlfn.LET(_xlpm.r,_xlfn.XLOOKUP($AB$3&amp;"|"&amp;$AB26,anSM_Seg&amp;"|"&amp;anSM_YM,anSM_Paid,""),IF(ISBLANK(_xlpm.r),"",_xlpm.r)))</f>
        <v/>
      </c>
      <c r="AD26" s="122" t="str" cm="1">
        <f t="array" ref="AD26">IF($AB26="","",_xlfn.LET(_xlpm.r,_xlfn.XLOOKUP($AB$3&amp;"|"&amp;$AB26,anSM_Seg&amp;"|"&amp;anSM_YM,anSM_PY,""),IF(ISBLANK(_xlpm.r),"",_xlpm.r)))</f>
        <v/>
      </c>
      <c r="AE26" s="122" t="str" cm="1">
        <f t="array" ref="AE26">IF($AB26="","",_xlfn.LET(_xlpm.r,_xlfn.XLOOKUP($AB$3&amp;"|"&amp;$AB26,anSM_Seg&amp;"|"&amp;anSM_YM,anSM_YoY,""),IF(ISBLANK(_xlpm.r),"",_xlpm.r)))</f>
        <v/>
      </c>
      <c r="AF26" s="122" t="str" cm="1">
        <f t="array" ref="AF26">IF($AB26="","",_xlfn.LET(_xlpm.r,_xlfn.XLOOKUP($AB$3&amp;"|"&amp;$AB26,anSM_Seg&amp;"|"&amp;anSM_YM,anSM_MoM,""),IF(ISBLANK(_xlpm.r),"",_xlpm.r)))</f>
        <v/>
      </c>
      <c r="AG26" s="122" t="str" cm="1">
        <f t="array" ref="AG26">IF($AB26="","",_xlfn.LET(_xlpm.r,_xlfn.XLOOKUP($AB$3&amp;"|"&amp;$AB26,anSM_Seg&amp;"|"&amp;anSM_YM,anSM_YTD,""),IF(ISBLANK(_xlpm.r),"",_xlpm.r)))</f>
        <v/>
      </c>
      <c r="AH26" s="122" t="str" cm="1">
        <f t="array" ref="AH26">IF($AB26="","",_xlfn.LET(_xlpm.r,_xlfn.XLOOKUP($AB$3&amp;"|"&amp;$AB26,anSM_Seg&amp;"|"&amp;anSM_YM,anSM_R3,""),IF(ISBLANK(_xlpm.r),"",_xlpm.r)))</f>
        <v/>
      </c>
      <c r="AI26" s="122" t="str" cm="1">
        <f t="array" ref="AI26">IF($AB26="","",_xlfn.LET(_xlpm.r,_xlfn.XLOOKUP($AB$3&amp;"|"&amp;$AB26,anSM_Seg&amp;"|"&amp;anSM_YM,anSM_R12,""),IF(ISBLANK(_xlpm.r),"",_xlpm.r)))</f>
        <v/>
      </c>
      <c r="AJ26" s="122" t="str" cm="1">
        <f t="array" ref="AJ26">IF($AB26="","",_xlfn.LET(_xlpm.r,_xlfn.XLOOKUP($AB$3&amp;"|"&amp;$AB26,anSM_Seg&amp;"|"&amp;anSM_YM,anSM_Lines,""),IF(ISBLANK(_xlpm.r),"",_xlpm.r)))</f>
        <v/>
      </c>
      <c r="AK26" s="122" t="str" cm="1">
        <f t="array" ref="AK26">IF($AB26="","",_xlfn.LET(_xlpm.r,_xlfn.XLOOKUP($AB$3&amp;"|"&amp;$AB26,anSM_Seg&amp;"|"&amp;anSM_YM,anSM_Cases,""),IF(ISBLANK(_xlpm.r),"",_xlpm.r)))</f>
        <v/>
      </c>
      <c r="AL26" s="122" t="str">
        <f t="shared" si="0"/>
        <v/>
      </c>
      <c r="AM26" s="122" t="str">
        <f t="shared" ca="1" si="1"/>
        <v/>
      </c>
      <c r="AN26" s="122" t="str">
        <f t="shared" ca="1" si="2"/>
        <v/>
      </c>
      <c r="AO26" s="122" t="str" cm="1">
        <f t="array" aca="1" ref="AO26" ca="1">IF(AND($BK$3,$AB26&lt;&gt;""),INDEX($BK$8:$BK$19,--RIGHT($AB26,2)),"")</f>
        <v/>
      </c>
      <c r="AP26" s="122" t="str">
        <f t="shared" ca="1" si="3"/>
        <v/>
      </c>
      <c r="AQ26" s="122" t="str">
        <f t="shared" si="4"/>
        <v/>
      </c>
      <c r="CG26" s="122" t="str" cm="1">
        <f t="array" ref="CG26">_xlfn.LET(_xlpm.k,ROW()-7,IF(_xlpm.k&lt;=$AB$4,$AB26,IF(_xlpm.k&lt;=$AB$4+IF($BL$3,$BL$4,0),TEXT(INDEX($BL$9:$BL$14,_xlpm.k-$AB$4),"yyyy-mm"),"")))</f>
        <v/>
      </c>
      <c r="CH26" s="122" t="e" cm="1">
        <f t="array" ref="CH26">_xlfn.LET(_xlpm.k,ROW()-7,IF(_xlpm.k&gt;$AB$4,NA(),_xlfn.LET(_xlpm.v,INDEX($AC$8:$AC$43,_xlpm.k),IF(ISNUMBER(_xlpm.v),_xlpm.v/1000000,NA()))))</f>
        <v>#N/A</v>
      </c>
      <c r="CI26" s="122" t="e" cm="1">
        <f t="array" ref="CI26">_xlfn.LET(_xlpm.k,ROW()-7,IF(_xlpm.k&gt;$AB$4,NA(),_xlfn.LET(_xlpm.v,INDEX($AD$8:$AD$43,_xlpm.k),IF(ISNUMBER(_xlpm.v),_xlpm.v/1000000,NA()))))</f>
        <v>#N/A</v>
      </c>
      <c r="CJ26" s="122" t="e" cm="1">
        <f t="array" ref="CJ26">_xlfn.LET(_xlpm.k,ROW()-7,IF(_xlpm.k&gt;$AB$4,NA(),_xlfn.LET(_xlpm.v,INDEX($AL$8:$AL$43,_xlpm.k),IF(ISNUMBER(_xlpm.v),_xlpm.v/1000000,NA()))))</f>
        <v>#N/A</v>
      </c>
      <c r="CK26" s="122" t="e" cm="1">
        <f t="array" ref="CK26">_xlfn.LET(_xlpm.k,ROW()-7,IF(OR(NOT($BL$3),_xlpm.k&lt;$AB$4,_xlpm.k&gt;$AB$4+IF($BL$3,$BL$4,0)),NA(),INDEX($BM$8:$BM$14,_xlpm.k-$AB$4+1)/1000000))</f>
        <v>#N/A</v>
      </c>
      <c r="CL26" s="122" t="e" cm="1">
        <f t="array" ref="CL26">_xlfn.LET(_xlpm.k,ROW()-7,IF(OR(NOT($BL$3),_xlpm.k&lt;$AB$4,_xlpm.k&gt;$AB$4+IF($BL$3,$BL$4,0)),NA(),INDEX($BN$8:$BN$14,_xlpm.k-$AB$4+1)/1000000))</f>
        <v>#N/A</v>
      </c>
      <c r="CM26" s="122" t="e" cm="1">
        <f t="array" ref="CM26">_xlfn.LET(_xlpm.k,ROW()-7,IF(OR(NOT($BL$3),_xlpm.k&lt;$AB$4,_xlpm.k&gt;$AB$4+IF($BL$3,$BL$4,0)),NA(),INDEX($BO$8:$BO$14,_xlpm.k-$AB$4+1)/1000000))</f>
        <v>#N/A</v>
      </c>
      <c r="CN26" s="122" t="e" cm="1">
        <f t="array" ref="CN26">_xlfn.LET(_xlpm.k,ROW()-7,IF(_xlpm.k&gt;$AB$4,NA(),_xlfn.LET(_xlpm.v,INDEX($AI$8:$AI$43,_xlpm.k),IF(ISNUMBER(_xlpm.v),_xlpm.v/1000000,NA()))))</f>
        <v>#N/A</v>
      </c>
      <c r="CO26" s="122" t="e" cm="1">
        <f t="array" ref="CO26">_xlfn.LET(_xlpm.k,ROW()-7,IF(OR(_xlpm.k&gt;$AB$4,_xlpm.k&lt;=12),NA(),_xlfn.LET(_xlpm.a,INDEX($AI$8:$AI$43,_xlpm.k),_xlpm.b,INDEX($AI$8:$AI$43,_xlpm.k-12),IF(AND(ISNUMBER(_xlpm.a),ISNUMBER(_xlpm.b),N(_xlpm.b)&gt;0),_xlpm.a/_xlpm.b-1,NA()))))</f>
        <v>#N/A</v>
      </c>
    </row>
    <row r="27" spans="28:93">
      <c r="AB27" s="122" t="str" cm="1">
        <f t="array" ref="AB27">IF(ROW()-7&gt;ROWS(_xlfn.ANCHORARRAY($AZ$8)),"",INDEX(_xlfn.ANCHORARRAY($AZ$8),ROW()-7)&amp;"")</f>
        <v/>
      </c>
      <c r="AC27" s="122" t="str" cm="1">
        <f t="array" ref="AC27">IF($AB27="","",_xlfn.LET(_xlpm.r,_xlfn.XLOOKUP($AB$3&amp;"|"&amp;$AB27,anSM_Seg&amp;"|"&amp;anSM_YM,anSM_Paid,""),IF(ISBLANK(_xlpm.r),"",_xlpm.r)))</f>
        <v/>
      </c>
      <c r="AD27" s="122" t="str" cm="1">
        <f t="array" ref="AD27">IF($AB27="","",_xlfn.LET(_xlpm.r,_xlfn.XLOOKUP($AB$3&amp;"|"&amp;$AB27,anSM_Seg&amp;"|"&amp;anSM_YM,anSM_PY,""),IF(ISBLANK(_xlpm.r),"",_xlpm.r)))</f>
        <v/>
      </c>
      <c r="AE27" s="122" t="str" cm="1">
        <f t="array" ref="AE27">IF($AB27="","",_xlfn.LET(_xlpm.r,_xlfn.XLOOKUP($AB$3&amp;"|"&amp;$AB27,anSM_Seg&amp;"|"&amp;anSM_YM,anSM_YoY,""),IF(ISBLANK(_xlpm.r),"",_xlpm.r)))</f>
        <v/>
      </c>
      <c r="AF27" s="122" t="str" cm="1">
        <f t="array" ref="AF27">IF($AB27="","",_xlfn.LET(_xlpm.r,_xlfn.XLOOKUP($AB$3&amp;"|"&amp;$AB27,anSM_Seg&amp;"|"&amp;anSM_YM,anSM_MoM,""),IF(ISBLANK(_xlpm.r),"",_xlpm.r)))</f>
        <v/>
      </c>
      <c r="AG27" s="122" t="str" cm="1">
        <f t="array" ref="AG27">IF($AB27="","",_xlfn.LET(_xlpm.r,_xlfn.XLOOKUP($AB$3&amp;"|"&amp;$AB27,anSM_Seg&amp;"|"&amp;anSM_YM,anSM_YTD,""),IF(ISBLANK(_xlpm.r),"",_xlpm.r)))</f>
        <v/>
      </c>
      <c r="AH27" s="122" t="str" cm="1">
        <f t="array" ref="AH27">IF($AB27="","",_xlfn.LET(_xlpm.r,_xlfn.XLOOKUP($AB$3&amp;"|"&amp;$AB27,anSM_Seg&amp;"|"&amp;anSM_YM,anSM_R3,""),IF(ISBLANK(_xlpm.r),"",_xlpm.r)))</f>
        <v/>
      </c>
      <c r="AI27" s="122" t="str" cm="1">
        <f t="array" ref="AI27">IF($AB27="","",_xlfn.LET(_xlpm.r,_xlfn.XLOOKUP($AB$3&amp;"|"&amp;$AB27,anSM_Seg&amp;"|"&amp;anSM_YM,anSM_R12,""),IF(ISBLANK(_xlpm.r),"",_xlpm.r)))</f>
        <v/>
      </c>
      <c r="AJ27" s="122" t="str" cm="1">
        <f t="array" ref="AJ27">IF($AB27="","",_xlfn.LET(_xlpm.r,_xlfn.XLOOKUP($AB$3&amp;"|"&amp;$AB27,anSM_Seg&amp;"|"&amp;anSM_YM,anSM_Lines,""),IF(ISBLANK(_xlpm.r),"",_xlpm.r)))</f>
        <v/>
      </c>
      <c r="AK27" s="122" t="str" cm="1">
        <f t="array" ref="AK27">IF($AB27="","",_xlfn.LET(_xlpm.r,_xlfn.XLOOKUP($AB$3&amp;"|"&amp;$AB27,anSM_Seg&amp;"|"&amp;anSM_YM,anSM_Cases,""),IF(ISBLANK(_xlpm.r),"",_xlpm.r)))</f>
        <v/>
      </c>
      <c r="AL27" s="122" t="str">
        <f t="shared" si="0"/>
        <v/>
      </c>
      <c r="AM27" s="122" t="str">
        <f t="shared" ca="1" si="1"/>
        <v/>
      </c>
      <c r="AN27" s="122" t="str">
        <f t="shared" ca="1" si="2"/>
        <v/>
      </c>
      <c r="AO27" s="122" t="str" cm="1">
        <f t="array" aca="1" ref="AO27" ca="1">IF(AND($BK$3,$AB27&lt;&gt;""),INDEX($BK$8:$BK$19,--RIGHT($AB27,2)),"")</f>
        <v/>
      </c>
      <c r="AP27" s="122" t="str">
        <f t="shared" ca="1" si="3"/>
        <v/>
      </c>
      <c r="AQ27" s="122" t="str">
        <f t="shared" si="4"/>
        <v/>
      </c>
      <c r="CG27" s="122" t="str" cm="1">
        <f t="array" ref="CG27">_xlfn.LET(_xlpm.k,ROW()-7,IF(_xlpm.k&lt;=$AB$4,$AB27,IF(_xlpm.k&lt;=$AB$4+IF($BL$3,$BL$4,0),TEXT(INDEX($BL$9:$BL$14,_xlpm.k-$AB$4),"yyyy-mm"),"")))</f>
        <v/>
      </c>
      <c r="CH27" s="122" t="e" cm="1">
        <f t="array" ref="CH27">_xlfn.LET(_xlpm.k,ROW()-7,IF(_xlpm.k&gt;$AB$4,NA(),_xlfn.LET(_xlpm.v,INDEX($AC$8:$AC$43,_xlpm.k),IF(ISNUMBER(_xlpm.v),_xlpm.v/1000000,NA()))))</f>
        <v>#N/A</v>
      </c>
      <c r="CI27" s="122" t="e" cm="1">
        <f t="array" ref="CI27">_xlfn.LET(_xlpm.k,ROW()-7,IF(_xlpm.k&gt;$AB$4,NA(),_xlfn.LET(_xlpm.v,INDEX($AD$8:$AD$43,_xlpm.k),IF(ISNUMBER(_xlpm.v),_xlpm.v/1000000,NA()))))</f>
        <v>#N/A</v>
      </c>
      <c r="CJ27" s="122" t="e" cm="1">
        <f t="array" ref="CJ27">_xlfn.LET(_xlpm.k,ROW()-7,IF(_xlpm.k&gt;$AB$4,NA(),_xlfn.LET(_xlpm.v,INDEX($AL$8:$AL$43,_xlpm.k),IF(ISNUMBER(_xlpm.v),_xlpm.v/1000000,NA()))))</f>
        <v>#N/A</v>
      </c>
      <c r="CK27" s="122" t="e" cm="1">
        <f t="array" ref="CK27">_xlfn.LET(_xlpm.k,ROW()-7,IF(OR(NOT($BL$3),_xlpm.k&lt;$AB$4,_xlpm.k&gt;$AB$4+IF($BL$3,$BL$4,0)),NA(),INDEX($BM$8:$BM$14,_xlpm.k-$AB$4+1)/1000000))</f>
        <v>#N/A</v>
      </c>
      <c r="CL27" s="122" t="e" cm="1">
        <f t="array" ref="CL27">_xlfn.LET(_xlpm.k,ROW()-7,IF(OR(NOT($BL$3),_xlpm.k&lt;$AB$4,_xlpm.k&gt;$AB$4+IF($BL$3,$BL$4,0)),NA(),INDEX($BN$8:$BN$14,_xlpm.k-$AB$4+1)/1000000))</f>
        <v>#N/A</v>
      </c>
      <c r="CM27" s="122" t="e" cm="1">
        <f t="array" ref="CM27">_xlfn.LET(_xlpm.k,ROW()-7,IF(OR(NOT($BL$3),_xlpm.k&lt;$AB$4,_xlpm.k&gt;$AB$4+IF($BL$3,$BL$4,0)),NA(),INDEX($BO$8:$BO$14,_xlpm.k-$AB$4+1)/1000000))</f>
        <v>#N/A</v>
      </c>
      <c r="CN27" s="122" t="e" cm="1">
        <f t="array" ref="CN27">_xlfn.LET(_xlpm.k,ROW()-7,IF(_xlpm.k&gt;$AB$4,NA(),_xlfn.LET(_xlpm.v,INDEX($AI$8:$AI$43,_xlpm.k),IF(ISNUMBER(_xlpm.v),_xlpm.v/1000000,NA()))))</f>
        <v>#N/A</v>
      </c>
      <c r="CO27" s="122" t="e" cm="1">
        <f t="array" ref="CO27">_xlfn.LET(_xlpm.k,ROW()-7,IF(OR(_xlpm.k&gt;$AB$4,_xlpm.k&lt;=12),NA(),_xlfn.LET(_xlpm.a,INDEX($AI$8:$AI$43,_xlpm.k),_xlpm.b,INDEX($AI$8:$AI$43,_xlpm.k-12),IF(AND(ISNUMBER(_xlpm.a),ISNUMBER(_xlpm.b),N(_xlpm.b)&gt;0),_xlpm.a/_xlpm.b-1,NA()))))</f>
        <v>#N/A</v>
      </c>
    </row>
    <row r="28" spans="28:93">
      <c r="AB28" s="122" t="str" cm="1">
        <f t="array" ref="AB28">IF(ROW()-7&gt;ROWS(_xlfn.ANCHORARRAY($AZ$8)),"",INDEX(_xlfn.ANCHORARRAY($AZ$8),ROW()-7)&amp;"")</f>
        <v/>
      </c>
      <c r="AC28" s="122" t="str" cm="1">
        <f t="array" ref="AC28">IF($AB28="","",_xlfn.LET(_xlpm.r,_xlfn.XLOOKUP($AB$3&amp;"|"&amp;$AB28,anSM_Seg&amp;"|"&amp;anSM_YM,anSM_Paid,""),IF(ISBLANK(_xlpm.r),"",_xlpm.r)))</f>
        <v/>
      </c>
      <c r="AD28" s="122" t="str" cm="1">
        <f t="array" ref="AD28">IF($AB28="","",_xlfn.LET(_xlpm.r,_xlfn.XLOOKUP($AB$3&amp;"|"&amp;$AB28,anSM_Seg&amp;"|"&amp;anSM_YM,anSM_PY,""),IF(ISBLANK(_xlpm.r),"",_xlpm.r)))</f>
        <v/>
      </c>
      <c r="AE28" s="122" t="str" cm="1">
        <f t="array" ref="AE28">IF($AB28="","",_xlfn.LET(_xlpm.r,_xlfn.XLOOKUP($AB$3&amp;"|"&amp;$AB28,anSM_Seg&amp;"|"&amp;anSM_YM,anSM_YoY,""),IF(ISBLANK(_xlpm.r),"",_xlpm.r)))</f>
        <v/>
      </c>
      <c r="AF28" s="122" t="str" cm="1">
        <f t="array" ref="AF28">IF($AB28="","",_xlfn.LET(_xlpm.r,_xlfn.XLOOKUP($AB$3&amp;"|"&amp;$AB28,anSM_Seg&amp;"|"&amp;anSM_YM,anSM_MoM,""),IF(ISBLANK(_xlpm.r),"",_xlpm.r)))</f>
        <v/>
      </c>
      <c r="AG28" s="122" t="str" cm="1">
        <f t="array" ref="AG28">IF($AB28="","",_xlfn.LET(_xlpm.r,_xlfn.XLOOKUP($AB$3&amp;"|"&amp;$AB28,anSM_Seg&amp;"|"&amp;anSM_YM,anSM_YTD,""),IF(ISBLANK(_xlpm.r),"",_xlpm.r)))</f>
        <v/>
      </c>
      <c r="AH28" s="122" t="str" cm="1">
        <f t="array" ref="AH28">IF($AB28="","",_xlfn.LET(_xlpm.r,_xlfn.XLOOKUP($AB$3&amp;"|"&amp;$AB28,anSM_Seg&amp;"|"&amp;anSM_YM,anSM_R3,""),IF(ISBLANK(_xlpm.r),"",_xlpm.r)))</f>
        <v/>
      </c>
      <c r="AI28" s="122" t="str" cm="1">
        <f t="array" ref="AI28">IF($AB28="","",_xlfn.LET(_xlpm.r,_xlfn.XLOOKUP($AB$3&amp;"|"&amp;$AB28,anSM_Seg&amp;"|"&amp;anSM_YM,anSM_R12,""),IF(ISBLANK(_xlpm.r),"",_xlpm.r)))</f>
        <v/>
      </c>
      <c r="AJ28" s="122" t="str" cm="1">
        <f t="array" ref="AJ28">IF($AB28="","",_xlfn.LET(_xlpm.r,_xlfn.XLOOKUP($AB$3&amp;"|"&amp;$AB28,anSM_Seg&amp;"|"&amp;anSM_YM,anSM_Lines,""),IF(ISBLANK(_xlpm.r),"",_xlpm.r)))</f>
        <v/>
      </c>
      <c r="AK28" s="122" t="str" cm="1">
        <f t="array" ref="AK28">IF($AB28="","",_xlfn.LET(_xlpm.r,_xlfn.XLOOKUP($AB$3&amp;"|"&amp;$AB28,anSM_Seg&amp;"|"&amp;anSM_YM,anSM_Cases,""),IF(ISBLANK(_xlpm.r),"",_xlpm.r)))</f>
        <v/>
      </c>
      <c r="AL28" s="122" t="str">
        <f t="shared" si="0"/>
        <v/>
      </c>
      <c r="AM28" s="122" t="str">
        <f t="shared" ca="1" si="1"/>
        <v/>
      </c>
      <c r="AN28" s="122" t="str">
        <f t="shared" ca="1" si="2"/>
        <v/>
      </c>
      <c r="AO28" s="122" t="str" cm="1">
        <f t="array" aca="1" ref="AO28" ca="1">IF(AND($BK$3,$AB28&lt;&gt;""),INDEX($BK$8:$BK$19,--RIGHT($AB28,2)),"")</f>
        <v/>
      </c>
      <c r="AP28" s="122" t="str">
        <f t="shared" ca="1" si="3"/>
        <v/>
      </c>
      <c r="AQ28" s="122" t="str">
        <f t="shared" si="4"/>
        <v/>
      </c>
      <c r="CG28" s="122" t="str" cm="1">
        <f t="array" ref="CG28">_xlfn.LET(_xlpm.k,ROW()-7,IF(_xlpm.k&lt;=$AB$4,$AB28,IF(_xlpm.k&lt;=$AB$4+IF($BL$3,$BL$4,0),TEXT(INDEX($BL$9:$BL$14,_xlpm.k-$AB$4),"yyyy-mm"),"")))</f>
        <v/>
      </c>
      <c r="CH28" s="122" t="e" cm="1">
        <f t="array" ref="CH28">_xlfn.LET(_xlpm.k,ROW()-7,IF(_xlpm.k&gt;$AB$4,NA(),_xlfn.LET(_xlpm.v,INDEX($AC$8:$AC$43,_xlpm.k),IF(ISNUMBER(_xlpm.v),_xlpm.v/1000000,NA()))))</f>
        <v>#N/A</v>
      </c>
      <c r="CI28" s="122" t="e" cm="1">
        <f t="array" ref="CI28">_xlfn.LET(_xlpm.k,ROW()-7,IF(_xlpm.k&gt;$AB$4,NA(),_xlfn.LET(_xlpm.v,INDEX($AD$8:$AD$43,_xlpm.k),IF(ISNUMBER(_xlpm.v),_xlpm.v/1000000,NA()))))</f>
        <v>#N/A</v>
      </c>
      <c r="CJ28" s="122" t="e" cm="1">
        <f t="array" ref="CJ28">_xlfn.LET(_xlpm.k,ROW()-7,IF(_xlpm.k&gt;$AB$4,NA(),_xlfn.LET(_xlpm.v,INDEX($AL$8:$AL$43,_xlpm.k),IF(ISNUMBER(_xlpm.v),_xlpm.v/1000000,NA()))))</f>
        <v>#N/A</v>
      </c>
      <c r="CK28" s="122" t="e" cm="1">
        <f t="array" ref="CK28">_xlfn.LET(_xlpm.k,ROW()-7,IF(OR(NOT($BL$3),_xlpm.k&lt;$AB$4,_xlpm.k&gt;$AB$4+IF($BL$3,$BL$4,0)),NA(),INDEX($BM$8:$BM$14,_xlpm.k-$AB$4+1)/1000000))</f>
        <v>#N/A</v>
      </c>
      <c r="CL28" s="122" t="e" cm="1">
        <f t="array" ref="CL28">_xlfn.LET(_xlpm.k,ROW()-7,IF(OR(NOT($BL$3),_xlpm.k&lt;$AB$4,_xlpm.k&gt;$AB$4+IF($BL$3,$BL$4,0)),NA(),INDEX($BN$8:$BN$14,_xlpm.k-$AB$4+1)/1000000))</f>
        <v>#N/A</v>
      </c>
      <c r="CM28" s="122" t="e" cm="1">
        <f t="array" ref="CM28">_xlfn.LET(_xlpm.k,ROW()-7,IF(OR(NOT($BL$3),_xlpm.k&lt;$AB$4,_xlpm.k&gt;$AB$4+IF($BL$3,$BL$4,0)),NA(),INDEX($BO$8:$BO$14,_xlpm.k-$AB$4+1)/1000000))</f>
        <v>#N/A</v>
      </c>
      <c r="CN28" s="122" t="e" cm="1">
        <f t="array" ref="CN28">_xlfn.LET(_xlpm.k,ROW()-7,IF(_xlpm.k&gt;$AB$4,NA(),_xlfn.LET(_xlpm.v,INDEX($AI$8:$AI$43,_xlpm.k),IF(ISNUMBER(_xlpm.v),_xlpm.v/1000000,NA()))))</f>
        <v>#N/A</v>
      </c>
      <c r="CO28" s="122" t="e" cm="1">
        <f t="array" ref="CO28">_xlfn.LET(_xlpm.k,ROW()-7,IF(OR(_xlpm.k&gt;$AB$4,_xlpm.k&lt;=12),NA(),_xlfn.LET(_xlpm.a,INDEX($AI$8:$AI$43,_xlpm.k),_xlpm.b,INDEX($AI$8:$AI$43,_xlpm.k-12),IF(AND(ISNUMBER(_xlpm.a),ISNUMBER(_xlpm.b),N(_xlpm.b)&gt;0),_xlpm.a/_xlpm.b-1,NA()))))</f>
        <v>#N/A</v>
      </c>
    </row>
    <row r="29" spans="28:93">
      <c r="AB29" s="122" t="str" cm="1">
        <f t="array" ref="AB29">IF(ROW()-7&gt;ROWS(_xlfn.ANCHORARRAY($AZ$8)),"",INDEX(_xlfn.ANCHORARRAY($AZ$8),ROW()-7)&amp;"")</f>
        <v/>
      </c>
      <c r="AC29" s="122" t="str" cm="1">
        <f t="array" ref="AC29">IF($AB29="","",_xlfn.LET(_xlpm.r,_xlfn.XLOOKUP($AB$3&amp;"|"&amp;$AB29,anSM_Seg&amp;"|"&amp;anSM_YM,anSM_Paid,""),IF(ISBLANK(_xlpm.r),"",_xlpm.r)))</f>
        <v/>
      </c>
      <c r="AD29" s="122" t="str" cm="1">
        <f t="array" ref="AD29">IF($AB29="","",_xlfn.LET(_xlpm.r,_xlfn.XLOOKUP($AB$3&amp;"|"&amp;$AB29,anSM_Seg&amp;"|"&amp;anSM_YM,anSM_PY,""),IF(ISBLANK(_xlpm.r),"",_xlpm.r)))</f>
        <v/>
      </c>
      <c r="AE29" s="122" t="str" cm="1">
        <f t="array" ref="AE29">IF($AB29="","",_xlfn.LET(_xlpm.r,_xlfn.XLOOKUP($AB$3&amp;"|"&amp;$AB29,anSM_Seg&amp;"|"&amp;anSM_YM,anSM_YoY,""),IF(ISBLANK(_xlpm.r),"",_xlpm.r)))</f>
        <v/>
      </c>
      <c r="AF29" s="122" t="str" cm="1">
        <f t="array" ref="AF29">IF($AB29="","",_xlfn.LET(_xlpm.r,_xlfn.XLOOKUP($AB$3&amp;"|"&amp;$AB29,anSM_Seg&amp;"|"&amp;anSM_YM,anSM_MoM,""),IF(ISBLANK(_xlpm.r),"",_xlpm.r)))</f>
        <v/>
      </c>
      <c r="AG29" s="122" t="str" cm="1">
        <f t="array" ref="AG29">IF($AB29="","",_xlfn.LET(_xlpm.r,_xlfn.XLOOKUP($AB$3&amp;"|"&amp;$AB29,anSM_Seg&amp;"|"&amp;anSM_YM,anSM_YTD,""),IF(ISBLANK(_xlpm.r),"",_xlpm.r)))</f>
        <v/>
      </c>
      <c r="AH29" s="122" t="str" cm="1">
        <f t="array" ref="AH29">IF($AB29="","",_xlfn.LET(_xlpm.r,_xlfn.XLOOKUP($AB$3&amp;"|"&amp;$AB29,anSM_Seg&amp;"|"&amp;anSM_YM,anSM_R3,""),IF(ISBLANK(_xlpm.r),"",_xlpm.r)))</f>
        <v/>
      </c>
      <c r="AI29" s="122" t="str" cm="1">
        <f t="array" ref="AI29">IF($AB29="","",_xlfn.LET(_xlpm.r,_xlfn.XLOOKUP($AB$3&amp;"|"&amp;$AB29,anSM_Seg&amp;"|"&amp;anSM_YM,anSM_R12,""),IF(ISBLANK(_xlpm.r),"",_xlpm.r)))</f>
        <v/>
      </c>
      <c r="AJ29" s="122" t="str" cm="1">
        <f t="array" ref="AJ29">IF($AB29="","",_xlfn.LET(_xlpm.r,_xlfn.XLOOKUP($AB$3&amp;"|"&amp;$AB29,anSM_Seg&amp;"|"&amp;anSM_YM,anSM_Lines,""),IF(ISBLANK(_xlpm.r),"",_xlpm.r)))</f>
        <v/>
      </c>
      <c r="AK29" s="122" t="str" cm="1">
        <f t="array" ref="AK29">IF($AB29="","",_xlfn.LET(_xlpm.r,_xlfn.XLOOKUP($AB$3&amp;"|"&amp;$AB29,anSM_Seg&amp;"|"&amp;anSM_YM,anSM_Cases,""),IF(ISBLANK(_xlpm.r),"",_xlpm.r)))</f>
        <v/>
      </c>
      <c r="AL29" s="122" t="str">
        <f t="shared" si="0"/>
        <v/>
      </c>
      <c r="AM29" s="122" t="str">
        <f t="shared" ca="1" si="1"/>
        <v/>
      </c>
      <c r="AN29" s="122" t="str">
        <f t="shared" ca="1" si="2"/>
        <v/>
      </c>
      <c r="AO29" s="122" t="str" cm="1">
        <f t="array" aca="1" ref="AO29" ca="1">IF(AND($BK$3,$AB29&lt;&gt;""),INDEX($BK$8:$BK$19,--RIGHT($AB29,2)),"")</f>
        <v/>
      </c>
      <c r="AP29" s="122" t="str">
        <f t="shared" ca="1" si="3"/>
        <v/>
      </c>
      <c r="AQ29" s="122" t="str">
        <f t="shared" si="4"/>
        <v/>
      </c>
      <c r="CG29" s="122" t="str" cm="1">
        <f t="array" ref="CG29">_xlfn.LET(_xlpm.k,ROW()-7,IF(_xlpm.k&lt;=$AB$4,$AB29,IF(_xlpm.k&lt;=$AB$4+IF($BL$3,$BL$4,0),TEXT(INDEX($BL$9:$BL$14,_xlpm.k-$AB$4),"yyyy-mm"),"")))</f>
        <v/>
      </c>
      <c r="CH29" s="122" t="e" cm="1">
        <f t="array" ref="CH29">_xlfn.LET(_xlpm.k,ROW()-7,IF(_xlpm.k&gt;$AB$4,NA(),_xlfn.LET(_xlpm.v,INDEX($AC$8:$AC$43,_xlpm.k),IF(ISNUMBER(_xlpm.v),_xlpm.v/1000000,NA()))))</f>
        <v>#N/A</v>
      </c>
      <c r="CI29" s="122" t="e" cm="1">
        <f t="array" ref="CI29">_xlfn.LET(_xlpm.k,ROW()-7,IF(_xlpm.k&gt;$AB$4,NA(),_xlfn.LET(_xlpm.v,INDEX($AD$8:$AD$43,_xlpm.k),IF(ISNUMBER(_xlpm.v),_xlpm.v/1000000,NA()))))</f>
        <v>#N/A</v>
      </c>
      <c r="CJ29" s="122" t="e" cm="1">
        <f t="array" ref="CJ29">_xlfn.LET(_xlpm.k,ROW()-7,IF(_xlpm.k&gt;$AB$4,NA(),_xlfn.LET(_xlpm.v,INDEX($AL$8:$AL$43,_xlpm.k),IF(ISNUMBER(_xlpm.v),_xlpm.v/1000000,NA()))))</f>
        <v>#N/A</v>
      </c>
      <c r="CK29" s="122" t="e" cm="1">
        <f t="array" ref="CK29">_xlfn.LET(_xlpm.k,ROW()-7,IF(OR(NOT($BL$3),_xlpm.k&lt;$AB$4,_xlpm.k&gt;$AB$4+IF($BL$3,$BL$4,0)),NA(),INDEX($BM$8:$BM$14,_xlpm.k-$AB$4+1)/1000000))</f>
        <v>#N/A</v>
      </c>
      <c r="CL29" s="122" t="e" cm="1">
        <f t="array" ref="CL29">_xlfn.LET(_xlpm.k,ROW()-7,IF(OR(NOT($BL$3),_xlpm.k&lt;$AB$4,_xlpm.k&gt;$AB$4+IF($BL$3,$BL$4,0)),NA(),INDEX($BN$8:$BN$14,_xlpm.k-$AB$4+1)/1000000))</f>
        <v>#N/A</v>
      </c>
      <c r="CM29" s="122" t="e" cm="1">
        <f t="array" ref="CM29">_xlfn.LET(_xlpm.k,ROW()-7,IF(OR(NOT($BL$3),_xlpm.k&lt;$AB$4,_xlpm.k&gt;$AB$4+IF($BL$3,$BL$4,0)),NA(),INDEX($BO$8:$BO$14,_xlpm.k-$AB$4+1)/1000000))</f>
        <v>#N/A</v>
      </c>
      <c r="CN29" s="122" t="e" cm="1">
        <f t="array" ref="CN29">_xlfn.LET(_xlpm.k,ROW()-7,IF(_xlpm.k&gt;$AB$4,NA(),_xlfn.LET(_xlpm.v,INDEX($AI$8:$AI$43,_xlpm.k),IF(ISNUMBER(_xlpm.v),_xlpm.v/1000000,NA()))))</f>
        <v>#N/A</v>
      </c>
      <c r="CO29" s="122" t="e" cm="1">
        <f t="array" ref="CO29">_xlfn.LET(_xlpm.k,ROW()-7,IF(OR(_xlpm.k&gt;$AB$4,_xlpm.k&lt;=12),NA(),_xlfn.LET(_xlpm.a,INDEX($AI$8:$AI$43,_xlpm.k),_xlpm.b,INDEX($AI$8:$AI$43,_xlpm.k-12),IF(AND(ISNUMBER(_xlpm.a),ISNUMBER(_xlpm.b),N(_xlpm.b)&gt;0),_xlpm.a/_xlpm.b-1,NA()))))</f>
        <v>#N/A</v>
      </c>
    </row>
    <row r="30" spans="28:93">
      <c r="AB30" s="122" t="str" cm="1">
        <f t="array" ref="AB30">IF(ROW()-7&gt;ROWS(_xlfn.ANCHORARRAY($AZ$8)),"",INDEX(_xlfn.ANCHORARRAY($AZ$8),ROW()-7)&amp;"")</f>
        <v/>
      </c>
      <c r="AC30" s="122" t="str" cm="1">
        <f t="array" ref="AC30">IF($AB30="","",_xlfn.LET(_xlpm.r,_xlfn.XLOOKUP($AB$3&amp;"|"&amp;$AB30,anSM_Seg&amp;"|"&amp;anSM_YM,anSM_Paid,""),IF(ISBLANK(_xlpm.r),"",_xlpm.r)))</f>
        <v/>
      </c>
      <c r="AD30" s="122" t="str" cm="1">
        <f t="array" ref="AD30">IF($AB30="","",_xlfn.LET(_xlpm.r,_xlfn.XLOOKUP($AB$3&amp;"|"&amp;$AB30,anSM_Seg&amp;"|"&amp;anSM_YM,anSM_PY,""),IF(ISBLANK(_xlpm.r),"",_xlpm.r)))</f>
        <v/>
      </c>
      <c r="AE30" s="122" t="str" cm="1">
        <f t="array" ref="AE30">IF($AB30="","",_xlfn.LET(_xlpm.r,_xlfn.XLOOKUP($AB$3&amp;"|"&amp;$AB30,anSM_Seg&amp;"|"&amp;anSM_YM,anSM_YoY,""),IF(ISBLANK(_xlpm.r),"",_xlpm.r)))</f>
        <v/>
      </c>
      <c r="AF30" s="122" t="str" cm="1">
        <f t="array" ref="AF30">IF($AB30="","",_xlfn.LET(_xlpm.r,_xlfn.XLOOKUP($AB$3&amp;"|"&amp;$AB30,anSM_Seg&amp;"|"&amp;anSM_YM,anSM_MoM,""),IF(ISBLANK(_xlpm.r),"",_xlpm.r)))</f>
        <v/>
      </c>
      <c r="AG30" s="122" t="str" cm="1">
        <f t="array" ref="AG30">IF($AB30="","",_xlfn.LET(_xlpm.r,_xlfn.XLOOKUP($AB$3&amp;"|"&amp;$AB30,anSM_Seg&amp;"|"&amp;anSM_YM,anSM_YTD,""),IF(ISBLANK(_xlpm.r),"",_xlpm.r)))</f>
        <v/>
      </c>
      <c r="AH30" s="122" t="str" cm="1">
        <f t="array" ref="AH30">IF($AB30="","",_xlfn.LET(_xlpm.r,_xlfn.XLOOKUP($AB$3&amp;"|"&amp;$AB30,anSM_Seg&amp;"|"&amp;anSM_YM,anSM_R3,""),IF(ISBLANK(_xlpm.r),"",_xlpm.r)))</f>
        <v/>
      </c>
      <c r="AI30" s="122" t="str" cm="1">
        <f t="array" ref="AI30">IF($AB30="","",_xlfn.LET(_xlpm.r,_xlfn.XLOOKUP($AB$3&amp;"|"&amp;$AB30,anSM_Seg&amp;"|"&amp;anSM_YM,anSM_R12,""),IF(ISBLANK(_xlpm.r),"",_xlpm.r)))</f>
        <v/>
      </c>
      <c r="AJ30" s="122" t="str" cm="1">
        <f t="array" ref="AJ30">IF($AB30="","",_xlfn.LET(_xlpm.r,_xlfn.XLOOKUP($AB$3&amp;"|"&amp;$AB30,anSM_Seg&amp;"|"&amp;anSM_YM,anSM_Lines,""),IF(ISBLANK(_xlpm.r),"",_xlpm.r)))</f>
        <v/>
      </c>
      <c r="AK30" s="122" t="str" cm="1">
        <f t="array" ref="AK30">IF($AB30="","",_xlfn.LET(_xlpm.r,_xlfn.XLOOKUP($AB$3&amp;"|"&amp;$AB30,anSM_Seg&amp;"|"&amp;anSM_YM,anSM_Cases,""),IF(ISBLANK(_xlpm.r),"",_xlpm.r)))</f>
        <v/>
      </c>
      <c r="AL30" s="122" t="str">
        <f t="shared" si="0"/>
        <v/>
      </c>
      <c r="AM30" s="122" t="str">
        <f t="shared" ca="1" si="1"/>
        <v/>
      </c>
      <c r="AN30" s="122" t="str">
        <f t="shared" ca="1" si="2"/>
        <v/>
      </c>
      <c r="AO30" s="122" t="str" cm="1">
        <f t="array" aca="1" ref="AO30" ca="1">IF(AND($BK$3,$AB30&lt;&gt;""),INDEX($BK$8:$BK$19,--RIGHT($AB30,2)),"")</f>
        <v/>
      </c>
      <c r="AP30" s="122" t="str">
        <f t="shared" ca="1" si="3"/>
        <v/>
      </c>
      <c r="AQ30" s="122" t="str">
        <f t="shared" si="4"/>
        <v/>
      </c>
      <c r="CG30" s="122" t="str" cm="1">
        <f t="array" ref="CG30">_xlfn.LET(_xlpm.k,ROW()-7,IF(_xlpm.k&lt;=$AB$4,$AB30,IF(_xlpm.k&lt;=$AB$4+IF($BL$3,$BL$4,0),TEXT(INDEX($BL$9:$BL$14,_xlpm.k-$AB$4),"yyyy-mm"),"")))</f>
        <v/>
      </c>
      <c r="CH30" s="122" t="e" cm="1">
        <f t="array" ref="CH30">_xlfn.LET(_xlpm.k,ROW()-7,IF(_xlpm.k&gt;$AB$4,NA(),_xlfn.LET(_xlpm.v,INDEX($AC$8:$AC$43,_xlpm.k),IF(ISNUMBER(_xlpm.v),_xlpm.v/1000000,NA()))))</f>
        <v>#N/A</v>
      </c>
      <c r="CI30" s="122" t="e" cm="1">
        <f t="array" ref="CI30">_xlfn.LET(_xlpm.k,ROW()-7,IF(_xlpm.k&gt;$AB$4,NA(),_xlfn.LET(_xlpm.v,INDEX($AD$8:$AD$43,_xlpm.k),IF(ISNUMBER(_xlpm.v),_xlpm.v/1000000,NA()))))</f>
        <v>#N/A</v>
      </c>
      <c r="CJ30" s="122" t="e" cm="1">
        <f t="array" ref="CJ30">_xlfn.LET(_xlpm.k,ROW()-7,IF(_xlpm.k&gt;$AB$4,NA(),_xlfn.LET(_xlpm.v,INDEX($AL$8:$AL$43,_xlpm.k),IF(ISNUMBER(_xlpm.v),_xlpm.v/1000000,NA()))))</f>
        <v>#N/A</v>
      </c>
      <c r="CK30" s="122" t="e" cm="1">
        <f t="array" ref="CK30">_xlfn.LET(_xlpm.k,ROW()-7,IF(OR(NOT($BL$3),_xlpm.k&lt;$AB$4,_xlpm.k&gt;$AB$4+IF($BL$3,$BL$4,0)),NA(),INDEX($BM$8:$BM$14,_xlpm.k-$AB$4+1)/1000000))</f>
        <v>#N/A</v>
      </c>
      <c r="CL30" s="122" t="e" cm="1">
        <f t="array" ref="CL30">_xlfn.LET(_xlpm.k,ROW()-7,IF(OR(NOT($BL$3),_xlpm.k&lt;$AB$4,_xlpm.k&gt;$AB$4+IF($BL$3,$BL$4,0)),NA(),INDEX($BN$8:$BN$14,_xlpm.k-$AB$4+1)/1000000))</f>
        <v>#N/A</v>
      </c>
      <c r="CM30" s="122" t="e" cm="1">
        <f t="array" ref="CM30">_xlfn.LET(_xlpm.k,ROW()-7,IF(OR(NOT($BL$3),_xlpm.k&lt;$AB$4,_xlpm.k&gt;$AB$4+IF($BL$3,$BL$4,0)),NA(),INDEX($BO$8:$BO$14,_xlpm.k-$AB$4+1)/1000000))</f>
        <v>#N/A</v>
      </c>
      <c r="CN30" s="122" t="e" cm="1">
        <f t="array" ref="CN30">_xlfn.LET(_xlpm.k,ROW()-7,IF(_xlpm.k&gt;$AB$4,NA(),_xlfn.LET(_xlpm.v,INDEX($AI$8:$AI$43,_xlpm.k),IF(ISNUMBER(_xlpm.v),_xlpm.v/1000000,NA()))))</f>
        <v>#N/A</v>
      </c>
      <c r="CO30" s="122" t="e" cm="1">
        <f t="array" ref="CO30">_xlfn.LET(_xlpm.k,ROW()-7,IF(OR(_xlpm.k&gt;$AB$4,_xlpm.k&lt;=12),NA(),_xlfn.LET(_xlpm.a,INDEX($AI$8:$AI$43,_xlpm.k),_xlpm.b,INDEX($AI$8:$AI$43,_xlpm.k-12),IF(AND(ISNUMBER(_xlpm.a),ISNUMBER(_xlpm.b),N(_xlpm.b)&gt;0),_xlpm.a/_xlpm.b-1,NA()))))</f>
        <v>#N/A</v>
      </c>
    </row>
    <row r="31" spans="28:93">
      <c r="AB31" s="122" t="str" cm="1">
        <f t="array" ref="AB31">IF(ROW()-7&gt;ROWS(_xlfn.ANCHORARRAY($AZ$8)),"",INDEX(_xlfn.ANCHORARRAY($AZ$8),ROW()-7)&amp;"")</f>
        <v/>
      </c>
      <c r="AC31" s="122" t="str" cm="1">
        <f t="array" ref="AC31">IF($AB31="","",_xlfn.LET(_xlpm.r,_xlfn.XLOOKUP($AB$3&amp;"|"&amp;$AB31,anSM_Seg&amp;"|"&amp;anSM_YM,anSM_Paid,""),IF(ISBLANK(_xlpm.r),"",_xlpm.r)))</f>
        <v/>
      </c>
      <c r="AD31" s="122" t="str" cm="1">
        <f t="array" ref="AD31">IF($AB31="","",_xlfn.LET(_xlpm.r,_xlfn.XLOOKUP($AB$3&amp;"|"&amp;$AB31,anSM_Seg&amp;"|"&amp;anSM_YM,anSM_PY,""),IF(ISBLANK(_xlpm.r),"",_xlpm.r)))</f>
        <v/>
      </c>
      <c r="AE31" s="122" t="str" cm="1">
        <f t="array" ref="AE31">IF($AB31="","",_xlfn.LET(_xlpm.r,_xlfn.XLOOKUP($AB$3&amp;"|"&amp;$AB31,anSM_Seg&amp;"|"&amp;anSM_YM,anSM_YoY,""),IF(ISBLANK(_xlpm.r),"",_xlpm.r)))</f>
        <v/>
      </c>
      <c r="AF31" s="122" t="str" cm="1">
        <f t="array" ref="AF31">IF($AB31="","",_xlfn.LET(_xlpm.r,_xlfn.XLOOKUP($AB$3&amp;"|"&amp;$AB31,anSM_Seg&amp;"|"&amp;anSM_YM,anSM_MoM,""),IF(ISBLANK(_xlpm.r),"",_xlpm.r)))</f>
        <v/>
      </c>
      <c r="AG31" s="122" t="str" cm="1">
        <f t="array" ref="AG31">IF($AB31="","",_xlfn.LET(_xlpm.r,_xlfn.XLOOKUP($AB$3&amp;"|"&amp;$AB31,anSM_Seg&amp;"|"&amp;anSM_YM,anSM_YTD,""),IF(ISBLANK(_xlpm.r),"",_xlpm.r)))</f>
        <v/>
      </c>
      <c r="AH31" s="122" t="str" cm="1">
        <f t="array" ref="AH31">IF($AB31="","",_xlfn.LET(_xlpm.r,_xlfn.XLOOKUP($AB$3&amp;"|"&amp;$AB31,anSM_Seg&amp;"|"&amp;anSM_YM,anSM_R3,""),IF(ISBLANK(_xlpm.r),"",_xlpm.r)))</f>
        <v/>
      </c>
      <c r="AI31" s="122" t="str" cm="1">
        <f t="array" ref="AI31">IF($AB31="","",_xlfn.LET(_xlpm.r,_xlfn.XLOOKUP($AB$3&amp;"|"&amp;$AB31,anSM_Seg&amp;"|"&amp;anSM_YM,anSM_R12,""),IF(ISBLANK(_xlpm.r),"",_xlpm.r)))</f>
        <v/>
      </c>
      <c r="AJ31" s="122" t="str" cm="1">
        <f t="array" ref="AJ31">IF($AB31="","",_xlfn.LET(_xlpm.r,_xlfn.XLOOKUP($AB$3&amp;"|"&amp;$AB31,anSM_Seg&amp;"|"&amp;anSM_YM,anSM_Lines,""),IF(ISBLANK(_xlpm.r),"",_xlpm.r)))</f>
        <v/>
      </c>
      <c r="AK31" s="122" t="str" cm="1">
        <f t="array" ref="AK31">IF($AB31="","",_xlfn.LET(_xlpm.r,_xlfn.XLOOKUP($AB$3&amp;"|"&amp;$AB31,anSM_Seg&amp;"|"&amp;anSM_YM,anSM_Cases,""),IF(ISBLANK(_xlpm.r),"",_xlpm.r)))</f>
        <v/>
      </c>
      <c r="AL31" s="122" t="str">
        <f t="shared" si="0"/>
        <v/>
      </c>
      <c r="AM31" s="122" t="str">
        <f t="shared" ca="1" si="1"/>
        <v/>
      </c>
      <c r="AN31" s="122" t="str">
        <f t="shared" ca="1" si="2"/>
        <v/>
      </c>
      <c r="AO31" s="122" t="str" cm="1">
        <f t="array" aca="1" ref="AO31" ca="1">IF(AND($BK$3,$AB31&lt;&gt;""),INDEX($BK$8:$BK$19,--RIGHT($AB31,2)),"")</f>
        <v/>
      </c>
      <c r="AP31" s="122" t="str">
        <f t="shared" ca="1" si="3"/>
        <v/>
      </c>
      <c r="AQ31" s="122" t="str">
        <f t="shared" si="4"/>
        <v/>
      </c>
      <c r="CG31" s="122" t="str" cm="1">
        <f t="array" ref="CG31">_xlfn.LET(_xlpm.k,ROW()-7,IF(_xlpm.k&lt;=$AB$4,$AB31,IF(_xlpm.k&lt;=$AB$4+IF($BL$3,$BL$4,0),TEXT(INDEX($BL$9:$BL$14,_xlpm.k-$AB$4),"yyyy-mm"),"")))</f>
        <v/>
      </c>
      <c r="CH31" s="122" t="e" cm="1">
        <f t="array" ref="CH31">_xlfn.LET(_xlpm.k,ROW()-7,IF(_xlpm.k&gt;$AB$4,NA(),_xlfn.LET(_xlpm.v,INDEX($AC$8:$AC$43,_xlpm.k),IF(ISNUMBER(_xlpm.v),_xlpm.v/1000000,NA()))))</f>
        <v>#N/A</v>
      </c>
      <c r="CI31" s="122" t="e" cm="1">
        <f t="array" ref="CI31">_xlfn.LET(_xlpm.k,ROW()-7,IF(_xlpm.k&gt;$AB$4,NA(),_xlfn.LET(_xlpm.v,INDEX($AD$8:$AD$43,_xlpm.k),IF(ISNUMBER(_xlpm.v),_xlpm.v/1000000,NA()))))</f>
        <v>#N/A</v>
      </c>
      <c r="CJ31" s="122" t="e" cm="1">
        <f t="array" ref="CJ31">_xlfn.LET(_xlpm.k,ROW()-7,IF(_xlpm.k&gt;$AB$4,NA(),_xlfn.LET(_xlpm.v,INDEX($AL$8:$AL$43,_xlpm.k),IF(ISNUMBER(_xlpm.v),_xlpm.v/1000000,NA()))))</f>
        <v>#N/A</v>
      </c>
      <c r="CK31" s="122" t="e" cm="1">
        <f t="array" ref="CK31">_xlfn.LET(_xlpm.k,ROW()-7,IF(OR(NOT($BL$3),_xlpm.k&lt;$AB$4,_xlpm.k&gt;$AB$4+IF($BL$3,$BL$4,0)),NA(),INDEX($BM$8:$BM$14,_xlpm.k-$AB$4+1)/1000000))</f>
        <v>#N/A</v>
      </c>
      <c r="CL31" s="122" t="e" cm="1">
        <f t="array" ref="CL31">_xlfn.LET(_xlpm.k,ROW()-7,IF(OR(NOT($BL$3),_xlpm.k&lt;$AB$4,_xlpm.k&gt;$AB$4+IF($BL$3,$BL$4,0)),NA(),INDEX($BN$8:$BN$14,_xlpm.k-$AB$4+1)/1000000))</f>
        <v>#N/A</v>
      </c>
      <c r="CM31" s="122" t="e" cm="1">
        <f t="array" ref="CM31">_xlfn.LET(_xlpm.k,ROW()-7,IF(OR(NOT($BL$3),_xlpm.k&lt;$AB$4,_xlpm.k&gt;$AB$4+IF($BL$3,$BL$4,0)),NA(),INDEX($BO$8:$BO$14,_xlpm.k-$AB$4+1)/1000000))</f>
        <v>#N/A</v>
      </c>
      <c r="CN31" s="122" t="e" cm="1">
        <f t="array" ref="CN31">_xlfn.LET(_xlpm.k,ROW()-7,IF(_xlpm.k&gt;$AB$4,NA(),_xlfn.LET(_xlpm.v,INDEX($AI$8:$AI$43,_xlpm.k),IF(ISNUMBER(_xlpm.v),_xlpm.v/1000000,NA()))))</f>
        <v>#N/A</v>
      </c>
      <c r="CO31" s="122" t="e" cm="1">
        <f t="array" ref="CO31">_xlfn.LET(_xlpm.k,ROW()-7,IF(OR(_xlpm.k&gt;$AB$4,_xlpm.k&lt;=12),NA(),_xlfn.LET(_xlpm.a,INDEX($AI$8:$AI$43,_xlpm.k),_xlpm.b,INDEX($AI$8:$AI$43,_xlpm.k-12),IF(AND(ISNUMBER(_xlpm.a),ISNUMBER(_xlpm.b),N(_xlpm.b)&gt;0),_xlpm.a/_xlpm.b-1,NA()))))</f>
        <v>#N/A</v>
      </c>
    </row>
    <row r="32" spans="28:93">
      <c r="AB32" s="122" t="str" cm="1">
        <f t="array" ref="AB32">IF(ROW()-7&gt;ROWS(_xlfn.ANCHORARRAY($AZ$8)),"",INDEX(_xlfn.ANCHORARRAY($AZ$8),ROW()-7)&amp;"")</f>
        <v/>
      </c>
      <c r="AC32" s="122" t="str" cm="1">
        <f t="array" ref="AC32">IF($AB32="","",_xlfn.LET(_xlpm.r,_xlfn.XLOOKUP($AB$3&amp;"|"&amp;$AB32,anSM_Seg&amp;"|"&amp;anSM_YM,anSM_Paid,""),IF(ISBLANK(_xlpm.r),"",_xlpm.r)))</f>
        <v/>
      </c>
      <c r="AD32" s="122" t="str" cm="1">
        <f t="array" ref="AD32">IF($AB32="","",_xlfn.LET(_xlpm.r,_xlfn.XLOOKUP($AB$3&amp;"|"&amp;$AB32,anSM_Seg&amp;"|"&amp;anSM_YM,anSM_PY,""),IF(ISBLANK(_xlpm.r),"",_xlpm.r)))</f>
        <v/>
      </c>
      <c r="AE32" s="122" t="str" cm="1">
        <f t="array" ref="AE32">IF($AB32="","",_xlfn.LET(_xlpm.r,_xlfn.XLOOKUP($AB$3&amp;"|"&amp;$AB32,anSM_Seg&amp;"|"&amp;anSM_YM,anSM_YoY,""),IF(ISBLANK(_xlpm.r),"",_xlpm.r)))</f>
        <v/>
      </c>
      <c r="AF32" s="122" t="str" cm="1">
        <f t="array" ref="AF32">IF($AB32="","",_xlfn.LET(_xlpm.r,_xlfn.XLOOKUP($AB$3&amp;"|"&amp;$AB32,anSM_Seg&amp;"|"&amp;anSM_YM,anSM_MoM,""),IF(ISBLANK(_xlpm.r),"",_xlpm.r)))</f>
        <v/>
      </c>
      <c r="AG32" s="122" t="str" cm="1">
        <f t="array" ref="AG32">IF($AB32="","",_xlfn.LET(_xlpm.r,_xlfn.XLOOKUP($AB$3&amp;"|"&amp;$AB32,anSM_Seg&amp;"|"&amp;anSM_YM,anSM_YTD,""),IF(ISBLANK(_xlpm.r),"",_xlpm.r)))</f>
        <v/>
      </c>
      <c r="AH32" s="122" t="str" cm="1">
        <f t="array" ref="AH32">IF($AB32="","",_xlfn.LET(_xlpm.r,_xlfn.XLOOKUP($AB$3&amp;"|"&amp;$AB32,anSM_Seg&amp;"|"&amp;anSM_YM,anSM_R3,""),IF(ISBLANK(_xlpm.r),"",_xlpm.r)))</f>
        <v/>
      </c>
      <c r="AI32" s="122" t="str" cm="1">
        <f t="array" ref="AI32">IF($AB32="","",_xlfn.LET(_xlpm.r,_xlfn.XLOOKUP($AB$3&amp;"|"&amp;$AB32,anSM_Seg&amp;"|"&amp;anSM_YM,anSM_R12,""),IF(ISBLANK(_xlpm.r),"",_xlpm.r)))</f>
        <v/>
      </c>
      <c r="AJ32" s="122" t="str" cm="1">
        <f t="array" ref="AJ32">IF($AB32="","",_xlfn.LET(_xlpm.r,_xlfn.XLOOKUP($AB$3&amp;"|"&amp;$AB32,anSM_Seg&amp;"|"&amp;anSM_YM,anSM_Lines,""),IF(ISBLANK(_xlpm.r),"",_xlpm.r)))</f>
        <v/>
      </c>
      <c r="AK32" s="122" t="str" cm="1">
        <f t="array" ref="AK32">IF($AB32="","",_xlfn.LET(_xlpm.r,_xlfn.XLOOKUP($AB$3&amp;"|"&amp;$AB32,anSM_Seg&amp;"|"&amp;anSM_YM,anSM_Cases,""),IF(ISBLANK(_xlpm.r),"",_xlpm.r)))</f>
        <v/>
      </c>
      <c r="AL32" s="122" t="str">
        <f t="shared" si="0"/>
        <v/>
      </c>
      <c r="AM32" s="122" t="str">
        <f t="shared" ca="1" si="1"/>
        <v/>
      </c>
      <c r="AN32" s="122" t="str">
        <f t="shared" ca="1" si="2"/>
        <v/>
      </c>
      <c r="AO32" s="122" t="str" cm="1">
        <f t="array" aca="1" ref="AO32" ca="1">IF(AND($BK$3,$AB32&lt;&gt;""),INDEX($BK$8:$BK$19,--RIGHT($AB32,2)),"")</f>
        <v/>
      </c>
      <c r="AP32" s="122" t="str">
        <f t="shared" ca="1" si="3"/>
        <v/>
      </c>
      <c r="AQ32" s="122" t="str">
        <f t="shared" si="4"/>
        <v/>
      </c>
      <c r="CG32" s="122" t="str" cm="1">
        <f t="array" ref="CG32">_xlfn.LET(_xlpm.k,ROW()-7,IF(_xlpm.k&lt;=$AB$4,$AB32,IF(_xlpm.k&lt;=$AB$4+IF($BL$3,$BL$4,0),TEXT(INDEX($BL$9:$BL$14,_xlpm.k-$AB$4),"yyyy-mm"),"")))</f>
        <v/>
      </c>
      <c r="CH32" s="122" t="e" cm="1">
        <f t="array" ref="CH32">_xlfn.LET(_xlpm.k,ROW()-7,IF(_xlpm.k&gt;$AB$4,NA(),_xlfn.LET(_xlpm.v,INDEX($AC$8:$AC$43,_xlpm.k),IF(ISNUMBER(_xlpm.v),_xlpm.v/1000000,NA()))))</f>
        <v>#N/A</v>
      </c>
      <c r="CI32" s="122" t="e" cm="1">
        <f t="array" ref="CI32">_xlfn.LET(_xlpm.k,ROW()-7,IF(_xlpm.k&gt;$AB$4,NA(),_xlfn.LET(_xlpm.v,INDEX($AD$8:$AD$43,_xlpm.k),IF(ISNUMBER(_xlpm.v),_xlpm.v/1000000,NA()))))</f>
        <v>#N/A</v>
      </c>
      <c r="CJ32" s="122" t="e" cm="1">
        <f t="array" ref="CJ32">_xlfn.LET(_xlpm.k,ROW()-7,IF(_xlpm.k&gt;$AB$4,NA(),_xlfn.LET(_xlpm.v,INDEX($AL$8:$AL$43,_xlpm.k),IF(ISNUMBER(_xlpm.v),_xlpm.v/1000000,NA()))))</f>
        <v>#N/A</v>
      </c>
      <c r="CK32" s="122" t="e" cm="1">
        <f t="array" ref="CK32">_xlfn.LET(_xlpm.k,ROW()-7,IF(OR(NOT($BL$3),_xlpm.k&lt;$AB$4,_xlpm.k&gt;$AB$4+IF($BL$3,$BL$4,0)),NA(),INDEX($BM$8:$BM$14,_xlpm.k-$AB$4+1)/1000000))</f>
        <v>#N/A</v>
      </c>
      <c r="CL32" s="122" t="e" cm="1">
        <f t="array" ref="CL32">_xlfn.LET(_xlpm.k,ROW()-7,IF(OR(NOT($BL$3),_xlpm.k&lt;$AB$4,_xlpm.k&gt;$AB$4+IF($BL$3,$BL$4,0)),NA(),INDEX($BN$8:$BN$14,_xlpm.k-$AB$4+1)/1000000))</f>
        <v>#N/A</v>
      </c>
      <c r="CM32" s="122" t="e" cm="1">
        <f t="array" ref="CM32">_xlfn.LET(_xlpm.k,ROW()-7,IF(OR(NOT($BL$3),_xlpm.k&lt;$AB$4,_xlpm.k&gt;$AB$4+IF($BL$3,$BL$4,0)),NA(),INDEX($BO$8:$BO$14,_xlpm.k-$AB$4+1)/1000000))</f>
        <v>#N/A</v>
      </c>
      <c r="CN32" s="122" t="e" cm="1">
        <f t="array" ref="CN32">_xlfn.LET(_xlpm.k,ROW()-7,IF(_xlpm.k&gt;$AB$4,NA(),_xlfn.LET(_xlpm.v,INDEX($AI$8:$AI$43,_xlpm.k),IF(ISNUMBER(_xlpm.v),_xlpm.v/1000000,NA()))))</f>
        <v>#N/A</v>
      </c>
      <c r="CO32" s="122" t="e" cm="1">
        <f t="array" ref="CO32">_xlfn.LET(_xlpm.k,ROW()-7,IF(OR(_xlpm.k&gt;$AB$4,_xlpm.k&lt;=12),NA(),_xlfn.LET(_xlpm.a,INDEX($AI$8:$AI$43,_xlpm.k),_xlpm.b,INDEX($AI$8:$AI$43,_xlpm.k-12),IF(AND(ISNUMBER(_xlpm.a),ISNUMBER(_xlpm.b),N(_xlpm.b)&gt;0),_xlpm.a/_xlpm.b-1,NA()))))</f>
        <v>#N/A</v>
      </c>
    </row>
    <row r="33" spans="2:93">
      <c r="AB33" s="122" t="str" cm="1">
        <f t="array" ref="AB33">IF(ROW()-7&gt;ROWS(_xlfn.ANCHORARRAY($AZ$8)),"",INDEX(_xlfn.ANCHORARRAY($AZ$8),ROW()-7)&amp;"")</f>
        <v/>
      </c>
      <c r="AC33" s="122" t="str" cm="1">
        <f t="array" ref="AC33">IF($AB33="","",_xlfn.LET(_xlpm.r,_xlfn.XLOOKUP($AB$3&amp;"|"&amp;$AB33,anSM_Seg&amp;"|"&amp;anSM_YM,anSM_Paid,""),IF(ISBLANK(_xlpm.r),"",_xlpm.r)))</f>
        <v/>
      </c>
      <c r="AD33" s="122" t="str" cm="1">
        <f t="array" ref="AD33">IF($AB33="","",_xlfn.LET(_xlpm.r,_xlfn.XLOOKUP($AB$3&amp;"|"&amp;$AB33,anSM_Seg&amp;"|"&amp;anSM_YM,anSM_PY,""),IF(ISBLANK(_xlpm.r),"",_xlpm.r)))</f>
        <v/>
      </c>
      <c r="AE33" s="122" t="str" cm="1">
        <f t="array" ref="AE33">IF($AB33="","",_xlfn.LET(_xlpm.r,_xlfn.XLOOKUP($AB$3&amp;"|"&amp;$AB33,anSM_Seg&amp;"|"&amp;anSM_YM,anSM_YoY,""),IF(ISBLANK(_xlpm.r),"",_xlpm.r)))</f>
        <v/>
      </c>
      <c r="AF33" s="122" t="str" cm="1">
        <f t="array" ref="AF33">IF($AB33="","",_xlfn.LET(_xlpm.r,_xlfn.XLOOKUP($AB$3&amp;"|"&amp;$AB33,anSM_Seg&amp;"|"&amp;anSM_YM,anSM_MoM,""),IF(ISBLANK(_xlpm.r),"",_xlpm.r)))</f>
        <v/>
      </c>
      <c r="AG33" s="122" t="str" cm="1">
        <f t="array" ref="AG33">IF($AB33="","",_xlfn.LET(_xlpm.r,_xlfn.XLOOKUP($AB$3&amp;"|"&amp;$AB33,anSM_Seg&amp;"|"&amp;anSM_YM,anSM_YTD,""),IF(ISBLANK(_xlpm.r),"",_xlpm.r)))</f>
        <v/>
      </c>
      <c r="AH33" s="122" t="str" cm="1">
        <f t="array" ref="AH33">IF($AB33="","",_xlfn.LET(_xlpm.r,_xlfn.XLOOKUP($AB$3&amp;"|"&amp;$AB33,anSM_Seg&amp;"|"&amp;anSM_YM,anSM_R3,""),IF(ISBLANK(_xlpm.r),"",_xlpm.r)))</f>
        <v/>
      </c>
      <c r="AI33" s="122" t="str" cm="1">
        <f t="array" ref="AI33">IF($AB33="","",_xlfn.LET(_xlpm.r,_xlfn.XLOOKUP($AB$3&amp;"|"&amp;$AB33,anSM_Seg&amp;"|"&amp;anSM_YM,anSM_R12,""),IF(ISBLANK(_xlpm.r),"",_xlpm.r)))</f>
        <v/>
      </c>
      <c r="AJ33" s="122" t="str" cm="1">
        <f t="array" ref="AJ33">IF($AB33="","",_xlfn.LET(_xlpm.r,_xlfn.XLOOKUP($AB$3&amp;"|"&amp;$AB33,anSM_Seg&amp;"|"&amp;anSM_YM,anSM_Lines,""),IF(ISBLANK(_xlpm.r),"",_xlpm.r)))</f>
        <v/>
      </c>
      <c r="AK33" s="122" t="str" cm="1">
        <f t="array" ref="AK33">IF($AB33="","",_xlfn.LET(_xlpm.r,_xlfn.XLOOKUP($AB$3&amp;"|"&amp;$AB33,anSM_Seg&amp;"|"&amp;anSM_YM,anSM_Cases,""),IF(ISBLANK(_xlpm.r),"",_xlpm.r)))</f>
        <v/>
      </c>
      <c r="AL33" s="122" t="str">
        <f t="shared" si="0"/>
        <v/>
      </c>
      <c r="AM33" s="122" t="str">
        <f t="shared" ca="1" si="1"/>
        <v/>
      </c>
      <c r="AN33" s="122" t="str">
        <f t="shared" ca="1" si="2"/>
        <v/>
      </c>
      <c r="AO33" s="122" t="str" cm="1">
        <f t="array" aca="1" ref="AO33" ca="1">IF(AND($BK$3,$AB33&lt;&gt;""),INDEX($BK$8:$BK$19,--RIGHT($AB33,2)),"")</f>
        <v/>
      </c>
      <c r="AP33" s="122" t="str">
        <f t="shared" ca="1" si="3"/>
        <v/>
      </c>
      <c r="AQ33" s="122" t="str">
        <f t="shared" si="4"/>
        <v/>
      </c>
      <c r="CG33" s="122" t="str" cm="1">
        <f t="array" ref="CG33">_xlfn.LET(_xlpm.k,ROW()-7,IF(_xlpm.k&lt;=$AB$4,$AB33,IF(_xlpm.k&lt;=$AB$4+IF($BL$3,$BL$4,0),TEXT(INDEX($BL$9:$BL$14,_xlpm.k-$AB$4),"yyyy-mm"),"")))</f>
        <v/>
      </c>
      <c r="CH33" s="122" t="e" cm="1">
        <f t="array" ref="CH33">_xlfn.LET(_xlpm.k,ROW()-7,IF(_xlpm.k&gt;$AB$4,NA(),_xlfn.LET(_xlpm.v,INDEX($AC$8:$AC$43,_xlpm.k),IF(ISNUMBER(_xlpm.v),_xlpm.v/1000000,NA()))))</f>
        <v>#N/A</v>
      </c>
      <c r="CI33" s="122" t="e" cm="1">
        <f t="array" ref="CI33">_xlfn.LET(_xlpm.k,ROW()-7,IF(_xlpm.k&gt;$AB$4,NA(),_xlfn.LET(_xlpm.v,INDEX($AD$8:$AD$43,_xlpm.k),IF(ISNUMBER(_xlpm.v),_xlpm.v/1000000,NA()))))</f>
        <v>#N/A</v>
      </c>
      <c r="CJ33" s="122" t="e" cm="1">
        <f t="array" ref="CJ33">_xlfn.LET(_xlpm.k,ROW()-7,IF(_xlpm.k&gt;$AB$4,NA(),_xlfn.LET(_xlpm.v,INDEX($AL$8:$AL$43,_xlpm.k),IF(ISNUMBER(_xlpm.v),_xlpm.v/1000000,NA()))))</f>
        <v>#N/A</v>
      </c>
      <c r="CK33" s="122" t="e" cm="1">
        <f t="array" ref="CK33">_xlfn.LET(_xlpm.k,ROW()-7,IF(OR(NOT($BL$3),_xlpm.k&lt;$AB$4,_xlpm.k&gt;$AB$4+IF($BL$3,$BL$4,0)),NA(),INDEX($BM$8:$BM$14,_xlpm.k-$AB$4+1)/1000000))</f>
        <v>#N/A</v>
      </c>
      <c r="CL33" s="122" t="e" cm="1">
        <f t="array" ref="CL33">_xlfn.LET(_xlpm.k,ROW()-7,IF(OR(NOT($BL$3),_xlpm.k&lt;$AB$4,_xlpm.k&gt;$AB$4+IF($BL$3,$BL$4,0)),NA(),INDEX($BN$8:$BN$14,_xlpm.k-$AB$4+1)/1000000))</f>
        <v>#N/A</v>
      </c>
      <c r="CM33" s="122" t="e" cm="1">
        <f t="array" ref="CM33">_xlfn.LET(_xlpm.k,ROW()-7,IF(OR(NOT($BL$3),_xlpm.k&lt;$AB$4,_xlpm.k&gt;$AB$4+IF($BL$3,$BL$4,0)),NA(),INDEX($BO$8:$BO$14,_xlpm.k-$AB$4+1)/1000000))</f>
        <v>#N/A</v>
      </c>
      <c r="CN33" s="122" t="e" cm="1">
        <f t="array" ref="CN33">_xlfn.LET(_xlpm.k,ROW()-7,IF(_xlpm.k&gt;$AB$4,NA(),_xlfn.LET(_xlpm.v,INDEX($AI$8:$AI$43,_xlpm.k),IF(ISNUMBER(_xlpm.v),_xlpm.v/1000000,NA()))))</f>
        <v>#N/A</v>
      </c>
      <c r="CO33" s="122" t="e" cm="1">
        <f t="array" ref="CO33">_xlfn.LET(_xlpm.k,ROW()-7,IF(OR(_xlpm.k&gt;$AB$4,_xlpm.k&lt;=12),NA(),_xlfn.LET(_xlpm.a,INDEX($AI$8:$AI$43,_xlpm.k),_xlpm.b,INDEX($AI$8:$AI$43,_xlpm.k-12),IF(AND(ISNUMBER(_xlpm.a),ISNUMBER(_xlpm.b),N(_xlpm.b)&gt;0),_xlpm.a/_xlpm.b-1,NA()))))</f>
        <v>#N/A</v>
      </c>
    </row>
    <row r="34" spans="2:93">
      <c r="AB34" s="122" t="str" cm="1">
        <f t="array" ref="AB34">IF(ROW()-7&gt;ROWS(_xlfn.ANCHORARRAY($AZ$8)),"",INDEX(_xlfn.ANCHORARRAY($AZ$8),ROW()-7)&amp;"")</f>
        <v/>
      </c>
      <c r="AC34" s="122" t="str" cm="1">
        <f t="array" ref="AC34">IF($AB34="","",_xlfn.LET(_xlpm.r,_xlfn.XLOOKUP($AB$3&amp;"|"&amp;$AB34,anSM_Seg&amp;"|"&amp;anSM_YM,anSM_Paid,""),IF(ISBLANK(_xlpm.r),"",_xlpm.r)))</f>
        <v/>
      </c>
      <c r="AD34" s="122" t="str" cm="1">
        <f t="array" ref="AD34">IF($AB34="","",_xlfn.LET(_xlpm.r,_xlfn.XLOOKUP($AB$3&amp;"|"&amp;$AB34,anSM_Seg&amp;"|"&amp;anSM_YM,anSM_PY,""),IF(ISBLANK(_xlpm.r),"",_xlpm.r)))</f>
        <v/>
      </c>
      <c r="AE34" s="122" t="str" cm="1">
        <f t="array" ref="AE34">IF($AB34="","",_xlfn.LET(_xlpm.r,_xlfn.XLOOKUP($AB$3&amp;"|"&amp;$AB34,anSM_Seg&amp;"|"&amp;anSM_YM,anSM_YoY,""),IF(ISBLANK(_xlpm.r),"",_xlpm.r)))</f>
        <v/>
      </c>
      <c r="AF34" s="122" t="str" cm="1">
        <f t="array" ref="AF34">IF($AB34="","",_xlfn.LET(_xlpm.r,_xlfn.XLOOKUP($AB$3&amp;"|"&amp;$AB34,anSM_Seg&amp;"|"&amp;anSM_YM,anSM_MoM,""),IF(ISBLANK(_xlpm.r),"",_xlpm.r)))</f>
        <v/>
      </c>
      <c r="AG34" s="122" t="str" cm="1">
        <f t="array" ref="AG34">IF($AB34="","",_xlfn.LET(_xlpm.r,_xlfn.XLOOKUP($AB$3&amp;"|"&amp;$AB34,anSM_Seg&amp;"|"&amp;anSM_YM,anSM_YTD,""),IF(ISBLANK(_xlpm.r),"",_xlpm.r)))</f>
        <v/>
      </c>
      <c r="AH34" s="122" t="str" cm="1">
        <f t="array" ref="AH34">IF($AB34="","",_xlfn.LET(_xlpm.r,_xlfn.XLOOKUP($AB$3&amp;"|"&amp;$AB34,anSM_Seg&amp;"|"&amp;anSM_YM,anSM_R3,""),IF(ISBLANK(_xlpm.r),"",_xlpm.r)))</f>
        <v/>
      </c>
      <c r="AI34" s="122" t="str" cm="1">
        <f t="array" ref="AI34">IF($AB34="","",_xlfn.LET(_xlpm.r,_xlfn.XLOOKUP($AB$3&amp;"|"&amp;$AB34,anSM_Seg&amp;"|"&amp;anSM_YM,anSM_R12,""),IF(ISBLANK(_xlpm.r),"",_xlpm.r)))</f>
        <v/>
      </c>
      <c r="AJ34" s="122" t="str" cm="1">
        <f t="array" ref="AJ34">IF($AB34="","",_xlfn.LET(_xlpm.r,_xlfn.XLOOKUP($AB$3&amp;"|"&amp;$AB34,anSM_Seg&amp;"|"&amp;anSM_YM,anSM_Lines,""),IF(ISBLANK(_xlpm.r),"",_xlpm.r)))</f>
        <v/>
      </c>
      <c r="AK34" s="122" t="str" cm="1">
        <f t="array" ref="AK34">IF($AB34="","",_xlfn.LET(_xlpm.r,_xlfn.XLOOKUP($AB$3&amp;"|"&amp;$AB34,anSM_Seg&amp;"|"&amp;anSM_YM,anSM_Cases,""),IF(ISBLANK(_xlpm.r),"",_xlpm.r)))</f>
        <v/>
      </c>
      <c r="AL34" s="122" t="str">
        <f t="shared" si="0"/>
        <v/>
      </c>
      <c r="AM34" s="122" t="str">
        <f t="shared" ca="1" si="1"/>
        <v/>
      </c>
      <c r="AN34" s="122" t="str">
        <f t="shared" ca="1" si="2"/>
        <v/>
      </c>
      <c r="AO34" s="122" t="str" cm="1">
        <f t="array" aca="1" ref="AO34" ca="1">IF(AND($BK$3,$AB34&lt;&gt;""),INDEX($BK$8:$BK$19,--RIGHT($AB34,2)),"")</f>
        <v/>
      </c>
      <c r="AP34" s="122" t="str">
        <f t="shared" ca="1" si="3"/>
        <v/>
      </c>
      <c r="AQ34" s="122" t="str">
        <f t="shared" si="4"/>
        <v/>
      </c>
      <c r="CG34" s="122" t="str" cm="1">
        <f t="array" ref="CG34">_xlfn.LET(_xlpm.k,ROW()-7,IF(_xlpm.k&lt;=$AB$4,$AB34,IF(_xlpm.k&lt;=$AB$4+IF($BL$3,$BL$4,0),TEXT(INDEX($BL$9:$BL$14,_xlpm.k-$AB$4),"yyyy-mm"),"")))</f>
        <v/>
      </c>
      <c r="CH34" s="122" t="e" cm="1">
        <f t="array" ref="CH34">_xlfn.LET(_xlpm.k,ROW()-7,IF(_xlpm.k&gt;$AB$4,NA(),_xlfn.LET(_xlpm.v,INDEX($AC$8:$AC$43,_xlpm.k),IF(ISNUMBER(_xlpm.v),_xlpm.v/1000000,NA()))))</f>
        <v>#N/A</v>
      </c>
      <c r="CI34" s="122" t="e" cm="1">
        <f t="array" ref="CI34">_xlfn.LET(_xlpm.k,ROW()-7,IF(_xlpm.k&gt;$AB$4,NA(),_xlfn.LET(_xlpm.v,INDEX($AD$8:$AD$43,_xlpm.k),IF(ISNUMBER(_xlpm.v),_xlpm.v/1000000,NA()))))</f>
        <v>#N/A</v>
      </c>
      <c r="CJ34" s="122" t="e" cm="1">
        <f t="array" ref="CJ34">_xlfn.LET(_xlpm.k,ROW()-7,IF(_xlpm.k&gt;$AB$4,NA(),_xlfn.LET(_xlpm.v,INDEX($AL$8:$AL$43,_xlpm.k),IF(ISNUMBER(_xlpm.v),_xlpm.v/1000000,NA()))))</f>
        <v>#N/A</v>
      </c>
      <c r="CK34" s="122" t="e" cm="1">
        <f t="array" ref="CK34">_xlfn.LET(_xlpm.k,ROW()-7,IF(OR(NOT($BL$3),_xlpm.k&lt;$AB$4,_xlpm.k&gt;$AB$4+IF($BL$3,$BL$4,0)),NA(),INDEX($BM$8:$BM$14,_xlpm.k-$AB$4+1)/1000000))</f>
        <v>#N/A</v>
      </c>
      <c r="CL34" s="122" t="e" cm="1">
        <f t="array" ref="CL34">_xlfn.LET(_xlpm.k,ROW()-7,IF(OR(NOT($BL$3),_xlpm.k&lt;$AB$4,_xlpm.k&gt;$AB$4+IF($BL$3,$BL$4,0)),NA(),INDEX($BN$8:$BN$14,_xlpm.k-$AB$4+1)/1000000))</f>
        <v>#N/A</v>
      </c>
      <c r="CM34" s="122" t="e" cm="1">
        <f t="array" ref="CM34">_xlfn.LET(_xlpm.k,ROW()-7,IF(OR(NOT($BL$3),_xlpm.k&lt;$AB$4,_xlpm.k&gt;$AB$4+IF($BL$3,$BL$4,0)),NA(),INDEX($BO$8:$BO$14,_xlpm.k-$AB$4+1)/1000000))</f>
        <v>#N/A</v>
      </c>
      <c r="CN34" s="122" t="e" cm="1">
        <f t="array" ref="CN34">_xlfn.LET(_xlpm.k,ROW()-7,IF(_xlpm.k&gt;$AB$4,NA(),_xlfn.LET(_xlpm.v,INDEX($AI$8:$AI$43,_xlpm.k),IF(ISNUMBER(_xlpm.v),_xlpm.v/1000000,NA()))))</f>
        <v>#N/A</v>
      </c>
      <c r="CO34" s="122" t="e" cm="1">
        <f t="array" ref="CO34">_xlfn.LET(_xlpm.k,ROW()-7,IF(OR(_xlpm.k&gt;$AB$4,_xlpm.k&lt;=12),NA(),_xlfn.LET(_xlpm.a,INDEX($AI$8:$AI$43,_xlpm.k),_xlpm.b,INDEX($AI$8:$AI$43,_xlpm.k-12),IF(AND(ISNUMBER(_xlpm.a),ISNUMBER(_xlpm.b),N(_xlpm.b)&gt;0),_xlpm.a/_xlpm.b-1,NA()))))</f>
        <v>#N/A</v>
      </c>
    </row>
    <row r="35" spans="2:93">
      <c r="AB35" s="122" t="str" cm="1">
        <f t="array" ref="AB35">IF(ROW()-7&gt;ROWS(_xlfn.ANCHORARRAY($AZ$8)),"",INDEX(_xlfn.ANCHORARRAY($AZ$8),ROW()-7)&amp;"")</f>
        <v/>
      </c>
      <c r="AC35" s="122" t="str" cm="1">
        <f t="array" ref="AC35">IF($AB35="","",_xlfn.LET(_xlpm.r,_xlfn.XLOOKUP($AB$3&amp;"|"&amp;$AB35,anSM_Seg&amp;"|"&amp;anSM_YM,anSM_Paid,""),IF(ISBLANK(_xlpm.r),"",_xlpm.r)))</f>
        <v/>
      </c>
      <c r="AD35" s="122" t="str" cm="1">
        <f t="array" ref="AD35">IF($AB35="","",_xlfn.LET(_xlpm.r,_xlfn.XLOOKUP($AB$3&amp;"|"&amp;$AB35,anSM_Seg&amp;"|"&amp;anSM_YM,anSM_PY,""),IF(ISBLANK(_xlpm.r),"",_xlpm.r)))</f>
        <v/>
      </c>
      <c r="AE35" s="122" t="str" cm="1">
        <f t="array" ref="AE35">IF($AB35="","",_xlfn.LET(_xlpm.r,_xlfn.XLOOKUP($AB$3&amp;"|"&amp;$AB35,anSM_Seg&amp;"|"&amp;anSM_YM,anSM_YoY,""),IF(ISBLANK(_xlpm.r),"",_xlpm.r)))</f>
        <v/>
      </c>
      <c r="AF35" s="122" t="str" cm="1">
        <f t="array" ref="AF35">IF($AB35="","",_xlfn.LET(_xlpm.r,_xlfn.XLOOKUP($AB$3&amp;"|"&amp;$AB35,anSM_Seg&amp;"|"&amp;anSM_YM,anSM_MoM,""),IF(ISBLANK(_xlpm.r),"",_xlpm.r)))</f>
        <v/>
      </c>
      <c r="AG35" s="122" t="str" cm="1">
        <f t="array" ref="AG35">IF($AB35="","",_xlfn.LET(_xlpm.r,_xlfn.XLOOKUP($AB$3&amp;"|"&amp;$AB35,anSM_Seg&amp;"|"&amp;anSM_YM,anSM_YTD,""),IF(ISBLANK(_xlpm.r),"",_xlpm.r)))</f>
        <v/>
      </c>
      <c r="AH35" s="122" t="str" cm="1">
        <f t="array" ref="AH35">IF($AB35="","",_xlfn.LET(_xlpm.r,_xlfn.XLOOKUP($AB$3&amp;"|"&amp;$AB35,anSM_Seg&amp;"|"&amp;anSM_YM,anSM_R3,""),IF(ISBLANK(_xlpm.r),"",_xlpm.r)))</f>
        <v/>
      </c>
      <c r="AI35" s="122" t="str" cm="1">
        <f t="array" ref="AI35">IF($AB35="","",_xlfn.LET(_xlpm.r,_xlfn.XLOOKUP($AB$3&amp;"|"&amp;$AB35,anSM_Seg&amp;"|"&amp;anSM_YM,anSM_R12,""),IF(ISBLANK(_xlpm.r),"",_xlpm.r)))</f>
        <v/>
      </c>
      <c r="AJ35" s="122" t="str" cm="1">
        <f t="array" ref="AJ35">IF($AB35="","",_xlfn.LET(_xlpm.r,_xlfn.XLOOKUP($AB$3&amp;"|"&amp;$AB35,anSM_Seg&amp;"|"&amp;anSM_YM,anSM_Lines,""),IF(ISBLANK(_xlpm.r),"",_xlpm.r)))</f>
        <v/>
      </c>
      <c r="AK35" s="122" t="str" cm="1">
        <f t="array" ref="AK35">IF($AB35="","",_xlfn.LET(_xlpm.r,_xlfn.XLOOKUP($AB$3&amp;"|"&amp;$AB35,anSM_Seg&amp;"|"&amp;anSM_YM,anSM_Cases,""),IF(ISBLANK(_xlpm.r),"",_xlpm.r)))</f>
        <v/>
      </c>
      <c r="AL35" s="122" t="str">
        <f t="shared" si="0"/>
        <v/>
      </c>
      <c r="AM35" s="122" t="str">
        <f t="shared" ca="1" si="1"/>
        <v/>
      </c>
      <c r="AN35" s="122" t="str">
        <f t="shared" ca="1" si="2"/>
        <v/>
      </c>
      <c r="AO35" s="122" t="str" cm="1">
        <f t="array" aca="1" ref="AO35" ca="1">IF(AND($BK$3,$AB35&lt;&gt;""),INDEX($BK$8:$BK$19,--RIGHT($AB35,2)),"")</f>
        <v/>
      </c>
      <c r="AP35" s="122" t="str">
        <f t="shared" ca="1" si="3"/>
        <v/>
      </c>
      <c r="AQ35" s="122" t="str">
        <f t="shared" si="4"/>
        <v/>
      </c>
      <c r="CG35" s="122" t="str" cm="1">
        <f t="array" ref="CG35">_xlfn.LET(_xlpm.k,ROW()-7,IF(_xlpm.k&lt;=$AB$4,$AB35,IF(_xlpm.k&lt;=$AB$4+IF($BL$3,$BL$4,0),TEXT(INDEX($BL$9:$BL$14,_xlpm.k-$AB$4),"yyyy-mm"),"")))</f>
        <v/>
      </c>
      <c r="CH35" s="122" t="e" cm="1">
        <f t="array" ref="CH35">_xlfn.LET(_xlpm.k,ROW()-7,IF(_xlpm.k&gt;$AB$4,NA(),_xlfn.LET(_xlpm.v,INDEX($AC$8:$AC$43,_xlpm.k),IF(ISNUMBER(_xlpm.v),_xlpm.v/1000000,NA()))))</f>
        <v>#N/A</v>
      </c>
      <c r="CI35" s="122" t="e" cm="1">
        <f t="array" ref="CI35">_xlfn.LET(_xlpm.k,ROW()-7,IF(_xlpm.k&gt;$AB$4,NA(),_xlfn.LET(_xlpm.v,INDEX($AD$8:$AD$43,_xlpm.k),IF(ISNUMBER(_xlpm.v),_xlpm.v/1000000,NA()))))</f>
        <v>#N/A</v>
      </c>
      <c r="CJ35" s="122" t="e" cm="1">
        <f t="array" ref="CJ35">_xlfn.LET(_xlpm.k,ROW()-7,IF(_xlpm.k&gt;$AB$4,NA(),_xlfn.LET(_xlpm.v,INDEX($AL$8:$AL$43,_xlpm.k),IF(ISNUMBER(_xlpm.v),_xlpm.v/1000000,NA()))))</f>
        <v>#N/A</v>
      </c>
      <c r="CK35" s="122" t="e" cm="1">
        <f t="array" ref="CK35">_xlfn.LET(_xlpm.k,ROW()-7,IF(OR(NOT($BL$3),_xlpm.k&lt;$AB$4,_xlpm.k&gt;$AB$4+IF($BL$3,$BL$4,0)),NA(),INDEX($BM$8:$BM$14,_xlpm.k-$AB$4+1)/1000000))</f>
        <v>#N/A</v>
      </c>
      <c r="CL35" s="122" t="e" cm="1">
        <f t="array" ref="CL35">_xlfn.LET(_xlpm.k,ROW()-7,IF(OR(NOT($BL$3),_xlpm.k&lt;$AB$4,_xlpm.k&gt;$AB$4+IF($BL$3,$BL$4,0)),NA(),INDEX($BN$8:$BN$14,_xlpm.k-$AB$4+1)/1000000))</f>
        <v>#N/A</v>
      </c>
      <c r="CM35" s="122" t="e" cm="1">
        <f t="array" ref="CM35">_xlfn.LET(_xlpm.k,ROW()-7,IF(OR(NOT($BL$3),_xlpm.k&lt;$AB$4,_xlpm.k&gt;$AB$4+IF($BL$3,$BL$4,0)),NA(),INDEX($BO$8:$BO$14,_xlpm.k-$AB$4+1)/1000000))</f>
        <v>#N/A</v>
      </c>
      <c r="CN35" s="122" t="e" cm="1">
        <f t="array" ref="CN35">_xlfn.LET(_xlpm.k,ROW()-7,IF(_xlpm.k&gt;$AB$4,NA(),_xlfn.LET(_xlpm.v,INDEX($AI$8:$AI$43,_xlpm.k),IF(ISNUMBER(_xlpm.v),_xlpm.v/1000000,NA()))))</f>
        <v>#N/A</v>
      </c>
      <c r="CO35" s="122" t="e" cm="1">
        <f t="array" ref="CO35">_xlfn.LET(_xlpm.k,ROW()-7,IF(OR(_xlpm.k&gt;$AB$4,_xlpm.k&lt;=12),NA(),_xlfn.LET(_xlpm.a,INDEX($AI$8:$AI$43,_xlpm.k),_xlpm.b,INDEX($AI$8:$AI$43,_xlpm.k-12),IF(AND(ISNUMBER(_xlpm.a),ISNUMBER(_xlpm.b),N(_xlpm.b)&gt;0),_xlpm.a/_xlpm.b-1,NA()))))</f>
        <v>#N/A</v>
      </c>
    </row>
    <row r="36" spans="2:93">
      <c r="AB36" s="122" t="str" cm="1">
        <f t="array" ref="AB36">IF(ROW()-7&gt;ROWS(_xlfn.ANCHORARRAY($AZ$8)),"",INDEX(_xlfn.ANCHORARRAY($AZ$8),ROW()-7)&amp;"")</f>
        <v/>
      </c>
      <c r="AC36" s="122" t="str" cm="1">
        <f t="array" ref="AC36">IF($AB36="","",_xlfn.LET(_xlpm.r,_xlfn.XLOOKUP($AB$3&amp;"|"&amp;$AB36,anSM_Seg&amp;"|"&amp;anSM_YM,anSM_Paid,""),IF(ISBLANK(_xlpm.r),"",_xlpm.r)))</f>
        <v/>
      </c>
      <c r="AD36" s="122" t="str" cm="1">
        <f t="array" ref="AD36">IF($AB36="","",_xlfn.LET(_xlpm.r,_xlfn.XLOOKUP($AB$3&amp;"|"&amp;$AB36,anSM_Seg&amp;"|"&amp;anSM_YM,anSM_PY,""),IF(ISBLANK(_xlpm.r),"",_xlpm.r)))</f>
        <v/>
      </c>
      <c r="AE36" s="122" t="str" cm="1">
        <f t="array" ref="AE36">IF($AB36="","",_xlfn.LET(_xlpm.r,_xlfn.XLOOKUP($AB$3&amp;"|"&amp;$AB36,anSM_Seg&amp;"|"&amp;anSM_YM,anSM_YoY,""),IF(ISBLANK(_xlpm.r),"",_xlpm.r)))</f>
        <v/>
      </c>
      <c r="AF36" s="122" t="str" cm="1">
        <f t="array" ref="AF36">IF($AB36="","",_xlfn.LET(_xlpm.r,_xlfn.XLOOKUP($AB$3&amp;"|"&amp;$AB36,anSM_Seg&amp;"|"&amp;anSM_YM,anSM_MoM,""),IF(ISBLANK(_xlpm.r),"",_xlpm.r)))</f>
        <v/>
      </c>
      <c r="AG36" s="122" t="str" cm="1">
        <f t="array" ref="AG36">IF($AB36="","",_xlfn.LET(_xlpm.r,_xlfn.XLOOKUP($AB$3&amp;"|"&amp;$AB36,anSM_Seg&amp;"|"&amp;anSM_YM,anSM_YTD,""),IF(ISBLANK(_xlpm.r),"",_xlpm.r)))</f>
        <v/>
      </c>
      <c r="AH36" s="122" t="str" cm="1">
        <f t="array" ref="AH36">IF($AB36="","",_xlfn.LET(_xlpm.r,_xlfn.XLOOKUP($AB$3&amp;"|"&amp;$AB36,anSM_Seg&amp;"|"&amp;anSM_YM,anSM_R3,""),IF(ISBLANK(_xlpm.r),"",_xlpm.r)))</f>
        <v/>
      </c>
      <c r="AI36" s="122" t="str" cm="1">
        <f t="array" ref="AI36">IF($AB36="","",_xlfn.LET(_xlpm.r,_xlfn.XLOOKUP($AB$3&amp;"|"&amp;$AB36,anSM_Seg&amp;"|"&amp;anSM_YM,anSM_R12,""),IF(ISBLANK(_xlpm.r),"",_xlpm.r)))</f>
        <v/>
      </c>
      <c r="AJ36" s="122" t="str" cm="1">
        <f t="array" ref="AJ36">IF($AB36="","",_xlfn.LET(_xlpm.r,_xlfn.XLOOKUP($AB$3&amp;"|"&amp;$AB36,anSM_Seg&amp;"|"&amp;anSM_YM,anSM_Lines,""),IF(ISBLANK(_xlpm.r),"",_xlpm.r)))</f>
        <v/>
      </c>
      <c r="AK36" s="122" t="str" cm="1">
        <f t="array" ref="AK36">IF($AB36="","",_xlfn.LET(_xlpm.r,_xlfn.XLOOKUP($AB$3&amp;"|"&amp;$AB36,anSM_Seg&amp;"|"&amp;anSM_YM,anSM_Cases,""),IF(ISBLANK(_xlpm.r),"",_xlpm.r)))</f>
        <v/>
      </c>
      <c r="AL36" s="122" t="str">
        <f t="shared" si="0"/>
        <v/>
      </c>
      <c r="AM36" s="122" t="str">
        <f t="shared" ca="1" si="1"/>
        <v/>
      </c>
      <c r="AN36" s="122" t="str">
        <f t="shared" ca="1" si="2"/>
        <v/>
      </c>
      <c r="AO36" s="122" t="str" cm="1">
        <f t="array" aca="1" ref="AO36" ca="1">IF(AND($BK$3,$AB36&lt;&gt;""),INDEX($BK$8:$BK$19,--RIGHT($AB36,2)),"")</f>
        <v/>
      </c>
      <c r="AP36" s="122" t="str">
        <f t="shared" ca="1" si="3"/>
        <v/>
      </c>
      <c r="AQ36" s="122" t="str">
        <f t="shared" si="4"/>
        <v/>
      </c>
      <c r="CG36" s="122" t="str" cm="1">
        <f t="array" ref="CG36">_xlfn.LET(_xlpm.k,ROW()-7,IF(_xlpm.k&lt;=$AB$4,$AB36,IF(_xlpm.k&lt;=$AB$4+IF($BL$3,$BL$4,0),TEXT(INDEX($BL$9:$BL$14,_xlpm.k-$AB$4),"yyyy-mm"),"")))</f>
        <v/>
      </c>
      <c r="CH36" s="122" t="e" cm="1">
        <f t="array" ref="CH36">_xlfn.LET(_xlpm.k,ROW()-7,IF(_xlpm.k&gt;$AB$4,NA(),_xlfn.LET(_xlpm.v,INDEX($AC$8:$AC$43,_xlpm.k),IF(ISNUMBER(_xlpm.v),_xlpm.v/1000000,NA()))))</f>
        <v>#N/A</v>
      </c>
      <c r="CI36" s="122" t="e" cm="1">
        <f t="array" ref="CI36">_xlfn.LET(_xlpm.k,ROW()-7,IF(_xlpm.k&gt;$AB$4,NA(),_xlfn.LET(_xlpm.v,INDEX($AD$8:$AD$43,_xlpm.k),IF(ISNUMBER(_xlpm.v),_xlpm.v/1000000,NA()))))</f>
        <v>#N/A</v>
      </c>
      <c r="CJ36" s="122" t="e" cm="1">
        <f t="array" ref="CJ36">_xlfn.LET(_xlpm.k,ROW()-7,IF(_xlpm.k&gt;$AB$4,NA(),_xlfn.LET(_xlpm.v,INDEX($AL$8:$AL$43,_xlpm.k),IF(ISNUMBER(_xlpm.v),_xlpm.v/1000000,NA()))))</f>
        <v>#N/A</v>
      </c>
      <c r="CK36" s="122" t="e" cm="1">
        <f t="array" ref="CK36">_xlfn.LET(_xlpm.k,ROW()-7,IF(OR(NOT($BL$3),_xlpm.k&lt;$AB$4,_xlpm.k&gt;$AB$4+IF($BL$3,$BL$4,0)),NA(),INDEX($BM$8:$BM$14,_xlpm.k-$AB$4+1)/1000000))</f>
        <v>#N/A</v>
      </c>
      <c r="CL36" s="122" t="e" cm="1">
        <f t="array" ref="CL36">_xlfn.LET(_xlpm.k,ROW()-7,IF(OR(NOT($BL$3),_xlpm.k&lt;$AB$4,_xlpm.k&gt;$AB$4+IF($BL$3,$BL$4,0)),NA(),INDEX($BN$8:$BN$14,_xlpm.k-$AB$4+1)/1000000))</f>
        <v>#N/A</v>
      </c>
      <c r="CM36" s="122" t="e" cm="1">
        <f t="array" ref="CM36">_xlfn.LET(_xlpm.k,ROW()-7,IF(OR(NOT($BL$3),_xlpm.k&lt;$AB$4,_xlpm.k&gt;$AB$4+IF($BL$3,$BL$4,0)),NA(),INDEX($BO$8:$BO$14,_xlpm.k-$AB$4+1)/1000000))</f>
        <v>#N/A</v>
      </c>
      <c r="CN36" s="122" t="e" cm="1">
        <f t="array" ref="CN36">_xlfn.LET(_xlpm.k,ROW()-7,IF(_xlpm.k&gt;$AB$4,NA(),_xlfn.LET(_xlpm.v,INDEX($AI$8:$AI$43,_xlpm.k),IF(ISNUMBER(_xlpm.v),_xlpm.v/1000000,NA()))))</f>
        <v>#N/A</v>
      </c>
      <c r="CO36" s="122" t="e" cm="1">
        <f t="array" ref="CO36">_xlfn.LET(_xlpm.k,ROW()-7,IF(OR(_xlpm.k&gt;$AB$4,_xlpm.k&lt;=12),NA(),_xlfn.LET(_xlpm.a,INDEX($AI$8:$AI$43,_xlpm.k),_xlpm.b,INDEX($AI$8:$AI$43,_xlpm.k-12),IF(AND(ISNUMBER(_xlpm.a),ISNUMBER(_xlpm.b),N(_xlpm.b)&gt;0),_xlpm.a/_xlpm.b-1,NA()))))</f>
        <v>#N/A</v>
      </c>
    </row>
    <row r="37" spans="2:93">
      <c r="AB37" s="122" t="str" cm="1">
        <f t="array" ref="AB37">IF(ROW()-7&gt;ROWS(_xlfn.ANCHORARRAY($AZ$8)),"",INDEX(_xlfn.ANCHORARRAY($AZ$8),ROW()-7)&amp;"")</f>
        <v/>
      </c>
      <c r="AC37" s="122" t="str" cm="1">
        <f t="array" ref="AC37">IF($AB37="","",_xlfn.LET(_xlpm.r,_xlfn.XLOOKUP($AB$3&amp;"|"&amp;$AB37,anSM_Seg&amp;"|"&amp;anSM_YM,anSM_Paid,""),IF(ISBLANK(_xlpm.r),"",_xlpm.r)))</f>
        <v/>
      </c>
      <c r="AD37" s="122" t="str" cm="1">
        <f t="array" ref="AD37">IF($AB37="","",_xlfn.LET(_xlpm.r,_xlfn.XLOOKUP($AB$3&amp;"|"&amp;$AB37,anSM_Seg&amp;"|"&amp;anSM_YM,anSM_PY,""),IF(ISBLANK(_xlpm.r),"",_xlpm.r)))</f>
        <v/>
      </c>
      <c r="AE37" s="122" t="str" cm="1">
        <f t="array" ref="AE37">IF($AB37="","",_xlfn.LET(_xlpm.r,_xlfn.XLOOKUP($AB$3&amp;"|"&amp;$AB37,anSM_Seg&amp;"|"&amp;anSM_YM,anSM_YoY,""),IF(ISBLANK(_xlpm.r),"",_xlpm.r)))</f>
        <v/>
      </c>
      <c r="AF37" s="122" t="str" cm="1">
        <f t="array" ref="AF37">IF($AB37="","",_xlfn.LET(_xlpm.r,_xlfn.XLOOKUP($AB$3&amp;"|"&amp;$AB37,anSM_Seg&amp;"|"&amp;anSM_YM,anSM_MoM,""),IF(ISBLANK(_xlpm.r),"",_xlpm.r)))</f>
        <v/>
      </c>
      <c r="AG37" s="122" t="str" cm="1">
        <f t="array" ref="AG37">IF($AB37="","",_xlfn.LET(_xlpm.r,_xlfn.XLOOKUP($AB$3&amp;"|"&amp;$AB37,anSM_Seg&amp;"|"&amp;anSM_YM,anSM_YTD,""),IF(ISBLANK(_xlpm.r),"",_xlpm.r)))</f>
        <v/>
      </c>
      <c r="AH37" s="122" t="str" cm="1">
        <f t="array" ref="AH37">IF($AB37="","",_xlfn.LET(_xlpm.r,_xlfn.XLOOKUP($AB$3&amp;"|"&amp;$AB37,anSM_Seg&amp;"|"&amp;anSM_YM,anSM_R3,""),IF(ISBLANK(_xlpm.r),"",_xlpm.r)))</f>
        <v/>
      </c>
      <c r="AI37" s="122" t="str" cm="1">
        <f t="array" ref="AI37">IF($AB37="","",_xlfn.LET(_xlpm.r,_xlfn.XLOOKUP($AB$3&amp;"|"&amp;$AB37,anSM_Seg&amp;"|"&amp;anSM_YM,anSM_R12,""),IF(ISBLANK(_xlpm.r),"",_xlpm.r)))</f>
        <v/>
      </c>
      <c r="AJ37" s="122" t="str" cm="1">
        <f t="array" ref="AJ37">IF($AB37="","",_xlfn.LET(_xlpm.r,_xlfn.XLOOKUP($AB$3&amp;"|"&amp;$AB37,anSM_Seg&amp;"|"&amp;anSM_YM,anSM_Lines,""),IF(ISBLANK(_xlpm.r),"",_xlpm.r)))</f>
        <v/>
      </c>
      <c r="AK37" s="122" t="str" cm="1">
        <f t="array" ref="AK37">IF($AB37="","",_xlfn.LET(_xlpm.r,_xlfn.XLOOKUP($AB$3&amp;"|"&amp;$AB37,anSM_Seg&amp;"|"&amp;anSM_YM,anSM_Cases,""),IF(ISBLANK(_xlpm.r),"",_xlpm.r)))</f>
        <v/>
      </c>
      <c r="AL37" s="122" t="str">
        <f t="shared" si="0"/>
        <v/>
      </c>
      <c r="AM37" s="122" t="str">
        <f t="shared" ca="1" si="1"/>
        <v/>
      </c>
      <c r="AN37" s="122" t="str">
        <f t="shared" ca="1" si="2"/>
        <v/>
      </c>
      <c r="AO37" s="122" t="str" cm="1">
        <f t="array" aca="1" ref="AO37" ca="1">IF(AND($BK$3,$AB37&lt;&gt;""),INDEX($BK$8:$BK$19,--RIGHT($AB37,2)),"")</f>
        <v/>
      </c>
      <c r="AP37" s="122" t="str">
        <f t="shared" ca="1" si="3"/>
        <v/>
      </c>
      <c r="AQ37" s="122" t="str">
        <f t="shared" si="4"/>
        <v/>
      </c>
      <c r="CG37" s="122" t="str" cm="1">
        <f t="array" ref="CG37">_xlfn.LET(_xlpm.k,ROW()-7,IF(_xlpm.k&lt;=$AB$4,$AB37,IF(_xlpm.k&lt;=$AB$4+IF($BL$3,$BL$4,0),TEXT(INDEX($BL$9:$BL$14,_xlpm.k-$AB$4),"yyyy-mm"),"")))</f>
        <v/>
      </c>
      <c r="CH37" s="122" t="e" cm="1">
        <f t="array" ref="CH37">_xlfn.LET(_xlpm.k,ROW()-7,IF(_xlpm.k&gt;$AB$4,NA(),_xlfn.LET(_xlpm.v,INDEX($AC$8:$AC$43,_xlpm.k),IF(ISNUMBER(_xlpm.v),_xlpm.v/1000000,NA()))))</f>
        <v>#N/A</v>
      </c>
      <c r="CI37" s="122" t="e" cm="1">
        <f t="array" ref="CI37">_xlfn.LET(_xlpm.k,ROW()-7,IF(_xlpm.k&gt;$AB$4,NA(),_xlfn.LET(_xlpm.v,INDEX($AD$8:$AD$43,_xlpm.k),IF(ISNUMBER(_xlpm.v),_xlpm.v/1000000,NA()))))</f>
        <v>#N/A</v>
      </c>
      <c r="CJ37" s="122" t="e" cm="1">
        <f t="array" ref="CJ37">_xlfn.LET(_xlpm.k,ROW()-7,IF(_xlpm.k&gt;$AB$4,NA(),_xlfn.LET(_xlpm.v,INDEX($AL$8:$AL$43,_xlpm.k),IF(ISNUMBER(_xlpm.v),_xlpm.v/1000000,NA()))))</f>
        <v>#N/A</v>
      </c>
      <c r="CK37" s="122" t="e" cm="1">
        <f t="array" ref="CK37">_xlfn.LET(_xlpm.k,ROW()-7,IF(OR(NOT($BL$3),_xlpm.k&lt;$AB$4,_xlpm.k&gt;$AB$4+IF($BL$3,$BL$4,0)),NA(),INDEX($BM$8:$BM$14,_xlpm.k-$AB$4+1)/1000000))</f>
        <v>#N/A</v>
      </c>
      <c r="CL37" s="122" t="e" cm="1">
        <f t="array" ref="CL37">_xlfn.LET(_xlpm.k,ROW()-7,IF(OR(NOT($BL$3),_xlpm.k&lt;$AB$4,_xlpm.k&gt;$AB$4+IF($BL$3,$BL$4,0)),NA(),INDEX($BN$8:$BN$14,_xlpm.k-$AB$4+1)/1000000))</f>
        <v>#N/A</v>
      </c>
      <c r="CM37" s="122" t="e" cm="1">
        <f t="array" ref="CM37">_xlfn.LET(_xlpm.k,ROW()-7,IF(OR(NOT($BL$3),_xlpm.k&lt;$AB$4,_xlpm.k&gt;$AB$4+IF($BL$3,$BL$4,0)),NA(),INDEX($BO$8:$BO$14,_xlpm.k-$AB$4+1)/1000000))</f>
        <v>#N/A</v>
      </c>
      <c r="CN37" s="122" t="e" cm="1">
        <f t="array" ref="CN37">_xlfn.LET(_xlpm.k,ROW()-7,IF(_xlpm.k&gt;$AB$4,NA(),_xlfn.LET(_xlpm.v,INDEX($AI$8:$AI$43,_xlpm.k),IF(ISNUMBER(_xlpm.v),_xlpm.v/1000000,NA()))))</f>
        <v>#N/A</v>
      </c>
      <c r="CO37" s="122" t="e" cm="1">
        <f t="array" ref="CO37">_xlfn.LET(_xlpm.k,ROW()-7,IF(OR(_xlpm.k&gt;$AB$4,_xlpm.k&lt;=12),NA(),_xlfn.LET(_xlpm.a,INDEX($AI$8:$AI$43,_xlpm.k),_xlpm.b,INDEX($AI$8:$AI$43,_xlpm.k-12),IF(AND(ISNUMBER(_xlpm.a),ISNUMBER(_xlpm.b),N(_xlpm.b)&gt;0),_xlpm.a/_xlpm.b-1,NA()))))</f>
        <v>#N/A</v>
      </c>
    </row>
    <row r="38" spans="2:93">
      <c r="AB38" s="122" t="str" cm="1">
        <f t="array" ref="AB38">IF(ROW()-7&gt;ROWS(_xlfn.ANCHORARRAY($AZ$8)),"",INDEX(_xlfn.ANCHORARRAY($AZ$8),ROW()-7)&amp;"")</f>
        <v/>
      </c>
      <c r="AC38" s="122" t="str" cm="1">
        <f t="array" ref="AC38">IF($AB38="","",_xlfn.LET(_xlpm.r,_xlfn.XLOOKUP($AB$3&amp;"|"&amp;$AB38,anSM_Seg&amp;"|"&amp;anSM_YM,anSM_Paid,""),IF(ISBLANK(_xlpm.r),"",_xlpm.r)))</f>
        <v/>
      </c>
      <c r="AD38" s="122" t="str" cm="1">
        <f t="array" ref="AD38">IF($AB38="","",_xlfn.LET(_xlpm.r,_xlfn.XLOOKUP($AB$3&amp;"|"&amp;$AB38,anSM_Seg&amp;"|"&amp;anSM_YM,anSM_PY,""),IF(ISBLANK(_xlpm.r),"",_xlpm.r)))</f>
        <v/>
      </c>
      <c r="AE38" s="122" t="str" cm="1">
        <f t="array" ref="AE38">IF($AB38="","",_xlfn.LET(_xlpm.r,_xlfn.XLOOKUP($AB$3&amp;"|"&amp;$AB38,anSM_Seg&amp;"|"&amp;anSM_YM,anSM_YoY,""),IF(ISBLANK(_xlpm.r),"",_xlpm.r)))</f>
        <v/>
      </c>
      <c r="AF38" s="122" t="str" cm="1">
        <f t="array" ref="AF38">IF($AB38="","",_xlfn.LET(_xlpm.r,_xlfn.XLOOKUP($AB$3&amp;"|"&amp;$AB38,anSM_Seg&amp;"|"&amp;anSM_YM,anSM_MoM,""),IF(ISBLANK(_xlpm.r),"",_xlpm.r)))</f>
        <v/>
      </c>
      <c r="AG38" s="122" t="str" cm="1">
        <f t="array" ref="AG38">IF($AB38="","",_xlfn.LET(_xlpm.r,_xlfn.XLOOKUP($AB$3&amp;"|"&amp;$AB38,anSM_Seg&amp;"|"&amp;anSM_YM,anSM_YTD,""),IF(ISBLANK(_xlpm.r),"",_xlpm.r)))</f>
        <v/>
      </c>
      <c r="AH38" s="122" t="str" cm="1">
        <f t="array" ref="AH38">IF($AB38="","",_xlfn.LET(_xlpm.r,_xlfn.XLOOKUP($AB$3&amp;"|"&amp;$AB38,anSM_Seg&amp;"|"&amp;anSM_YM,anSM_R3,""),IF(ISBLANK(_xlpm.r),"",_xlpm.r)))</f>
        <v/>
      </c>
      <c r="AI38" s="122" t="str" cm="1">
        <f t="array" ref="AI38">IF($AB38="","",_xlfn.LET(_xlpm.r,_xlfn.XLOOKUP($AB$3&amp;"|"&amp;$AB38,anSM_Seg&amp;"|"&amp;anSM_YM,anSM_R12,""),IF(ISBLANK(_xlpm.r),"",_xlpm.r)))</f>
        <v/>
      </c>
      <c r="AJ38" s="122" t="str" cm="1">
        <f t="array" ref="AJ38">IF($AB38="","",_xlfn.LET(_xlpm.r,_xlfn.XLOOKUP($AB$3&amp;"|"&amp;$AB38,anSM_Seg&amp;"|"&amp;anSM_YM,anSM_Lines,""),IF(ISBLANK(_xlpm.r),"",_xlpm.r)))</f>
        <v/>
      </c>
      <c r="AK38" s="122" t="str" cm="1">
        <f t="array" ref="AK38">IF($AB38="","",_xlfn.LET(_xlpm.r,_xlfn.XLOOKUP($AB$3&amp;"|"&amp;$AB38,anSM_Seg&amp;"|"&amp;anSM_YM,anSM_Cases,""),IF(ISBLANK(_xlpm.r),"",_xlpm.r)))</f>
        <v/>
      </c>
      <c r="AL38" s="122" t="str">
        <f t="shared" si="0"/>
        <v/>
      </c>
      <c r="AM38" s="122" t="str">
        <f t="shared" ca="1" si="1"/>
        <v/>
      </c>
      <c r="AN38" s="122" t="str">
        <f t="shared" ca="1" si="2"/>
        <v/>
      </c>
      <c r="AO38" s="122" t="str" cm="1">
        <f t="array" aca="1" ref="AO38" ca="1">IF(AND($BK$3,$AB38&lt;&gt;""),INDEX($BK$8:$BK$19,--RIGHT($AB38,2)),"")</f>
        <v/>
      </c>
      <c r="AP38" s="122" t="str">
        <f t="shared" ca="1" si="3"/>
        <v/>
      </c>
      <c r="AQ38" s="122" t="str">
        <f t="shared" si="4"/>
        <v/>
      </c>
      <c r="CG38" s="122" t="str" cm="1">
        <f t="array" ref="CG38">_xlfn.LET(_xlpm.k,ROW()-7,IF(_xlpm.k&lt;=$AB$4,$AB38,IF(_xlpm.k&lt;=$AB$4+IF($BL$3,$BL$4,0),TEXT(INDEX($BL$9:$BL$14,_xlpm.k-$AB$4),"yyyy-mm"),"")))</f>
        <v/>
      </c>
      <c r="CH38" s="122" t="e" cm="1">
        <f t="array" ref="CH38">_xlfn.LET(_xlpm.k,ROW()-7,IF(_xlpm.k&gt;$AB$4,NA(),_xlfn.LET(_xlpm.v,INDEX($AC$8:$AC$43,_xlpm.k),IF(ISNUMBER(_xlpm.v),_xlpm.v/1000000,NA()))))</f>
        <v>#N/A</v>
      </c>
      <c r="CI38" s="122" t="e" cm="1">
        <f t="array" ref="CI38">_xlfn.LET(_xlpm.k,ROW()-7,IF(_xlpm.k&gt;$AB$4,NA(),_xlfn.LET(_xlpm.v,INDEX($AD$8:$AD$43,_xlpm.k),IF(ISNUMBER(_xlpm.v),_xlpm.v/1000000,NA()))))</f>
        <v>#N/A</v>
      </c>
      <c r="CJ38" s="122" t="e" cm="1">
        <f t="array" ref="CJ38">_xlfn.LET(_xlpm.k,ROW()-7,IF(_xlpm.k&gt;$AB$4,NA(),_xlfn.LET(_xlpm.v,INDEX($AL$8:$AL$43,_xlpm.k),IF(ISNUMBER(_xlpm.v),_xlpm.v/1000000,NA()))))</f>
        <v>#N/A</v>
      </c>
      <c r="CK38" s="122" t="e" cm="1">
        <f t="array" ref="CK38">_xlfn.LET(_xlpm.k,ROW()-7,IF(OR(NOT($BL$3),_xlpm.k&lt;$AB$4,_xlpm.k&gt;$AB$4+IF($BL$3,$BL$4,0)),NA(),INDEX($BM$8:$BM$14,_xlpm.k-$AB$4+1)/1000000))</f>
        <v>#N/A</v>
      </c>
      <c r="CL38" s="122" t="e" cm="1">
        <f t="array" ref="CL38">_xlfn.LET(_xlpm.k,ROW()-7,IF(OR(NOT($BL$3),_xlpm.k&lt;$AB$4,_xlpm.k&gt;$AB$4+IF($BL$3,$BL$4,0)),NA(),INDEX($BN$8:$BN$14,_xlpm.k-$AB$4+1)/1000000))</f>
        <v>#N/A</v>
      </c>
      <c r="CM38" s="122" t="e" cm="1">
        <f t="array" ref="CM38">_xlfn.LET(_xlpm.k,ROW()-7,IF(OR(NOT($BL$3),_xlpm.k&lt;$AB$4,_xlpm.k&gt;$AB$4+IF($BL$3,$BL$4,0)),NA(),INDEX($BO$8:$BO$14,_xlpm.k-$AB$4+1)/1000000))</f>
        <v>#N/A</v>
      </c>
      <c r="CN38" s="122" t="e" cm="1">
        <f t="array" ref="CN38">_xlfn.LET(_xlpm.k,ROW()-7,IF(_xlpm.k&gt;$AB$4,NA(),_xlfn.LET(_xlpm.v,INDEX($AI$8:$AI$43,_xlpm.k),IF(ISNUMBER(_xlpm.v),_xlpm.v/1000000,NA()))))</f>
        <v>#N/A</v>
      </c>
      <c r="CO38" s="122" t="e" cm="1">
        <f t="array" ref="CO38">_xlfn.LET(_xlpm.k,ROW()-7,IF(OR(_xlpm.k&gt;$AB$4,_xlpm.k&lt;=12),NA(),_xlfn.LET(_xlpm.a,INDEX($AI$8:$AI$43,_xlpm.k),_xlpm.b,INDEX($AI$8:$AI$43,_xlpm.k-12),IF(AND(ISNUMBER(_xlpm.a),ISNUMBER(_xlpm.b),N(_xlpm.b)&gt;0),_xlpm.a/_xlpm.b-1,NA()))))</f>
        <v>#N/A</v>
      </c>
    </row>
    <row r="39" spans="2:93">
      <c r="B39" s="127" t="str">
        <f>_xlfn.XLOOKUP("AN_TR_TABLE",tblUIText[Key],tblUIText[TR],"AN_TR_TABLE")&amp;" / "&amp;_xlfn.XLOOKUP("AN_TR_TABLE",tblUIText[Key],tblUIText[EN],"")</f>
        <v>Aylık tablo / Monthly table</v>
      </c>
      <c r="L39" s="127" t="str">
        <f>_xlfn.XLOOKUP("AN_TR_SI",tblUIText[Key],tblUIText[TR],"AN_TR_SI")&amp;" / "&amp;_xlfn.XLOOKUP("AN_TR_SI",tblUIText[Key],tblUIText[EN],"")</f>
        <v>Mevsim endeksi / Seasonal index</v>
      </c>
      <c r="AB39" s="122" t="str" cm="1">
        <f t="array" ref="AB39">IF(ROW()-7&gt;ROWS(_xlfn.ANCHORARRAY($AZ$8)),"",INDEX(_xlfn.ANCHORARRAY($AZ$8),ROW()-7)&amp;"")</f>
        <v/>
      </c>
      <c r="AC39" s="122" t="str" cm="1">
        <f t="array" ref="AC39">IF($AB39="","",_xlfn.LET(_xlpm.r,_xlfn.XLOOKUP($AB$3&amp;"|"&amp;$AB39,anSM_Seg&amp;"|"&amp;anSM_YM,anSM_Paid,""),IF(ISBLANK(_xlpm.r),"",_xlpm.r)))</f>
        <v/>
      </c>
      <c r="AD39" s="122" t="str" cm="1">
        <f t="array" ref="AD39">IF($AB39="","",_xlfn.LET(_xlpm.r,_xlfn.XLOOKUP($AB$3&amp;"|"&amp;$AB39,anSM_Seg&amp;"|"&amp;anSM_YM,anSM_PY,""),IF(ISBLANK(_xlpm.r),"",_xlpm.r)))</f>
        <v/>
      </c>
      <c r="AE39" s="122" t="str" cm="1">
        <f t="array" ref="AE39">IF($AB39="","",_xlfn.LET(_xlpm.r,_xlfn.XLOOKUP($AB$3&amp;"|"&amp;$AB39,anSM_Seg&amp;"|"&amp;anSM_YM,anSM_YoY,""),IF(ISBLANK(_xlpm.r),"",_xlpm.r)))</f>
        <v/>
      </c>
      <c r="AF39" s="122" t="str" cm="1">
        <f t="array" ref="AF39">IF($AB39="","",_xlfn.LET(_xlpm.r,_xlfn.XLOOKUP($AB$3&amp;"|"&amp;$AB39,anSM_Seg&amp;"|"&amp;anSM_YM,anSM_MoM,""),IF(ISBLANK(_xlpm.r),"",_xlpm.r)))</f>
        <v/>
      </c>
      <c r="AG39" s="122" t="str" cm="1">
        <f t="array" ref="AG39">IF($AB39="","",_xlfn.LET(_xlpm.r,_xlfn.XLOOKUP($AB$3&amp;"|"&amp;$AB39,anSM_Seg&amp;"|"&amp;anSM_YM,anSM_YTD,""),IF(ISBLANK(_xlpm.r),"",_xlpm.r)))</f>
        <v/>
      </c>
      <c r="AH39" s="122" t="str" cm="1">
        <f t="array" ref="AH39">IF($AB39="","",_xlfn.LET(_xlpm.r,_xlfn.XLOOKUP($AB$3&amp;"|"&amp;$AB39,anSM_Seg&amp;"|"&amp;anSM_YM,anSM_R3,""),IF(ISBLANK(_xlpm.r),"",_xlpm.r)))</f>
        <v/>
      </c>
      <c r="AI39" s="122" t="str" cm="1">
        <f t="array" ref="AI39">IF($AB39="","",_xlfn.LET(_xlpm.r,_xlfn.XLOOKUP($AB$3&amp;"|"&amp;$AB39,anSM_Seg&amp;"|"&amp;anSM_YM,anSM_R12,""),IF(ISBLANK(_xlpm.r),"",_xlpm.r)))</f>
        <v/>
      </c>
      <c r="AJ39" s="122" t="str" cm="1">
        <f t="array" ref="AJ39">IF($AB39="","",_xlfn.LET(_xlpm.r,_xlfn.XLOOKUP($AB$3&amp;"|"&amp;$AB39,anSM_Seg&amp;"|"&amp;anSM_YM,anSM_Lines,""),IF(ISBLANK(_xlpm.r),"",_xlpm.r)))</f>
        <v/>
      </c>
      <c r="AK39" s="122" t="str" cm="1">
        <f t="array" ref="AK39">IF($AB39="","",_xlfn.LET(_xlpm.r,_xlfn.XLOOKUP($AB$3&amp;"|"&amp;$AB39,anSM_Seg&amp;"|"&amp;anSM_YM,anSM_Cases,""),IF(ISBLANK(_xlpm.r),"",_xlpm.r)))</f>
        <v/>
      </c>
      <c r="AL39" s="122" t="str">
        <f t="shared" si="0"/>
        <v/>
      </c>
      <c r="AM39" s="122" t="str">
        <f t="shared" ca="1" si="1"/>
        <v/>
      </c>
      <c r="AN39" s="122" t="str">
        <f t="shared" ca="1" si="2"/>
        <v/>
      </c>
      <c r="AO39" s="122" t="str" cm="1">
        <f t="array" aca="1" ref="AO39" ca="1">IF(AND($BK$3,$AB39&lt;&gt;""),INDEX($BK$8:$BK$19,--RIGHT($AB39,2)),"")</f>
        <v/>
      </c>
      <c r="AP39" s="122" t="str">
        <f t="shared" ca="1" si="3"/>
        <v/>
      </c>
      <c r="AQ39" s="122" t="str">
        <f t="shared" si="4"/>
        <v/>
      </c>
      <c r="CG39" s="122" t="str" cm="1">
        <f t="array" ref="CG39">_xlfn.LET(_xlpm.k,ROW()-7,IF(_xlpm.k&lt;=$AB$4,$AB39,IF(_xlpm.k&lt;=$AB$4+IF($BL$3,$BL$4,0),TEXT(INDEX($BL$9:$BL$14,_xlpm.k-$AB$4),"yyyy-mm"),"")))</f>
        <v/>
      </c>
      <c r="CH39" s="122" t="e" cm="1">
        <f t="array" ref="CH39">_xlfn.LET(_xlpm.k,ROW()-7,IF(_xlpm.k&gt;$AB$4,NA(),_xlfn.LET(_xlpm.v,INDEX($AC$8:$AC$43,_xlpm.k),IF(ISNUMBER(_xlpm.v),_xlpm.v/1000000,NA()))))</f>
        <v>#N/A</v>
      </c>
      <c r="CI39" s="122" t="e" cm="1">
        <f t="array" ref="CI39">_xlfn.LET(_xlpm.k,ROW()-7,IF(_xlpm.k&gt;$AB$4,NA(),_xlfn.LET(_xlpm.v,INDEX($AD$8:$AD$43,_xlpm.k),IF(ISNUMBER(_xlpm.v),_xlpm.v/1000000,NA()))))</f>
        <v>#N/A</v>
      </c>
      <c r="CJ39" s="122" t="e" cm="1">
        <f t="array" ref="CJ39">_xlfn.LET(_xlpm.k,ROW()-7,IF(_xlpm.k&gt;$AB$4,NA(),_xlfn.LET(_xlpm.v,INDEX($AL$8:$AL$43,_xlpm.k),IF(ISNUMBER(_xlpm.v),_xlpm.v/1000000,NA()))))</f>
        <v>#N/A</v>
      </c>
      <c r="CK39" s="122" t="e" cm="1">
        <f t="array" ref="CK39">_xlfn.LET(_xlpm.k,ROW()-7,IF(OR(NOT($BL$3),_xlpm.k&lt;$AB$4,_xlpm.k&gt;$AB$4+IF($BL$3,$BL$4,0)),NA(),INDEX($BM$8:$BM$14,_xlpm.k-$AB$4+1)/1000000))</f>
        <v>#N/A</v>
      </c>
      <c r="CL39" s="122" t="e" cm="1">
        <f t="array" ref="CL39">_xlfn.LET(_xlpm.k,ROW()-7,IF(OR(NOT($BL$3),_xlpm.k&lt;$AB$4,_xlpm.k&gt;$AB$4+IF($BL$3,$BL$4,0)),NA(),INDEX($BN$8:$BN$14,_xlpm.k-$AB$4+1)/1000000))</f>
        <v>#N/A</v>
      </c>
      <c r="CM39" s="122" t="e" cm="1">
        <f t="array" ref="CM39">_xlfn.LET(_xlpm.k,ROW()-7,IF(OR(NOT($BL$3),_xlpm.k&lt;$AB$4,_xlpm.k&gt;$AB$4+IF($BL$3,$BL$4,0)),NA(),INDEX($BO$8:$BO$14,_xlpm.k-$AB$4+1)/1000000))</f>
        <v>#N/A</v>
      </c>
      <c r="CN39" s="122" t="e" cm="1">
        <f t="array" ref="CN39">_xlfn.LET(_xlpm.k,ROW()-7,IF(_xlpm.k&gt;$AB$4,NA(),_xlfn.LET(_xlpm.v,INDEX($AI$8:$AI$43,_xlpm.k),IF(ISNUMBER(_xlpm.v),_xlpm.v/1000000,NA()))))</f>
        <v>#N/A</v>
      </c>
      <c r="CO39" s="122" t="e" cm="1">
        <f t="array" ref="CO39">_xlfn.LET(_xlpm.k,ROW()-7,IF(OR(_xlpm.k&gt;$AB$4,_xlpm.k&lt;=12),NA(),_xlfn.LET(_xlpm.a,INDEX($AI$8:$AI$43,_xlpm.k),_xlpm.b,INDEX($AI$8:$AI$43,_xlpm.k-12),IF(AND(ISNUMBER(_xlpm.a),ISNUMBER(_xlpm.b),N(_xlpm.b)&gt;0),_xlpm.a/_xlpm.b-1,NA()))))</f>
        <v>#N/A</v>
      </c>
    </row>
    <row r="40" spans="2:93" ht="24" customHeight="1">
      <c r="B40" s="145" t="str">
        <f>_xlfn.XLOOKUP("AN_LBL_MONTH",tblUIText[Key],tblUIText[TR],"AN_LBL_MONTH")&amp;" / "&amp;_xlfn.XLOOKUP("AN_LBL_MONTH",tblUIText[Key],tblUIText[EN],"")</f>
        <v>Ay / Month</v>
      </c>
      <c r="C40" s="145" t="str">
        <f>_xlfn.XLOOKUP("AN_TR_PAID",tblUIText[Key],tblUIText[TR],"AN_TR_PAID")&amp;" / "&amp;_xlfn.XLOOKUP("AN_TR_PAID",tblUIText[Key],tblUIText[EN],"")</f>
        <v>Ödenen / Paid</v>
      </c>
      <c r="D40" s="145" t="str">
        <f>_xlfn.XLOOKUP("AN_TR_MOM",tblUIText[Key],tblUIText[TR],"AN_TR_MOM")&amp;" / "&amp;_xlfn.XLOOKUP("AN_TR_MOM",tblUIText[Key],tblUIText[EN],"")</f>
        <v>Aylık % / MoM %</v>
      </c>
      <c r="E40" s="145" t="str">
        <f>_xlfn.XLOOKUP("AN_TR_PY",tblUIText[Key],tblUIText[TR],"AN_TR_PY")&amp;" / "&amp;_xlfn.XLOOKUP("AN_TR_PY",tblUIText[Key],tblUIText[EN],"")</f>
        <v>Geçen yıl / Last year</v>
      </c>
      <c r="F40" s="145" t="str">
        <f>_xlfn.XLOOKUP("AN_TR_YOY",tblUIText[Key],tblUIText[TR],"AN_TR_YOY")&amp;" / "&amp;_xlfn.XLOOKUP("AN_TR_YOY",tblUIText[Key],tblUIText[EN],"")</f>
        <v>Yıllık % / YoY %</v>
      </c>
      <c r="G40" s="145" t="str">
        <f>_xlfn.XLOOKUP("AN_TR_YTD",tblUIText[Key],tblUIText[TR],"AN_TR_YTD")&amp;" / "&amp;_xlfn.XLOOKUP("AN_TR_YTD",tblUIText[Key],tblUIText[EN],"")</f>
        <v>Yıl başından / YTD</v>
      </c>
      <c r="H40" s="145" t="str">
        <f>_xlfn.XLOOKUP("AN_TR_R3",tblUIText[Key],tblUIText[TR],"AN_TR_R3")&amp;" / "&amp;_xlfn.XLOOKUP("AN_TR_R3",tblUIText[Key],tblUIText[EN],"")</f>
        <v>3 ay / 3 months</v>
      </c>
      <c r="I40" s="145" t="str">
        <f>_xlfn.XLOOKUP("AN_TR_R12",tblUIText[Key],tblUIText[TR],"AN_TR_R12")&amp;" / "&amp;_xlfn.XLOOKUP("AN_TR_R12",tblUIText[Key],tblUIText[EN],"")</f>
        <v>12 ay / 12 months</v>
      </c>
      <c r="J40" s="145" t="str">
        <f>_xlfn.XLOOKUP("AN_T_CASES",tblUIText[Key],tblUIText[TR],"AN_T_CASES")&amp;" / "&amp;_xlfn.XLOOKUP("AN_T_CASES",tblUIText[Key],tblUIText[EN],"")</f>
        <v>Dosya sayısı / Cases</v>
      </c>
      <c r="L40" s="239" t="str">
        <f ca="1">IF($BK$3,"OK",SUBSTITUTE(SUBSTITUTE(_xlfn.XLOOKUP("AN_TR_SI_GATE",tblUIText[Key],tblUIText[TR],"AN_TR_SI_GATE"),"{0}",_xlfn.XLOOKUP("MinMonthsForSeasonalIndex",AnParam[Param],AnParam[Value])),"{1}",$AB$4)&amp;" / "&amp;SUBSTITUTE(SUBSTITUTE(_xlfn.XLOOKUP("AN_TR_SI_GATE",tblUIText[Key],tblUIText[EN],"AN_TR_SI_GATE"),"{0}",_xlfn.XLOOKUP("MinMonthsForSeasonalIndex",AnParam[Param],AnParam[Value])),"{1}",$AB$4))</f>
        <v>Mevsim endeksi için en az 36 ay gerekir; şu an 0 ay var: INSUFFICIENT DATA / The seasonal index needs at least 36 months; there are 0: INSUFFICIENT DATA</v>
      </c>
      <c r="M40" s="273"/>
      <c r="N40" s="273"/>
      <c r="O40" s="273"/>
      <c r="P40" s="273"/>
      <c r="Q40" s="273"/>
      <c r="R40" s="273"/>
      <c r="S40" s="273"/>
      <c r="AB40" s="122" t="str" cm="1">
        <f t="array" ref="AB40">IF(ROW()-7&gt;ROWS(_xlfn.ANCHORARRAY($AZ$8)),"",INDEX(_xlfn.ANCHORARRAY($AZ$8),ROW()-7)&amp;"")</f>
        <v/>
      </c>
      <c r="AC40" s="122" t="str" cm="1">
        <f t="array" ref="AC40">IF($AB40="","",_xlfn.LET(_xlpm.r,_xlfn.XLOOKUP($AB$3&amp;"|"&amp;$AB40,anSM_Seg&amp;"|"&amp;anSM_YM,anSM_Paid,""),IF(ISBLANK(_xlpm.r),"",_xlpm.r)))</f>
        <v/>
      </c>
      <c r="AD40" s="122" t="str" cm="1">
        <f t="array" ref="AD40">IF($AB40="","",_xlfn.LET(_xlpm.r,_xlfn.XLOOKUP($AB$3&amp;"|"&amp;$AB40,anSM_Seg&amp;"|"&amp;anSM_YM,anSM_PY,""),IF(ISBLANK(_xlpm.r),"",_xlpm.r)))</f>
        <v/>
      </c>
      <c r="AE40" s="122" t="str" cm="1">
        <f t="array" ref="AE40">IF($AB40="","",_xlfn.LET(_xlpm.r,_xlfn.XLOOKUP($AB$3&amp;"|"&amp;$AB40,anSM_Seg&amp;"|"&amp;anSM_YM,anSM_YoY,""),IF(ISBLANK(_xlpm.r),"",_xlpm.r)))</f>
        <v/>
      </c>
      <c r="AF40" s="122" t="str" cm="1">
        <f t="array" ref="AF40">IF($AB40="","",_xlfn.LET(_xlpm.r,_xlfn.XLOOKUP($AB$3&amp;"|"&amp;$AB40,anSM_Seg&amp;"|"&amp;anSM_YM,anSM_MoM,""),IF(ISBLANK(_xlpm.r),"",_xlpm.r)))</f>
        <v/>
      </c>
      <c r="AG40" s="122" t="str" cm="1">
        <f t="array" ref="AG40">IF($AB40="","",_xlfn.LET(_xlpm.r,_xlfn.XLOOKUP($AB$3&amp;"|"&amp;$AB40,anSM_Seg&amp;"|"&amp;anSM_YM,anSM_YTD,""),IF(ISBLANK(_xlpm.r),"",_xlpm.r)))</f>
        <v/>
      </c>
      <c r="AH40" s="122" t="str" cm="1">
        <f t="array" ref="AH40">IF($AB40="","",_xlfn.LET(_xlpm.r,_xlfn.XLOOKUP($AB$3&amp;"|"&amp;$AB40,anSM_Seg&amp;"|"&amp;anSM_YM,anSM_R3,""),IF(ISBLANK(_xlpm.r),"",_xlpm.r)))</f>
        <v/>
      </c>
      <c r="AI40" s="122" t="str" cm="1">
        <f t="array" ref="AI40">IF($AB40="","",_xlfn.LET(_xlpm.r,_xlfn.XLOOKUP($AB$3&amp;"|"&amp;$AB40,anSM_Seg&amp;"|"&amp;anSM_YM,anSM_R12,""),IF(ISBLANK(_xlpm.r),"",_xlpm.r)))</f>
        <v/>
      </c>
      <c r="AJ40" s="122" t="str" cm="1">
        <f t="array" ref="AJ40">IF($AB40="","",_xlfn.LET(_xlpm.r,_xlfn.XLOOKUP($AB$3&amp;"|"&amp;$AB40,anSM_Seg&amp;"|"&amp;anSM_YM,anSM_Lines,""),IF(ISBLANK(_xlpm.r),"",_xlpm.r)))</f>
        <v/>
      </c>
      <c r="AK40" s="122" t="str" cm="1">
        <f t="array" ref="AK40">IF($AB40="","",_xlfn.LET(_xlpm.r,_xlfn.XLOOKUP($AB$3&amp;"|"&amp;$AB40,anSM_Seg&amp;"|"&amp;anSM_YM,anSM_Cases,""),IF(ISBLANK(_xlpm.r),"",_xlpm.r)))</f>
        <v/>
      </c>
      <c r="AL40" s="122" t="str">
        <f t="shared" si="0"/>
        <v/>
      </c>
      <c r="AM40" s="122" t="str">
        <f t="shared" ca="1" si="1"/>
        <v/>
      </c>
      <c r="AN40" s="122" t="str">
        <f t="shared" ca="1" si="2"/>
        <v/>
      </c>
      <c r="AO40" s="122" t="str" cm="1">
        <f t="array" aca="1" ref="AO40" ca="1">IF(AND($BK$3,$AB40&lt;&gt;""),INDEX($BK$8:$BK$19,--RIGHT($AB40,2)),"")</f>
        <v/>
      </c>
      <c r="AP40" s="122" t="str">
        <f t="shared" ca="1" si="3"/>
        <v/>
      </c>
      <c r="AQ40" s="122" t="str">
        <f t="shared" si="4"/>
        <v/>
      </c>
      <c r="CG40" s="122" t="str" cm="1">
        <f t="array" ref="CG40">_xlfn.LET(_xlpm.k,ROW()-7,IF(_xlpm.k&lt;=$AB$4,$AB40,IF(_xlpm.k&lt;=$AB$4+IF($BL$3,$BL$4,0),TEXT(INDEX($BL$9:$BL$14,_xlpm.k-$AB$4),"yyyy-mm"),"")))</f>
        <v/>
      </c>
      <c r="CH40" s="122" t="e" cm="1">
        <f t="array" ref="CH40">_xlfn.LET(_xlpm.k,ROW()-7,IF(_xlpm.k&gt;$AB$4,NA(),_xlfn.LET(_xlpm.v,INDEX($AC$8:$AC$43,_xlpm.k),IF(ISNUMBER(_xlpm.v),_xlpm.v/1000000,NA()))))</f>
        <v>#N/A</v>
      </c>
      <c r="CI40" s="122" t="e" cm="1">
        <f t="array" ref="CI40">_xlfn.LET(_xlpm.k,ROW()-7,IF(_xlpm.k&gt;$AB$4,NA(),_xlfn.LET(_xlpm.v,INDEX($AD$8:$AD$43,_xlpm.k),IF(ISNUMBER(_xlpm.v),_xlpm.v/1000000,NA()))))</f>
        <v>#N/A</v>
      </c>
      <c r="CJ40" s="122" t="e" cm="1">
        <f t="array" ref="CJ40">_xlfn.LET(_xlpm.k,ROW()-7,IF(_xlpm.k&gt;$AB$4,NA(),_xlfn.LET(_xlpm.v,INDEX($AL$8:$AL$43,_xlpm.k),IF(ISNUMBER(_xlpm.v),_xlpm.v/1000000,NA()))))</f>
        <v>#N/A</v>
      </c>
      <c r="CK40" s="122" t="e" cm="1">
        <f t="array" ref="CK40">_xlfn.LET(_xlpm.k,ROW()-7,IF(OR(NOT($BL$3),_xlpm.k&lt;$AB$4,_xlpm.k&gt;$AB$4+IF($BL$3,$BL$4,0)),NA(),INDEX($BM$8:$BM$14,_xlpm.k-$AB$4+1)/1000000))</f>
        <v>#N/A</v>
      </c>
      <c r="CL40" s="122" t="e" cm="1">
        <f t="array" ref="CL40">_xlfn.LET(_xlpm.k,ROW()-7,IF(OR(NOT($BL$3),_xlpm.k&lt;$AB$4,_xlpm.k&gt;$AB$4+IF($BL$3,$BL$4,0)),NA(),INDEX($BN$8:$BN$14,_xlpm.k-$AB$4+1)/1000000))</f>
        <v>#N/A</v>
      </c>
      <c r="CM40" s="122" t="e" cm="1">
        <f t="array" ref="CM40">_xlfn.LET(_xlpm.k,ROW()-7,IF(OR(NOT($BL$3),_xlpm.k&lt;$AB$4,_xlpm.k&gt;$AB$4+IF($BL$3,$BL$4,0)),NA(),INDEX($BO$8:$BO$14,_xlpm.k-$AB$4+1)/1000000))</f>
        <v>#N/A</v>
      </c>
      <c r="CN40" s="122" t="e" cm="1">
        <f t="array" ref="CN40">_xlfn.LET(_xlpm.k,ROW()-7,IF(_xlpm.k&gt;$AB$4,NA(),_xlfn.LET(_xlpm.v,INDEX($AI$8:$AI$43,_xlpm.k),IF(ISNUMBER(_xlpm.v),_xlpm.v/1000000,NA()))))</f>
        <v>#N/A</v>
      </c>
      <c r="CO40" s="122" t="e" cm="1">
        <f t="array" ref="CO40">_xlfn.LET(_xlpm.k,ROW()-7,IF(OR(_xlpm.k&gt;$AB$4,_xlpm.k&lt;=12),NA(),_xlfn.LET(_xlpm.a,INDEX($AI$8:$AI$43,_xlpm.k),_xlpm.b,INDEX($AI$8:$AI$43,_xlpm.k-12),IF(AND(ISNUMBER(_xlpm.a),ISNUMBER(_xlpm.b),N(_xlpm.b)&gt;0),_xlpm.a/_xlpm.b-1,NA()))))</f>
        <v>#N/A</v>
      </c>
    </row>
    <row r="41" spans="2:93">
      <c r="B41" s="146" t="str" cm="1">
        <f t="array" ref="B41">IFERROR(_xlfn.LET(_xlpm.k,$AB$6-12+ROW()-40,IF(_xlpm.k&lt;1,"",INDEX($AB$8:$AB$43,_xlpm.k))),"")</f>
        <v/>
      </c>
      <c r="C41" s="147" t="str" cm="1">
        <f t="array" ref="C41">IFERROR(_xlfn.LET(_xlpm.k,$AB$6-12+ROW()-40,IF(_xlpm.k&lt;1,"",INDEX($AC$8:$AC$43,_xlpm.k))),"")</f>
        <v/>
      </c>
      <c r="D41" s="148" t="str" cm="1">
        <f t="array" ref="D41">IFERROR(_xlfn.LET(_xlpm.k,$AB$6-12+ROW()-40,IF(_xlpm.k&lt;1,"",INDEX($AF$8:$AF$43,_xlpm.k))),"")</f>
        <v/>
      </c>
      <c r="E41" s="147" t="str" cm="1">
        <f t="array" ref="E41">IFERROR(_xlfn.LET(_xlpm.k,$AB$6-12+ROW()-40,IF(_xlpm.k&lt;1,"",INDEX($AD$8:$AD$43,_xlpm.k))),"")</f>
        <v/>
      </c>
      <c r="F41" s="148" t="str" cm="1">
        <f t="array" ref="F41">IFERROR(_xlfn.LET(_xlpm.k,$AB$6-12+ROW()-40,IF(_xlpm.k&lt;1,"",INDEX($AE$8:$AE$43,_xlpm.k))),"")</f>
        <v/>
      </c>
      <c r="G41" s="147" t="str" cm="1">
        <f t="array" ref="G41">IFERROR(_xlfn.LET(_xlpm.k,$AB$6-12+ROW()-40,IF(_xlpm.k&lt;1,"",INDEX($AG$8:$AG$43,_xlpm.k))),"")</f>
        <v/>
      </c>
      <c r="H41" s="147" t="str" cm="1">
        <f t="array" ref="H41">IFERROR(_xlfn.LET(_xlpm.k,$AB$6-12+ROW()-40,IF(_xlpm.k&lt;1,"",INDEX($AH$8:$AH$43,_xlpm.k))),"")</f>
        <v/>
      </c>
      <c r="I41" s="147" t="str" cm="1">
        <f t="array" ref="I41">IFERROR(_xlfn.LET(_xlpm.k,$AB$6-12+ROW()-40,IF(_xlpm.k&lt;1,"",INDEX($AI$8:$AI$43,_xlpm.k))),"")</f>
        <v/>
      </c>
      <c r="J41" s="149" t="str" cm="1">
        <f t="array" ref="J41">IFERROR(_xlfn.LET(_xlpm.k,$AB$6-12+ROW()-40,IF(_xlpm.k&lt;1,"",INDEX($AK$8:$AK$43,_xlpm.k))),"")</f>
        <v/>
      </c>
      <c r="L41" s="273"/>
      <c r="M41" s="273"/>
      <c r="N41" s="273"/>
      <c r="O41" s="273"/>
      <c r="P41" s="273"/>
      <c r="Q41" s="273"/>
      <c r="R41" s="273"/>
      <c r="S41" s="273"/>
      <c r="AB41" s="122" t="str" cm="1">
        <f t="array" ref="AB41">IF(ROW()-7&gt;ROWS(_xlfn.ANCHORARRAY($AZ$8)),"",INDEX(_xlfn.ANCHORARRAY($AZ$8),ROW()-7)&amp;"")</f>
        <v/>
      </c>
      <c r="AC41" s="122" t="str" cm="1">
        <f t="array" ref="AC41">IF($AB41="","",_xlfn.LET(_xlpm.r,_xlfn.XLOOKUP($AB$3&amp;"|"&amp;$AB41,anSM_Seg&amp;"|"&amp;anSM_YM,anSM_Paid,""),IF(ISBLANK(_xlpm.r),"",_xlpm.r)))</f>
        <v/>
      </c>
      <c r="AD41" s="122" t="str" cm="1">
        <f t="array" ref="AD41">IF($AB41="","",_xlfn.LET(_xlpm.r,_xlfn.XLOOKUP($AB$3&amp;"|"&amp;$AB41,anSM_Seg&amp;"|"&amp;anSM_YM,anSM_PY,""),IF(ISBLANK(_xlpm.r),"",_xlpm.r)))</f>
        <v/>
      </c>
      <c r="AE41" s="122" t="str" cm="1">
        <f t="array" ref="AE41">IF($AB41="","",_xlfn.LET(_xlpm.r,_xlfn.XLOOKUP($AB$3&amp;"|"&amp;$AB41,anSM_Seg&amp;"|"&amp;anSM_YM,anSM_YoY,""),IF(ISBLANK(_xlpm.r),"",_xlpm.r)))</f>
        <v/>
      </c>
      <c r="AF41" s="122" t="str" cm="1">
        <f t="array" ref="AF41">IF($AB41="","",_xlfn.LET(_xlpm.r,_xlfn.XLOOKUP($AB$3&amp;"|"&amp;$AB41,anSM_Seg&amp;"|"&amp;anSM_YM,anSM_MoM,""),IF(ISBLANK(_xlpm.r),"",_xlpm.r)))</f>
        <v/>
      </c>
      <c r="AG41" s="122" t="str" cm="1">
        <f t="array" ref="AG41">IF($AB41="","",_xlfn.LET(_xlpm.r,_xlfn.XLOOKUP($AB$3&amp;"|"&amp;$AB41,anSM_Seg&amp;"|"&amp;anSM_YM,anSM_YTD,""),IF(ISBLANK(_xlpm.r),"",_xlpm.r)))</f>
        <v/>
      </c>
      <c r="AH41" s="122" t="str" cm="1">
        <f t="array" ref="AH41">IF($AB41="","",_xlfn.LET(_xlpm.r,_xlfn.XLOOKUP($AB$3&amp;"|"&amp;$AB41,anSM_Seg&amp;"|"&amp;anSM_YM,anSM_R3,""),IF(ISBLANK(_xlpm.r),"",_xlpm.r)))</f>
        <v/>
      </c>
      <c r="AI41" s="122" t="str" cm="1">
        <f t="array" ref="AI41">IF($AB41="","",_xlfn.LET(_xlpm.r,_xlfn.XLOOKUP($AB$3&amp;"|"&amp;$AB41,anSM_Seg&amp;"|"&amp;anSM_YM,anSM_R12,""),IF(ISBLANK(_xlpm.r),"",_xlpm.r)))</f>
        <v/>
      </c>
      <c r="AJ41" s="122" t="str" cm="1">
        <f t="array" ref="AJ41">IF($AB41="","",_xlfn.LET(_xlpm.r,_xlfn.XLOOKUP($AB$3&amp;"|"&amp;$AB41,anSM_Seg&amp;"|"&amp;anSM_YM,anSM_Lines,""),IF(ISBLANK(_xlpm.r),"",_xlpm.r)))</f>
        <v/>
      </c>
      <c r="AK41" s="122" t="str" cm="1">
        <f t="array" ref="AK41">IF($AB41="","",_xlfn.LET(_xlpm.r,_xlfn.XLOOKUP($AB$3&amp;"|"&amp;$AB41,anSM_Seg&amp;"|"&amp;anSM_YM,anSM_Cases,""),IF(ISBLANK(_xlpm.r),"",_xlpm.r)))</f>
        <v/>
      </c>
      <c r="AL41" s="122" t="str">
        <f t="shared" si="0"/>
        <v/>
      </c>
      <c r="AM41" s="122" t="str">
        <f t="shared" ca="1" si="1"/>
        <v/>
      </c>
      <c r="AN41" s="122" t="str">
        <f t="shared" ca="1" si="2"/>
        <v/>
      </c>
      <c r="AO41" s="122" t="str" cm="1">
        <f t="array" aca="1" ref="AO41" ca="1">IF(AND($BK$3,$AB41&lt;&gt;""),INDEX($BK$8:$BK$19,--RIGHT($AB41,2)),"")</f>
        <v/>
      </c>
      <c r="AP41" s="122" t="str">
        <f t="shared" ca="1" si="3"/>
        <v/>
      </c>
      <c r="AQ41" s="122" t="str">
        <f t="shared" si="4"/>
        <v/>
      </c>
      <c r="CG41" s="122" t="str" cm="1">
        <f t="array" ref="CG41">_xlfn.LET(_xlpm.k,ROW()-7,IF(_xlpm.k&lt;=$AB$4,$AB41,IF(_xlpm.k&lt;=$AB$4+IF($BL$3,$BL$4,0),TEXT(INDEX($BL$9:$BL$14,_xlpm.k-$AB$4),"yyyy-mm"),"")))</f>
        <v/>
      </c>
      <c r="CH41" s="122" t="e" cm="1">
        <f t="array" ref="CH41">_xlfn.LET(_xlpm.k,ROW()-7,IF(_xlpm.k&gt;$AB$4,NA(),_xlfn.LET(_xlpm.v,INDEX($AC$8:$AC$43,_xlpm.k),IF(ISNUMBER(_xlpm.v),_xlpm.v/1000000,NA()))))</f>
        <v>#N/A</v>
      </c>
      <c r="CI41" s="122" t="e" cm="1">
        <f t="array" ref="CI41">_xlfn.LET(_xlpm.k,ROW()-7,IF(_xlpm.k&gt;$AB$4,NA(),_xlfn.LET(_xlpm.v,INDEX($AD$8:$AD$43,_xlpm.k),IF(ISNUMBER(_xlpm.v),_xlpm.v/1000000,NA()))))</f>
        <v>#N/A</v>
      </c>
      <c r="CJ41" s="122" t="e" cm="1">
        <f t="array" ref="CJ41">_xlfn.LET(_xlpm.k,ROW()-7,IF(_xlpm.k&gt;$AB$4,NA(),_xlfn.LET(_xlpm.v,INDEX($AL$8:$AL$43,_xlpm.k),IF(ISNUMBER(_xlpm.v),_xlpm.v/1000000,NA()))))</f>
        <v>#N/A</v>
      </c>
      <c r="CK41" s="122" t="e" cm="1">
        <f t="array" ref="CK41">_xlfn.LET(_xlpm.k,ROW()-7,IF(OR(NOT($BL$3),_xlpm.k&lt;$AB$4,_xlpm.k&gt;$AB$4+IF($BL$3,$BL$4,0)),NA(),INDEX($BM$8:$BM$14,_xlpm.k-$AB$4+1)/1000000))</f>
        <v>#N/A</v>
      </c>
      <c r="CL41" s="122" t="e" cm="1">
        <f t="array" ref="CL41">_xlfn.LET(_xlpm.k,ROW()-7,IF(OR(NOT($BL$3),_xlpm.k&lt;$AB$4,_xlpm.k&gt;$AB$4+IF($BL$3,$BL$4,0)),NA(),INDEX($BN$8:$BN$14,_xlpm.k-$AB$4+1)/1000000))</f>
        <v>#N/A</v>
      </c>
      <c r="CM41" s="122" t="e" cm="1">
        <f t="array" ref="CM41">_xlfn.LET(_xlpm.k,ROW()-7,IF(OR(NOT($BL$3),_xlpm.k&lt;$AB$4,_xlpm.k&gt;$AB$4+IF($BL$3,$BL$4,0)),NA(),INDEX($BO$8:$BO$14,_xlpm.k-$AB$4+1)/1000000))</f>
        <v>#N/A</v>
      </c>
      <c r="CN41" s="122" t="e" cm="1">
        <f t="array" ref="CN41">_xlfn.LET(_xlpm.k,ROW()-7,IF(_xlpm.k&gt;$AB$4,NA(),_xlfn.LET(_xlpm.v,INDEX($AI$8:$AI$43,_xlpm.k),IF(ISNUMBER(_xlpm.v),_xlpm.v/1000000,NA()))))</f>
        <v>#N/A</v>
      </c>
      <c r="CO41" s="122" t="e" cm="1">
        <f t="array" ref="CO41">_xlfn.LET(_xlpm.k,ROW()-7,IF(OR(_xlpm.k&gt;$AB$4,_xlpm.k&lt;=12),NA(),_xlfn.LET(_xlpm.a,INDEX($AI$8:$AI$43,_xlpm.k),_xlpm.b,INDEX($AI$8:$AI$43,_xlpm.k-12),IF(AND(ISNUMBER(_xlpm.a),ISNUMBER(_xlpm.b),N(_xlpm.b)&gt;0),_xlpm.a/_xlpm.b-1,NA()))))</f>
        <v>#N/A</v>
      </c>
    </row>
    <row r="42" spans="2:93">
      <c r="B42" s="146" t="str" cm="1">
        <f t="array" ref="B42">IFERROR(_xlfn.LET(_xlpm.k,$AB$6-12+ROW()-40,IF(_xlpm.k&lt;1,"",INDEX($AB$8:$AB$43,_xlpm.k))),"")</f>
        <v/>
      </c>
      <c r="C42" s="147" t="str" cm="1">
        <f t="array" ref="C42">IFERROR(_xlfn.LET(_xlpm.k,$AB$6-12+ROW()-40,IF(_xlpm.k&lt;1,"",INDEX($AC$8:$AC$43,_xlpm.k))),"")</f>
        <v/>
      </c>
      <c r="D42" s="148" t="str" cm="1">
        <f t="array" ref="D42">IFERROR(_xlfn.LET(_xlpm.k,$AB$6-12+ROW()-40,IF(_xlpm.k&lt;1,"",INDEX($AF$8:$AF$43,_xlpm.k))),"")</f>
        <v/>
      </c>
      <c r="E42" s="147" t="str" cm="1">
        <f t="array" ref="E42">IFERROR(_xlfn.LET(_xlpm.k,$AB$6-12+ROW()-40,IF(_xlpm.k&lt;1,"",INDEX($AD$8:$AD$43,_xlpm.k))),"")</f>
        <v/>
      </c>
      <c r="F42" s="148" t="str" cm="1">
        <f t="array" ref="F42">IFERROR(_xlfn.LET(_xlpm.k,$AB$6-12+ROW()-40,IF(_xlpm.k&lt;1,"",INDEX($AE$8:$AE$43,_xlpm.k))),"")</f>
        <v/>
      </c>
      <c r="G42" s="147" t="str" cm="1">
        <f t="array" ref="G42">IFERROR(_xlfn.LET(_xlpm.k,$AB$6-12+ROW()-40,IF(_xlpm.k&lt;1,"",INDEX($AG$8:$AG$43,_xlpm.k))),"")</f>
        <v/>
      </c>
      <c r="H42" s="147" t="str" cm="1">
        <f t="array" ref="H42">IFERROR(_xlfn.LET(_xlpm.k,$AB$6-12+ROW()-40,IF(_xlpm.k&lt;1,"",INDEX($AH$8:$AH$43,_xlpm.k))),"")</f>
        <v/>
      </c>
      <c r="I42" s="147" t="str" cm="1">
        <f t="array" ref="I42">IFERROR(_xlfn.LET(_xlpm.k,$AB$6-12+ROW()-40,IF(_xlpm.k&lt;1,"",INDEX($AI$8:$AI$43,_xlpm.k))),"")</f>
        <v/>
      </c>
      <c r="J42" s="149" t="str" cm="1">
        <f t="array" ref="J42">IFERROR(_xlfn.LET(_xlpm.k,$AB$6-12+ROW()-40,IF(_xlpm.k&lt;1,"",INDEX($AK$8:$AK$43,_xlpm.k))),"")</f>
        <v/>
      </c>
      <c r="L42" s="154" t="str" cm="1">
        <f t="array" aca="1" ref="L42" ca="1">IF($BK$3,TRANSPOSE($BK$8:$BK$19),"")</f>
        <v/>
      </c>
      <c r="M42" s="154"/>
      <c r="N42" s="154"/>
      <c r="O42" s="154"/>
      <c r="P42" s="154"/>
      <c r="Q42" s="154"/>
      <c r="R42" s="154"/>
      <c r="S42" s="154"/>
      <c r="T42" s="154"/>
      <c r="U42" s="154"/>
      <c r="V42" s="154"/>
      <c r="W42" s="154"/>
      <c r="AB42" s="122" t="str" cm="1">
        <f t="array" ref="AB42">IF(ROW()-7&gt;ROWS(_xlfn.ANCHORARRAY($AZ$8)),"",INDEX(_xlfn.ANCHORARRAY($AZ$8),ROW()-7)&amp;"")</f>
        <v/>
      </c>
      <c r="AC42" s="122" t="str" cm="1">
        <f t="array" ref="AC42">IF($AB42="","",_xlfn.LET(_xlpm.r,_xlfn.XLOOKUP($AB$3&amp;"|"&amp;$AB42,anSM_Seg&amp;"|"&amp;anSM_YM,anSM_Paid,""),IF(ISBLANK(_xlpm.r),"",_xlpm.r)))</f>
        <v/>
      </c>
      <c r="AD42" s="122" t="str" cm="1">
        <f t="array" ref="AD42">IF($AB42="","",_xlfn.LET(_xlpm.r,_xlfn.XLOOKUP($AB$3&amp;"|"&amp;$AB42,anSM_Seg&amp;"|"&amp;anSM_YM,anSM_PY,""),IF(ISBLANK(_xlpm.r),"",_xlpm.r)))</f>
        <v/>
      </c>
      <c r="AE42" s="122" t="str" cm="1">
        <f t="array" ref="AE42">IF($AB42="","",_xlfn.LET(_xlpm.r,_xlfn.XLOOKUP($AB$3&amp;"|"&amp;$AB42,anSM_Seg&amp;"|"&amp;anSM_YM,anSM_YoY,""),IF(ISBLANK(_xlpm.r),"",_xlpm.r)))</f>
        <v/>
      </c>
      <c r="AF42" s="122" t="str" cm="1">
        <f t="array" ref="AF42">IF($AB42="","",_xlfn.LET(_xlpm.r,_xlfn.XLOOKUP($AB$3&amp;"|"&amp;$AB42,anSM_Seg&amp;"|"&amp;anSM_YM,anSM_MoM,""),IF(ISBLANK(_xlpm.r),"",_xlpm.r)))</f>
        <v/>
      </c>
      <c r="AG42" s="122" t="str" cm="1">
        <f t="array" ref="AG42">IF($AB42="","",_xlfn.LET(_xlpm.r,_xlfn.XLOOKUP($AB$3&amp;"|"&amp;$AB42,anSM_Seg&amp;"|"&amp;anSM_YM,anSM_YTD,""),IF(ISBLANK(_xlpm.r),"",_xlpm.r)))</f>
        <v/>
      </c>
      <c r="AH42" s="122" t="str" cm="1">
        <f t="array" ref="AH42">IF($AB42="","",_xlfn.LET(_xlpm.r,_xlfn.XLOOKUP($AB$3&amp;"|"&amp;$AB42,anSM_Seg&amp;"|"&amp;anSM_YM,anSM_R3,""),IF(ISBLANK(_xlpm.r),"",_xlpm.r)))</f>
        <v/>
      </c>
      <c r="AI42" s="122" t="str" cm="1">
        <f t="array" ref="AI42">IF($AB42="","",_xlfn.LET(_xlpm.r,_xlfn.XLOOKUP($AB$3&amp;"|"&amp;$AB42,anSM_Seg&amp;"|"&amp;anSM_YM,anSM_R12,""),IF(ISBLANK(_xlpm.r),"",_xlpm.r)))</f>
        <v/>
      </c>
      <c r="AJ42" s="122" t="str" cm="1">
        <f t="array" ref="AJ42">IF($AB42="","",_xlfn.LET(_xlpm.r,_xlfn.XLOOKUP($AB$3&amp;"|"&amp;$AB42,anSM_Seg&amp;"|"&amp;anSM_YM,anSM_Lines,""),IF(ISBLANK(_xlpm.r),"",_xlpm.r)))</f>
        <v/>
      </c>
      <c r="AK42" s="122" t="str" cm="1">
        <f t="array" ref="AK42">IF($AB42="","",_xlfn.LET(_xlpm.r,_xlfn.XLOOKUP($AB$3&amp;"|"&amp;$AB42,anSM_Seg&amp;"|"&amp;anSM_YM,anSM_Cases,""),IF(ISBLANK(_xlpm.r),"",_xlpm.r)))</f>
        <v/>
      </c>
      <c r="AL42" s="122" t="str">
        <f t="shared" si="0"/>
        <v/>
      </c>
      <c r="AM42" s="122" t="str">
        <f t="shared" ca="1" si="1"/>
        <v/>
      </c>
      <c r="AN42" s="122" t="str">
        <f t="shared" ca="1" si="2"/>
        <v/>
      </c>
      <c r="AO42" s="122" t="str" cm="1">
        <f t="array" aca="1" ref="AO42" ca="1">IF(AND($BK$3,$AB42&lt;&gt;""),INDEX($BK$8:$BK$19,--RIGHT($AB42,2)),"")</f>
        <v/>
      </c>
      <c r="AP42" s="122" t="str">
        <f t="shared" ca="1" si="3"/>
        <v/>
      </c>
      <c r="AQ42" s="122" t="str">
        <f t="shared" si="4"/>
        <v/>
      </c>
      <c r="CG42" s="122" t="str" cm="1">
        <f t="array" ref="CG42">_xlfn.LET(_xlpm.k,ROW()-7,IF(_xlpm.k&lt;=$AB$4,$AB42,IF(_xlpm.k&lt;=$AB$4+IF($BL$3,$BL$4,0),TEXT(INDEX($BL$9:$BL$14,_xlpm.k-$AB$4),"yyyy-mm"),"")))</f>
        <v/>
      </c>
      <c r="CH42" s="122" t="e" cm="1">
        <f t="array" ref="CH42">_xlfn.LET(_xlpm.k,ROW()-7,IF(_xlpm.k&gt;$AB$4,NA(),_xlfn.LET(_xlpm.v,INDEX($AC$8:$AC$43,_xlpm.k),IF(ISNUMBER(_xlpm.v),_xlpm.v/1000000,NA()))))</f>
        <v>#N/A</v>
      </c>
      <c r="CI42" s="122" t="e" cm="1">
        <f t="array" ref="CI42">_xlfn.LET(_xlpm.k,ROW()-7,IF(_xlpm.k&gt;$AB$4,NA(),_xlfn.LET(_xlpm.v,INDEX($AD$8:$AD$43,_xlpm.k),IF(ISNUMBER(_xlpm.v),_xlpm.v/1000000,NA()))))</f>
        <v>#N/A</v>
      </c>
      <c r="CJ42" s="122" t="e" cm="1">
        <f t="array" ref="CJ42">_xlfn.LET(_xlpm.k,ROW()-7,IF(_xlpm.k&gt;$AB$4,NA(),_xlfn.LET(_xlpm.v,INDEX($AL$8:$AL$43,_xlpm.k),IF(ISNUMBER(_xlpm.v),_xlpm.v/1000000,NA()))))</f>
        <v>#N/A</v>
      </c>
      <c r="CK42" s="122" t="e" cm="1">
        <f t="array" ref="CK42">_xlfn.LET(_xlpm.k,ROW()-7,IF(OR(NOT($BL$3),_xlpm.k&lt;$AB$4,_xlpm.k&gt;$AB$4+IF($BL$3,$BL$4,0)),NA(),INDEX($BM$8:$BM$14,_xlpm.k-$AB$4+1)/1000000))</f>
        <v>#N/A</v>
      </c>
      <c r="CL42" s="122" t="e" cm="1">
        <f t="array" ref="CL42">_xlfn.LET(_xlpm.k,ROW()-7,IF(OR(NOT($BL$3),_xlpm.k&lt;$AB$4,_xlpm.k&gt;$AB$4+IF($BL$3,$BL$4,0)),NA(),INDEX($BN$8:$BN$14,_xlpm.k-$AB$4+1)/1000000))</f>
        <v>#N/A</v>
      </c>
      <c r="CM42" s="122" t="e" cm="1">
        <f t="array" ref="CM42">_xlfn.LET(_xlpm.k,ROW()-7,IF(OR(NOT($BL$3),_xlpm.k&lt;$AB$4,_xlpm.k&gt;$AB$4+IF($BL$3,$BL$4,0)),NA(),INDEX($BO$8:$BO$14,_xlpm.k-$AB$4+1)/1000000))</f>
        <v>#N/A</v>
      </c>
      <c r="CN42" s="122" t="e" cm="1">
        <f t="array" ref="CN42">_xlfn.LET(_xlpm.k,ROW()-7,IF(_xlpm.k&gt;$AB$4,NA(),_xlfn.LET(_xlpm.v,INDEX($AI$8:$AI$43,_xlpm.k),IF(ISNUMBER(_xlpm.v),_xlpm.v/1000000,NA()))))</f>
        <v>#N/A</v>
      </c>
      <c r="CO42" s="122" t="e" cm="1">
        <f t="array" ref="CO42">_xlfn.LET(_xlpm.k,ROW()-7,IF(OR(_xlpm.k&gt;$AB$4,_xlpm.k&lt;=12),NA(),_xlfn.LET(_xlpm.a,INDEX($AI$8:$AI$43,_xlpm.k),_xlpm.b,INDEX($AI$8:$AI$43,_xlpm.k-12),IF(AND(ISNUMBER(_xlpm.a),ISNUMBER(_xlpm.b),N(_xlpm.b)&gt;0),_xlpm.a/_xlpm.b-1,NA()))))</f>
        <v>#N/A</v>
      </c>
    </row>
    <row r="43" spans="2:93">
      <c r="B43" s="146" t="str" cm="1">
        <f t="array" ref="B43">IFERROR(_xlfn.LET(_xlpm.k,$AB$6-12+ROW()-40,IF(_xlpm.k&lt;1,"",INDEX($AB$8:$AB$43,_xlpm.k))),"")</f>
        <v/>
      </c>
      <c r="C43" s="147" t="str" cm="1">
        <f t="array" ref="C43">IFERROR(_xlfn.LET(_xlpm.k,$AB$6-12+ROW()-40,IF(_xlpm.k&lt;1,"",INDEX($AC$8:$AC$43,_xlpm.k))),"")</f>
        <v/>
      </c>
      <c r="D43" s="148" t="str" cm="1">
        <f t="array" ref="D43">IFERROR(_xlfn.LET(_xlpm.k,$AB$6-12+ROW()-40,IF(_xlpm.k&lt;1,"",INDEX($AF$8:$AF$43,_xlpm.k))),"")</f>
        <v/>
      </c>
      <c r="E43" s="147" t="str" cm="1">
        <f t="array" ref="E43">IFERROR(_xlfn.LET(_xlpm.k,$AB$6-12+ROW()-40,IF(_xlpm.k&lt;1,"",INDEX($AD$8:$AD$43,_xlpm.k))),"")</f>
        <v/>
      </c>
      <c r="F43" s="148" t="str" cm="1">
        <f t="array" ref="F43">IFERROR(_xlfn.LET(_xlpm.k,$AB$6-12+ROW()-40,IF(_xlpm.k&lt;1,"",INDEX($AE$8:$AE$43,_xlpm.k))),"")</f>
        <v/>
      </c>
      <c r="G43" s="147" t="str" cm="1">
        <f t="array" ref="G43">IFERROR(_xlfn.LET(_xlpm.k,$AB$6-12+ROW()-40,IF(_xlpm.k&lt;1,"",INDEX($AG$8:$AG$43,_xlpm.k))),"")</f>
        <v/>
      </c>
      <c r="H43" s="147" t="str" cm="1">
        <f t="array" ref="H43">IFERROR(_xlfn.LET(_xlpm.k,$AB$6-12+ROW()-40,IF(_xlpm.k&lt;1,"",INDEX($AH$8:$AH$43,_xlpm.k))),"")</f>
        <v/>
      </c>
      <c r="I43" s="147" t="str" cm="1">
        <f t="array" ref="I43">IFERROR(_xlfn.LET(_xlpm.k,$AB$6-12+ROW()-40,IF(_xlpm.k&lt;1,"",INDEX($AI$8:$AI$43,_xlpm.k))),"")</f>
        <v/>
      </c>
      <c r="J43" s="149" t="str" cm="1">
        <f t="array" ref="J43">IFERROR(_xlfn.LET(_xlpm.k,$AB$6-12+ROW()-40,IF(_xlpm.k&lt;1,"",INDEX($AK$8:$AK$43,_xlpm.k))),"")</f>
        <v/>
      </c>
      <c r="AB43" s="122" t="str" cm="1">
        <f t="array" ref="AB43">IF(ROW()-7&gt;ROWS(_xlfn.ANCHORARRAY($AZ$8)),"",INDEX(_xlfn.ANCHORARRAY($AZ$8),ROW()-7)&amp;"")</f>
        <v/>
      </c>
      <c r="AC43" s="122" t="str" cm="1">
        <f t="array" ref="AC43">IF($AB43="","",_xlfn.LET(_xlpm.r,_xlfn.XLOOKUP($AB$3&amp;"|"&amp;$AB43,anSM_Seg&amp;"|"&amp;anSM_YM,anSM_Paid,""),IF(ISBLANK(_xlpm.r),"",_xlpm.r)))</f>
        <v/>
      </c>
      <c r="AD43" s="122" t="str" cm="1">
        <f t="array" ref="AD43">IF($AB43="","",_xlfn.LET(_xlpm.r,_xlfn.XLOOKUP($AB$3&amp;"|"&amp;$AB43,anSM_Seg&amp;"|"&amp;anSM_YM,anSM_PY,""),IF(ISBLANK(_xlpm.r),"",_xlpm.r)))</f>
        <v/>
      </c>
      <c r="AE43" s="122" t="str" cm="1">
        <f t="array" ref="AE43">IF($AB43="","",_xlfn.LET(_xlpm.r,_xlfn.XLOOKUP($AB$3&amp;"|"&amp;$AB43,anSM_Seg&amp;"|"&amp;anSM_YM,anSM_YoY,""),IF(ISBLANK(_xlpm.r),"",_xlpm.r)))</f>
        <v/>
      </c>
      <c r="AF43" s="122" t="str" cm="1">
        <f t="array" ref="AF43">IF($AB43="","",_xlfn.LET(_xlpm.r,_xlfn.XLOOKUP($AB$3&amp;"|"&amp;$AB43,anSM_Seg&amp;"|"&amp;anSM_YM,anSM_MoM,""),IF(ISBLANK(_xlpm.r),"",_xlpm.r)))</f>
        <v/>
      </c>
      <c r="AG43" s="122" t="str" cm="1">
        <f t="array" ref="AG43">IF($AB43="","",_xlfn.LET(_xlpm.r,_xlfn.XLOOKUP($AB$3&amp;"|"&amp;$AB43,anSM_Seg&amp;"|"&amp;anSM_YM,anSM_YTD,""),IF(ISBLANK(_xlpm.r),"",_xlpm.r)))</f>
        <v/>
      </c>
      <c r="AH43" s="122" t="str" cm="1">
        <f t="array" ref="AH43">IF($AB43="","",_xlfn.LET(_xlpm.r,_xlfn.XLOOKUP($AB$3&amp;"|"&amp;$AB43,anSM_Seg&amp;"|"&amp;anSM_YM,anSM_R3,""),IF(ISBLANK(_xlpm.r),"",_xlpm.r)))</f>
        <v/>
      </c>
      <c r="AI43" s="122" t="str" cm="1">
        <f t="array" ref="AI43">IF($AB43="","",_xlfn.LET(_xlpm.r,_xlfn.XLOOKUP($AB$3&amp;"|"&amp;$AB43,anSM_Seg&amp;"|"&amp;anSM_YM,anSM_R12,""),IF(ISBLANK(_xlpm.r),"",_xlpm.r)))</f>
        <v/>
      </c>
      <c r="AJ43" s="122" t="str" cm="1">
        <f t="array" ref="AJ43">IF($AB43="","",_xlfn.LET(_xlpm.r,_xlfn.XLOOKUP($AB$3&amp;"|"&amp;$AB43,anSM_Seg&amp;"|"&amp;anSM_YM,anSM_Lines,""),IF(ISBLANK(_xlpm.r),"",_xlpm.r)))</f>
        <v/>
      </c>
      <c r="AK43" s="122" t="str" cm="1">
        <f t="array" ref="AK43">IF($AB43="","",_xlfn.LET(_xlpm.r,_xlfn.XLOOKUP($AB$3&amp;"|"&amp;$AB43,anSM_Seg&amp;"|"&amp;anSM_YM,anSM_Cases,""),IF(ISBLANK(_xlpm.r),"",_xlpm.r)))</f>
        <v/>
      </c>
      <c r="AL43" s="122" t="str">
        <f t="shared" si="0"/>
        <v/>
      </c>
      <c r="AM43" s="122" t="str">
        <f t="shared" ca="1" si="1"/>
        <v/>
      </c>
      <c r="AN43" s="122" t="str">
        <f t="shared" ca="1" si="2"/>
        <v/>
      </c>
      <c r="AO43" s="122" t="str" cm="1">
        <f t="array" aca="1" ref="AO43" ca="1">IF(AND($BK$3,$AB43&lt;&gt;""),INDEX($BK$8:$BK$19,--RIGHT($AB43,2)),"")</f>
        <v/>
      </c>
      <c r="AP43" s="122" t="str">
        <f t="shared" ca="1" si="3"/>
        <v/>
      </c>
      <c r="AQ43" s="122" t="str">
        <f t="shared" si="4"/>
        <v/>
      </c>
      <c r="CG43" s="122" t="str" cm="1">
        <f t="array" ref="CG43">_xlfn.LET(_xlpm.k,ROW()-7,IF(_xlpm.k&lt;=$AB$4,$AB43,IF(_xlpm.k&lt;=$AB$4+IF($BL$3,$BL$4,0),TEXT(INDEX($BL$9:$BL$14,_xlpm.k-$AB$4),"yyyy-mm"),"")))</f>
        <v/>
      </c>
      <c r="CH43" s="122" t="e" cm="1">
        <f t="array" ref="CH43">_xlfn.LET(_xlpm.k,ROW()-7,IF(_xlpm.k&gt;$AB$4,NA(),_xlfn.LET(_xlpm.v,INDEX($AC$8:$AC$43,_xlpm.k),IF(ISNUMBER(_xlpm.v),_xlpm.v/1000000,NA()))))</f>
        <v>#N/A</v>
      </c>
      <c r="CI43" s="122" t="e" cm="1">
        <f t="array" ref="CI43">_xlfn.LET(_xlpm.k,ROW()-7,IF(_xlpm.k&gt;$AB$4,NA(),_xlfn.LET(_xlpm.v,INDEX($AD$8:$AD$43,_xlpm.k),IF(ISNUMBER(_xlpm.v),_xlpm.v/1000000,NA()))))</f>
        <v>#N/A</v>
      </c>
      <c r="CJ43" s="122" t="e" cm="1">
        <f t="array" ref="CJ43">_xlfn.LET(_xlpm.k,ROW()-7,IF(_xlpm.k&gt;$AB$4,NA(),_xlfn.LET(_xlpm.v,INDEX($AL$8:$AL$43,_xlpm.k),IF(ISNUMBER(_xlpm.v),_xlpm.v/1000000,NA()))))</f>
        <v>#N/A</v>
      </c>
      <c r="CK43" s="122" t="e" cm="1">
        <f t="array" ref="CK43">_xlfn.LET(_xlpm.k,ROW()-7,IF(OR(NOT($BL$3),_xlpm.k&lt;$AB$4,_xlpm.k&gt;$AB$4+IF($BL$3,$BL$4,0)),NA(),INDEX($BM$8:$BM$14,_xlpm.k-$AB$4+1)/1000000))</f>
        <v>#N/A</v>
      </c>
      <c r="CL43" s="122" t="e" cm="1">
        <f t="array" ref="CL43">_xlfn.LET(_xlpm.k,ROW()-7,IF(OR(NOT($BL$3),_xlpm.k&lt;$AB$4,_xlpm.k&gt;$AB$4+IF($BL$3,$BL$4,0)),NA(),INDEX($BN$8:$BN$14,_xlpm.k-$AB$4+1)/1000000))</f>
        <v>#N/A</v>
      </c>
      <c r="CM43" s="122" t="e" cm="1">
        <f t="array" ref="CM43">_xlfn.LET(_xlpm.k,ROW()-7,IF(OR(NOT($BL$3),_xlpm.k&lt;$AB$4,_xlpm.k&gt;$AB$4+IF($BL$3,$BL$4,0)),NA(),INDEX($BO$8:$BO$14,_xlpm.k-$AB$4+1)/1000000))</f>
        <v>#N/A</v>
      </c>
      <c r="CN43" s="122" t="e" cm="1">
        <f t="array" ref="CN43">_xlfn.LET(_xlpm.k,ROW()-7,IF(_xlpm.k&gt;$AB$4,NA(),_xlfn.LET(_xlpm.v,INDEX($AI$8:$AI$43,_xlpm.k),IF(ISNUMBER(_xlpm.v),_xlpm.v/1000000,NA()))))</f>
        <v>#N/A</v>
      </c>
      <c r="CO43" s="122" t="e" cm="1">
        <f t="array" ref="CO43">_xlfn.LET(_xlpm.k,ROW()-7,IF(OR(_xlpm.k&gt;$AB$4,_xlpm.k&lt;=12),NA(),_xlfn.LET(_xlpm.a,INDEX($AI$8:$AI$43,_xlpm.k),_xlpm.b,INDEX($AI$8:$AI$43,_xlpm.k-12),IF(AND(ISNUMBER(_xlpm.a),ISNUMBER(_xlpm.b),N(_xlpm.b)&gt;0),_xlpm.a/_xlpm.b-1,NA()))))</f>
        <v>#N/A</v>
      </c>
    </row>
    <row r="44" spans="2:93">
      <c r="B44" s="146" t="str" cm="1">
        <f t="array" ref="B44">IFERROR(_xlfn.LET(_xlpm.k,$AB$6-12+ROW()-40,IF(_xlpm.k&lt;1,"",INDEX($AB$8:$AB$43,_xlpm.k))),"")</f>
        <v/>
      </c>
      <c r="C44" s="147" t="str" cm="1">
        <f t="array" ref="C44">IFERROR(_xlfn.LET(_xlpm.k,$AB$6-12+ROW()-40,IF(_xlpm.k&lt;1,"",INDEX($AC$8:$AC$43,_xlpm.k))),"")</f>
        <v/>
      </c>
      <c r="D44" s="148" t="str" cm="1">
        <f t="array" ref="D44">IFERROR(_xlfn.LET(_xlpm.k,$AB$6-12+ROW()-40,IF(_xlpm.k&lt;1,"",INDEX($AF$8:$AF$43,_xlpm.k))),"")</f>
        <v/>
      </c>
      <c r="E44" s="147" t="str" cm="1">
        <f t="array" ref="E44">IFERROR(_xlfn.LET(_xlpm.k,$AB$6-12+ROW()-40,IF(_xlpm.k&lt;1,"",INDEX($AD$8:$AD$43,_xlpm.k))),"")</f>
        <v/>
      </c>
      <c r="F44" s="148" t="str" cm="1">
        <f t="array" ref="F44">IFERROR(_xlfn.LET(_xlpm.k,$AB$6-12+ROW()-40,IF(_xlpm.k&lt;1,"",INDEX($AE$8:$AE$43,_xlpm.k))),"")</f>
        <v/>
      </c>
      <c r="G44" s="147" t="str" cm="1">
        <f t="array" ref="G44">IFERROR(_xlfn.LET(_xlpm.k,$AB$6-12+ROW()-40,IF(_xlpm.k&lt;1,"",INDEX($AG$8:$AG$43,_xlpm.k))),"")</f>
        <v/>
      </c>
      <c r="H44" s="147" t="str" cm="1">
        <f t="array" ref="H44">IFERROR(_xlfn.LET(_xlpm.k,$AB$6-12+ROW()-40,IF(_xlpm.k&lt;1,"",INDEX($AH$8:$AH$43,_xlpm.k))),"")</f>
        <v/>
      </c>
      <c r="I44" s="147" t="str" cm="1">
        <f t="array" ref="I44">IFERROR(_xlfn.LET(_xlpm.k,$AB$6-12+ROW()-40,IF(_xlpm.k&lt;1,"",INDEX($AI$8:$AI$43,_xlpm.k))),"")</f>
        <v/>
      </c>
      <c r="J44" s="149" t="str" cm="1">
        <f t="array" ref="J44">IFERROR(_xlfn.LET(_xlpm.k,$AB$6-12+ROW()-40,IF(_xlpm.k&lt;1,"",INDEX($AK$8:$AK$43,_xlpm.k))),"")</f>
        <v/>
      </c>
      <c r="L44" s="127" t="str">
        <f>_xlfn.XLOOKUP("AN_TR_FORECAST",tblUIText[Key],tblUIText[TR],"AN_TR_FORECAST")&amp;" / "&amp;_xlfn.XLOOKUP("AN_TR_FORECAST",tblUIText[Key],tblUIText[EN],"")&amp;IF($BR$6&lt;&gt;"","  ("&amp;$BR$6&amp;")","")</f>
        <v>Tahmin / Forecast</v>
      </c>
      <c r="CG44" s="122" t="str" cm="1">
        <f t="array" ref="CG44">_xlfn.LET(_xlpm.k,ROW()-7,IF(_xlpm.k&lt;=$AB$4,$AB44,IF(_xlpm.k&lt;=$AB$4+IF($BL$3,$BL$4,0),TEXT(INDEX($BL$9:$BL$14,_xlpm.k-$AB$4),"yyyy-mm"),"")))</f>
        <v/>
      </c>
      <c r="CH44" s="122" t="e" cm="1">
        <f t="array" ref="CH44">_xlfn.LET(_xlpm.k,ROW()-7,IF(_xlpm.k&gt;$AB$4,NA(),_xlfn.LET(_xlpm.v,INDEX($AC$8:$AC$43,_xlpm.k),IF(ISNUMBER(_xlpm.v),_xlpm.v/1000000,NA()))))</f>
        <v>#N/A</v>
      </c>
      <c r="CI44" s="122" t="e" cm="1">
        <f t="array" ref="CI44">_xlfn.LET(_xlpm.k,ROW()-7,IF(_xlpm.k&gt;$AB$4,NA(),_xlfn.LET(_xlpm.v,INDEX($AD$8:$AD$43,_xlpm.k),IF(ISNUMBER(_xlpm.v),_xlpm.v/1000000,NA()))))</f>
        <v>#N/A</v>
      </c>
      <c r="CJ44" s="122" t="e" cm="1">
        <f t="array" ref="CJ44">_xlfn.LET(_xlpm.k,ROW()-7,IF(_xlpm.k&gt;$AB$4,NA(),_xlfn.LET(_xlpm.v,INDEX($AL$8:$AL$43,_xlpm.k),IF(ISNUMBER(_xlpm.v),_xlpm.v/1000000,NA()))))</f>
        <v>#N/A</v>
      </c>
      <c r="CK44" s="122" t="e" cm="1">
        <f t="array" ref="CK44">_xlfn.LET(_xlpm.k,ROW()-7,IF(OR(NOT($BL$3),_xlpm.k&lt;$AB$4,_xlpm.k&gt;$AB$4+IF($BL$3,$BL$4,0)),NA(),INDEX($BM$8:$BM$14,_xlpm.k-$AB$4+1)/1000000))</f>
        <v>#N/A</v>
      </c>
      <c r="CL44" s="122" t="e" cm="1">
        <f t="array" ref="CL44">_xlfn.LET(_xlpm.k,ROW()-7,IF(OR(NOT($BL$3),_xlpm.k&lt;$AB$4,_xlpm.k&gt;$AB$4+IF($BL$3,$BL$4,0)),NA(),INDEX($BN$8:$BN$14,_xlpm.k-$AB$4+1)/1000000))</f>
        <v>#N/A</v>
      </c>
      <c r="CM44" s="122" t="e" cm="1">
        <f t="array" ref="CM44">_xlfn.LET(_xlpm.k,ROW()-7,IF(OR(NOT($BL$3),_xlpm.k&lt;$AB$4,_xlpm.k&gt;$AB$4+IF($BL$3,$BL$4,0)),NA(),INDEX($BO$8:$BO$14,_xlpm.k-$AB$4+1)/1000000))</f>
        <v>#N/A</v>
      </c>
      <c r="CN44" s="122" t="e" cm="1">
        <f t="array" ref="CN44">_xlfn.LET(_xlpm.k,ROW()-7,IF(_xlpm.k&gt;$AB$4,NA(),_xlfn.LET(_xlpm.v,INDEX($AI$8:$AI$43,_xlpm.k),IF(ISNUMBER(_xlpm.v),_xlpm.v/1000000,NA()))))</f>
        <v>#N/A</v>
      </c>
      <c r="CO44" s="122" t="e" cm="1">
        <f t="array" ref="CO44">_xlfn.LET(_xlpm.k,ROW()-7,IF(OR(_xlpm.k&gt;$AB$4,_xlpm.k&lt;=12),NA(),_xlfn.LET(_xlpm.a,INDEX($AI$8:$AI$43,_xlpm.k),_xlpm.b,INDEX($AI$8:$AI$43,_xlpm.k-12),IF(AND(ISNUMBER(_xlpm.a),ISNUMBER(_xlpm.b),N(_xlpm.b)&gt;0),_xlpm.a/_xlpm.b-1,NA()))))</f>
        <v>#N/A</v>
      </c>
    </row>
    <row r="45" spans="2:93">
      <c r="B45" s="146" t="str" cm="1">
        <f t="array" ref="B45">IFERROR(_xlfn.LET(_xlpm.k,$AB$6-12+ROW()-40,IF(_xlpm.k&lt;1,"",INDEX($AB$8:$AB$43,_xlpm.k))),"")</f>
        <v/>
      </c>
      <c r="C45" s="147" t="str" cm="1">
        <f t="array" ref="C45">IFERROR(_xlfn.LET(_xlpm.k,$AB$6-12+ROW()-40,IF(_xlpm.k&lt;1,"",INDEX($AC$8:$AC$43,_xlpm.k))),"")</f>
        <v/>
      </c>
      <c r="D45" s="148" t="str" cm="1">
        <f t="array" ref="D45">IFERROR(_xlfn.LET(_xlpm.k,$AB$6-12+ROW()-40,IF(_xlpm.k&lt;1,"",INDEX($AF$8:$AF$43,_xlpm.k))),"")</f>
        <v/>
      </c>
      <c r="E45" s="147" t="str" cm="1">
        <f t="array" ref="E45">IFERROR(_xlfn.LET(_xlpm.k,$AB$6-12+ROW()-40,IF(_xlpm.k&lt;1,"",INDEX($AD$8:$AD$43,_xlpm.k))),"")</f>
        <v/>
      </c>
      <c r="F45" s="148" t="str" cm="1">
        <f t="array" ref="F45">IFERROR(_xlfn.LET(_xlpm.k,$AB$6-12+ROW()-40,IF(_xlpm.k&lt;1,"",INDEX($AE$8:$AE$43,_xlpm.k))),"")</f>
        <v/>
      </c>
      <c r="G45" s="147" t="str" cm="1">
        <f t="array" ref="G45">IFERROR(_xlfn.LET(_xlpm.k,$AB$6-12+ROW()-40,IF(_xlpm.k&lt;1,"",INDEX($AG$8:$AG$43,_xlpm.k))),"")</f>
        <v/>
      </c>
      <c r="H45" s="147" t="str" cm="1">
        <f t="array" ref="H45">IFERROR(_xlfn.LET(_xlpm.k,$AB$6-12+ROW()-40,IF(_xlpm.k&lt;1,"",INDEX($AH$8:$AH$43,_xlpm.k))),"")</f>
        <v/>
      </c>
      <c r="I45" s="147" t="str" cm="1">
        <f t="array" ref="I45">IFERROR(_xlfn.LET(_xlpm.k,$AB$6-12+ROW()-40,IF(_xlpm.k&lt;1,"",INDEX($AI$8:$AI$43,_xlpm.k))),"")</f>
        <v/>
      </c>
      <c r="J45" s="149" t="str" cm="1">
        <f t="array" ref="J45">IFERROR(_xlfn.LET(_xlpm.k,$AB$6-12+ROW()-40,IF(_xlpm.k&lt;1,"",INDEX($AK$8:$AK$43,_xlpm.k))),"")</f>
        <v/>
      </c>
      <c r="L45" s="133" t="str">
        <f>_xlfn.XLOOKUP("AN_LBL_MONTH",tblUIText[Key],tblUIText[TR],"AN_LBL_MONTH")&amp;" / "&amp;_xlfn.XLOOKUP("AN_LBL_MONTH",tblUIText[Key],tblUIText[EN],"")</f>
        <v>Ay / Month</v>
      </c>
      <c r="N45" s="133" t="str">
        <f>_xlfn.XLOOKUP("AN_TR_FORECAST",tblUIText[Key],tblUIText[TR],"AN_TR_FORECAST")&amp;" / "&amp;_xlfn.XLOOKUP("AN_TR_FORECAST",tblUIText[Key],tblUIText[EN],"")</f>
        <v>Tahmin / Forecast</v>
      </c>
      <c r="P45" s="133" t="str">
        <f>_xlfn.XLOOKUP("AN_TR_LOWER",tblUIText[Key],tblUIText[TR],"AN_TR_LOWER")&amp;" / "&amp;_xlfn.XLOOKUP("AN_TR_LOWER",tblUIText[Key],tblUIText[EN],"")</f>
        <v>Alt sınır / Lower</v>
      </c>
      <c r="R45" s="133" t="str">
        <f>_xlfn.XLOOKUP("AN_TR_UPPER",tblUIText[Key],tblUIText[TR],"AN_TR_UPPER")&amp;" / "&amp;_xlfn.XLOOKUP("AN_TR_UPPER",tblUIText[Key],tblUIText[EN],"")</f>
        <v>Üst sınır / Upper</v>
      </c>
      <c r="CG45" s="122" t="str" cm="1">
        <f t="array" ref="CG45">_xlfn.LET(_xlpm.k,ROW()-7,IF(_xlpm.k&lt;=$AB$4,$AB45,IF(_xlpm.k&lt;=$AB$4+IF($BL$3,$BL$4,0),TEXT(INDEX($BL$9:$BL$14,_xlpm.k-$AB$4),"yyyy-mm"),"")))</f>
        <v/>
      </c>
      <c r="CH45" s="122" t="e" cm="1">
        <f t="array" ref="CH45">_xlfn.LET(_xlpm.k,ROW()-7,IF(_xlpm.k&gt;$AB$4,NA(),_xlfn.LET(_xlpm.v,INDEX($AC$8:$AC$43,_xlpm.k),IF(ISNUMBER(_xlpm.v),_xlpm.v/1000000,NA()))))</f>
        <v>#N/A</v>
      </c>
      <c r="CI45" s="122" t="e" cm="1">
        <f t="array" ref="CI45">_xlfn.LET(_xlpm.k,ROW()-7,IF(_xlpm.k&gt;$AB$4,NA(),_xlfn.LET(_xlpm.v,INDEX($AD$8:$AD$43,_xlpm.k),IF(ISNUMBER(_xlpm.v),_xlpm.v/1000000,NA()))))</f>
        <v>#N/A</v>
      </c>
      <c r="CJ45" s="122" t="e" cm="1">
        <f t="array" ref="CJ45">_xlfn.LET(_xlpm.k,ROW()-7,IF(_xlpm.k&gt;$AB$4,NA(),_xlfn.LET(_xlpm.v,INDEX($AL$8:$AL$43,_xlpm.k),IF(ISNUMBER(_xlpm.v),_xlpm.v/1000000,NA()))))</f>
        <v>#N/A</v>
      </c>
      <c r="CK45" s="122" t="e" cm="1">
        <f t="array" ref="CK45">_xlfn.LET(_xlpm.k,ROW()-7,IF(OR(NOT($BL$3),_xlpm.k&lt;$AB$4,_xlpm.k&gt;$AB$4+IF($BL$3,$BL$4,0)),NA(),INDEX($BM$8:$BM$14,_xlpm.k-$AB$4+1)/1000000))</f>
        <v>#N/A</v>
      </c>
      <c r="CL45" s="122" t="e" cm="1">
        <f t="array" ref="CL45">_xlfn.LET(_xlpm.k,ROW()-7,IF(OR(NOT($BL$3),_xlpm.k&lt;$AB$4,_xlpm.k&gt;$AB$4+IF($BL$3,$BL$4,0)),NA(),INDEX($BN$8:$BN$14,_xlpm.k-$AB$4+1)/1000000))</f>
        <v>#N/A</v>
      </c>
      <c r="CM45" s="122" t="e" cm="1">
        <f t="array" ref="CM45">_xlfn.LET(_xlpm.k,ROW()-7,IF(OR(NOT($BL$3),_xlpm.k&lt;$AB$4,_xlpm.k&gt;$AB$4+IF($BL$3,$BL$4,0)),NA(),INDEX($BO$8:$BO$14,_xlpm.k-$AB$4+1)/1000000))</f>
        <v>#N/A</v>
      </c>
      <c r="CN45" s="122" t="e" cm="1">
        <f t="array" ref="CN45">_xlfn.LET(_xlpm.k,ROW()-7,IF(_xlpm.k&gt;$AB$4,NA(),_xlfn.LET(_xlpm.v,INDEX($AI$8:$AI$43,_xlpm.k),IF(ISNUMBER(_xlpm.v),_xlpm.v/1000000,NA()))))</f>
        <v>#N/A</v>
      </c>
      <c r="CO45" s="122" t="e" cm="1">
        <f t="array" ref="CO45">_xlfn.LET(_xlpm.k,ROW()-7,IF(OR(_xlpm.k&gt;$AB$4,_xlpm.k&lt;=12),NA(),_xlfn.LET(_xlpm.a,INDEX($AI$8:$AI$43,_xlpm.k),_xlpm.b,INDEX($AI$8:$AI$43,_xlpm.k-12),IF(AND(ISNUMBER(_xlpm.a),ISNUMBER(_xlpm.b),N(_xlpm.b)&gt;0),_xlpm.a/_xlpm.b-1,NA()))))</f>
        <v>#N/A</v>
      </c>
    </row>
    <row r="46" spans="2:93">
      <c r="B46" s="146" t="str" cm="1">
        <f t="array" ref="B46">IFERROR(_xlfn.LET(_xlpm.k,$AB$6-12+ROW()-40,IF(_xlpm.k&lt;1,"",INDEX($AB$8:$AB$43,_xlpm.k))),"")</f>
        <v/>
      </c>
      <c r="C46" s="147" t="str" cm="1">
        <f t="array" ref="C46">IFERROR(_xlfn.LET(_xlpm.k,$AB$6-12+ROW()-40,IF(_xlpm.k&lt;1,"",INDEX($AC$8:$AC$43,_xlpm.k))),"")</f>
        <v/>
      </c>
      <c r="D46" s="148" t="str" cm="1">
        <f t="array" ref="D46">IFERROR(_xlfn.LET(_xlpm.k,$AB$6-12+ROW()-40,IF(_xlpm.k&lt;1,"",INDEX($AF$8:$AF$43,_xlpm.k))),"")</f>
        <v/>
      </c>
      <c r="E46" s="147" t="str" cm="1">
        <f t="array" ref="E46">IFERROR(_xlfn.LET(_xlpm.k,$AB$6-12+ROW()-40,IF(_xlpm.k&lt;1,"",INDEX($AD$8:$AD$43,_xlpm.k))),"")</f>
        <v/>
      </c>
      <c r="F46" s="148" t="str" cm="1">
        <f t="array" ref="F46">IFERROR(_xlfn.LET(_xlpm.k,$AB$6-12+ROW()-40,IF(_xlpm.k&lt;1,"",INDEX($AE$8:$AE$43,_xlpm.k))),"")</f>
        <v/>
      </c>
      <c r="G46" s="147" t="str" cm="1">
        <f t="array" ref="G46">IFERROR(_xlfn.LET(_xlpm.k,$AB$6-12+ROW()-40,IF(_xlpm.k&lt;1,"",INDEX($AG$8:$AG$43,_xlpm.k))),"")</f>
        <v/>
      </c>
      <c r="H46" s="147" t="str" cm="1">
        <f t="array" ref="H46">IFERROR(_xlfn.LET(_xlpm.k,$AB$6-12+ROW()-40,IF(_xlpm.k&lt;1,"",INDEX($AH$8:$AH$43,_xlpm.k))),"")</f>
        <v/>
      </c>
      <c r="I46" s="147" t="str" cm="1">
        <f t="array" ref="I46">IFERROR(_xlfn.LET(_xlpm.k,$AB$6-12+ROW()-40,IF(_xlpm.k&lt;1,"",INDEX($AI$8:$AI$43,_xlpm.k))),"")</f>
        <v/>
      </c>
      <c r="J46" s="149" t="str" cm="1">
        <f t="array" ref="J46">IFERROR(_xlfn.LET(_xlpm.k,$AB$6-12+ROW()-40,IF(_xlpm.k&lt;1,"",INDEX($AK$8:$AK$43,_xlpm.k))),"")</f>
        <v/>
      </c>
      <c r="L46" s="130" t="str">
        <f>IF($BL$3,IFERROR(TEXT(INDEX($BL$9:$BL$14,1),"yyyy-mm"),""),IF(1=1,"INSUFFICIENT DATA",""))</f>
        <v>INSUFFICIENT DATA</v>
      </c>
      <c r="M46" s="130"/>
      <c r="N46" s="147" t="str">
        <f>IF($BL$3,IFERROR(INDEX($BM$9:$BM$14,1),""),"")</f>
        <v/>
      </c>
      <c r="O46" s="130"/>
      <c r="P46" s="147" t="str">
        <f>IF($BL$3,IFERROR(INDEX($BN$9:$BN$14,1),""),"")</f>
        <v/>
      </c>
      <c r="Q46" s="130"/>
      <c r="R46" s="147" t="str">
        <f>IF($BL$3,IFERROR(INDEX($BO$9:$BO$14,1),""),"")</f>
        <v/>
      </c>
      <c r="S46" s="130"/>
      <c r="CG46" s="122" t="str" cm="1">
        <f t="array" ref="CG46">_xlfn.LET(_xlpm.k,ROW()-7,IF(_xlpm.k&lt;=$AB$4,$AB46,IF(_xlpm.k&lt;=$AB$4+IF($BL$3,$BL$4,0),TEXT(INDEX($BL$9:$BL$14,_xlpm.k-$AB$4),"yyyy-mm"),"")))</f>
        <v/>
      </c>
      <c r="CH46" s="122" t="e" cm="1">
        <f t="array" ref="CH46">_xlfn.LET(_xlpm.k,ROW()-7,IF(_xlpm.k&gt;$AB$4,NA(),_xlfn.LET(_xlpm.v,INDEX($AC$8:$AC$43,_xlpm.k),IF(ISNUMBER(_xlpm.v),_xlpm.v/1000000,NA()))))</f>
        <v>#N/A</v>
      </c>
      <c r="CI46" s="122" t="e" cm="1">
        <f t="array" ref="CI46">_xlfn.LET(_xlpm.k,ROW()-7,IF(_xlpm.k&gt;$AB$4,NA(),_xlfn.LET(_xlpm.v,INDEX($AD$8:$AD$43,_xlpm.k),IF(ISNUMBER(_xlpm.v),_xlpm.v/1000000,NA()))))</f>
        <v>#N/A</v>
      </c>
      <c r="CJ46" s="122" t="e" cm="1">
        <f t="array" ref="CJ46">_xlfn.LET(_xlpm.k,ROW()-7,IF(_xlpm.k&gt;$AB$4,NA(),_xlfn.LET(_xlpm.v,INDEX($AL$8:$AL$43,_xlpm.k),IF(ISNUMBER(_xlpm.v),_xlpm.v/1000000,NA()))))</f>
        <v>#N/A</v>
      </c>
      <c r="CK46" s="122" t="e" cm="1">
        <f t="array" ref="CK46">_xlfn.LET(_xlpm.k,ROW()-7,IF(OR(NOT($BL$3),_xlpm.k&lt;$AB$4,_xlpm.k&gt;$AB$4+IF($BL$3,$BL$4,0)),NA(),INDEX($BM$8:$BM$14,_xlpm.k-$AB$4+1)/1000000))</f>
        <v>#N/A</v>
      </c>
      <c r="CL46" s="122" t="e" cm="1">
        <f t="array" ref="CL46">_xlfn.LET(_xlpm.k,ROW()-7,IF(OR(NOT($BL$3),_xlpm.k&lt;$AB$4,_xlpm.k&gt;$AB$4+IF($BL$3,$BL$4,0)),NA(),INDEX($BN$8:$BN$14,_xlpm.k-$AB$4+1)/1000000))</f>
        <v>#N/A</v>
      </c>
      <c r="CM46" s="122" t="e" cm="1">
        <f t="array" ref="CM46">_xlfn.LET(_xlpm.k,ROW()-7,IF(OR(NOT($BL$3),_xlpm.k&lt;$AB$4,_xlpm.k&gt;$AB$4+IF($BL$3,$BL$4,0)),NA(),INDEX($BO$8:$BO$14,_xlpm.k-$AB$4+1)/1000000))</f>
        <v>#N/A</v>
      </c>
      <c r="CN46" s="122" t="e" cm="1">
        <f t="array" ref="CN46">_xlfn.LET(_xlpm.k,ROW()-7,IF(_xlpm.k&gt;$AB$4,NA(),_xlfn.LET(_xlpm.v,INDEX($AI$8:$AI$43,_xlpm.k),IF(ISNUMBER(_xlpm.v),_xlpm.v/1000000,NA()))))</f>
        <v>#N/A</v>
      </c>
      <c r="CO46" s="122" t="e" cm="1">
        <f t="array" ref="CO46">_xlfn.LET(_xlpm.k,ROW()-7,IF(OR(_xlpm.k&gt;$AB$4,_xlpm.k&lt;=12),NA(),_xlfn.LET(_xlpm.a,INDEX($AI$8:$AI$43,_xlpm.k),_xlpm.b,INDEX($AI$8:$AI$43,_xlpm.k-12),IF(AND(ISNUMBER(_xlpm.a),ISNUMBER(_xlpm.b),N(_xlpm.b)&gt;0),_xlpm.a/_xlpm.b-1,NA()))))</f>
        <v>#N/A</v>
      </c>
    </row>
    <row r="47" spans="2:93">
      <c r="B47" s="146" t="str" cm="1">
        <f t="array" ref="B47">IFERROR(_xlfn.LET(_xlpm.k,$AB$6-12+ROW()-40,IF(_xlpm.k&lt;1,"",INDEX($AB$8:$AB$43,_xlpm.k))),"")</f>
        <v/>
      </c>
      <c r="C47" s="147" t="str" cm="1">
        <f t="array" ref="C47">IFERROR(_xlfn.LET(_xlpm.k,$AB$6-12+ROW()-40,IF(_xlpm.k&lt;1,"",INDEX($AC$8:$AC$43,_xlpm.k))),"")</f>
        <v/>
      </c>
      <c r="D47" s="148" t="str" cm="1">
        <f t="array" ref="D47">IFERROR(_xlfn.LET(_xlpm.k,$AB$6-12+ROW()-40,IF(_xlpm.k&lt;1,"",INDEX($AF$8:$AF$43,_xlpm.k))),"")</f>
        <v/>
      </c>
      <c r="E47" s="147" t="str" cm="1">
        <f t="array" ref="E47">IFERROR(_xlfn.LET(_xlpm.k,$AB$6-12+ROW()-40,IF(_xlpm.k&lt;1,"",INDEX($AD$8:$AD$43,_xlpm.k))),"")</f>
        <v/>
      </c>
      <c r="F47" s="148" t="str" cm="1">
        <f t="array" ref="F47">IFERROR(_xlfn.LET(_xlpm.k,$AB$6-12+ROW()-40,IF(_xlpm.k&lt;1,"",INDEX($AE$8:$AE$43,_xlpm.k))),"")</f>
        <v/>
      </c>
      <c r="G47" s="147" t="str" cm="1">
        <f t="array" ref="G47">IFERROR(_xlfn.LET(_xlpm.k,$AB$6-12+ROW()-40,IF(_xlpm.k&lt;1,"",INDEX($AG$8:$AG$43,_xlpm.k))),"")</f>
        <v/>
      </c>
      <c r="H47" s="147" t="str" cm="1">
        <f t="array" ref="H47">IFERROR(_xlfn.LET(_xlpm.k,$AB$6-12+ROW()-40,IF(_xlpm.k&lt;1,"",INDEX($AH$8:$AH$43,_xlpm.k))),"")</f>
        <v/>
      </c>
      <c r="I47" s="147" t="str" cm="1">
        <f t="array" ref="I47">IFERROR(_xlfn.LET(_xlpm.k,$AB$6-12+ROW()-40,IF(_xlpm.k&lt;1,"",INDEX($AI$8:$AI$43,_xlpm.k))),"")</f>
        <v/>
      </c>
      <c r="J47" s="149" t="str" cm="1">
        <f t="array" ref="J47">IFERROR(_xlfn.LET(_xlpm.k,$AB$6-12+ROW()-40,IF(_xlpm.k&lt;1,"",INDEX($AK$8:$AK$43,_xlpm.k))),"")</f>
        <v/>
      </c>
      <c r="L47" s="130" t="str">
        <f>IF($BL$3,IFERROR(TEXT(INDEX($BL$9:$BL$14,2),"yyyy-mm"),""),IF(2=1,"INSUFFICIENT DATA",""))</f>
        <v/>
      </c>
      <c r="M47" s="130"/>
      <c r="N47" s="147" t="str">
        <f>IF($BL$3,IFERROR(INDEX($BM$9:$BM$14,2),""),"")</f>
        <v/>
      </c>
      <c r="O47" s="130"/>
      <c r="P47" s="147" t="str">
        <f>IF($BL$3,IFERROR(INDEX($BN$9:$BN$14,2),""),"")</f>
        <v/>
      </c>
      <c r="Q47" s="130"/>
      <c r="R47" s="147" t="str">
        <f>IF($BL$3,IFERROR(INDEX($BO$9:$BO$14,2),""),"")</f>
        <v/>
      </c>
      <c r="S47" s="130"/>
      <c r="CG47" s="122" t="str" cm="1">
        <f t="array" ref="CG47">_xlfn.LET(_xlpm.k,ROW()-7,IF(_xlpm.k&lt;=$AB$4,$AB47,IF(_xlpm.k&lt;=$AB$4+IF($BL$3,$BL$4,0),TEXT(INDEX($BL$9:$BL$14,_xlpm.k-$AB$4),"yyyy-mm"),"")))</f>
        <v/>
      </c>
      <c r="CH47" s="122" t="e" cm="1">
        <f t="array" ref="CH47">_xlfn.LET(_xlpm.k,ROW()-7,IF(_xlpm.k&gt;$AB$4,NA(),_xlfn.LET(_xlpm.v,INDEX($AC$8:$AC$43,_xlpm.k),IF(ISNUMBER(_xlpm.v),_xlpm.v/1000000,NA()))))</f>
        <v>#N/A</v>
      </c>
      <c r="CI47" s="122" t="e" cm="1">
        <f t="array" ref="CI47">_xlfn.LET(_xlpm.k,ROW()-7,IF(_xlpm.k&gt;$AB$4,NA(),_xlfn.LET(_xlpm.v,INDEX($AD$8:$AD$43,_xlpm.k),IF(ISNUMBER(_xlpm.v),_xlpm.v/1000000,NA()))))</f>
        <v>#N/A</v>
      </c>
      <c r="CJ47" s="122" t="e" cm="1">
        <f t="array" ref="CJ47">_xlfn.LET(_xlpm.k,ROW()-7,IF(_xlpm.k&gt;$AB$4,NA(),_xlfn.LET(_xlpm.v,INDEX($AL$8:$AL$43,_xlpm.k),IF(ISNUMBER(_xlpm.v),_xlpm.v/1000000,NA()))))</f>
        <v>#N/A</v>
      </c>
      <c r="CK47" s="122" t="e" cm="1">
        <f t="array" ref="CK47">_xlfn.LET(_xlpm.k,ROW()-7,IF(OR(NOT($BL$3),_xlpm.k&lt;$AB$4,_xlpm.k&gt;$AB$4+IF($BL$3,$BL$4,0)),NA(),INDEX($BM$8:$BM$14,_xlpm.k-$AB$4+1)/1000000))</f>
        <v>#N/A</v>
      </c>
      <c r="CL47" s="122" t="e" cm="1">
        <f t="array" ref="CL47">_xlfn.LET(_xlpm.k,ROW()-7,IF(OR(NOT($BL$3),_xlpm.k&lt;$AB$4,_xlpm.k&gt;$AB$4+IF($BL$3,$BL$4,0)),NA(),INDEX($BN$8:$BN$14,_xlpm.k-$AB$4+1)/1000000))</f>
        <v>#N/A</v>
      </c>
      <c r="CM47" s="122" t="e" cm="1">
        <f t="array" ref="CM47">_xlfn.LET(_xlpm.k,ROW()-7,IF(OR(NOT($BL$3),_xlpm.k&lt;$AB$4,_xlpm.k&gt;$AB$4+IF($BL$3,$BL$4,0)),NA(),INDEX($BO$8:$BO$14,_xlpm.k-$AB$4+1)/1000000))</f>
        <v>#N/A</v>
      </c>
      <c r="CN47" s="122" t="e" cm="1">
        <f t="array" ref="CN47">_xlfn.LET(_xlpm.k,ROW()-7,IF(_xlpm.k&gt;$AB$4,NA(),_xlfn.LET(_xlpm.v,INDEX($AI$8:$AI$43,_xlpm.k),IF(ISNUMBER(_xlpm.v),_xlpm.v/1000000,NA()))))</f>
        <v>#N/A</v>
      </c>
      <c r="CO47" s="122" t="e" cm="1">
        <f t="array" ref="CO47">_xlfn.LET(_xlpm.k,ROW()-7,IF(OR(_xlpm.k&gt;$AB$4,_xlpm.k&lt;=12),NA(),_xlfn.LET(_xlpm.a,INDEX($AI$8:$AI$43,_xlpm.k),_xlpm.b,INDEX($AI$8:$AI$43,_xlpm.k-12),IF(AND(ISNUMBER(_xlpm.a),ISNUMBER(_xlpm.b),N(_xlpm.b)&gt;0),_xlpm.a/_xlpm.b-1,NA()))))</f>
        <v>#N/A</v>
      </c>
    </row>
    <row r="48" spans="2:93">
      <c r="B48" s="146" t="str" cm="1">
        <f t="array" ref="B48">IFERROR(_xlfn.LET(_xlpm.k,$AB$6-12+ROW()-40,IF(_xlpm.k&lt;1,"",INDEX($AB$8:$AB$43,_xlpm.k))),"")</f>
        <v/>
      </c>
      <c r="C48" s="147" t="str" cm="1">
        <f t="array" ref="C48">IFERROR(_xlfn.LET(_xlpm.k,$AB$6-12+ROW()-40,IF(_xlpm.k&lt;1,"",INDEX($AC$8:$AC$43,_xlpm.k))),"")</f>
        <v/>
      </c>
      <c r="D48" s="148" t="str" cm="1">
        <f t="array" ref="D48">IFERROR(_xlfn.LET(_xlpm.k,$AB$6-12+ROW()-40,IF(_xlpm.k&lt;1,"",INDEX($AF$8:$AF$43,_xlpm.k))),"")</f>
        <v/>
      </c>
      <c r="E48" s="147" t="str" cm="1">
        <f t="array" ref="E48">IFERROR(_xlfn.LET(_xlpm.k,$AB$6-12+ROW()-40,IF(_xlpm.k&lt;1,"",INDEX($AD$8:$AD$43,_xlpm.k))),"")</f>
        <v/>
      </c>
      <c r="F48" s="148" t="str" cm="1">
        <f t="array" ref="F48">IFERROR(_xlfn.LET(_xlpm.k,$AB$6-12+ROW()-40,IF(_xlpm.k&lt;1,"",INDEX($AE$8:$AE$43,_xlpm.k))),"")</f>
        <v/>
      </c>
      <c r="G48" s="147" t="str" cm="1">
        <f t="array" ref="G48">IFERROR(_xlfn.LET(_xlpm.k,$AB$6-12+ROW()-40,IF(_xlpm.k&lt;1,"",INDEX($AG$8:$AG$43,_xlpm.k))),"")</f>
        <v/>
      </c>
      <c r="H48" s="147" t="str" cm="1">
        <f t="array" ref="H48">IFERROR(_xlfn.LET(_xlpm.k,$AB$6-12+ROW()-40,IF(_xlpm.k&lt;1,"",INDEX($AH$8:$AH$43,_xlpm.k))),"")</f>
        <v/>
      </c>
      <c r="I48" s="147" t="str" cm="1">
        <f t="array" ref="I48">IFERROR(_xlfn.LET(_xlpm.k,$AB$6-12+ROW()-40,IF(_xlpm.k&lt;1,"",INDEX($AI$8:$AI$43,_xlpm.k))),"")</f>
        <v/>
      </c>
      <c r="J48" s="149" t="str" cm="1">
        <f t="array" ref="J48">IFERROR(_xlfn.LET(_xlpm.k,$AB$6-12+ROW()-40,IF(_xlpm.k&lt;1,"",INDEX($AK$8:$AK$43,_xlpm.k))),"")</f>
        <v/>
      </c>
      <c r="L48" s="130" t="str">
        <f>IF($BL$3,IFERROR(TEXT(INDEX($BL$9:$BL$14,3),"yyyy-mm"),""),IF(3=1,"INSUFFICIENT DATA",""))</f>
        <v/>
      </c>
      <c r="M48" s="130"/>
      <c r="N48" s="147" t="str">
        <f>IF($BL$3,IFERROR(INDEX($BM$9:$BM$14,3),""),"")</f>
        <v/>
      </c>
      <c r="O48" s="130"/>
      <c r="P48" s="147" t="str">
        <f>IF($BL$3,IFERROR(INDEX($BN$9:$BN$14,3),""),"")</f>
        <v/>
      </c>
      <c r="Q48" s="130"/>
      <c r="R48" s="147" t="str">
        <f>IF($BL$3,IFERROR(INDEX($BO$9:$BO$14,3),""),"")</f>
        <v/>
      </c>
      <c r="S48" s="130"/>
      <c r="CG48" s="122" t="str" cm="1">
        <f t="array" ref="CG48">_xlfn.LET(_xlpm.k,ROW()-7,IF(_xlpm.k&lt;=$AB$4,$AB48,IF(_xlpm.k&lt;=$AB$4+IF($BL$3,$BL$4,0),TEXT(INDEX($BL$9:$BL$14,_xlpm.k-$AB$4),"yyyy-mm"),"")))</f>
        <v/>
      </c>
      <c r="CH48" s="122" t="e" cm="1">
        <f t="array" ref="CH48">_xlfn.LET(_xlpm.k,ROW()-7,IF(_xlpm.k&gt;$AB$4,NA(),_xlfn.LET(_xlpm.v,INDEX($AC$8:$AC$43,_xlpm.k),IF(ISNUMBER(_xlpm.v),_xlpm.v/1000000,NA()))))</f>
        <v>#N/A</v>
      </c>
      <c r="CI48" s="122" t="e" cm="1">
        <f t="array" ref="CI48">_xlfn.LET(_xlpm.k,ROW()-7,IF(_xlpm.k&gt;$AB$4,NA(),_xlfn.LET(_xlpm.v,INDEX($AD$8:$AD$43,_xlpm.k),IF(ISNUMBER(_xlpm.v),_xlpm.v/1000000,NA()))))</f>
        <v>#N/A</v>
      </c>
      <c r="CJ48" s="122" t="e" cm="1">
        <f t="array" ref="CJ48">_xlfn.LET(_xlpm.k,ROW()-7,IF(_xlpm.k&gt;$AB$4,NA(),_xlfn.LET(_xlpm.v,INDEX($AL$8:$AL$43,_xlpm.k),IF(ISNUMBER(_xlpm.v),_xlpm.v/1000000,NA()))))</f>
        <v>#N/A</v>
      </c>
      <c r="CK48" s="122" t="e" cm="1">
        <f t="array" ref="CK48">_xlfn.LET(_xlpm.k,ROW()-7,IF(OR(NOT($BL$3),_xlpm.k&lt;$AB$4,_xlpm.k&gt;$AB$4+IF($BL$3,$BL$4,0)),NA(),INDEX($BM$8:$BM$14,_xlpm.k-$AB$4+1)/1000000))</f>
        <v>#N/A</v>
      </c>
      <c r="CL48" s="122" t="e" cm="1">
        <f t="array" ref="CL48">_xlfn.LET(_xlpm.k,ROW()-7,IF(OR(NOT($BL$3),_xlpm.k&lt;$AB$4,_xlpm.k&gt;$AB$4+IF($BL$3,$BL$4,0)),NA(),INDEX($BN$8:$BN$14,_xlpm.k-$AB$4+1)/1000000))</f>
        <v>#N/A</v>
      </c>
      <c r="CM48" s="122" t="e" cm="1">
        <f t="array" ref="CM48">_xlfn.LET(_xlpm.k,ROW()-7,IF(OR(NOT($BL$3),_xlpm.k&lt;$AB$4,_xlpm.k&gt;$AB$4+IF($BL$3,$BL$4,0)),NA(),INDEX($BO$8:$BO$14,_xlpm.k-$AB$4+1)/1000000))</f>
        <v>#N/A</v>
      </c>
      <c r="CN48" s="122" t="e" cm="1">
        <f t="array" ref="CN48">_xlfn.LET(_xlpm.k,ROW()-7,IF(_xlpm.k&gt;$AB$4,NA(),_xlfn.LET(_xlpm.v,INDEX($AI$8:$AI$43,_xlpm.k),IF(ISNUMBER(_xlpm.v),_xlpm.v/1000000,NA()))))</f>
        <v>#N/A</v>
      </c>
      <c r="CO48" s="122" t="e" cm="1">
        <f t="array" ref="CO48">_xlfn.LET(_xlpm.k,ROW()-7,IF(OR(_xlpm.k&gt;$AB$4,_xlpm.k&lt;=12),NA(),_xlfn.LET(_xlpm.a,INDEX($AI$8:$AI$43,_xlpm.k),_xlpm.b,INDEX($AI$8:$AI$43,_xlpm.k-12),IF(AND(ISNUMBER(_xlpm.a),ISNUMBER(_xlpm.b),N(_xlpm.b)&gt;0),_xlpm.a/_xlpm.b-1,NA()))))</f>
        <v>#N/A</v>
      </c>
    </row>
    <row r="49" spans="2:93" ht="12" customHeight="1">
      <c r="B49" s="146" t="str" cm="1">
        <f t="array" ref="B49">IFERROR(_xlfn.LET(_xlpm.k,$AB$6-12+ROW()-40,IF(_xlpm.k&lt;1,"",INDEX($AB$8:$AB$43,_xlpm.k))),"")</f>
        <v/>
      </c>
      <c r="C49" s="147" t="str" cm="1">
        <f t="array" ref="C49">IFERROR(_xlfn.LET(_xlpm.k,$AB$6-12+ROW()-40,IF(_xlpm.k&lt;1,"",INDEX($AC$8:$AC$43,_xlpm.k))),"")</f>
        <v/>
      </c>
      <c r="D49" s="148" t="str" cm="1">
        <f t="array" ref="D49">IFERROR(_xlfn.LET(_xlpm.k,$AB$6-12+ROW()-40,IF(_xlpm.k&lt;1,"",INDEX($AF$8:$AF$43,_xlpm.k))),"")</f>
        <v/>
      </c>
      <c r="E49" s="147" t="str" cm="1">
        <f t="array" ref="E49">IFERROR(_xlfn.LET(_xlpm.k,$AB$6-12+ROW()-40,IF(_xlpm.k&lt;1,"",INDEX($AD$8:$AD$43,_xlpm.k))),"")</f>
        <v/>
      </c>
      <c r="F49" s="148" t="str" cm="1">
        <f t="array" ref="F49">IFERROR(_xlfn.LET(_xlpm.k,$AB$6-12+ROW()-40,IF(_xlpm.k&lt;1,"",INDEX($AE$8:$AE$43,_xlpm.k))),"")</f>
        <v/>
      </c>
      <c r="G49" s="147" t="str" cm="1">
        <f t="array" ref="G49">IFERROR(_xlfn.LET(_xlpm.k,$AB$6-12+ROW()-40,IF(_xlpm.k&lt;1,"",INDEX($AG$8:$AG$43,_xlpm.k))),"")</f>
        <v/>
      </c>
      <c r="H49" s="147" t="str" cm="1">
        <f t="array" ref="H49">IFERROR(_xlfn.LET(_xlpm.k,$AB$6-12+ROW()-40,IF(_xlpm.k&lt;1,"",INDEX($AH$8:$AH$43,_xlpm.k))),"")</f>
        <v/>
      </c>
      <c r="I49" s="147" t="str" cm="1">
        <f t="array" ref="I49">IFERROR(_xlfn.LET(_xlpm.k,$AB$6-12+ROW()-40,IF(_xlpm.k&lt;1,"",INDEX($AI$8:$AI$43,_xlpm.k))),"")</f>
        <v/>
      </c>
      <c r="J49" s="149" t="str" cm="1">
        <f t="array" ref="J49">IFERROR(_xlfn.LET(_xlpm.k,$AB$6-12+ROW()-40,IF(_xlpm.k&lt;1,"",INDEX($AK$8:$AK$43,_xlpm.k))),"")</f>
        <v/>
      </c>
      <c r="L49" s="274" t="str">
        <f>_xlfn.XLOOKUP("AN_TR_FC_NOTE",tblUIText[Key],tblUIText[TR],"AN_TR_FC_NOTE")&amp;" / "&amp;_xlfn.XLOOKUP("AN_TR_FC_NOTE",tblUIText[Key],tblUIText[EN],"")&amp;" "&amp;_xlfn.XLOOKUP("AN_FOOT_AMOUNTS",tblUIText[Key],tblUIText[TR],"AN_FOOT_AMOUNTS")&amp;" / "&amp;_xlfn.XLOOKUP("AN_FOOT_AMOUNTS",tblUIText[Key],tblUIText[EN],"")</f>
        <v>Tahmin yalnızca geçmiş ödemelerin istatistiksel uzantısıdır; rezerv veya bütçe değildir. / The forecast only extends past payments statistically; it is not a reserve or a budget. 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M49" s="273"/>
      <c r="N49" s="273"/>
      <c r="O49" s="273"/>
      <c r="P49" s="273"/>
      <c r="Q49" s="273"/>
      <c r="R49" s="273"/>
      <c r="S49" s="273"/>
      <c r="CG49" s="122" t="str" cm="1">
        <f t="array" ref="CG49">_xlfn.LET(_xlpm.k,ROW()-7,IF(_xlpm.k&lt;=$AB$4,$AB49,IF(_xlpm.k&lt;=$AB$4+IF($BL$3,$BL$4,0),TEXT(INDEX($BL$9:$BL$14,_xlpm.k-$AB$4),"yyyy-mm"),"")))</f>
        <v/>
      </c>
      <c r="CH49" s="122" t="e" cm="1">
        <f t="array" ref="CH49">_xlfn.LET(_xlpm.k,ROW()-7,IF(_xlpm.k&gt;$AB$4,NA(),_xlfn.LET(_xlpm.v,INDEX($AC$8:$AC$43,_xlpm.k),IF(ISNUMBER(_xlpm.v),_xlpm.v/1000000,NA()))))</f>
        <v>#N/A</v>
      </c>
      <c r="CI49" s="122" t="e" cm="1">
        <f t="array" ref="CI49">_xlfn.LET(_xlpm.k,ROW()-7,IF(_xlpm.k&gt;$AB$4,NA(),_xlfn.LET(_xlpm.v,INDEX($AD$8:$AD$43,_xlpm.k),IF(ISNUMBER(_xlpm.v),_xlpm.v/1000000,NA()))))</f>
        <v>#N/A</v>
      </c>
      <c r="CJ49" s="122" t="e" cm="1">
        <f t="array" ref="CJ49">_xlfn.LET(_xlpm.k,ROW()-7,IF(_xlpm.k&gt;$AB$4,NA(),_xlfn.LET(_xlpm.v,INDEX($AL$8:$AL$43,_xlpm.k),IF(ISNUMBER(_xlpm.v),_xlpm.v/1000000,NA()))))</f>
        <v>#N/A</v>
      </c>
      <c r="CK49" s="122" t="e" cm="1">
        <f t="array" ref="CK49">_xlfn.LET(_xlpm.k,ROW()-7,IF(OR(NOT($BL$3),_xlpm.k&lt;$AB$4,_xlpm.k&gt;$AB$4+IF($BL$3,$BL$4,0)),NA(),INDEX($BM$8:$BM$14,_xlpm.k-$AB$4+1)/1000000))</f>
        <v>#N/A</v>
      </c>
      <c r="CL49" s="122" t="e" cm="1">
        <f t="array" ref="CL49">_xlfn.LET(_xlpm.k,ROW()-7,IF(OR(NOT($BL$3),_xlpm.k&lt;$AB$4,_xlpm.k&gt;$AB$4+IF($BL$3,$BL$4,0)),NA(),INDEX($BN$8:$BN$14,_xlpm.k-$AB$4+1)/1000000))</f>
        <v>#N/A</v>
      </c>
      <c r="CM49" s="122" t="e" cm="1">
        <f t="array" ref="CM49">_xlfn.LET(_xlpm.k,ROW()-7,IF(OR(NOT($BL$3),_xlpm.k&lt;$AB$4,_xlpm.k&gt;$AB$4+IF($BL$3,$BL$4,0)),NA(),INDEX($BO$8:$BO$14,_xlpm.k-$AB$4+1)/1000000))</f>
        <v>#N/A</v>
      </c>
      <c r="CN49" s="122" t="e" cm="1">
        <f t="array" ref="CN49">_xlfn.LET(_xlpm.k,ROW()-7,IF(_xlpm.k&gt;$AB$4,NA(),_xlfn.LET(_xlpm.v,INDEX($AI$8:$AI$43,_xlpm.k),IF(ISNUMBER(_xlpm.v),_xlpm.v/1000000,NA()))))</f>
        <v>#N/A</v>
      </c>
      <c r="CO49" s="122" t="e" cm="1">
        <f t="array" ref="CO49">_xlfn.LET(_xlpm.k,ROW()-7,IF(OR(_xlpm.k&gt;$AB$4,_xlpm.k&lt;=12),NA(),_xlfn.LET(_xlpm.a,INDEX($AI$8:$AI$43,_xlpm.k),_xlpm.b,INDEX($AI$8:$AI$43,_xlpm.k-12),IF(AND(ISNUMBER(_xlpm.a),ISNUMBER(_xlpm.b),N(_xlpm.b)&gt;0),_xlpm.a/_xlpm.b-1,NA()))))</f>
        <v>#N/A</v>
      </c>
    </row>
    <row r="50" spans="2:93">
      <c r="B50" s="146" t="str" cm="1">
        <f t="array" ref="B50">IFERROR(_xlfn.LET(_xlpm.k,$AB$6-12+ROW()-40,IF(_xlpm.k&lt;1,"",INDEX($AB$8:$AB$43,_xlpm.k))),"")</f>
        <v/>
      </c>
      <c r="C50" s="147" t="str" cm="1">
        <f t="array" ref="C50">IFERROR(_xlfn.LET(_xlpm.k,$AB$6-12+ROW()-40,IF(_xlpm.k&lt;1,"",INDEX($AC$8:$AC$43,_xlpm.k))),"")</f>
        <v/>
      </c>
      <c r="D50" s="148" t="str" cm="1">
        <f t="array" ref="D50">IFERROR(_xlfn.LET(_xlpm.k,$AB$6-12+ROW()-40,IF(_xlpm.k&lt;1,"",INDEX($AF$8:$AF$43,_xlpm.k))),"")</f>
        <v/>
      </c>
      <c r="E50" s="147" t="str" cm="1">
        <f t="array" ref="E50">IFERROR(_xlfn.LET(_xlpm.k,$AB$6-12+ROW()-40,IF(_xlpm.k&lt;1,"",INDEX($AD$8:$AD$43,_xlpm.k))),"")</f>
        <v/>
      </c>
      <c r="F50" s="148" t="str" cm="1">
        <f t="array" ref="F50">IFERROR(_xlfn.LET(_xlpm.k,$AB$6-12+ROW()-40,IF(_xlpm.k&lt;1,"",INDEX($AE$8:$AE$43,_xlpm.k))),"")</f>
        <v/>
      </c>
      <c r="G50" s="147" t="str" cm="1">
        <f t="array" ref="G50">IFERROR(_xlfn.LET(_xlpm.k,$AB$6-12+ROW()-40,IF(_xlpm.k&lt;1,"",INDEX($AG$8:$AG$43,_xlpm.k))),"")</f>
        <v/>
      </c>
      <c r="H50" s="147" t="str" cm="1">
        <f t="array" ref="H50">IFERROR(_xlfn.LET(_xlpm.k,$AB$6-12+ROW()-40,IF(_xlpm.k&lt;1,"",INDEX($AH$8:$AH$43,_xlpm.k))),"")</f>
        <v/>
      </c>
      <c r="I50" s="147" t="str" cm="1">
        <f t="array" ref="I50">IFERROR(_xlfn.LET(_xlpm.k,$AB$6-12+ROW()-40,IF(_xlpm.k&lt;1,"",INDEX($AI$8:$AI$43,_xlpm.k))),"")</f>
        <v/>
      </c>
      <c r="J50" s="149" t="str" cm="1">
        <f t="array" ref="J50">IFERROR(_xlfn.LET(_xlpm.k,$AB$6-12+ROW()-40,IF(_xlpm.k&lt;1,"",INDEX($AK$8:$AK$43,_xlpm.k))),"")</f>
        <v/>
      </c>
      <c r="L50" s="273"/>
      <c r="M50" s="273"/>
      <c r="N50" s="273"/>
      <c r="O50" s="273"/>
      <c r="P50" s="273"/>
      <c r="Q50" s="273"/>
      <c r="R50" s="273"/>
      <c r="S50" s="273"/>
    </row>
    <row r="51" spans="2:93">
      <c r="B51" s="146" t="str" cm="1">
        <f t="array" ref="B51">IFERROR(_xlfn.LET(_xlpm.k,$AB$6-12+ROW()-40,IF(_xlpm.k&lt;1,"",INDEX($AB$8:$AB$43,_xlpm.k))),"")</f>
        <v/>
      </c>
      <c r="C51" s="147" t="str" cm="1">
        <f t="array" ref="C51">IFERROR(_xlfn.LET(_xlpm.k,$AB$6-12+ROW()-40,IF(_xlpm.k&lt;1,"",INDEX($AC$8:$AC$43,_xlpm.k))),"")</f>
        <v/>
      </c>
      <c r="D51" s="148" t="str" cm="1">
        <f t="array" ref="D51">IFERROR(_xlfn.LET(_xlpm.k,$AB$6-12+ROW()-40,IF(_xlpm.k&lt;1,"",INDEX($AF$8:$AF$43,_xlpm.k))),"")</f>
        <v/>
      </c>
      <c r="E51" s="147" t="str" cm="1">
        <f t="array" ref="E51">IFERROR(_xlfn.LET(_xlpm.k,$AB$6-12+ROW()-40,IF(_xlpm.k&lt;1,"",INDEX($AD$8:$AD$43,_xlpm.k))),"")</f>
        <v/>
      </c>
      <c r="F51" s="148" t="str" cm="1">
        <f t="array" ref="F51">IFERROR(_xlfn.LET(_xlpm.k,$AB$6-12+ROW()-40,IF(_xlpm.k&lt;1,"",INDEX($AE$8:$AE$43,_xlpm.k))),"")</f>
        <v/>
      </c>
      <c r="G51" s="147" t="str" cm="1">
        <f t="array" ref="G51">IFERROR(_xlfn.LET(_xlpm.k,$AB$6-12+ROW()-40,IF(_xlpm.k&lt;1,"",INDEX($AG$8:$AG$43,_xlpm.k))),"")</f>
        <v/>
      </c>
      <c r="H51" s="147" t="str" cm="1">
        <f t="array" ref="H51">IFERROR(_xlfn.LET(_xlpm.k,$AB$6-12+ROW()-40,IF(_xlpm.k&lt;1,"",INDEX($AH$8:$AH$43,_xlpm.k))),"")</f>
        <v/>
      </c>
      <c r="I51" s="147" t="str" cm="1">
        <f t="array" ref="I51">IFERROR(_xlfn.LET(_xlpm.k,$AB$6-12+ROW()-40,IF(_xlpm.k&lt;1,"",INDEX($AI$8:$AI$43,_xlpm.k))),"")</f>
        <v/>
      </c>
      <c r="J51" s="149" t="str" cm="1">
        <f t="array" ref="J51">IFERROR(_xlfn.LET(_xlpm.k,$AB$6-12+ROW()-40,IF(_xlpm.k&lt;1,"",INDEX($AK$8:$AK$43,_xlpm.k))),"")</f>
        <v/>
      </c>
      <c r="L51" s="273"/>
      <c r="M51" s="273"/>
      <c r="N51" s="273"/>
      <c r="O51" s="273"/>
      <c r="P51" s="273"/>
      <c r="Q51" s="273"/>
      <c r="R51" s="273"/>
      <c r="S51" s="273"/>
    </row>
    <row r="52" spans="2:93">
      <c r="B52" s="150" t="str" cm="1">
        <f t="array" ref="B52">IFERROR(_xlfn.LET(_xlpm.k,$AB$6-12+ROW()-40,IF(_xlpm.k&lt;1,"",INDEX($AB$8:$AB$43,_xlpm.k))),"")</f>
        <v/>
      </c>
      <c r="C52" s="151" t="str" cm="1">
        <f t="array" ref="C52">IFERROR(_xlfn.LET(_xlpm.k,$AB$6-12+ROW()-40,IF(_xlpm.k&lt;1,"",INDEX($AC$8:$AC$43,_xlpm.k))),"")</f>
        <v/>
      </c>
      <c r="D52" s="152" t="str" cm="1">
        <f t="array" ref="D52">IFERROR(_xlfn.LET(_xlpm.k,$AB$6-12+ROW()-40,IF(_xlpm.k&lt;1,"",INDEX($AF$8:$AF$43,_xlpm.k))),"")</f>
        <v/>
      </c>
      <c r="E52" s="151" t="str" cm="1">
        <f t="array" ref="E52">IFERROR(_xlfn.LET(_xlpm.k,$AB$6-12+ROW()-40,IF(_xlpm.k&lt;1,"",INDEX($AD$8:$AD$43,_xlpm.k))),"")</f>
        <v/>
      </c>
      <c r="F52" s="152" t="str" cm="1">
        <f t="array" ref="F52">IFERROR(_xlfn.LET(_xlpm.k,$AB$6-12+ROW()-40,IF(_xlpm.k&lt;1,"",INDEX($AE$8:$AE$43,_xlpm.k))),"")</f>
        <v/>
      </c>
      <c r="G52" s="151" t="str" cm="1">
        <f t="array" ref="G52">IFERROR(_xlfn.LET(_xlpm.k,$AB$6-12+ROW()-40,IF(_xlpm.k&lt;1,"",INDEX($AG$8:$AG$43,_xlpm.k))),"")</f>
        <v/>
      </c>
      <c r="H52" s="151" t="str" cm="1">
        <f t="array" ref="H52">IFERROR(_xlfn.LET(_xlpm.k,$AB$6-12+ROW()-40,IF(_xlpm.k&lt;1,"",INDEX($AH$8:$AH$43,_xlpm.k))),"")</f>
        <v/>
      </c>
      <c r="I52" s="151" t="str" cm="1">
        <f t="array" ref="I52">IFERROR(_xlfn.LET(_xlpm.k,$AB$6-12+ROW()-40,IF(_xlpm.k&lt;1,"",INDEX($AI$8:$AI$43,_xlpm.k))),"")</f>
        <v/>
      </c>
      <c r="J52" s="153" t="str" cm="1">
        <f t="array" ref="J52">IFERROR(_xlfn.LET(_xlpm.k,$AB$6-12+ROW()-40,IF(_xlpm.k&lt;1,"",INDEX($AK$8:$AK$43,_xlpm.k))),"")</f>
        <v/>
      </c>
      <c r="L52" s="273"/>
      <c r="M52" s="273"/>
      <c r="N52" s="273"/>
      <c r="O52" s="273"/>
      <c r="P52" s="273"/>
      <c r="Q52" s="273"/>
      <c r="R52" s="273"/>
      <c r="S52" s="273"/>
    </row>
    <row r="53" spans="2:93">
      <c r="B53" s="155" t="str">
        <f>"mn TL / TRY m; "&amp;_xlfn.XLOOKUP("AN_TR_YOY",tblUIText[Key],tblUIText[TR],"AN_TR_YOY")&amp;" / "&amp;_xlfn.XLOOKUP("AN_TR_YOY",tblUIText[Key],tblUIText[EN],"")&amp;": "&amp;_xlfn.XLOOKUP("AN_TR_PY",tblUIText[Key],tblUIText[TR],"AN_TR_PY")&amp;" / "&amp;_xlfn.XLOOKUP("AN_TR_PY",tblUIText[Key],tblUIText[EN],"")</f>
        <v>mn TL / TRY m; Yıllık % / YoY %: Geçen yıl / Last year</v>
      </c>
      <c r="L53" s="273"/>
      <c r="M53" s="273"/>
      <c r="N53" s="273"/>
      <c r="O53" s="273"/>
      <c r="P53" s="273"/>
      <c r="Q53" s="273"/>
      <c r="R53" s="273"/>
      <c r="S53" s="273"/>
    </row>
  </sheetData>
  <sheetProtection algorithmName="SHA-512" hashValue="gN9yWPJOjdSWYvo84FJpwbFefkUNlV3M2jh3woAufU7oC9n+XGmB963AUEoFuTFfVdk67BqoaeCn4pFklKbyPg==" saltValue="ApgwXpsUpKWqFHWgySe9uw==" spinCount="100000" sheet="1" scenarios="1" formatColumns="0" sort="0" autoFilter="0"/>
  <mergeCells count="5">
    <mergeCell ref="L40:S41"/>
    <mergeCell ref="L49:S53"/>
    <mergeCell ref="C5:D5"/>
    <mergeCell ref="B4:S4"/>
    <mergeCell ref="B6:S6"/>
  </mergeCells>
  <conditionalFormatting sqref="B6">
    <cfRule type="expression" dxfId="517" priority="2" stopIfTrue="1">
      <formula>ISNUMBER(SEARCH("INSUFFICIENT",$B$6))</formula>
    </cfRule>
  </conditionalFormatting>
  <conditionalFormatting sqref="L40">
    <cfRule type="expression" dxfId="516" priority="1" stopIfTrue="1">
      <formula>RIGHT(L40,1)="*"</formula>
    </cfRule>
    <cfRule type="expression" dxfId="515" priority="3" stopIfTrue="1">
      <formula>LEFT(L40,5)="ALERT"</formula>
    </cfRule>
    <cfRule type="expression" dxfId="514" priority="4" stopIfTrue="1">
      <formula>LEFT(L40,5)="WATCH"</formula>
    </cfRule>
    <cfRule type="expression" dxfId="513" priority="5" stopIfTrue="1">
      <formula>LEFT(L40,2)="OK"</formula>
    </cfRule>
    <cfRule type="expression" dxfId="512" priority="6" stopIfTrue="1">
      <formula>LEFT(L40,12)="INSUFFICIENT"</formula>
    </cfRule>
  </conditionalFormatting>
  <dataValidations count="2">
    <dataValidation type="list" allowBlank="1" showInputMessage="1" showErrorMessage="1" sqref="C5" xr:uid="{E69F1EC0-FFC9-416B-A2AF-884ED5FA14ED}">
      <formula1>"Life,Pension,Non-life,Unassigned"</formula1>
    </dataValidation>
    <dataValidation type="list" allowBlank="1" showInputMessage="1" showErrorMessage="1" sqref="J5" xr:uid="{9FE29A5F-5ADE-42FE-88BD-C727D53A9C38}">
      <formula1>anMonthList</formula1>
    </dataValidation>
  </dataValidations>
  <printOptions horizontalCentered="1"/>
  <pageMargins left="0.25" right="0.25" top="0.25" bottom="0.25" header="0.3" footer="0.3"/>
  <pageSetup paperSize="9" scale="8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47252-BDA7-42F2-B8FA-977D3B611D5F}">
  <sheetPr codeName="Sheet80">
    <pageSetUpPr fitToPage="1"/>
  </sheetPr>
  <dimension ref="B1:FF58"/>
  <sheetViews>
    <sheetView showGridLines="0" workbookViewId="0"/>
  </sheetViews>
  <sheetFormatPr defaultRowHeight="12"/>
  <cols>
    <col min="1" max="1" width="2.28515625" style="122" customWidth="1"/>
    <col min="2" max="2" width="10.7109375" style="122" customWidth="1"/>
    <col min="3" max="3" width="9.7109375" style="122" customWidth="1"/>
    <col min="4" max="22" width="6.28515625" style="122" customWidth="1"/>
    <col min="23" max="24" width="9.7109375" style="122" customWidth="1"/>
    <col min="25" max="25" width="2.28515625" style="122" customWidth="1"/>
    <col min="26" max="32" width="7.7109375" style="122" customWidth="1"/>
    <col min="33" max="33" width="9.140625" style="122"/>
    <col min="34" max="184" width="0" style="122" hidden="1" customWidth="1"/>
    <col min="185" max="16384" width="9.140625" style="122"/>
  </cols>
  <sheetData>
    <row r="1" spans="2:162" ht="18">
      <c r="B1" s="123" t="str" cm="1">
        <f t="array" ref="B1">_xlfn.XLOOKUP("AN_SEG_"&amp;$C$5,tblUIText[Key],tblUIText[TR],$C$5)&amp;IF($J$5=$AH$6,""," "&amp;$J$5)&amp;": "&amp;_xlfn.XLOOKUP("AN_TRI_FURTHER_S",tblUIText[Key],tblUIText[TR],"AN_TRI_FURTHER_S")&amp;" "&amp;IF(COUNT(_xlfn.ANCHORARRAY($EK$15))=0,"-",anNum($AH$15/1000000,1))&amp;" mn TL ("&amp;IF(COUNT(_xlfn.ANCHORARRAY($EK$15))=0,"-",IFERROR(anNum(MIN($FD$14,$FD$16)/1000000,1)&amp;" - "&amp;anNum(MAX($FD$14,$FD$16)/1000000,1),"-"))&amp;"); "&amp;_xlfn.XLOOKUP("AN_TRI_LATEST",tblUIText[Key],tblUIText[TR],"AN_TRI_LATEST")&amp;" "&amp;anNum($W$48/1000000,1)&amp;" mn TL"</f>
        <v>Hayat: Gösterge ek ödemeler (rezerv değil) - mn TL (-); Son kümülatif  mn TL</v>
      </c>
      <c r="AH1" s="122" t="s">
        <v>19090</v>
      </c>
      <c r="EZ1" s="122" t="str">
        <f>_xlfn.XLOOKUP("AN_TRI_DIAG",tblUIText[Key],tblUIText[TR],"AN_TRI_DIAG")&amp;" / "&amp;_xlfn.XLOOKUP("AN_TRI_DIAG",tblUIText[Key],tblUIText[EN],"")&amp;": A/E"</f>
        <v>Takvim ayı (köşegen) toplamları, bin TL / Calendar month (diagonal) totals, TRY k: A/E</v>
      </c>
    </row>
    <row r="2" spans="2:162" ht="15">
      <c r="B2" s="124" t="str" cm="1">
        <f t="array" ref="B2">_xlfn.XLOOKUP("AN_SEG_"&amp;$C$5,tblUIText[Key],tblUIText[EN],$C$5)&amp;IF($J$5=$AH$6,""," "&amp;$J$5)&amp;": "&amp;_xlfn.XLOOKUP("AN_TRI_FURTHER_S",tblUIText[Key],tblUIText[EN],"AN_TRI_FURTHER_S")&amp;" "&amp;IF(COUNT(_xlfn.ANCHORARRAY($EK$15))=0,"-",anNum($AH$15/1000000,1))&amp;" TRY m ("&amp;IF(COUNT(_xlfn.ANCHORARRAY($EK$15))=0,"-",IFERROR(anNum(MIN($FD$14,$FD$16)/1000000,1)&amp;" - "&amp;anNum(MAX($FD$14,$FD$16)/1000000,1),"-"))&amp;"); "&amp;_xlfn.XLOOKUP("AN_TRI_LATEST",tblUIText[Key],tblUIText[EN],"AN_TRI_LATEST")&amp;" "&amp;anNum($W$48/1000000,1)&amp;" TRY m"</f>
        <v>Life: Indicative further payments (not a reserve) - TRY m (-); Latest cumulative  TRY m</v>
      </c>
      <c r="AH2" s="122" t="str">
        <f>$C$5</f>
        <v>Life</v>
      </c>
      <c r="AJ2" s="122" t="str" cm="1">
        <f t="array" ref="AJ2:AJ3">_xlfn.VSTACK($AH$6,IFERROR(_xlfn._xlws.SORT(_xlfn.UNIQUE(_xlfn._xlws.FILTER(anTRI_Comp,(anTRI_Seg=$C$5)*(anTRI_Comp&lt;&gt;"")))),""))</f>
        <v>Tümü / All</v>
      </c>
      <c r="EZ2" s="122" t="str">
        <f>_xlfn.XLOOKUP("AN_TRI_STAB",tblUIText[Key],tblUIText[TR],"AN_TRI_STAB")&amp;" / "&amp;_xlfn.XLOOKUP("AN_TRI_STAB",tblUIText[Key],tblUIText[EN],"")</f>
        <v>Faktör istikrarı: gelişim yaşına göre bağ oranları / Factor stability: link ratios by development age</v>
      </c>
    </row>
    <row r="3" spans="2:162">
      <c r="B3" s="125" t="str">
        <f>HYPERLINK("#'AN_Index'!A1",_xlfn.XLOOKUP("AN_NAV_INDEX",tblUIText[Key],tblUIText[TR],"AN_NAV_INDEX"))</f>
        <v>Dizin</v>
      </c>
      <c r="D3" s="125" t="str">
        <f>HYPERLINK("#'AN_Exec_Life'!A1",_xlfn.XLOOKUP("AN_NAV_LIFE",tblUIText[Key],tblUIText[TR],"AN_NAV_LIFE"))</f>
        <v>Hayat</v>
      </c>
      <c r="E3" s="125"/>
      <c r="G3" s="125" t="str">
        <f>HYPERLINK("#'AN_Exec_Pension'!A1",_xlfn.XLOOKUP("AN_NAV_PENSION",tblUIText[Key],tblUIText[TR],"AN_NAV_PENSION"))</f>
        <v>Emeklilik</v>
      </c>
      <c r="H3" s="125"/>
      <c r="I3" s="125" t="str">
        <f>HYPERLINK("#'AN_Exec_NonLife'!A1",_xlfn.XLOOKUP("AN_NAV_NONLIFE",tblUIText[Key],tblUIText[TR],"AN_NAV_NONLIFE"))</f>
        <v>Elementer</v>
      </c>
      <c r="K3" s="125"/>
      <c r="L3" s="125" t="str">
        <f>HYPERLINK("#'AN_Trend'!A1",_xlfn.XLOOKUP("AN_NAV_TREND",tblUIText[Key],tblUIText[TR],"AN_NAV_TREND"))</f>
        <v>Eğilim</v>
      </c>
      <c r="N3" s="191" t="str">
        <f>_xlfn.XLOOKUP("AN_NAV_TRIANGLE",tblUIText[Key],tblUIText[TR],"AN_NAV_TRIANGLE")</f>
        <v>Üçgen</v>
      </c>
      <c r="Q3" s="125" t="str">
        <f>HYPERLINK("#'AN_Lags'!A1",_xlfn.XLOOKUP("AN_NAV_LAGS",tblUIText[Key],tblUIText[TR],"AN_NAV_LAGS"))</f>
        <v>Süreler</v>
      </c>
      <c r="S3" s="125" t="str">
        <f>HYPERLINK("#'AN_Severity'!A1",_xlfn.XLOOKUP("AN_NAV_SEVERITY",tblUIText[Key],tblUIText[TR],"AN_NAV_SEVERITY"))</f>
        <v>Şiddet</v>
      </c>
      <c r="T3" s="125"/>
      <c r="V3" s="125" t="str">
        <f>HYPERLINK("#'AN_Limits'!A1",_xlfn.XLOOKUP("AN_NAV_LIMITS",tblUIText[Key],tblUIText[TR],"AN_NAV_LIMITS"))</f>
        <v>Limitler</v>
      </c>
      <c r="W3" s="125"/>
      <c r="X3" s="125" t="str">
        <f>HYPERLINK("#'AN_Anomaly'!A1",_xlfn.XLOOKUP("AN_NAV_ANOMALY",tblUIText[Key],tblUIText[TR],"AN_NAV_ANOMALY"))</f>
        <v>Anomali</v>
      </c>
      <c r="Z3" s="125"/>
      <c r="AA3" s="125" t="str">
        <f>HYPERLINK("#'AN_Watchlist'!A1",_xlfn.XLOOKUP("AN_NAV_WATCHLIST",tblUIText[Key],tblUIText[TR],"AN_NAV_WATCHLIST"))</f>
        <v>İzleme listesi</v>
      </c>
      <c r="AC3" s="125" t="str">
        <f>HYPERLINK("#'KPI_Catalog'!A1",_xlfn.XLOOKUP("AN_NAV_CATALOG",tblUIText[Key],tblUIText[TR],"AN_NAV_CATALOG"))</f>
        <v>KPI kataloğu</v>
      </c>
      <c r="AE3" s="125" t="str">
        <f>HYPERLINK("#'Home'!A1",_xlfn.XLOOKUP("AN_NAV_HOME",tblUIText[Key],tblUIText[TR],"AN_NAV_HOME"))</f>
        <v>Ana sayfa</v>
      </c>
      <c r="AF3" s="125"/>
      <c r="AH3" s="122" t="str">
        <f>$J$5</f>
        <v>Tümü / All</v>
      </c>
      <c r="AI3" s="125" t="str">
        <f>HYPERLINK("#'KPI_Catalog'!A1",_xlfn.XLOOKUP("AN_NAV_CATALOG",tblUIText[Key],tblUIText[TR],"AN_NAV_CATALOG"))</f>
        <v>KPI kataloğu</v>
      </c>
      <c r="AJ3" s="122" t="str">
        <v/>
      </c>
      <c r="AL3" s="125" t="str">
        <f>HYPERLINK("#'Home'!A1",_xlfn.XLOOKUP("AN_NAV_HOME",tblUIText[Key],tblUIText[TR],"AN_NAV_HOME"))</f>
        <v>Ana sayfa</v>
      </c>
    </row>
    <row r="4" spans="2:162" ht="33.950000000000003" customHeight="1">
      <c r="B4" s="244" t="str">
        <f>_xlfn.XLOOKUP("AN_TRI_PURPOSE",tblUIText[Key],tblUIText[TR],"AN_TRI_PURPOSE")&amp;" / "&amp;_xlfn.XLOOKUP("AN_TRI_PURPOSE",tblUIText[Key],tblUIText[EN],"")&amp;CHAR(10)&amp;_xlfn.XLOOKUP("AN_HOWTO_TRIANGLE",tblUIText[Key],tblUIText[TR],"AN_HOWTO_TRIANGLE")&amp;" / "&amp;_xlfn.XLOOKUP("AN_HOWTO_TRIANGLE",tblUIText[Key],tblUIText[EN],"")</f>
        <v>Ödenen tutarlar hasar ayından sonra nasıl gelişiyor? Gösterge niteliğinde ödenen projeksiyonu - rezerv tahmini değildir. / How do paid amounts develop after the loss month? Indicative paid projection - not a reserve estimate.
Nasıl okunur: satırlar hasar ayı, sütunlar gelişim ayı; faktörler son hasar aylarından; projeksiyon yalnızca ödenen verinin uzantısıdır, rezerv değildir. / How to read: rows are loss months, columns development months; factors come from the latest loss months; the projection only extends paid data and is not a reserve.</v>
      </c>
      <c r="C4" s="244"/>
      <c r="D4" s="244"/>
      <c r="E4" s="244"/>
      <c r="F4" s="244"/>
      <c r="G4" s="244"/>
      <c r="H4" s="244"/>
      <c r="I4" s="244"/>
      <c r="J4" s="244"/>
      <c r="K4" s="244"/>
      <c r="L4" s="244"/>
      <c r="M4" s="244"/>
      <c r="N4" s="244"/>
      <c r="O4" s="244"/>
      <c r="P4" s="244"/>
      <c r="Q4" s="244"/>
      <c r="R4" s="244"/>
      <c r="S4" s="244"/>
      <c r="T4" s="244"/>
      <c r="U4" s="244"/>
      <c r="V4" s="244"/>
      <c r="W4" s="244"/>
      <c r="X4" s="244"/>
      <c r="AH4" s="122">
        <f>_xlfn.XLOOKUP("TriangleMaxDev",AnParam[Param],AnParam[Value])</f>
        <v>18</v>
      </c>
      <c r="FC4" s="122" t="s">
        <v>20147</v>
      </c>
    </row>
    <row r="5" spans="2:162">
      <c r="B5" s="128" t="s">
        <v>19100</v>
      </c>
      <c r="C5" s="275" t="s">
        <v>113</v>
      </c>
      <c r="D5" s="275"/>
      <c r="E5" s="128" t="str">
        <f>_xlfn.XLOOKUP("AN_SEG_"&amp;$C$5,tblUIText[Key],tblUIText[TR],$C$5)</f>
        <v>Hayat</v>
      </c>
      <c r="I5" s="129" t="str">
        <f>_xlfn.XLOOKUP("AN_TRI_COMPANY",tblUIText[Key],tblUIText[TR],"AN_TRI_COMPANY")&amp;" / "&amp;_xlfn.XLOOKUP("AN_TRI_COMPANY",tblUIText[Key],tblUIText[EN],"")&amp;":"</f>
        <v>Şirket / Company:</v>
      </c>
      <c r="J5" s="143" t="s">
        <v>19789</v>
      </c>
      <c r="M5" s="130" t="str">
        <f>_xlfn.XLOOKUP("AN_LBL_REFRESH",tblUIText[Key],tblUIText[TR],"AN_LBL_REFRESH")&amp;" / "&amp;_xlfn.XLOOKUP("AN_LBL_REFRESH",tblUIText[Key],tblUIText[EN],"")&amp;": "&amp;IFERROR(TEXT(cpLastLoggedRefresh,"yyyy-mm-dd hh:mm"),cpLastLoggedRefresh&amp;"")</f>
        <v>Son yenileme / Last refresh: none</v>
      </c>
      <c r="AH5" s="122">
        <f>IFERROR(MATCH($D$8,{"Artımsal / Incremental","Kümülatif / Cumulative","Bağ oranı / Link ratio"},0),2)</f>
        <v>2</v>
      </c>
      <c r="AK5" s="122" t="s">
        <v>19772</v>
      </c>
      <c r="AL5" s="122" t="e" cm="1">
        <f t="array" ref="AL5:BC5">_xlfn.BYCOL(_xlfn.ANCHORARRAY($DN$15),_xlfn.LAMBDA(_xlpm.c,SUM(_xlpm.c)))</f>
        <v>#VALUE!</v>
      </c>
      <c r="AM5" s="122" t="e">
        <v>#VALUE!</v>
      </c>
      <c r="AN5" s="122" t="e">
        <v>#VALUE!</v>
      </c>
      <c r="AO5" s="122" t="e">
        <v>#VALUE!</v>
      </c>
      <c r="AP5" s="122" t="e">
        <v>#VALUE!</v>
      </c>
      <c r="AQ5" s="122" t="e">
        <v>#VALUE!</v>
      </c>
      <c r="AR5" s="122" t="e">
        <v>#VALUE!</v>
      </c>
      <c r="AS5" s="122" t="e">
        <v>#VALUE!</v>
      </c>
      <c r="AT5" s="122" t="e">
        <v>#VALUE!</v>
      </c>
      <c r="AU5" s="122" t="e">
        <v>#VALUE!</v>
      </c>
      <c r="AV5" s="122" t="e">
        <v>#VALUE!</v>
      </c>
      <c r="AW5" s="122" t="e">
        <v>#VALUE!</v>
      </c>
      <c r="AX5" s="122" t="e">
        <v>#VALUE!</v>
      </c>
      <c r="AY5" s="122" t="e">
        <v>#VALUE!</v>
      </c>
      <c r="AZ5" s="122" t="e">
        <v>#VALUE!</v>
      </c>
      <c r="BA5" s="122" t="e">
        <v>#VALUE!</v>
      </c>
      <c r="BB5" s="122" t="e">
        <v>#VALUE!</v>
      </c>
      <c r="BC5" s="122" t="e">
        <v>#VALUE!</v>
      </c>
      <c r="FD5" s="122" t="e" cm="1">
        <f t="array" ref="FD5:FF5">_xlfn.HSTACK($FD$14,$FD$15,$FD$16)</f>
        <v>#VALUE!</v>
      </c>
      <c r="FE5" s="122" t="e">
        <v>#VALUE!</v>
      </c>
      <c r="FF5" s="122" t="e">
        <v>#VALUE!</v>
      </c>
    </row>
    <row r="6" spans="2:162">
      <c r="B6" s="245" t="str" cm="1">
        <f t="array" ref="B6">IF(triNone,_xlfn.XLOOKUP("AN_LBL_READINESS",tblUIText[Key],tblUIText[TR],"AN_LBL_READINESS")&amp;" / "&amp;_xlfn.XLOOKUP("AN_LBL_READINESS",tblUIText[Key],tblUIText[EN],"")&amp;": INSUFFICIENT DATA",_xlfn.XLOOKUP("AN_LBL_READINESS",tblUIText[Key],tblUIText[TR],"AN_LBL_READINESS")&amp;" / "&amp;_xlfn.XLOOKUP("AN_LBL_READINESS",tblUIText[Key],tblUIText[EN],"")&amp;": "&amp;"OK: "&amp;ROWS(triRows)&amp;" "&amp;_xlfn.XLOOKUP("AN_TRI_LOSSM",tblUIText[Key],tblUIText[TR],"AN_TRI_LOSSM")&amp;" / "&amp;_xlfn.XLOOKUP("AN_TRI_LOSSM",tblUIText[Key],tblUIText[EN],"")&amp;"; "&amp;SUM(--(triRows&lt;$AH$13))&amp;" PARTIAL; "&amp;COUNT(_xlfn.ANCHORARRAY($AL$8))&amp;"/"&amp;triMx&amp;" "&amp;_xlfn.XLOOKUP("AN_TRI_FACTORS",tblUIText[Key],tblUIText[TR],"AN_TRI_FACTORS")&amp;" / "&amp;_xlfn.XLOOKUP("AN_TRI_FACTORS",tblUIText[Key],tblUIText[EN],""))</f>
        <v>Veri durumu / Data readiness: INSUFFICIENT DATA</v>
      </c>
      <c r="C6" s="246"/>
      <c r="D6" s="246"/>
      <c r="E6" s="246"/>
      <c r="F6" s="246"/>
      <c r="G6" s="246"/>
      <c r="H6" s="246"/>
      <c r="I6" s="246"/>
      <c r="J6" s="246"/>
      <c r="K6" s="246"/>
      <c r="L6" s="246"/>
      <c r="M6" s="246"/>
      <c r="N6" s="246"/>
      <c r="O6" s="246"/>
      <c r="P6" s="246"/>
      <c r="Q6" s="246"/>
      <c r="R6" s="246"/>
      <c r="S6" s="246"/>
      <c r="T6" s="246"/>
      <c r="U6" s="246"/>
      <c r="V6" s="246"/>
      <c r="W6" s="246"/>
      <c r="X6" s="246"/>
      <c r="AH6" s="122" t="str">
        <f>_xlfn.XLOOKUP("AN_TRI_ALL",tblUIText[Key],tblUIText[TR],"AN_TRI_ALL")&amp;" / "&amp;_xlfn.XLOOKUP("AN_TRI_ALL",tblUIText[Key],tblUIText[EN],"")</f>
        <v>Tümü / All</v>
      </c>
      <c r="AK6" s="122" t="s">
        <v>19773</v>
      </c>
      <c r="AL6" s="122" t="e" cm="1">
        <f t="array" ref="AL6:BC6">_xlfn.LET(_xlpm.s,_xlfn.ANCHORARRAY($DN$15),_xlpm.lr,IF(ISNUMBER(_xlfn.ANCHORARRAY($CT$15)),_xlfn.ANCHORARRAY($CT$15),0),_xlfn.MAKEARRAY(1,triMx,_xlfn.LAMBDA(_xlpm.r,_xlpm.c,_xlfn.LET(_xlpm.sc,INDEX(_xlpm.s,,_xlpm.c),IF(SUM(_xlpm.sc)=0,"",SUM(_xlpm.sc*INDEX(_xlpm.lr,,_xlpm.c))/SUM(_xlpm.sc))))))</f>
        <v>#VALUE!</v>
      </c>
      <c r="AM6" s="122" t="e">
        <v>#VALUE!</v>
      </c>
      <c r="AN6" s="122" t="e">
        <v>#VALUE!</v>
      </c>
      <c r="AO6" s="122" t="e">
        <v>#VALUE!</v>
      </c>
      <c r="AP6" s="122" t="e">
        <v>#VALUE!</v>
      </c>
      <c r="AQ6" s="122" t="e">
        <v>#VALUE!</v>
      </c>
      <c r="AR6" s="122" t="e">
        <v>#VALUE!</v>
      </c>
      <c r="AS6" s="122" t="e">
        <v>#VALUE!</v>
      </c>
      <c r="AT6" s="122" t="e">
        <v>#VALUE!</v>
      </c>
      <c r="AU6" s="122" t="e">
        <v>#VALUE!</v>
      </c>
      <c r="AV6" s="122" t="e">
        <v>#VALUE!</v>
      </c>
      <c r="AW6" s="122" t="e">
        <v>#VALUE!</v>
      </c>
      <c r="AX6" s="122" t="e">
        <v>#VALUE!</v>
      </c>
      <c r="AY6" s="122" t="e">
        <v>#VALUE!</v>
      </c>
      <c r="AZ6" s="122" t="e">
        <v>#VALUE!</v>
      </c>
      <c r="BA6" s="122" t="e">
        <v>#VALUE!</v>
      </c>
      <c r="BB6" s="122" t="e">
        <v>#VALUE!</v>
      </c>
      <c r="BC6" s="122" t="e">
        <v>#VALUE!</v>
      </c>
      <c r="FC6" s="122" t="s">
        <v>20148</v>
      </c>
      <c r="FD6" s="122" t="e" cm="1">
        <f t="array" ref="FD6">_xlfn.LET(_xlpm.rw,triRows,_xlpm.cu,_xlfn.ANCHORARRAY($BF$15),_xlpm.k,_xlfn.ANCHORARRAY($BZ$15),_xlpm.lr,IF(ISNUMBER(_xlfn.ANCHORARRAY($CT$15)),_xlfn.ANCHORARRAY($CT$15),0),_xlpm.E,_xlfn.DROP((_xlpm.k&lt;=$AH$11)*1,,1)*(_xlfn.DROP(_xlpm.cu,,-1)&gt;0)*(_xlpm.rw&gt;=$AH$13),_xlpm.Lm,_xlpm.rw*_xlpm.E,_xlpm.thr,_xlfn.BYCOL(_xlpm.Lm,_xlfn.LAMBDA(_xlpm.col,IF(SUM(--(_xlpm.col&gt;0))&lt;=6,0,LARGE(_xlpm.col,6)))),_xlpm.S,_xlpm.E*(_xlpm.rw&gt;=_xlpm.thr),_xlpm.one,_xlfn.SEQUENCE(1,ROWS(_xlpm.rw),1,0),_xlpm.n,MMULT(_xlpm.one,_xlpm.S),_xlpm.vw,MMULT(_xlpm.one,_xlpm.S*_xlfn.DROP(_xlpm.cu,,1))/MMULT(_xlpm.one,_xlpm.S*_xlfn.DROP(_xlpm.cu,,-1)),_xlpm.sa,MMULT(_xlpm.one,_xlpm.S*_xlpm.lr)/_xlpm.n,IF(_xlpm.n&lt;$AH$12,NA(),IFERROR(_xlpm.vw,NA())))</f>
        <v>#VALUE!</v>
      </c>
    </row>
    <row r="7" spans="2:162"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H7" s="122">
        <f>IF(LEFT($L$8,5)="Basit",2,1)</f>
        <v>1</v>
      </c>
      <c r="AK7" s="122" t="s">
        <v>19774</v>
      </c>
      <c r="AL7" s="122" t="e" cm="1">
        <f t="array" ref="AL7:BC7">_xlfn.LET(_xlpm.s,_xlfn.ANCHORARRAY($DN$15),_xlpm.cu,_xlfn.ANCHORARRAY($BF$15),_xlfn.MAKEARRAY(1,triMx,_xlfn.LAMBDA(_xlpm.r,_xlpm.c,_xlfn.LET(_xlpm.sc,INDEX(_xlpm.s,,_xlpm.c),_xlpm.d,SUM(_xlpm.sc*INDEX(_xlpm.cu,,_xlpm.c)),IF(_xlpm.d=0,"",SUM(_xlpm.sc*INDEX(_xlpm.cu,,_xlpm.c+1))/_xlpm.d)))))</f>
        <v>#VALUE!</v>
      </c>
      <c r="AM7" s="122" t="e">
        <v>#VALUE!</v>
      </c>
      <c r="AN7" s="122" t="e">
        <v>#VALUE!</v>
      </c>
      <c r="AO7" s="122" t="e">
        <v>#VALUE!</v>
      </c>
      <c r="AP7" s="122" t="e">
        <v>#VALUE!</v>
      </c>
      <c r="AQ7" s="122" t="e">
        <v>#VALUE!</v>
      </c>
      <c r="AR7" s="122" t="e">
        <v>#VALUE!</v>
      </c>
      <c r="AS7" s="122" t="e">
        <v>#VALUE!</v>
      </c>
      <c r="AT7" s="122" t="e">
        <v>#VALUE!</v>
      </c>
      <c r="AU7" s="122" t="e">
        <v>#VALUE!</v>
      </c>
      <c r="AV7" s="122" t="e">
        <v>#VALUE!</v>
      </c>
      <c r="AW7" s="122" t="e">
        <v>#VALUE!</v>
      </c>
      <c r="AX7" s="122" t="e">
        <v>#VALUE!</v>
      </c>
      <c r="AY7" s="122" t="e">
        <v>#VALUE!</v>
      </c>
      <c r="AZ7" s="122" t="e">
        <v>#VALUE!</v>
      </c>
      <c r="BA7" s="122" t="e">
        <v>#VALUE!</v>
      </c>
      <c r="BB7" s="122" t="e">
        <v>#VALUE!</v>
      </c>
      <c r="BC7" s="122" t="e">
        <v>#VALUE!</v>
      </c>
      <c r="FC7" s="122" t="s">
        <v>20150</v>
      </c>
      <c r="FD7" s="122" t="e" cm="1">
        <f t="array" ref="FD7">_xlfn.LET(_xlpm.rw,triRows,_xlpm.cu,_xlfn.ANCHORARRAY($BF$15),_xlpm.k,_xlfn.ANCHORARRAY($BZ$15),_xlpm.lr,IF(ISNUMBER(_xlfn.ANCHORARRAY($CT$15)),_xlfn.ANCHORARRAY($CT$15),0),_xlpm.E,_xlfn.DROP((_xlpm.k&lt;=$AH$11)*1,,1)*(_xlfn.DROP(_xlpm.cu,,-1)&gt;0)*(_xlpm.rw&gt;=$AH$13),_xlpm.Lm,_xlpm.rw*_xlpm.E,_xlpm.thr,_xlfn.BYCOL(_xlpm.Lm,_xlfn.LAMBDA(_xlpm.col,IF(SUM(--(_xlpm.col&gt;0))&lt;=6,0,LARGE(_xlpm.col,6)))),_xlpm.S,_xlpm.E*(_xlpm.rw&gt;=_xlpm.thr),_xlpm.one,_xlfn.SEQUENCE(1,ROWS(_xlpm.rw),1,0),_xlpm.n,MMULT(_xlpm.one,_xlpm.S),_xlpm.vw,MMULT(_xlpm.one,_xlpm.S*_xlfn.DROP(_xlpm.cu,,1))/MMULT(_xlpm.one,_xlpm.S*_xlfn.DROP(_xlpm.cu,,-1)),_xlpm.sa,MMULT(_xlpm.one,_xlpm.S*_xlpm.lr)/_xlpm.n,IF(_xlpm.n&lt;$AH$12,NA(),IFERROR(_xlpm.sa,NA())))</f>
        <v>#VALUE!</v>
      </c>
    </row>
    <row r="8" spans="2:162" ht="24" customHeight="1">
      <c r="B8" s="280" t="str">
        <f>_xlfn.XLOOKUP("AN_TRI_VIEW",tblUIText[Key],tblUIText[TR],"AN_TRI_VIEW")&amp;" / "&amp;_xlfn.XLOOKUP("AN_TRI_VIEW",tblUIText[Key],tblUIText[EN],"")&amp;":"</f>
        <v>Görünüm / View:</v>
      </c>
      <c r="C8" s="281"/>
      <c r="D8" s="282" t="s">
        <v>19790</v>
      </c>
      <c r="E8" s="283"/>
      <c r="F8" s="283"/>
      <c r="G8" s="283"/>
      <c r="H8" s="280" t="str">
        <f>_xlfn.XLOOKUP("AN_TRI_METHOD",tblUIText[Key],tblUIText[TR],"AN_TRI_METHOD")&amp;" / "&amp;_xlfn.XLOOKUP("AN_TRI_METHOD",tblUIText[Key],tblUIText[EN],"")&amp;":"</f>
        <v>Faktör yöntemi / Factor method:</v>
      </c>
      <c r="I8" s="281"/>
      <c r="J8" s="281"/>
      <c r="K8" s="281"/>
      <c r="L8" s="282" t="s">
        <v>19791</v>
      </c>
      <c r="M8" s="283"/>
      <c r="N8" s="283"/>
      <c r="O8" s="283"/>
      <c r="P8" s="280" t="str">
        <f>_xlfn.XLOOKUP("AN_TRI_N",tblUIText[Key],tblUIText[TR],"AN_TRI_N")&amp;" / "&amp;_xlfn.XLOOKUP("AN_TRI_N",tblUIText[Key],tblUIText[EN],"")&amp;":"</f>
        <v>Son n hasar ayı / Latest n accident months:</v>
      </c>
      <c r="Q8" s="281"/>
      <c r="R8" s="281"/>
      <c r="S8" s="282">
        <v>6</v>
      </c>
      <c r="T8" s="283"/>
      <c r="U8" s="280" t="str">
        <f>_xlfn.XLOOKUP("AN_TRI_TAIL",tblUIText[Key],tblUIText[TR],"AN_TRI_TAIL")&amp;" / "&amp;_xlfn.XLOOKUP("AN_TRI_TAIL",tblUIText[Key],tblUIText[EN],"")&amp;":"</f>
        <v>Kuyruk faktörü / Tail factor:</v>
      </c>
      <c r="V8" s="281"/>
      <c r="W8" s="281"/>
      <c r="X8" s="157">
        <v>1</v>
      </c>
      <c r="AH8" s="122">
        <f>IFERROR(--$S$8,9999)</f>
        <v>6</v>
      </c>
      <c r="AK8" s="122" t="s">
        <v>19775</v>
      </c>
      <c r="AL8" s="122" t="e" cm="1">
        <f t="array" ref="AL8:BC8">_xlfn.MAKEARRAY(1,triMx,_xlfn.LAMBDA(_xlpm.r,_xlpm.c,IF(INDEX(_xlfn.ANCHORARRAY($AL$5),1,_xlpm.c)&lt;$AH$12,"INSUFFICIENT DATA",INDEX(IF($AH$7=1,_xlfn.ANCHORARRAY($AL$7),_xlfn.ANCHORARRAY($AL$6)),1,_xlpm.c))))</f>
        <v>#VALUE!</v>
      </c>
      <c r="AM8" s="122" t="e">
        <v>#VALUE!</v>
      </c>
      <c r="AN8" s="122" t="e">
        <v>#VALUE!</v>
      </c>
      <c r="AO8" s="122" t="e">
        <v>#VALUE!</v>
      </c>
      <c r="AP8" s="122" t="e">
        <v>#VALUE!</v>
      </c>
      <c r="AQ8" s="122" t="e">
        <v>#VALUE!</v>
      </c>
      <c r="AR8" s="122" t="e">
        <v>#VALUE!</v>
      </c>
      <c r="AS8" s="122" t="e">
        <v>#VALUE!</v>
      </c>
      <c r="AT8" s="122" t="e">
        <v>#VALUE!</v>
      </c>
      <c r="AU8" s="122" t="e">
        <v>#VALUE!</v>
      </c>
      <c r="AV8" s="122" t="e">
        <v>#VALUE!</v>
      </c>
      <c r="AW8" s="122" t="e">
        <v>#VALUE!</v>
      </c>
      <c r="AX8" s="122" t="e">
        <v>#VALUE!</v>
      </c>
      <c r="AY8" s="122" t="e">
        <v>#VALUE!</v>
      </c>
      <c r="AZ8" s="122" t="e">
        <v>#VALUE!</v>
      </c>
      <c r="BA8" s="122" t="e">
        <v>#VALUE!</v>
      </c>
      <c r="BB8" s="122" t="e">
        <v>#VALUE!</v>
      </c>
      <c r="BC8" s="122" t="e">
        <v>#VALUE!</v>
      </c>
      <c r="FC8" s="122" t="s">
        <v>20151</v>
      </c>
      <c r="FD8" s="122" t="e" cm="1">
        <f t="array" ref="FD8">_xlfn.LET(_xlpm.rw,triRows,_xlpm.cu,_xlfn.ANCHORARRAY($BF$15),_xlpm.k,_xlfn.ANCHORARRAY($BZ$15),_xlpm.lr,IF(ISNUMBER(_xlfn.ANCHORARRAY($CT$15)),_xlfn.ANCHORARRAY($CT$15),0),_xlpm.E,_xlfn.DROP((_xlpm.k&lt;=$AH$11)*1,,1)*(_xlfn.DROP(_xlpm.cu,,-1)&gt;0)*(_xlpm.rw&gt;=$AH$13),_xlpm.Lm,_xlpm.rw*_xlpm.E,_xlpm.thr,_xlfn.BYCOL(_xlpm.Lm,_xlfn.LAMBDA(_xlpm.col,IF(SUM(--(_xlpm.col&gt;0))&lt;=12,0,LARGE(_xlpm.col,12)))),_xlpm.S,_xlpm.E*(_xlpm.rw&gt;=_xlpm.thr),_xlpm.one,_xlfn.SEQUENCE(1,ROWS(_xlpm.rw),1,0),_xlpm.n,MMULT(_xlpm.one,_xlpm.S),_xlpm.vw,MMULT(_xlpm.one,_xlpm.S*_xlfn.DROP(_xlpm.cu,,1))/MMULT(_xlpm.one,_xlpm.S*_xlfn.DROP(_xlpm.cu,,-1)),_xlpm.sa,MMULT(_xlpm.one,_xlpm.S*_xlpm.lr)/_xlpm.n,IF(_xlpm.n&lt;$AH$12,NA(),IFERROR(_xlpm.vw,NA())))</f>
        <v>#VALUE!</v>
      </c>
    </row>
    <row r="9" spans="2:162" ht="21.95" customHeight="1">
      <c r="B9" s="285" t="str">
        <f>_xlfn.XLOOKUP("AN_TRI_DISCLAIMER",tblUIText[Key],tblUIText[TR],"AN_TRI_DISCLAIMER")&amp;" / "&amp;_xlfn.XLOOKUP("AN_TRI_DISCLAIMER",tblUIText[Key],tblUIText[EN],"")</f>
        <v>Gösterge niteliğinde ödenen projeksiyonu - rezerv tahmini değildir; ödenmemiş hasar, IBNR ve prim bilgisi yoktur. / Indicative paid projection - not a reserve estimate; no outstanding, IBNR or premium information.</v>
      </c>
      <c r="C9" s="285"/>
      <c r="D9" s="285"/>
      <c r="E9" s="285"/>
      <c r="F9" s="285"/>
      <c r="G9" s="285"/>
      <c r="H9" s="285"/>
      <c r="I9" s="285"/>
      <c r="J9" s="285"/>
      <c r="K9" s="285"/>
      <c r="L9" s="285"/>
      <c r="M9" s="285"/>
      <c r="N9" s="285"/>
      <c r="O9" s="285"/>
      <c r="P9" s="285"/>
      <c r="Q9" s="285"/>
      <c r="R9" s="285"/>
      <c r="S9" s="285"/>
      <c r="T9" s="285"/>
      <c r="U9" s="285"/>
      <c r="V9" s="285"/>
      <c r="W9" s="285"/>
      <c r="X9" s="285"/>
      <c r="AH9" s="122">
        <f>IF(ISNUMBER($X$8),$X$8,1)</f>
        <v>1</v>
      </c>
      <c r="AK9" s="122" t="s">
        <v>19776</v>
      </c>
      <c r="AL9" s="122" t="str" cm="1">
        <f t="array" ref="AL9:BD9">_xlfn.MAKEARRAY(1,triMx+1,_xlfn.LAMBDA(_xlpm.r,_xlpm.c,IF(_xlpm.c=triMx+1,$AH$9,_xlfn.LET(_xlpm.f,_xlfn.DROP(_xlfn.ANCHORARRAY($AL$8),,_xlpm.c-1),IF(COUNT(_xlpm.f)=COLUMNS(_xlpm.f),PRODUCT(_xlpm.f)*$AH$9,"n/a")))))</f>
        <v>n/a</v>
      </c>
      <c r="AM9" s="122" t="str">
        <v>n/a</v>
      </c>
      <c r="AN9" s="122" t="str">
        <v>n/a</v>
      </c>
      <c r="AO9" s="122" t="str">
        <v>n/a</v>
      </c>
      <c r="AP9" s="122" t="str">
        <v>n/a</v>
      </c>
      <c r="AQ9" s="122" t="str">
        <v>n/a</v>
      </c>
      <c r="AR9" s="122" t="str">
        <v>n/a</v>
      </c>
      <c r="AS9" s="122" t="str">
        <v>n/a</v>
      </c>
      <c r="AT9" s="122" t="str">
        <v>n/a</v>
      </c>
      <c r="AU9" s="122" t="str">
        <v>n/a</v>
      </c>
      <c r="AV9" s="122" t="str">
        <v>n/a</v>
      </c>
      <c r="AW9" s="122" t="str">
        <v>n/a</v>
      </c>
      <c r="AX9" s="122" t="str">
        <v>n/a</v>
      </c>
      <c r="AY9" s="122" t="str">
        <v>n/a</v>
      </c>
      <c r="AZ9" s="122" t="str">
        <v>n/a</v>
      </c>
      <c r="BA9" s="122" t="str">
        <v>n/a</v>
      </c>
      <c r="BB9" s="122" t="str">
        <v>n/a</v>
      </c>
      <c r="BC9" s="122" t="str">
        <v>n/a</v>
      </c>
      <c r="BD9" s="122">
        <v>1</v>
      </c>
    </row>
    <row r="10" spans="2:162">
      <c r="B10" s="127" t="str">
        <f>_xlfn.XLOOKUP("AN_TRI_GRID",tblUIText[Key],tblUIText[TR],"AN_TRI_GRID")&amp;" / "&amp;_xlfn.XLOOKUP("AN_TRI_GRID",tblUIText[Key],tblUIText[EN],"")&amp;" - "&amp;$D$8</f>
        <v>Hasar ayı x gelişim ayı (bin TL; oranlar) / Loss month x development month (TRY k; ratios) - Kümülatif / Cumulative</v>
      </c>
      <c r="AH10" s="122" t="e" cm="1">
        <f t="array" ref="AH10">_xlfn.LET(_xlpm.m,_xlfn.TAKE(anMonthsAsc,1),--LEFT(_xlpm.m,4)*12+--RIGHT(_xlpm.m,2))</f>
        <v>#VALUE!</v>
      </c>
      <c r="AK10" s="122" t="s">
        <v>19777</v>
      </c>
      <c r="AL10" s="122" t="e" cm="1">
        <f t="array" ref="AL10:BC10">_xlfn.LET(_xlpm.s,_xlfn.ANCHORARRAY($DN$15),_xlpm.lr,IF(ISNUMBER(_xlfn.ANCHORARRAY($CT$15)),_xlfn.ANCHORARRAY($CT$15),0),_xlfn.MAKEARRAY(1,triMx,_xlfn.LAMBDA(_xlpm.r,_xlpm.c,_xlfn.LET(_xlpm.sc,INDEX(_xlpm.s,,_xlpm.c),_xlpm.lc,INDEX(_xlpm.lr,,_xlpm.c),_xlpm.k,SUM(_xlpm.sc),IF(_xlpm.k&lt;2,"",_xlfn.LET(_xlpm.m,SUM(_xlpm.sc*_xlpm.lc)/_xlpm.k,SQRT(SUM(_xlpm.sc*(_xlpm.lc-_xlpm.m)^2)/(_xlpm.k-1))/_xlpm.m))))))</f>
        <v>#VALUE!</v>
      </c>
      <c r="AM10" s="122" t="e">
        <v>#VALUE!</v>
      </c>
      <c r="AN10" s="122" t="e">
        <v>#VALUE!</v>
      </c>
      <c r="AO10" s="122" t="e">
        <v>#VALUE!</v>
      </c>
      <c r="AP10" s="122" t="e">
        <v>#VALUE!</v>
      </c>
      <c r="AQ10" s="122" t="e">
        <v>#VALUE!</v>
      </c>
      <c r="AR10" s="122" t="e">
        <v>#VALUE!</v>
      </c>
      <c r="AS10" s="122" t="e">
        <v>#VALUE!</v>
      </c>
      <c r="AT10" s="122" t="e">
        <v>#VALUE!</v>
      </c>
      <c r="AU10" s="122" t="e">
        <v>#VALUE!</v>
      </c>
      <c r="AV10" s="122" t="e">
        <v>#VALUE!</v>
      </c>
      <c r="AW10" s="122" t="e">
        <v>#VALUE!</v>
      </c>
      <c r="AX10" s="122" t="e">
        <v>#VALUE!</v>
      </c>
      <c r="AY10" s="122" t="e">
        <v>#VALUE!</v>
      </c>
      <c r="AZ10" s="122" t="e">
        <v>#VALUE!</v>
      </c>
      <c r="BA10" s="122" t="e">
        <v>#VALUE!</v>
      </c>
      <c r="BB10" s="122" t="e">
        <v>#VALUE!</v>
      </c>
      <c r="BC10" s="122" t="e">
        <v>#VALUE!</v>
      </c>
      <c r="FC10" s="122" t="s">
        <v>20149</v>
      </c>
      <c r="FD10" s="122" t="e" cm="1">
        <f t="array" ref="FD10">_xlfn.LET(_xlpm.s,_xlfn.ANCHORARRAY($FD$6),_xlpm.mx,triMx,_xlpm.ok,ISNUMBER(_xlpm.s)*(IFERROR(_xlpm.s,0)&gt;0),_xlpm.M,--(_xlfn.SEQUENCE(_xlpm.mx)&gt;_xlfn.SEQUENCE(1,_xlpm.mx+1,0)),_xlpm.bad,MMULT(1-_xlpm.ok,_xlpm.M),_xlpm.lp,MMULT(IF(_xlpm.ok,LN(IFERROR(_xlpm.s,1)),0),_xlpm.M),IF(_xlpm.bad&gt;0,NA(),EXP(_xlpm.lp)*$AH$9))</f>
        <v>#VALUE!</v>
      </c>
    </row>
    <row r="11" spans="2:162" ht="33.950000000000003" customHeight="1">
      <c r="B11" s="158" t="str">
        <f>_xlfn.XLOOKUP("AN_TRI_LOSSM",tblUIText[Key],tblUIText[TR],"AN_TRI_LOSSM")&amp;" / "&amp;_xlfn.XLOOKUP("AN_TRI_LOSSM",tblUIText[Key],tblUIText[EN],"")</f>
        <v>Hasar ayı / Loss month</v>
      </c>
      <c r="C11" s="158" t="str">
        <f>_xlfn.XLOOKUP("AN_TRI_FLAG",tblUIText[Key],tblUIText[TR],"AN_TRI_FLAG")&amp;" / "&amp;_xlfn.XLOOKUP("AN_TRI_FLAG",tblUIText[Key],tblUIText[EN],"")</f>
        <v>Durum / Flag</v>
      </c>
      <c r="D11" s="158" t="str" cm="1">
        <f t="array" ref="D11:V11">IF(_xlfn.SEQUENCE(1,triMx+1,0)=triMx,triMx&amp;"+",_xlfn.SEQUENCE(1,triMx+1,0)&amp;"")</f>
        <v>0</v>
      </c>
      <c r="E11" s="158" t="str">
        <v>1</v>
      </c>
      <c r="F11" s="158" t="str">
        <v>2</v>
      </c>
      <c r="G11" s="158" t="str">
        <v>3</v>
      </c>
      <c r="H11" s="158" t="str">
        <v>4</v>
      </c>
      <c r="I11" s="158" t="str">
        <v>5</v>
      </c>
      <c r="J11" s="158" t="str">
        <v>6</v>
      </c>
      <c r="K11" s="158" t="str">
        <v>7</v>
      </c>
      <c r="L11" s="158" t="str">
        <v>8</v>
      </c>
      <c r="M11" s="158" t="str">
        <v>9</v>
      </c>
      <c r="N11" s="158" t="str">
        <v>10</v>
      </c>
      <c r="O11" s="158" t="str">
        <v>11</v>
      </c>
      <c r="P11" s="158" t="str">
        <v>12</v>
      </c>
      <c r="Q11" s="158" t="str">
        <v>13</v>
      </c>
      <c r="R11" s="158" t="str">
        <v>14</v>
      </c>
      <c r="S11" s="158" t="str">
        <v>15</v>
      </c>
      <c r="T11" s="158" t="str">
        <v>16</v>
      </c>
      <c r="U11" s="158" t="str">
        <v>17</v>
      </c>
      <c r="V11" s="158" t="str">
        <v>18+</v>
      </c>
      <c r="W11" s="158" t="str">
        <f>_xlfn.XLOOKUP("AN_TRI_LATEST",tblUIText[Key],tblUIText[TR],"AN_TRI_LATEST")&amp;" / "&amp;_xlfn.XLOOKUP("AN_TRI_LATEST",tblUIText[Key],tblUIText[EN],"")</f>
        <v>Son kümülatif / Latest cumulative</v>
      </c>
      <c r="X11" s="158" t="str">
        <f>_xlfn.XLOOKUP("AN_TRI_PROJ",tblUIText[Key],tblUIText[TR],"AN_TRI_PROJ")&amp;" / "&amp;_xlfn.XLOOKUP("AN_TRI_PROJ",tblUIText[Key],tblUIText[EN],"")</f>
        <v>Gösterge projeksiyon / Indicative projection</v>
      </c>
      <c r="AH11" s="122" t="e" cm="1">
        <f t="array" ref="AH11">_xlfn.LET(_xlpm.m,_xlfn.TAKE(anMonthsAsc,-1),--LEFT(_xlpm.m,4)*12+--RIGHT(_xlpm.m,2))</f>
        <v>#VALUE!</v>
      </c>
      <c r="FC11" s="122" t="s">
        <v>20149</v>
      </c>
      <c r="FD11" s="122" t="e" cm="1">
        <f t="array" ref="FD11">_xlfn.LET(_xlpm.s,_xlfn.ANCHORARRAY($FD$7),_xlpm.mx,triMx,_xlpm.ok,ISNUMBER(_xlpm.s)*(IFERROR(_xlpm.s,0)&gt;0),_xlpm.M,--(_xlfn.SEQUENCE(_xlpm.mx)&gt;_xlfn.SEQUENCE(1,_xlpm.mx+1,0)),_xlpm.bad,MMULT(1-_xlpm.ok,_xlpm.M),_xlpm.lp,MMULT(IF(_xlpm.ok,LN(IFERROR(_xlpm.s,1)),0),_xlpm.M),IF(_xlpm.bad&gt;0,NA(),EXP(_xlpm.lp)*$AH$9))</f>
        <v>#VALUE!</v>
      </c>
    </row>
    <row r="12" spans="2:162">
      <c r="B12" s="134" t="str" cm="1">
        <f t="array" ref="B12">LEFT(triRows,4)&amp;"-"&amp;RIGHT(triRows,2)</f>
        <v>0-0</v>
      </c>
      <c r="C12" s="134" t="str" cm="1">
        <f t="array" ref="C12">IF(triNone,"",IF(triRows&lt;$AH$13,"PARTIAL",""))</f>
        <v/>
      </c>
      <c r="D12" s="159" t="str" cm="1">
        <f t="array" ref="D12">IF(triNone,"",_xlfn.LET(_xlpm.k,_xlfn.ANCHORARRAY($BZ$15),_xlpm.v,$AH$5,_xlpm.lr,_xlfn.HSTACK(_xlfn.ANCHORARRAY($CT$15),IF(_xlfn.SEQUENCE(ROWS(triRows)),"")),IF(_xlpm.k&lt;$AH$10,"n/o",IF(_xlpm.k&gt;$AH$11,"",CHOOSE(_xlpm.v,_xlfn.ANCHORARRAY($AL$15),_xlfn.ANCHORARRAY($BF$15),_xlpm.lr)))))</f>
        <v/>
      </c>
      <c r="E12" s="159"/>
      <c r="F12" s="159"/>
      <c r="G12" s="159"/>
      <c r="H12" s="159"/>
      <c r="I12" s="159"/>
      <c r="J12" s="159"/>
      <c r="K12" s="159"/>
      <c r="L12" s="159"/>
      <c r="M12" s="159"/>
      <c r="N12" s="159"/>
      <c r="O12" s="159"/>
      <c r="P12" s="159"/>
      <c r="Q12" s="159"/>
      <c r="R12" s="159"/>
      <c r="S12" s="159"/>
      <c r="T12" s="159"/>
      <c r="U12" s="159"/>
      <c r="V12" s="159"/>
      <c r="W12" s="159" t="str" cm="1">
        <f t="array" ref="W12">IF(triNone,"",_xlfn.ANCHORARRAY($EI$15))</f>
        <v/>
      </c>
      <c r="X12" s="159" t="str" cm="1">
        <f t="array" ref="X12">IF(triNone,"",_xlfn.ANCHORARRAY($EJ$15))</f>
        <v/>
      </c>
      <c r="AH12" s="122">
        <f>_xlfn.XLOOKUP("MinLinkRatios",AnParam[Param],AnParam[Value])</f>
        <v>3</v>
      </c>
      <c r="FC12" s="122" t="s">
        <v>20149</v>
      </c>
      <c r="FD12" s="122" t="e" cm="1">
        <f t="array" ref="FD12">_xlfn.LET(_xlpm.s,_xlfn.ANCHORARRAY($FD$8),_xlpm.mx,triMx,_xlpm.ok,ISNUMBER(_xlpm.s)*(IFERROR(_xlpm.s,0)&gt;0),_xlpm.M,--(_xlfn.SEQUENCE(_xlpm.mx)&gt;_xlfn.SEQUENCE(1,_xlpm.mx+1,0)),_xlpm.bad,MMULT(1-_xlpm.ok,_xlpm.M),_xlpm.lp,MMULT(IF(_xlpm.ok,LN(IFERROR(_xlpm.s,1)),0),_xlpm.M),IF(_xlpm.bad&gt;0,NA(),EXP(_xlpm.lp)*$AH$9))</f>
        <v>#VALUE!</v>
      </c>
    </row>
    <row r="13" spans="2:162">
      <c r="B13" s="134"/>
      <c r="C13" s="134"/>
      <c r="D13" s="159"/>
      <c r="E13" s="159"/>
      <c r="F13" s="159"/>
      <c r="G13" s="159"/>
      <c r="H13" s="159"/>
      <c r="I13" s="159"/>
      <c r="J13" s="159"/>
      <c r="K13" s="159"/>
      <c r="L13" s="159"/>
      <c r="M13" s="159"/>
      <c r="N13" s="159"/>
      <c r="O13" s="159"/>
      <c r="P13" s="159"/>
      <c r="Q13" s="159"/>
      <c r="R13" s="159"/>
      <c r="S13" s="159"/>
      <c r="T13" s="159"/>
      <c r="U13" s="159"/>
      <c r="V13" s="159"/>
      <c r="W13" s="159"/>
      <c r="X13" s="159"/>
      <c r="AH13" s="122" t="e" cm="1">
        <f t="array" ref="AH13">--SUBSTITUTE(_xlfn.TAKE(anMonthsAsc,1),"-","")</f>
        <v>#VALUE!</v>
      </c>
    </row>
    <row r="14" spans="2:162">
      <c r="B14" s="134"/>
      <c r="C14" s="134"/>
      <c r="D14" s="159"/>
      <c r="E14" s="159"/>
      <c r="F14" s="159"/>
      <c r="G14" s="159"/>
      <c r="H14" s="159"/>
      <c r="I14" s="159"/>
      <c r="J14" s="159"/>
      <c r="K14" s="159"/>
      <c r="L14" s="159"/>
      <c r="M14" s="159"/>
      <c r="N14" s="159"/>
      <c r="O14" s="159"/>
      <c r="P14" s="159"/>
      <c r="Q14" s="159"/>
      <c r="R14" s="159"/>
      <c r="S14" s="159"/>
      <c r="T14" s="159"/>
      <c r="U14" s="159"/>
      <c r="V14" s="159"/>
      <c r="W14" s="159"/>
      <c r="X14" s="159"/>
      <c r="AH14" s="122" cm="1">
        <f t="array" ref="AH14">COUNT(_xlfn._xlws.FILTER(triRows,triRows&gt;0))</f>
        <v>0</v>
      </c>
      <c r="AL14" s="122" t="s">
        <v>19767</v>
      </c>
      <c r="BF14" s="122" t="s">
        <v>19768</v>
      </c>
      <c r="BZ14" s="122" t="s">
        <v>19769</v>
      </c>
      <c r="CT14" s="122" t="s">
        <v>19770</v>
      </c>
      <c r="DN14" s="122" t="s">
        <v>19771</v>
      </c>
      <c r="EH14" s="122" t="s">
        <v>19778</v>
      </c>
      <c r="EI14" s="122" t="s">
        <v>19779</v>
      </c>
      <c r="EJ14" s="122" t="s">
        <v>19780</v>
      </c>
      <c r="EK14" s="122" t="s">
        <v>20146</v>
      </c>
      <c r="EL14" s="122" t="s">
        <v>19781</v>
      </c>
      <c r="EM14" s="122" t="s">
        <v>19782</v>
      </c>
      <c r="EN14" s="122" t="s">
        <v>19783</v>
      </c>
      <c r="EO14" s="122" t="s">
        <v>19784</v>
      </c>
      <c r="EP14" s="122" t="s">
        <v>99</v>
      </c>
      <c r="ER14" s="122" t="s">
        <v>19785</v>
      </c>
      <c r="ET14" s="122" t="s">
        <v>19786</v>
      </c>
      <c r="EV14" s="122" t="s">
        <v>19787</v>
      </c>
      <c r="EX14" s="122" t="s">
        <v>19788</v>
      </c>
      <c r="FC14" s="122" t="s">
        <v>20146</v>
      </c>
      <c r="FD14" s="122" t="e" cm="1">
        <f t="array" ref="FD14">_xlfn.LET(_xlpm.cd,_xlfn.ANCHORARRAY($FD$10),_xlpm.a,_xlfn.ANCHORARRAY($EH$15),_xlpm.lt,_xlfn.ANCHORARRAY($EI$15),_xlpm.ok,(triRows&gt;=$AH$13)*(_xlpm.a&gt;=0),_xlpm.v,IFERROR(_xlpm.lt*INDEX(_xlpm.cd,1,_xlpm.a+1)-_xlpm.lt,0),SUM(IF(_xlpm.ok,_xlpm.v,0)))</f>
        <v>#VALUE!</v>
      </c>
    </row>
    <row r="15" spans="2:162">
      <c r="B15" s="134"/>
      <c r="C15" s="134"/>
      <c r="D15" s="159"/>
      <c r="E15" s="159"/>
      <c r="F15" s="159"/>
      <c r="G15" s="159"/>
      <c r="H15" s="159"/>
      <c r="I15" s="159"/>
      <c r="J15" s="159"/>
      <c r="K15" s="159"/>
      <c r="L15" s="159"/>
      <c r="M15" s="159"/>
      <c r="N15" s="159"/>
      <c r="O15" s="159"/>
      <c r="P15" s="159"/>
      <c r="Q15" s="159"/>
      <c r="R15" s="159"/>
      <c r="S15" s="159"/>
      <c r="T15" s="159"/>
      <c r="U15" s="159"/>
      <c r="V15" s="159"/>
      <c r="W15" s="159"/>
      <c r="X15" s="159"/>
      <c r="AH15" s="122" cm="1">
        <f t="array" ref="AH15">SUM(_xlfn._xlws.FILTER(_xlfn.ANCHORARRAY($EK$15),ISNUMBER(_xlfn.ANCHORARRAY($EK$15)),0))</f>
        <v>0</v>
      </c>
      <c r="AJ15" s="122" cm="1">
        <f t="array" ref="AJ15">IFERROR(_xlfn.TAKE(_xlfn._xlws.SORT(_xlfn.UNIQUE(_xlfn._xlws.FILTER(triL,triMask*(triL&gt;0)*(triP&lt;&gt;0)))),-34),0)</f>
        <v>0</v>
      </c>
      <c r="AL15" s="122" cm="1">
        <f t="array" ref="AL15:BD15">MMULT((triRows=TRANSPOSE(triL))*TRANSPOSE(triMask),triP*(IF(triD&gt;triMx,triMx,triD)=_xlfn.SEQUENCE(1,triMx+1,0)))</f>
        <v>0</v>
      </c>
      <c r="AM15" s="122">
        <v>0</v>
      </c>
      <c r="AN15" s="122">
        <v>0</v>
      </c>
      <c r="AO15" s="122">
        <v>0</v>
      </c>
      <c r="AP15" s="122">
        <v>0</v>
      </c>
      <c r="AQ15" s="122">
        <v>0</v>
      </c>
      <c r="AR15" s="122">
        <v>0</v>
      </c>
      <c r="AS15" s="122">
        <v>0</v>
      </c>
      <c r="AT15" s="122">
        <v>0</v>
      </c>
      <c r="AU15" s="122">
        <v>0</v>
      </c>
      <c r="AV15" s="122">
        <v>0</v>
      </c>
      <c r="AW15" s="122">
        <v>0</v>
      </c>
      <c r="AX15" s="122">
        <v>0</v>
      </c>
      <c r="AY15" s="122">
        <v>0</v>
      </c>
      <c r="AZ15" s="122">
        <v>0</v>
      </c>
      <c r="BA15" s="122">
        <v>0</v>
      </c>
      <c r="BB15" s="122">
        <v>0</v>
      </c>
      <c r="BC15" s="122">
        <v>0</v>
      </c>
      <c r="BD15" s="122">
        <v>0</v>
      </c>
      <c r="BF15" s="122" cm="1">
        <f t="array" ref="BF15:BX15">MMULT(_xlfn.ANCHORARRAY($AL$15),--(_xlfn.SEQUENCE(triMx+1)&lt;=_xlfn.SEQUENCE(1,triMx+1)))</f>
        <v>0</v>
      </c>
      <c r="BG15" s="122">
        <v>0</v>
      </c>
      <c r="BH15" s="122">
        <v>0</v>
      </c>
      <c r="BI15" s="122">
        <v>0</v>
      </c>
      <c r="BJ15" s="122">
        <v>0</v>
      </c>
      <c r="BK15" s="122">
        <v>0</v>
      </c>
      <c r="BL15" s="122">
        <v>0</v>
      </c>
      <c r="BM15" s="122">
        <v>0</v>
      </c>
      <c r="BN15" s="122">
        <v>0</v>
      </c>
      <c r="BO15" s="122">
        <v>0</v>
      </c>
      <c r="BP15" s="122">
        <v>0</v>
      </c>
      <c r="BQ15" s="122">
        <v>0</v>
      </c>
      <c r="BR15" s="122">
        <v>0</v>
      </c>
      <c r="BS15" s="122">
        <v>0</v>
      </c>
      <c r="BT15" s="122">
        <v>0</v>
      </c>
      <c r="BU15" s="122">
        <v>0</v>
      </c>
      <c r="BV15" s="122">
        <v>0</v>
      </c>
      <c r="BW15" s="122">
        <v>0</v>
      </c>
      <c r="BX15" s="122">
        <v>0</v>
      </c>
      <c r="BZ15" s="122" cm="1">
        <f t="array" ref="BZ15:CR15">(INT(triRows/100)*12+MOD(triRows,100))+_xlfn.SEQUENCE(1,triMx+1,0)</f>
        <v>0</v>
      </c>
      <c r="CA15" s="122">
        <v>1</v>
      </c>
      <c r="CB15" s="122">
        <v>2</v>
      </c>
      <c r="CC15" s="122">
        <v>3</v>
      </c>
      <c r="CD15" s="122">
        <v>4</v>
      </c>
      <c r="CE15" s="122">
        <v>5</v>
      </c>
      <c r="CF15" s="122">
        <v>6</v>
      </c>
      <c r="CG15" s="122">
        <v>7</v>
      </c>
      <c r="CH15" s="122">
        <v>8</v>
      </c>
      <c r="CI15" s="122">
        <v>9</v>
      </c>
      <c r="CJ15" s="122">
        <v>10</v>
      </c>
      <c r="CK15" s="122">
        <v>11</v>
      </c>
      <c r="CL15" s="122">
        <v>12</v>
      </c>
      <c r="CM15" s="122">
        <v>13</v>
      </c>
      <c r="CN15" s="122">
        <v>14</v>
      </c>
      <c r="CO15" s="122">
        <v>15</v>
      </c>
      <c r="CP15" s="122">
        <v>16</v>
      </c>
      <c r="CQ15" s="122">
        <v>17</v>
      </c>
      <c r="CR15" s="122">
        <v>18</v>
      </c>
      <c r="CT15" s="122" t="e" cm="1">
        <f t="array" ref="CT15:DK15">_xlfn.LET(_xlpm.c,_xlfn.DROP(_xlfn.ANCHORARRAY($BF$15),,-1),_xlpm.n,_xlfn.DROP(_xlfn.ANCHORARRAY($BF$15),,1),_xlpm.k,_xlfn.DROP(_xlfn.ANCHORARRAY($BZ$15),,1),IF((_xlpm.k&lt;=$AH$11)*(_xlpm.k-1&gt;=$AH$10)*(_xlpm.c&gt;0),_xlpm.n/_xlpm.c,""))</f>
        <v>#VALUE!</v>
      </c>
      <c r="CU15" s="122" t="e">
        <v>#VALUE!</v>
      </c>
      <c r="CV15" s="122" t="e">
        <v>#VALUE!</v>
      </c>
      <c r="CW15" s="122" t="e">
        <v>#VALUE!</v>
      </c>
      <c r="CX15" s="122" t="e">
        <v>#VALUE!</v>
      </c>
      <c r="CY15" s="122" t="e">
        <v>#VALUE!</v>
      </c>
      <c r="CZ15" s="122" t="e">
        <v>#VALUE!</v>
      </c>
      <c r="DA15" s="122" t="e">
        <v>#VALUE!</v>
      </c>
      <c r="DB15" s="122" t="e">
        <v>#VALUE!</v>
      </c>
      <c r="DC15" s="122" t="e">
        <v>#VALUE!</v>
      </c>
      <c r="DD15" s="122" t="e">
        <v>#VALUE!</v>
      </c>
      <c r="DE15" s="122" t="e">
        <v>#VALUE!</v>
      </c>
      <c r="DF15" s="122" t="e">
        <v>#VALUE!</v>
      </c>
      <c r="DG15" s="122" t="e">
        <v>#VALUE!</v>
      </c>
      <c r="DH15" s="122" t="e">
        <v>#VALUE!</v>
      </c>
      <c r="DI15" s="122" t="e">
        <v>#VALUE!</v>
      </c>
      <c r="DJ15" s="122" t="e">
        <v>#VALUE!</v>
      </c>
      <c r="DK15" s="122" t="e">
        <v>#VALUE!</v>
      </c>
      <c r="DN15" s="122" t="e" cm="1">
        <f t="array" ref="DN15:EE15">_xlfn.LET(_xlpm.E,_xlfn.DROP((_xlfn.ANCHORARRAY($BZ$15)&lt;=$AH$11)*1,,1)*(_xlfn.DROP(_xlfn.ANCHORARRAY($BF$15),,-1)&gt;0)*(triRows&gt;=$AH$13),_xlpm.Lm,triRows*_xlpm.E,_xlpm.thr,_xlfn.BYCOL(_xlpm.Lm,_xlfn.LAMBDA(_xlpm.col,IF(SUM(--(_xlpm.col&gt;0))&lt;=$AH$8,0,LARGE(_xlpm.col,$AH$8)))),_xlpm.E*(triRows&gt;=_xlpm.thr))</f>
        <v>#VALUE!</v>
      </c>
      <c r="DO15" s="122" t="e">
        <v>#VALUE!</v>
      </c>
      <c r="DP15" s="122" t="e">
        <v>#VALUE!</v>
      </c>
      <c r="DQ15" s="122" t="e">
        <v>#VALUE!</v>
      </c>
      <c r="DR15" s="122" t="e">
        <v>#VALUE!</v>
      </c>
      <c r="DS15" s="122" t="e">
        <v>#VALUE!</v>
      </c>
      <c r="DT15" s="122" t="e">
        <v>#VALUE!</v>
      </c>
      <c r="DU15" s="122" t="e">
        <v>#VALUE!</v>
      </c>
      <c r="DV15" s="122" t="e">
        <v>#VALUE!</v>
      </c>
      <c r="DW15" s="122" t="e">
        <v>#VALUE!</v>
      </c>
      <c r="DX15" s="122" t="e">
        <v>#VALUE!</v>
      </c>
      <c r="DY15" s="122" t="e">
        <v>#VALUE!</v>
      </c>
      <c r="DZ15" s="122" t="e">
        <v>#VALUE!</v>
      </c>
      <c r="EA15" s="122" t="e">
        <v>#VALUE!</v>
      </c>
      <c r="EB15" s="122" t="e">
        <v>#VALUE!</v>
      </c>
      <c r="EC15" s="122" t="e">
        <v>#VALUE!</v>
      </c>
      <c r="ED15" s="122" t="e">
        <v>#VALUE!</v>
      </c>
      <c r="EE15" s="122" t="e">
        <v>#VALUE!</v>
      </c>
      <c r="EH15" s="122" t="e" cm="1">
        <f t="array" ref="EH15">_xlfn.MAP(triRows,_xlfn.LAMBDA(_xlpm.L,MIN($AH$11-(INT(_xlpm.L/100)*12+MOD(_xlpm.L,100)),triMx)))</f>
        <v>#VALUE!</v>
      </c>
      <c r="EI15" s="122" t="e" cm="1">
        <f t="array" ref="EI15">_xlfn.MAKEARRAY(ROWS(triRows),1,_xlfn.LAMBDA(_xlpm.r,_xlpm.c,_xlfn.LET(_xlpm.a,INDEX(_xlfn.ANCHORARRAY($EH$15),_xlpm.r),IF(_xlpm.a&lt;0,"",INDEX(_xlfn.ANCHORARRAY($BF$15),_xlpm.r,_xlpm.a+1)))))</f>
        <v>#VALUE!</v>
      </c>
      <c r="EJ15" s="122" t="e" cm="1">
        <f t="array" ref="EJ15">_xlfn.MAKEARRAY(ROWS(triRows),1,_xlfn.LAMBDA(_xlpm.r,_xlpm.c,IF(INDEX(triRows,_xlpm.r)&lt;$AH$13,"PARTIAL",_xlfn.LET(_xlpm.a,INDEX(_xlfn.ANCHORARRAY($EH$15),_xlpm.r),_xlpm.cdf,INDEX(_xlfn.ANCHORARRAY($AL$9),1,_xlpm.a+1),IF(ISNUMBER(_xlpm.cdf),INDEX(_xlfn.ANCHORARRAY($EI$15),_xlpm.r)*_xlpm.cdf,"n/a")))))</f>
        <v>#VALUE!</v>
      </c>
      <c r="EK15" s="122" t="str" cm="1">
        <f t="array" ref="EK15">IFERROR(IF(ISNUMBER(_xlfn.ANCHORARRAY($EJ$15)),_xlfn.ANCHORARRAY($EJ$15)-_xlfn.ANCHORARRAY($EI$15),""),"")</f>
        <v/>
      </c>
      <c r="EL15" s="122" t="e" cm="1">
        <f t="array" ref="EL15">_xlfn.SEQUENCE($AH$11-$AH$10+1,1,$AH$10)</f>
        <v>#VALUE!</v>
      </c>
      <c r="EM15" s="122" t="e" cm="1">
        <f t="array" ref="EM15">_xlfn.LET(_xlpm.k,_xlfn.ANCHORARRAY($BZ$15),_xlpm.obs,(_xlpm.k&gt;=$AH$10)*(_xlpm.k&lt;=$AH$11)*(triRows&gt;=$AH$13)*(_xlfn.SEQUENCE(1,triMx+1,0)&gt;=1),_xlpm.a,_xlfn.ANCHORARRAY($AL$15)*_xlpm.obs,_xlfn.MAP(_xlfn.ANCHORARRAY($EL$15),_xlfn.LAMBDA(_xlpm.m,SUM(_xlpm.a*(_xlpm.k=_xlpm.m)))))</f>
        <v>#VALUE!</v>
      </c>
      <c r="EN15" s="122" t="e" cm="1">
        <f t="array" ref="EN15">_xlfn.LET(_xlpm.k,_xlfn.ANCHORARRAY($BZ$15),_xlpm.obs,(_xlpm.k&gt;=$AH$10)*(_xlpm.k&lt;=$AH$11)*(triRows&gt;=$AH$13)*(_xlfn.SEQUENCE(1,triMx+1,0)&gt;=1),_xlpm.f,IFERROR(--_xlfn.ANCHORARRAY($AL$8),NA()),_xlpm.ex,_xlfn.HSTACK(_xlfn.SEQUENCE(ROWS(triRows),1,0,0),_xlfn.DROP(_xlfn.ANCHORARRAY($BF$15),,-1)*(_xlpm.f-1)),_xlpm.e,IFERROR(_xlpm.ex*_xlpm.obs,0),_xlfn.MAP(_xlfn.ANCHORARRAY($EL$15),_xlfn.LAMBDA(_xlpm.m,SUM(_xlpm.e*(_xlpm.k=_xlpm.m)))))</f>
        <v>#VALUE!</v>
      </c>
      <c r="EO15" s="122" t="e" cm="1">
        <f t="array" ref="EO15">_xlfn.LET(_xlpm.e,_xlfn.ANCHORARRAY($EN$15),_xlpm.a,_xlfn.ANCHORARRAY($EM$15),_xlpm.md,IFERROR(MEDIAN(_xlfn._xlws.FILTER(_xlpm.e,_xlpm.e&gt;0)),0),IF((_xlpm.e&gt;0)*(_xlpm.e&gt;=_xlfn.XLOOKUP("TriAEMinShare",AnParam[Param],AnParam[Value])*_xlpm.md),_xlpm.a/_xlpm.e,""))</f>
        <v>#VALUE!</v>
      </c>
      <c r="EP15" s="156" t="e" cm="1">
        <f t="array" ref="EP15">DATE(INT((_xlfn.ANCHORARRAY($EL$15)-1)/12),MOD(_xlfn.ANCHORARRAY($EL$15)-1,12)+1,1)</f>
        <v>#VALUE!</v>
      </c>
      <c r="ER15" s="122" cm="1">
        <f t="array" ref="ER15:ES15">IFERROR(_xlfn._xlws.FILTER(_xlfn.HSTACK(_xlfn.ANCHORARRAY($EP$15),_xlfn.ANCHORARRAY($EO$15)),ISNUMBER(_xlfn.ANCHORARRAY($EO$15))),_xlfn.HSTACK(0,0))</f>
        <v>0</v>
      </c>
      <c r="ES15" s="122">
        <v>0</v>
      </c>
      <c r="ET15" s="122" cm="1">
        <f t="array" ref="ET15:EU15">IFERROR(_xlfn.LET(_xlpm.lr,INDEX(_xlfn.ANCHORARRAY($CT$15),,1),_xlpm.d,DATE(INT(triRows/100),MOD(triRows,100),1),_xlfn._xlws.FILTER(_xlfn.HSTACK(_xlpm.d,_xlpm.lr),ISNUMBER(_xlpm.lr)*(triRows&gt;=$AH$13))),_xlfn.HSTACK(0,0))</f>
        <v>0</v>
      </c>
      <c r="EU15" s="122">
        <v>0</v>
      </c>
      <c r="EV15" s="122" cm="1">
        <f t="array" ref="EV15:EW15">IFERROR(_xlfn.LET(_xlpm.lr,INDEX(_xlfn.ANCHORARRAY($CT$15),,2),_xlpm.d,DATE(INT(triRows/100),MOD(triRows,100),1),_xlfn._xlws.FILTER(_xlfn.HSTACK(_xlpm.d,_xlpm.lr),ISNUMBER(_xlpm.lr)*(triRows&gt;=$AH$13))),_xlfn.HSTACK(0,0))</f>
        <v>0</v>
      </c>
      <c r="EW15" s="122">
        <v>0</v>
      </c>
      <c r="EX15" s="122" cm="1">
        <f t="array" ref="EX15:EY15">IFERROR(_xlfn.LET(_xlpm.lr,INDEX(_xlfn.ANCHORARRAY($CT$15),,3),_xlpm.d,DATE(INT(triRows/100),MOD(triRows,100),1),_xlfn._xlws.FILTER(_xlfn.HSTACK(_xlpm.d,_xlpm.lr),ISNUMBER(_xlpm.lr)*(triRows&gt;=$AH$13))),_xlfn.HSTACK(0,0))</f>
        <v>0</v>
      </c>
      <c r="EY15" s="122">
        <v>0</v>
      </c>
      <c r="FC15" s="122" t="s">
        <v>20146</v>
      </c>
      <c r="FD15" s="122" t="e" cm="1">
        <f t="array" ref="FD15">_xlfn.LET(_xlpm.cd,_xlfn.ANCHORARRAY($FD$11),_xlpm.a,_xlfn.ANCHORARRAY($EH$15),_xlpm.lt,_xlfn.ANCHORARRAY($EI$15),_xlpm.ok,(triRows&gt;=$AH$13)*(_xlpm.a&gt;=0),_xlpm.v,IFERROR(_xlpm.lt*INDEX(_xlpm.cd,1,_xlpm.a+1)-_xlpm.lt,0),SUM(IF(_xlpm.ok,_xlpm.v,0)))</f>
        <v>#VALUE!</v>
      </c>
    </row>
    <row r="16" spans="2:162">
      <c r="B16" s="134"/>
      <c r="C16" s="134"/>
      <c r="D16" s="159"/>
      <c r="E16" s="159"/>
      <c r="F16" s="159"/>
      <c r="G16" s="159"/>
      <c r="H16" s="159"/>
      <c r="I16" s="159"/>
      <c r="J16" s="159"/>
      <c r="K16" s="159"/>
      <c r="L16" s="159"/>
      <c r="M16" s="159"/>
      <c r="N16" s="159"/>
      <c r="O16" s="159"/>
      <c r="P16" s="159"/>
      <c r="Q16" s="159"/>
      <c r="R16" s="159"/>
      <c r="S16" s="159"/>
      <c r="T16" s="159"/>
      <c r="U16" s="159"/>
      <c r="V16" s="159"/>
      <c r="W16" s="159"/>
      <c r="X16" s="159"/>
      <c r="FC16" s="122" t="s">
        <v>20146</v>
      </c>
      <c r="FD16" s="122" t="e" cm="1">
        <f t="array" ref="FD16">_xlfn.LET(_xlpm.cd,_xlfn.ANCHORARRAY($FD$12),_xlpm.a,_xlfn.ANCHORARRAY($EH$15),_xlpm.lt,_xlfn.ANCHORARRAY($EI$15),_xlpm.ok,(triRows&gt;=$AH$13)*(_xlpm.a&gt;=0),_xlpm.v,IFERROR(_xlpm.lt*INDEX(_xlpm.cd,1,_xlpm.a+1)-_xlpm.lt,0),SUM(IF(_xlpm.ok,_xlpm.v,0)))</f>
        <v>#VALUE!</v>
      </c>
    </row>
    <row r="17" spans="2:24">
      <c r="B17" s="134"/>
      <c r="C17" s="134"/>
      <c r="D17" s="159"/>
      <c r="E17" s="159"/>
      <c r="F17" s="159"/>
      <c r="G17" s="159"/>
      <c r="H17" s="159"/>
      <c r="I17" s="159"/>
      <c r="J17" s="159"/>
      <c r="K17" s="159"/>
      <c r="L17" s="159"/>
      <c r="M17" s="159"/>
      <c r="N17" s="159"/>
      <c r="O17" s="159"/>
      <c r="P17" s="159"/>
      <c r="Q17" s="159"/>
      <c r="R17" s="159"/>
      <c r="S17" s="159"/>
      <c r="T17" s="159"/>
      <c r="U17" s="159"/>
      <c r="V17" s="159"/>
      <c r="W17" s="159"/>
      <c r="X17" s="159"/>
    </row>
    <row r="18" spans="2:24">
      <c r="B18" s="134"/>
      <c r="C18" s="134"/>
      <c r="D18" s="159"/>
      <c r="E18" s="159"/>
      <c r="F18" s="159"/>
      <c r="G18" s="159"/>
      <c r="H18" s="159"/>
      <c r="I18" s="159"/>
      <c r="J18" s="159"/>
      <c r="K18" s="159"/>
      <c r="L18" s="159"/>
      <c r="M18" s="159"/>
      <c r="N18" s="159"/>
      <c r="O18" s="159"/>
      <c r="P18" s="159"/>
      <c r="Q18" s="159"/>
      <c r="R18" s="159"/>
      <c r="S18" s="159"/>
      <c r="T18" s="159"/>
      <c r="U18" s="159"/>
      <c r="V18" s="159"/>
      <c r="W18" s="159"/>
      <c r="X18" s="159"/>
    </row>
    <row r="19" spans="2:24">
      <c r="B19" s="134"/>
      <c r="C19" s="134"/>
      <c r="D19" s="159"/>
      <c r="E19" s="159"/>
      <c r="F19" s="159"/>
      <c r="G19" s="159"/>
      <c r="H19" s="159"/>
      <c r="I19" s="159"/>
      <c r="J19" s="159"/>
      <c r="K19" s="159"/>
      <c r="L19" s="159"/>
      <c r="M19" s="159"/>
      <c r="N19" s="159"/>
      <c r="O19" s="159"/>
      <c r="P19" s="159"/>
      <c r="Q19" s="159"/>
      <c r="R19" s="159"/>
      <c r="S19" s="159"/>
      <c r="T19" s="159"/>
      <c r="U19" s="159"/>
      <c r="V19" s="159"/>
      <c r="W19" s="159"/>
      <c r="X19" s="159"/>
    </row>
    <row r="20" spans="2:24">
      <c r="B20" s="134"/>
      <c r="C20" s="134"/>
      <c r="D20" s="159"/>
      <c r="E20" s="159"/>
      <c r="F20" s="159"/>
      <c r="G20" s="159"/>
      <c r="H20" s="159"/>
      <c r="I20" s="159"/>
      <c r="J20" s="159"/>
      <c r="K20" s="159"/>
      <c r="L20" s="159"/>
      <c r="M20" s="159"/>
      <c r="N20" s="159"/>
      <c r="O20" s="159"/>
      <c r="P20" s="159"/>
      <c r="Q20" s="159"/>
      <c r="R20" s="159"/>
      <c r="S20" s="159"/>
      <c r="T20" s="159"/>
      <c r="U20" s="159"/>
      <c r="V20" s="159"/>
      <c r="W20" s="159"/>
      <c r="X20" s="159"/>
    </row>
    <row r="21" spans="2:24">
      <c r="B21" s="134"/>
      <c r="C21" s="134"/>
      <c r="D21" s="159"/>
      <c r="E21" s="159"/>
      <c r="F21" s="159"/>
      <c r="G21" s="159"/>
      <c r="H21" s="159"/>
      <c r="I21" s="159"/>
      <c r="J21" s="159"/>
      <c r="K21" s="159"/>
      <c r="L21" s="159"/>
      <c r="M21" s="159"/>
      <c r="N21" s="159"/>
      <c r="O21" s="159"/>
      <c r="P21" s="159"/>
      <c r="Q21" s="159"/>
      <c r="R21" s="159"/>
      <c r="S21" s="159"/>
      <c r="T21" s="159"/>
      <c r="U21" s="159"/>
      <c r="V21" s="159"/>
      <c r="W21" s="159"/>
      <c r="X21" s="159"/>
    </row>
    <row r="22" spans="2:24">
      <c r="B22" s="134"/>
      <c r="C22" s="134"/>
      <c r="D22" s="159"/>
      <c r="E22" s="159"/>
      <c r="F22" s="159"/>
      <c r="G22" s="159"/>
      <c r="H22" s="159"/>
      <c r="I22" s="159"/>
      <c r="J22" s="159"/>
      <c r="K22" s="159"/>
      <c r="L22" s="159"/>
      <c r="M22" s="159"/>
      <c r="N22" s="159"/>
      <c r="O22" s="159"/>
      <c r="P22" s="159"/>
      <c r="Q22" s="159"/>
      <c r="R22" s="159"/>
      <c r="S22" s="159"/>
      <c r="T22" s="159"/>
      <c r="U22" s="159"/>
      <c r="V22" s="159"/>
      <c r="W22" s="159"/>
      <c r="X22" s="159"/>
    </row>
    <row r="23" spans="2:24">
      <c r="B23" s="134"/>
      <c r="C23" s="134"/>
      <c r="D23" s="159"/>
      <c r="E23" s="159"/>
      <c r="F23" s="159"/>
      <c r="G23" s="159"/>
      <c r="H23" s="159"/>
      <c r="I23" s="159"/>
      <c r="J23" s="159"/>
      <c r="K23" s="159"/>
      <c r="L23" s="159"/>
      <c r="M23" s="159"/>
      <c r="N23" s="159"/>
      <c r="O23" s="159"/>
      <c r="P23" s="159"/>
      <c r="Q23" s="159"/>
      <c r="R23" s="159"/>
      <c r="S23" s="159"/>
      <c r="T23" s="159"/>
      <c r="U23" s="159"/>
      <c r="V23" s="159"/>
      <c r="W23" s="159"/>
      <c r="X23" s="159"/>
    </row>
    <row r="24" spans="2:24">
      <c r="B24" s="134"/>
      <c r="C24" s="134"/>
      <c r="D24" s="159"/>
      <c r="E24" s="159"/>
      <c r="F24" s="159"/>
      <c r="G24" s="159"/>
      <c r="H24" s="159"/>
      <c r="I24" s="159"/>
      <c r="J24" s="159"/>
      <c r="K24" s="159"/>
      <c r="L24" s="159"/>
      <c r="M24" s="159"/>
      <c r="N24" s="159"/>
      <c r="O24" s="159"/>
      <c r="P24" s="159"/>
      <c r="Q24" s="159"/>
      <c r="R24" s="159"/>
      <c r="S24" s="159"/>
      <c r="T24" s="159"/>
      <c r="U24" s="159"/>
      <c r="V24" s="159"/>
      <c r="W24" s="159"/>
      <c r="X24" s="159"/>
    </row>
    <row r="25" spans="2:24">
      <c r="B25" s="134"/>
      <c r="C25" s="134"/>
      <c r="D25" s="159"/>
      <c r="E25" s="159"/>
      <c r="F25" s="159"/>
      <c r="G25" s="159"/>
      <c r="H25" s="159"/>
      <c r="I25" s="159"/>
      <c r="J25" s="159"/>
      <c r="K25" s="159"/>
      <c r="L25" s="159"/>
      <c r="M25" s="159"/>
      <c r="N25" s="159"/>
      <c r="O25" s="159"/>
      <c r="P25" s="159"/>
      <c r="Q25" s="159"/>
      <c r="R25" s="159"/>
      <c r="S25" s="159"/>
      <c r="T25" s="159"/>
      <c r="U25" s="159"/>
      <c r="V25" s="159"/>
      <c r="W25" s="159"/>
      <c r="X25" s="159"/>
    </row>
    <row r="26" spans="2:24">
      <c r="B26" s="134"/>
      <c r="C26" s="134"/>
      <c r="D26" s="159"/>
      <c r="E26" s="159"/>
      <c r="F26" s="159"/>
      <c r="G26" s="159"/>
      <c r="H26" s="159"/>
      <c r="I26" s="159"/>
      <c r="J26" s="159"/>
      <c r="K26" s="159"/>
      <c r="L26" s="159"/>
      <c r="M26" s="159"/>
      <c r="N26" s="159"/>
      <c r="O26" s="159"/>
      <c r="P26" s="159"/>
      <c r="Q26" s="159"/>
      <c r="R26" s="159"/>
      <c r="S26" s="159"/>
      <c r="T26" s="159"/>
      <c r="U26" s="159"/>
      <c r="V26" s="159"/>
      <c r="W26" s="159"/>
      <c r="X26" s="159"/>
    </row>
    <row r="27" spans="2:24">
      <c r="B27" s="134"/>
      <c r="C27" s="134"/>
      <c r="D27" s="159"/>
      <c r="E27" s="159"/>
      <c r="F27" s="159"/>
      <c r="G27" s="159"/>
      <c r="H27" s="159"/>
      <c r="I27" s="159"/>
      <c r="J27" s="159"/>
      <c r="K27" s="159"/>
      <c r="L27" s="159"/>
      <c r="M27" s="159"/>
      <c r="N27" s="159"/>
      <c r="O27" s="159"/>
      <c r="P27" s="159"/>
      <c r="Q27" s="159"/>
      <c r="R27" s="159"/>
      <c r="S27" s="159"/>
      <c r="T27" s="159"/>
      <c r="U27" s="159"/>
      <c r="V27" s="159"/>
      <c r="W27" s="159"/>
      <c r="X27" s="159"/>
    </row>
    <row r="28" spans="2:24">
      <c r="B28" s="134"/>
      <c r="C28" s="134"/>
      <c r="D28" s="159"/>
      <c r="E28" s="159"/>
      <c r="F28" s="159"/>
      <c r="G28" s="159"/>
      <c r="H28" s="159"/>
      <c r="I28" s="159"/>
      <c r="J28" s="159"/>
      <c r="K28" s="159"/>
      <c r="L28" s="159"/>
      <c r="M28" s="159"/>
      <c r="N28" s="159"/>
      <c r="O28" s="159"/>
      <c r="P28" s="159"/>
      <c r="Q28" s="159"/>
      <c r="R28" s="159"/>
      <c r="S28" s="159"/>
      <c r="T28" s="159"/>
      <c r="U28" s="159"/>
      <c r="V28" s="159"/>
      <c r="W28" s="159"/>
      <c r="X28" s="159"/>
    </row>
    <row r="29" spans="2:24">
      <c r="B29" s="134"/>
      <c r="C29" s="134"/>
      <c r="D29" s="159"/>
      <c r="E29" s="159"/>
      <c r="F29" s="159"/>
      <c r="G29" s="159"/>
      <c r="H29" s="159"/>
      <c r="I29" s="159"/>
      <c r="J29" s="159"/>
      <c r="K29" s="159"/>
      <c r="L29" s="159"/>
      <c r="M29" s="159"/>
      <c r="N29" s="159"/>
      <c r="O29" s="159"/>
      <c r="P29" s="159"/>
      <c r="Q29" s="159"/>
      <c r="R29" s="159"/>
      <c r="S29" s="159"/>
      <c r="T29" s="159"/>
      <c r="U29" s="159"/>
      <c r="V29" s="159"/>
      <c r="W29" s="159"/>
      <c r="X29" s="159"/>
    </row>
    <row r="30" spans="2:24">
      <c r="B30" s="134"/>
      <c r="C30" s="134"/>
      <c r="D30" s="159"/>
      <c r="E30" s="159"/>
      <c r="F30" s="159"/>
      <c r="G30" s="159"/>
      <c r="H30" s="159"/>
      <c r="I30" s="159"/>
      <c r="J30" s="159"/>
      <c r="K30" s="159"/>
      <c r="L30" s="159"/>
      <c r="M30" s="159"/>
      <c r="N30" s="159"/>
      <c r="O30" s="159"/>
      <c r="P30" s="159"/>
      <c r="Q30" s="159"/>
      <c r="R30" s="159"/>
      <c r="S30" s="159"/>
      <c r="T30" s="159"/>
      <c r="U30" s="159"/>
      <c r="V30" s="159"/>
      <c r="W30" s="159"/>
      <c r="X30" s="159"/>
    </row>
    <row r="31" spans="2:24">
      <c r="B31" s="134"/>
      <c r="C31" s="134"/>
      <c r="D31" s="159"/>
      <c r="E31" s="159"/>
      <c r="F31" s="159"/>
      <c r="G31" s="159"/>
      <c r="H31" s="159"/>
      <c r="I31" s="159"/>
      <c r="J31" s="159"/>
      <c r="K31" s="159"/>
      <c r="L31" s="159"/>
      <c r="M31" s="159"/>
      <c r="N31" s="159"/>
      <c r="O31" s="159"/>
      <c r="P31" s="159"/>
      <c r="Q31" s="159"/>
      <c r="R31" s="159"/>
      <c r="S31" s="159"/>
      <c r="T31" s="159"/>
      <c r="U31" s="159"/>
      <c r="V31" s="159"/>
      <c r="W31" s="159"/>
      <c r="X31" s="159"/>
    </row>
    <row r="32" spans="2:24">
      <c r="B32" s="134"/>
      <c r="C32" s="134"/>
      <c r="D32" s="159"/>
      <c r="E32" s="159"/>
      <c r="F32" s="159"/>
      <c r="G32" s="159"/>
      <c r="H32" s="159"/>
      <c r="I32" s="159"/>
      <c r="J32" s="159"/>
      <c r="K32" s="159"/>
      <c r="L32" s="159"/>
      <c r="M32" s="159"/>
      <c r="N32" s="159"/>
      <c r="O32" s="159"/>
      <c r="P32" s="159"/>
      <c r="Q32" s="159"/>
      <c r="R32" s="159"/>
      <c r="S32" s="159"/>
      <c r="T32" s="159"/>
      <c r="U32" s="159"/>
      <c r="V32" s="159"/>
      <c r="W32" s="159"/>
      <c r="X32" s="159"/>
    </row>
    <row r="33" spans="2:26">
      <c r="B33" s="134"/>
      <c r="C33" s="134"/>
      <c r="D33" s="159"/>
      <c r="E33" s="159"/>
      <c r="F33" s="159"/>
      <c r="G33" s="159"/>
      <c r="H33" s="159"/>
      <c r="I33" s="159"/>
      <c r="J33" s="159"/>
      <c r="K33" s="159"/>
      <c r="L33" s="159"/>
      <c r="M33" s="159"/>
      <c r="N33" s="159"/>
      <c r="O33" s="159"/>
      <c r="P33" s="159"/>
      <c r="Q33" s="159"/>
      <c r="R33" s="159"/>
      <c r="S33" s="159"/>
      <c r="T33" s="159"/>
      <c r="U33" s="159"/>
      <c r="V33" s="159"/>
      <c r="W33" s="159"/>
      <c r="X33" s="159"/>
    </row>
    <row r="34" spans="2:26">
      <c r="B34" s="134"/>
      <c r="C34" s="134"/>
      <c r="D34" s="159"/>
      <c r="E34" s="159"/>
      <c r="F34" s="159"/>
      <c r="G34" s="159"/>
      <c r="H34" s="159"/>
      <c r="I34" s="159"/>
      <c r="J34" s="159"/>
      <c r="K34" s="159"/>
      <c r="L34" s="159"/>
      <c r="M34" s="159"/>
      <c r="N34" s="159"/>
      <c r="O34" s="159"/>
      <c r="P34" s="159"/>
      <c r="Q34" s="159"/>
      <c r="R34" s="159"/>
      <c r="S34" s="159"/>
      <c r="T34" s="159"/>
      <c r="U34" s="159"/>
      <c r="V34" s="159"/>
      <c r="W34" s="159"/>
      <c r="X34" s="159"/>
    </row>
    <row r="35" spans="2:26">
      <c r="B35" s="134"/>
      <c r="C35" s="134"/>
      <c r="D35" s="159"/>
      <c r="E35" s="159"/>
      <c r="F35" s="159"/>
      <c r="G35" s="159"/>
      <c r="H35" s="159"/>
      <c r="I35" s="159"/>
      <c r="J35" s="159"/>
      <c r="K35" s="159"/>
      <c r="L35" s="159"/>
      <c r="M35" s="159"/>
      <c r="N35" s="159"/>
      <c r="O35" s="159"/>
      <c r="P35" s="159"/>
      <c r="Q35" s="159"/>
      <c r="R35" s="159"/>
      <c r="S35" s="159"/>
      <c r="T35" s="159"/>
      <c r="U35" s="159"/>
      <c r="V35" s="159"/>
      <c r="W35" s="159"/>
      <c r="X35" s="159"/>
    </row>
    <row r="36" spans="2:26">
      <c r="B36" s="134"/>
      <c r="C36" s="134"/>
      <c r="D36" s="159"/>
      <c r="E36" s="159"/>
      <c r="F36" s="159"/>
      <c r="G36" s="159"/>
      <c r="H36" s="159"/>
      <c r="I36" s="159"/>
      <c r="J36" s="159"/>
      <c r="K36" s="159"/>
      <c r="L36" s="159"/>
      <c r="M36" s="159"/>
      <c r="N36" s="159"/>
      <c r="O36" s="159"/>
      <c r="P36" s="159"/>
      <c r="Q36" s="159"/>
      <c r="R36" s="159"/>
      <c r="S36" s="159"/>
      <c r="T36" s="159"/>
      <c r="U36" s="159"/>
      <c r="V36" s="159"/>
      <c r="W36" s="159"/>
      <c r="X36" s="159"/>
    </row>
    <row r="37" spans="2:26">
      <c r="B37" s="134"/>
      <c r="C37" s="134"/>
      <c r="D37" s="159"/>
      <c r="E37" s="159"/>
      <c r="F37" s="159"/>
      <c r="G37" s="159"/>
      <c r="H37" s="159"/>
      <c r="I37" s="159"/>
      <c r="J37" s="159"/>
      <c r="K37" s="159"/>
      <c r="L37" s="159"/>
      <c r="M37" s="159"/>
      <c r="N37" s="159"/>
      <c r="O37" s="159"/>
      <c r="P37" s="159"/>
      <c r="Q37" s="159"/>
      <c r="R37" s="159"/>
      <c r="S37" s="159"/>
      <c r="T37" s="159"/>
      <c r="U37" s="159"/>
      <c r="V37" s="159"/>
      <c r="W37" s="159"/>
      <c r="X37" s="159"/>
    </row>
    <row r="38" spans="2:26">
      <c r="B38" s="134"/>
      <c r="C38" s="134"/>
      <c r="D38" s="159"/>
      <c r="E38" s="159"/>
      <c r="F38" s="159"/>
      <c r="G38" s="159"/>
      <c r="H38" s="159"/>
      <c r="I38" s="159"/>
      <c r="J38" s="159"/>
      <c r="K38" s="159"/>
      <c r="L38" s="159"/>
      <c r="M38" s="159"/>
      <c r="N38" s="159"/>
      <c r="O38" s="159"/>
      <c r="P38" s="159"/>
      <c r="Q38" s="159"/>
      <c r="R38" s="159"/>
      <c r="S38" s="159"/>
      <c r="T38" s="159"/>
      <c r="U38" s="159"/>
      <c r="V38" s="159"/>
      <c r="W38" s="159"/>
      <c r="X38" s="159"/>
    </row>
    <row r="39" spans="2:26">
      <c r="B39" s="134"/>
      <c r="C39" s="134"/>
      <c r="D39" s="159"/>
      <c r="E39" s="159"/>
      <c r="F39" s="159"/>
      <c r="G39" s="159"/>
      <c r="H39" s="159"/>
      <c r="I39" s="159"/>
      <c r="J39" s="159"/>
      <c r="K39" s="159"/>
      <c r="L39" s="159"/>
      <c r="M39" s="159"/>
      <c r="N39" s="159"/>
      <c r="O39" s="159"/>
      <c r="P39" s="159"/>
      <c r="Q39" s="159"/>
      <c r="R39" s="159"/>
      <c r="S39" s="159"/>
      <c r="T39" s="159"/>
      <c r="U39" s="159"/>
      <c r="V39" s="159"/>
      <c r="W39" s="159"/>
      <c r="X39" s="159"/>
    </row>
    <row r="40" spans="2:26">
      <c r="B40" s="134"/>
      <c r="C40" s="134"/>
      <c r="D40" s="159"/>
      <c r="E40" s="159"/>
      <c r="F40" s="159"/>
      <c r="G40" s="159"/>
      <c r="H40" s="159"/>
      <c r="I40" s="159"/>
      <c r="J40" s="159"/>
      <c r="K40" s="159"/>
      <c r="L40" s="159"/>
      <c r="M40" s="159"/>
      <c r="N40" s="159"/>
      <c r="O40" s="159"/>
      <c r="P40" s="159"/>
      <c r="Q40" s="159"/>
      <c r="R40" s="159"/>
      <c r="S40" s="159"/>
      <c r="T40" s="159"/>
      <c r="U40" s="159"/>
      <c r="V40" s="159"/>
      <c r="W40" s="159"/>
      <c r="X40" s="159"/>
    </row>
    <row r="41" spans="2:26">
      <c r="B41" s="134"/>
      <c r="C41" s="134"/>
      <c r="D41" s="159"/>
      <c r="E41" s="159"/>
      <c r="F41" s="159"/>
      <c r="G41" s="159"/>
      <c r="H41" s="159"/>
      <c r="I41" s="159"/>
      <c r="J41" s="159"/>
      <c r="K41" s="159"/>
      <c r="L41" s="159"/>
      <c r="M41" s="159"/>
      <c r="N41" s="159"/>
      <c r="O41" s="159"/>
      <c r="P41" s="159"/>
      <c r="Q41" s="159"/>
      <c r="R41" s="159"/>
      <c r="S41" s="159"/>
      <c r="T41" s="159"/>
      <c r="U41" s="159"/>
      <c r="V41" s="159"/>
      <c r="W41" s="159"/>
      <c r="X41" s="159"/>
    </row>
    <row r="42" spans="2:26">
      <c r="B42" s="134"/>
      <c r="C42" s="134"/>
      <c r="D42" s="159"/>
      <c r="E42" s="159"/>
      <c r="F42" s="159"/>
      <c r="G42" s="159"/>
      <c r="H42" s="159"/>
      <c r="I42" s="159"/>
      <c r="J42" s="159"/>
      <c r="K42" s="159"/>
      <c r="L42" s="159"/>
      <c r="M42" s="159"/>
      <c r="N42" s="159"/>
      <c r="O42" s="159"/>
      <c r="P42" s="159"/>
      <c r="Q42" s="159"/>
      <c r="R42" s="159"/>
      <c r="S42" s="159"/>
      <c r="T42" s="159"/>
      <c r="U42" s="159"/>
      <c r="V42" s="159"/>
      <c r="W42" s="159"/>
      <c r="X42" s="159"/>
    </row>
    <row r="43" spans="2:26">
      <c r="B43" s="134"/>
      <c r="C43" s="134"/>
      <c r="D43" s="159"/>
      <c r="E43" s="159"/>
      <c r="F43" s="159"/>
      <c r="G43" s="159"/>
      <c r="H43" s="159"/>
      <c r="I43" s="159"/>
      <c r="J43" s="159"/>
      <c r="K43" s="159"/>
      <c r="L43" s="159"/>
      <c r="M43" s="159"/>
      <c r="N43" s="159"/>
      <c r="O43" s="159"/>
      <c r="P43" s="159"/>
      <c r="Q43" s="159"/>
      <c r="R43" s="159"/>
      <c r="S43" s="159"/>
      <c r="T43" s="159"/>
      <c r="U43" s="159"/>
      <c r="V43" s="159"/>
      <c r="W43" s="159"/>
      <c r="X43" s="159"/>
    </row>
    <row r="44" spans="2:26">
      <c r="B44" s="134"/>
      <c r="C44" s="134"/>
      <c r="D44" s="159"/>
      <c r="E44" s="159"/>
      <c r="F44" s="159"/>
      <c r="G44" s="159"/>
      <c r="H44" s="159"/>
      <c r="I44" s="159"/>
      <c r="J44" s="159"/>
      <c r="K44" s="159"/>
      <c r="L44" s="159"/>
      <c r="M44" s="159"/>
      <c r="N44" s="159"/>
      <c r="O44" s="159"/>
      <c r="P44" s="159"/>
      <c r="Q44" s="159"/>
      <c r="R44" s="159"/>
      <c r="S44" s="159"/>
      <c r="T44" s="159"/>
      <c r="U44" s="159"/>
      <c r="V44" s="159"/>
      <c r="W44" s="159"/>
      <c r="X44" s="159"/>
    </row>
    <row r="45" spans="2:26">
      <c r="B45" s="134"/>
      <c r="C45" s="134"/>
      <c r="D45" s="159"/>
      <c r="E45" s="159"/>
      <c r="F45" s="159"/>
      <c r="G45" s="159"/>
      <c r="H45" s="159"/>
      <c r="I45" s="159"/>
      <c r="J45" s="159"/>
      <c r="K45" s="159"/>
      <c r="L45" s="159"/>
      <c r="M45" s="159"/>
      <c r="N45" s="159"/>
      <c r="O45" s="159"/>
      <c r="P45" s="159"/>
      <c r="Q45" s="159"/>
      <c r="R45" s="159"/>
      <c r="S45" s="159"/>
      <c r="T45" s="159"/>
      <c r="U45" s="159"/>
      <c r="V45" s="159"/>
      <c r="W45" s="159"/>
      <c r="X45" s="159"/>
    </row>
    <row r="46" spans="2:26">
      <c r="B46" s="160" t="str">
        <f>_xlfn.XLOOKUP("AN_TRI_PARTIAL_NOTE",tblUIText[Key],tblUIText[TR],"AN_TRI_PARTIAL_NOTE")&amp;" / "&amp;_xlfn.XLOOKUP("AN_TRI_PARTIAL_NOTE",tblUIText[Key],tblUIText[EN],"")</f>
        <v>PARTIAL: hasar ayı veri başlangıcından önce; ilk gelişim ayları gözlenmedi (n/o). Faktörlere girmez. / PARTIAL: loss month before the data start; the first development months were not observed (n/o). Excluded from the factors.</v>
      </c>
    </row>
    <row r="47" spans="2:26">
      <c r="B47" s="279" t="str">
        <f>_xlfn.XLOOKUP("AN_TRI_NRATIOS",tblUIText[Key],tblUIText[TR],"AN_TRI_NRATIOS")&amp;" / "&amp;_xlfn.XLOOKUP("AN_TRI_NRATIOS",tblUIText[Key],tblUIText[EN],"")</f>
        <v>Oran sayısı / Ratios</v>
      </c>
      <c r="C47" s="279"/>
      <c r="D47" s="161" t="str" cm="1">
        <f t="array" ref="D47">IF(triNone,"",_xlfn.ANCHORARRAY($AL$5))</f>
        <v/>
      </c>
      <c r="E47" s="161"/>
      <c r="F47" s="161"/>
      <c r="G47" s="161"/>
      <c r="H47" s="161"/>
      <c r="I47" s="161"/>
      <c r="J47" s="161"/>
      <c r="K47" s="161"/>
      <c r="L47" s="161"/>
      <c r="M47" s="161"/>
      <c r="N47" s="161"/>
      <c r="O47" s="161"/>
      <c r="P47" s="161"/>
      <c r="Q47" s="161"/>
      <c r="R47" s="161"/>
      <c r="S47" s="161"/>
      <c r="T47" s="161"/>
      <c r="U47" s="161"/>
      <c r="V47" s="161"/>
      <c r="W47" s="164" t="s">
        <v>19792</v>
      </c>
    </row>
    <row r="48" spans="2:26">
      <c r="B48" s="279" t="str">
        <f>_xlfn.XLOOKUP("AN_TRI_SIMPLE",tblUIText[Key],tblUIText[TR],"AN_TRI_SIMPLE")&amp;" / "&amp;_xlfn.XLOOKUP("AN_TRI_SIMPLE",tblUIText[Key],tblUIText[EN],"")</f>
        <v>Basit ortalama / Simple average</v>
      </c>
      <c r="C48" s="279"/>
      <c r="D48" s="162" t="str" cm="1">
        <f t="array" ref="D48">IF(triNone,"",_xlfn.ANCHORARRAY($AL$6))</f>
        <v/>
      </c>
      <c r="E48" s="162"/>
      <c r="F48" s="162"/>
      <c r="G48" s="162"/>
      <c r="H48" s="162"/>
      <c r="I48" s="162"/>
      <c r="J48" s="162"/>
      <c r="K48" s="162"/>
      <c r="L48" s="162"/>
      <c r="M48" s="162"/>
      <c r="N48" s="162"/>
      <c r="O48" s="162"/>
      <c r="P48" s="162"/>
      <c r="Q48" s="162"/>
      <c r="R48" s="162"/>
      <c r="S48" s="162"/>
      <c r="T48" s="162"/>
      <c r="U48" s="162"/>
      <c r="V48" s="162"/>
      <c r="W48" s="165" t="str" cm="1">
        <f t="array" ref="W48">IF(triNone,"",SUM(_xlfn._xlws.FILTER(_xlfn.ANCHORARRAY($EI$15),(triRows&gt;=$AH$13)*ISNUMBER(_xlfn.ANCHORARRAY($EI$15)),0)))</f>
        <v/>
      </c>
      <c r="X48" s="165" cm="1">
        <f t="array" ref="X48">SUM(_xlfn._xlws.FILTER(_xlfn.ANCHORARRAY($EJ$15),ISNUMBER(_xlfn.ANCHORARRAY($EJ$15)),0))</f>
        <v>0</v>
      </c>
      <c r="Z48" s="166" t="str">
        <f>"A/E = "&amp;_xlfn.XLOOKUP("AN_TRI_DIAG",tblUIText[Key],tblUIText[TR],"AN_TRI_DIAG")&amp;" / "&amp;_xlfn.XLOOKUP("AN_TRI_DIAG",tblUIText[Key],tblUIText[EN],"")</f>
        <v>A/E = Takvim ayı (köşegen) toplamları, bin TL / Calendar month (diagonal) totals, TRY k</v>
      </c>
    </row>
    <row r="49" spans="2:24" ht="12" customHeight="1">
      <c r="B49" s="279" t="str">
        <f>_xlfn.XLOOKUP("AN_TRI_VOLUME",tblUIText[Key],tblUIText[TR],"AN_TRI_VOLUME")&amp;" / "&amp;_xlfn.XLOOKUP("AN_TRI_VOLUME",tblUIText[Key],tblUIText[EN],"")</f>
        <v>Hacim ağırlıklı / Volume weighted</v>
      </c>
      <c r="C49" s="279"/>
      <c r="D49" s="162" t="str" cm="1">
        <f t="array" ref="D49">IF(triNone,"",_xlfn.ANCHORARRAY($AL$7))</f>
        <v/>
      </c>
      <c r="E49" s="162"/>
      <c r="F49" s="162"/>
      <c r="G49" s="162"/>
      <c r="H49" s="162"/>
      <c r="I49" s="162"/>
      <c r="J49" s="162"/>
      <c r="K49" s="162"/>
      <c r="L49" s="162"/>
      <c r="M49" s="162"/>
      <c r="N49" s="162"/>
      <c r="O49" s="162"/>
      <c r="P49" s="162"/>
      <c r="Q49" s="162"/>
      <c r="R49" s="162"/>
      <c r="S49" s="162"/>
      <c r="T49" s="162"/>
      <c r="U49" s="162"/>
      <c r="V49" s="162"/>
      <c r="W49" s="284" t="str">
        <f>"PARTIAL hariç; bin TL / excl. PARTIAL; TRY k"</f>
        <v>PARTIAL hariç; bin TL / excl. PARTIAL; TRY k</v>
      </c>
      <c r="X49" s="284"/>
    </row>
    <row r="50" spans="2:24">
      <c r="B50" s="279" t="str">
        <f>_xlfn.XLOOKUP("AN_TRI_SELECTED",tblUIText[Key],tblUIText[TR],"AN_TRI_SELECTED")&amp;" / "&amp;_xlfn.XLOOKUP("AN_TRI_SELECTED",tblUIText[Key],tblUIText[EN],"")</f>
        <v>Seçilen / Selected</v>
      </c>
      <c r="C50" s="279"/>
      <c r="D50" s="176" t="str" cm="1">
        <f t="array" ref="D50">IF(triNone,"",_xlfn.ANCHORARRAY($AL$8))</f>
        <v/>
      </c>
      <c r="E50" s="176"/>
      <c r="F50" s="176"/>
      <c r="G50" s="176"/>
      <c r="H50" s="176"/>
      <c r="I50" s="176"/>
      <c r="J50" s="176"/>
      <c r="K50" s="176"/>
      <c r="L50" s="176"/>
      <c r="M50" s="176"/>
      <c r="N50" s="176"/>
      <c r="O50" s="176"/>
      <c r="P50" s="176"/>
      <c r="Q50" s="176"/>
      <c r="R50" s="176"/>
      <c r="S50" s="176"/>
      <c r="T50" s="176"/>
      <c r="U50" s="176"/>
      <c r="V50" s="176"/>
      <c r="W50" s="284"/>
      <c r="X50" s="284"/>
    </row>
    <row r="51" spans="2:24">
      <c r="B51" s="279" t="str">
        <f>_xlfn.XLOOKUP("AN_TRI_CDF",tblUIText[Key],tblUIText[TR],"AN_TRI_CDF")&amp;" / "&amp;_xlfn.XLOOKUP("AN_TRI_CDF",tblUIText[Key],tblUIText[EN],"")</f>
        <v>Kümülatif faktör / Cumulative factor</v>
      </c>
      <c r="C51" s="279"/>
      <c r="D51" s="177" t="str" cm="1">
        <f t="array" ref="D51:V51">_xlfn.ANCHORARRAY($AL$9)</f>
        <v>n/a</v>
      </c>
      <c r="E51" s="177" t="str">
        <v>n/a</v>
      </c>
      <c r="F51" s="177" t="str">
        <v>n/a</v>
      </c>
      <c r="G51" s="177" t="str">
        <v>n/a</v>
      </c>
      <c r="H51" s="177" t="str">
        <v>n/a</v>
      </c>
      <c r="I51" s="177" t="str">
        <v>n/a</v>
      </c>
      <c r="J51" s="177" t="str">
        <v>n/a</v>
      </c>
      <c r="K51" s="177" t="str">
        <v>n/a</v>
      </c>
      <c r="L51" s="177" t="str">
        <v>n/a</v>
      </c>
      <c r="M51" s="177" t="str">
        <v>n/a</v>
      </c>
      <c r="N51" s="177" t="str">
        <v>n/a</v>
      </c>
      <c r="O51" s="177" t="str">
        <v>n/a</v>
      </c>
      <c r="P51" s="177" t="str">
        <v>n/a</v>
      </c>
      <c r="Q51" s="177" t="str">
        <v>n/a</v>
      </c>
      <c r="R51" s="177" t="str">
        <v>n/a</v>
      </c>
      <c r="S51" s="177" t="str">
        <v>n/a</v>
      </c>
      <c r="T51" s="177" t="str">
        <v>n/a</v>
      </c>
      <c r="U51" s="177" t="str">
        <v>n/a</v>
      </c>
      <c r="V51" s="177">
        <v>1</v>
      </c>
      <c r="W51" s="284"/>
      <c r="X51" s="284"/>
    </row>
    <row r="52" spans="2:24">
      <c r="B52" s="279" t="str">
        <f>_xlfn.XLOOKUP("AN_TRI_CV",tblUIText[Key],tblUIText[TR],"AN_TRI_CV")&amp;" / "&amp;_xlfn.XLOOKUP("AN_TRI_CV",tblUIText[Key],tblUIText[EN],"")</f>
        <v>Değişkenlik (CV) / Stability (CV)</v>
      </c>
      <c r="C52" s="279"/>
      <c r="D52" s="163" t="str" cm="1">
        <f t="array" ref="D52">IF(triNone,"",_xlfn.ANCHORARRAY($AL$10))</f>
        <v/>
      </c>
      <c r="E52" s="163"/>
      <c r="F52" s="163"/>
      <c r="G52" s="163"/>
      <c r="H52" s="163"/>
      <c r="I52" s="163"/>
      <c r="J52" s="163"/>
      <c r="K52" s="163"/>
      <c r="L52" s="163"/>
      <c r="M52" s="163"/>
      <c r="N52" s="163"/>
      <c r="O52" s="163"/>
      <c r="P52" s="163"/>
      <c r="Q52" s="163"/>
      <c r="R52" s="163"/>
      <c r="S52" s="163"/>
      <c r="T52" s="163"/>
      <c r="U52" s="163"/>
      <c r="V52" s="163"/>
      <c r="W52" s="284"/>
      <c r="X52" s="284"/>
    </row>
    <row r="53" spans="2:24">
      <c r="B53" s="279" t="str">
        <f>_xlfn.XLOOKUP("AN_TRI_SHARE",tblUIText[Key],tblUIText[TR],"AN_TRI_SHARE")&amp;" / "&amp;_xlfn.XLOOKUP("AN_TRI_SHARE",tblUIText[Key],tblUIText[EN],"")</f>
        <v>Gelişim payı / Development share</v>
      </c>
      <c r="C53" s="279"/>
      <c r="D53" s="178" t="str" cm="1">
        <f t="array" ref="D53:U53">_xlfn.LET(_xlpm.cd,_xlfn.ANCHORARRAY($AL$9),_xlfn.MAKEARRAY(1,triMx,_xlfn.LAMBDA(_xlpm.r,_xlpm.c,_xlfn.LET(_xlpm.a,INDEX(_xlpm.cd,1,_xlpm.c),_xlpm.b,INDEX(_xlpm.cd,1,_xlpm.c+1),IF(AND(ISNUMBER(_xlpm.a),ISNUMBER(_xlpm.b)),1/_xlpm.b-1/_xlpm.a,"")))))</f>
        <v/>
      </c>
      <c r="E53" s="178" t="str">
        <v/>
      </c>
      <c r="F53" s="178" t="str">
        <v/>
      </c>
      <c r="G53" s="178" t="str">
        <v/>
      </c>
      <c r="H53" s="178" t="str">
        <v/>
      </c>
      <c r="I53" s="178" t="str">
        <v/>
      </c>
      <c r="J53" s="178" t="str">
        <v/>
      </c>
      <c r="K53" s="178" t="str">
        <v/>
      </c>
      <c r="L53" s="178" t="str">
        <v/>
      </c>
      <c r="M53" s="178" t="str">
        <v/>
      </c>
      <c r="N53" s="178" t="str">
        <v/>
      </c>
      <c r="O53" s="178" t="str">
        <v/>
      </c>
      <c r="P53" s="178" t="str">
        <v/>
      </c>
      <c r="Q53" s="178" t="str">
        <v/>
      </c>
      <c r="R53" s="178" t="str">
        <v/>
      </c>
      <c r="S53" s="178" t="str">
        <v/>
      </c>
      <c r="T53" s="178" t="str">
        <v/>
      </c>
      <c r="U53" s="178" t="str">
        <v/>
      </c>
      <c r="V53" s="178"/>
    </row>
    <row r="54" spans="2:24">
      <c r="B54" s="279" t="str">
        <f>_xlfn.XLOOKUP("AN_TRI_STABFLAG",tblUIText[Key],tblUIText[TR],"AN_TRI_STABFLAG")&amp;" / "&amp;_xlfn.XLOOKUP("AN_TRI_STABFLAG",tblUIText[Key],tblUIText[EN],"")</f>
        <v>Kararlılık / Stability</v>
      </c>
      <c r="C54" s="279"/>
      <c r="D54" s="179" t="str" cm="1">
        <f t="array" ref="D54">IF(triNone,"",_xlfn.MAKEARRAY(1,triMx,_xlfn.LAMBDA(_xlpm.r,_xlpm.c,_xlfn.LET(_xlpm.n,INDEX(_xlfn.ANCHORARRAY($AL$5),1,_xlpm.c),_xlpm.cv,INDEX(_xlfn.ANCHORARRAY($AL$10),1,_xlpm.c),_xlpm.sh,INDEX(_xlfn.ANCHORARRAY($D$53),1,_xlpm.c),IF(_xlpm.n&lt;$AH$12,"",IF(AND(ISNUMBER(_xlpm.cv),_xlpm.cv&gt;_xlfn.XLOOKUP("TriStabilityCV",AnParam[Param],AnParam[Value])),"CV",IF(AND(ISNUMBER(_xlpm.sh),_xlpm.sh&lt;_xlfn.XLOOKUP("TriMinDevShare",AnParam[Param],AnParam[Value])),"&lt;p","")))))))</f>
        <v/>
      </c>
      <c r="E54" s="179"/>
      <c r="F54" s="179"/>
      <c r="G54" s="179"/>
      <c r="H54" s="179"/>
      <c r="I54" s="179"/>
      <c r="J54" s="179"/>
      <c r="K54" s="179"/>
      <c r="L54" s="179"/>
      <c r="M54" s="179"/>
      <c r="N54" s="179"/>
      <c r="O54" s="179"/>
      <c r="P54" s="179"/>
      <c r="Q54" s="179"/>
      <c r="R54" s="179"/>
      <c r="S54" s="179"/>
      <c r="T54" s="179"/>
      <c r="U54" s="179"/>
      <c r="V54" s="179"/>
    </row>
    <row r="55" spans="2:24">
      <c r="B55" s="276" t="str" cm="1">
        <f t="array" ref="B55">"CV = "&amp;_xlfn.XLOOKUP("AN_TRI_FLAG_CV",tblUIText[Key],tblUIText[TR],"AN_TRI_FLAG_CV")&amp;" / "&amp;_xlfn.XLOOKUP("AN_TRI_FLAG_CV",tblUIText[Key],tblUIText[EN],"")&amp;" (CV &gt; "&amp;anNum(_xlfn.XLOOKUP("TriStabilityCV",AnParam[Param],AnParam[Value]),2)&amp;"); &lt;p = "&amp;_xlfn.XLOOKUP("AN_TRI_FLAG_SMALL",tblUIText[Key],tblUIText[TR],"AN_TRI_FLAG_SMALL")&amp;" / "&amp;_xlfn.XLOOKUP("AN_TRI_FLAG_SMALL",tblUIText[Key],tblUIText[EN],"")&amp;" (&lt; "&amp;anPct(_xlfn.XLOOKUP("TriMinDevShare",AnParam[Param],AnParam[Value]),0)&amp;")"</f>
        <v>CV = kararsız / unstable (CV &gt; 0,50); &lt;p = önemsiz / immaterial (&lt; %5)</v>
      </c>
      <c r="C55" s="276"/>
      <c r="D55" s="276"/>
      <c r="E55" s="276"/>
      <c r="F55" s="276"/>
      <c r="G55" s="276"/>
      <c r="H55" s="276"/>
      <c r="I55" s="276"/>
      <c r="J55" s="276"/>
      <c r="K55" s="276"/>
      <c r="L55" s="276"/>
      <c r="M55" s="276"/>
      <c r="N55" s="276"/>
      <c r="O55" s="276"/>
      <c r="P55" s="276"/>
      <c r="Q55" s="276"/>
      <c r="R55" s="276"/>
      <c r="S55" s="276"/>
      <c r="T55" s="276"/>
      <c r="U55" s="276"/>
      <c r="V55" s="276"/>
      <c r="W55" s="276"/>
      <c r="X55" s="276"/>
    </row>
    <row r="56" spans="2:24">
      <c r="B56" s="277" t="str" cm="1">
        <f t="array" ref="B56">_xlfn.XLOOKUP("AN_TRI_FURTHER",tblUIText[Key],tblUIText[TR],"AN_TRI_FURTHER")&amp;" / "&amp;_xlfn.XLOOKUP("AN_TRI_FURTHER",tblUIText[Key],tblUIText[EN],"")&amp;": "&amp;anNum($AH$15/1000000,1)&amp;" mn TL / TRY m"</f>
        <v>Gösterge ek ödemeler = projeksiyon - son kümülatif (rezerv değildir) / Indicative further payments = projection - latest cumulative (not a reserve): 0,0 mn TL / TRY m</v>
      </c>
      <c r="C56" s="277"/>
      <c r="D56" s="277"/>
      <c r="E56" s="277"/>
      <c r="F56" s="277"/>
      <c r="G56" s="277"/>
      <c r="H56" s="277"/>
      <c r="I56" s="277"/>
      <c r="J56" s="277"/>
      <c r="K56" s="277"/>
      <c r="L56" s="277"/>
      <c r="M56" s="277"/>
      <c r="N56" s="277"/>
      <c r="O56" s="277"/>
      <c r="P56" s="277"/>
      <c r="Q56" s="277"/>
      <c r="R56" s="277"/>
      <c r="S56" s="277"/>
      <c r="T56" s="277"/>
      <c r="U56" s="277"/>
      <c r="V56" s="277"/>
      <c r="W56" s="277"/>
      <c r="X56" s="277"/>
    </row>
    <row r="57" spans="2:24" ht="21.95" customHeight="1">
      <c r="B57" s="278" t="str" cm="1">
        <f t="array" ref="B57">_xlfn.XLOOKUP("AN_TRI_SENS",tblUIText[Key],tblUIText[TR],"AN_TRI_SENS")&amp;" / "&amp;_xlfn.XLOOKUP("AN_TRI_SENS",tblUIText[Key],tblUIText[EN],"")&amp;": "&amp;IFERROR(anNum(INDEX(_xlfn.ANCHORARRAY($FD$5),1)/1000000,1)&amp;" | "&amp;anNum(INDEX(_xlfn.ANCHORARRAY($FD$5),2)/1000000,1)&amp;" | "&amp;anNum(INDEX(_xlfn.ANCHORARRAY($FD$5),3)/1000000,1)&amp;" mn TL / TRY m","-")&amp;". "&amp;_xlfn.XLOOKUP("AN_TRI_HEADRANGE",tblUIText[Key],tblUIText[TR],"AN_TRI_HEADRANGE")&amp;" / "&amp;_xlfn.XLOOKUP("AN_TRI_HEADRANGE",tblUIText[Key],tblUIText[EN],"")</f>
        <v>Duyarlılık aralığı (hacim ağırlıklı son 6, basit ortalama son 6, hacim ağırlıklı son 12) / Sensitivity range (volume-weighted latest 6, simple average latest 6, volume-weighted latest 12):  |  |  mn TL / TRY m. Başlıktaki aralık yalnızca kararlı yöntemlerden: hacim ağırlıklı son 6 ve son 12 / The headline range uses the stable methods only: volume-weighted latest 6 and 12</v>
      </c>
      <c r="C57" s="278"/>
      <c r="D57" s="278"/>
      <c r="E57" s="278"/>
      <c r="F57" s="278"/>
      <c r="G57" s="278"/>
      <c r="H57" s="278"/>
      <c r="I57" s="278"/>
      <c r="J57" s="278"/>
      <c r="K57" s="278"/>
      <c r="L57" s="278"/>
      <c r="M57" s="278"/>
      <c r="N57" s="278"/>
      <c r="O57" s="278"/>
      <c r="P57" s="278"/>
      <c r="Q57" s="278"/>
      <c r="R57" s="278"/>
      <c r="S57" s="278"/>
      <c r="T57" s="278"/>
      <c r="U57" s="278"/>
      <c r="V57" s="278"/>
      <c r="W57" s="278"/>
      <c r="X57" s="278"/>
    </row>
    <row r="58" spans="2:24">
      <c r="B58" s="155"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row>
  </sheetData>
  <sheetProtection algorithmName="SHA-512" hashValue="A5h5h9eaCW2g+Jg1p9jR8XDme8P7xJ5farIO1hif4AEqsGAo3xGtz7teQc5779C1WcjNI+V19PJoSbEX0PLvJA==" saltValue="fq+j+uEoIT1y0TdvQaQsSg==" spinCount="100000" sheet="1" scenarios="1" formatColumns="0" sort="0" autoFilter="0"/>
  <mergeCells count="23">
    <mergeCell ref="W49:X52"/>
    <mergeCell ref="U8:W8"/>
    <mergeCell ref="B9:X9"/>
    <mergeCell ref="B47:C47"/>
    <mergeCell ref="B48:C48"/>
    <mergeCell ref="B49:C49"/>
    <mergeCell ref="B50:C50"/>
    <mergeCell ref="B55:X55"/>
    <mergeCell ref="B56:X56"/>
    <mergeCell ref="B57:X57"/>
    <mergeCell ref="C5:D5"/>
    <mergeCell ref="B4:X4"/>
    <mergeCell ref="B6:X6"/>
    <mergeCell ref="B53:C53"/>
    <mergeCell ref="B54:C54"/>
    <mergeCell ref="B8:C8"/>
    <mergeCell ref="D8:G8"/>
    <mergeCell ref="H8:K8"/>
    <mergeCell ref="L8:O8"/>
    <mergeCell ref="P8:R8"/>
    <mergeCell ref="S8:T8"/>
    <mergeCell ref="B51:C51"/>
    <mergeCell ref="B52:C52"/>
  </mergeCells>
  <conditionalFormatting sqref="B6">
    <cfRule type="expression" dxfId="511" priority="1" stopIfTrue="1">
      <formula>ISNUMBER(SEARCH("INSUFFICIENT",$B$6))</formula>
    </cfRule>
  </conditionalFormatting>
  <conditionalFormatting sqref="D12:V45">
    <cfRule type="expression" dxfId="510" priority="2" stopIfTrue="1">
      <formula>$AH$5=3</formula>
    </cfRule>
    <cfRule type="colorScale" priority="3">
      <colorScale>
        <cfvo type="percentile" val="5"/>
        <cfvo type="percentile" val="50"/>
        <cfvo type="percentile" val="95"/>
        <color rgb="FFFFFFFF"/>
        <color rgb="FFFFEB9C"/>
        <color rgb="FF92D050"/>
      </colorScale>
    </cfRule>
    <cfRule type="expression" dxfId="509" priority="5" stopIfTrue="1">
      <formula>D12="n/o"</formula>
    </cfRule>
  </conditionalFormatting>
  <conditionalFormatting sqref="B12:X45">
    <cfRule type="expression" dxfId="508" priority="4" stopIfTrue="1">
      <formula>$C12="PARTIAL"</formula>
    </cfRule>
  </conditionalFormatting>
  <conditionalFormatting sqref="D54:V54">
    <cfRule type="expression" dxfId="507" priority="6" stopIfTrue="1">
      <formula>D54&lt;&gt;""</formula>
    </cfRule>
  </conditionalFormatting>
  <conditionalFormatting sqref="D50:V51">
    <cfRule type="expression" dxfId="506" priority="7" stopIfTrue="1">
      <formula>NOT(ISNUMBER(D50))</formula>
    </cfRule>
  </conditionalFormatting>
  <dataValidations count="6">
    <dataValidation type="list" allowBlank="1" showInputMessage="1" showErrorMessage="1" sqref="C5" xr:uid="{615CFCA6-FFA5-464E-BC91-F369B3DD844D}">
      <formula1>"Life,Pension,Non-life,Unassigned"</formula1>
    </dataValidation>
    <dataValidation type="list" allowBlank="1" showInputMessage="1" showErrorMessage="1" sqref="J5" xr:uid="{311E3B03-AB62-4D45-B7B2-EE415C541BD3}">
      <formula1>_xlfn.ANCHORARRAY($AJ$2)</formula1>
    </dataValidation>
    <dataValidation type="list" allowBlank="1" showInputMessage="1" showErrorMessage="1" sqref="D8" xr:uid="{E26C45A6-5CC6-47DB-85AE-F650FF2A73FF}">
      <formula1>"Artımsal / Incremental,Kümülatif / Cumulative,Bağ oranı / Link ratio"</formula1>
    </dataValidation>
    <dataValidation type="list" allowBlank="1" showInputMessage="1" showErrorMessage="1" sqref="L8" xr:uid="{12115228-A8E1-4A58-9354-ABE645394860}">
      <formula1>"Hacim ağırlıklı / Volume weighted,Basit ortalama / Simple average"</formula1>
    </dataValidation>
    <dataValidation type="list" allowBlank="1" showInputMessage="1" showErrorMessage="1" sqref="S8" xr:uid="{F82251A8-ABD5-4212-A5EE-B9385ECD980F}">
      <formula1>"3,6,12,Tümü / All"</formula1>
    </dataValidation>
    <dataValidation type="decimal" allowBlank="1" showInputMessage="1" showErrorMessage="1" sqref="X8" xr:uid="{7B515422-CD52-4F7A-B911-04A64E8B41DF}">
      <formula1>1</formula1>
      <formula2>3</formula2>
    </dataValidation>
  </dataValidations>
  <printOptions horizontalCentered="1"/>
  <pageMargins left="0.25" right="0.25" top="0.25" bottom="0.25" header="0.3" footer="0.3"/>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1BFB-7D62-4C32-ACD3-95E85EDE677C}">
  <sheetPr codeName="Sheet81">
    <pageSetUpPr fitToPage="1"/>
  </sheetPr>
  <dimension ref="B1:AZ48"/>
  <sheetViews>
    <sheetView showGridLines="0" workbookViewId="0"/>
  </sheetViews>
  <sheetFormatPr defaultRowHeight="12"/>
  <cols>
    <col min="1" max="1" width="2.28515625" style="122" customWidth="1"/>
    <col min="2" max="2" width="30.7109375" style="122" customWidth="1"/>
    <col min="3" max="19" width="8.28515625" style="122" customWidth="1"/>
    <col min="20" max="27" width="9.140625" style="122"/>
    <col min="28" max="52" width="0" style="122" hidden="1" customWidth="1"/>
    <col min="53" max="16384" width="9.140625" style="122"/>
  </cols>
  <sheetData>
    <row r="1" spans="2:52" ht="18">
      <c r="B1" s="123" t="str" cm="1">
        <f t="array" ref="B1">_xlfn.XLOOKUP("AN_SEG_"&amp;$C$5,tblUIText[Key],tblUIText[TR],$C$5)&amp;IF($AB$4,"",", "&amp;$J$5)&amp;": "&amp;_xlfn.XLOOKUP("AN_ST_L2P",tblUIText[Key],tblUIText[TR],"AN_ST_L2P")&amp;" P50 "&amp;IF(ISNUMBER($E$17),anNum($E$17,0),"-")&amp;", P90 "&amp;IF(ISNUMBER($G$17),anNum($G$17,0),"-")&amp;" "&amp;_xlfn.XLOOKUP("AN_W_DAYS",tblUIText[Key],tblUIText[TR],"AN_W_DAYS")&amp;" ("&amp;_xlfn.XLOOKUP("AN_LAG_UNIT",tblUIText[Key],tblUIText[TR],"AN_LAG_UNIT")&amp;": "&amp;_xlfn.XLOOKUP("AN_LAG_UNIT_"&amp;IF($AZ$17,"CASE","LINE"),tblUIText[Key],tblUIText[TR])&amp;"); SLA "&amp;IF(ISNUMBER($I$17),anPct($I$17,1),"-")&amp;" ("&amp;_xlfn.XLOOKUP("AN_SLA_SHORT",tblUIText[Key],tblUIText[TR],"AN_SLA_SHORT")&amp;")"</f>
        <v>Hayat: Hasar → ödeme P50 -, P90 - gün (Birim: satır); SLA - (SLA geçici değer)</v>
      </c>
      <c r="AB1" s="122" t="s">
        <v>19090</v>
      </c>
    </row>
    <row r="2" spans="2:52" ht="15">
      <c r="B2" s="124" t="str" cm="1">
        <f t="array" ref="B2">_xlfn.XLOOKUP("AN_SEG_"&amp;$C$5,tblUIText[Key],tblUIText[EN],$C$5)&amp;IF($AB$4,"",", "&amp;$J$5)&amp;": "&amp;_xlfn.XLOOKUP("AN_ST_L2P",tblUIText[Key],tblUIText[EN],"AN_ST_L2P")&amp;" P50 "&amp;IF(ISNUMBER($E$17),anNum($E$17,0),"-")&amp;", P90 "&amp;IF(ISNUMBER($G$17),anNum($G$17,0),"-")&amp;" "&amp;_xlfn.XLOOKUP("AN_W_DAYS",tblUIText[Key],tblUIText[EN],"AN_W_DAYS")&amp;" ("&amp;_xlfn.XLOOKUP("AN_LAG_UNIT",tblUIText[Key],tblUIText[EN],"AN_LAG_UNIT")&amp;": "&amp;_xlfn.XLOOKUP("AN_LAG_UNIT_"&amp;IF($AZ$17,"CASE","LINE"),tblUIText[Key],tblUIText[EN])&amp;"); SLA "&amp;IF(ISNUMBER($I$17),anPct($I$17,1),"-")&amp;" ("&amp;_xlfn.XLOOKUP("AN_SLA_SHORT",tblUIText[Key],tblUIText[EN],"AN_SLA_SHORT")&amp;")"</f>
        <v>Life: Loss → payment P50 -, P90 - days (Unit: line); SLA - (SLA placeholder)</v>
      </c>
      <c r="AB2" s="122" t="str">
        <f>$C$5</f>
        <v>Life</v>
      </c>
      <c r="AF2" s="122" t="str">
        <f>_xlfn.XLOOKUP("AN_ST_L2N",tblUIText[Key],tblUIText[TR],"AN_ST_L2N")&amp;" / "&amp;_xlfn.XLOOKUP("AN_ST_L2N",tblUIText[Key],tblUIText[EN],"")</f>
        <v>Hasar → ihbar / Loss → notification</v>
      </c>
      <c r="AW2" s="122" t="str" cm="1">
        <f t="array" ref="AW2">IFERROR(INDEX(anMonthsAsc,_xlfn.XLOOKUP("LagCensorMonths",tblParameters[Parameter],tblParameters[Value],3)),"")</f>
        <v/>
      </c>
      <c r="AX2" s="122" t="str" cm="1">
        <f t="array" ref="AX2:AX3">_xlfn.VSTACK($AB$3,IFERROR(_xlfn._xlws.SORT(_xlfn.UNIQUE(_xlfn._xlws.FILTER(anLAG_YM,(anLAG_Seg=$C$5)*(anLAG_L2P_N&gt;0))),,-1),""))</f>
        <v>Tüm aylar / All months</v>
      </c>
    </row>
    <row r="3" spans="2:52">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7" t="str">
        <f>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tr">
        <f>_xlfn.XLOOKUP("AN_LAG_ALLM",tblUIText[Key],tblUIText[TR],"AN_LAG_ALLM")&amp;" / "&amp;_xlfn.XLOOKUP("AN_LAG_ALLM",tblUIText[Key],tblUIText[EN],"")</f>
        <v>Tüm aylar / All months</v>
      </c>
      <c r="AF3" s="122" t="str">
        <f>_xlfn.XLOOKUP("AN_ST_N2D",tblUIText[Key],tblUIText[TR],"AN_ST_N2D")&amp;" / "&amp;_xlfn.XLOOKUP("AN_ST_N2D",tblUIText[Key],tblUIText[EN],"")</f>
        <v>İhbar → evrak / Notification → documents</v>
      </c>
      <c r="AX3" s="122" t="str">
        <v/>
      </c>
    </row>
    <row r="4" spans="2:52" ht="33.950000000000003" customHeight="1">
      <c r="B4" s="244" t="str">
        <f>_xlfn.XLOOKUP("AN_LAG_PURPOSE",tblUIText[Key],tblUIText[TR],"AN_LAG_PURPOSE")&amp;" / "&amp;_xlfn.XLOOKUP("AN_LAG_PURPOSE",tblUIText[Key],tblUIText[EN],"")&amp;CHAR(10)&amp;_xlfn.XLOOKUP("AN_HOWTO_LAGS",tblUIText[Key],tblUIText[TR],"AN_HOWTO_LAGS")&amp;" / "&amp;_xlfn.XLOOKUP("AN_HOWTO_LAGS",tblUIText[Key],tblUIText[EN],"")</f>
        <v>Dosyalar aşamalar arasında ne kadar hızlı ilerliyor? / How fast do cases move between stages?
Nasıl okunur: her aşama için gün cinsinden süreler; birim satır ya da dosya (ilk ödeme); SLA değerleri geçicidir. / How to read: days per stage; the unit is the payment line or the case (first payment); SLA values are placeholders.</v>
      </c>
      <c r="C4" s="244"/>
      <c r="D4" s="244"/>
      <c r="E4" s="244"/>
      <c r="F4" s="244"/>
      <c r="G4" s="244"/>
      <c r="H4" s="244"/>
      <c r="I4" s="244"/>
      <c r="J4" s="244"/>
      <c r="K4" s="244"/>
      <c r="L4" s="244"/>
      <c r="M4" s="244"/>
      <c r="N4" s="244"/>
      <c r="O4" s="244"/>
      <c r="P4" s="244"/>
      <c r="Q4" s="244"/>
      <c r="R4" s="244"/>
      <c r="S4" s="244"/>
      <c r="AB4" s="122" t="b">
        <f>$J$5=$AB$3</f>
        <v>1</v>
      </c>
      <c r="AF4" s="122" t="str">
        <f>_xlfn.XLOOKUP("AN_ST_D2C",tblUIText[Key],tblUIText[TR],"AN_ST_D2C")&amp;" / "&amp;_xlfn.XLOOKUP("AN_ST_D2C",tblUIText[Key],tblUIText[EN],"")</f>
        <v>Evrak → karar / Documents → decision</v>
      </c>
    </row>
    <row r="5" spans="2:52">
      <c r="B5" s="128" t="s">
        <v>19100</v>
      </c>
      <c r="C5" s="275" t="s">
        <v>113</v>
      </c>
      <c r="D5" s="275"/>
      <c r="E5" s="126" t="str">
        <f>_xlfn.XLOOKUP("AN_SEG_"&amp;$C$5,tblUIText[Key],tblUIText[TR],$C$5)&amp;" / "&amp;_xlfn.XLOOKUP("AN_SEG_"&amp;$C$5,tblUIText[Key],tblUIText[EN],$C$5)</f>
        <v>Hayat / Life</v>
      </c>
      <c r="I5" s="129" t="str">
        <f>_xlfn.XLOOKUP("AN_LBL_MONTH",tblUIText[Key],tblUIText[TR],"AN_LBL_MONTH")&amp;" / "&amp;_xlfn.XLOOKUP("AN_LBL_MONTH",tblUIText[Key],tblUIText[EN],"")&amp;":"</f>
        <v>Ay / Month:</v>
      </c>
      <c r="J5" s="143" t="s">
        <v>19793</v>
      </c>
      <c r="M5" s="130" t="str">
        <f>_xlfn.XLOOKUP("AN_LBL_REFRESH",tblUIText[Key],tblUIText[TR],"AN_LBL_REFRESH")&amp;" / "&amp;_xlfn.XLOOKUP("AN_LBL_REFRESH",tblUIText[Key],tblUIText[EN],"")&amp;": "&amp;IFERROR(TEXT(cpLastLoggedRefresh,"yyyy-mm-dd hh:mm"),cpLastLoggedRefresh&amp;"")</f>
        <v>Son yenileme / Last refresh: none</v>
      </c>
      <c r="AB5" s="122">
        <f>IFERROR(MATCH($C$8,$AF$2:$AF$7,0),6)</f>
        <v>6</v>
      </c>
      <c r="AF5" s="122" t="str">
        <f>_xlfn.XLOOKUP("AN_ST_C2P",tblUIText[Key],tblUIText[TR],"AN_ST_C2P")&amp;" / "&amp;_xlfn.XLOOKUP("AN_ST_C2P",tblUIText[Key],tblUIText[EN],"")</f>
        <v>Karar → ödeme / Decision → payment</v>
      </c>
    </row>
    <row r="6" spans="2:52">
      <c r="B6" s="245" t="str" cm="1">
        <f t="array" ref="B6">_xlfn.XLOOKUP("AN_LBL_READINESS",tblUIText[Key],tblUIText[TR],"AN_LBL_READINESS")&amp;" / "&amp;_xlfn.XLOOKUP("AN_LBL_READINESS",tblUIText[Key],tblUIText[EN],"")&amp;": "&amp;IF(N($C$17)&lt;_xlfn.XLOOKUP("MinLinesForQuantile",AnParam[Param],AnParam[Value]),"INSUFFICIENT DATA","OK")&amp;": "&amp;anNum(N($C$17),0)&amp;" "&amp;_xlfn.XLOOKUP("AN_LAG_N",tblUIText[Key],tblUIText[TR],"AN_LAG_N")&amp;" / "&amp;_xlfn.XLOOKUP("AN_LAG_N",tblUIText[Key],tblUIText[EN],"")&amp;" ("&amp;_xlfn.XLOOKUP("AN_ST_L2P",tblUIText[Key],tblUIText[TR],"AN_ST_L2P")&amp;" / "&amp;_xlfn.XLOOKUP("AN_ST_L2P",tblUIText[Key],tblUIText[EN],"")&amp;", "&amp;$J$17&amp;")"</f>
        <v>Veri durumu / Data readiness: INSUFFICIENT DATA: 0 Adet / Count (Hasar → ödeme / Loss → payment, satır / line)</v>
      </c>
      <c r="C6" s="246"/>
      <c r="D6" s="246"/>
      <c r="E6" s="246"/>
      <c r="F6" s="246"/>
      <c r="G6" s="246"/>
      <c r="H6" s="246"/>
      <c r="I6" s="246"/>
      <c r="J6" s="246"/>
      <c r="K6" s="246"/>
      <c r="L6" s="246"/>
      <c r="M6" s="246"/>
      <c r="N6" s="246"/>
      <c r="O6" s="246"/>
      <c r="P6" s="246"/>
      <c r="Q6" s="246"/>
      <c r="R6" s="246"/>
      <c r="S6" s="246"/>
      <c r="AB6" s="122">
        <f>IFERROR(MATCH($C$9,$AF$10:$AF$12,0),1)</f>
        <v>1</v>
      </c>
      <c r="AF6" s="122" t="str">
        <f>_xlfn.XLOOKUP("AN_ST_N2P",tblUIText[Key],tblUIText[TR],"AN_ST_N2P")&amp;" / "&amp;_xlfn.XLOOKUP("AN_ST_N2P",tblUIText[Key],tblUIText[EN],"")</f>
        <v>İhbar → ödeme / Notification → payment</v>
      </c>
    </row>
    <row r="7" spans="2:52"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B7" s="122" t="b" cm="1">
        <f t="array" ref="AB7">INDEX($AZ$12:$AZ$17,$AB$5)</f>
        <v>0</v>
      </c>
      <c r="AF7" s="122" t="str">
        <f>_xlfn.XLOOKUP("AN_ST_L2P",tblUIText[Key],tblUIText[TR],"AN_ST_L2P")&amp;" / "&amp;_xlfn.XLOOKUP("AN_ST_L2P",tblUIText[Key],tblUIText[EN],"")</f>
        <v>Hasar → ödeme / Loss → payment</v>
      </c>
    </row>
    <row r="8" spans="2:52">
      <c r="B8" s="172" t="str">
        <f>_xlfn.XLOOKUP("AN_LAG_SEL",tblUIText[Key],tblUIText[TR],"AN_LAG_SEL")&amp;" / "&amp;_xlfn.XLOOKUP("AN_LAG_SEL",tblUIText[Key],tblUIText[EN],"")&amp;":"</f>
        <v>Grafik aşaması / Chart stage:</v>
      </c>
      <c r="C8" s="287" t="s">
        <v>19794</v>
      </c>
      <c r="D8" s="287"/>
      <c r="E8" s="287"/>
      <c r="F8" s="287"/>
      <c r="G8" s="287"/>
      <c r="H8" s="287"/>
      <c r="I8" s="287"/>
      <c r="AB8" s="122" t="str">
        <f>IF($AB$7,_xlfn.XLOOKUP("AN_LAG_UNIT_CASE",tblUIText[Key],tblUIText[TR],"AN_LAG_UNIT_CASE")&amp;" / "&amp;_xlfn.XLOOKUP("AN_LAG_UNIT_CASE",tblUIText[Key],tblUIText[EN],""),_xlfn.XLOOKUP("AN_LAG_UNIT_LINE",tblUIText[Key],tblUIText[TR],"AN_LAG_UNIT_LINE")&amp;" / "&amp;_xlfn.XLOOKUP("AN_LAG_UNIT_LINE",tblUIText[Key],tblUIText[EN],""))</f>
        <v>satır / line</v>
      </c>
    </row>
    <row r="9" spans="2:52">
      <c r="B9" s="172" t="str">
        <f>_xlfn.XLOOKUP("AN_LAG_UNIT",tblUIText[Key],tblUIText[TR],"AN_LAG_UNIT")&amp;" / "&amp;_xlfn.XLOOKUP("AN_LAG_UNIT",tblUIText[Key],tblUIText[EN],"")&amp;":"</f>
        <v>Birim / Unit:</v>
      </c>
      <c r="C9" s="287" t="s">
        <v>20153</v>
      </c>
      <c r="D9" s="275"/>
      <c r="E9" s="275"/>
      <c r="F9" s="275"/>
      <c r="G9" s="275"/>
      <c r="H9" s="275"/>
      <c r="I9" s="275"/>
      <c r="J9" s="275"/>
      <c r="K9" s="275"/>
      <c r="L9" s="275"/>
      <c r="M9" s="275"/>
      <c r="N9" s="275"/>
      <c r="O9" s="275"/>
      <c r="P9" s="275"/>
      <c r="Q9" s="275"/>
      <c r="R9" s="275"/>
      <c r="S9" s="275"/>
      <c r="AB9" s="122" cm="1">
        <f t="array" ref="AB9">SUM(--(INDEX(_xlfn.ANCHORARRAY($AN$11),,1)&gt;0))</f>
        <v>0</v>
      </c>
    </row>
    <row r="10" spans="2:52">
      <c r="B10" s="127" t="str">
        <f>_xlfn.XLOOKUP("AN_LAG_TABLE",tblUIText[Key],tblUIText[TR],"AN_LAG_TABLE")&amp;" / "&amp;_xlfn.XLOOKUP("AN_LAG_TABLE",tblUIText[Key],tblUIText[EN],"")&amp;" - "&amp;IF($AB$4,_xlfn.XLOOKUP("AN_LAG_ALLM",tblUIText[Key],tblUIText[TR],"AN_LAG_ALLM")&amp;" / "&amp;_xlfn.XLOOKUP("AN_LAG_ALLM",tblUIText[Key],tblUIText[EN],""),$J$5)</f>
        <v>Aşamalara göre süre (gün; birim tabloda) / Days by stage (unit in the table) - Tüm aylar / All months</v>
      </c>
      <c r="AB10" s="122" t="s">
        <v>19798</v>
      </c>
      <c r="AC10" s="122" t="s">
        <v>20154</v>
      </c>
      <c r="AD10" s="122" t="s">
        <v>19799</v>
      </c>
      <c r="AE10" s="122" t="s">
        <v>19800</v>
      </c>
      <c r="AF10" s="122" t="str">
        <f>_xlfn.XLOOKUP("AN_LAG_UNIT_DEFAULT",tblUIText[Key],tblUIText[TR],"AN_LAG_UNIT_DEFAULT")&amp;" / "&amp;_xlfn.XLOOKUP("AN_LAG_UNIT_DEFAULT",tblUIText[Key],tblUIText[EN],"")</f>
        <v>Varsayılan: dosya aşamaları dosya başına, ödeme aşamaları satır başına / Default: case stages per case, payment stages per line</v>
      </c>
      <c r="AG10" s="122" t="s">
        <v>19801</v>
      </c>
      <c r="AH10" s="122" t="s">
        <v>19802</v>
      </c>
      <c r="AI10" s="122" t="s">
        <v>19803</v>
      </c>
      <c r="AJ10" s="122" t="s">
        <v>19804</v>
      </c>
      <c r="AK10" s="122" t="s">
        <v>19805</v>
      </c>
      <c r="AL10" s="122" t="s">
        <v>19806</v>
      </c>
      <c r="AN10" s="122" t="s">
        <v>19807</v>
      </c>
      <c r="AY10" s="122" t="s">
        <v>20155</v>
      </c>
    </row>
    <row r="11" spans="2:52" ht="24" customHeight="1">
      <c r="B11" s="158" t="str">
        <f>_xlfn.XLOOKUP("AN_LAG_STAGE",tblUIText[Key],tblUIText[TR],"AN_LAG_STAGE")&amp;" / "&amp;_xlfn.XLOOKUP("AN_LAG_STAGE",tblUIText[Key],tblUIText[EN],"")</f>
        <v>Aşama / Stage</v>
      </c>
      <c r="C11" s="158" t="str">
        <f>_xlfn.XLOOKUP("AN_LAG_N",tblUIText[Key],tblUIText[TR],"AN_LAG_N")&amp;" / "&amp;_xlfn.XLOOKUP("AN_LAG_N",tblUIText[Key],tblUIText[EN],"")</f>
        <v>Adet / Count</v>
      </c>
      <c r="D11" s="158" t="str">
        <f>_xlfn.XLOOKUP("AN_LAG_MEAN",tblUIText[Key],tblUIText[TR],"AN_LAG_MEAN")&amp;" / "&amp;_xlfn.XLOOKUP("AN_LAG_MEAN",tblUIText[Key],tblUIText[EN],"")</f>
        <v>Ortalama / Mean</v>
      </c>
      <c r="E11" s="158" t="s">
        <v>19795</v>
      </c>
      <c r="F11" s="158" t="s">
        <v>19796</v>
      </c>
      <c r="G11" s="158" t="s">
        <v>16940</v>
      </c>
      <c r="H11" s="158" t="s">
        <v>16936</v>
      </c>
      <c r="I11" s="158" t="str">
        <f>_xlfn.XLOOKUP("AN_LAG_SLA",tblUIText[Key],tblUIText[TR],"AN_LAG_SLA")&amp;" / "&amp;_xlfn.XLOOKUP("AN_LAG_SLA",tblUIText[Key],tblUIText[EN],"")</f>
        <v>SLA aşımı / SLA breach</v>
      </c>
      <c r="J11" s="180" t="str">
        <f>_xlfn.XLOOKUP("AN_LAG_UNIT",tblUIText[Key],tblUIText[TR],"AN_LAG_UNIT")&amp;" / "&amp;_xlfn.XLOOKUP("AN_LAG_UNIT",tblUIText[Key],tblUIText[EN],"")</f>
        <v>Birim / Unit</v>
      </c>
      <c r="AB11" s="122" t="str" cm="1">
        <f t="array" ref="AB11:AB19">_xlfn.SORTBY(BandLag[LagBand],BandLag[SortOrder])</f>
        <v>0-7 days</v>
      </c>
      <c r="AC11" s="122" cm="1">
        <f t="array" ref="AC11:AC19">_xlfn.LET(_xlpm.sh,_xlfn.ANCHORARRAY($AD$11),_xlpm.f,_xlfn.SORTBY(BandLag[FromDays],BandLag[SortOrder]),_xlpm.t,_xlfn.SORTBY(BandLag[ToDays],BandLag[SortOrder]),IF((_xlpm.f&gt;=0)*(_xlpm.t&lt;=3650),_xlpm.sh/(_xlpm.t-_xlpm.f+1),NA()))</f>
        <v>0</v>
      </c>
      <c r="AD11" s="122" cm="1">
        <f t="array" ref="AD11:AD19">_xlfn.LET(_xlpm.v,INDEX($C$23:$K$28,$AB$5,0),IFERROR(TRANSPOSE(_xlpm.v/SUM(_xlpm.v)),0))</f>
        <v>0</v>
      </c>
      <c r="AE11" s="122" t="str" cm="1">
        <f t="array" ref="AE11:AE18">_xlfn.LET(_xlpm.b,_xlfn._xlws.FILTER(_xlfn.SORTBY(BandLag[ToDays],BandLag[SortOrder]),_xlfn.SORTBY(BandLag[FromDays],BandLag[SortOrder])&gt;=0),IF(_xlpm.b&gt;3650,"365+",_xlpm.b&amp;""))</f>
        <v>7</v>
      </c>
      <c r="AF11" s="122" t="str">
        <f>_xlfn.XLOOKUP("AN_LAG_UNIT_ALL_LINE",tblUIText[Key],tblUIText[TR],"AN_LAG_UNIT_ALL_LINE")&amp;" / "&amp;_xlfn.XLOOKUP("AN_LAG_UNIT_ALL_LINE",tblUIText[Key],tblUIText[EN],"")</f>
        <v>Tümü satır başına / All per payment line</v>
      </c>
      <c r="AG11" s="122" cm="1">
        <f t="array" ref="AG11:AG18">_xlfn.LET(_xlpm.v,_xlfn._xlws.FILTER(TRANSPOSE(INDEX($C$23:$K$28,1,0)),_xlfn.SORTBY(BandLag[FromDays],BandLag[SortOrder])&gt;=0),_xlpm.s,SUM(INDEX($C$23:$K$28,1,0)),IFERROR(_xlfn.SCAN(0,_xlpm.v,_xlfn.LAMBDA(_xlpm.a,_xlpm.b,_xlpm.a+_xlpm.b))/_xlpm.s,0))</f>
        <v>0</v>
      </c>
      <c r="AH11" s="122" cm="1">
        <f t="array" ref="AH11:AH18">_xlfn.LET(_xlpm.v,_xlfn._xlws.FILTER(TRANSPOSE(INDEX($C$23:$K$28,2,0)),_xlfn.SORTBY(BandLag[FromDays],BandLag[SortOrder])&gt;=0),_xlpm.s,SUM(INDEX($C$23:$K$28,2,0)),IFERROR(_xlfn.SCAN(0,_xlpm.v,_xlfn.LAMBDA(_xlpm.a,_xlpm.b,_xlpm.a+_xlpm.b))/_xlpm.s,0))</f>
        <v>0</v>
      </c>
      <c r="AI11" s="122" cm="1">
        <f t="array" ref="AI11:AI18">_xlfn.LET(_xlpm.v,_xlfn._xlws.FILTER(TRANSPOSE(INDEX($C$23:$K$28,3,0)),_xlfn.SORTBY(BandLag[FromDays],BandLag[SortOrder])&gt;=0),_xlpm.s,SUM(INDEX($C$23:$K$28,3,0)),IFERROR(_xlfn.SCAN(0,_xlpm.v,_xlfn.LAMBDA(_xlpm.a,_xlpm.b,_xlpm.a+_xlpm.b))/_xlpm.s,0))</f>
        <v>0</v>
      </c>
      <c r="AJ11" s="122" cm="1">
        <f t="array" ref="AJ11:AJ18">_xlfn.LET(_xlpm.v,_xlfn._xlws.FILTER(TRANSPOSE(INDEX($C$23:$K$28,4,0)),_xlfn.SORTBY(BandLag[FromDays],BandLag[SortOrder])&gt;=0),_xlpm.s,SUM(INDEX($C$23:$K$28,4,0)),IFERROR(_xlfn.SCAN(0,_xlpm.v,_xlfn.LAMBDA(_xlpm.a,_xlpm.b,_xlpm.a+_xlpm.b))/_xlpm.s,0))</f>
        <v>0</v>
      </c>
      <c r="AK11" s="122" cm="1">
        <f t="array" ref="AK11:AK18">_xlfn.LET(_xlpm.v,_xlfn._xlws.FILTER(TRANSPOSE(INDEX($C$23:$K$28,5,0)),_xlfn.SORTBY(BandLag[FromDays],BandLag[SortOrder])&gt;=0),_xlpm.s,SUM(INDEX($C$23:$K$28,5,0)),IFERROR(_xlfn.SCAN(0,_xlpm.v,_xlfn.LAMBDA(_xlpm.a,_xlpm.b,_xlpm.a+_xlpm.b))/_xlpm.s,0))</f>
        <v>0</v>
      </c>
      <c r="AL11" s="122" cm="1">
        <f t="array" ref="AL11:AL18">_xlfn.LET(_xlpm.v,_xlfn._xlws.FILTER(TRANSPOSE(INDEX($C$23:$K$28,6,0)),_xlfn.SORTBY(BandLag[FromDays],BandLag[SortOrder])&gt;=0),_xlpm.s,SUM(INDEX($C$23:$K$28,6,0)),IFERROR(_xlfn.SCAN(0,_xlpm.v,_xlfn.LAMBDA(_xlpm.a,_xlpm.b,_xlpm.a+_xlpm.b))/_xlpm.s,0))</f>
        <v>0</v>
      </c>
      <c r="AN11" s="122" cm="1">
        <f t="array" ref="AN11:AP11">IFERROR(IF($AB$7,_xlfn.LET(_xlpm.m,anLAGC_YM,_xlpm.s,anLAGC_Seg=$C$5,_xlpm.vmed,CHOOSE($AB$5,anLAGC_L2N_P50,anLAGC_N2D_P50,anLAGC_D2C_P50,anLAGC_C2P_P50,anLAGC_N2P_P50,anLAGC_L2P_P50),_xlpm.vhigh,CHOOSE($AB$5,anLAGC_L2N_P90,anLAGC_N2D_P90,anLAGC_D2C_P90,anLAGC_C2P_P90,anLAGC_N2P_P90,anLAGC_L2P_P90),_xlpm.ok,_xlpm.s*ISNUMBER(_xlpm.vmed),_xlfn._xlws.SORT(_xlfn._xlws.FILTER(_xlfn.HSTACK(DATE(LEFT(_xlpm.m,4),RIGHT(_xlpm.m,2),1),_xlpm.vmed,_xlpm.vhigh),_xlpm.ok))),_xlfn.LET(_xlpm.m,anLAG_YM,_xlpm.s,anLAG_Seg=$C$5,_xlpm.vmed,CHOOSE($AB$5,anLAG_L2N_P50,anLAG_N2D_P50,anLAG_D2C_P50,anLAG_C2P_P50,anLAG_N2P_P50,anLAG_L2P_P50),_xlpm.vhigh,CHOOSE($AB$5,anLAG_L2N_P90,anLAG_N2D_P90,anLAG_D2C_P90,anLAG_C2P_P90,anLAG_N2P_P90,anLAG_L2P_P90),_xlpm.ok,_xlpm.s*ISNUMBER(_xlpm.vmed),_xlfn._xlws.SORT(_xlfn._xlws.FILTER(_xlfn.HSTACK(DATE(LEFT(_xlpm.m,4),RIGHT(_xlpm.m,2),1),_xlpm.vmed,_xlpm.vhigh),_xlpm.ok)))),_xlfn.HSTACK(0,0,0))</f>
        <v>0</v>
      </c>
      <c r="AO11" s="122">
        <v>0</v>
      </c>
      <c r="AP11" s="122">
        <v>0</v>
      </c>
      <c r="AY11" s="122" t="str" cm="1">
        <f t="array" ref="AY11:AY19">_xlfn.LET(_xlpm.bd,_xlfn.ANCHORARRAY($AB$11),_xlpm.f,_xlfn.SORTBY(BandLag[FromDays],BandLag[SortOrder]),_xlpm.t,_xlfn.SORTBY(BandLag[ToDays],BandLag[SortOrder]),IF(_xlpm.f&lt;0,_xlpm.bd,IF(_xlpm.t&gt;3650,_xlpm.bd&amp;" (+)",_xlpm.bd&amp;" ("&amp;(_xlpm.t-_xlpm.f+1)&amp;")")))</f>
        <v>0-7 days (8)</v>
      </c>
      <c r="AZ11" s="122" t="s">
        <v>20152</v>
      </c>
    </row>
    <row r="12" spans="2:52">
      <c r="B12" s="134" t="str">
        <f>_xlfn.XLOOKUP("AN_ST_L2N",tblUIText[Key],tblUIText[TR],"AN_ST_L2N")&amp;" / "&amp;_xlfn.XLOOKUP("AN_ST_L2N",tblUIText[Key],tblUIText[EN],"")</f>
        <v>Hasar → ihbar / Loss → notification</v>
      </c>
      <c r="C12" s="167" cm="1">
        <f t="array" ref="C12">_xlfn.LET(_xlpm.r,IF($AZ$12,IF($AB$4,_xlfn.XLOOKUP($AB$2,anLAGALLC_Seg,anLAGALLC_L2N_N,""),_xlfn.XLOOKUP($AB$2&amp;"|"&amp;$J$5,anLAGC_Seg&amp;"|"&amp;anLAGC_YM,anLAGC_L2N_N,"")),IF($AB$4,_xlfn.XLOOKUP($AB$2,anLAGALL_Seg,anLAGALL_L2N_N,""),_xlfn.XLOOKUP($AB$2&amp;"|"&amp;$J$5,anLAG_Seg&amp;"|"&amp;anLAG_YM,anLAG_L2N_N,""))),IF(ISBLANK(_xlpm.r),IF("N"="N",0,"INSUFFICIENT DATA"),_xlpm.r))</f>
        <v>0</v>
      </c>
      <c r="D12" s="168" t="str" cm="1">
        <f t="array" ref="D12">_xlfn.LET(_xlpm.r,IF($AZ$12,IF($AB$4,_xlfn.XLOOKUP($AB$2,anLAGALLC_Seg,anLAGALLC_L2N_Mean,""),_xlfn.XLOOKUP($AB$2&amp;"|"&amp;$J$5,anLAGC_Seg&amp;"|"&amp;anLAGC_YM,anLAGC_L2N_Mean,"")),IF($AB$4,_xlfn.XLOOKUP($AB$2,anLAGALL_Seg,anLAGALL_L2N_Mean,""),_xlfn.XLOOKUP($AB$2&amp;"|"&amp;$J$5,anLAG_Seg&amp;"|"&amp;anLAG_YM,anLAG_L2N_Mean,""))),IF(ISBLANK(_xlpm.r),IF("Mean"="N",0,"INSUFFICIENT DATA"),_xlpm.r))</f>
        <v>INSUFFICIENT DATA</v>
      </c>
      <c r="E12" s="168" t="str" cm="1">
        <f t="array" ref="E12">_xlfn.LET(_xlpm.r,IF($AZ$12,IF($AB$4,_xlfn.XLOOKUP($AB$2,anLAGALLC_Seg,anLAGALLC_L2N_P50,""),_xlfn.XLOOKUP($AB$2&amp;"|"&amp;$J$5,anLAGC_Seg&amp;"|"&amp;anLAGC_YM,anLAGC_L2N_P50,"")),IF($AB$4,_xlfn.XLOOKUP($AB$2,anLAGALL_Seg,anLAGALL_L2N_P50,""),_xlfn.XLOOKUP($AB$2&amp;"|"&amp;$J$5,anLAG_Seg&amp;"|"&amp;anLAG_YM,anLAG_L2N_P50,""))),IF(ISBLANK(_xlpm.r),IF("P50"="N",0,"INSUFFICIENT DATA"),_xlpm.r))</f>
        <v>INSUFFICIENT DATA</v>
      </c>
      <c r="F12" s="168" t="str" cm="1">
        <f t="array" ref="F12">_xlfn.LET(_xlpm.r,IF($AZ$12,IF($AB$4,_xlfn.XLOOKUP($AB$2,anLAGALLC_Seg,anLAGALLC_L2N_P75,""),_xlfn.XLOOKUP($AB$2&amp;"|"&amp;$J$5,anLAGC_Seg&amp;"|"&amp;anLAGC_YM,anLAGC_L2N_P75,"")),IF($AB$4,_xlfn.XLOOKUP($AB$2,anLAGALL_Seg,anLAGALL_L2N_P75,""),_xlfn.XLOOKUP($AB$2&amp;"|"&amp;$J$5,anLAG_Seg&amp;"|"&amp;anLAG_YM,anLAG_L2N_P75,""))),IF(ISBLANK(_xlpm.r),IF("P75"="N",0,"INSUFFICIENT DATA"),_xlpm.r))</f>
        <v>INSUFFICIENT DATA</v>
      </c>
      <c r="G12" s="168" t="str" cm="1">
        <f t="array" ref="G12">_xlfn.LET(_xlpm.r,IF($AZ$12,IF($AB$4,_xlfn.XLOOKUP($AB$2,anLAGALLC_Seg,anLAGALLC_L2N_P90,""),_xlfn.XLOOKUP($AB$2&amp;"|"&amp;$J$5,anLAGC_Seg&amp;"|"&amp;anLAGC_YM,anLAGC_L2N_P90,"")),IF($AB$4,_xlfn.XLOOKUP($AB$2,anLAGALL_Seg,anLAGALL_L2N_P90,""),_xlfn.XLOOKUP($AB$2&amp;"|"&amp;$J$5,anLAG_Seg&amp;"|"&amp;anLAG_YM,anLAG_L2N_P90,""))),IF(ISBLANK(_xlpm.r),IF("P90"="N",0,"INSUFFICIENT DATA"),_xlpm.r))</f>
        <v>INSUFFICIENT DATA</v>
      </c>
      <c r="H12" s="168" t="str" cm="1">
        <f t="array" ref="H12">_xlfn.LET(_xlpm.r,IF($AZ$12,IF($AB$4,_xlfn.XLOOKUP($AB$2,anLAGALLC_Seg,anLAGALLC_L2N_P95,""),_xlfn.XLOOKUP($AB$2&amp;"|"&amp;$J$5,anLAGC_Seg&amp;"|"&amp;anLAGC_YM,anLAGC_L2N_P95,"")),IF($AB$4,_xlfn.XLOOKUP($AB$2,anLAGALL_Seg,anLAGALL_L2N_P95,""),_xlfn.XLOOKUP($AB$2&amp;"|"&amp;$J$5,anLAG_Seg&amp;"|"&amp;anLAG_YM,anLAG_L2N_P95,""))),IF(ISBLANK(_xlpm.r),IF("P95"="N",0,"INSUFFICIENT DATA"),_xlpm.r))</f>
        <v>INSUFFICIENT DATA</v>
      </c>
      <c r="I12" s="169" t="s">
        <v>19797</v>
      </c>
      <c r="J12" s="181" t="str">
        <f>IF($AZ$12,_xlfn.XLOOKUP("AN_LAG_UNIT_CASE",tblUIText[Key],tblUIText[TR],"AN_LAG_UNIT_CASE")&amp;" / "&amp;_xlfn.XLOOKUP("AN_LAG_UNIT_CASE",tblUIText[Key],tblUIText[EN],""),_xlfn.XLOOKUP("AN_LAG_UNIT_LINE",tblUIText[Key],tblUIText[TR],"AN_LAG_UNIT_LINE")&amp;" / "&amp;_xlfn.XLOOKUP("AN_LAG_UNIT_LINE",tblUIText[Key],tblUIText[EN],""))</f>
        <v>dosya / case</v>
      </c>
      <c r="AB12" s="122" t="str">
        <v>8-14 days</v>
      </c>
      <c r="AC12" s="122">
        <v>0</v>
      </c>
      <c r="AD12" s="122">
        <v>0</v>
      </c>
      <c r="AE12" s="122" t="str">
        <v>14</v>
      </c>
      <c r="AF12" s="122" t="str">
        <f>_xlfn.XLOOKUP("AN_LAG_UNIT_ALL_CASE",tblUIText[Key],tblUIText[TR],"AN_LAG_UNIT_ALL_CASE")&amp;" / "&amp;_xlfn.XLOOKUP("AN_LAG_UNIT_ALL_CASE",tblUIText[Key],tblUIText[EN],"")</f>
        <v>Tümü dosya başına (ilk ödeme) / All per case (first payment)</v>
      </c>
      <c r="AG12" s="122">
        <v>0</v>
      </c>
      <c r="AH12" s="122">
        <v>0</v>
      </c>
      <c r="AI12" s="122">
        <v>0</v>
      </c>
      <c r="AJ12" s="122">
        <v>0</v>
      </c>
      <c r="AK12" s="122">
        <v>0</v>
      </c>
      <c r="AL12" s="122">
        <v>0</v>
      </c>
      <c r="AY12" s="122" t="str">
        <v>8-14 days (7)</v>
      </c>
      <c r="AZ12" s="122" t="b">
        <f>OR($AB$6=3,AND($AB$6=1,1&lt;=3))</f>
        <v>1</v>
      </c>
    </row>
    <row r="13" spans="2:52">
      <c r="B13" s="134" t="str">
        <f>_xlfn.XLOOKUP("AN_ST_N2D",tblUIText[Key],tblUIText[TR],"AN_ST_N2D")&amp;" / "&amp;_xlfn.XLOOKUP("AN_ST_N2D",tblUIText[Key],tblUIText[EN],"")</f>
        <v>İhbar → evrak / Notification → documents</v>
      </c>
      <c r="C13" s="167" cm="1">
        <f t="array" ref="C13">_xlfn.LET(_xlpm.r,IF($AZ$13,IF($AB$4,_xlfn.XLOOKUP($AB$2,anLAGALLC_Seg,anLAGALLC_N2D_N,""),_xlfn.XLOOKUP($AB$2&amp;"|"&amp;$J$5,anLAGC_Seg&amp;"|"&amp;anLAGC_YM,anLAGC_N2D_N,"")),IF($AB$4,_xlfn.XLOOKUP($AB$2,anLAGALL_Seg,anLAGALL_N2D_N,""),_xlfn.XLOOKUP($AB$2&amp;"|"&amp;$J$5,anLAG_Seg&amp;"|"&amp;anLAG_YM,anLAG_N2D_N,""))),IF(ISBLANK(_xlpm.r),IF("N"="N",0,"INSUFFICIENT DATA"),_xlpm.r))</f>
        <v>0</v>
      </c>
      <c r="D13" s="168" t="str" cm="1">
        <f t="array" ref="D13">_xlfn.LET(_xlpm.r,IF($AZ$13,IF($AB$4,_xlfn.XLOOKUP($AB$2,anLAGALLC_Seg,anLAGALLC_N2D_Mean,""),_xlfn.XLOOKUP($AB$2&amp;"|"&amp;$J$5,anLAGC_Seg&amp;"|"&amp;anLAGC_YM,anLAGC_N2D_Mean,"")),IF($AB$4,_xlfn.XLOOKUP($AB$2,anLAGALL_Seg,anLAGALL_N2D_Mean,""),_xlfn.XLOOKUP($AB$2&amp;"|"&amp;$J$5,anLAG_Seg&amp;"|"&amp;anLAG_YM,anLAG_N2D_Mean,""))),IF(ISBLANK(_xlpm.r),IF("Mean"="N",0,"INSUFFICIENT DATA"),_xlpm.r))</f>
        <v>INSUFFICIENT DATA</v>
      </c>
      <c r="E13" s="168" t="str" cm="1">
        <f t="array" ref="E13">_xlfn.LET(_xlpm.r,IF($AZ$13,IF($AB$4,_xlfn.XLOOKUP($AB$2,anLAGALLC_Seg,anLAGALLC_N2D_P50,""),_xlfn.XLOOKUP($AB$2&amp;"|"&amp;$J$5,anLAGC_Seg&amp;"|"&amp;anLAGC_YM,anLAGC_N2D_P50,"")),IF($AB$4,_xlfn.XLOOKUP($AB$2,anLAGALL_Seg,anLAGALL_N2D_P50,""),_xlfn.XLOOKUP($AB$2&amp;"|"&amp;$J$5,anLAG_Seg&amp;"|"&amp;anLAG_YM,anLAG_N2D_P50,""))),IF(ISBLANK(_xlpm.r),IF("P50"="N",0,"INSUFFICIENT DATA"),_xlpm.r))</f>
        <v>INSUFFICIENT DATA</v>
      </c>
      <c r="F13" s="168" t="str" cm="1">
        <f t="array" ref="F13">_xlfn.LET(_xlpm.r,IF($AZ$13,IF($AB$4,_xlfn.XLOOKUP($AB$2,anLAGALLC_Seg,anLAGALLC_N2D_P75,""),_xlfn.XLOOKUP($AB$2&amp;"|"&amp;$J$5,anLAGC_Seg&amp;"|"&amp;anLAGC_YM,anLAGC_N2D_P75,"")),IF($AB$4,_xlfn.XLOOKUP($AB$2,anLAGALL_Seg,anLAGALL_N2D_P75,""),_xlfn.XLOOKUP($AB$2&amp;"|"&amp;$J$5,anLAG_Seg&amp;"|"&amp;anLAG_YM,anLAG_N2D_P75,""))),IF(ISBLANK(_xlpm.r),IF("P75"="N",0,"INSUFFICIENT DATA"),_xlpm.r))</f>
        <v>INSUFFICIENT DATA</v>
      </c>
      <c r="G13" s="168" t="str" cm="1">
        <f t="array" ref="G13">_xlfn.LET(_xlpm.r,IF($AZ$13,IF($AB$4,_xlfn.XLOOKUP($AB$2,anLAGALLC_Seg,anLAGALLC_N2D_P90,""),_xlfn.XLOOKUP($AB$2&amp;"|"&amp;$J$5,anLAGC_Seg&amp;"|"&amp;anLAGC_YM,anLAGC_N2D_P90,"")),IF($AB$4,_xlfn.XLOOKUP($AB$2,anLAGALL_Seg,anLAGALL_N2D_P90,""),_xlfn.XLOOKUP($AB$2&amp;"|"&amp;$J$5,anLAG_Seg&amp;"|"&amp;anLAG_YM,anLAG_N2D_P90,""))),IF(ISBLANK(_xlpm.r),IF("P90"="N",0,"INSUFFICIENT DATA"),_xlpm.r))</f>
        <v>INSUFFICIENT DATA</v>
      </c>
      <c r="H13" s="168" t="str" cm="1">
        <f t="array" ref="H13">_xlfn.LET(_xlpm.r,IF($AZ$13,IF($AB$4,_xlfn.XLOOKUP($AB$2,anLAGALLC_Seg,anLAGALLC_N2D_P95,""),_xlfn.XLOOKUP($AB$2&amp;"|"&amp;$J$5,anLAGC_Seg&amp;"|"&amp;anLAGC_YM,anLAGC_N2D_P95,"")),IF($AB$4,_xlfn.XLOOKUP($AB$2,anLAGALL_Seg,anLAGALL_N2D_P95,""),_xlfn.XLOOKUP($AB$2&amp;"|"&amp;$J$5,anLAG_Seg&amp;"|"&amp;anLAG_YM,anLAG_N2D_P95,""))),IF(ISBLANK(_xlpm.r),IF("P95"="N",0,"INSUFFICIENT DATA"),_xlpm.r))</f>
        <v>INSUFFICIENT DATA</v>
      </c>
      <c r="I13" s="169" t="s">
        <v>19797</v>
      </c>
      <c r="J13" s="181" t="str">
        <f>IF($AZ$13,_xlfn.XLOOKUP("AN_LAG_UNIT_CASE",tblUIText[Key],tblUIText[TR],"AN_LAG_UNIT_CASE")&amp;" / "&amp;_xlfn.XLOOKUP("AN_LAG_UNIT_CASE",tblUIText[Key],tblUIText[EN],""),_xlfn.XLOOKUP("AN_LAG_UNIT_LINE",tblUIText[Key],tblUIText[TR],"AN_LAG_UNIT_LINE")&amp;" / "&amp;_xlfn.XLOOKUP("AN_LAG_UNIT_LINE",tblUIText[Key],tblUIText[EN],""))</f>
        <v>dosya / case</v>
      </c>
      <c r="AB13" s="122" t="str">
        <v>15-30 days</v>
      </c>
      <c r="AC13" s="122">
        <v>0</v>
      </c>
      <c r="AD13" s="122">
        <v>0</v>
      </c>
      <c r="AE13" s="122" t="str">
        <v>30</v>
      </c>
      <c r="AG13" s="122">
        <v>0</v>
      </c>
      <c r="AH13" s="122">
        <v>0</v>
      </c>
      <c r="AI13" s="122">
        <v>0</v>
      </c>
      <c r="AJ13" s="122">
        <v>0</v>
      </c>
      <c r="AK13" s="122">
        <v>0</v>
      </c>
      <c r="AL13" s="122">
        <v>0</v>
      </c>
      <c r="AY13" s="122" t="str">
        <v>15-30 days (16)</v>
      </c>
      <c r="AZ13" s="122" t="b">
        <f>OR($AB$6=3,AND($AB$6=1,2&lt;=3))</f>
        <v>1</v>
      </c>
    </row>
    <row r="14" spans="2:52">
      <c r="B14" s="134" t="str">
        <f>_xlfn.XLOOKUP("AN_ST_D2C",tblUIText[Key],tblUIText[TR],"AN_ST_D2C")&amp;" / "&amp;_xlfn.XLOOKUP("AN_ST_D2C",tblUIText[Key],tblUIText[EN],"")</f>
        <v>Evrak → karar / Documents → decision</v>
      </c>
      <c r="C14" s="167" cm="1">
        <f t="array" ref="C14">_xlfn.LET(_xlpm.r,IF($AZ$14,IF($AB$4,_xlfn.XLOOKUP($AB$2,anLAGALLC_Seg,anLAGALLC_D2C_N,""),_xlfn.XLOOKUP($AB$2&amp;"|"&amp;$J$5,anLAGC_Seg&amp;"|"&amp;anLAGC_YM,anLAGC_D2C_N,"")),IF($AB$4,_xlfn.XLOOKUP($AB$2,anLAGALL_Seg,anLAGALL_D2C_N,""),_xlfn.XLOOKUP($AB$2&amp;"|"&amp;$J$5,anLAG_Seg&amp;"|"&amp;anLAG_YM,anLAG_D2C_N,""))),IF(ISBLANK(_xlpm.r),IF("N"="N",0,"INSUFFICIENT DATA"),_xlpm.r))</f>
        <v>0</v>
      </c>
      <c r="D14" s="168" t="str" cm="1">
        <f t="array" ref="D14">_xlfn.LET(_xlpm.r,IF($AZ$14,IF($AB$4,_xlfn.XLOOKUP($AB$2,anLAGALLC_Seg,anLAGALLC_D2C_Mean,""),_xlfn.XLOOKUP($AB$2&amp;"|"&amp;$J$5,anLAGC_Seg&amp;"|"&amp;anLAGC_YM,anLAGC_D2C_Mean,"")),IF($AB$4,_xlfn.XLOOKUP($AB$2,anLAGALL_Seg,anLAGALL_D2C_Mean,""),_xlfn.XLOOKUP($AB$2&amp;"|"&amp;$J$5,anLAG_Seg&amp;"|"&amp;anLAG_YM,anLAG_D2C_Mean,""))),IF(ISBLANK(_xlpm.r),IF("Mean"="N",0,"INSUFFICIENT DATA"),_xlpm.r))</f>
        <v>INSUFFICIENT DATA</v>
      </c>
      <c r="E14" s="168" t="str" cm="1">
        <f t="array" ref="E14">_xlfn.LET(_xlpm.r,IF($AZ$14,IF($AB$4,_xlfn.XLOOKUP($AB$2,anLAGALLC_Seg,anLAGALLC_D2C_P50,""),_xlfn.XLOOKUP($AB$2&amp;"|"&amp;$J$5,anLAGC_Seg&amp;"|"&amp;anLAGC_YM,anLAGC_D2C_P50,"")),IF($AB$4,_xlfn.XLOOKUP($AB$2,anLAGALL_Seg,anLAGALL_D2C_P50,""),_xlfn.XLOOKUP($AB$2&amp;"|"&amp;$J$5,anLAG_Seg&amp;"|"&amp;anLAG_YM,anLAG_D2C_P50,""))),IF(ISBLANK(_xlpm.r),IF("P50"="N",0,"INSUFFICIENT DATA"),_xlpm.r))</f>
        <v>INSUFFICIENT DATA</v>
      </c>
      <c r="F14" s="168" t="str" cm="1">
        <f t="array" ref="F14">_xlfn.LET(_xlpm.r,IF($AZ$14,IF($AB$4,_xlfn.XLOOKUP($AB$2,anLAGALLC_Seg,anLAGALLC_D2C_P75,""),_xlfn.XLOOKUP($AB$2&amp;"|"&amp;$J$5,anLAGC_Seg&amp;"|"&amp;anLAGC_YM,anLAGC_D2C_P75,"")),IF($AB$4,_xlfn.XLOOKUP($AB$2,anLAGALL_Seg,anLAGALL_D2C_P75,""),_xlfn.XLOOKUP($AB$2&amp;"|"&amp;$J$5,anLAG_Seg&amp;"|"&amp;anLAG_YM,anLAG_D2C_P75,""))),IF(ISBLANK(_xlpm.r),IF("P75"="N",0,"INSUFFICIENT DATA"),_xlpm.r))</f>
        <v>INSUFFICIENT DATA</v>
      </c>
      <c r="G14" s="168" t="str" cm="1">
        <f t="array" ref="G14">_xlfn.LET(_xlpm.r,IF($AZ$14,IF($AB$4,_xlfn.XLOOKUP($AB$2,anLAGALLC_Seg,anLAGALLC_D2C_P90,""),_xlfn.XLOOKUP($AB$2&amp;"|"&amp;$J$5,anLAGC_Seg&amp;"|"&amp;anLAGC_YM,anLAGC_D2C_P90,"")),IF($AB$4,_xlfn.XLOOKUP($AB$2,anLAGALL_Seg,anLAGALL_D2C_P90,""),_xlfn.XLOOKUP($AB$2&amp;"|"&amp;$J$5,anLAG_Seg&amp;"|"&amp;anLAG_YM,anLAG_D2C_P90,""))),IF(ISBLANK(_xlpm.r),IF("P90"="N",0,"INSUFFICIENT DATA"),_xlpm.r))</f>
        <v>INSUFFICIENT DATA</v>
      </c>
      <c r="H14" s="168" t="str" cm="1">
        <f t="array" ref="H14">_xlfn.LET(_xlpm.r,IF($AZ$14,IF($AB$4,_xlfn.XLOOKUP($AB$2,anLAGALLC_Seg,anLAGALLC_D2C_P95,""),_xlfn.XLOOKUP($AB$2&amp;"|"&amp;$J$5,anLAGC_Seg&amp;"|"&amp;anLAGC_YM,anLAGC_D2C_P95,"")),IF($AB$4,_xlfn.XLOOKUP($AB$2,anLAGALL_Seg,anLAGALL_D2C_P95,""),_xlfn.XLOOKUP($AB$2&amp;"|"&amp;$J$5,anLAG_Seg&amp;"|"&amp;anLAG_YM,anLAG_D2C_P95,""))),IF(ISBLANK(_xlpm.r),IF("P95"="N",0,"INSUFFICIENT DATA"),_xlpm.r))</f>
        <v>INSUFFICIENT DATA</v>
      </c>
      <c r="I14" s="169" t="s">
        <v>19797</v>
      </c>
      <c r="J14" s="181" t="str">
        <f>IF($AZ$14,_xlfn.XLOOKUP("AN_LAG_UNIT_CASE",tblUIText[Key],tblUIText[TR],"AN_LAG_UNIT_CASE")&amp;" / "&amp;_xlfn.XLOOKUP("AN_LAG_UNIT_CASE",tblUIText[Key],tblUIText[EN],""),_xlfn.XLOOKUP("AN_LAG_UNIT_LINE",tblUIText[Key],tblUIText[TR],"AN_LAG_UNIT_LINE")&amp;" / "&amp;_xlfn.XLOOKUP("AN_LAG_UNIT_LINE",tblUIText[Key],tblUIText[EN],""))</f>
        <v>dosya / case</v>
      </c>
      <c r="AB14" s="122" t="str">
        <v>31-60 days</v>
      </c>
      <c r="AC14" s="122">
        <v>0</v>
      </c>
      <c r="AD14" s="122">
        <v>0</v>
      </c>
      <c r="AE14" s="122" t="str">
        <v>60</v>
      </c>
      <c r="AG14" s="122">
        <v>0</v>
      </c>
      <c r="AH14" s="122">
        <v>0</v>
      </c>
      <c r="AI14" s="122">
        <v>0</v>
      </c>
      <c r="AJ14" s="122">
        <v>0</v>
      </c>
      <c r="AK14" s="122">
        <v>0</v>
      </c>
      <c r="AL14" s="122">
        <v>0</v>
      </c>
      <c r="AY14" s="122" t="str">
        <v>31-60 days (30)</v>
      </c>
      <c r="AZ14" s="122" t="b">
        <f>OR($AB$6=3,AND($AB$6=1,3&lt;=3))</f>
        <v>1</v>
      </c>
    </row>
    <row r="15" spans="2:52">
      <c r="B15" s="134" t="str">
        <f>_xlfn.XLOOKUP("AN_ST_C2P",tblUIText[Key],tblUIText[TR],"AN_ST_C2P")&amp;" / "&amp;_xlfn.XLOOKUP("AN_ST_C2P",tblUIText[Key],tblUIText[EN],"")</f>
        <v>Karar → ödeme / Decision → payment</v>
      </c>
      <c r="C15" s="167" cm="1">
        <f t="array" ref="C15">_xlfn.LET(_xlpm.r,IF($AZ$15,IF($AB$4,_xlfn.XLOOKUP($AB$2,anLAGALLC_Seg,anLAGALLC_C2P_N,""),_xlfn.XLOOKUP($AB$2&amp;"|"&amp;$J$5,anLAGC_Seg&amp;"|"&amp;anLAGC_YM,anLAGC_C2P_N,"")),IF($AB$4,_xlfn.XLOOKUP($AB$2,anLAGALL_Seg,anLAGALL_C2P_N,""),_xlfn.XLOOKUP($AB$2&amp;"|"&amp;$J$5,anLAG_Seg&amp;"|"&amp;anLAG_YM,anLAG_C2P_N,""))),IF(ISBLANK(_xlpm.r),IF("N"="N",0,"INSUFFICIENT DATA"),_xlpm.r))</f>
        <v>0</v>
      </c>
      <c r="D15" s="168" t="str" cm="1">
        <f t="array" ref="D15">_xlfn.LET(_xlpm.r,IF($AZ$15,IF($AB$4,_xlfn.XLOOKUP($AB$2,anLAGALLC_Seg,anLAGALLC_C2P_Mean,""),_xlfn.XLOOKUP($AB$2&amp;"|"&amp;$J$5,anLAGC_Seg&amp;"|"&amp;anLAGC_YM,anLAGC_C2P_Mean,"")),IF($AB$4,_xlfn.XLOOKUP($AB$2,anLAGALL_Seg,anLAGALL_C2P_Mean,""),_xlfn.XLOOKUP($AB$2&amp;"|"&amp;$J$5,anLAG_Seg&amp;"|"&amp;anLAG_YM,anLAG_C2P_Mean,""))),IF(ISBLANK(_xlpm.r),IF("Mean"="N",0,"INSUFFICIENT DATA"),_xlpm.r))</f>
        <v>INSUFFICIENT DATA</v>
      </c>
      <c r="E15" s="168" t="str" cm="1">
        <f t="array" ref="E15">_xlfn.LET(_xlpm.r,IF($AZ$15,IF($AB$4,_xlfn.XLOOKUP($AB$2,anLAGALLC_Seg,anLAGALLC_C2P_P50,""),_xlfn.XLOOKUP($AB$2&amp;"|"&amp;$J$5,anLAGC_Seg&amp;"|"&amp;anLAGC_YM,anLAGC_C2P_P50,"")),IF($AB$4,_xlfn.XLOOKUP($AB$2,anLAGALL_Seg,anLAGALL_C2P_P50,""),_xlfn.XLOOKUP($AB$2&amp;"|"&amp;$J$5,anLAG_Seg&amp;"|"&amp;anLAG_YM,anLAG_C2P_P50,""))),IF(ISBLANK(_xlpm.r),IF("P50"="N",0,"INSUFFICIENT DATA"),_xlpm.r))</f>
        <v>INSUFFICIENT DATA</v>
      </c>
      <c r="F15" s="168" t="str" cm="1">
        <f t="array" ref="F15">_xlfn.LET(_xlpm.r,IF($AZ$15,IF($AB$4,_xlfn.XLOOKUP($AB$2,anLAGALLC_Seg,anLAGALLC_C2P_P75,""),_xlfn.XLOOKUP($AB$2&amp;"|"&amp;$J$5,anLAGC_Seg&amp;"|"&amp;anLAGC_YM,anLAGC_C2P_P75,"")),IF($AB$4,_xlfn.XLOOKUP($AB$2,anLAGALL_Seg,anLAGALL_C2P_P75,""),_xlfn.XLOOKUP($AB$2&amp;"|"&amp;$J$5,anLAG_Seg&amp;"|"&amp;anLAG_YM,anLAG_C2P_P75,""))),IF(ISBLANK(_xlpm.r),IF("P75"="N",0,"INSUFFICIENT DATA"),_xlpm.r))</f>
        <v>INSUFFICIENT DATA</v>
      </c>
      <c r="G15" s="168" t="str" cm="1">
        <f t="array" ref="G15">_xlfn.LET(_xlpm.r,IF($AZ$15,IF($AB$4,_xlfn.XLOOKUP($AB$2,anLAGALLC_Seg,anLAGALLC_C2P_P90,""),_xlfn.XLOOKUP($AB$2&amp;"|"&amp;$J$5,anLAGC_Seg&amp;"|"&amp;anLAGC_YM,anLAGC_C2P_P90,"")),IF($AB$4,_xlfn.XLOOKUP($AB$2,anLAGALL_Seg,anLAGALL_C2P_P90,""),_xlfn.XLOOKUP($AB$2&amp;"|"&amp;$J$5,anLAG_Seg&amp;"|"&amp;anLAG_YM,anLAG_C2P_P90,""))),IF(ISBLANK(_xlpm.r),IF("P90"="N",0,"INSUFFICIENT DATA"),_xlpm.r))</f>
        <v>INSUFFICIENT DATA</v>
      </c>
      <c r="H15" s="168" t="str" cm="1">
        <f t="array" ref="H15">_xlfn.LET(_xlpm.r,IF($AZ$15,IF($AB$4,_xlfn.XLOOKUP($AB$2,anLAGALLC_Seg,anLAGALLC_C2P_P95,""),_xlfn.XLOOKUP($AB$2&amp;"|"&amp;$J$5,anLAGC_Seg&amp;"|"&amp;anLAGC_YM,anLAGC_C2P_P95,"")),IF($AB$4,_xlfn.XLOOKUP($AB$2,anLAGALL_Seg,anLAGALL_C2P_P95,""),_xlfn.XLOOKUP($AB$2&amp;"|"&amp;$J$5,anLAG_Seg&amp;"|"&amp;anLAG_YM,anLAG_C2P_P95,""))),IF(ISBLANK(_xlpm.r),IF("P95"="N",0,"INSUFFICIENT DATA"),_xlpm.r))</f>
        <v>INSUFFICIENT DATA</v>
      </c>
      <c r="I15" s="169" t="str" cm="1">
        <f t="array" ref="I15">_xlfn.LET(_xlpm.r,IF($AZ$15,IF($AB$4,_xlfn.XLOOKUP($AB$2,anLAGALLC_Seg,anLAGALLC_SLA_C2P,""),_xlfn.XLOOKUP($AB$2&amp;"|"&amp;$J$5,anLAGC_Seg&amp;"|"&amp;anLAGC_YM,anLAGC_SLA_C2P,"")),IF($AB$4,_xlfn.XLOOKUP($AB$2,anLAGALL_Seg,anLAGALL_SLA_C2P,""),_xlfn.XLOOKUP($AB$2&amp;"|"&amp;$J$5,anLAG_Seg&amp;"|"&amp;anLAG_YM,anLAG_SLA_C2P,""))),IF(ISBLANK(_xlpm.r),"INSUFFICIENT DATA",_xlpm.r))</f>
        <v>INSUFFICIENT DATA</v>
      </c>
      <c r="J15" s="181" t="str">
        <f>IF($AZ$15,_xlfn.XLOOKUP("AN_LAG_UNIT_CASE",tblUIText[Key],tblUIText[TR],"AN_LAG_UNIT_CASE")&amp;" / "&amp;_xlfn.XLOOKUP("AN_LAG_UNIT_CASE",tblUIText[Key],tblUIText[EN],""),_xlfn.XLOOKUP("AN_LAG_UNIT_LINE",tblUIText[Key],tblUIText[TR],"AN_LAG_UNIT_LINE")&amp;" / "&amp;_xlfn.XLOOKUP("AN_LAG_UNIT_LINE",tblUIText[Key],tblUIText[EN],""))</f>
        <v>satır / line</v>
      </c>
      <c r="AB15" s="122" t="str">
        <v>61-90 days</v>
      </c>
      <c r="AC15" s="122">
        <v>0</v>
      </c>
      <c r="AD15" s="122">
        <v>0</v>
      </c>
      <c r="AE15" s="122" t="str">
        <v>90</v>
      </c>
      <c r="AG15" s="122">
        <v>0</v>
      </c>
      <c r="AH15" s="122">
        <v>0</v>
      </c>
      <c r="AI15" s="122">
        <v>0</v>
      </c>
      <c r="AJ15" s="122">
        <v>0</v>
      </c>
      <c r="AK15" s="122">
        <v>0</v>
      </c>
      <c r="AL15" s="122">
        <v>0</v>
      </c>
      <c r="AY15" s="122" t="str">
        <v>61-90 days (30)</v>
      </c>
      <c r="AZ15" s="122" t="b">
        <f>OR($AB$6=3,AND($AB$6=1,4&lt;=3))</f>
        <v>0</v>
      </c>
    </row>
    <row r="16" spans="2:52">
      <c r="B16" s="134" t="str">
        <f>_xlfn.XLOOKUP("AN_ST_N2P",tblUIText[Key],tblUIText[TR],"AN_ST_N2P")&amp;" / "&amp;_xlfn.XLOOKUP("AN_ST_N2P",tblUIText[Key],tblUIText[EN],"")</f>
        <v>İhbar → ödeme / Notification → payment</v>
      </c>
      <c r="C16" s="167" cm="1">
        <f t="array" ref="C16">_xlfn.LET(_xlpm.r,IF($AZ$16,IF($AB$4,_xlfn.XLOOKUP($AB$2,anLAGALLC_Seg,anLAGALLC_N2P_N,""),_xlfn.XLOOKUP($AB$2&amp;"|"&amp;$J$5,anLAGC_Seg&amp;"|"&amp;anLAGC_YM,anLAGC_N2P_N,"")),IF($AB$4,_xlfn.XLOOKUP($AB$2,anLAGALL_Seg,anLAGALL_N2P_N,""),_xlfn.XLOOKUP($AB$2&amp;"|"&amp;$J$5,anLAG_Seg&amp;"|"&amp;anLAG_YM,anLAG_N2P_N,""))),IF(ISBLANK(_xlpm.r),IF("N"="N",0,"INSUFFICIENT DATA"),_xlpm.r))</f>
        <v>0</v>
      </c>
      <c r="D16" s="168" t="str" cm="1">
        <f t="array" ref="D16">_xlfn.LET(_xlpm.r,IF($AZ$16,IF($AB$4,_xlfn.XLOOKUP($AB$2,anLAGALLC_Seg,anLAGALLC_N2P_Mean,""),_xlfn.XLOOKUP($AB$2&amp;"|"&amp;$J$5,anLAGC_Seg&amp;"|"&amp;anLAGC_YM,anLAGC_N2P_Mean,"")),IF($AB$4,_xlfn.XLOOKUP($AB$2,anLAGALL_Seg,anLAGALL_N2P_Mean,""),_xlfn.XLOOKUP($AB$2&amp;"|"&amp;$J$5,anLAG_Seg&amp;"|"&amp;anLAG_YM,anLAG_N2P_Mean,""))),IF(ISBLANK(_xlpm.r),IF("Mean"="N",0,"INSUFFICIENT DATA"),_xlpm.r))</f>
        <v>INSUFFICIENT DATA</v>
      </c>
      <c r="E16" s="168" t="str" cm="1">
        <f t="array" ref="E16">_xlfn.LET(_xlpm.r,IF($AZ$16,IF($AB$4,_xlfn.XLOOKUP($AB$2,anLAGALLC_Seg,anLAGALLC_N2P_P50,""),_xlfn.XLOOKUP($AB$2&amp;"|"&amp;$J$5,anLAGC_Seg&amp;"|"&amp;anLAGC_YM,anLAGC_N2P_P50,"")),IF($AB$4,_xlfn.XLOOKUP($AB$2,anLAGALL_Seg,anLAGALL_N2P_P50,""),_xlfn.XLOOKUP($AB$2&amp;"|"&amp;$J$5,anLAG_Seg&amp;"|"&amp;anLAG_YM,anLAG_N2P_P50,""))),IF(ISBLANK(_xlpm.r),IF("P50"="N",0,"INSUFFICIENT DATA"),_xlpm.r))</f>
        <v>INSUFFICIENT DATA</v>
      </c>
      <c r="F16" s="168" t="str" cm="1">
        <f t="array" ref="F16">_xlfn.LET(_xlpm.r,IF($AZ$16,IF($AB$4,_xlfn.XLOOKUP($AB$2,anLAGALLC_Seg,anLAGALLC_N2P_P75,""),_xlfn.XLOOKUP($AB$2&amp;"|"&amp;$J$5,anLAGC_Seg&amp;"|"&amp;anLAGC_YM,anLAGC_N2P_P75,"")),IF($AB$4,_xlfn.XLOOKUP($AB$2,anLAGALL_Seg,anLAGALL_N2P_P75,""),_xlfn.XLOOKUP($AB$2&amp;"|"&amp;$J$5,anLAG_Seg&amp;"|"&amp;anLAG_YM,anLAG_N2P_P75,""))),IF(ISBLANK(_xlpm.r),IF("P75"="N",0,"INSUFFICIENT DATA"),_xlpm.r))</f>
        <v>INSUFFICIENT DATA</v>
      </c>
      <c r="G16" s="168" t="str" cm="1">
        <f t="array" ref="G16">_xlfn.LET(_xlpm.r,IF($AZ$16,IF($AB$4,_xlfn.XLOOKUP($AB$2,anLAGALLC_Seg,anLAGALLC_N2P_P90,""),_xlfn.XLOOKUP($AB$2&amp;"|"&amp;$J$5,anLAGC_Seg&amp;"|"&amp;anLAGC_YM,anLAGC_N2P_P90,"")),IF($AB$4,_xlfn.XLOOKUP($AB$2,anLAGALL_Seg,anLAGALL_N2P_P90,""),_xlfn.XLOOKUP($AB$2&amp;"|"&amp;$J$5,anLAG_Seg&amp;"|"&amp;anLAG_YM,anLAG_N2P_P90,""))),IF(ISBLANK(_xlpm.r),IF("P90"="N",0,"INSUFFICIENT DATA"),_xlpm.r))</f>
        <v>INSUFFICIENT DATA</v>
      </c>
      <c r="H16" s="168" t="str" cm="1">
        <f t="array" ref="H16">_xlfn.LET(_xlpm.r,IF($AZ$16,IF($AB$4,_xlfn.XLOOKUP($AB$2,anLAGALLC_Seg,anLAGALLC_N2P_P95,""),_xlfn.XLOOKUP($AB$2&amp;"|"&amp;$J$5,anLAGC_Seg&amp;"|"&amp;anLAGC_YM,anLAGC_N2P_P95,"")),IF($AB$4,_xlfn.XLOOKUP($AB$2,anLAGALL_Seg,anLAGALL_N2P_P95,""),_xlfn.XLOOKUP($AB$2&amp;"|"&amp;$J$5,anLAG_Seg&amp;"|"&amp;anLAG_YM,anLAG_N2P_P95,""))),IF(ISBLANK(_xlpm.r),IF("P95"="N",0,"INSUFFICIENT DATA"),_xlpm.r))</f>
        <v>INSUFFICIENT DATA</v>
      </c>
      <c r="I16" s="169" t="s">
        <v>19797</v>
      </c>
      <c r="J16" s="181" t="str">
        <f>IF($AZ$16,_xlfn.XLOOKUP("AN_LAG_UNIT_CASE",tblUIText[Key],tblUIText[TR],"AN_LAG_UNIT_CASE")&amp;" / "&amp;_xlfn.XLOOKUP("AN_LAG_UNIT_CASE",tblUIText[Key],tblUIText[EN],""),_xlfn.XLOOKUP("AN_LAG_UNIT_LINE",tblUIText[Key],tblUIText[TR],"AN_LAG_UNIT_LINE")&amp;" / "&amp;_xlfn.XLOOKUP("AN_LAG_UNIT_LINE",tblUIText[Key],tblUIText[EN],""))</f>
        <v>satır / line</v>
      </c>
      <c r="AB16" s="122" t="str">
        <v>91-180 days</v>
      </c>
      <c r="AC16" s="122">
        <v>0</v>
      </c>
      <c r="AD16" s="122">
        <v>0</v>
      </c>
      <c r="AE16" s="122" t="str">
        <v>180</v>
      </c>
      <c r="AG16" s="122">
        <v>0</v>
      </c>
      <c r="AH16" s="122">
        <v>0</v>
      </c>
      <c r="AI16" s="122">
        <v>0</v>
      </c>
      <c r="AJ16" s="122">
        <v>0</v>
      </c>
      <c r="AK16" s="122">
        <v>0</v>
      </c>
      <c r="AL16" s="122">
        <v>0</v>
      </c>
      <c r="AY16" s="122" t="str">
        <v>91-180 days (90)</v>
      </c>
      <c r="AZ16" s="122" t="b">
        <f>OR($AB$6=3,AND($AB$6=1,5&lt;=3))</f>
        <v>0</v>
      </c>
    </row>
    <row r="17" spans="2:52">
      <c r="B17" s="134" t="str">
        <f>_xlfn.XLOOKUP("AN_ST_L2P",tblUIText[Key],tblUIText[TR],"AN_ST_L2P")&amp;" / "&amp;_xlfn.XLOOKUP("AN_ST_L2P",tblUIText[Key],tblUIText[EN],"")</f>
        <v>Hasar → ödeme / Loss → payment</v>
      </c>
      <c r="C17" s="167" cm="1">
        <f t="array" ref="C17">_xlfn.LET(_xlpm.r,IF($AZ$17,IF($AB$4,_xlfn.XLOOKUP($AB$2,anLAGALLC_Seg,anLAGALLC_L2P_N,""),_xlfn.XLOOKUP($AB$2&amp;"|"&amp;$J$5,anLAGC_Seg&amp;"|"&amp;anLAGC_YM,anLAGC_L2P_N,"")),IF($AB$4,_xlfn.XLOOKUP($AB$2,anLAGALL_Seg,anLAGALL_L2P_N,""),_xlfn.XLOOKUP($AB$2&amp;"|"&amp;$J$5,anLAG_Seg&amp;"|"&amp;anLAG_YM,anLAG_L2P_N,""))),IF(ISBLANK(_xlpm.r),IF("N"="N",0,"INSUFFICIENT DATA"),_xlpm.r))</f>
        <v>0</v>
      </c>
      <c r="D17" s="168" t="str" cm="1">
        <f t="array" ref="D17">_xlfn.LET(_xlpm.r,IF($AZ$17,IF($AB$4,_xlfn.XLOOKUP($AB$2,anLAGALLC_Seg,anLAGALLC_L2P_Mean,""),_xlfn.XLOOKUP($AB$2&amp;"|"&amp;$J$5,anLAGC_Seg&amp;"|"&amp;anLAGC_YM,anLAGC_L2P_Mean,"")),IF($AB$4,_xlfn.XLOOKUP($AB$2,anLAGALL_Seg,anLAGALL_L2P_Mean,""),_xlfn.XLOOKUP($AB$2&amp;"|"&amp;$J$5,anLAG_Seg&amp;"|"&amp;anLAG_YM,anLAG_L2P_Mean,""))),IF(ISBLANK(_xlpm.r),IF("Mean"="N",0,"INSUFFICIENT DATA"),_xlpm.r))</f>
        <v>INSUFFICIENT DATA</v>
      </c>
      <c r="E17" s="168" t="str" cm="1">
        <f t="array" ref="E17">_xlfn.LET(_xlpm.r,IF($AZ$17,IF($AB$4,_xlfn.XLOOKUP($AB$2,anLAGALLC_Seg,anLAGALLC_L2P_P50,""),_xlfn.XLOOKUP($AB$2&amp;"|"&amp;$J$5,anLAGC_Seg&amp;"|"&amp;anLAGC_YM,anLAGC_L2P_P50,"")),IF($AB$4,_xlfn.XLOOKUP($AB$2,anLAGALL_Seg,anLAGALL_L2P_P50,""),_xlfn.XLOOKUP($AB$2&amp;"|"&amp;$J$5,anLAG_Seg&amp;"|"&amp;anLAG_YM,anLAG_L2P_P50,""))),IF(ISBLANK(_xlpm.r),IF("P50"="N",0,"INSUFFICIENT DATA"),_xlpm.r))</f>
        <v>INSUFFICIENT DATA</v>
      </c>
      <c r="F17" s="168" t="str" cm="1">
        <f t="array" ref="F17">_xlfn.LET(_xlpm.r,IF($AZ$17,IF($AB$4,_xlfn.XLOOKUP($AB$2,anLAGALLC_Seg,anLAGALLC_L2P_P75,""),_xlfn.XLOOKUP($AB$2&amp;"|"&amp;$J$5,anLAGC_Seg&amp;"|"&amp;anLAGC_YM,anLAGC_L2P_P75,"")),IF($AB$4,_xlfn.XLOOKUP($AB$2,anLAGALL_Seg,anLAGALL_L2P_P75,""),_xlfn.XLOOKUP($AB$2&amp;"|"&amp;$J$5,anLAG_Seg&amp;"|"&amp;anLAG_YM,anLAG_L2P_P75,""))),IF(ISBLANK(_xlpm.r),IF("P75"="N",0,"INSUFFICIENT DATA"),_xlpm.r))</f>
        <v>INSUFFICIENT DATA</v>
      </c>
      <c r="G17" s="168" t="str" cm="1">
        <f t="array" ref="G17">_xlfn.LET(_xlpm.r,IF($AZ$17,IF($AB$4,_xlfn.XLOOKUP($AB$2,anLAGALLC_Seg,anLAGALLC_L2P_P90,""),_xlfn.XLOOKUP($AB$2&amp;"|"&amp;$J$5,anLAGC_Seg&amp;"|"&amp;anLAGC_YM,anLAGC_L2P_P90,"")),IF($AB$4,_xlfn.XLOOKUP($AB$2,anLAGALL_Seg,anLAGALL_L2P_P90,""),_xlfn.XLOOKUP($AB$2&amp;"|"&amp;$J$5,anLAG_Seg&amp;"|"&amp;anLAG_YM,anLAG_L2P_P90,""))),IF(ISBLANK(_xlpm.r),IF("P90"="N",0,"INSUFFICIENT DATA"),_xlpm.r))</f>
        <v>INSUFFICIENT DATA</v>
      </c>
      <c r="H17" s="168" t="str" cm="1">
        <f t="array" ref="H17">_xlfn.LET(_xlpm.r,IF($AZ$17,IF($AB$4,_xlfn.XLOOKUP($AB$2,anLAGALLC_Seg,anLAGALLC_L2P_P95,""),_xlfn.XLOOKUP($AB$2&amp;"|"&amp;$J$5,anLAGC_Seg&amp;"|"&amp;anLAGC_YM,anLAGC_L2P_P95,"")),IF($AB$4,_xlfn.XLOOKUP($AB$2,anLAGALL_Seg,anLAGALL_L2P_P95,""),_xlfn.XLOOKUP($AB$2&amp;"|"&amp;$J$5,anLAG_Seg&amp;"|"&amp;anLAG_YM,anLAG_L2P_P95,""))),IF(ISBLANK(_xlpm.r),IF("P95"="N",0,"INSUFFICIENT DATA"),_xlpm.r))</f>
        <v>INSUFFICIENT DATA</v>
      </c>
      <c r="I17" s="169" t="str" cm="1">
        <f t="array" ref="I17">_xlfn.LET(_xlpm.r,IF($AZ$17,IF($AB$4,_xlfn.XLOOKUP($AB$2,anLAGALLC_Seg,anLAGALLC_SLA_L2P,""),_xlfn.XLOOKUP($AB$2&amp;"|"&amp;$J$5,anLAGC_Seg&amp;"|"&amp;anLAGC_YM,anLAGC_SLA_L2P,"")),IF($AB$4,_xlfn.XLOOKUP($AB$2,anLAGALL_Seg,anLAGALL_SLA_L2P,""),_xlfn.XLOOKUP($AB$2&amp;"|"&amp;$J$5,anLAG_Seg&amp;"|"&amp;anLAG_YM,anLAG_SLA_L2P,""))),IF(ISBLANK(_xlpm.r),"INSUFFICIENT DATA",_xlpm.r))</f>
        <v>INSUFFICIENT DATA</v>
      </c>
      <c r="J17" s="181" t="str">
        <f>IF($AZ$17,_xlfn.XLOOKUP("AN_LAG_UNIT_CASE",tblUIText[Key],tblUIText[TR],"AN_LAG_UNIT_CASE")&amp;" / "&amp;_xlfn.XLOOKUP("AN_LAG_UNIT_CASE",tblUIText[Key],tblUIText[EN],""),_xlfn.XLOOKUP("AN_LAG_UNIT_LINE",tblUIText[Key],tblUIText[TR],"AN_LAG_UNIT_LINE")&amp;" / "&amp;_xlfn.XLOOKUP("AN_LAG_UNIT_LINE",tblUIText[Key],tblUIText[EN],""))</f>
        <v>satır / line</v>
      </c>
      <c r="AB17" s="122" t="str">
        <v>181-365 days</v>
      </c>
      <c r="AC17" s="122">
        <v>0</v>
      </c>
      <c r="AD17" s="122">
        <v>0</v>
      </c>
      <c r="AE17" s="122" t="str">
        <v>365</v>
      </c>
      <c r="AG17" s="122">
        <v>0</v>
      </c>
      <c r="AH17" s="122">
        <v>0</v>
      </c>
      <c r="AI17" s="122">
        <v>0</v>
      </c>
      <c r="AJ17" s="122">
        <v>0</v>
      </c>
      <c r="AK17" s="122">
        <v>0</v>
      </c>
      <c r="AL17" s="122">
        <v>0</v>
      </c>
      <c r="AY17" s="122" t="str">
        <v>181-365 days (185)</v>
      </c>
      <c r="AZ17" s="122" t="b">
        <f>OR($AB$6=3,AND($AB$6=1,6&lt;=3))</f>
        <v>0</v>
      </c>
    </row>
    <row r="18" spans="2:52" ht="12" customHeight="1">
      <c r="B18" s="286" t="str">
        <f>"SLA: "&amp;_xlfn.XLOOKUP("AN_SLA_PLACEHOLDER",tblUIText[Key],tblUIText[TR],"AN_SLA_PLACEHOLDER")&amp;" / "&amp;_xlfn.XLOOKUP("AN_SLA_PLACEHOLDER",tblUIText[Key],tblUIText[EN],"")&amp;" ("&amp;_xlfn.XLOOKUP("AN_ST_C2P",tblUIText[Key],tblUIText[TR],"AN_ST_C2P")&amp;" / "&amp;_xlfn.XLOOKUP("AN_ST_C2P",tblUIText[Key],tblUIText[EN],"")&amp;" "&amp;_xlfn.XLOOKUP("SlaDaysDecisionToPayment_"&amp;$C$5,AnParam[Param],AnParam[Value],"-")&amp;"; "&amp;_xlfn.XLOOKUP("AN_ST_L2P",tblUIText[Key],tblUIText[TR],"AN_ST_L2P")&amp;" / "&amp;_xlfn.XLOOKUP("AN_ST_L2P",tblUIText[Key],tblUIText[EN],"")&amp;" "&amp;_xlfn.XLOOKUP("SlaDaysEndToEnd_"&amp;$C$5,AnParam[Param],AnParam[Value],"-")&amp;" "&amp;_xlfn.XLOOKUP("AN_W_DAYS",tblUIText[Key],tblUIText[TR],"AN_W_DAYS")&amp;" / "&amp;_xlfn.XLOOKUP("AN_W_DAYS",tblUIText[Key],tblUIText[EN],"")&amp;")"</f>
        <v>SLA: SLA süreleri geçici değerlerdir; operasyon tarafından teyit edilecek / SLA days are placeholders, to be confirmed by operations (Karar → ödeme / Decision → payment 10; Hasar → ödeme / Loss → payment 90 gün / days)</v>
      </c>
      <c r="C18" s="286"/>
      <c r="D18" s="286"/>
      <c r="E18" s="286"/>
      <c r="F18" s="286"/>
      <c r="G18" s="286"/>
      <c r="H18" s="286"/>
      <c r="I18" s="286"/>
      <c r="AB18" s="122" t="str">
        <v>over 365 days</v>
      </c>
      <c r="AC18" s="122" t="e">
        <v>#N/A</v>
      </c>
      <c r="AD18" s="122">
        <v>0</v>
      </c>
      <c r="AE18" s="122" t="str">
        <v>365+</v>
      </c>
      <c r="AG18" s="122">
        <v>0</v>
      </c>
      <c r="AH18" s="122">
        <v>0</v>
      </c>
      <c r="AI18" s="122">
        <v>0</v>
      </c>
      <c r="AJ18" s="122">
        <v>0</v>
      </c>
      <c r="AK18" s="122">
        <v>0</v>
      </c>
      <c r="AL18" s="122">
        <v>0</v>
      </c>
      <c r="AY18" s="122" t="str">
        <v>over 365 days (+)</v>
      </c>
    </row>
    <row r="19" spans="2:52">
      <c r="B19" s="286"/>
      <c r="C19" s="286"/>
      <c r="D19" s="286"/>
      <c r="E19" s="286"/>
      <c r="F19" s="286"/>
      <c r="G19" s="286"/>
      <c r="H19" s="286"/>
      <c r="I19" s="286"/>
      <c r="AB19" s="122" t="str">
        <v>n/a (missing or negative)</v>
      </c>
      <c r="AC19" s="122" t="e">
        <v>#N/A</v>
      </c>
      <c r="AD19" s="122">
        <v>0</v>
      </c>
      <c r="AY19" s="122" t="str">
        <v>n/a (missing or negative)</v>
      </c>
    </row>
    <row r="20" spans="2:52">
      <c r="B20" s="288" t="str">
        <f>IF($AB$6=2,"",SUBSTITUTE(SUBSTITUTE(_xlfn.XLOOKUP("AN_LAG_CENSOR",tblUIText[Key],tblUIText[TR],"AN_LAG_CENSOR"),"{0}",_xlfn.XLOOKUP("LagCensorMonths",tblParameters[Parameter],tblParameters[Value],3)),"{1}",$AW$2)&amp;" / "&amp;SUBSTITUTE(SUBSTITUTE(_xlfn.XLOOKUP("AN_LAG_CENSOR",tblUIText[Key],tblUIText[EN],"AN_LAG_CENSOR"),"{0}",_xlfn.XLOOKUP("LagCensorMonths",tblParameters[Parameter],tblParameters[Value],3)),"{1}",$AW$2))</f>
        <v>Dosya başına: veri başlangıcından sonraki ilk 3 ay ( dahil) PARTIAL - ilk ödeme gözlenmemiş olabilir, istatistiklere girmez / Per case: the first 3 months after the data start (to ) are PARTIAL - the first payment may be unobserved; excluded from the statistics</v>
      </c>
      <c r="C20" s="288"/>
      <c r="D20" s="288"/>
      <c r="E20" s="288"/>
      <c r="F20" s="288"/>
      <c r="G20" s="288"/>
      <c r="H20" s="288"/>
      <c r="I20" s="288"/>
      <c r="J20" s="288"/>
      <c r="K20" s="288"/>
      <c r="L20" s="288"/>
      <c r="M20" s="288"/>
      <c r="N20" s="288"/>
      <c r="O20" s="288"/>
      <c r="P20" s="288"/>
      <c r="Q20" s="288"/>
      <c r="R20" s="288"/>
      <c r="S20" s="288"/>
      <c r="AB20" s="122" t="str">
        <f>_xlfn.XLOOKUP("AN_LAG_TREND",tblUIText[Key],tblUIText[TR],"AN_LAG_TREND")&amp;" / "&amp;_xlfn.XLOOKUP("AN_LAG_TREND",tblUIText[Key],tblUIText[EN],"")&amp;": "&amp;$C$8&amp;" ["&amp;$AB$8&amp;IF($AB$7,"; PARTIAL &lt;= "&amp;$AW$2,"")&amp;"]"</f>
        <v>Seçilen aşamanın aylık P50 ve P90 değeri (gün) / Monthly P50 and P90 of the selected stage (days): Hasar → ödeme / Loss → payment [satır / line]</v>
      </c>
    </row>
    <row r="21" spans="2:52">
      <c r="B21" s="127" t="str">
        <f>_xlfn.XLOOKUP("AN_LAG_BANDS",tblUIText[Key],tblUIText[TR],"AN_LAG_BANDS")&amp;" / "&amp;_xlfn.XLOOKUP("AN_LAG_BANDS",tblUIText[Key],tblUIText[EN],"")&amp;" - "&amp;_xlfn.XLOOKUP("AN_LAG_ALLM",tblUIText[Key],tblUIText[TR],"AN_LAG_ALLM")&amp;" / "&amp;_xlfn.XLOOKUP("AN_LAG_ALLM",tblUIText[Key],tblUIText[EN],"")&amp;" ["&amp;_xlfn.XLOOKUP("AN_LAG_UNIT",tblUIText[Key],tblUIText[TR],"AN_LAG_UNIT")&amp;" / "&amp;_xlfn.XLOOKUP("AN_LAG_UNIT",tblUIText[Key],tblUIText[EN],"")&amp;": "&amp;$C$9&amp;"]"</f>
        <v>Süre bantları (adet) / Lag bands (counts) - Tüm aylar / All months [Birim / Unit: Varsayılan: dosya aşamaları dosya başına, ödeme aşamaları satır başına / Default: case stages per case, payment stages per line]</v>
      </c>
      <c r="AB21" s="122" t="str">
        <f>_xlfn.XLOOKUP("AN_LAG_ECDF",tblUIText[Key],tblUIText[TR],"AN_LAG_ECDF")&amp;" / "&amp;_xlfn.XLOOKUP("AN_LAG_ECDF",tblUIText[Key],tblUIText[EN],"")&amp;" - "&amp;_xlfn.XLOOKUP("AN_LAG_ALLM",tblUIText[Key],tblUIText[TR],"AN_LAG_ALLM")&amp;" / "&amp;_xlfn.XLOOKUP("AN_LAG_ALLM",tblUIText[Key],tblUIText[EN],"")&amp;" ["&amp;CHOOSE($AB$6,_xlfn.XLOOKUP("AN_LAG_UNIT_PERSTAGE",tblUIText[Key],tblUIText[TR],"AN_LAG_UNIT_PERSTAGE")&amp;" / "&amp;_xlfn.XLOOKUP("AN_LAG_UNIT_PERSTAGE",tblUIText[Key],tblUIText[EN],""),_xlfn.XLOOKUP("AN_LAG_UNIT_LINE",tblUIText[Key],tblUIText[TR],"AN_LAG_UNIT_LINE")&amp;" / "&amp;_xlfn.XLOOKUP("AN_LAG_UNIT_LINE",tblUIText[Key],tblUIText[EN],""),_xlfn.XLOOKUP("AN_LAG_UNIT_CASE",tblUIText[Key],tblUIText[TR],"AN_LAG_UNIT_CASE")&amp;" / "&amp;_xlfn.XLOOKUP("AN_LAG_UNIT_CASE",tblUIText[Key],tblUIText[EN],""))&amp;"]"</f>
        <v>Kümülatif dağılım (bant üst sınırına kadar olan pay) / Cumulative distribution (share up to the band's upper limit) - Tüm aylar / All months [aşamaya göre (Birim sütunu) / per stage (Unit column)]</v>
      </c>
    </row>
    <row r="22" spans="2:52" ht="24" customHeight="1">
      <c r="B22" s="170"/>
      <c r="C22" s="170" t="str" cm="1">
        <f t="array" ref="C22:K22">TRANSPOSE(_xlfn.ANCHORARRAY($AB$11))</f>
        <v>0-7 days</v>
      </c>
      <c r="D22" s="170" t="str">
        <v>8-14 days</v>
      </c>
      <c r="E22" s="170" t="str">
        <v>15-30 days</v>
      </c>
      <c r="F22" s="170" t="str">
        <v>31-60 days</v>
      </c>
      <c r="G22" s="170" t="str">
        <v>61-90 days</v>
      </c>
      <c r="H22" s="170" t="str">
        <v>91-180 days</v>
      </c>
      <c r="I22" s="170" t="str">
        <v>181-365 days</v>
      </c>
      <c r="J22" s="170" t="str">
        <v>over 365 days</v>
      </c>
      <c r="K22" s="170" t="str">
        <v>n/a (missing or negative)</v>
      </c>
      <c r="AB22" s="122" t="str">
        <f>_xlfn.XLOOKUP("AN_LAG_DENSITY",tblUIText[Key],tblUIText[TR],"AN_LAG_DENSITY")&amp;" / "&amp;_xlfn.XLOOKUP("AN_LAG_DENSITY",tblUIText[Key],tblUIText[EN],"")&amp;": "&amp;$C$8&amp;" ["&amp;$AB$8&amp;"]"</f>
        <v>Seçilen aşamanın dağılımı: gün başına pay (bant payı / bant genişliği) / Distribution of the selected stage: share per day (band share / band width): Hasar → ödeme / Loss → payment [satır / line]</v>
      </c>
    </row>
    <row r="23" spans="2:52">
      <c r="B23" s="134" t="str">
        <f>_xlfn.XLOOKUP("AN_ST_L2N",tblUIText[Key],tblUIText[TR],"AN_ST_L2N")&amp;" / "&amp;_xlfn.XLOOKUP("AN_ST_L2N",tblUIText[Key],tblUIText[EN],"")</f>
        <v>Hasar → ihbar / Loss → notification</v>
      </c>
      <c r="C23" s="171" cm="1">
        <f t="array" ref="C23:K23">IF($AZ$12,SUMIFS(anBANDC_L2N,anBANDC_Seg,$C$5,anBANDC_Band,TRANSPOSE(_xlfn.ANCHORARRAY($AB$11))),SUMIFS(anBAND_L2N,anBAND_Seg,$C$5,anBAND_Band,TRANSPOSE(_xlfn.ANCHORARRAY($AB$11))))</f>
        <v>0</v>
      </c>
      <c r="D23" s="171">
        <v>0</v>
      </c>
      <c r="E23" s="171">
        <v>0</v>
      </c>
      <c r="F23" s="171">
        <v>0</v>
      </c>
      <c r="G23" s="171">
        <v>0</v>
      </c>
      <c r="H23" s="171">
        <v>0</v>
      </c>
      <c r="I23" s="171">
        <v>0</v>
      </c>
      <c r="J23" s="171">
        <v>0</v>
      </c>
      <c r="K23" s="171">
        <v>0</v>
      </c>
    </row>
    <row r="24" spans="2:52">
      <c r="B24" s="134" t="str">
        <f>_xlfn.XLOOKUP("AN_ST_N2D",tblUIText[Key],tblUIText[TR],"AN_ST_N2D")&amp;" / "&amp;_xlfn.XLOOKUP("AN_ST_N2D",tblUIText[Key],tblUIText[EN],"")</f>
        <v>İhbar → evrak / Notification → documents</v>
      </c>
      <c r="C24" s="171" cm="1">
        <f t="array" ref="C24:K24">IF($AZ$13,SUMIFS(anBANDC_N2D,anBANDC_Seg,$C$5,anBANDC_Band,TRANSPOSE(_xlfn.ANCHORARRAY($AB$11))),SUMIFS(anBAND_N2D,anBAND_Seg,$C$5,anBAND_Band,TRANSPOSE(_xlfn.ANCHORARRAY($AB$11))))</f>
        <v>0</v>
      </c>
      <c r="D24" s="171">
        <v>0</v>
      </c>
      <c r="E24" s="171">
        <v>0</v>
      </c>
      <c r="F24" s="171">
        <v>0</v>
      </c>
      <c r="G24" s="171">
        <v>0</v>
      </c>
      <c r="H24" s="171">
        <v>0</v>
      </c>
      <c r="I24" s="171">
        <v>0</v>
      </c>
      <c r="J24" s="171">
        <v>0</v>
      </c>
      <c r="K24" s="171">
        <v>0</v>
      </c>
    </row>
    <row r="25" spans="2:52">
      <c r="B25" s="134" t="str">
        <f>_xlfn.XLOOKUP("AN_ST_D2C",tblUIText[Key],tblUIText[TR],"AN_ST_D2C")&amp;" / "&amp;_xlfn.XLOOKUP("AN_ST_D2C",tblUIText[Key],tblUIText[EN],"")</f>
        <v>Evrak → karar / Documents → decision</v>
      </c>
      <c r="C25" s="171" cm="1">
        <f t="array" ref="C25:K25">IF($AZ$14,SUMIFS(anBANDC_D2C,anBANDC_Seg,$C$5,anBANDC_Band,TRANSPOSE(_xlfn.ANCHORARRAY($AB$11))),SUMIFS(anBAND_D2C,anBAND_Seg,$C$5,anBAND_Band,TRANSPOSE(_xlfn.ANCHORARRAY($AB$11))))</f>
        <v>0</v>
      </c>
      <c r="D25" s="171">
        <v>0</v>
      </c>
      <c r="E25" s="171">
        <v>0</v>
      </c>
      <c r="F25" s="171">
        <v>0</v>
      </c>
      <c r="G25" s="171">
        <v>0</v>
      </c>
      <c r="H25" s="171">
        <v>0</v>
      </c>
      <c r="I25" s="171">
        <v>0</v>
      </c>
      <c r="J25" s="171">
        <v>0</v>
      </c>
      <c r="K25" s="171">
        <v>0</v>
      </c>
    </row>
    <row r="26" spans="2:52">
      <c r="B26" s="134" t="str">
        <f>_xlfn.XLOOKUP("AN_ST_C2P",tblUIText[Key],tblUIText[TR],"AN_ST_C2P")&amp;" / "&amp;_xlfn.XLOOKUP("AN_ST_C2P",tblUIText[Key],tblUIText[EN],"")</f>
        <v>Karar → ödeme / Decision → payment</v>
      </c>
      <c r="C26" s="171" cm="1">
        <f t="array" ref="C26:K26">IF($AZ$15,SUMIFS(anBANDC_C2P,anBANDC_Seg,$C$5,anBANDC_Band,TRANSPOSE(_xlfn.ANCHORARRAY($AB$11))),SUMIFS(anBAND_C2P,anBAND_Seg,$C$5,anBAND_Band,TRANSPOSE(_xlfn.ANCHORARRAY($AB$11))))</f>
        <v>0</v>
      </c>
      <c r="D26" s="171">
        <v>0</v>
      </c>
      <c r="E26" s="171">
        <v>0</v>
      </c>
      <c r="F26" s="171">
        <v>0</v>
      </c>
      <c r="G26" s="171">
        <v>0</v>
      </c>
      <c r="H26" s="171">
        <v>0</v>
      </c>
      <c r="I26" s="171">
        <v>0</v>
      </c>
      <c r="J26" s="171">
        <v>0</v>
      </c>
      <c r="K26" s="171">
        <v>0</v>
      </c>
    </row>
    <row r="27" spans="2:52">
      <c r="B27" s="134" t="str">
        <f>_xlfn.XLOOKUP("AN_ST_N2P",tblUIText[Key],tblUIText[TR],"AN_ST_N2P")&amp;" / "&amp;_xlfn.XLOOKUP("AN_ST_N2P",tblUIText[Key],tblUIText[EN],"")</f>
        <v>İhbar → ödeme / Notification → payment</v>
      </c>
      <c r="C27" s="171" cm="1">
        <f t="array" ref="C27:K27">IF($AZ$16,SUMIFS(anBANDC_N2P,anBANDC_Seg,$C$5,anBANDC_Band,TRANSPOSE(_xlfn.ANCHORARRAY($AB$11))),SUMIFS(anBAND_N2P,anBAND_Seg,$C$5,anBAND_Band,TRANSPOSE(_xlfn.ANCHORARRAY($AB$11))))</f>
        <v>0</v>
      </c>
      <c r="D27" s="171">
        <v>0</v>
      </c>
      <c r="E27" s="171">
        <v>0</v>
      </c>
      <c r="F27" s="171">
        <v>0</v>
      </c>
      <c r="G27" s="171">
        <v>0</v>
      </c>
      <c r="H27" s="171">
        <v>0</v>
      </c>
      <c r="I27" s="171">
        <v>0</v>
      </c>
      <c r="J27" s="171">
        <v>0</v>
      </c>
      <c r="K27" s="171">
        <v>0</v>
      </c>
    </row>
    <row r="28" spans="2:52">
      <c r="B28" s="134" t="str">
        <f>_xlfn.XLOOKUP("AN_ST_L2P",tblUIText[Key],tblUIText[TR],"AN_ST_L2P")&amp;" / "&amp;_xlfn.XLOOKUP("AN_ST_L2P",tblUIText[Key],tblUIText[EN],"")</f>
        <v>Hasar → ödeme / Loss → payment</v>
      </c>
      <c r="C28" s="171" cm="1">
        <f t="array" ref="C28:K28">IF($AZ$17,SUMIFS(anBANDC_L2P,anBANDC_Seg,$C$5,anBANDC_Band,TRANSPOSE(_xlfn.ANCHORARRAY($AB$11))),SUMIFS(anBAND_L2P,anBAND_Seg,$C$5,anBAND_Band,TRANSPOSE(_xlfn.ANCHORARRAY($AB$11))))</f>
        <v>0</v>
      </c>
      <c r="D28" s="171">
        <v>0</v>
      </c>
      <c r="E28" s="171">
        <v>0</v>
      </c>
      <c r="F28" s="171">
        <v>0</v>
      </c>
      <c r="G28" s="171">
        <v>0</v>
      </c>
      <c r="H28" s="171">
        <v>0</v>
      </c>
      <c r="I28" s="171">
        <v>0</v>
      </c>
      <c r="J28" s="171">
        <v>0</v>
      </c>
      <c r="K28" s="171">
        <v>0</v>
      </c>
    </row>
    <row r="47" spans="2:19" ht="12" customHeight="1">
      <c r="B47" s="284" t="str">
        <f>_xlfn.XLOOKUP("AN_FOOT_AMOUNTS",tblUIText[Key],tblUIText[TR],"AN_FOOT_AMOUNTS")&amp;" / "&amp;_xlfn.XLOOKUP("AN_FOOT_AMOUNTS",tblUIText[Key],tblUIText[EN],"")&amp;" "&amp;_xlfn.XLOOKUP("AN_STATUS_LEGEND",tblUIText[Key],tblUIText[TR],"AN_STATUS_LEGEND")&amp;" / "&amp;_xlfn.XLOOKUP("AN_STATUS_LEGEND",tblUIText[Key],tblUIText[EN],"")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 Durum: OK; WATCH = uyarı eşiği aşıldı (kalıcılık kuralıyla); ALERT = alarm eşiği aşıldı; INSUFFICIENT DATA = yetersiz veri; (draft) = taslak istatistiksel eşik, sayılır; * = geçici sabit eşik (gri), uyarı sayılmaz ve sıralanmaz. Eşikler Threshold_Register'da (DRAFT). / Status: OK; WATCH = watch level breached (with the persistence rule); ALERT = alert level breached; INSUFFICIENT DATA = too little data; (draft) = draft statistical level, counted; * = placeholder fixed level (grey), never counted or ranked. Levels in Threshold_Register (DRAFT).</v>
      </c>
      <c r="C47" s="284"/>
      <c r="D47" s="284"/>
      <c r="E47" s="284"/>
      <c r="F47" s="284"/>
      <c r="G47" s="284"/>
      <c r="H47" s="284"/>
      <c r="I47" s="284"/>
      <c r="J47" s="284"/>
      <c r="K47" s="284"/>
      <c r="L47" s="284"/>
      <c r="M47" s="284"/>
      <c r="N47" s="284"/>
      <c r="O47" s="284"/>
      <c r="P47" s="284"/>
      <c r="Q47" s="284"/>
      <c r="R47" s="284"/>
      <c r="S47" s="284"/>
    </row>
    <row r="48" spans="2:19">
      <c r="B48" s="284"/>
      <c r="C48" s="284"/>
      <c r="D48" s="284"/>
      <c r="E48" s="284"/>
      <c r="F48" s="284"/>
      <c r="G48" s="284"/>
      <c r="H48" s="284"/>
      <c r="I48" s="284"/>
      <c r="J48" s="284"/>
      <c r="K48" s="284"/>
      <c r="L48" s="284"/>
      <c r="M48" s="284"/>
      <c r="N48" s="284"/>
      <c r="O48" s="284"/>
      <c r="P48" s="284"/>
      <c r="Q48" s="284"/>
      <c r="R48" s="284"/>
      <c r="S48" s="284"/>
    </row>
  </sheetData>
  <sheetProtection algorithmName="SHA-512" hashValue="M73WCJnvhTZTueZ6jR1F5yMCuVRNeYnqfrLCr2v74s4N58eiAiL4ogyZGnDUSdR6GiQ5tzupklWm6E0KrberFg==" saltValue="2ctXjhxBWFUOKHqYPWVaDQ==" spinCount="100000" sheet="1" scenarios="1" formatColumns="0" sort="0" autoFilter="0"/>
  <mergeCells count="8">
    <mergeCell ref="B18:I19"/>
    <mergeCell ref="B47:S48"/>
    <mergeCell ref="C5:D5"/>
    <mergeCell ref="B4:S4"/>
    <mergeCell ref="B6:S6"/>
    <mergeCell ref="C8:I8"/>
    <mergeCell ref="C9:S9"/>
    <mergeCell ref="B20:S20"/>
  </mergeCells>
  <conditionalFormatting sqref="B6">
    <cfRule type="expression" dxfId="505" priority="1" stopIfTrue="1">
      <formula>ISNUMBER(SEARCH("INSUFFICIENT",$B$6))</formula>
    </cfRule>
  </conditionalFormatting>
  <conditionalFormatting sqref="C12:I17">
    <cfRule type="expression" dxfId="504" priority="2" stopIfTrue="1">
      <formula>C12="INSUFFICIENT DATA"</formula>
    </cfRule>
  </conditionalFormatting>
  <conditionalFormatting sqref="C23:K28">
    <cfRule type="colorScale" priority="3">
      <colorScale>
        <cfvo type="min"/>
        <cfvo type="max"/>
        <color rgb="FFFFFFFF"/>
        <color rgb="FF538DD5"/>
      </colorScale>
    </cfRule>
  </conditionalFormatting>
  <dataValidations count="4">
    <dataValidation type="list" allowBlank="1" showInputMessage="1" showErrorMessage="1" sqref="C5" xr:uid="{B91F1B8A-CA93-4E48-AA97-1779CAD12083}">
      <formula1>"Life,Pension,Non-life,Unassigned"</formula1>
    </dataValidation>
    <dataValidation type="list" allowBlank="1" showInputMessage="1" showErrorMessage="1" sqref="J5" xr:uid="{5444E72F-8F4B-401F-B620-BD850E11231D}">
      <formula1>_xlfn.ANCHORARRAY($AX$2)</formula1>
    </dataValidation>
    <dataValidation type="list" allowBlank="1" showInputMessage="1" showErrorMessage="1" sqref="C8" xr:uid="{B91C56D5-DB36-4FA1-9B42-5BEF9097DF51}">
      <formula1>$AF$2:$AF$7</formula1>
    </dataValidation>
    <dataValidation type="list" allowBlank="1" showInputMessage="1" showErrorMessage="1" sqref="C9" xr:uid="{AFFF78B3-61F7-454D-A7DB-CE77AE1FD0B9}">
      <formula1>$AF$10:$AF$12</formula1>
    </dataValidation>
  </dataValidations>
  <printOptions horizontalCentered="1"/>
  <pageMargins left="0.25" right="0.25" top="0.25" bottom="0.25" header="0.3" footer="0.3"/>
  <pageSetup paperSize="9" scale="8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6E74B-40D0-44FF-BB32-69D0C781ED5B}">
  <sheetPr codeName="Sheet82">
    <pageSetUpPr fitToPage="1"/>
  </sheetPr>
  <dimension ref="B1:AT108"/>
  <sheetViews>
    <sheetView showGridLines="0" workbookViewId="0"/>
  </sheetViews>
  <sheetFormatPr defaultRowHeight="12"/>
  <cols>
    <col min="1" max="1" width="2.28515625" style="122" customWidth="1"/>
    <col min="2" max="19" width="8.28515625" style="122" customWidth="1"/>
    <col min="20" max="27" width="9.140625" style="122"/>
    <col min="28" max="52" width="0" style="122" hidden="1" customWidth="1"/>
    <col min="53" max="16384" width="9.140625" style="122"/>
  </cols>
  <sheetData>
    <row r="1" spans="2:46" ht="18">
      <c r="B1" s="123" t="str" cm="1">
        <f t="array" ref="B1">_xlfn.XLOOKUP("AN_SEG_"&amp;$AB$3,tblUIText[Key],tblUIText[TR],$AB$3)&amp;": "&amp;anNum($AB$5,0)&amp;" "&amp;_xlfn.XLOOKUP("AN_SEV_N",tblUIText[Key],tblUIText[TR],"AN_SEV_N")&amp;IF(ISNUMBER($AE$5),", P90 "&amp;anNum($AE$5/1000,1)&amp;" bin TL","")&amp;IF(ISNUMBER($AE$10),", Gini "&amp;anNum($AE$10,2)&amp;", "&amp;_xlfn.XLOOKUP("AN_SEV_TOP1",tblUIText[Key],tblUIText[TR],"AN_SEV_TOP1")&amp;" "&amp;anPct($AE$11,1),"")</f>
        <v>Hayat: 0 Dosya</v>
      </c>
      <c r="AB1" s="122" t="s">
        <v>19090</v>
      </c>
    </row>
    <row r="2" spans="2:46" ht="15">
      <c r="B2" s="124" t="str" cm="1">
        <f t="array" ref="B2">_xlfn.XLOOKUP("AN_SEG_"&amp;$AB$3,tblUIText[Key],tblUIText[EN],$AB$3)&amp;": "&amp;anNum($AB$5,0)&amp;" "&amp;_xlfn.XLOOKUP("AN_SEV_N",tblUIText[Key],tblUIText[EN],"AN_SEV_N")&amp;IF(ISNUMBER($AE$5),", P90 TRY "&amp;anNum($AE$5/1000,1)&amp;"k","")&amp;IF(ISNUMBER($AE$10),", Gini "&amp;anNum($AE$10,2)&amp;", "&amp;_xlfn.XLOOKUP("AN_SEV_TOP1",tblUIText[Key],tblUIText[EN],"AN_SEV_TOP1")&amp;" "&amp;anPct($AE$11,1),"")</f>
        <v>Life: 0 Cases</v>
      </c>
      <c r="AB2" s="122" t="s">
        <v>20497</v>
      </c>
      <c r="AD2" s="122" t="s">
        <v>20499</v>
      </c>
    </row>
    <row r="3" spans="2:46">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7" t="str">
        <f>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tr">
        <f>$C$5</f>
        <v>Life</v>
      </c>
      <c r="AE3" s="122" t="e">
        <f>IF($AB$5&lt;$AB$8,NA(),_xlfn.PERCENTILE.INC(_xlfn.ANCHORARRAY($AC$8),0.5))</f>
        <v>#N/A</v>
      </c>
    </row>
    <row r="4" spans="2:46" ht="33.950000000000003" customHeight="1">
      <c r="B4" s="244" t="str">
        <f>_xlfn.XLOOKUP("AN_SEV_PURPOSE",tblUIText[Key],tblUIText[TR],"AN_SEV_PURPOSE")&amp;" / "&amp;_xlfn.XLOOKUP("AN_SEV_PURPOSE",tblUIText[Key],tblUIText[EN],"")&amp;CHAR(10)&amp;_xlfn.XLOOKUP("AN_HOWTO_SEVERITY",tblUIText[Key],tblUIText[TR],"AN_HOWTO_SEVERITY")&amp;" / "&amp;_xlfn.XLOOKUP("AN_HOWTO_SEVERITY",tblUIText[Key],tblUIText[EN],"")</f>
        <v>Dosya başına ödenen tutarlar ne kadar büyük, ne kadar yoğunlaşmış ve kuyruk ne kadar ağır? / How large are the amounts paid per case, how concentrated, and how heavy is the tail?
Nasıl okunur: dosya başına toplam ödenen (son 36 ay penceresi); dağılım dilimleri, Lorenz eğrisi ve Gini yoğunlaşmayı, ortalama aşım ve kuyruk endeksi kuyruğun ağırlığını gösterir (gösterge niteliğinde). / How to read: total paid per case (36-month window); quantile bands, the Lorenz curve and Gini show concentration, mean excess and the tail index show the weight of the tail (indicative).</v>
      </c>
      <c r="C4" s="244"/>
      <c r="D4" s="244"/>
      <c r="E4" s="244"/>
      <c r="F4" s="244"/>
      <c r="G4" s="244"/>
      <c r="H4" s="244"/>
      <c r="I4" s="244"/>
      <c r="J4" s="244"/>
      <c r="K4" s="244"/>
      <c r="L4" s="244"/>
      <c r="M4" s="244"/>
      <c r="N4" s="244"/>
      <c r="O4" s="244"/>
      <c r="P4" s="244"/>
      <c r="Q4" s="244"/>
      <c r="R4" s="244"/>
      <c r="S4" s="244"/>
      <c r="AB4" s="122" cm="1">
        <f t="array" ref="AB4">IFERROR(ROWS(_xlfn.UNIQUE(_xlfn._xlws.FILTER(anSM_YM,(anSM_Seg=$AB$3)*(anSM_Lines&lt;&gt;"")*(anSM_YM&lt;&gt;"")))),0)</f>
        <v>0</v>
      </c>
      <c r="AE4" s="122" t="e">
        <f>IF($AB$5&lt;$AB$8,NA(),_xlfn.PERCENTILE.INC(_xlfn.ANCHORARRAY($AC$8),0.75))</f>
        <v>#N/A</v>
      </c>
    </row>
    <row r="5" spans="2:46">
      <c r="B5" s="128" t="s">
        <v>19100</v>
      </c>
      <c r="C5" s="275" t="s">
        <v>113</v>
      </c>
      <c r="D5" s="275"/>
      <c r="E5" s="126" t="str">
        <f>_xlfn.XLOOKUP("AN_SEG_"&amp;$C$5,tblUIText[Key],tblUIText[TR],$C$5)&amp;" / "&amp;_xlfn.XLOOKUP("AN_SEG_"&amp;$C$5,tblUIText[Key],tblUIText[EN],$C$5)</f>
        <v>Hayat / Life</v>
      </c>
      <c r="M5" s="130" t="str">
        <f>_xlfn.XLOOKUP("AN_LBL_REFRESH",tblUIText[Key],tblUIText[TR],"AN_LBL_REFRESH")&amp;" / "&amp;_xlfn.XLOOKUP("AN_LBL_REFRESH",tblUIText[Key],tblUIText[EN],"")&amp;": "&amp;IFERROR(TEXT(cpLastLoggedRefresh,"yyyy-mm-dd hh:mm"),cpLastLoggedRefresh&amp;"")</f>
        <v>Son yenileme / Last refresh: none</v>
      </c>
      <c r="AB5" s="122">
        <f>COUNT(_xlfn.ANCHORARRAY($AC$8))</f>
        <v>0</v>
      </c>
      <c r="AE5" s="122" t="e">
        <f>IF($AB$5&lt;$AB$8,NA(),_xlfn.PERCENTILE.INC(_xlfn.ANCHORARRAY($AC$8),0.9))</f>
        <v>#N/A</v>
      </c>
    </row>
    <row r="6" spans="2:46">
      <c r="B6" s="245" t="str" cm="1">
        <f t="array" ref="B6">_xlfn.XLOOKUP("AN_LBL_READINESS",tblUIText[Key],tblUIText[TR],"AN_LBL_READINESS")&amp;" / "&amp;_xlfn.XLOOKUP("AN_LBL_READINESS",tblUIText[Key],tblUIText[EN],"")&amp;": "&amp;IF($AB$5&lt;$AB$7,"INSUFFICIENT DATA","OK")&amp;": "&amp;anNum($AB$5,0)&amp;" "&amp;_xlfn.XLOOKUP("AN_SEV_N",tblUIText[Key],tblUIText[TR],"AN_SEV_N")&amp;" / "&amp;_xlfn.XLOOKUP("AN_SEV_N",tblUIText[Key],tblUIText[EN],"")&amp;"; "&amp;$AB$4&amp;" "&amp;_xlfn.XLOOKUP("AN_READY_MONTHS",tblUIText[Key],tblUIText[TR],"AN_READY_MONTHS")&amp;" / "&amp;_xlfn.XLOOKUP("AN_READY_MONTHS",tblUIText[Key],tblUIText[EN],"")&amp;IF($AB$5&lt;$AB$7,"; "&amp;SUBSTITUTE(_xlfn.XLOOKUP("AN_W_NA_GATE",tblUIText[Key],tblUIText[TR],"AN_W_NA_GATE"),"{0}",$AB$7),"")</f>
        <v>Veri durumu / Data readiness: INSUFFICIENT DATA: 0 Dosya / Cases; 0 ay veri / months of data; INSUFFICIENT DATA (en az 200)</v>
      </c>
      <c r="C6" s="246"/>
      <c r="D6" s="246"/>
      <c r="E6" s="246"/>
      <c r="F6" s="246"/>
      <c r="G6" s="246"/>
      <c r="H6" s="246"/>
      <c r="I6" s="246"/>
      <c r="J6" s="246"/>
      <c r="K6" s="246"/>
      <c r="L6" s="246"/>
      <c r="M6" s="246"/>
      <c r="N6" s="246"/>
      <c r="O6" s="246"/>
      <c r="P6" s="246"/>
      <c r="Q6" s="246"/>
      <c r="R6" s="246"/>
      <c r="S6" s="246"/>
      <c r="AB6" s="122">
        <f>SUM(_xlfn.ANCHORARRAY($AC$8))</f>
        <v>0</v>
      </c>
      <c r="AE6" s="122" t="e">
        <f>IF($AB$5&lt;$AB$8,NA(),_xlfn.PERCENTILE.INC(_xlfn.ANCHORARRAY($AC$8),0.95))</f>
        <v>#N/A</v>
      </c>
    </row>
    <row r="7" spans="2:46"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B7" s="122">
        <f>_xlfn.XLOOKUP("MinCasesForTail",AnParam[Param],AnParam[Value])</f>
        <v>200</v>
      </c>
      <c r="AC7" s="122" t="s">
        <v>20498</v>
      </c>
      <c r="AE7" s="122" t="e">
        <f>IF($AB$5&lt;$AB$8,NA(),_xlfn.PERCENTILE.INC(_xlfn.ANCHORARRAY($AC$8),0.99))</f>
        <v>#N/A</v>
      </c>
      <c r="AG7" s="122" t="s">
        <v>20500</v>
      </c>
      <c r="AH7" s="122" t="s">
        <v>20501</v>
      </c>
      <c r="AI7" s="122" t="s">
        <v>20502</v>
      </c>
      <c r="AK7" s="122" t="s">
        <v>20503</v>
      </c>
      <c r="AL7" s="122" t="s">
        <v>20504</v>
      </c>
      <c r="AM7" s="122" t="s">
        <v>20505</v>
      </c>
      <c r="AO7" s="122" t="s">
        <v>20506</v>
      </c>
      <c r="AP7" s="122" t="s">
        <v>19097</v>
      </c>
      <c r="AQ7" s="122" t="s">
        <v>20507</v>
      </c>
      <c r="AR7" s="122" t="s">
        <v>16940</v>
      </c>
      <c r="AT7" s="122" t="s">
        <v>20509</v>
      </c>
    </row>
    <row r="8" spans="2:46">
      <c r="AB8" s="122">
        <f>_xlfn.XLOOKUP("MinLinesForQuantile",AnParam[Param],AnParam[Value])</f>
        <v>30</v>
      </c>
      <c r="AC8" s="122" t="str" cm="1">
        <f t="array" ref="AC8">IFERROR(_xlfn._xlws.SORT(_xlfn._xlws.FILTER(anCASE_Paid,(anCASE_Seg=$AB$3)*ISNUMBER(anCASE_Paid)*(anCASE_Paid&gt;0))),"")</f>
        <v/>
      </c>
      <c r="AE8" s="122" t="e">
        <f>IF($AB$5=0,NA(),MAX(_xlfn.ANCHORARRAY($AC$8)))</f>
        <v>#N/A</v>
      </c>
      <c r="AG8" s="122" cm="1">
        <f t="array" ref="AG8:AG108">_xlfn.SEQUENCE(101,1,0,0.01)</f>
        <v>0</v>
      </c>
      <c r="AH8" s="122" t="e" cm="1">
        <f t="array" ref="AH8:AH108">IF($AB$5&lt;$AB$7,NA()*_xlfn.ANCHORARRAY($AG$8),_xlfn.LET(_xlpm.x,_xlfn.ANCHORARRAY($AC$8),_xlpm.n,ROWS(_xlpm.x),_xlpm.c,_xlfn.SCAN(0,_xlpm.x,_xlfn.LAMBDA(_xlpm.a,_xlpm.b,_xlpm.a+_xlpm.b)),_xlpm.k,ROUND(_xlfn.ANCHORARRAY($AG$8)*_xlpm.n,0),IF(_xlpm.k=0,0,INDEX(_xlpm.c,IF(_xlpm.k=0,1,_xlpm.k))/SUM(_xlpm.x))))</f>
        <v>#N/A</v>
      </c>
      <c r="AI8" s="122" cm="1">
        <f t="array" ref="AI8:AI108">_xlfn.ANCHORARRAY($AG$8)</f>
        <v>0</v>
      </c>
      <c r="AK8" s="122" cm="1">
        <f t="array" ref="AK8:AK19">_xlfn.VSTACK(_xlfn.SEQUENCE(10,1,0.5,0.05),0.97,0.98)</f>
        <v>0.5</v>
      </c>
      <c r="AL8" s="122" t="e" cm="1">
        <f t="array" ref="AL8:AL19">IF($AB$5&lt;$AB$7,NA()*_xlfn.ANCHORARRAY($AK$8),_xlfn.PERCENTILE.INC(_xlfn.ANCHORARRAY($AC$8),_xlfn.ANCHORARRAY($AK$8))/1000)</f>
        <v>#N/A</v>
      </c>
      <c r="AM8" s="122" t="e" cm="1">
        <f t="array" ref="AM8:AM19">IF($AB$5&lt;$AB$7,NA()*_xlfn.ANCHORARRAY($AK$8),_xlfn.MAP(_xlfn.ANCHORARRAY($AL$8),_xlfn.LAMBDA(_xlpm.u,AVERAGE(_xlfn._xlws.FILTER(_xlfn.ANCHORARRAY($AC$8),_xlfn.ANCHORARRAY($AC$8)&gt;_xlpm.u*1000,_xlpm.u*1000))/1000-_xlpm.u)))</f>
        <v>#N/A</v>
      </c>
      <c r="AO8" s="122" cm="1">
        <f t="array" ref="AO8:AR8">IFERROR(_xlfn.LET(_xlpm.l,anACC_Loss,_xlpm.s,(anACC_Seg=$AB$3)*ISNUMBER(--_xlpm.l)*ISNUMBER(anACC_Mean),_xlpm.t,_xlfn.TAKE(_xlfn._xlws.SORT(_xlfn._xlws.FILTER(_xlfn.HSTACK(DATE(LEFT(_xlpm.l,4),RIGHT(_xlpm.l,2),1),anACC_Med/1000,anACC_Mean/1000,IF(ISNUMBER(anACC_P90),anACC_P90/1000,NA())),_xlpm.s)),-24),_xlpm.t),_xlfn.HSTACK(0,0,0,0))</f>
        <v>0</v>
      </c>
      <c r="AP8" s="122">
        <v>0</v>
      </c>
      <c r="AQ8" s="122">
        <v>0</v>
      </c>
      <c r="AR8" s="122">
        <v>0</v>
      </c>
      <c r="AT8" s="122" t="str" cm="1">
        <f t="array" ref="AT8">IFERROR(_xlfn.LET(_xlpm.m,(anCASE_Seg=$AB$3)*ISNUMBER(anCASE_Paid),_xlpm.c,_xlfn._xlws.FILTER(anCASE_Case,_xlpm.m),_xlpm.v,_xlfn._xlws.FILTER(anCASE_Paid,_xlpm.m),_xlpm.po,_xlfn._xlws.FILTER(anCASE_PaidO,_xlpm.m),_xlpm.cv,_xlfn._xlws.FILTER(anCASE_Cover,_xlpm.m),_xlpm.t,_xlfn.TAKE(_xlfn.SORTBY(_xlfn.HSTACK(_xlpm.c,_xlpm.v,IFERROR(_xlpm.po/_xlpm.cv,"")),_xlpm.v,-1),_xlfn.XLOOKUP("LargeLossListN",AnParam[Param],AnParam[Value])),_xlpm.t),"")</f>
        <v/>
      </c>
    </row>
    <row r="9" spans="2:46">
      <c r="B9" s="127" t="str">
        <f>_xlfn.XLOOKUP("AN_SEV_BANDS",tblUIText[Key],tblUIText[TR],"AN_SEV_BANDS")&amp;" / "&amp;_xlfn.XLOOKUP("AN_SEV_BANDS",tblUIText[Key],tblUIText[EN],"")</f>
        <v>Dosya başına ödenen: dağılım dilimleri (bin TL) / Paid per case: quantile bands (TRY k)</v>
      </c>
      <c r="AB9" s="122">
        <f>MAX(20,ROUND($AB$5*_xlfn.XLOOKUP("TailShare",AnParam[Param],AnParam[Value]),0))</f>
        <v>20</v>
      </c>
      <c r="AE9" s="122" t="e">
        <f>IF($AB$5=0,NA(),AVERAGE(_xlfn.ANCHORARRAY($AC$8)))</f>
        <v>#N/A</v>
      </c>
      <c r="AG9" s="122">
        <v>0.01</v>
      </c>
      <c r="AH9" s="122" t="e">
        <v>#N/A</v>
      </c>
      <c r="AI9" s="122">
        <v>0.01</v>
      </c>
      <c r="AK9" s="122">
        <v>0.55000000000000004</v>
      </c>
      <c r="AL9" s="122" t="e">
        <v>#N/A</v>
      </c>
      <c r="AM9" s="122" t="e">
        <v>#N/A</v>
      </c>
    </row>
    <row r="10" spans="2:46" ht="21" customHeight="1">
      <c r="B10" s="278" t="str">
        <f>_xlfn.XLOOKUP("AN_SEV_N",tblUIText[Key],tblUIText[TR],"AN_SEV_N")&amp;" / "&amp;_xlfn.XLOOKUP("AN_SEV_N",tblUIText[Key],tblUIText[EN],"")</f>
        <v>Dosya / Cases</v>
      </c>
      <c r="C10" s="278"/>
      <c r="D10" s="278"/>
      <c r="E10" s="278"/>
      <c r="F10" s="289" t="str" cm="1">
        <f t="array" ref="F10">anNum($AB$5,0)</f>
        <v>0</v>
      </c>
      <c r="G10" s="289"/>
      <c r="AE10" s="122" t="e" cm="1">
        <f t="array" ref="AE10">IF($AB$5&lt;$AB$7,NA(),_xlfn.LET(_xlpm.x,_xlfn.ANCHORARRAY($AC$8),_xlpm.n,ROWS(_xlpm.x),_xlpm.i,_xlfn.SEQUENCE(_xlpm.n),2*SUM(_xlpm.i*_xlpm.x)/(_xlpm.n*SUM(_xlpm.x))-(_xlpm.n+1)/_xlpm.n))</f>
        <v>#N/A</v>
      </c>
      <c r="AG10" s="122">
        <v>0.02</v>
      </c>
      <c r="AH10" s="122" t="e">
        <v>#N/A</v>
      </c>
      <c r="AI10" s="122">
        <v>0.02</v>
      </c>
      <c r="AK10" s="122">
        <v>0.60000000000000009</v>
      </c>
      <c r="AL10" s="122" t="e">
        <v>#N/A</v>
      </c>
      <c r="AM10" s="122" t="e">
        <v>#N/A</v>
      </c>
    </row>
    <row r="11" spans="2:46">
      <c r="B11" s="293" t="s">
        <v>19795</v>
      </c>
      <c r="C11" s="293"/>
      <c r="D11" s="293"/>
      <c r="E11" s="293"/>
      <c r="F11" s="292" t="str" cm="1">
        <f t="array" ref="F11">IF(ISNUMBER($AE$3),anNum($AE$3/1000,1),SUBSTITUTE(_xlfn.XLOOKUP("AN_W_NA_GATE",tblUIText[Key],tblUIText[TR],"AN_W_NA_GATE"),"{0}",$AB$8))</f>
        <v>INSUFFICIENT DATA (en az 30)</v>
      </c>
      <c r="G11" s="292"/>
      <c r="AE11" s="122" t="e">
        <f>IF($AB$5&lt;$AB$7,NA(),_xlfn.LET(_xlpm.x,_xlfn.ANCHORARRAY($AC$8),_xlpm.k,MAX(1,ROUND(ROWS(_xlpm.x)*0.01,0)),SUM(_xlfn.TAKE(_xlpm.x,-_xlpm.k))/SUM(_xlpm.x)))</f>
        <v>#N/A</v>
      </c>
      <c r="AG11" s="122">
        <v>0.03</v>
      </c>
      <c r="AH11" s="122" t="e">
        <v>#N/A</v>
      </c>
      <c r="AI11" s="122">
        <v>0.03</v>
      </c>
      <c r="AK11" s="122">
        <v>0.65000000000000013</v>
      </c>
      <c r="AL11" s="122" t="e">
        <v>#N/A</v>
      </c>
      <c r="AM11" s="122" t="e">
        <v>#N/A</v>
      </c>
    </row>
    <row r="12" spans="2:46">
      <c r="B12" s="293" t="s">
        <v>19796</v>
      </c>
      <c r="C12" s="293"/>
      <c r="D12" s="293"/>
      <c r="E12" s="293"/>
      <c r="F12" s="292" t="str" cm="1">
        <f t="array" ref="F12">IF(ISNUMBER($AE$4),anNum($AE$4/1000,1),SUBSTITUTE(_xlfn.XLOOKUP("AN_W_NA_GATE",tblUIText[Key],tblUIText[TR],"AN_W_NA_GATE"),"{0}",$AB$8))</f>
        <v>INSUFFICIENT DATA (en az 30)</v>
      </c>
      <c r="G12" s="292"/>
      <c r="AE12" s="122" t="e">
        <f>IF($AB$5&lt;$AB$7,NA(),SUM(_xlfn.TAKE(_xlfn.ANCHORARRAY($AC$8),-10))/SUM(_xlfn.ANCHORARRAY($AC$8)))</f>
        <v>#N/A</v>
      </c>
      <c r="AG12" s="122">
        <v>0.04</v>
      </c>
      <c r="AH12" s="122" t="e">
        <v>#N/A</v>
      </c>
      <c r="AI12" s="122">
        <v>0.04</v>
      </c>
      <c r="AK12" s="122">
        <v>0.70000000000000018</v>
      </c>
      <c r="AL12" s="122" t="e">
        <v>#N/A</v>
      </c>
      <c r="AM12" s="122" t="e">
        <v>#N/A</v>
      </c>
    </row>
    <row r="13" spans="2:46">
      <c r="B13" s="293" t="s">
        <v>16940</v>
      </c>
      <c r="C13" s="293"/>
      <c r="D13" s="293"/>
      <c r="E13" s="293"/>
      <c r="F13" s="292" t="str" cm="1">
        <f t="array" ref="F13">IF(ISNUMBER($AE$5),anNum($AE$5/1000,1),SUBSTITUTE(_xlfn.XLOOKUP("AN_W_NA_GATE",tblUIText[Key],tblUIText[TR],"AN_W_NA_GATE"),"{0}",$AB$8))</f>
        <v>INSUFFICIENT DATA (en az 30)</v>
      </c>
      <c r="G13" s="292"/>
      <c r="AE13" s="122" t="e" cm="1">
        <f t="array" ref="AE13">IF($AB$5&lt;$AB$7,NA(),_xlfn.LET(_xlpm.xs,_xlfn.TAKE(_xlfn.ANCHORARRAY($AC$8),-($AB$9+1)),_xlpm.u,INDEX(_xlpm.xs,1),_xlpm.top,_xlfn.DROP(_xlpm.xs,1),$AB$9/SUM(LN(_xlpm.top/_xlpm.u))))</f>
        <v>#N/A</v>
      </c>
      <c r="AG13" s="122">
        <v>0.05</v>
      </c>
      <c r="AH13" s="122" t="e">
        <v>#N/A</v>
      </c>
      <c r="AI13" s="122">
        <v>0.05</v>
      </c>
      <c r="AK13" s="122">
        <v>0.75000000000000022</v>
      </c>
      <c r="AL13" s="122" t="e">
        <v>#N/A</v>
      </c>
      <c r="AM13" s="122" t="e">
        <v>#N/A</v>
      </c>
    </row>
    <row r="14" spans="2:46">
      <c r="B14" s="293" t="s">
        <v>16936</v>
      </c>
      <c r="C14" s="293"/>
      <c r="D14" s="293"/>
      <c r="E14" s="293"/>
      <c r="F14" s="292" t="str" cm="1">
        <f t="array" ref="F14">IF(ISNUMBER($AE$6),anNum($AE$6/1000,1),SUBSTITUTE(_xlfn.XLOOKUP("AN_W_NA_GATE",tblUIText[Key],tblUIText[TR],"AN_W_NA_GATE"),"{0}",$AB$8))</f>
        <v>INSUFFICIENT DATA (en az 30)</v>
      </c>
      <c r="G14" s="292"/>
      <c r="AG14" s="122">
        <v>6.0000000000000005E-2</v>
      </c>
      <c r="AH14" s="122" t="e">
        <v>#N/A</v>
      </c>
      <c r="AI14" s="122">
        <v>6.0000000000000005E-2</v>
      </c>
      <c r="AK14" s="122">
        <v>0.80000000000000027</v>
      </c>
      <c r="AL14" s="122" t="e">
        <v>#N/A</v>
      </c>
      <c r="AM14" s="122" t="e">
        <v>#N/A</v>
      </c>
    </row>
    <row r="15" spans="2:46">
      <c r="B15" s="293" t="s">
        <v>20508</v>
      </c>
      <c r="C15" s="293"/>
      <c r="D15" s="293"/>
      <c r="E15" s="293"/>
      <c r="F15" s="292" t="str" cm="1">
        <f t="array" ref="F15">IF(ISNUMBER($AE$7),anNum($AE$7/1000,1),SUBSTITUTE(_xlfn.XLOOKUP("AN_W_NA_GATE",tblUIText[Key],tblUIText[TR],"AN_W_NA_GATE"),"{0}",$AB$8))</f>
        <v>INSUFFICIENT DATA (en az 30)</v>
      </c>
      <c r="G15" s="292"/>
      <c r="AG15" s="122">
        <v>7.0000000000000007E-2</v>
      </c>
      <c r="AH15" s="122" t="e">
        <v>#N/A</v>
      </c>
      <c r="AI15" s="122">
        <v>7.0000000000000007E-2</v>
      </c>
      <c r="AK15" s="122">
        <v>0.85000000000000031</v>
      </c>
      <c r="AL15" s="122" t="e">
        <v>#N/A</v>
      </c>
      <c r="AM15" s="122" t="e">
        <v>#N/A</v>
      </c>
    </row>
    <row r="16" spans="2:46" ht="21" customHeight="1">
      <c r="B16" s="278" t="str">
        <f>_xlfn.XLOOKUP("AN_SEV_MEAN",tblUIText[Key],tblUIText[TR],"AN_SEV_MEAN")&amp;" / "&amp;_xlfn.XLOOKUP("AN_SEV_MEAN",tblUIText[Key],tblUIText[EN],"")</f>
        <v>Ortalama / Mean</v>
      </c>
      <c r="C16" s="278"/>
      <c r="D16" s="278"/>
      <c r="E16" s="278"/>
      <c r="F16" s="289" t="str" cm="1">
        <f t="array" ref="F16">IF(ISNUMBER($AE$9),anNum($AE$9/1000,1),SUBSTITUTE(_xlfn.XLOOKUP("AN_W_NA_GATE",tblUIText[Key],tblUIText[TR],"AN_W_NA_GATE"),"{0}",1))</f>
        <v>INSUFFICIENT DATA (en az 1)</v>
      </c>
      <c r="G16" s="289"/>
      <c r="AG16" s="122">
        <v>0.08</v>
      </c>
      <c r="AH16" s="122" t="e">
        <v>#N/A</v>
      </c>
      <c r="AI16" s="122">
        <v>0.08</v>
      </c>
      <c r="AK16" s="122">
        <v>0.90000000000000036</v>
      </c>
      <c r="AL16" s="122" t="e">
        <v>#N/A</v>
      </c>
      <c r="AM16" s="122" t="e">
        <v>#N/A</v>
      </c>
    </row>
    <row r="17" spans="2:39" ht="21" customHeight="1">
      <c r="B17" s="278" t="str">
        <f>_xlfn.XLOOKUP("AN_SEV_MAX",tblUIText[Key],tblUIText[TR],"AN_SEV_MAX")&amp;" / "&amp;_xlfn.XLOOKUP("AN_SEV_MAX",tblUIText[Key],tblUIText[EN],"")</f>
        <v>En büyük / Largest</v>
      </c>
      <c r="C17" s="278"/>
      <c r="D17" s="278"/>
      <c r="E17" s="278"/>
      <c r="F17" s="289" t="str" cm="1">
        <f t="array" ref="F17">IF(ISNUMBER($AE$8),anNum($AE$8/1000,1),SUBSTITUTE(_xlfn.XLOOKUP("AN_W_NA_GATE",tblUIText[Key],tblUIText[TR],"AN_W_NA_GATE"),"{0}",1))</f>
        <v>INSUFFICIENT DATA (en az 1)</v>
      </c>
      <c r="G17" s="289"/>
      <c r="AG17" s="122">
        <v>0.09</v>
      </c>
      <c r="AH17" s="122" t="e">
        <v>#N/A</v>
      </c>
      <c r="AI17" s="122">
        <v>0.09</v>
      </c>
      <c r="AK17" s="122">
        <v>0.9500000000000004</v>
      </c>
      <c r="AL17" s="122" t="e">
        <v>#N/A</v>
      </c>
      <c r="AM17" s="122" t="e">
        <v>#N/A</v>
      </c>
    </row>
    <row r="18" spans="2:39">
      <c r="AG18" s="122">
        <v>9.9999999999999992E-2</v>
      </c>
      <c r="AH18" s="122" t="e">
        <v>#N/A</v>
      </c>
      <c r="AI18" s="122">
        <v>9.9999999999999992E-2</v>
      </c>
      <c r="AK18" s="122">
        <v>0.97</v>
      </c>
      <c r="AL18" s="122" t="e">
        <v>#N/A</v>
      </c>
      <c r="AM18" s="122" t="e">
        <v>#N/A</v>
      </c>
    </row>
    <row r="19" spans="2:39">
      <c r="B19" s="127" t="str">
        <f>_xlfn.XLOOKUP("AN_SEV_CONC",tblUIText[Key],tblUIText[TR],"AN_SEV_CONC")&amp;" / "&amp;_xlfn.XLOOKUP("AN_SEV_CONC",tblUIText[Key],tblUIText[EN],"")</f>
        <v>Yoğunlaşma / Concentration</v>
      </c>
      <c r="AG19" s="122">
        <v>0.10999999999999999</v>
      </c>
      <c r="AH19" s="122" t="e">
        <v>#N/A</v>
      </c>
      <c r="AI19" s="122">
        <v>0.10999999999999999</v>
      </c>
      <c r="AK19" s="122">
        <v>0.98</v>
      </c>
      <c r="AL19" s="122" t="e">
        <v>#N/A</v>
      </c>
      <c r="AM19" s="122" t="e">
        <v>#N/A</v>
      </c>
    </row>
    <row r="20" spans="2:39" ht="21" customHeight="1">
      <c r="B20" s="278" t="str">
        <f>_xlfn.XLOOKUP("AN_SEV_GINI",tblUIText[Key],tblUIText[TR],"AN_SEV_GINI")&amp;" / "&amp;_xlfn.XLOOKUP("AN_SEV_GINI",tblUIText[Key],tblUIText[EN],"")</f>
        <v>Gini / Gini</v>
      </c>
      <c r="C20" s="278"/>
      <c r="D20" s="278"/>
      <c r="E20" s="278"/>
      <c r="F20" s="289" t="str" cm="1">
        <f t="array" ref="F20">IF(ISNUMBER($AE$10),anNum($AE$10,3),SUBSTITUTE(_xlfn.XLOOKUP("AN_W_NA_GATE",tblUIText[Key],tblUIText[TR],"AN_W_NA_GATE"),"{0}",$AB$7))</f>
        <v>INSUFFICIENT DATA (en az 200)</v>
      </c>
      <c r="G20" s="289"/>
      <c r="AB20" s="122" t="str">
        <f>_xlfn.XLOOKUP("AN_SEV_LORENZ",tblUIText[Key],tblUIText[TR],"AN_SEV_LORENZ")&amp;" / "&amp;_xlfn.XLOOKUP("AN_SEV_LORENZ",tblUIText[Key],tblUIText[EN],"")</f>
        <v>Lorenz eğrisi: dosyaların payı - ödenenin payı / Lorenz curve: share of cases - share of paid</v>
      </c>
      <c r="AG20" s="122">
        <v>0.11999999999999998</v>
      </c>
      <c r="AH20" s="122" t="e">
        <v>#N/A</v>
      </c>
      <c r="AI20" s="122">
        <v>0.11999999999999998</v>
      </c>
    </row>
    <row r="21" spans="2:39" ht="21" customHeight="1">
      <c r="B21" s="278" t="str">
        <f>_xlfn.XLOOKUP("AN_SEV_TOP1",tblUIText[Key],tblUIText[TR],"AN_SEV_TOP1")&amp;" / "&amp;_xlfn.XLOOKUP("AN_SEV_TOP1",tblUIText[Key],tblUIText[EN],"")</f>
        <v>En büyük %1 dosyanın payı / Share of the largest 1% of cases</v>
      </c>
      <c r="C21" s="278"/>
      <c r="D21" s="278"/>
      <c r="E21" s="278"/>
      <c r="F21" s="289" t="str" cm="1">
        <f t="array" ref="F21">IF(ISNUMBER($AE$11),anPct($AE$11,1),"-")</f>
        <v>-</v>
      </c>
      <c r="G21" s="289"/>
      <c r="AB21" s="122" t="str">
        <f>_xlfn.XLOOKUP("AN_SEV_MEX",tblUIText[Key],tblUIText[TR],"AN_SEV_MEX")&amp;" / "&amp;_xlfn.XLOOKUP("AN_SEV_MEX",tblUIText[Key],tblUIText[EN],"")</f>
        <v>Ortalama aşım fonksiyonu e(u) (bin TL; artan eğim ağır kuyruk) / Mean excess function e(u) (TRY k; a rising slope means a heavy tail)</v>
      </c>
      <c r="AG21" s="122">
        <v>0.12999999999999998</v>
      </c>
      <c r="AH21" s="122" t="e">
        <v>#N/A</v>
      </c>
      <c r="AI21" s="122">
        <v>0.12999999999999998</v>
      </c>
    </row>
    <row r="22" spans="2:39" ht="21" customHeight="1">
      <c r="B22" s="278" t="str">
        <f>_xlfn.XLOOKUP("AN_SEV_TOP10",tblUIText[Key],tblUIText[TR],"AN_SEV_TOP10")&amp;" / "&amp;_xlfn.XLOOKUP("AN_SEV_TOP10",tblUIText[Key],tblUIText[EN],"")</f>
        <v>En büyük 10 dosyanın payı / Share of the 10 largest cases</v>
      </c>
      <c r="C22" s="278"/>
      <c r="D22" s="278"/>
      <c r="E22" s="278"/>
      <c r="F22" s="289" t="str" cm="1">
        <f t="array" ref="F22">IF(ISNUMBER($AE$12),anPct($AE$12,1),"-")</f>
        <v>-</v>
      </c>
      <c r="G22" s="289"/>
      <c r="AB22" s="122" t="str">
        <f>_xlfn.XLOOKUP("AN_SEV_TREND",tblUIText[Key],tblUIText[TR],"AN_SEV_TREND")&amp;" / "&amp;_xlfn.XLOOKUP("AN_SEV_TREND",tblUIText[Key],tblUIText[EN],"")</f>
        <v>Hasar ayına göre dosya başına ödenen: medyan, ortalama, P90 (bin TL; son aylar gelişmemiş) / Paid per case by loss month: median, mean, P90 (TRY k; recent months undeveloped)</v>
      </c>
      <c r="AG22" s="122">
        <v>0.13999999999999999</v>
      </c>
      <c r="AH22" s="122" t="e">
        <v>#N/A</v>
      </c>
      <c r="AI22" s="122">
        <v>0.13999999999999999</v>
      </c>
    </row>
    <row r="23" spans="2:39">
      <c r="AG23" s="122">
        <v>0.15</v>
      </c>
      <c r="AH23" s="122" t="e">
        <v>#N/A</v>
      </c>
      <c r="AI23" s="122">
        <v>0.15</v>
      </c>
    </row>
    <row r="24" spans="2:39">
      <c r="B24" s="127" t="str">
        <f>_xlfn.XLOOKUP("AN_SEV_TAIL",tblUIText[Key],tblUIText[TR],"AN_SEV_TAIL")&amp;" / "&amp;_xlfn.XLOOKUP("AN_SEV_TAIL",tblUIText[Key],tblUIText[EN],"")</f>
        <v>Kuyruk (gösterge) / Tail (indicative)</v>
      </c>
      <c r="AG24" s="122">
        <v>0.16</v>
      </c>
      <c r="AH24" s="122" t="e">
        <v>#N/A</v>
      </c>
      <c r="AI24" s="122">
        <v>0.16</v>
      </c>
    </row>
    <row r="25" spans="2:39" ht="21.95" customHeight="1">
      <c r="B25" s="278" t="str">
        <f>SUBSTITUTE(_xlfn.XLOOKUP("AN_SEV_HILL",tblUIText[Key],tblUIText[TR],"AN_SEV_HILL"),"{0}",$AB$9)&amp;" / "&amp;SUBSTITUTE(_xlfn.XLOOKUP("AN_SEV_HILL",tblUIText[Key],tblUIText[EN],"AN_SEV_HILL"),"{0}",$AB$9)</f>
        <v>Pareto kuyruk endeksi (Hill, en büyük 20 dosya) / Pareto tail index (Hill, largest 20 cases)</v>
      </c>
      <c r="C25" s="278"/>
      <c r="D25" s="278"/>
      <c r="E25" s="278"/>
      <c r="F25" s="292" t="str" cm="1">
        <f t="array" ref="F25">IF(ISNUMBER($AE$13),anNum($AE$13,2),SUBSTITUTE(_xlfn.XLOOKUP("AN_W_NA_GATE",tblUIText[Key],tblUIText[TR],"AN_W_NA_GATE"),"{0}",$AB$7))</f>
        <v>INSUFFICIENT DATA (en az 200)</v>
      </c>
      <c r="G25" s="292"/>
      <c r="AG25" s="122">
        <v>0.17</v>
      </c>
      <c r="AH25" s="122" t="e">
        <v>#N/A</v>
      </c>
      <c r="AI25" s="122">
        <v>0.17</v>
      </c>
    </row>
    <row r="26" spans="2:39" ht="12" customHeight="1">
      <c r="B26" s="284" t="str">
        <f>_xlfn.XLOOKUP("AN_SEV_HILL_NOTE",tblUIText[Key],tblUIText[TR],"AN_SEV_HILL_NOTE")&amp;" / "&amp;_xlfn.XLOOKUP("AN_SEV_HILL_NOTE",tblUIText[Key],tblUIText[EN],"")</f>
        <v>alfa &lt; 2: varyans tanımsız kadar ağır kuyruk; gösterge niteliğinde / alpha &lt; 2: tail so heavy that the variance is undefined; indicative</v>
      </c>
      <c r="C26" s="284"/>
      <c r="D26" s="284"/>
      <c r="E26" s="284"/>
      <c r="F26" s="284"/>
      <c r="G26" s="284"/>
      <c r="AG26" s="122">
        <v>0.18000000000000002</v>
      </c>
      <c r="AH26" s="122" t="e">
        <v>#N/A</v>
      </c>
      <c r="AI26" s="122">
        <v>0.18000000000000002</v>
      </c>
    </row>
    <row r="27" spans="2:39">
      <c r="B27" s="284"/>
      <c r="C27" s="284"/>
      <c r="D27" s="284"/>
      <c r="E27" s="284"/>
      <c r="F27" s="284"/>
      <c r="G27" s="284"/>
      <c r="AG27" s="122">
        <v>0.19000000000000003</v>
      </c>
      <c r="AH27" s="122" t="e">
        <v>#N/A</v>
      </c>
      <c r="AI27" s="122">
        <v>0.19000000000000003</v>
      </c>
    </row>
    <row r="28" spans="2:39">
      <c r="AG28" s="122">
        <v>0.20000000000000004</v>
      </c>
      <c r="AH28" s="122" t="e">
        <v>#N/A</v>
      </c>
      <c r="AI28" s="122">
        <v>0.20000000000000004</v>
      </c>
    </row>
    <row r="29" spans="2:39">
      <c r="B29" s="127" t="str">
        <f>_xlfn.XLOOKUP("AN_SEV_LARGE",tblUIText[Key],tblUIText[TR],"AN_SEV_LARGE")&amp;" / "&amp;_xlfn.XLOOKUP("AN_SEV_LARGE",tblUIText[Key],tblUIText[EN],"")</f>
        <v>Büyük hasarlar (penceredeki en büyük dosyalar) / Large losses (largest cases in the window)</v>
      </c>
      <c r="AG29" s="122">
        <v>0.21000000000000005</v>
      </c>
      <c r="AH29" s="122" t="e">
        <v>#N/A</v>
      </c>
      <c r="AI29" s="122">
        <v>0.21000000000000005</v>
      </c>
    </row>
    <row r="30" spans="2:39" ht="32.1" customHeight="1">
      <c r="B30" s="290" t="str">
        <f>_xlfn.XLOOKUP("AN_SEV_CASE",tblUIText[Key],tblUIText[TR],"AN_SEV_CASE")&amp;" / "&amp;_xlfn.XLOOKUP("AN_SEV_CASE",tblUIText[Key],tblUIText[EN],"")</f>
        <v>Dosya / Case</v>
      </c>
      <c r="C30" s="291"/>
      <c r="D30" s="182" t="str">
        <f>_xlfn.XLOOKUP("AN_SEV_PAIDK",tblUIText[Key],tblUIText[TR],"AN_SEV_PAIDK")&amp;" / "&amp;_xlfn.XLOOKUP("AN_SEV_PAIDK",tblUIText[Key],tblUIText[EN],"")</f>
        <v>Ödenen (bin TL) / Paid (TRY k)</v>
      </c>
      <c r="E30" s="182" t="str">
        <f>_xlfn.XLOOKUP("AN_SEV_SHARE",tblUIText[Key],tblUIText[TR],"AN_SEV_SHARE")&amp;" / "&amp;_xlfn.XLOOKUP("AN_SEV_SHARE",tblUIText[Key],tblUIText[EN],"")</f>
        <v>Pay / Share</v>
      </c>
      <c r="F30" s="182" t="str">
        <f>_xlfn.XLOOKUP("AN_SEV_COVERR",tblUIText[Key],tblUIText[TR],"AN_SEV_COVERR")&amp;" / "&amp;_xlfn.XLOOKUP("AN_SEV_COVERR",tblUIText[Key],tblUIText[EN],"")</f>
        <v>Ödenen / teminat / Paid / cover</v>
      </c>
      <c r="AG30" s="122">
        <v>0.22000000000000006</v>
      </c>
      <c r="AH30" s="122" t="e">
        <v>#N/A</v>
      </c>
      <c r="AI30" s="122">
        <v>0.22000000000000006</v>
      </c>
    </row>
    <row r="31" spans="2:39">
      <c r="B31" s="134" t="str" cm="1">
        <f t="array" ref="B31">IF($AB$5&lt;$AB$8,"",INDEX(_xlfn.ANCHORARRAY($AT$8),0,1))</f>
        <v/>
      </c>
      <c r="C31" s="134"/>
      <c r="D31" s="183" t="str" cm="1">
        <f t="array" ref="D31">IF($AB$5&lt;$AB$8,"",_xlfn.MAP(INDEX(_xlfn.ANCHORARRAY($AT$8),0,2),_xlfn.LAMBDA(_xlpm.v,anNum(_xlpm.v/1000,1))))</f>
        <v/>
      </c>
      <c r="E31" s="183" t="str" cm="1">
        <f t="array" ref="E31">IF($AB$5&lt;$AB$8,"",_xlfn.MAP(INDEX(_xlfn.ANCHORARRAY($AT$8),0,2),_xlfn.LAMBDA(_xlpm.v,anPct(_xlpm.v/$AB$6,1))))</f>
        <v/>
      </c>
      <c r="F31" s="183" t="str" cm="1">
        <f t="array" ref="F31">IF($AB$5&lt;$AB$8,"",_xlfn.MAP(INDEX(_xlfn.ANCHORARRAY($AT$8),0,3),_xlfn.LAMBDA(_xlpm.v,IF(ISNUMBER(_xlpm.v),anPct(_xlpm.v,0),"-"))))</f>
        <v/>
      </c>
      <c r="AG31" s="122">
        <v>0.23000000000000007</v>
      </c>
      <c r="AH31" s="122" t="e">
        <v>#N/A</v>
      </c>
      <c r="AI31" s="122">
        <v>0.23000000000000007</v>
      </c>
    </row>
    <row r="32" spans="2:39">
      <c r="B32" s="134"/>
      <c r="C32" s="134"/>
      <c r="D32" s="183"/>
      <c r="E32" s="183"/>
      <c r="F32" s="183"/>
      <c r="AG32" s="122">
        <v>0.24000000000000007</v>
      </c>
      <c r="AH32" s="122" t="e">
        <v>#N/A</v>
      </c>
      <c r="AI32" s="122">
        <v>0.24000000000000007</v>
      </c>
    </row>
    <row r="33" spans="2:35">
      <c r="B33" s="134"/>
      <c r="C33" s="134"/>
      <c r="D33" s="183"/>
      <c r="E33" s="183"/>
      <c r="F33" s="183"/>
      <c r="AG33" s="122">
        <v>0.25000000000000006</v>
      </c>
      <c r="AH33" s="122" t="e">
        <v>#N/A</v>
      </c>
      <c r="AI33" s="122">
        <v>0.25000000000000006</v>
      </c>
    </row>
    <row r="34" spans="2:35">
      <c r="B34" s="134"/>
      <c r="C34" s="134"/>
      <c r="D34" s="183"/>
      <c r="E34" s="183"/>
      <c r="F34" s="183"/>
      <c r="AG34" s="122">
        <v>0.26000000000000006</v>
      </c>
      <c r="AH34" s="122" t="e">
        <v>#N/A</v>
      </c>
      <c r="AI34" s="122">
        <v>0.26000000000000006</v>
      </c>
    </row>
    <row r="35" spans="2:35">
      <c r="B35" s="134"/>
      <c r="C35" s="134"/>
      <c r="D35" s="183"/>
      <c r="E35" s="183"/>
      <c r="F35" s="183"/>
      <c r="AG35" s="122">
        <v>0.27000000000000007</v>
      </c>
      <c r="AH35" s="122" t="e">
        <v>#N/A</v>
      </c>
      <c r="AI35" s="122">
        <v>0.27000000000000007</v>
      </c>
    </row>
    <row r="36" spans="2:35">
      <c r="B36" s="134"/>
      <c r="C36" s="134"/>
      <c r="D36" s="183"/>
      <c r="E36" s="183"/>
      <c r="F36" s="183"/>
      <c r="AG36" s="122">
        <v>0.28000000000000008</v>
      </c>
      <c r="AH36" s="122" t="e">
        <v>#N/A</v>
      </c>
      <c r="AI36" s="122">
        <v>0.28000000000000008</v>
      </c>
    </row>
    <row r="37" spans="2:35">
      <c r="B37" s="134"/>
      <c r="C37" s="134"/>
      <c r="D37" s="183"/>
      <c r="E37" s="183"/>
      <c r="F37" s="183"/>
      <c r="AG37" s="122">
        <v>0.29000000000000009</v>
      </c>
      <c r="AH37" s="122" t="e">
        <v>#N/A</v>
      </c>
      <c r="AI37" s="122">
        <v>0.29000000000000009</v>
      </c>
    </row>
    <row r="38" spans="2:35">
      <c r="B38" s="134"/>
      <c r="C38" s="134"/>
      <c r="D38" s="183"/>
      <c r="E38" s="183"/>
      <c r="F38" s="183"/>
      <c r="AG38" s="122">
        <v>0.3000000000000001</v>
      </c>
      <c r="AH38" s="122" t="e">
        <v>#N/A</v>
      </c>
      <c r="AI38" s="122">
        <v>0.3000000000000001</v>
      </c>
    </row>
    <row r="39" spans="2:35">
      <c r="B39" s="134"/>
      <c r="C39" s="134"/>
      <c r="D39" s="183"/>
      <c r="E39" s="183"/>
      <c r="F39" s="183"/>
      <c r="AG39" s="122">
        <v>0.31000000000000011</v>
      </c>
      <c r="AH39" s="122" t="e">
        <v>#N/A</v>
      </c>
      <c r="AI39" s="122">
        <v>0.31000000000000011</v>
      </c>
    </row>
    <row r="40" spans="2:35">
      <c r="B40" s="134"/>
      <c r="C40" s="134"/>
      <c r="D40" s="183"/>
      <c r="E40" s="183"/>
      <c r="F40" s="183"/>
      <c r="AG40" s="122">
        <v>0.32000000000000012</v>
      </c>
      <c r="AH40" s="122" t="e">
        <v>#N/A</v>
      </c>
      <c r="AI40" s="122">
        <v>0.32000000000000012</v>
      </c>
    </row>
    <row r="41" spans="2:35">
      <c r="B41" s="134"/>
      <c r="C41" s="134"/>
      <c r="D41" s="183"/>
      <c r="E41" s="183"/>
      <c r="F41" s="183"/>
      <c r="AG41" s="122">
        <v>0.33000000000000013</v>
      </c>
      <c r="AH41" s="122" t="e">
        <v>#N/A</v>
      </c>
      <c r="AI41" s="122">
        <v>0.33000000000000013</v>
      </c>
    </row>
    <row r="42" spans="2:35">
      <c r="B42" s="134"/>
      <c r="C42" s="134"/>
      <c r="D42" s="183"/>
      <c r="E42" s="183"/>
      <c r="F42" s="183"/>
      <c r="AG42" s="122">
        <v>0.34000000000000014</v>
      </c>
      <c r="AH42" s="122" t="e">
        <v>#N/A</v>
      </c>
      <c r="AI42" s="122">
        <v>0.34000000000000014</v>
      </c>
    </row>
    <row r="43" spans="2:35">
      <c r="B43" s="134"/>
      <c r="C43" s="134"/>
      <c r="D43" s="183"/>
      <c r="E43" s="183"/>
      <c r="F43" s="183"/>
      <c r="AG43" s="122">
        <v>0.35000000000000014</v>
      </c>
      <c r="AH43" s="122" t="e">
        <v>#N/A</v>
      </c>
      <c r="AI43" s="122">
        <v>0.35000000000000014</v>
      </c>
    </row>
    <row r="44" spans="2:35">
      <c r="B44" s="134"/>
      <c r="C44" s="134"/>
      <c r="D44" s="183"/>
      <c r="E44" s="183"/>
      <c r="F44" s="183"/>
      <c r="AG44" s="122">
        <v>0.36000000000000015</v>
      </c>
      <c r="AH44" s="122" t="e">
        <v>#N/A</v>
      </c>
      <c r="AI44" s="122">
        <v>0.36000000000000015</v>
      </c>
    </row>
    <row r="45" spans="2:35">
      <c r="B45" s="134"/>
      <c r="C45" s="134"/>
      <c r="D45" s="183"/>
      <c r="E45" s="183"/>
      <c r="F45" s="183"/>
      <c r="AG45" s="122">
        <v>0.37000000000000016</v>
      </c>
      <c r="AH45" s="122" t="e">
        <v>#N/A</v>
      </c>
      <c r="AI45" s="122">
        <v>0.37000000000000016</v>
      </c>
    </row>
    <row r="46" spans="2:35">
      <c r="AG46" s="122">
        <v>0.38000000000000017</v>
      </c>
      <c r="AH46" s="122" t="e">
        <v>#N/A</v>
      </c>
      <c r="AI46" s="122">
        <v>0.38000000000000017</v>
      </c>
    </row>
    <row r="47" spans="2:35" ht="12" customHeight="1">
      <c r="B47" s="284"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C47" s="284"/>
      <c r="D47" s="284"/>
      <c r="E47" s="284"/>
      <c r="F47" s="284"/>
      <c r="G47" s="284"/>
      <c r="H47" s="284"/>
      <c r="I47" s="284"/>
      <c r="J47" s="284"/>
      <c r="K47" s="284"/>
      <c r="L47" s="284"/>
      <c r="M47" s="284"/>
      <c r="N47" s="284"/>
      <c r="O47" s="284"/>
      <c r="P47" s="284"/>
      <c r="Q47" s="284"/>
      <c r="R47" s="284"/>
      <c r="S47" s="284"/>
      <c r="AG47" s="122">
        <v>0.39000000000000018</v>
      </c>
      <c r="AH47" s="122" t="e">
        <v>#N/A</v>
      </c>
      <c r="AI47" s="122">
        <v>0.39000000000000018</v>
      </c>
    </row>
    <row r="48" spans="2:35">
      <c r="B48" s="284"/>
      <c r="C48" s="284"/>
      <c r="D48" s="284"/>
      <c r="E48" s="284"/>
      <c r="F48" s="284"/>
      <c r="G48" s="284"/>
      <c r="H48" s="284"/>
      <c r="I48" s="284"/>
      <c r="J48" s="284"/>
      <c r="K48" s="284"/>
      <c r="L48" s="284"/>
      <c r="M48" s="284"/>
      <c r="N48" s="284"/>
      <c r="O48" s="284"/>
      <c r="P48" s="284"/>
      <c r="Q48" s="284"/>
      <c r="R48" s="284"/>
      <c r="S48" s="284"/>
      <c r="AG48" s="122">
        <v>0.40000000000000019</v>
      </c>
      <c r="AH48" s="122" t="e">
        <v>#N/A</v>
      </c>
      <c r="AI48" s="122">
        <v>0.40000000000000019</v>
      </c>
    </row>
    <row r="49" spans="33:35">
      <c r="AG49" s="122">
        <v>0.4100000000000002</v>
      </c>
      <c r="AH49" s="122" t="e">
        <v>#N/A</v>
      </c>
      <c r="AI49" s="122">
        <v>0.4100000000000002</v>
      </c>
    </row>
    <row r="50" spans="33:35">
      <c r="AG50" s="122">
        <v>0.42000000000000021</v>
      </c>
      <c r="AH50" s="122" t="e">
        <v>#N/A</v>
      </c>
      <c r="AI50" s="122">
        <v>0.42000000000000021</v>
      </c>
    </row>
    <row r="51" spans="33:35">
      <c r="AG51" s="122">
        <v>0.43000000000000022</v>
      </c>
      <c r="AH51" s="122" t="e">
        <v>#N/A</v>
      </c>
      <c r="AI51" s="122">
        <v>0.43000000000000022</v>
      </c>
    </row>
    <row r="52" spans="33:35">
      <c r="AG52" s="122">
        <v>0.44000000000000022</v>
      </c>
      <c r="AH52" s="122" t="e">
        <v>#N/A</v>
      </c>
      <c r="AI52" s="122">
        <v>0.44000000000000022</v>
      </c>
    </row>
    <row r="53" spans="33:35">
      <c r="AG53" s="122">
        <v>0.45000000000000023</v>
      </c>
      <c r="AH53" s="122" t="e">
        <v>#N/A</v>
      </c>
      <c r="AI53" s="122">
        <v>0.45000000000000023</v>
      </c>
    </row>
    <row r="54" spans="33:35">
      <c r="AG54" s="122">
        <v>0.46000000000000024</v>
      </c>
      <c r="AH54" s="122" t="e">
        <v>#N/A</v>
      </c>
      <c r="AI54" s="122">
        <v>0.46000000000000024</v>
      </c>
    </row>
    <row r="55" spans="33:35">
      <c r="AG55" s="122">
        <v>0.47000000000000025</v>
      </c>
      <c r="AH55" s="122" t="e">
        <v>#N/A</v>
      </c>
      <c r="AI55" s="122">
        <v>0.47000000000000025</v>
      </c>
    </row>
    <row r="56" spans="33:35">
      <c r="AG56" s="122">
        <v>0.48000000000000026</v>
      </c>
      <c r="AH56" s="122" t="e">
        <v>#N/A</v>
      </c>
      <c r="AI56" s="122">
        <v>0.48000000000000026</v>
      </c>
    </row>
    <row r="57" spans="33:35">
      <c r="AG57" s="122">
        <v>0.49000000000000027</v>
      </c>
      <c r="AH57" s="122" t="e">
        <v>#N/A</v>
      </c>
      <c r="AI57" s="122">
        <v>0.49000000000000027</v>
      </c>
    </row>
    <row r="58" spans="33:35">
      <c r="AG58" s="122">
        <v>0.50000000000000022</v>
      </c>
      <c r="AH58" s="122" t="e">
        <v>#N/A</v>
      </c>
      <c r="AI58" s="122">
        <v>0.50000000000000022</v>
      </c>
    </row>
    <row r="59" spans="33:35">
      <c r="AG59" s="122">
        <v>0.51000000000000023</v>
      </c>
      <c r="AH59" s="122" t="e">
        <v>#N/A</v>
      </c>
      <c r="AI59" s="122">
        <v>0.51000000000000023</v>
      </c>
    </row>
    <row r="60" spans="33:35">
      <c r="AG60" s="122">
        <v>0.52000000000000024</v>
      </c>
      <c r="AH60" s="122" t="e">
        <v>#N/A</v>
      </c>
      <c r="AI60" s="122">
        <v>0.52000000000000024</v>
      </c>
    </row>
    <row r="61" spans="33:35">
      <c r="AG61" s="122">
        <v>0.53000000000000025</v>
      </c>
      <c r="AH61" s="122" t="e">
        <v>#N/A</v>
      </c>
      <c r="AI61" s="122">
        <v>0.53000000000000025</v>
      </c>
    </row>
    <row r="62" spans="33:35">
      <c r="AG62" s="122">
        <v>0.54000000000000026</v>
      </c>
      <c r="AH62" s="122" t="e">
        <v>#N/A</v>
      </c>
      <c r="AI62" s="122">
        <v>0.54000000000000026</v>
      </c>
    </row>
    <row r="63" spans="33:35">
      <c r="AG63" s="122">
        <v>0.55000000000000027</v>
      </c>
      <c r="AH63" s="122" t="e">
        <v>#N/A</v>
      </c>
      <c r="AI63" s="122">
        <v>0.55000000000000027</v>
      </c>
    </row>
    <row r="64" spans="33:35">
      <c r="AG64" s="122">
        <v>0.56000000000000028</v>
      </c>
      <c r="AH64" s="122" t="e">
        <v>#N/A</v>
      </c>
      <c r="AI64" s="122">
        <v>0.56000000000000028</v>
      </c>
    </row>
    <row r="65" spans="33:35">
      <c r="AG65" s="122">
        <v>0.57000000000000028</v>
      </c>
      <c r="AH65" s="122" t="e">
        <v>#N/A</v>
      </c>
      <c r="AI65" s="122">
        <v>0.57000000000000028</v>
      </c>
    </row>
    <row r="66" spans="33:35">
      <c r="AG66" s="122">
        <v>0.58000000000000029</v>
      </c>
      <c r="AH66" s="122" t="e">
        <v>#N/A</v>
      </c>
      <c r="AI66" s="122">
        <v>0.58000000000000029</v>
      </c>
    </row>
    <row r="67" spans="33:35">
      <c r="AG67" s="122">
        <v>0.5900000000000003</v>
      </c>
      <c r="AH67" s="122" t="e">
        <v>#N/A</v>
      </c>
      <c r="AI67" s="122">
        <v>0.5900000000000003</v>
      </c>
    </row>
    <row r="68" spans="33:35">
      <c r="AG68" s="122">
        <v>0.60000000000000031</v>
      </c>
      <c r="AH68" s="122" t="e">
        <v>#N/A</v>
      </c>
      <c r="AI68" s="122">
        <v>0.60000000000000031</v>
      </c>
    </row>
    <row r="69" spans="33:35">
      <c r="AG69" s="122">
        <v>0.61000000000000032</v>
      </c>
      <c r="AH69" s="122" t="e">
        <v>#N/A</v>
      </c>
      <c r="AI69" s="122">
        <v>0.61000000000000032</v>
      </c>
    </row>
    <row r="70" spans="33:35">
      <c r="AG70" s="122">
        <v>0.62000000000000033</v>
      </c>
      <c r="AH70" s="122" t="e">
        <v>#N/A</v>
      </c>
      <c r="AI70" s="122">
        <v>0.62000000000000033</v>
      </c>
    </row>
    <row r="71" spans="33:35">
      <c r="AG71" s="122">
        <v>0.63000000000000034</v>
      </c>
      <c r="AH71" s="122" t="e">
        <v>#N/A</v>
      </c>
      <c r="AI71" s="122">
        <v>0.63000000000000034</v>
      </c>
    </row>
    <row r="72" spans="33:35">
      <c r="AG72" s="122">
        <v>0.64000000000000035</v>
      </c>
      <c r="AH72" s="122" t="e">
        <v>#N/A</v>
      </c>
      <c r="AI72" s="122">
        <v>0.64000000000000035</v>
      </c>
    </row>
    <row r="73" spans="33:35">
      <c r="AG73" s="122">
        <v>0.65000000000000036</v>
      </c>
      <c r="AH73" s="122" t="e">
        <v>#N/A</v>
      </c>
      <c r="AI73" s="122">
        <v>0.65000000000000036</v>
      </c>
    </row>
    <row r="74" spans="33:35">
      <c r="AG74" s="122">
        <v>0.66000000000000036</v>
      </c>
      <c r="AH74" s="122" t="e">
        <v>#N/A</v>
      </c>
      <c r="AI74" s="122">
        <v>0.66000000000000036</v>
      </c>
    </row>
    <row r="75" spans="33:35">
      <c r="AG75" s="122">
        <v>0.67000000000000037</v>
      </c>
      <c r="AH75" s="122" t="e">
        <v>#N/A</v>
      </c>
      <c r="AI75" s="122">
        <v>0.67000000000000037</v>
      </c>
    </row>
    <row r="76" spans="33:35">
      <c r="AG76" s="122">
        <v>0.68000000000000038</v>
      </c>
      <c r="AH76" s="122" t="e">
        <v>#N/A</v>
      </c>
      <c r="AI76" s="122">
        <v>0.68000000000000038</v>
      </c>
    </row>
    <row r="77" spans="33:35">
      <c r="AG77" s="122">
        <v>0.69000000000000039</v>
      </c>
      <c r="AH77" s="122" t="e">
        <v>#N/A</v>
      </c>
      <c r="AI77" s="122">
        <v>0.69000000000000039</v>
      </c>
    </row>
    <row r="78" spans="33:35">
      <c r="AG78" s="122">
        <v>0.7000000000000004</v>
      </c>
      <c r="AH78" s="122" t="e">
        <v>#N/A</v>
      </c>
      <c r="AI78" s="122">
        <v>0.7000000000000004</v>
      </c>
    </row>
    <row r="79" spans="33:35">
      <c r="AG79" s="122">
        <v>0.71000000000000041</v>
      </c>
      <c r="AH79" s="122" t="e">
        <v>#N/A</v>
      </c>
      <c r="AI79" s="122">
        <v>0.71000000000000041</v>
      </c>
    </row>
    <row r="80" spans="33:35">
      <c r="AG80" s="122">
        <v>0.72000000000000042</v>
      </c>
      <c r="AH80" s="122" t="e">
        <v>#N/A</v>
      </c>
      <c r="AI80" s="122">
        <v>0.72000000000000042</v>
      </c>
    </row>
    <row r="81" spans="33:35">
      <c r="AG81" s="122">
        <v>0.73000000000000043</v>
      </c>
      <c r="AH81" s="122" t="e">
        <v>#N/A</v>
      </c>
      <c r="AI81" s="122">
        <v>0.73000000000000043</v>
      </c>
    </row>
    <row r="82" spans="33:35">
      <c r="AG82" s="122">
        <v>0.74000000000000044</v>
      </c>
      <c r="AH82" s="122" t="e">
        <v>#N/A</v>
      </c>
      <c r="AI82" s="122">
        <v>0.74000000000000044</v>
      </c>
    </row>
    <row r="83" spans="33:35">
      <c r="AG83" s="122">
        <v>0.75000000000000044</v>
      </c>
      <c r="AH83" s="122" t="e">
        <v>#N/A</v>
      </c>
      <c r="AI83" s="122">
        <v>0.75000000000000044</v>
      </c>
    </row>
    <row r="84" spans="33:35">
      <c r="AG84" s="122">
        <v>0.76000000000000045</v>
      </c>
      <c r="AH84" s="122" t="e">
        <v>#N/A</v>
      </c>
      <c r="AI84" s="122">
        <v>0.76000000000000045</v>
      </c>
    </row>
    <row r="85" spans="33:35">
      <c r="AG85" s="122">
        <v>0.77000000000000046</v>
      </c>
      <c r="AH85" s="122" t="e">
        <v>#N/A</v>
      </c>
      <c r="AI85" s="122">
        <v>0.77000000000000046</v>
      </c>
    </row>
    <row r="86" spans="33:35">
      <c r="AG86" s="122">
        <v>0.78000000000000047</v>
      </c>
      <c r="AH86" s="122" t="e">
        <v>#N/A</v>
      </c>
      <c r="AI86" s="122">
        <v>0.78000000000000047</v>
      </c>
    </row>
    <row r="87" spans="33:35">
      <c r="AG87" s="122">
        <v>0.79000000000000048</v>
      </c>
      <c r="AH87" s="122" t="e">
        <v>#N/A</v>
      </c>
      <c r="AI87" s="122">
        <v>0.79000000000000048</v>
      </c>
    </row>
    <row r="88" spans="33:35">
      <c r="AG88" s="122">
        <v>0.80000000000000049</v>
      </c>
      <c r="AH88" s="122" t="e">
        <v>#N/A</v>
      </c>
      <c r="AI88" s="122">
        <v>0.80000000000000049</v>
      </c>
    </row>
    <row r="89" spans="33:35">
      <c r="AG89" s="122">
        <v>0.8100000000000005</v>
      </c>
      <c r="AH89" s="122" t="e">
        <v>#N/A</v>
      </c>
      <c r="AI89" s="122">
        <v>0.8100000000000005</v>
      </c>
    </row>
    <row r="90" spans="33:35">
      <c r="AG90" s="122">
        <v>0.82000000000000051</v>
      </c>
      <c r="AH90" s="122" t="e">
        <v>#N/A</v>
      </c>
      <c r="AI90" s="122">
        <v>0.82000000000000051</v>
      </c>
    </row>
    <row r="91" spans="33:35">
      <c r="AG91" s="122">
        <v>0.83000000000000052</v>
      </c>
      <c r="AH91" s="122" t="e">
        <v>#N/A</v>
      </c>
      <c r="AI91" s="122">
        <v>0.83000000000000052</v>
      </c>
    </row>
    <row r="92" spans="33:35">
      <c r="AG92" s="122">
        <v>0.84000000000000052</v>
      </c>
      <c r="AH92" s="122" t="e">
        <v>#N/A</v>
      </c>
      <c r="AI92" s="122">
        <v>0.84000000000000052</v>
      </c>
    </row>
    <row r="93" spans="33:35">
      <c r="AG93" s="122">
        <v>0.85000000000000053</v>
      </c>
      <c r="AH93" s="122" t="e">
        <v>#N/A</v>
      </c>
      <c r="AI93" s="122">
        <v>0.85000000000000053</v>
      </c>
    </row>
    <row r="94" spans="33:35">
      <c r="AG94" s="122">
        <v>0.86000000000000054</v>
      </c>
      <c r="AH94" s="122" t="e">
        <v>#N/A</v>
      </c>
      <c r="AI94" s="122">
        <v>0.86000000000000054</v>
      </c>
    </row>
    <row r="95" spans="33:35">
      <c r="AG95" s="122">
        <v>0.87000000000000055</v>
      </c>
      <c r="AH95" s="122" t="e">
        <v>#N/A</v>
      </c>
      <c r="AI95" s="122">
        <v>0.87000000000000055</v>
      </c>
    </row>
    <row r="96" spans="33:35">
      <c r="AG96" s="122">
        <v>0.88000000000000056</v>
      </c>
      <c r="AH96" s="122" t="e">
        <v>#N/A</v>
      </c>
      <c r="AI96" s="122">
        <v>0.88000000000000056</v>
      </c>
    </row>
    <row r="97" spans="33:35">
      <c r="AG97" s="122">
        <v>0.89000000000000057</v>
      </c>
      <c r="AH97" s="122" t="e">
        <v>#N/A</v>
      </c>
      <c r="AI97" s="122">
        <v>0.89000000000000057</v>
      </c>
    </row>
    <row r="98" spans="33:35">
      <c r="AG98" s="122">
        <v>0.90000000000000058</v>
      </c>
      <c r="AH98" s="122" t="e">
        <v>#N/A</v>
      </c>
      <c r="AI98" s="122">
        <v>0.90000000000000058</v>
      </c>
    </row>
    <row r="99" spans="33:35">
      <c r="AG99" s="122">
        <v>0.91000000000000059</v>
      </c>
      <c r="AH99" s="122" t="e">
        <v>#N/A</v>
      </c>
      <c r="AI99" s="122">
        <v>0.91000000000000059</v>
      </c>
    </row>
    <row r="100" spans="33:35">
      <c r="AG100" s="122">
        <v>0.9200000000000006</v>
      </c>
      <c r="AH100" s="122" t="e">
        <v>#N/A</v>
      </c>
      <c r="AI100" s="122">
        <v>0.9200000000000006</v>
      </c>
    </row>
    <row r="101" spans="33:35">
      <c r="AG101" s="122">
        <v>0.9300000000000006</v>
      </c>
      <c r="AH101" s="122" t="e">
        <v>#N/A</v>
      </c>
      <c r="AI101" s="122">
        <v>0.9300000000000006</v>
      </c>
    </row>
    <row r="102" spans="33:35">
      <c r="AG102" s="122">
        <v>0.94000000000000061</v>
      </c>
      <c r="AH102" s="122" t="e">
        <v>#N/A</v>
      </c>
      <c r="AI102" s="122">
        <v>0.94000000000000061</v>
      </c>
    </row>
    <row r="103" spans="33:35">
      <c r="AG103" s="122">
        <v>0.95000000000000062</v>
      </c>
      <c r="AH103" s="122" t="e">
        <v>#N/A</v>
      </c>
      <c r="AI103" s="122">
        <v>0.95000000000000062</v>
      </c>
    </row>
    <row r="104" spans="33:35">
      <c r="AG104" s="122">
        <v>0.96000000000000063</v>
      </c>
      <c r="AH104" s="122" t="e">
        <v>#N/A</v>
      </c>
      <c r="AI104" s="122">
        <v>0.96000000000000063</v>
      </c>
    </row>
    <row r="105" spans="33:35">
      <c r="AG105" s="122">
        <v>0.97000000000000064</v>
      </c>
      <c r="AH105" s="122" t="e">
        <v>#N/A</v>
      </c>
      <c r="AI105" s="122">
        <v>0.97000000000000064</v>
      </c>
    </row>
    <row r="106" spans="33:35">
      <c r="AG106" s="122">
        <v>0.98000000000000065</v>
      </c>
      <c r="AH106" s="122" t="e">
        <v>#N/A</v>
      </c>
      <c r="AI106" s="122">
        <v>0.98000000000000065</v>
      </c>
    </row>
    <row r="107" spans="33:35">
      <c r="AG107" s="122">
        <v>0.99000000000000066</v>
      </c>
      <c r="AH107" s="122" t="e">
        <v>#N/A</v>
      </c>
      <c r="AI107" s="122">
        <v>0.99000000000000066</v>
      </c>
    </row>
    <row r="108" spans="33:35">
      <c r="AG108" s="122">
        <v>1.0000000000000007</v>
      </c>
      <c r="AH108" s="122" t="e">
        <v>#N/A</v>
      </c>
      <c r="AI108" s="122">
        <v>1.0000000000000007</v>
      </c>
    </row>
  </sheetData>
  <sheetProtection algorithmName="SHA-512" hashValue="3L7BhkGA6JqjKhr3mbQf1heRbsxtSoezIARQeP5kB49ix2d7AVznQZ6X1aPo+Y+jFIimQMuJMbrY9XhkNgSubw==" saltValue="kPdIZKxWtSqoWI/0vjpHnA==" spinCount="100000" sheet="1" scenarios="1" formatColumns="0" sort="0" autoFilter="0"/>
  <mergeCells count="30">
    <mergeCell ref="B4:S4"/>
    <mergeCell ref="B6:S6"/>
    <mergeCell ref="B12:E12"/>
    <mergeCell ref="F12:G12"/>
    <mergeCell ref="B13:E13"/>
    <mergeCell ref="F13:G13"/>
    <mergeCell ref="B10:E10"/>
    <mergeCell ref="F10:G10"/>
    <mergeCell ref="B11:E11"/>
    <mergeCell ref="F11:G11"/>
    <mergeCell ref="C5:D5"/>
    <mergeCell ref="B14:E14"/>
    <mergeCell ref="F14:G14"/>
    <mergeCell ref="B15:E15"/>
    <mergeCell ref="F15:G15"/>
    <mergeCell ref="B16:E16"/>
    <mergeCell ref="F16:G16"/>
    <mergeCell ref="B17:E17"/>
    <mergeCell ref="F17:G17"/>
    <mergeCell ref="B20:E20"/>
    <mergeCell ref="F20:G20"/>
    <mergeCell ref="B21:E21"/>
    <mergeCell ref="F21:G21"/>
    <mergeCell ref="B22:E22"/>
    <mergeCell ref="F22:G22"/>
    <mergeCell ref="B30:C30"/>
    <mergeCell ref="B47:S48"/>
    <mergeCell ref="B25:E25"/>
    <mergeCell ref="F25:G25"/>
    <mergeCell ref="B26:G27"/>
  </mergeCells>
  <conditionalFormatting sqref="B6">
    <cfRule type="expression" dxfId="503" priority="1" stopIfTrue="1">
      <formula>ISNUMBER(SEARCH("INSUFFICIENT",$B$6))</formula>
    </cfRule>
  </conditionalFormatting>
  <dataValidations count="1">
    <dataValidation type="list" allowBlank="1" showInputMessage="1" showErrorMessage="1" sqref="C5" xr:uid="{DE39A785-2A19-460E-A8E3-5A5C6F8FB462}">
      <formula1>"Life,Pension,Non-life,Unassigned"</formula1>
    </dataValidation>
  </dataValidations>
  <printOptions horizontalCentered="1"/>
  <pageMargins left="0.25" right="0.25" top="0.25" bottom="0.25" header="0.3" footer="0.3"/>
  <pageSetup paperSize="9" scale="83"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C5E1-EA2D-4D30-8207-9FC2A2568185}">
  <sheetPr codeName="Sheet83">
    <pageSetUpPr fitToPage="1"/>
  </sheetPr>
  <dimension ref="B1:AQ44"/>
  <sheetViews>
    <sheetView showGridLines="0" workbookViewId="0"/>
  </sheetViews>
  <sheetFormatPr defaultRowHeight="12"/>
  <cols>
    <col min="1" max="1" width="2.28515625" style="122" customWidth="1"/>
    <col min="2" max="19" width="8.28515625" style="122" customWidth="1"/>
    <col min="20" max="27" width="9.140625" style="122"/>
    <col min="28" max="52" width="0" style="122" hidden="1" customWidth="1"/>
    <col min="53" max="16384" width="9.140625" style="122"/>
  </cols>
  <sheetData>
    <row r="1" spans="2:43" ht="18">
      <c r="B1" s="123" t="str" cm="1">
        <f t="array" ref="B1">_xlfn.XLOOKUP("AN_SEG_"&amp;$AB$3,tblUIText[Key],tblUIText[TR],$AB$3)&amp;": "&amp;_xlfn.XLOOKUP("AN_LIM_COVER",tblUIText[Key],tblUIText[TR],"AN_LIM_COVER")&amp;" medyan "&amp;IF(ISNUMBER($AG$4),anPct($AG$4,0),"-")&amp;"; "&amp;_xlfn.XLOOKUP("AN_LIM_IR",tblUIText[Key],tblUIText[TR],"AN_LIM_IR")&amp;" medyan "&amp;IF(ISNUMBER($AI$4),anPct($AI$4,0),"-")&amp;"; "&amp;_xlfn.XLOOKUP("AN_LIM_NG",tblUIText[Key],tblUIText[TR],"AN_LIM_NG")&amp;" "&amp;IF(ISNUMBER($AK$4),anPct($AK$4,1),"-")</f>
        <v>Hayat: Ödenen / teminat tutarı medyan -; Ödenen / ilk muallak medyan -; Net / brüt -</v>
      </c>
      <c r="AB1" s="122" t="s">
        <v>19090</v>
      </c>
    </row>
    <row r="2" spans="2:43" ht="15">
      <c r="B2" s="124" t="str" cm="1">
        <f t="array" ref="B2">_xlfn.XLOOKUP("AN_SEG_"&amp;$AB$3,tblUIText[Key],tblUIText[EN],$AB$3)&amp;": "&amp;_xlfn.XLOOKUP("AN_LIM_COVER",tblUIText[Key],tblUIText[EN],"AN_LIM_COVER")&amp;" median "&amp;IF(ISNUMBER($AG$4),anPct($AG$4,0),"-")&amp;"; "&amp;_xlfn.XLOOKUP("AN_LIM_IR",tblUIText[Key],tblUIText[EN],"AN_LIM_IR")&amp;" median "&amp;IF(ISNUMBER($AI$4),anPct($AI$4,0),"-")&amp;"; "&amp;_xlfn.XLOOKUP("AN_LIM_NG",tblUIText[Key],tblUIText[EN],"AN_LIM_NG")&amp;" "&amp;IF(ISNUMBER($AK$4),anPct($AK$4,1),"-")</f>
        <v>Life: Paid / cover amount median -; Paid / initial reserve median -; Net / gross -</v>
      </c>
    </row>
    <row r="3" spans="2:43">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7" t="str">
        <f>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tr">
        <f>$C$5</f>
        <v>Life</v>
      </c>
      <c r="AG3" s="122">
        <f>COUNT(_xlfn.ANCHORARRAY($AC$8))</f>
        <v>0</v>
      </c>
      <c r="AH3" s="122">
        <f>COUNT(_xlfn.ANCHORARRAY($AD$8))</f>
        <v>0</v>
      </c>
      <c r="AI3" s="122">
        <f>COUNT(_xlfn.ANCHORARRAY($AE$8))</f>
        <v>0</v>
      </c>
      <c r="AK3" s="122" t="e">
        <f>_xlfn.LET(_xlpm.s,SUMIFS(anCASE_Paid,anCASE_Seg,$AB$3),IF(_xlpm.s=0,NA(),SUMIFS(anCASE_Ded,anCASE_Seg,$AB$3)/_xlpm.s))</f>
        <v>#N/A</v>
      </c>
    </row>
    <row r="4" spans="2:43" ht="33.950000000000003" customHeight="1">
      <c r="B4" s="244" t="str">
        <f>_xlfn.XLOOKUP("AN_LIM_PURPOSE",tblUIText[Key],tblUIText[TR],"AN_LIM_PURPOSE")&amp;" / "&amp;_xlfn.XLOOKUP("AN_LIM_PURPOSE",tblUIText[Key],tblUIText[EN],"")&amp;CHAR(10)&amp;_xlfn.XLOOKUP("AN_HOWTO_LIMITS",tblUIText[Key],tblUIText[TR],"AN_HOWTO_LIMITS")&amp;" / "&amp;_xlfn.XLOOKUP("AN_HOWTO_LIMITS",tblUIText[Key],tblUIText[EN],"")</f>
        <v>Ödenen tutarlar teminat tutarına, toplam teminata ve ilk muallaka göre nerede duruyor? / Where do the amounts paid stand against the cover amount, the total sum insured and the initial reserve?
Nasıl okunur: dosya başına ödenen / teminat oranları orijinal para biriminde; ilk muallak doğruluğu yalnızca ödemesi olan dosyalar içindir (hayatta kalan yanlılığı). / How to read: paid / limit ratios per case in the original currency; initial-reserve accuracy covers only cases with payments (survivor bias).</v>
      </c>
      <c r="C4" s="244"/>
      <c r="D4" s="244"/>
      <c r="E4" s="244"/>
      <c r="F4" s="244"/>
      <c r="G4" s="244"/>
      <c r="H4" s="244"/>
      <c r="I4" s="244"/>
      <c r="J4" s="244"/>
      <c r="K4" s="244"/>
      <c r="L4" s="244"/>
      <c r="M4" s="244"/>
      <c r="N4" s="244"/>
      <c r="O4" s="244"/>
      <c r="P4" s="244"/>
      <c r="Q4" s="244"/>
      <c r="R4" s="244"/>
      <c r="S4" s="244"/>
      <c r="AB4" s="122" cm="1">
        <f t="array" ref="AB4">IFERROR(ROWS(_xlfn.UNIQUE(_xlfn._xlws.FILTER(anSM_YM,(anSM_Seg=$AB$3)*(anSM_Lines&lt;&gt;"")*(anSM_YM&lt;&gt;"")))),0)</f>
        <v>0</v>
      </c>
      <c r="AG4" s="122" t="e">
        <f>IF($AG$3&lt;$AB$5,NA(),MEDIAN(_xlfn.ANCHORARRAY($AC$8)))</f>
        <v>#N/A</v>
      </c>
      <c r="AH4" s="122" t="e">
        <f>IF($AH$3&lt;$AB$5,NA(),MEDIAN(_xlfn.ANCHORARRAY($AD$8)))</f>
        <v>#N/A</v>
      </c>
      <c r="AI4" s="122" t="e">
        <f>IF($AI$3&lt;$AB$5,NA(),MEDIAN(_xlfn.ANCHORARRAY($AE$8)))</f>
        <v>#N/A</v>
      </c>
      <c r="AK4" s="122" t="e">
        <f>_xlfn.LET(_xlpm.s,SUMIFS(anCASE_Paid,anCASE_Seg,$AB$3),IF(_xlpm.s=0,NA(),SUMIFS(anCASE_Net,anCASE_Seg,$AB$3)/_xlpm.s))</f>
        <v>#N/A</v>
      </c>
    </row>
    <row r="5" spans="2:43">
      <c r="B5" s="128" t="s">
        <v>19100</v>
      </c>
      <c r="C5" s="275" t="s">
        <v>113</v>
      </c>
      <c r="D5" s="275"/>
      <c r="E5" s="126" t="str">
        <f>_xlfn.XLOOKUP("AN_SEG_"&amp;$C$5,tblUIText[Key],tblUIText[TR],$C$5)&amp;" / "&amp;_xlfn.XLOOKUP("AN_SEG_"&amp;$C$5,tblUIText[Key],tblUIText[EN],$C$5)</f>
        <v>Hayat / Life</v>
      </c>
      <c r="M5" s="130" t="str">
        <f>_xlfn.XLOOKUP("AN_LBL_REFRESH",tblUIText[Key],tblUIText[TR],"AN_LBL_REFRESH")&amp;" / "&amp;_xlfn.XLOOKUP("AN_LBL_REFRESH",tblUIText[Key],tblUIText[EN],"")&amp;": "&amp;IFERROR(TEXT(cpLastLoggedRefresh,"yyyy-mm-dd hh:mm"),cpLastLoggedRefresh&amp;"")</f>
        <v>Son yenileme / Last refresh: none</v>
      </c>
      <c r="AB5" s="122">
        <f>_xlfn.XLOOKUP("MinCasesForLimits",AnParam[Param],AnParam[Value])</f>
        <v>30</v>
      </c>
      <c r="AG5" s="122" t="e">
        <f>IF($AG$3&lt;$AB$5,NA(),COUNTIF(_xlfn.ANCHORARRAY($AC$8),"&gt;="&amp;$AB$6)/$AG$3)</f>
        <v>#N/A</v>
      </c>
      <c r="AH5" s="122" t="e">
        <f>IF($AH$3&lt;$AB$5,NA(),COUNTIF(_xlfn.ANCHORARRAY($AD$8),"&gt;="&amp;$AB$6)/$AH$3)</f>
        <v>#N/A</v>
      </c>
      <c r="AI5" s="122" t="e" cm="1">
        <f t="array" ref="AI5">IF($AI$3&lt;$AB$5,NA(),EXP(AVERAGE(LN(_xlfn._xlws.FILTER(_xlfn.ANCHORARRAY($AE$8),_xlfn.ANCHORARRAY($AE$8)&gt;0))))-1)</f>
        <v>#N/A</v>
      </c>
    </row>
    <row r="6" spans="2:43">
      <c r="B6" s="245" t="str" cm="1">
        <f t="array" ref="B6">_xlfn.XLOOKUP("AN_LBL_READINESS",tblUIText[Key],tblUIText[TR],"AN_LBL_READINESS")&amp;" / "&amp;_xlfn.XLOOKUP("AN_LBL_READINESS",tblUIText[Key],tblUIText[EN],"")&amp;": "&amp;IF($AG$3&lt;$AB$5,"INSUFFICIENT DATA","OK")&amp;": "&amp;anNum($AG$3,0)&amp;" "&amp;_xlfn.XLOOKUP("AN_LIM_N",tblUIText[Key],tblUIText[TR],"AN_LIM_N")&amp;" / "&amp;_xlfn.XLOOKUP("AN_LIM_N",tblUIText[Key],tblUIText[EN],"")&amp;" ("&amp;_xlfn.XLOOKUP("AN_LIM_COVER",tblUIText[Key],tblUIText[TR],"AN_LIM_COVER")&amp;" / "&amp;_xlfn.XLOOKUP("AN_LIM_COVER",tblUIText[Key],tblUIText[EN],"")&amp;"); "&amp;anNum($AI$3,0)&amp;" ("&amp;_xlfn.XLOOKUP("AN_LIM_IR",tblUIText[Key],tblUIText[TR],"AN_LIM_IR")&amp;" / "&amp;_xlfn.XLOOKUP("AN_LIM_IR",tblUIText[Key],tblUIText[EN],"")&amp;")"</f>
        <v>Veri durumu / Data readiness: INSUFFICIENT DATA: 0 Dosya (oranlı) / Cases (with a ratio) (Ödenen / teminat tutarı / Paid / cover amount); 0 (Ödenen / ilk muallak / Paid / initial reserve)</v>
      </c>
      <c r="C6" s="246"/>
      <c r="D6" s="246"/>
      <c r="E6" s="246"/>
      <c r="F6" s="246"/>
      <c r="G6" s="246"/>
      <c r="H6" s="246"/>
      <c r="I6" s="246"/>
      <c r="J6" s="246"/>
      <c r="K6" s="246"/>
      <c r="L6" s="246"/>
      <c r="M6" s="246"/>
      <c r="N6" s="246"/>
      <c r="O6" s="246"/>
      <c r="P6" s="246"/>
      <c r="Q6" s="246"/>
      <c r="R6" s="246"/>
      <c r="S6" s="246"/>
      <c r="AB6" s="122">
        <f>_xlfn.XLOOKUP("FullLimitShare",AnParam[Param],AnParam[Value])</f>
        <v>0.99</v>
      </c>
      <c r="AG6" s="122" t="e">
        <f>IF($AG$3&lt;$AB$5,NA(),COUNTIF(_xlfn.ANCHORARRAY($AC$8),"&gt;1.0001")/$AG$3)</f>
        <v>#N/A</v>
      </c>
      <c r="AH6" s="122" t="e">
        <f>IF($AH$3&lt;$AB$5,NA(),COUNTIF(_xlfn.ANCHORARRAY($AD$8),"&gt;1.0001")/$AH$3)</f>
        <v>#N/A</v>
      </c>
      <c r="AI6" s="122" t="e">
        <f>IF($AI$3&lt;$AB$5,NA(),COUNTIF(_xlfn.ANCHORARRAY($AE$8),"&gt;1")/$AI$3)</f>
        <v>#N/A</v>
      </c>
    </row>
    <row r="7" spans="2:43"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C7" s="122" t="s">
        <v>20510</v>
      </c>
      <c r="AD7" s="122" t="s">
        <v>20511</v>
      </c>
      <c r="AE7" s="122" t="s">
        <v>20512</v>
      </c>
      <c r="AM7" s="122" t="s">
        <v>20513</v>
      </c>
      <c r="AN7" s="122" t="s">
        <v>17120</v>
      </c>
      <c r="AP7" s="122" t="s">
        <v>20514</v>
      </c>
      <c r="AQ7" s="122" t="s">
        <v>17120</v>
      </c>
    </row>
    <row r="8" spans="2:43">
      <c r="AC8" s="122" t="str" cm="1">
        <f t="array" ref="AC8">IFERROR(_xlfn.LET(_xlpm.m,(anCASE_Seg=$AB$3)*ISNUMBER(anCASE_PaidO)*ISNUMBER(anCASE_Cover)*IF(ISNUMBER(anCASE_Cover),anCASE_Cover&gt;0,FALSE),_xlfn._xlws.FILTER(anCASE_PaidO/anCASE_Cover,_xlpm.m)),"")</f>
        <v/>
      </c>
      <c r="AD8" s="122" t="str" cm="1">
        <f t="array" ref="AD8">IFERROR(_xlfn.LET(_xlpm.m,(anCASE_Seg=$AB$3)*ISNUMBER(anCASE_PaidO)*ISNUMBER(anCASE_SI)*IF(ISNUMBER(anCASE_SI),anCASE_SI&gt;0,FALSE),_xlfn._xlws.FILTER(anCASE_PaidO/anCASE_SI,_xlpm.m)),"")</f>
        <v/>
      </c>
      <c r="AE8" s="122" t="str" cm="1">
        <f t="array" ref="AE8">IFERROR(_xlfn.LET(_xlpm.m,(anCASE_Seg=$AB$3)*ISNUMBER(anCASE_PaidO)*ISNUMBER(anCASE_IR)*IF(ISNUMBER(anCASE_IR),anCASE_IR&gt;0,FALSE),_xlfn._xlws.FILTER(anCASE_PaidO/anCASE_IR,_xlpm.m)),"")</f>
        <v/>
      </c>
      <c r="AM8" s="122" t="s">
        <v>20515</v>
      </c>
      <c r="AN8" s="122" t="e">
        <f>IF($AG$3&lt;$AB$5,NA(),COUNTIFS(_xlfn.ANCHORARRAY($AC$8),"&gt;=0",_xlfn.ANCHORARRAY($AC$8),"&lt;0.1")/$AG$3)</f>
        <v>#N/A</v>
      </c>
      <c r="AP8" s="122" t="s">
        <v>20523</v>
      </c>
      <c r="AQ8" s="122" t="e">
        <f>IF($AI$3&lt;$AB$5,NA(),COUNTIFS(_xlfn.ANCHORARRAY($AE$8),"&gt;=0",_xlfn.ANCHORARRAY($AE$8),"&lt;0.5")/$AI$3)</f>
        <v>#N/A</v>
      </c>
    </row>
    <row r="9" spans="2:43" ht="33.950000000000003" customHeight="1">
      <c r="B9" s="294"/>
      <c r="C9" s="294"/>
      <c r="D9" s="294"/>
      <c r="E9" s="294"/>
      <c r="F9" s="294" t="str">
        <f>_xlfn.XLOOKUP("AN_LIM_COVER",tblUIText[Key],tblUIText[TR],"AN_LIM_COVER")&amp;" / "&amp;_xlfn.XLOOKUP("AN_LIM_COVER",tblUIText[Key],tblUIText[EN],"")</f>
        <v>Ödenen / teminat tutarı / Paid / cover amount</v>
      </c>
      <c r="G9" s="294"/>
      <c r="H9" s="294" t="str">
        <f>_xlfn.XLOOKUP("AN_LIM_SI",tblUIText[Key],tblUIText[TR],"AN_LIM_SI")&amp;" / "&amp;_xlfn.XLOOKUP("AN_LIM_SI",tblUIText[Key],tblUIText[EN],"")</f>
        <v>Ödenen / toplam teminat / Paid / total sum insured</v>
      </c>
      <c r="I9" s="294"/>
      <c r="J9" s="294" t="str">
        <f>_xlfn.XLOOKUP("AN_LIM_IR",tblUIText[Key],tblUIText[TR],"AN_LIM_IR")&amp;" / "&amp;_xlfn.XLOOKUP("AN_LIM_IR",tblUIText[Key],tblUIText[EN],"")</f>
        <v>Ödenen / ilk muallak / Paid / initial reserve</v>
      </c>
      <c r="K9" s="294"/>
      <c r="AM9" s="122" t="s">
        <v>20516</v>
      </c>
      <c r="AN9" s="122" t="e">
        <f>IF($AG$3&lt;$AB$5,NA(),COUNTIFS(_xlfn.ANCHORARRAY($AC$8),"&gt;=0.1",_xlfn.ANCHORARRAY($AC$8),"&lt;0.25")/$AG$3)</f>
        <v>#N/A</v>
      </c>
      <c r="AP9" s="122" t="s">
        <v>20524</v>
      </c>
      <c r="AQ9" s="122" t="e">
        <f>IF($AI$3&lt;$AB$5,NA(),COUNTIFS(_xlfn.ANCHORARRAY($AE$8),"&gt;=0.5",_xlfn.ANCHORARRAY($AE$8),"&lt;0.8")/$AI$3)</f>
        <v>#N/A</v>
      </c>
    </row>
    <row r="10" spans="2:43" ht="21" customHeight="1">
      <c r="B10" s="278" t="str">
        <f>_xlfn.XLOOKUP("AN_LIM_N",tblUIText[Key],tblUIText[TR],"AN_LIM_N")&amp;" / "&amp;_xlfn.XLOOKUP("AN_LIM_N",tblUIText[Key],tblUIText[EN],"")</f>
        <v>Dosya (oranlı) / Cases (with a ratio)</v>
      </c>
      <c r="C10" s="278"/>
      <c r="D10" s="278"/>
      <c r="E10" s="278"/>
      <c r="F10" s="292" t="str" cm="1">
        <f t="array" ref="F10">anNum($AG$3,0)</f>
        <v>0</v>
      </c>
      <c r="G10" s="292"/>
      <c r="H10" s="292" t="str" cm="1">
        <f t="array" ref="H10">anNum($AH$3,0)</f>
        <v>0</v>
      </c>
      <c r="I10" s="292"/>
      <c r="J10" s="292" t="str" cm="1">
        <f t="array" ref="J10">anNum($AI$3,0)</f>
        <v>0</v>
      </c>
      <c r="K10" s="292"/>
      <c r="AM10" s="122" t="s">
        <v>20517</v>
      </c>
      <c r="AN10" s="122" t="e">
        <f>IF($AG$3&lt;$AB$5,NA(),COUNTIFS(_xlfn.ANCHORARRAY($AC$8),"&gt;=0.25",_xlfn.ANCHORARRAY($AC$8),"&lt;0.5")/$AG$3)</f>
        <v>#N/A</v>
      </c>
      <c r="AP10" s="122" t="s">
        <v>20525</v>
      </c>
      <c r="AQ10" s="122" t="e">
        <f>IF($AI$3&lt;$AB$5,NA(),COUNTIFS(_xlfn.ANCHORARRAY($AE$8),"&gt;=0.8",_xlfn.ANCHORARRAY($AE$8),"&lt;1")/$AI$3)</f>
        <v>#N/A</v>
      </c>
    </row>
    <row r="11" spans="2:43" ht="21" customHeight="1">
      <c r="B11" s="278" t="str">
        <f>_xlfn.XLOOKUP("AN_LIM_MED",tblUIText[Key],tblUIText[TR],"AN_LIM_MED")&amp;" / "&amp;_xlfn.XLOOKUP("AN_LIM_MED",tblUIText[Key],tblUIText[EN],"")</f>
        <v>Medyan oran / Median ratio</v>
      </c>
      <c r="C11" s="278"/>
      <c r="D11" s="278"/>
      <c r="E11" s="278"/>
      <c r="F11" s="292" t="str" cm="1">
        <f t="array" ref="F11">IF(ISNUMBER($AG$4),anPct($AG$4,0),SUBSTITUTE(_xlfn.XLOOKUP("AN_W_NA_GATE",tblUIText[Key],tblUIText[TR],"AN_W_NA_GATE"),"{0}",$AB$5))</f>
        <v>INSUFFICIENT DATA (en az 30)</v>
      </c>
      <c r="G11" s="292"/>
      <c r="H11" s="292" t="str" cm="1">
        <f t="array" ref="H11">IF(ISNUMBER($AH$4),anPct($AH$4,0),SUBSTITUTE(_xlfn.XLOOKUP("AN_W_NA_GATE",tblUIText[Key],tblUIText[TR],"AN_W_NA_GATE"),"{0}",$AB$5))</f>
        <v>INSUFFICIENT DATA (en az 30)</v>
      </c>
      <c r="I11" s="292"/>
      <c r="J11" s="292" t="str" cm="1">
        <f t="array" ref="J11">IF(ISNUMBER($AI$4),anPct($AI$4,0),SUBSTITUTE(_xlfn.XLOOKUP("AN_W_NA_GATE",tblUIText[Key],tblUIText[TR],"AN_W_NA_GATE"),"{0}",$AB$5))</f>
        <v>INSUFFICIENT DATA (en az 30)</v>
      </c>
      <c r="K11" s="292"/>
      <c r="AM11" s="122" t="s">
        <v>20518</v>
      </c>
      <c r="AN11" s="122" t="e">
        <f>IF($AG$3&lt;$AB$5,NA(),COUNTIFS(_xlfn.ANCHORARRAY($AC$8),"&gt;=0.5",_xlfn.ANCHORARRAY($AC$8),"&lt;0.75")/$AG$3)</f>
        <v>#N/A</v>
      </c>
      <c r="AP11" s="122" t="s">
        <v>20526</v>
      </c>
      <c r="AQ11" s="122" t="e">
        <f>IF($AI$3&lt;$AB$5,NA(),COUNTIFS(_xlfn.ANCHORARRAY($AE$8),"&gt;=1",_xlfn.ANCHORARRAY($AE$8),"&lt;1.2")/$AI$3)</f>
        <v>#N/A</v>
      </c>
    </row>
    <row r="12" spans="2:43" ht="21" customHeight="1">
      <c r="B12" s="278" t="str" cm="1">
        <f t="array" ref="B12">SUBSTITUTE(_xlfn.XLOOKUP("AN_LIM_FULL",tblUIText[Key],tblUIText[TR],"AN_LIM_FULL"),"{0}",anPct($AB$6,0))&amp;" / "&amp;SUBSTITUTE(_xlfn.XLOOKUP("AN_LIM_FULL",tblUIText[Key],tblUIText[EN],"AN_LIM_FULL"),"{0}",anPct($AB$6,0))</f>
        <v>Tam limitte ödenen dosya payı (&gt;= %99) / Share of cases paid at the full limit (&gt;= %99)</v>
      </c>
      <c r="C12" s="278"/>
      <c r="D12" s="278"/>
      <c r="E12" s="278"/>
      <c r="F12" s="292" t="str" cm="1">
        <f t="array" ref="F12">IF("AG"="AI","-",IF(ISNUMBER($AG$5),anPct($AG$5,1),SUBSTITUTE(_xlfn.XLOOKUP("AN_W_NA_GATE",tblUIText[Key],tblUIText[TR],"AN_W_NA_GATE"),"{0}",$AB$5)))</f>
        <v>INSUFFICIENT DATA (en az 30)</v>
      </c>
      <c r="G12" s="292"/>
      <c r="H12" s="292" t="str" cm="1">
        <f t="array" ref="H12">IF("AH"="AI","-",IF(ISNUMBER($AH$5),anPct($AH$5,1),SUBSTITUTE(_xlfn.XLOOKUP("AN_W_NA_GATE",tblUIText[Key],tblUIText[TR],"AN_W_NA_GATE"),"{0}",$AB$5)))</f>
        <v>INSUFFICIENT DATA (en az 30)</v>
      </c>
      <c r="I12" s="292"/>
      <c r="J12" s="292" t="str" cm="1">
        <f t="array" ref="J12">IF("AI"="AI","-",IF(ISNUMBER($AI$5),anPct($AI$5,1),SUBSTITUTE(_xlfn.XLOOKUP("AN_W_NA_GATE",tblUIText[Key],tblUIText[TR],"AN_W_NA_GATE"),"{0}",$AB$5)))</f>
        <v>-</v>
      </c>
      <c r="K12" s="292"/>
      <c r="AM12" s="122" t="s">
        <v>20519</v>
      </c>
      <c r="AN12" s="122" t="e">
        <f>IF($AG$3&lt;$AB$5,NA(),COUNTIFS(_xlfn.ANCHORARRAY($AC$8),"&gt;=0.75",_xlfn.ANCHORARRAY($AC$8),"&lt;0.9")/$AG$3)</f>
        <v>#N/A</v>
      </c>
      <c r="AP12" s="122" t="s">
        <v>20527</v>
      </c>
      <c r="AQ12" s="122" t="e">
        <f>IF($AI$3&lt;$AB$5,NA(),COUNTIFS(_xlfn.ANCHORARRAY($AE$8),"&gt;=1.2",_xlfn.ANCHORARRAY($AE$8),"&lt;2")/$AI$3)</f>
        <v>#N/A</v>
      </c>
    </row>
    <row r="13" spans="2:43" ht="21" customHeight="1">
      <c r="B13" s="278" t="str">
        <f>_xlfn.XLOOKUP("AN_LIM_OVER",tblUIText[Key],tblUIText[TR],"AN_LIM_OVER")&amp;" / "&amp;_xlfn.XLOOKUP("AN_LIM_OVER",tblUIText[Key],tblUIText[EN],"")</f>
        <v>Limiti aşan dosya payı (&gt; 1) / Share of cases paid above the limit (&gt; 1)</v>
      </c>
      <c r="C13" s="278"/>
      <c r="D13" s="278"/>
      <c r="E13" s="278"/>
      <c r="F13" s="292" t="str" cm="1">
        <f t="array" ref="F13">IF("AG"="AI","-",IF(ISNUMBER($AG$6),anPct($AG$6,1),SUBSTITUTE(_xlfn.XLOOKUP("AN_W_NA_GATE",tblUIText[Key],tblUIText[TR],"AN_W_NA_GATE"),"{0}",$AB$5)))</f>
        <v>INSUFFICIENT DATA (en az 30)</v>
      </c>
      <c r="G13" s="292"/>
      <c r="H13" s="292" t="str" cm="1">
        <f t="array" ref="H13">IF("AH"="AI","-",IF(ISNUMBER($AH$6),anPct($AH$6,1),SUBSTITUTE(_xlfn.XLOOKUP("AN_W_NA_GATE",tblUIText[Key],tblUIText[TR],"AN_W_NA_GATE"),"{0}",$AB$5)))</f>
        <v>INSUFFICIENT DATA (en az 30)</v>
      </c>
      <c r="I13" s="292"/>
      <c r="J13" s="292" t="str" cm="1">
        <f t="array" ref="J13">IF("AI"="AI","-",IF(ISNUMBER($AI$6),anPct($AI$6,1),SUBSTITUTE(_xlfn.XLOOKUP("AN_W_NA_GATE",tblUIText[Key],tblUIText[TR],"AN_W_NA_GATE"),"{0}",$AB$5)))</f>
        <v>-</v>
      </c>
      <c r="K13" s="292"/>
      <c r="AM13" s="122" t="s">
        <v>20520</v>
      </c>
      <c r="AN13" s="122" t="e">
        <f>IF($AG$3&lt;$AB$5,NA(),COUNTIFS(_xlfn.ANCHORARRAY($AC$8),"&gt;=0.9",_xlfn.ANCHORARRAY($AC$8),"&lt;0.99")/$AG$3)</f>
        <v>#N/A</v>
      </c>
      <c r="AP13" s="122" t="s">
        <v>20528</v>
      </c>
      <c r="AQ13" s="122" t="e">
        <f>IF($AI$3&lt;$AB$5,NA(),COUNTIFS(_xlfn.ANCHORARRAY($AE$8),"&gt;=2",_xlfn.ANCHORARRAY($AE$8),"&lt;1000000000")/$AI$3)</f>
        <v>#N/A</v>
      </c>
    </row>
    <row r="14" spans="2:43" ht="21" customHeight="1">
      <c r="B14" s="278" t="str">
        <f>_xlfn.XLOOKUP("AN_LIM_BIAS",tblUIText[Key],tblUIText[TR],"AN_LIM_BIAS")&amp;" / "&amp;_xlfn.XLOOKUP("AN_LIM_BIAS",tblUIText[Key],tblUIText[EN],"")</f>
        <v>Sapma: geometrik ortalama oran - 1 / Bias: geometric mean ratio - 1</v>
      </c>
      <c r="C14" s="278"/>
      <c r="D14" s="278"/>
      <c r="E14" s="278"/>
      <c r="F14" s="292" t="str" cm="1">
        <f t="array" ref="F14">IF("AG"&lt;&gt;"AI","-",IF(ISNUMBER($AI$5),anPctS($AI$5,1),SUBSTITUTE(_xlfn.XLOOKUP("AN_W_NA_GATE",tblUIText[Key],tblUIText[TR],"AN_W_NA_GATE"),"{0}",$AB$5)))</f>
        <v>-</v>
      </c>
      <c r="G14" s="292"/>
      <c r="H14" s="292" t="str" cm="1">
        <f t="array" ref="H14">IF("AH"&lt;&gt;"AI","-",IF(ISNUMBER($AI$5),anPctS($AI$5,1),SUBSTITUTE(_xlfn.XLOOKUP("AN_W_NA_GATE",tblUIText[Key],tblUIText[TR],"AN_W_NA_GATE"),"{0}",$AB$5)))</f>
        <v>-</v>
      </c>
      <c r="I14" s="292"/>
      <c r="J14" s="292" t="str" cm="1">
        <f t="array" ref="J14">IF("AI"&lt;&gt;"AI","-",IF(ISNUMBER($AI$5),anPctS($AI$5,1),SUBSTITUTE(_xlfn.XLOOKUP("AN_W_NA_GATE",tblUIText[Key],tblUIText[TR],"AN_W_NA_GATE"),"{0}",$AB$5)))</f>
        <v>INSUFFICIENT DATA (en az 30)</v>
      </c>
      <c r="K14" s="292"/>
      <c r="AM14" s="122" t="s">
        <v>20521</v>
      </c>
      <c r="AN14" s="122" t="e">
        <f>IF($AG$3&lt;$AB$5,NA(),COUNTIFS(_xlfn.ANCHORARRAY($AC$8),"&gt;=0.99",_xlfn.ANCHORARRAY($AC$8),"&lt;1.0001")/$AG$3)</f>
        <v>#N/A</v>
      </c>
    </row>
    <row r="15" spans="2:43" ht="21" customHeight="1">
      <c r="B15" s="278" t="str">
        <f>_xlfn.XLOOKUP("AN_LIM_ABOVE",tblUIText[Key],tblUIText[TR],"AN_LIM_ABOVE")&amp;" / "&amp;_xlfn.XLOOKUP("AN_LIM_ABOVE",tblUIText[Key],tblUIText[EN],"")</f>
        <v>Ödenen &gt; ilk muallak payı / Share with paid &gt; initial reserve</v>
      </c>
      <c r="C15" s="278"/>
      <c r="D15" s="278"/>
      <c r="E15" s="278"/>
      <c r="F15" s="292" t="str" cm="1">
        <f t="array" ref="F15">IF("AG"&lt;&gt;"AI","-",IF(ISNUMBER($AI$6),anPct($AI$6,1),SUBSTITUTE(_xlfn.XLOOKUP("AN_W_NA_GATE",tblUIText[Key],tblUIText[TR],"AN_W_NA_GATE"),"{0}",$AB$5)))</f>
        <v>-</v>
      </c>
      <c r="G15" s="292"/>
      <c r="H15" s="292" t="str" cm="1">
        <f t="array" ref="H15">IF("AH"&lt;&gt;"AI","-",IF(ISNUMBER($AI$6),anPct($AI$6,1),SUBSTITUTE(_xlfn.XLOOKUP("AN_W_NA_GATE",tblUIText[Key],tblUIText[TR],"AN_W_NA_GATE"),"{0}",$AB$5)))</f>
        <v>-</v>
      </c>
      <c r="I15" s="292"/>
      <c r="J15" s="292" t="str" cm="1">
        <f t="array" ref="J15">IF("AI"&lt;&gt;"AI","-",IF(ISNUMBER($AI$6),anPct($AI$6,1),SUBSTITUTE(_xlfn.XLOOKUP("AN_W_NA_GATE",tblUIText[Key],tblUIText[TR],"AN_W_NA_GATE"),"{0}",$AB$5)))</f>
        <v>INSUFFICIENT DATA (en az 30)</v>
      </c>
      <c r="K15" s="292"/>
      <c r="AM15" s="122" t="s">
        <v>20522</v>
      </c>
      <c r="AN15" s="122" t="e">
        <f>IF($AG$3&lt;$AB$5,NA(),COUNTIFS(_xlfn.ANCHORARRAY($AC$8),"&gt;=1.0001",_xlfn.ANCHORARRAY($AC$8),"&lt;1000000000")/$AG$3)</f>
        <v>#N/A</v>
      </c>
    </row>
    <row r="17" spans="2:28" ht="21" customHeight="1">
      <c r="B17" s="278" t="str">
        <f>_xlfn.XLOOKUP("AN_LIM_DED",tblUIText[Key],tblUIText[TR],"AN_LIM_DED")&amp;" / "&amp;_xlfn.XLOOKUP("AN_LIM_DED",tblUIText[Key],tblUIText[EN],"")</f>
        <v>Muafiyetin brüte payı / Deductible share of gross</v>
      </c>
      <c r="C17" s="278"/>
      <c r="D17" s="278"/>
      <c r="E17" s="278"/>
      <c r="F17" s="289" t="str" cm="1">
        <f t="array" ref="F17">IF(ISNUMBER($AK$3),anPct($AK$3,2),"-")</f>
        <v>-</v>
      </c>
      <c r="G17" s="289"/>
    </row>
    <row r="18" spans="2:28" ht="21" customHeight="1">
      <c r="B18" s="278" t="str">
        <f>_xlfn.XLOOKUP("AN_LIM_NG",tblUIText[Key],tblUIText[TR],"AN_LIM_NG")&amp;" / "&amp;_xlfn.XLOOKUP("AN_LIM_NG",tblUIText[Key],tblUIText[EN],"")</f>
        <v>Net / brüt / Net / gross</v>
      </c>
      <c r="C18" s="278"/>
      <c r="D18" s="278"/>
      <c r="E18" s="278"/>
      <c r="F18" s="289" t="str" cm="1">
        <f t="array" ref="F18">IF(ISNUMBER($AK$4),anPct($AK$4,1),"-")</f>
        <v>-</v>
      </c>
      <c r="G18" s="289"/>
    </row>
    <row r="20" spans="2:28" ht="12" customHeight="1">
      <c r="B20" s="286" t="str">
        <f>_xlfn.XLOOKUP("AN_LIM_SURVIVOR",tblUIText[Key],tblUIText[TR],"AN_LIM_SURVIVOR")&amp;" / "&amp;_xlfn.XLOOKUP("AN_LIM_SURVIVOR",tblUIText[Key],tblUIText[EN],"")&amp;CHAR(10)&amp;_xlfn.XLOOKUP("AN_LIM_CCY",tblUIText[Key],tblUIText[TR],"AN_LIM_CCY")&amp;" / "&amp;_xlfn.XLOOKUP("AN_LIM_CCY",tblUIText[Key],tblUIText[EN],"")</f>
        <v>İlk muallak doğruluğu yalnızca pencerede ödemesi olan dosyaları kapsar: ödemesiz kapanan ve henüz ödenmemiş dosyalar yoktur, kısmi ödenen dosyalarda oran düşük kalır (hayatta kalan yanlılığı). / Initial-reserve accuracy covers only cases with payments in the window: cases closed without payment and cases not yet paid are missing, and partially paid cases understate the ratio (survivor bias).
Oranlar dosyanın kendi para biriminde hesaplanır (ödenen orijinal / teminat orijinal); farklı para birimleri toplanmaz. / Ratios use each case's own currency (paid original / limit original); currencies are never added.</v>
      </c>
      <c r="C20" s="286"/>
      <c r="D20" s="286"/>
      <c r="E20" s="286"/>
      <c r="F20" s="286"/>
      <c r="G20" s="286"/>
      <c r="H20" s="286"/>
      <c r="I20" s="286"/>
      <c r="J20" s="286"/>
      <c r="K20" s="286"/>
      <c r="AB20" s="122" t="str">
        <f>_xlfn.XLOOKUP("AN_LIM_DIST_COVER",tblUIText[Key],tblUIText[TR],"AN_LIM_DIST_COVER")&amp;" / "&amp;_xlfn.XLOOKUP("AN_LIM_DIST_COVER",tblUIText[Key],tblUIText[EN],"")</f>
        <v>Ödenen / teminat tutarı dağılımı (dosya payı) / Distribution of paid / cover amount (share of cases)</v>
      </c>
    </row>
    <row r="21" spans="2:28">
      <c r="B21" s="286"/>
      <c r="C21" s="286"/>
      <c r="D21" s="286"/>
      <c r="E21" s="286"/>
      <c r="F21" s="286"/>
      <c r="G21" s="286"/>
      <c r="H21" s="286"/>
      <c r="I21" s="286"/>
      <c r="J21" s="286"/>
      <c r="K21" s="286"/>
      <c r="AB21" s="122" t="str">
        <f>_xlfn.XLOOKUP("AN_LIM_DIST_IR",tblUIText[Key],tblUIText[TR],"AN_LIM_DIST_IR")&amp;" / "&amp;_xlfn.XLOOKUP("AN_LIM_DIST_IR",tblUIText[Key],tblUIText[EN],"")</f>
        <v>Ödenen / ilk muallak dağılımı (dosya payı) / Distribution of paid / initial reserve (share of cases)</v>
      </c>
    </row>
    <row r="22" spans="2:28">
      <c r="B22" s="286"/>
      <c r="C22" s="286"/>
      <c r="D22" s="286"/>
      <c r="E22" s="286"/>
      <c r="F22" s="286"/>
      <c r="G22" s="286"/>
      <c r="H22" s="286"/>
      <c r="I22" s="286"/>
      <c r="J22" s="286"/>
      <c r="K22" s="286"/>
    </row>
    <row r="23" spans="2:28">
      <c r="B23" s="286"/>
      <c r="C23" s="286"/>
      <c r="D23" s="286"/>
      <c r="E23" s="286"/>
      <c r="F23" s="286"/>
      <c r="G23" s="286"/>
      <c r="H23" s="286"/>
      <c r="I23" s="286"/>
      <c r="J23" s="286"/>
      <c r="K23" s="286"/>
    </row>
    <row r="43" spans="2:19" ht="12" customHeight="1">
      <c r="B43" s="284"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C43" s="284"/>
      <c r="D43" s="284"/>
      <c r="E43" s="284"/>
      <c r="F43" s="284"/>
      <c r="G43" s="284"/>
      <c r="H43" s="284"/>
      <c r="I43" s="284"/>
      <c r="J43" s="284"/>
      <c r="K43" s="284"/>
      <c r="L43" s="284"/>
      <c r="M43" s="284"/>
      <c r="N43" s="284"/>
      <c r="O43" s="284"/>
      <c r="P43" s="284"/>
      <c r="Q43" s="284"/>
      <c r="R43" s="284"/>
      <c r="S43" s="284"/>
    </row>
    <row r="44" spans="2:19">
      <c r="B44" s="284"/>
      <c r="C44" s="284"/>
      <c r="D44" s="284"/>
      <c r="E44" s="284"/>
      <c r="F44" s="284"/>
      <c r="G44" s="284"/>
      <c r="H44" s="284"/>
      <c r="I44" s="284"/>
      <c r="J44" s="284"/>
      <c r="K44" s="284"/>
      <c r="L44" s="284"/>
      <c r="M44" s="284"/>
      <c r="N44" s="284"/>
      <c r="O44" s="284"/>
      <c r="P44" s="284"/>
      <c r="Q44" s="284"/>
      <c r="R44" s="284"/>
      <c r="S44" s="284"/>
    </row>
  </sheetData>
  <sheetProtection algorithmName="SHA-512" hashValue="60jVP9R0WLWtPkGWID6LwsPdzOMOIMADz3rTy4L5PsI0YvD8hy4ckaTeKP4DTiBulPyxBnyUCJ8he7lAVWregQ==" saltValue="wfbr04fNfxmMh8sChjXlbw==" spinCount="100000" sheet="1" scenarios="1" formatColumns="0" sort="0" autoFilter="0"/>
  <mergeCells count="37">
    <mergeCell ref="C5:D5"/>
    <mergeCell ref="B4:S4"/>
    <mergeCell ref="B6:S6"/>
    <mergeCell ref="B9:E9"/>
    <mergeCell ref="F9:G9"/>
    <mergeCell ref="H9:I9"/>
    <mergeCell ref="J9:K9"/>
    <mergeCell ref="B10:E10"/>
    <mergeCell ref="F10:G10"/>
    <mergeCell ref="H10:I10"/>
    <mergeCell ref="J10:K10"/>
    <mergeCell ref="B11:E11"/>
    <mergeCell ref="F11:G11"/>
    <mergeCell ref="H11:I11"/>
    <mergeCell ref="J11:K11"/>
    <mergeCell ref="B12:E12"/>
    <mergeCell ref="F12:G12"/>
    <mergeCell ref="H12:I12"/>
    <mergeCell ref="J12:K12"/>
    <mergeCell ref="B13:E13"/>
    <mergeCell ref="F13:G13"/>
    <mergeCell ref="H13:I13"/>
    <mergeCell ref="J13:K13"/>
    <mergeCell ref="B43:S44"/>
    <mergeCell ref="B14:E14"/>
    <mergeCell ref="F14:G14"/>
    <mergeCell ref="H14:I14"/>
    <mergeCell ref="J14:K14"/>
    <mergeCell ref="B15:E15"/>
    <mergeCell ref="F15:G15"/>
    <mergeCell ref="H15:I15"/>
    <mergeCell ref="J15:K15"/>
    <mergeCell ref="B17:E17"/>
    <mergeCell ref="F17:G17"/>
    <mergeCell ref="B18:E18"/>
    <mergeCell ref="F18:G18"/>
    <mergeCell ref="B20:K23"/>
  </mergeCells>
  <conditionalFormatting sqref="B6">
    <cfRule type="expression" dxfId="502" priority="1" stopIfTrue="1">
      <formula>ISNUMBER(SEARCH("INSUFFICIENT",$B$6))</formula>
    </cfRule>
  </conditionalFormatting>
  <dataValidations count="1">
    <dataValidation type="list" allowBlank="1" showInputMessage="1" showErrorMessage="1" sqref="C5" xr:uid="{B6DC7D0A-F233-47DF-A626-AEDA0F002A79}">
      <formula1>"Life,Pension,Non-life,Unassigned"</formula1>
    </dataValidation>
  </dataValidations>
  <printOptions horizontalCentered="1"/>
  <pageMargins left="0.25" right="0.25" top="0.25" bottom="0.25" header="0.3" footer="0.3"/>
  <pageSetup paperSize="9" scale="8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E28DB-90AA-4EDD-B60C-9BD0FC2D8279}">
  <sheetPr codeName="Sheet86">
    <pageSetUpPr fitToPage="1"/>
  </sheetPr>
  <dimension ref="B1:CQ53"/>
  <sheetViews>
    <sheetView showGridLines="0" workbookViewId="0"/>
  </sheetViews>
  <sheetFormatPr defaultRowHeight="12"/>
  <cols>
    <col min="1" max="1" width="2.28515625" style="122" customWidth="1"/>
    <col min="2" max="2" width="8.28515625" style="122" customWidth="1"/>
    <col min="3" max="20" width="7" style="122" customWidth="1"/>
    <col min="21" max="27" width="9.140625" style="122"/>
    <col min="28" max="104" width="0" style="122" hidden="1" customWidth="1"/>
    <col min="105" max="16384" width="9.140625" style="122"/>
  </cols>
  <sheetData>
    <row r="1" spans="2:95" ht="18">
      <c r="B1" s="123" t="str">
        <f>_xlfn.XLOOKUP("AN_SEG_"&amp;$AB$3,tblUIText[Key],tblUIText[TR],$AB$3)&amp;", "&amp;$AB$5&amp;": "&amp;$AB$2&amp;" şirket, "&amp;$BG$2&amp;" ALERT, "&amp;$BG$3&amp;" WATCH (taslak eşikler)"</f>
        <v>Hayat, : 0 şirket, 0 ALERT, 0 WATCH (taslak eşikler)</v>
      </c>
      <c r="AB1" s="122" t="s">
        <v>21011</v>
      </c>
      <c r="CA1" s="122" t="s">
        <v>21013</v>
      </c>
    </row>
    <row r="2" spans="2:95" ht="15">
      <c r="B2" s="124" t="str">
        <f>_xlfn.XLOOKUP("AN_SEG_"&amp;$AB$3,tblUIText[Key],tblUIText[EN],$AB$3)&amp;", "&amp;$AB$5&amp;": "&amp;$AB$2&amp;" companies, "&amp;$BG$2&amp;" ALERT, "&amp;$BG$3&amp;" WATCH (draft levels)"</f>
        <v>Life, : 0 companies, 0 ALERT, 0 WATCH (draft levels)</v>
      </c>
      <c r="AB2" s="122">
        <f>IF($AC$8="",0,ROWS(_xlfn.ANCHORARRAY($AC$8)))</f>
        <v>0</v>
      </c>
      <c r="BG2" s="122" cm="1">
        <f t="array" ref="BG2">SUMPRODUCT((LEFT(IF($AC$8="","",_xlfn.CHOOSECOLS(_xlfn.ANCHORARRAY($AC$8),7,9,11,13,15,18,21,24,26)),5)="ALERT")*(RIGHT(IF($AC$8="","",_xlfn.CHOOSECOLS(_xlfn.ANCHORARRAY($AC$8),7,9,11,13,15,18,21,24,26)),1)&lt;&gt;"*"))</f>
        <v>0</v>
      </c>
    </row>
    <row r="3" spans="2:95">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7" t="str">
        <f>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tr">
        <f>$C$5</f>
        <v>Life</v>
      </c>
      <c r="BG3" s="122" cm="1">
        <f t="array" ref="BG3">SUMPRODUCT((LEFT(IF($AC$8="","",_xlfn.CHOOSECOLS(_xlfn.ANCHORARRAY($AC$8),7,9,11,13,15,18,21,24,26)),5)="WATCH")*(RIGHT(IF($AC$8="","",_xlfn.CHOOSECOLS(_xlfn.ANCHORARRAY($AC$8),7,9,11,13,15,18,21,24,26)),1)&lt;&gt;"*"))</f>
        <v>0</v>
      </c>
      <c r="CA3" s="122" t="str">
        <f>IF(AND($C$33&lt;&gt;"",ISNUMBER(_xlfn.XMATCH($C$33,_xlfn.ANCHORARRAY($AB$8)))),$C$33,IFERROR(INDEX(_xlfn.ANCHORARRAY($AB$8),1),""))</f>
        <v/>
      </c>
    </row>
    <row r="4" spans="2:95" ht="33.950000000000003" customHeight="1">
      <c r="B4" s="244" t="str">
        <f>_xlfn.XLOOKUP("AN_ANO_PURPOSE",tblUIText[Key],tblUIText[TR],"AN_ANO_PURPOSE")&amp;" / "&amp;_xlfn.XLOOKUP("AN_ANO_PURPOSE",tblUIText[Key],tblUIText[EN],"")&amp;CHAR(10)&amp;_xlfn.XLOOKUP("AN_HOWTO_ANOMALY",tblUIText[Key],tblUIText[TR],"AN_HOWTO_ANOMALY")&amp;" / "&amp;_xlfn.XLOOKUP("AN_HOWTO_ANOMALY",tblUIText[Key],tblUIText[EN],"")</f>
        <v>Segmentteki her şirket, seçilen ay: ödenen, satır ve dosya başına ortalama için dayanıklı z (medyan / MAD, log ölçek), kontrol grafiği (X-mR) ve CUSUM; yuvarlak tutar ve ödeme günü örüntüsü; Benford ilk hane; ödeme niteliği karması (PSI). / Every company of the segment, selected month: robust z (median / MAD, log scale) of paid, lines and mean per case, control chart (X-mR) and CUSUM; round-amount and payment-day patterns; Benford first digit; payment-nature mix (PSI).
Nasıl okunur: her hücre bir şirketin bir göstergesinin durumudur. '(draft)' eşikler henüz onaylanmamıştır; '*' işaretli durumlar yer tutucudur, sayılmaz ve sıralanmaz. Grafikler sağdaki şirket seçimini gösterir. / How to read: each cell is the status of one indicator of one company. '(draft)' levels are not approved yet; statuses ending in '*' are placeholders and are never counted or ranked. The charts show the company selected on the right.</v>
      </c>
      <c r="C4" s="244"/>
      <c r="D4" s="244"/>
      <c r="E4" s="244"/>
      <c r="F4" s="244"/>
      <c r="G4" s="244"/>
      <c r="H4" s="244"/>
      <c r="I4" s="244"/>
      <c r="J4" s="244"/>
      <c r="K4" s="244"/>
      <c r="L4" s="244"/>
      <c r="M4" s="244"/>
      <c r="N4" s="244"/>
      <c r="O4" s="244"/>
      <c r="P4" s="244"/>
      <c r="Q4" s="244"/>
      <c r="R4" s="244"/>
      <c r="S4" s="244"/>
      <c r="T4" s="244"/>
      <c r="AB4" s="122" cm="1">
        <f t="array" ref="AB4">IFERROR(ROWS(_xlfn.UNIQUE(_xlfn._xlws.FILTER(anCM_YM,(anCM_Seg=$AB$3)*(anCM_YM&lt;&gt;"")))),0)</f>
        <v>0</v>
      </c>
      <c r="CA4" s="122">
        <f>IFERROR(_xlfn.XMATCH($CA$3,INDEX(_xlfn.ANCHORARRAY($AC$8),0,1)),0)</f>
        <v>1</v>
      </c>
    </row>
    <row r="5" spans="2:95">
      <c r="B5" s="128" t="s">
        <v>19100</v>
      </c>
      <c r="C5" s="275" t="s">
        <v>113</v>
      </c>
      <c r="D5" s="275"/>
      <c r="E5" s="126" t="str">
        <f>_xlfn.XLOOKUP("AN_SEG_"&amp;$AB$3,tblUIText[Key],tblUIText[TR],$AB$3)&amp;" / "&amp;_xlfn.XLOOKUP("AN_SEG_"&amp;$AB$3,tblUIText[Key],tblUIText[EN],$AB$3)</f>
        <v>Hayat / Life</v>
      </c>
      <c r="I5" s="129" t="str">
        <f>_xlfn.XLOOKUP("AN_LBL_MONTH",tblUIText[Key],tblUIText[TR],"AN_LBL_MONTH")&amp;" / "&amp;_xlfn.XLOOKUP("AN_LBL_MONTH",tblUIText[Key],tblUIText[EN],"")&amp;":"</f>
        <v>Ay / Month:</v>
      </c>
      <c r="J5" s="287" t="s">
        <v>19101</v>
      </c>
      <c r="K5" s="275"/>
      <c r="M5" s="130" t="str">
        <f>_xlfn.XLOOKUP("AN_LBL_REFRESH",tblUIText[Key],tblUIText[TR],"AN_LBL_REFRESH")&amp;" / "&amp;_xlfn.XLOOKUP("AN_LBL_REFRESH",tblUIText[Key],tblUIText[EN],"")&amp;": "&amp;IFERROR(TEXT(cpLastLoggedRefresh,"yyyy-mm-dd hh:mm"),cpLastLoggedRefresh&amp;"")</f>
        <v>Son yenileme / Last refresh: none</v>
      </c>
      <c r="AB5" s="122" t="str" cm="1">
        <f t="array" ref="AB5">IF($J$5=_xlfn.XLOOKUP("AN_LBL_LATEST",tblUIText[Key],tblUIText[TR],"AN_LBL_LATEST")&amp;" / "&amp;_xlfn.XLOOKUP("AN_LBL_LATEST",tblUIText[Key],tblUIText[EN],""),IFERROR(_xlfn.TAKE(_xlfn._xlws.SORT(_xlfn.UNIQUE(_xlfn._xlws.FILTER(anCM_YM,(anCM_Seg=$AB$3)*(anCM_YM&lt;&gt;"")))),-1),""),$J$5)</f>
        <v/>
      </c>
      <c r="CA5" s="122" cm="1">
        <f t="array" ref="CA5">anPar("AnomalyHistoryMonths")</f>
        <v>24</v>
      </c>
    </row>
    <row r="6" spans="2:95">
      <c r="B6" s="245" t="str">
        <f>_xlfn.XLOOKUP("AN_LBL_READINESS",tblUIText[Key],tblUIText[TR],"AN_LBL_READINESS")&amp;" / "&amp;_xlfn.XLOOKUP("AN_LBL_READINESS",tblUIText[Key],tblUIText[EN],"")&amp;": "&amp;IF($AB$2=0,"INSUFFICIENT DATA","OK")&amp;": "&amp;$AB$2&amp;" "&amp;_xlfn.XLOOKUP("AN_ANO_COMPANIES",tblUIText[Key],tblUIText[TR],"AN_ANO_COMPANIES")&amp;" / "&amp;_xlfn.XLOOKUP("AN_ANO_COMPANIES",tblUIText[Key],tblUIText[EN],"")&amp;"; "&amp;$AB$4&amp;" "&amp;_xlfn.XLOOKUP("AN_READY_MONTHS",tblUIText[Key],tblUIText[TR],"AN_READY_MONTHS")&amp;" / "&amp;_xlfn.XLOOKUP("AN_READY_MONTHS",tblUIText[Key],tblUIText[EN],"")&amp;"; "&amp;$AB$5&amp;" (DRAFT)"</f>
        <v>Veri durumu / Data readiness: INSUFFICIENT DATA: 0 şirket / companies; 0 ay veri / months of data;  (DRAFT)</v>
      </c>
      <c r="C6" s="246"/>
      <c r="D6" s="246"/>
      <c r="E6" s="246"/>
      <c r="F6" s="246"/>
      <c r="G6" s="246"/>
      <c r="H6" s="246"/>
      <c r="I6" s="246"/>
      <c r="J6" s="246"/>
      <c r="K6" s="246"/>
      <c r="L6" s="246"/>
      <c r="M6" s="246"/>
      <c r="N6" s="246"/>
      <c r="O6" s="246"/>
      <c r="P6" s="246"/>
      <c r="Q6" s="246"/>
      <c r="R6" s="246"/>
      <c r="S6" s="246"/>
      <c r="T6" s="246"/>
      <c r="AB6" s="122" t="str" cm="1">
        <f t="array" ref="AB6">IF($AB$5="","",anMK($AB$5))</f>
        <v/>
      </c>
      <c r="CA6" s="122" cm="1">
        <f t="array" ref="CA6">anThr("TH08",tblThreshold[AlertLevel])</f>
        <v>3</v>
      </c>
    </row>
    <row r="7" spans="2:95"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BH7" s="122" t="s">
        <v>21012</v>
      </c>
      <c r="CA7" s="122">
        <f>IF($CB$8="",0,COUNT(_xlfn.ANCHORARRAY($CD$8)))</f>
        <v>0</v>
      </c>
      <c r="CB7" s="122" t="s">
        <v>21014</v>
      </c>
      <c r="CC7" s="122" t="s">
        <v>19091</v>
      </c>
      <c r="CD7" s="122" t="s">
        <v>21015</v>
      </c>
      <c r="CE7" s="122" t="s">
        <v>21016</v>
      </c>
      <c r="CF7" s="122" t="s">
        <v>21017</v>
      </c>
      <c r="CG7" s="122" t="s">
        <v>21018</v>
      </c>
      <c r="CI7" s="122" t="s">
        <v>21019</v>
      </c>
      <c r="CJ7" s="122" t="s">
        <v>19091</v>
      </c>
      <c r="CK7" s="122" t="s">
        <v>21020</v>
      </c>
      <c r="CL7" s="122" t="s">
        <v>21021</v>
      </c>
      <c r="CM7" s="122" t="s">
        <v>21022</v>
      </c>
      <c r="CO7" s="122" t="s">
        <v>21023</v>
      </c>
      <c r="CP7" s="122" t="s">
        <v>21024</v>
      </c>
      <c r="CQ7" s="122" t="s">
        <v>21025</v>
      </c>
    </row>
    <row r="8" spans="2:95">
      <c r="AB8" s="122" t="str" cm="1">
        <f t="array" ref="AB8">IFERROR(_xlfn._xlws.SORT(_xlfn.UNIQUE(_xlfn._xlws.FILTER(anCM_Comp,(anCM_Seg=$AB$3)*(anCM_Comp&lt;&gt;"")))),"")</f>
        <v/>
      </c>
      <c r="AC8" s="122" t="str" cm="1">
        <f t="array" ref="AC8">IF(OR(INDEX(_xlfn.ANCHORARRAY($AB$8),1)="",$AB$6=""),"",_xlfn.DROP(_xlfn.REDUCE("",_xlfn.ANCHORARRAY($AB$8),_xlfn.LAMBDA(_xlpm.a,_xlpm.x,_xlfn.VSTACK(_xlpm.a,anAnom(_xlpm.x,$AB$6)))),1))</f>
        <v/>
      </c>
      <c r="BH8" s="122" t="str" cm="1">
        <f t="array" ref="BH8">IF($AC$8="","",_xlfn.LET(_xlpm.t,_xlfn.ANCHORARRAY($AC$8),_xlpm.n,ROWS(_xlpm.t),_xlpm.w,_xlfn.BYROW(_xlfn.CHOOSECOLS(_xlpm.t,7,9,11,13,15,18,21,24,26),_xlfn.LAMBDA(_xlpm.rw,MAX(_xlfn.MAP(_xlpm.rw,_xlfn.LAMBDA(_xlpm.s,anRank(_xlpm.s)))))),_xlfn.SORTBY(_xlfn.SEQUENCE(_xlpm.n),_xlpm.w,-1,INDEX(_xlpm.t,,1),1)))</f>
        <v/>
      </c>
      <c r="CB8" s="122" t="str" cm="1">
        <f t="array" ref="CB8">IF(OR($CA$3="",$AB$6=""),"",_xlfn.SEQUENCE($CA$5+1,1,$AB$6-$CA$5))</f>
        <v/>
      </c>
      <c r="CC8" s="122" t="str" cm="1">
        <f t="array" ref="CC8">IF($CB$8="","",_xlfn.MAP(_xlfn.ANCHORARRAY($CB$8),_xlfn.LAMBDA(_xlpm.k,anYMk(_xlpm.k))))</f>
        <v/>
      </c>
      <c r="CD8" s="122" t="e" cm="1">
        <f t="array" ref="CD8">IF($CB$8="",NA(),_xlfn.MAP(_xlfn.ANCHORARRAY($CB$8),_xlfn.LAMBDA(_xlpm.k,IFERROR(INDEX(_xlfn._xlws.FILTER(anCM_Paid,(anCM_Comp=$CA$3)*(anCM_MK=_xlpm.k)),1)/1000,NA()))))</f>
        <v>#N/A</v>
      </c>
      <c r="CE8" s="122" t="e" cm="1">
        <f t="array" ref="CE8">IF(OR($CB$8="",$CA$4=0),NA(),IF(ISNUMBER(INDEX(_xlfn.ANCHORARRAY($AC$8),$CA$4,29)),EXP(INDEX(_xlfn.ANCHORARRAY($AC$8),$CA$4,29))/1000+0*_xlfn.ANCHORARRAY($CB$8),NA()*_xlfn.ANCHORARRAY($CB$8)))</f>
        <v>#N/A</v>
      </c>
      <c r="CF8" s="122" t="e" cm="1">
        <f t="array" ref="CF8">IF(OR($CB$8="",$CA$4=0),NA(),IF(ISNUMBER(INDEX(_xlfn.ANCHORARRAY($AC$8),$CA$4,29)),EXP(INDEX(_xlfn.ANCHORARRAY($AC$8),$CA$4,29)+$CA$6*INDEX(_xlfn.ANCHORARRAY($AC$8),$CA$4,30))/1000+0*_xlfn.ANCHORARRAY($CB$8),NA()*_xlfn.ANCHORARRAY($CB$8)))</f>
        <v>#N/A</v>
      </c>
      <c r="CG8" s="122" t="e" cm="1">
        <f t="array" ref="CG8">IF(OR($CB$8="",$CA$4=0),NA(),IF(ISNUMBER(INDEX(_xlfn.ANCHORARRAY($AC$8),$CA$4,29)),EXP(INDEX(_xlfn.ANCHORARRAY($AC$8),$CA$4,29)-$CA$6*INDEX(_xlfn.ANCHORARRAY($AC$8),$CA$4,30))/1000+0*_xlfn.ANCHORARRAY($CB$8),NA()*_xlfn.ANCHORARRAY($CB$8)))</f>
        <v>#N/A</v>
      </c>
      <c r="CI8" s="122" t="str" cm="1">
        <f t="array" ref="CI8">IF(OR($CA$3="",$AB$6=""),"",IFERROR(_xlfn._xlws.FILTER(anCM_MK,(anCM_Comp=$CA$3)*(anCM_MK&gt;=$AB$6-11)*(anCM_MK&lt;=$AB$6)*ISNUMBER(anCM_Paid)*(anCM_Paid&gt;0)),""))</f>
        <v/>
      </c>
      <c r="CJ8" s="122" t="str" cm="1">
        <f t="array" ref="CJ8">IF($CI$8="","",_xlfn.MAP(_xlfn.ANCHORARRAY($CI$8),_xlfn.LAMBDA(_xlpm.k,anYMk(_xlpm.k))))</f>
        <v/>
      </c>
      <c r="CK8" s="122" t="e" cm="1">
        <f t="array" ref="CK8">IF($CI$8="",NA(),IFERROR(_xlfn.LET(_xlpm.sel,anCM_Comp=$CA$3,_xlpm.mk,anCM_MK,_xlpm.M,$AB$6,_xlpm.bz,_xlfn._xlws.FILTER(anCM_Paid,_xlpm.sel*(_xlpm.mk&gt;=_xlpm.M-23)*(_xlpm.mk&lt;=_xlpm.M-12),""),_xlpm.b,LN(_xlfn._xlws.FILTER(_xlpm.bz,ISNUMBER(_xlpm.bz)*(_xlpm.bz&gt;0))),_xlpm.mo,LN(_xlfn.MAP(_xlfn.ANCHORARRAY($CI$8),_xlfn.LAMBDA(_xlpm.k,INDEX(_xlfn._xlws.FILTER(anCM_Paid,_xlpm.sel*(_xlpm.mk=_xlpm.k)),1)))),_xlpm.mu,AVERAGE(_xlpm.b),_xlpm.sg,AVERAGE(ABS(_xlfn.DROP(_xlpm.b,1)-_xlfn.DROP(_xlpm.b,-1)))/1.128,_xlpm.kk,anPar("CusumK"),_xlpm.z,(_xlpm.mo-_xlpm.mu)/_xlpm.sg,_xlfn.SCAN(0,_xlpm.z,_xlfn.LAMBDA(_xlpm.a,_xlpm.v,MAX(0,_xlpm.a+_xlpm.v-_xlpm.kk)))),NA()*_xlfn.ANCHORARRAY($CI$8)))</f>
        <v>#N/A</v>
      </c>
      <c r="CL8" s="122" t="e" cm="1">
        <f t="array" ref="CL8">IF($CI$8="",NA(),IFERROR(_xlfn.LET(_xlpm.sel,anCM_Comp=$CA$3,_xlpm.mk,anCM_MK,_xlpm.M,$AB$6,_xlpm.bz,_xlfn._xlws.FILTER(anCM_Paid,_xlpm.sel*(_xlpm.mk&gt;=_xlpm.M-23)*(_xlpm.mk&lt;=_xlpm.M-12),""),_xlpm.b,LN(_xlfn._xlws.FILTER(_xlpm.bz,ISNUMBER(_xlpm.bz)*(_xlpm.bz&gt;0))),_xlpm.mo,LN(_xlfn.MAP(_xlfn.ANCHORARRAY($CI$8),_xlfn.LAMBDA(_xlpm.k,INDEX(_xlfn._xlws.FILTER(anCM_Paid,_xlpm.sel*(_xlpm.mk=_xlpm.k)),1)))),_xlpm.mu,AVERAGE(_xlpm.b),_xlpm.sg,AVERAGE(ABS(_xlfn.DROP(_xlpm.b,1)-_xlfn.DROP(_xlpm.b,-1)))/1.128,_xlpm.kk,anPar("CusumK"),_xlpm.z,(_xlpm.mo-_xlpm.mu)/_xlpm.sg,_xlfn.SCAN(0,_xlpm.z,_xlfn.LAMBDA(_xlpm.a,_xlpm.v,MAX(0,_xlpm.a-_xlpm.v-_xlpm.kk)))),NA()*_xlfn.ANCHORARRAY($CI$8)))</f>
        <v>#N/A</v>
      </c>
      <c r="CM8" s="122" t="e" cm="1">
        <f t="array" ref="CM8">IF($CI$8="",NA(),anThr("TH09",tblThreshold[AlertLevel])+0*_xlfn.ANCHORARRAY($CI$8))</f>
        <v>#N/A</v>
      </c>
      <c r="CO8" s="122" cm="1">
        <f t="array" ref="CO8:CO16">_xlfn.SEQUENCE(9)</f>
        <v>1</v>
      </c>
      <c r="CP8" s="122" t="e" cm="1">
        <f t="array" ref="CP8:CP16">IFERROR(_xlfn.LET(_xlpm.dsel,(anDIG_Comp=$CA$3)*(anDIG_MK=$AB$6),_xlpm.dg,_xlfn._xlws.FILTER(anDIG_Digit,_xlpm.dsel),_xlpm.dl,_xlfn._xlws.FILTER(anDIG_Lines,_xlpm.dsel),_xlpm.cnt,_xlfn.MAP(_xlfn.ANCHORARRAY($CO$8),_xlfn.LAMBDA(_xlpm.d,SUM(_xlfn._xlws.FILTER(_xlpm.dl,_xlpm.dg=_xlpm.d,0)))),_xlpm.cnt/SUM(_xlpm.cnt)),NA()*_xlfn.ANCHORARRAY($CO$8))</f>
        <v>#N/A</v>
      </c>
      <c r="CQ8" s="122" cm="1">
        <f t="array" ref="CQ8:CQ16">LOG10(1+1/_xlfn.ANCHORARRAY($CO$8))</f>
        <v>0.3010299956639812</v>
      </c>
    </row>
    <row r="9" spans="2:95">
      <c r="B9" s="127" t="str">
        <f>_xlfn.XLOOKUP("AN_ANO_GRID",tblUIText[Key],tblUIText[TR],"AN_ANO_GRID")&amp;" / "&amp;_xlfn.XLOOKUP("AN_ANO_GRID",tblUIText[Key],tblUIText[EN],"")</f>
        <v>Durum, seçilen ay (üst satır) ve değer (alt satır) / Status, selected month (upper line) and value (lower line)</v>
      </c>
      <c r="CO9" s="122">
        <v>2</v>
      </c>
      <c r="CP9" s="122" t="e">
        <v>#N/A</v>
      </c>
      <c r="CQ9" s="122">
        <v>0.17609125905568124</v>
      </c>
    </row>
    <row r="10" spans="2:95" ht="33.950000000000003" customHeight="1">
      <c r="B10" s="186" t="str">
        <f>_xlfn.XLOOKUP("AN_LBL_COMPANY",tblUIText[Key],tblUIText[TR],"AN_LBL_COMPANY")&amp;" / "&amp;_xlfn.XLOOKUP("AN_LBL_COMPANY",tblUIText[Key],tblUIText[EN],"")</f>
        <v>Şirket / Company</v>
      </c>
      <c r="C10" s="303" t="str">
        <f>_xlfn.XLOOKUP("AN_IND_ZPAID",tblUIText[Key],tblUIText[TR],"AN_IND_ZPAID")&amp;" / "&amp;_xlfn.XLOOKUP("AN_IND_ZPAID",tblUIText[Key],tblUIText[EN],"")</f>
        <v>Ödenen (z) / Paid (z)</v>
      </c>
      <c r="D10" s="303"/>
      <c r="E10" s="303" t="str">
        <f>_xlfn.XLOOKUP("AN_IND_ZLINES",tblUIText[Key],tblUIText[TR],"AN_IND_ZLINES")&amp;" / "&amp;_xlfn.XLOOKUP("AN_IND_ZLINES",tblUIText[Key],tblUIText[EN],"")</f>
        <v>Satır (z) / Lines (z)</v>
      </c>
      <c r="F10" s="303"/>
      <c r="G10" s="303" t="str">
        <f>_xlfn.XLOOKUP("AN_IND_ZMEAN",tblUIText[Key],tblUIText[TR],"AN_IND_ZMEAN")&amp;" / "&amp;_xlfn.XLOOKUP("AN_IND_ZMEAN",tblUIText[Key],tblUIText[EN],"")</f>
        <v>Dosya başı ort. (z) / Mean per case (z)</v>
      </c>
      <c r="H10" s="303"/>
      <c r="I10" s="303" t="str">
        <f>_xlfn.XLOOKUP("AN_IND_XMR",tblUIText[Key],tblUIText[TR],"AN_IND_XMR")&amp;" / "&amp;_xlfn.XLOOKUP("AN_IND_XMR",tblUIText[Key],tblUIText[EN],"")</f>
        <v>X-mR (ödenen) / X-mR (paid)</v>
      </c>
      <c r="J10" s="303"/>
      <c r="K10" s="303" t="str">
        <f>_xlfn.XLOOKUP("AN_IND_CUSUM",tblUIText[Key],tblUIText[TR],"AN_IND_CUSUM")&amp;" / "&amp;_xlfn.XLOOKUP("AN_IND_CUSUM",tblUIText[Key],tblUIText[EN],"")</f>
        <v>CUSUM (ödenen) / CUSUM (paid)</v>
      </c>
      <c r="L10" s="303"/>
      <c r="M10" s="303" t="str">
        <f>_xlfn.XLOOKUP("AN_IND_ROUND",tblUIText[Key],tblUIText[TR],"AN_IND_ROUND")&amp;" / "&amp;_xlfn.XLOOKUP("AN_IND_ROUND",tblUIText[Key],tblUIText[EN],"")</f>
        <v>Yuvarlak tutar / Round amounts</v>
      </c>
      <c r="N10" s="303"/>
      <c r="O10" s="303" t="str">
        <f>_xlfn.XLOOKUP("AN_IND_DAYS",tblUIText[Key],tblUIText[TR],"AN_IND_DAYS")&amp;" / "&amp;_xlfn.XLOOKUP("AN_IND_DAYS",tblUIText[Key],tblUIText[EN],"")</f>
        <v>Hafta sonu / ay sonu / Weekend / month-end</v>
      </c>
      <c r="P10" s="303"/>
      <c r="Q10" s="303" t="str">
        <f>_xlfn.XLOOKUP("AN_IND_BENFORD",tblUIText[Key],tblUIText[TR],"AN_IND_BENFORD")&amp;" / "&amp;_xlfn.XLOOKUP("AN_IND_BENFORD",tblUIText[Key],tblUIText[EN],"")</f>
        <v>Benford ilk hane / Benford first digit</v>
      </c>
      <c r="R10" s="303"/>
      <c r="S10" s="303" t="str">
        <f>_xlfn.XLOOKUP("AN_IND_PSI",tblUIText[Key],tblUIText[TR],"AN_IND_PSI")&amp;" / "&amp;_xlfn.XLOOKUP("AN_IND_PSI",tblUIText[Key],tblUIText[EN],"")</f>
        <v>Nitelik karması (PSI) / Nature mix (PSI)</v>
      </c>
      <c r="T10" s="303"/>
      <c r="CO10" s="122">
        <v>3</v>
      </c>
      <c r="CP10" s="122" t="e">
        <v>#N/A</v>
      </c>
      <c r="CQ10" s="122">
        <v>0.12493873660829993</v>
      </c>
    </row>
    <row r="11" spans="2:95" ht="17.100000000000001" customHeight="1">
      <c r="B11" s="302" t="str" cm="1">
        <f t="array" ref="B11">_xlfn.LET(_xlpm.k,IFERROR(--INDEX(_xlfn.ANCHORARRAY($BH$8),1),0),IF(_xlpm.k=0,"",INDEX(_xlfn.ANCHORARRAY($AC$8),_xlpm.k,1)))</f>
        <v/>
      </c>
      <c r="C11" s="301" t="str" cm="1">
        <f t="array" ref="C11">_xlfn.LET(_xlpm.k,IFERROR(--INDEX(_xlfn.ANCHORARRAY($BH$8),1),0),IF(_xlpm.k=0,"",INDEX(_xlfn.ANCHORARRAY($AC$8),_xlpm.k,7)))</f>
        <v/>
      </c>
      <c r="D11" s="301"/>
      <c r="E11" s="301" t="str" cm="1">
        <f t="array" ref="E11">_xlfn.LET(_xlpm.k,IFERROR(--INDEX(_xlfn.ANCHORARRAY($BH$8),1),0),IF(_xlpm.k=0,"",INDEX(_xlfn.ANCHORARRAY($AC$8),_xlpm.k,9)))</f>
        <v/>
      </c>
      <c r="F11" s="301"/>
      <c r="G11" s="301" t="str" cm="1">
        <f t="array" ref="G11">_xlfn.LET(_xlpm.k,IFERROR(--INDEX(_xlfn.ANCHORARRAY($BH$8),1),0),IF(_xlpm.k=0,"",INDEX(_xlfn.ANCHORARRAY($AC$8),_xlpm.k,11)))</f>
        <v/>
      </c>
      <c r="H11" s="301"/>
      <c r="I11" s="301" t="str" cm="1">
        <f t="array" ref="I11">_xlfn.LET(_xlpm.k,IFERROR(--INDEX(_xlfn.ANCHORARRAY($BH$8),1),0),IF(_xlpm.k=0,"",INDEX(_xlfn.ANCHORARRAY($AC$8),_xlpm.k,13)))</f>
        <v/>
      </c>
      <c r="J11" s="301"/>
      <c r="K11" s="301" t="str" cm="1">
        <f t="array" ref="K11">_xlfn.LET(_xlpm.k,IFERROR(--INDEX(_xlfn.ANCHORARRAY($BH$8),1),0),IF(_xlpm.k=0,"",INDEX(_xlfn.ANCHORARRAY($AC$8),_xlpm.k,15)))</f>
        <v/>
      </c>
      <c r="L11" s="301"/>
      <c r="M11" s="301" t="str" cm="1">
        <f t="array" ref="M11">_xlfn.LET(_xlpm.k,IFERROR(--INDEX(_xlfn.ANCHORARRAY($BH$8),1),0),IF(_xlpm.k=0,"",INDEX(_xlfn.ANCHORARRAY($AC$8),_xlpm.k,18)))</f>
        <v/>
      </c>
      <c r="N11" s="301"/>
      <c r="O11" s="301" t="str" cm="1">
        <f t="array" ref="O11">_xlfn.LET(_xlpm.k,IFERROR(--INDEX(_xlfn.ANCHORARRAY($BH$8),1),0),IF(_xlpm.k=0,"",INDEX(_xlfn.ANCHORARRAY($AC$8),_xlpm.k,21)))</f>
        <v/>
      </c>
      <c r="P11" s="301"/>
      <c r="Q11" s="301" t="str" cm="1">
        <f t="array" ref="Q11">_xlfn.LET(_xlpm.k,IFERROR(--INDEX(_xlfn.ANCHORARRAY($BH$8),1),0),IF(_xlpm.k=0,"",INDEX(_xlfn.ANCHORARRAY($AC$8),_xlpm.k,24)))</f>
        <v/>
      </c>
      <c r="R11" s="301"/>
      <c r="S11" s="301" t="str" cm="1">
        <f t="array" ref="S11">_xlfn.LET(_xlpm.k,IFERROR(--INDEX(_xlfn.ANCHORARRAY($BH$8),1),0),IF(_xlpm.k=0,"",INDEX(_xlfn.ANCHORARRAY($AC$8),_xlpm.k,26)))</f>
        <v/>
      </c>
      <c r="T11" s="301"/>
      <c r="CO11" s="122">
        <v>4</v>
      </c>
      <c r="CP11" s="122" t="e">
        <v>#N/A</v>
      </c>
      <c r="CQ11" s="122">
        <v>9.691001300805642E-2</v>
      </c>
    </row>
    <row r="12" spans="2:95" ht="9.9499999999999993" customHeight="1">
      <c r="B12" s="300"/>
      <c r="C12" s="298" t="str" cm="1">
        <f t="array" ref="C12">_xlfn.LET(_xlpm.k,IFERROR(INDEX(_xlfn.ANCHORARRAY($BH$8),1),0),_xlpm.t,_xlfn.ANCHORARRAY($AC$8),_xlpm.i,_xlpm.k,IF(_xlpm.k=0,"",IFERROR("z "&amp;anSgn(INDEX(_xlpm.t,_xlpm.i,6),1),"")))</f>
        <v xml:space="preserve">z </v>
      </c>
      <c r="D12" s="298"/>
      <c r="E12" s="298" t="str" cm="1">
        <f t="array" ref="E12">_xlfn.LET(_xlpm.k,IFERROR(INDEX(_xlfn.ANCHORARRAY($BH$8),1),0),_xlpm.t,_xlfn.ANCHORARRAY($AC$8),_xlpm.i,_xlpm.k,IF(_xlpm.k=0,"",IFERROR("z "&amp;anSgn(INDEX(_xlpm.t,_xlpm.i,8),1),"")))</f>
        <v xml:space="preserve">z </v>
      </c>
      <c r="F12" s="298"/>
      <c r="G12" s="298" t="str" cm="1">
        <f t="array" ref="G12">_xlfn.LET(_xlpm.k,IFERROR(INDEX(_xlfn.ANCHORARRAY($BH$8),1),0),_xlpm.t,_xlfn.ANCHORARRAY($AC$8),_xlpm.i,_xlpm.k,IF(_xlpm.k=0,"",IFERROR("z "&amp;anSgn(INDEX(_xlpm.t,_xlpm.i,10),1),"")))</f>
        <v xml:space="preserve">z </v>
      </c>
      <c r="H12" s="298"/>
      <c r="I12" s="298" t="str" cm="1">
        <f t="array" ref="I12">_xlfn.LET(_xlpm.k,IFERROR(INDEX(_xlfn.ANCHORARRAY($BH$8),1),0),_xlpm.t,_xlfn.ANCHORARRAY($AC$8),_xlpm.i,_xlpm.k,IF(_xlpm.k=0,"",IFERROR(anSgn(INDEX(_xlpm.t,_xlpm.i,12),1)&amp;"σ","")))</f>
        <v>σ</v>
      </c>
      <c r="J12" s="298"/>
      <c r="K12" s="298" t="str" cm="1">
        <f t="array" ref="K12">_xlfn.LET(_xlpm.k,IFERROR(INDEX(_xlfn.ANCHORARRAY($BH$8),1),0),_xlpm.t,_xlfn.ANCHORARRAY($AC$8),_xlpm.i,_xlpm.k,IF(_xlpm.k=0,"",IFERROR("S "&amp;anNum(INDEX(_xlpm.t,_xlpm.i,14),1),"")))</f>
        <v xml:space="preserve">S </v>
      </c>
      <c r="L12" s="298"/>
      <c r="M12" s="298" t="str" cm="1">
        <f t="array" ref="M12">_xlfn.LET(_xlpm.k,IFERROR(INDEX(_xlfn.ANCHORARRAY($BH$8),1),0),_xlpm.t,_xlfn.ANCHORARRAY($AC$8),_xlpm.i,_xlpm.k,IF(_xlpm.k=0,"",IFERROR(anPct(INDEX(_xlpm.t,_xlpm.i,16),1)&amp;IFERROR(" (z "&amp;anSgn(INDEX(_xlpm.t,_xlpm.i,17),1)&amp;")",""),"")))</f>
        <v xml:space="preserve"> (z )</v>
      </c>
      <c r="N12" s="298"/>
      <c r="O12" s="298" t="str" cm="1">
        <f t="array" ref="O12">_xlfn.LET(_xlpm.k,IFERROR(INDEX(_xlfn.ANCHORARRAY($BH$8),1),0),_xlpm.t,_xlfn.ANCHORARRAY($AC$8),_xlpm.i,_xlpm.k,IF(_xlpm.k=0,"",IFERROR(anPct(INDEX(_xlpm.t,_xlpm.i,19),1)&amp;IFERROR(" (z "&amp;anSgn(INDEX(_xlpm.t,_xlpm.i,20),1)&amp;")",""),"")))</f>
        <v xml:space="preserve"> (z )</v>
      </c>
      <c r="P12" s="298"/>
      <c r="Q12" s="298" t="str" cm="1">
        <f t="array" ref="Q12">_xlfn.LET(_xlpm.k,IFERROR(INDEX(_xlfn.ANCHORARRAY($BH$8),1),0),_xlpm.t,_xlfn.ANCHORARRAY($AC$8),_xlpm.i,_xlpm.k,IF(_xlpm.k=0,"",IFERROR("MAD "&amp;anNum(INDEX(_xlpm.t,_xlpm.i,22),4),"n "&amp;anNum(INDEX(_xlpm.t,_xlpm.i,28),0))))</f>
        <v xml:space="preserve">MAD </v>
      </c>
      <c r="R12" s="298"/>
      <c r="S12" s="298" t="str" cm="1">
        <f t="array" ref="S12">_xlfn.LET(_xlpm.k,IFERROR(INDEX(_xlfn.ANCHORARRAY($BH$8),1),0),_xlpm.t,_xlfn.ANCHORARRAY($AC$8),_xlpm.i,_xlpm.k,IF(_xlpm.k=0,"",IFERROR("PSI "&amp;anNum(INDEX(_xlpm.t,_xlpm.i,25),3),"")))</f>
        <v xml:space="preserve">PSI </v>
      </c>
      <c r="T12" s="298"/>
      <c r="CO12" s="122">
        <v>5</v>
      </c>
      <c r="CP12" s="122" t="e">
        <v>#N/A</v>
      </c>
      <c r="CQ12" s="122">
        <v>7.9181246047624818E-2</v>
      </c>
    </row>
    <row r="13" spans="2:95" ht="17.100000000000001" customHeight="1">
      <c r="B13" s="299" t="str" cm="1">
        <f t="array" ref="B13">_xlfn.LET(_xlpm.k,IFERROR(INDEX(_xlfn.ANCHORARRAY($BH$8),2),0),IF(_xlpm.k=0,"",INDEX(_xlfn.ANCHORARRAY($AC$8),_xlpm.k,1)))</f>
        <v/>
      </c>
      <c r="C13" s="297" t="str" cm="1">
        <f t="array" ref="C13">_xlfn.LET(_xlpm.k,IFERROR(INDEX(_xlfn.ANCHORARRAY($BH$8),2),0),IF(_xlpm.k=0,"",INDEX(_xlfn.ANCHORARRAY($AC$8),_xlpm.k,7)))</f>
        <v/>
      </c>
      <c r="D13" s="297"/>
      <c r="E13" s="297" t="str" cm="1">
        <f t="array" ref="E13">_xlfn.LET(_xlpm.k,IFERROR(INDEX(_xlfn.ANCHORARRAY($BH$8),2),0),IF(_xlpm.k=0,"",INDEX(_xlfn.ANCHORARRAY($AC$8),_xlpm.k,9)))</f>
        <v/>
      </c>
      <c r="F13" s="297"/>
      <c r="G13" s="297" t="str" cm="1">
        <f t="array" ref="G13">_xlfn.LET(_xlpm.k,IFERROR(INDEX(_xlfn.ANCHORARRAY($BH$8),2),0),IF(_xlpm.k=0,"",INDEX(_xlfn.ANCHORARRAY($AC$8),_xlpm.k,11)))</f>
        <v/>
      </c>
      <c r="H13" s="297"/>
      <c r="I13" s="297" t="str" cm="1">
        <f t="array" ref="I13">_xlfn.LET(_xlpm.k,IFERROR(INDEX(_xlfn.ANCHORARRAY($BH$8),2),0),IF(_xlpm.k=0,"",INDEX(_xlfn.ANCHORARRAY($AC$8),_xlpm.k,13)))</f>
        <v/>
      </c>
      <c r="J13" s="297"/>
      <c r="K13" s="297" t="str" cm="1">
        <f t="array" ref="K13">_xlfn.LET(_xlpm.k,IFERROR(INDEX(_xlfn.ANCHORARRAY($BH$8),2),0),IF(_xlpm.k=0,"",INDEX(_xlfn.ANCHORARRAY($AC$8),_xlpm.k,15)))</f>
        <v/>
      </c>
      <c r="L13" s="297"/>
      <c r="M13" s="297" t="str" cm="1">
        <f t="array" ref="M13">_xlfn.LET(_xlpm.k,IFERROR(INDEX(_xlfn.ANCHORARRAY($BH$8),2),0),IF(_xlpm.k=0,"",INDEX(_xlfn.ANCHORARRAY($AC$8),_xlpm.k,18)))</f>
        <v/>
      </c>
      <c r="N13" s="297"/>
      <c r="O13" s="297" t="str" cm="1">
        <f t="array" ref="O13">_xlfn.LET(_xlpm.k,IFERROR(INDEX(_xlfn.ANCHORARRAY($BH$8),2),0),IF(_xlpm.k=0,"",INDEX(_xlfn.ANCHORARRAY($AC$8),_xlpm.k,21)))</f>
        <v/>
      </c>
      <c r="P13" s="297"/>
      <c r="Q13" s="297" t="str" cm="1">
        <f t="array" ref="Q13">_xlfn.LET(_xlpm.k,IFERROR(INDEX(_xlfn.ANCHORARRAY($BH$8),2),0),IF(_xlpm.k=0,"",INDEX(_xlfn.ANCHORARRAY($AC$8),_xlpm.k,24)))</f>
        <v/>
      </c>
      <c r="R13" s="297"/>
      <c r="S13" s="297" t="str" cm="1">
        <f t="array" ref="S13">_xlfn.LET(_xlpm.k,IFERROR(INDEX(_xlfn.ANCHORARRAY($BH$8),2),0),IF(_xlpm.k=0,"",INDEX(_xlfn.ANCHORARRAY($AC$8),_xlpm.k,26)))</f>
        <v/>
      </c>
      <c r="T13" s="297"/>
      <c r="CO13" s="122">
        <v>6</v>
      </c>
      <c r="CP13" s="122" t="e">
        <v>#N/A</v>
      </c>
      <c r="CQ13" s="122">
        <v>6.6946789630613221E-2</v>
      </c>
    </row>
    <row r="14" spans="2:95" ht="9.9499999999999993" customHeight="1">
      <c r="B14" s="300"/>
      <c r="C14" s="298" t="str" cm="1">
        <f t="array" ref="C14">_xlfn.LET(_xlpm.k,IFERROR(INDEX(_xlfn.ANCHORARRAY($BH$8),2),0),_xlpm.t,_xlfn.ANCHORARRAY($AC$8),_xlpm.i,_xlpm.k,IF(_xlpm.k=0,"",IFERROR("z "&amp;anSgn(INDEX(_xlpm.t,_xlpm.i,6),1),"")))</f>
        <v/>
      </c>
      <c r="D14" s="298"/>
      <c r="E14" s="298" t="str" cm="1">
        <f t="array" ref="E14">_xlfn.LET(_xlpm.k,IFERROR(INDEX(_xlfn.ANCHORARRAY($BH$8),2),0),_xlpm.t,_xlfn.ANCHORARRAY($AC$8),_xlpm.i,_xlpm.k,IF(_xlpm.k=0,"",IFERROR("z "&amp;anSgn(INDEX(_xlpm.t,_xlpm.i,8),1),"")))</f>
        <v/>
      </c>
      <c r="F14" s="298"/>
      <c r="G14" s="298" t="str" cm="1">
        <f t="array" ref="G14">_xlfn.LET(_xlpm.k,IFERROR(INDEX(_xlfn.ANCHORARRAY($BH$8),2),0),_xlpm.t,_xlfn.ANCHORARRAY($AC$8),_xlpm.i,_xlpm.k,IF(_xlpm.k=0,"",IFERROR("z "&amp;anSgn(INDEX(_xlpm.t,_xlpm.i,10),1),"")))</f>
        <v/>
      </c>
      <c r="H14" s="298"/>
      <c r="I14" s="298" t="str" cm="1">
        <f t="array" ref="I14">_xlfn.LET(_xlpm.k,IFERROR(INDEX(_xlfn.ANCHORARRAY($BH$8),2),0),_xlpm.t,_xlfn.ANCHORARRAY($AC$8),_xlpm.i,_xlpm.k,IF(_xlpm.k=0,"",IFERROR(anSgn(INDEX(_xlpm.t,_xlpm.i,12),1)&amp;"σ","")))</f>
        <v/>
      </c>
      <c r="J14" s="298"/>
      <c r="K14" s="298" t="str" cm="1">
        <f t="array" ref="K14">_xlfn.LET(_xlpm.k,IFERROR(INDEX(_xlfn.ANCHORARRAY($BH$8),2),0),_xlpm.t,_xlfn.ANCHORARRAY($AC$8),_xlpm.i,_xlpm.k,IF(_xlpm.k=0,"",IFERROR("S "&amp;anNum(INDEX(_xlpm.t,_xlpm.i,14),1),"")))</f>
        <v/>
      </c>
      <c r="L14" s="298"/>
      <c r="M14" s="298" t="str" cm="1">
        <f t="array" ref="M14">_xlfn.LET(_xlpm.k,IFERROR(INDEX(_xlfn.ANCHORARRAY($BH$8),2),0),_xlpm.t,_xlfn.ANCHORARRAY($AC$8),_xlpm.i,_xlpm.k,IF(_xlpm.k=0,"",IFERROR(anPct(INDEX(_xlpm.t,_xlpm.i,16),1)&amp;IFERROR(" (z "&amp;anSgn(INDEX(_xlpm.t,_xlpm.i,17),1)&amp;")",""),"")))</f>
        <v/>
      </c>
      <c r="N14" s="298"/>
      <c r="O14" s="298" t="str" cm="1">
        <f t="array" ref="O14">_xlfn.LET(_xlpm.k,IFERROR(INDEX(_xlfn.ANCHORARRAY($BH$8),2),0),_xlpm.t,_xlfn.ANCHORARRAY($AC$8),_xlpm.i,_xlpm.k,IF(_xlpm.k=0,"",IFERROR(anPct(INDEX(_xlpm.t,_xlpm.i,19),1)&amp;IFERROR(" (z "&amp;anSgn(INDEX(_xlpm.t,_xlpm.i,20),1)&amp;")",""),"")))</f>
        <v/>
      </c>
      <c r="P14" s="298"/>
      <c r="Q14" s="298" t="str" cm="1">
        <f t="array" ref="Q14">_xlfn.LET(_xlpm.k,IFERROR(INDEX(_xlfn.ANCHORARRAY($BH$8),2),0),_xlpm.t,_xlfn.ANCHORARRAY($AC$8),_xlpm.i,_xlpm.k,IF(_xlpm.k=0,"",IFERROR("MAD "&amp;anNum(INDEX(_xlpm.t,_xlpm.i,22),4),"n "&amp;anNum(INDEX(_xlpm.t,_xlpm.i,28),0))))</f>
        <v/>
      </c>
      <c r="R14" s="298"/>
      <c r="S14" s="298" t="str" cm="1">
        <f t="array" ref="S14">_xlfn.LET(_xlpm.k,IFERROR(INDEX(_xlfn.ANCHORARRAY($BH$8),2),0),_xlpm.t,_xlfn.ANCHORARRAY($AC$8),_xlpm.i,_xlpm.k,IF(_xlpm.k=0,"",IFERROR("PSI "&amp;anNum(INDEX(_xlpm.t,_xlpm.i,25),3),"")))</f>
        <v/>
      </c>
      <c r="T14" s="298"/>
      <c r="CO14" s="122">
        <v>7</v>
      </c>
      <c r="CP14" s="122" t="e">
        <v>#N/A</v>
      </c>
      <c r="CQ14" s="122">
        <v>5.7991946977686733E-2</v>
      </c>
    </row>
    <row r="15" spans="2:95" ht="17.100000000000001" customHeight="1">
      <c r="B15" s="299" t="str" cm="1">
        <f t="array" ref="B15">_xlfn.LET(_xlpm.k,IFERROR(INDEX(_xlfn.ANCHORARRAY($BH$8),3),0),IF(_xlpm.k=0,"",INDEX(_xlfn.ANCHORARRAY($AC$8),_xlpm.k,1)))</f>
        <v/>
      </c>
      <c r="C15" s="297" t="str" cm="1">
        <f t="array" ref="C15">_xlfn.LET(_xlpm.k,IFERROR(INDEX(_xlfn.ANCHORARRAY($BH$8),3),0),IF(_xlpm.k=0,"",INDEX(_xlfn.ANCHORARRAY($AC$8),_xlpm.k,7)))</f>
        <v/>
      </c>
      <c r="D15" s="297"/>
      <c r="E15" s="297" t="str" cm="1">
        <f t="array" ref="E15">_xlfn.LET(_xlpm.k,IFERROR(INDEX(_xlfn.ANCHORARRAY($BH$8),3),0),IF(_xlpm.k=0,"",INDEX(_xlfn.ANCHORARRAY($AC$8),_xlpm.k,9)))</f>
        <v/>
      </c>
      <c r="F15" s="297"/>
      <c r="G15" s="297" t="str" cm="1">
        <f t="array" ref="G15">_xlfn.LET(_xlpm.k,IFERROR(INDEX(_xlfn.ANCHORARRAY($BH$8),3),0),IF(_xlpm.k=0,"",INDEX(_xlfn.ANCHORARRAY($AC$8),_xlpm.k,11)))</f>
        <v/>
      </c>
      <c r="H15" s="297"/>
      <c r="I15" s="297" t="str" cm="1">
        <f t="array" ref="I15">_xlfn.LET(_xlpm.k,IFERROR(INDEX(_xlfn.ANCHORARRAY($BH$8),3),0),IF(_xlpm.k=0,"",INDEX(_xlfn.ANCHORARRAY($AC$8),_xlpm.k,13)))</f>
        <v/>
      </c>
      <c r="J15" s="297"/>
      <c r="K15" s="297" t="str" cm="1">
        <f t="array" ref="K15">_xlfn.LET(_xlpm.k,IFERROR(INDEX(_xlfn.ANCHORARRAY($BH$8),3),0),IF(_xlpm.k=0,"",INDEX(_xlfn.ANCHORARRAY($AC$8),_xlpm.k,15)))</f>
        <v/>
      </c>
      <c r="L15" s="297"/>
      <c r="M15" s="297" t="str" cm="1">
        <f t="array" ref="M15">_xlfn.LET(_xlpm.k,IFERROR(INDEX(_xlfn.ANCHORARRAY($BH$8),3),0),IF(_xlpm.k=0,"",INDEX(_xlfn.ANCHORARRAY($AC$8),_xlpm.k,18)))</f>
        <v/>
      </c>
      <c r="N15" s="297"/>
      <c r="O15" s="297" t="str" cm="1">
        <f t="array" ref="O15">_xlfn.LET(_xlpm.k,IFERROR(INDEX(_xlfn.ANCHORARRAY($BH$8),3),0),IF(_xlpm.k=0,"",INDEX(_xlfn.ANCHORARRAY($AC$8),_xlpm.k,21)))</f>
        <v/>
      </c>
      <c r="P15" s="297"/>
      <c r="Q15" s="297" t="str" cm="1">
        <f t="array" ref="Q15">_xlfn.LET(_xlpm.k,IFERROR(INDEX(_xlfn.ANCHORARRAY($BH$8),3),0),IF(_xlpm.k=0,"",INDEX(_xlfn.ANCHORARRAY($AC$8),_xlpm.k,24)))</f>
        <v/>
      </c>
      <c r="R15" s="297"/>
      <c r="S15" s="297" t="str" cm="1">
        <f t="array" ref="S15">_xlfn.LET(_xlpm.k,IFERROR(INDEX(_xlfn.ANCHORARRAY($BH$8),3),0),IF(_xlpm.k=0,"",INDEX(_xlfn.ANCHORARRAY($AC$8),_xlpm.k,26)))</f>
        <v/>
      </c>
      <c r="T15" s="297"/>
      <c r="CO15" s="122">
        <v>8</v>
      </c>
      <c r="CP15" s="122" t="e">
        <v>#N/A</v>
      </c>
      <c r="CQ15" s="122">
        <v>5.1152522447381291E-2</v>
      </c>
    </row>
    <row r="16" spans="2:95" ht="9.9499999999999993" customHeight="1">
      <c r="B16" s="300"/>
      <c r="C16" s="298" t="str" cm="1">
        <f t="array" ref="C16">_xlfn.LET(_xlpm.k,IFERROR(INDEX(_xlfn.ANCHORARRAY($BH$8),3),0),_xlpm.t,_xlfn.ANCHORARRAY($AC$8),_xlpm.i,_xlpm.k,IF(_xlpm.k=0,"",IFERROR("z "&amp;anSgn(INDEX(_xlpm.t,_xlpm.i,6),1),"")))</f>
        <v/>
      </c>
      <c r="D16" s="298"/>
      <c r="E16" s="298" t="str" cm="1">
        <f t="array" ref="E16">_xlfn.LET(_xlpm.k,IFERROR(INDEX(_xlfn.ANCHORARRAY($BH$8),3),0),_xlpm.t,_xlfn.ANCHORARRAY($AC$8),_xlpm.i,_xlpm.k,IF(_xlpm.k=0,"",IFERROR("z "&amp;anSgn(INDEX(_xlpm.t,_xlpm.i,8),1),"")))</f>
        <v/>
      </c>
      <c r="F16" s="298"/>
      <c r="G16" s="298" t="str" cm="1">
        <f t="array" ref="G16">_xlfn.LET(_xlpm.k,IFERROR(INDEX(_xlfn.ANCHORARRAY($BH$8),3),0),_xlpm.t,_xlfn.ANCHORARRAY($AC$8),_xlpm.i,_xlpm.k,IF(_xlpm.k=0,"",IFERROR("z "&amp;anSgn(INDEX(_xlpm.t,_xlpm.i,10),1),"")))</f>
        <v/>
      </c>
      <c r="H16" s="298"/>
      <c r="I16" s="298" t="str" cm="1">
        <f t="array" ref="I16">_xlfn.LET(_xlpm.k,IFERROR(INDEX(_xlfn.ANCHORARRAY($BH$8),3),0),_xlpm.t,_xlfn.ANCHORARRAY($AC$8),_xlpm.i,_xlpm.k,IF(_xlpm.k=0,"",IFERROR(anSgn(INDEX(_xlpm.t,_xlpm.i,12),1)&amp;"σ","")))</f>
        <v/>
      </c>
      <c r="J16" s="298"/>
      <c r="K16" s="298" t="str" cm="1">
        <f t="array" ref="K16">_xlfn.LET(_xlpm.k,IFERROR(INDEX(_xlfn.ANCHORARRAY($BH$8),3),0),_xlpm.t,_xlfn.ANCHORARRAY($AC$8),_xlpm.i,_xlpm.k,IF(_xlpm.k=0,"",IFERROR("S "&amp;anNum(INDEX(_xlpm.t,_xlpm.i,14),1),"")))</f>
        <v/>
      </c>
      <c r="L16" s="298"/>
      <c r="M16" s="298" t="str" cm="1">
        <f t="array" ref="M16">_xlfn.LET(_xlpm.k,IFERROR(INDEX(_xlfn.ANCHORARRAY($BH$8),3),0),_xlpm.t,_xlfn.ANCHORARRAY($AC$8),_xlpm.i,_xlpm.k,IF(_xlpm.k=0,"",IFERROR(anPct(INDEX(_xlpm.t,_xlpm.i,16),1)&amp;IFERROR(" (z "&amp;anSgn(INDEX(_xlpm.t,_xlpm.i,17),1)&amp;")",""),"")))</f>
        <v/>
      </c>
      <c r="N16" s="298"/>
      <c r="O16" s="298" t="str" cm="1">
        <f t="array" ref="O16">_xlfn.LET(_xlpm.k,IFERROR(INDEX(_xlfn.ANCHORARRAY($BH$8),3),0),_xlpm.t,_xlfn.ANCHORARRAY($AC$8),_xlpm.i,_xlpm.k,IF(_xlpm.k=0,"",IFERROR(anPct(INDEX(_xlpm.t,_xlpm.i,19),1)&amp;IFERROR(" (z "&amp;anSgn(INDEX(_xlpm.t,_xlpm.i,20),1)&amp;")",""),"")))</f>
        <v/>
      </c>
      <c r="P16" s="298"/>
      <c r="Q16" s="298" t="str" cm="1">
        <f t="array" ref="Q16">_xlfn.LET(_xlpm.k,IFERROR(INDEX(_xlfn.ANCHORARRAY($BH$8),3),0),_xlpm.t,_xlfn.ANCHORARRAY($AC$8),_xlpm.i,_xlpm.k,IF(_xlpm.k=0,"",IFERROR("MAD "&amp;anNum(INDEX(_xlpm.t,_xlpm.i,22),4),"n "&amp;anNum(INDEX(_xlpm.t,_xlpm.i,28),0))))</f>
        <v/>
      </c>
      <c r="R16" s="298"/>
      <c r="S16" s="298" t="str" cm="1">
        <f t="array" ref="S16">_xlfn.LET(_xlpm.k,IFERROR(INDEX(_xlfn.ANCHORARRAY($BH$8),3),0),_xlpm.t,_xlfn.ANCHORARRAY($AC$8),_xlpm.i,_xlpm.k,IF(_xlpm.k=0,"",IFERROR("PSI "&amp;anNum(INDEX(_xlpm.t,_xlpm.i,25),3),"")))</f>
        <v/>
      </c>
      <c r="T16" s="298"/>
      <c r="CO16" s="122">
        <v>9</v>
      </c>
      <c r="CP16" s="122" t="e">
        <v>#N/A</v>
      </c>
      <c r="CQ16" s="122">
        <v>4.5757490560675143E-2</v>
      </c>
    </row>
    <row r="17" spans="2:59" ht="17.100000000000001" customHeight="1">
      <c r="B17" s="299" t="str" cm="1">
        <f t="array" ref="B17">_xlfn.LET(_xlpm.k,IFERROR(INDEX(_xlfn.ANCHORARRAY($BH$8),4),0),IF(_xlpm.k=0,"",INDEX(_xlfn.ANCHORARRAY($AC$8),_xlpm.k,1)))</f>
        <v/>
      </c>
      <c r="C17" s="297" t="str" cm="1">
        <f t="array" ref="C17">_xlfn.LET(_xlpm.k,IFERROR(INDEX(_xlfn.ANCHORARRAY($BH$8),4),0),IF(_xlpm.k=0,"",INDEX(_xlfn.ANCHORARRAY($AC$8),_xlpm.k,7)))</f>
        <v/>
      </c>
      <c r="D17" s="297"/>
      <c r="E17" s="297" t="str" cm="1">
        <f t="array" ref="E17">_xlfn.LET(_xlpm.k,IFERROR(INDEX(_xlfn.ANCHORARRAY($BH$8),4),0),IF(_xlpm.k=0,"",INDEX(_xlfn.ANCHORARRAY($AC$8),_xlpm.k,9)))</f>
        <v/>
      </c>
      <c r="F17" s="297"/>
      <c r="G17" s="297" t="str" cm="1">
        <f t="array" ref="G17">_xlfn.LET(_xlpm.k,IFERROR(INDEX(_xlfn.ANCHORARRAY($BH$8),4),0),IF(_xlpm.k=0,"",INDEX(_xlfn.ANCHORARRAY($AC$8),_xlpm.k,11)))</f>
        <v/>
      </c>
      <c r="H17" s="297"/>
      <c r="I17" s="297" t="str" cm="1">
        <f t="array" ref="I17">_xlfn.LET(_xlpm.k,IFERROR(INDEX(_xlfn.ANCHORARRAY($BH$8),4),0),IF(_xlpm.k=0,"",INDEX(_xlfn.ANCHORARRAY($AC$8),_xlpm.k,13)))</f>
        <v/>
      </c>
      <c r="J17" s="297"/>
      <c r="K17" s="297" t="str" cm="1">
        <f t="array" ref="K17">_xlfn.LET(_xlpm.k,IFERROR(INDEX(_xlfn.ANCHORARRAY($BH$8),4),0),IF(_xlpm.k=0,"",INDEX(_xlfn.ANCHORARRAY($AC$8),_xlpm.k,15)))</f>
        <v/>
      </c>
      <c r="L17" s="297"/>
      <c r="M17" s="297" t="str" cm="1">
        <f t="array" ref="M17">_xlfn.LET(_xlpm.k,IFERROR(INDEX(_xlfn.ANCHORARRAY($BH$8),4),0),IF(_xlpm.k=0,"",INDEX(_xlfn.ANCHORARRAY($AC$8),_xlpm.k,18)))</f>
        <v/>
      </c>
      <c r="N17" s="297"/>
      <c r="O17" s="297" t="str" cm="1">
        <f t="array" ref="O17">_xlfn.LET(_xlpm.k,IFERROR(INDEX(_xlfn.ANCHORARRAY($BH$8),4),0),IF(_xlpm.k=0,"",INDEX(_xlfn.ANCHORARRAY($AC$8),_xlpm.k,21)))</f>
        <v/>
      </c>
      <c r="P17" s="297"/>
      <c r="Q17" s="297" t="str" cm="1">
        <f t="array" ref="Q17">_xlfn.LET(_xlpm.k,IFERROR(INDEX(_xlfn.ANCHORARRAY($BH$8),4),0),IF(_xlpm.k=0,"",INDEX(_xlfn.ANCHORARRAY($AC$8),_xlpm.k,24)))</f>
        <v/>
      </c>
      <c r="R17" s="297"/>
      <c r="S17" s="297" t="str" cm="1">
        <f t="array" ref="S17">_xlfn.LET(_xlpm.k,IFERROR(INDEX(_xlfn.ANCHORARRAY($BH$8),4),0),IF(_xlpm.k=0,"",INDEX(_xlfn.ANCHORARRAY($AC$8),_xlpm.k,26)))</f>
        <v/>
      </c>
      <c r="T17" s="297"/>
    </row>
    <row r="18" spans="2:59" ht="9.9499999999999993" customHeight="1">
      <c r="B18" s="300"/>
      <c r="C18" s="298" t="str" cm="1">
        <f t="array" ref="C18">_xlfn.LET(_xlpm.k,IFERROR(INDEX(_xlfn.ANCHORARRAY($BH$8),4),0),_xlpm.t,_xlfn.ANCHORARRAY($AC$8),_xlpm.i,_xlpm.k,IF(_xlpm.k=0,"",IFERROR("z "&amp;anSgn(INDEX(_xlpm.t,_xlpm.i,6),1),"")))</f>
        <v/>
      </c>
      <c r="D18" s="298"/>
      <c r="E18" s="298" t="str" cm="1">
        <f t="array" ref="E18">_xlfn.LET(_xlpm.k,IFERROR(INDEX(_xlfn.ANCHORARRAY($BH$8),4),0),_xlpm.t,_xlfn.ANCHORARRAY($AC$8),_xlpm.i,_xlpm.k,IF(_xlpm.k=0,"",IFERROR("z "&amp;anSgn(INDEX(_xlpm.t,_xlpm.i,8),1),"")))</f>
        <v/>
      </c>
      <c r="F18" s="298"/>
      <c r="G18" s="298" t="str" cm="1">
        <f t="array" ref="G18">_xlfn.LET(_xlpm.k,IFERROR(INDEX(_xlfn.ANCHORARRAY($BH$8),4),0),_xlpm.t,_xlfn.ANCHORARRAY($AC$8),_xlpm.i,_xlpm.k,IF(_xlpm.k=0,"",IFERROR("z "&amp;anSgn(INDEX(_xlpm.t,_xlpm.i,10),1),"")))</f>
        <v/>
      </c>
      <c r="H18" s="298"/>
      <c r="I18" s="298" t="str" cm="1">
        <f t="array" ref="I18">_xlfn.LET(_xlpm.k,IFERROR(INDEX(_xlfn.ANCHORARRAY($BH$8),4),0),_xlpm.t,_xlfn.ANCHORARRAY($AC$8),_xlpm.i,_xlpm.k,IF(_xlpm.k=0,"",IFERROR(anSgn(INDEX(_xlpm.t,_xlpm.i,12),1)&amp;"σ","")))</f>
        <v/>
      </c>
      <c r="J18" s="298"/>
      <c r="K18" s="298" t="str" cm="1">
        <f t="array" ref="K18">_xlfn.LET(_xlpm.k,IFERROR(INDEX(_xlfn.ANCHORARRAY($BH$8),4),0),_xlpm.t,_xlfn.ANCHORARRAY($AC$8),_xlpm.i,_xlpm.k,IF(_xlpm.k=0,"",IFERROR("S "&amp;anNum(INDEX(_xlpm.t,_xlpm.i,14),1),"")))</f>
        <v/>
      </c>
      <c r="L18" s="298"/>
      <c r="M18" s="298" t="str" cm="1">
        <f t="array" ref="M18">_xlfn.LET(_xlpm.k,IFERROR(INDEX(_xlfn.ANCHORARRAY($BH$8),4),0),_xlpm.t,_xlfn.ANCHORARRAY($AC$8),_xlpm.i,_xlpm.k,IF(_xlpm.k=0,"",IFERROR(anPct(INDEX(_xlpm.t,_xlpm.i,16),1)&amp;IFERROR(" (z "&amp;anSgn(INDEX(_xlpm.t,_xlpm.i,17),1)&amp;")",""),"")))</f>
        <v/>
      </c>
      <c r="N18" s="298"/>
      <c r="O18" s="298" t="str" cm="1">
        <f t="array" ref="O18">_xlfn.LET(_xlpm.k,IFERROR(INDEX(_xlfn.ANCHORARRAY($BH$8),4),0),_xlpm.t,_xlfn.ANCHORARRAY($AC$8),_xlpm.i,_xlpm.k,IF(_xlpm.k=0,"",IFERROR(anPct(INDEX(_xlpm.t,_xlpm.i,19),1)&amp;IFERROR(" (z "&amp;anSgn(INDEX(_xlpm.t,_xlpm.i,20),1)&amp;")",""),"")))</f>
        <v/>
      </c>
      <c r="P18" s="298"/>
      <c r="Q18" s="298" t="str" cm="1">
        <f t="array" ref="Q18">_xlfn.LET(_xlpm.k,IFERROR(INDEX(_xlfn.ANCHORARRAY($BH$8),4),0),_xlpm.t,_xlfn.ANCHORARRAY($AC$8),_xlpm.i,_xlpm.k,IF(_xlpm.k=0,"",IFERROR("MAD "&amp;anNum(INDEX(_xlpm.t,_xlpm.i,22),4),"n "&amp;anNum(INDEX(_xlpm.t,_xlpm.i,28),0))))</f>
        <v/>
      </c>
      <c r="R18" s="298"/>
      <c r="S18" s="298" t="str" cm="1">
        <f t="array" ref="S18">_xlfn.LET(_xlpm.k,IFERROR(INDEX(_xlfn.ANCHORARRAY($BH$8),4),0),_xlpm.t,_xlfn.ANCHORARRAY($AC$8),_xlpm.i,_xlpm.k,IF(_xlpm.k=0,"",IFERROR("PSI "&amp;anNum(INDEX(_xlpm.t,_xlpm.i,25),3),"")))</f>
        <v/>
      </c>
      <c r="T18" s="298"/>
    </row>
    <row r="19" spans="2:59" ht="17.100000000000001" customHeight="1">
      <c r="B19" s="299" t="str" cm="1">
        <f t="array" ref="B19">_xlfn.LET(_xlpm.k,IFERROR(INDEX(_xlfn.ANCHORARRAY($BH$8),5),0),IF(_xlpm.k=0,"",INDEX(_xlfn.ANCHORARRAY($AC$8),_xlpm.k,1)))</f>
        <v/>
      </c>
      <c r="C19" s="297" t="str" cm="1">
        <f t="array" ref="C19">_xlfn.LET(_xlpm.k,IFERROR(INDEX(_xlfn.ANCHORARRAY($BH$8),5),0),IF(_xlpm.k=0,"",INDEX(_xlfn.ANCHORARRAY($AC$8),_xlpm.k,7)))</f>
        <v/>
      </c>
      <c r="D19" s="297"/>
      <c r="E19" s="297" t="str" cm="1">
        <f t="array" ref="E19">_xlfn.LET(_xlpm.k,IFERROR(INDEX(_xlfn.ANCHORARRAY($BH$8),5),0),IF(_xlpm.k=0,"",INDEX(_xlfn.ANCHORARRAY($AC$8),_xlpm.k,9)))</f>
        <v/>
      </c>
      <c r="F19" s="297"/>
      <c r="G19" s="297" t="str" cm="1">
        <f t="array" ref="G19">_xlfn.LET(_xlpm.k,IFERROR(INDEX(_xlfn.ANCHORARRAY($BH$8),5),0),IF(_xlpm.k=0,"",INDEX(_xlfn.ANCHORARRAY($AC$8),_xlpm.k,11)))</f>
        <v/>
      </c>
      <c r="H19" s="297"/>
      <c r="I19" s="297" t="str" cm="1">
        <f t="array" ref="I19">_xlfn.LET(_xlpm.k,IFERROR(INDEX(_xlfn.ANCHORARRAY($BH$8),5),0),IF(_xlpm.k=0,"",INDEX(_xlfn.ANCHORARRAY($AC$8),_xlpm.k,13)))</f>
        <v/>
      </c>
      <c r="J19" s="297"/>
      <c r="K19" s="297" t="str" cm="1">
        <f t="array" ref="K19">_xlfn.LET(_xlpm.k,IFERROR(INDEX(_xlfn.ANCHORARRAY($BH$8),5),0),IF(_xlpm.k=0,"",INDEX(_xlfn.ANCHORARRAY($AC$8),_xlpm.k,15)))</f>
        <v/>
      </c>
      <c r="L19" s="297"/>
      <c r="M19" s="297" t="str" cm="1">
        <f t="array" ref="M19">_xlfn.LET(_xlpm.k,IFERROR(INDEX(_xlfn.ANCHORARRAY($BH$8),5),0),IF(_xlpm.k=0,"",INDEX(_xlfn.ANCHORARRAY($AC$8),_xlpm.k,18)))</f>
        <v/>
      </c>
      <c r="N19" s="297"/>
      <c r="O19" s="297" t="str" cm="1">
        <f t="array" ref="O19">_xlfn.LET(_xlpm.k,IFERROR(INDEX(_xlfn.ANCHORARRAY($BH$8),5),0),IF(_xlpm.k=0,"",INDEX(_xlfn.ANCHORARRAY($AC$8),_xlpm.k,21)))</f>
        <v/>
      </c>
      <c r="P19" s="297"/>
      <c r="Q19" s="297" t="str" cm="1">
        <f t="array" ref="Q19">_xlfn.LET(_xlpm.k,IFERROR(INDEX(_xlfn.ANCHORARRAY($BH$8),5),0),IF(_xlpm.k=0,"",INDEX(_xlfn.ANCHORARRAY($AC$8),_xlpm.k,24)))</f>
        <v/>
      </c>
      <c r="R19" s="297"/>
      <c r="S19" s="297" t="str" cm="1">
        <f t="array" ref="S19">_xlfn.LET(_xlpm.k,IFERROR(INDEX(_xlfn.ANCHORARRAY($BH$8),5),0),IF(_xlpm.k=0,"",INDEX(_xlfn.ANCHORARRAY($AC$8),_xlpm.k,26)))</f>
        <v/>
      </c>
      <c r="T19" s="297"/>
    </row>
    <row r="20" spans="2:59" ht="9.9499999999999993" customHeight="1">
      <c r="B20" s="300"/>
      <c r="C20" s="298" t="str" cm="1">
        <f t="array" ref="C20">_xlfn.LET(_xlpm.k,IFERROR(INDEX(_xlfn.ANCHORARRAY($BH$8),5),0),_xlpm.t,_xlfn.ANCHORARRAY($AC$8),_xlpm.i,_xlpm.k,IF(_xlpm.k=0,"",IFERROR("z "&amp;anSgn(INDEX(_xlpm.t,_xlpm.i,6),1),"")))</f>
        <v/>
      </c>
      <c r="D20" s="298"/>
      <c r="E20" s="298" t="str" cm="1">
        <f t="array" ref="E20">_xlfn.LET(_xlpm.k,IFERROR(INDEX(_xlfn.ANCHORARRAY($BH$8),5),0),_xlpm.t,_xlfn.ANCHORARRAY($AC$8),_xlpm.i,_xlpm.k,IF(_xlpm.k=0,"",IFERROR("z "&amp;anSgn(INDEX(_xlpm.t,_xlpm.i,8),1),"")))</f>
        <v/>
      </c>
      <c r="F20" s="298"/>
      <c r="G20" s="298" t="str" cm="1">
        <f t="array" ref="G20">_xlfn.LET(_xlpm.k,IFERROR(INDEX(_xlfn.ANCHORARRAY($BH$8),5),0),_xlpm.t,_xlfn.ANCHORARRAY($AC$8),_xlpm.i,_xlpm.k,IF(_xlpm.k=0,"",IFERROR("z "&amp;anSgn(INDEX(_xlpm.t,_xlpm.i,10),1),"")))</f>
        <v/>
      </c>
      <c r="H20" s="298"/>
      <c r="I20" s="298" t="str" cm="1">
        <f t="array" ref="I20">_xlfn.LET(_xlpm.k,IFERROR(INDEX(_xlfn.ANCHORARRAY($BH$8),5),0),_xlpm.t,_xlfn.ANCHORARRAY($AC$8),_xlpm.i,_xlpm.k,IF(_xlpm.k=0,"",IFERROR(anSgn(INDEX(_xlpm.t,_xlpm.i,12),1)&amp;"σ","")))</f>
        <v/>
      </c>
      <c r="J20" s="298"/>
      <c r="K20" s="298" t="str" cm="1">
        <f t="array" ref="K20">_xlfn.LET(_xlpm.k,IFERROR(INDEX(_xlfn.ANCHORARRAY($BH$8),5),0),_xlpm.t,_xlfn.ANCHORARRAY($AC$8),_xlpm.i,_xlpm.k,IF(_xlpm.k=0,"",IFERROR("S "&amp;anNum(INDEX(_xlpm.t,_xlpm.i,14),1),"")))</f>
        <v/>
      </c>
      <c r="L20" s="298"/>
      <c r="M20" s="298" t="str" cm="1">
        <f t="array" ref="M20">_xlfn.LET(_xlpm.k,IFERROR(INDEX(_xlfn.ANCHORARRAY($BH$8),5),0),_xlpm.t,_xlfn.ANCHORARRAY($AC$8),_xlpm.i,_xlpm.k,IF(_xlpm.k=0,"",IFERROR(anPct(INDEX(_xlpm.t,_xlpm.i,16),1)&amp;IFERROR(" (z "&amp;anSgn(INDEX(_xlpm.t,_xlpm.i,17),1)&amp;")",""),"")))</f>
        <v/>
      </c>
      <c r="N20" s="298"/>
      <c r="O20" s="298" t="str" cm="1">
        <f t="array" ref="O20">_xlfn.LET(_xlpm.k,IFERROR(INDEX(_xlfn.ANCHORARRAY($BH$8),5),0),_xlpm.t,_xlfn.ANCHORARRAY($AC$8),_xlpm.i,_xlpm.k,IF(_xlpm.k=0,"",IFERROR(anPct(INDEX(_xlpm.t,_xlpm.i,19),1)&amp;IFERROR(" (z "&amp;anSgn(INDEX(_xlpm.t,_xlpm.i,20),1)&amp;")",""),"")))</f>
        <v/>
      </c>
      <c r="P20" s="298"/>
      <c r="Q20" s="298" t="str" cm="1">
        <f t="array" ref="Q20">_xlfn.LET(_xlpm.k,IFERROR(INDEX(_xlfn.ANCHORARRAY($BH$8),5),0),_xlpm.t,_xlfn.ANCHORARRAY($AC$8),_xlpm.i,_xlpm.k,IF(_xlpm.k=0,"",IFERROR("MAD "&amp;anNum(INDEX(_xlpm.t,_xlpm.i,22),4),"n "&amp;anNum(INDEX(_xlpm.t,_xlpm.i,28),0))))</f>
        <v/>
      </c>
      <c r="R20" s="298"/>
      <c r="S20" s="298" t="str" cm="1">
        <f t="array" ref="S20">_xlfn.LET(_xlpm.k,IFERROR(INDEX(_xlfn.ANCHORARRAY($BH$8),5),0),_xlpm.t,_xlfn.ANCHORARRAY($AC$8),_xlpm.i,_xlpm.k,IF(_xlpm.k=0,"",IFERROR("PSI "&amp;anNum(INDEX(_xlpm.t,_xlpm.i,25),3),"")))</f>
        <v/>
      </c>
      <c r="T20" s="298"/>
      <c r="BG20" s="122" t="str">
        <f>$CA$3&amp;": "&amp;_xlfn.XLOOKUP("AN_ANO_XMR_T",tblUIText[Key],tblUIText[TR],"AN_ANO_XMR_T")&amp;" / "&amp;_xlfn.XLOOKUP("AN_ANO_XMR_T",tblUIText[Key],tblUIText[EN],"")</f>
        <v>: X-mR: aylık ödenen (bin TL), merkez ve 3σ sınırları (log ölçekte) / X-mR: monthly paid (TRY k), centre and 3σ limits (log scale)</v>
      </c>
    </row>
    <row r="21" spans="2:59" ht="17.100000000000001" customHeight="1">
      <c r="B21" s="299" t="str" cm="1">
        <f t="array" ref="B21">_xlfn.LET(_xlpm.k,IFERROR(INDEX(_xlfn.ANCHORARRAY($BH$8),6),0),IF(_xlpm.k=0,"",INDEX(_xlfn.ANCHORARRAY($AC$8),_xlpm.k,1)))</f>
        <v/>
      </c>
      <c r="C21" s="297" t="str" cm="1">
        <f t="array" ref="C21">_xlfn.LET(_xlpm.k,IFERROR(INDEX(_xlfn.ANCHORARRAY($BH$8),6),0),IF(_xlpm.k=0,"",INDEX(_xlfn.ANCHORARRAY($AC$8),_xlpm.k,7)))</f>
        <v/>
      </c>
      <c r="D21" s="297"/>
      <c r="E21" s="297" t="str" cm="1">
        <f t="array" ref="E21">_xlfn.LET(_xlpm.k,IFERROR(INDEX(_xlfn.ANCHORARRAY($BH$8),6),0),IF(_xlpm.k=0,"",INDEX(_xlfn.ANCHORARRAY($AC$8),_xlpm.k,9)))</f>
        <v/>
      </c>
      <c r="F21" s="297"/>
      <c r="G21" s="297" t="str" cm="1">
        <f t="array" ref="G21">_xlfn.LET(_xlpm.k,IFERROR(INDEX(_xlfn.ANCHORARRAY($BH$8),6),0),IF(_xlpm.k=0,"",INDEX(_xlfn.ANCHORARRAY($AC$8),_xlpm.k,11)))</f>
        <v/>
      </c>
      <c r="H21" s="297"/>
      <c r="I21" s="297" t="str" cm="1">
        <f t="array" ref="I21">_xlfn.LET(_xlpm.k,IFERROR(INDEX(_xlfn.ANCHORARRAY($BH$8),6),0),IF(_xlpm.k=0,"",INDEX(_xlfn.ANCHORARRAY($AC$8),_xlpm.k,13)))</f>
        <v/>
      </c>
      <c r="J21" s="297"/>
      <c r="K21" s="297" t="str" cm="1">
        <f t="array" ref="K21">_xlfn.LET(_xlpm.k,IFERROR(INDEX(_xlfn.ANCHORARRAY($BH$8),6),0),IF(_xlpm.k=0,"",INDEX(_xlfn.ANCHORARRAY($AC$8),_xlpm.k,15)))</f>
        <v/>
      </c>
      <c r="L21" s="297"/>
      <c r="M21" s="297" t="str" cm="1">
        <f t="array" ref="M21">_xlfn.LET(_xlpm.k,IFERROR(INDEX(_xlfn.ANCHORARRAY($BH$8),6),0),IF(_xlpm.k=0,"",INDEX(_xlfn.ANCHORARRAY($AC$8),_xlpm.k,18)))</f>
        <v/>
      </c>
      <c r="N21" s="297"/>
      <c r="O21" s="297" t="str" cm="1">
        <f t="array" ref="O21">_xlfn.LET(_xlpm.k,IFERROR(INDEX(_xlfn.ANCHORARRAY($BH$8),6),0),IF(_xlpm.k=0,"",INDEX(_xlfn.ANCHORARRAY($AC$8),_xlpm.k,21)))</f>
        <v/>
      </c>
      <c r="P21" s="297"/>
      <c r="Q21" s="297" t="str" cm="1">
        <f t="array" ref="Q21">_xlfn.LET(_xlpm.k,IFERROR(INDEX(_xlfn.ANCHORARRAY($BH$8),6),0),IF(_xlpm.k=0,"",INDEX(_xlfn.ANCHORARRAY($AC$8),_xlpm.k,24)))</f>
        <v/>
      </c>
      <c r="R21" s="297"/>
      <c r="S21" s="297" t="str" cm="1">
        <f t="array" ref="S21">_xlfn.LET(_xlpm.k,IFERROR(INDEX(_xlfn.ANCHORARRAY($BH$8),6),0),IF(_xlpm.k=0,"",INDEX(_xlfn.ANCHORARRAY($AC$8),_xlpm.k,26)))</f>
        <v/>
      </c>
      <c r="T21" s="297"/>
      <c r="BG21" s="122" t="str">
        <f>$CA$3&amp;": "&amp;_xlfn.XLOOKUP("AN_ANO_CUSUM_T",tblUIText[Key],tblUIText[TR],"AN_ANO_CUSUM_T")&amp;" / "&amp;_xlfn.XLOOKUP("AN_ANO_CUSUM_T",tblUIText[Key],tblUIText[EN],"")</f>
        <v>: CUSUM: log ödenen, standartlaştırılmış (S+ / S−, h) / CUSUM: log paid, standardised (S+ / S−, h)</v>
      </c>
    </row>
    <row r="22" spans="2:59" ht="9.9499999999999993" customHeight="1">
      <c r="B22" s="300"/>
      <c r="C22" s="298" t="str" cm="1">
        <f t="array" ref="C22">_xlfn.LET(_xlpm.k,IFERROR(INDEX(_xlfn.ANCHORARRAY($BH$8),6),0),_xlpm.t,_xlfn.ANCHORARRAY($AC$8),_xlpm.i,_xlpm.k,IF(_xlpm.k=0,"",IFERROR("z "&amp;anSgn(INDEX(_xlpm.t,_xlpm.i,6),1),"")))</f>
        <v/>
      </c>
      <c r="D22" s="298"/>
      <c r="E22" s="298" t="str" cm="1">
        <f t="array" ref="E22">_xlfn.LET(_xlpm.k,IFERROR(INDEX(_xlfn.ANCHORARRAY($BH$8),6),0),_xlpm.t,_xlfn.ANCHORARRAY($AC$8),_xlpm.i,_xlpm.k,IF(_xlpm.k=0,"",IFERROR("z "&amp;anSgn(INDEX(_xlpm.t,_xlpm.i,8),1),"")))</f>
        <v/>
      </c>
      <c r="F22" s="298"/>
      <c r="G22" s="298" t="str" cm="1">
        <f t="array" ref="G22">_xlfn.LET(_xlpm.k,IFERROR(INDEX(_xlfn.ANCHORARRAY($BH$8),6),0),_xlpm.t,_xlfn.ANCHORARRAY($AC$8),_xlpm.i,_xlpm.k,IF(_xlpm.k=0,"",IFERROR("z "&amp;anSgn(INDEX(_xlpm.t,_xlpm.i,10),1),"")))</f>
        <v/>
      </c>
      <c r="H22" s="298"/>
      <c r="I22" s="298" t="str" cm="1">
        <f t="array" ref="I22">_xlfn.LET(_xlpm.k,IFERROR(INDEX(_xlfn.ANCHORARRAY($BH$8),6),0),_xlpm.t,_xlfn.ANCHORARRAY($AC$8),_xlpm.i,_xlpm.k,IF(_xlpm.k=0,"",IFERROR(anSgn(INDEX(_xlpm.t,_xlpm.i,12),1)&amp;"σ","")))</f>
        <v/>
      </c>
      <c r="J22" s="298"/>
      <c r="K22" s="298" t="str" cm="1">
        <f t="array" ref="K22">_xlfn.LET(_xlpm.k,IFERROR(INDEX(_xlfn.ANCHORARRAY($BH$8),6),0),_xlpm.t,_xlfn.ANCHORARRAY($AC$8),_xlpm.i,_xlpm.k,IF(_xlpm.k=0,"",IFERROR("S "&amp;anNum(INDEX(_xlpm.t,_xlpm.i,14),1),"")))</f>
        <v/>
      </c>
      <c r="L22" s="298"/>
      <c r="M22" s="298" t="str" cm="1">
        <f t="array" ref="M22">_xlfn.LET(_xlpm.k,IFERROR(INDEX(_xlfn.ANCHORARRAY($BH$8),6),0),_xlpm.t,_xlfn.ANCHORARRAY($AC$8),_xlpm.i,_xlpm.k,IF(_xlpm.k=0,"",IFERROR(anPct(INDEX(_xlpm.t,_xlpm.i,16),1)&amp;IFERROR(" (z "&amp;anSgn(INDEX(_xlpm.t,_xlpm.i,17),1)&amp;")",""),"")))</f>
        <v/>
      </c>
      <c r="N22" s="298"/>
      <c r="O22" s="298" t="str" cm="1">
        <f t="array" ref="O22">_xlfn.LET(_xlpm.k,IFERROR(INDEX(_xlfn.ANCHORARRAY($BH$8),6),0),_xlpm.t,_xlfn.ANCHORARRAY($AC$8),_xlpm.i,_xlpm.k,IF(_xlpm.k=0,"",IFERROR(anPct(INDEX(_xlpm.t,_xlpm.i,19),1)&amp;IFERROR(" (z "&amp;anSgn(INDEX(_xlpm.t,_xlpm.i,20),1)&amp;")",""),"")))</f>
        <v/>
      </c>
      <c r="P22" s="298"/>
      <c r="Q22" s="298" t="str" cm="1">
        <f t="array" ref="Q22">_xlfn.LET(_xlpm.k,IFERROR(INDEX(_xlfn.ANCHORARRAY($BH$8),6),0),_xlpm.t,_xlfn.ANCHORARRAY($AC$8),_xlpm.i,_xlpm.k,IF(_xlpm.k=0,"",IFERROR("MAD "&amp;anNum(INDEX(_xlpm.t,_xlpm.i,22),4),"n "&amp;anNum(INDEX(_xlpm.t,_xlpm.i,28),0))))</f>
        <v/>
      </c>
      <c r="R22" s="298"/>
      <c r="S22" s="298" t="str" cm="1">
        <f t="array" ref="S22">_xlfn.LET(_xlpm.k,IFERROR(INDEX(_xlfn.ANCHORARRAY($BH$8),6),0),_xlpm.t,_xlfn.ANCHORARRAY($AC$8),_xlpm.i,_xlpm.k,IF(_xlpm.k=0,"",IFERROR("PSI "&amp;anNum(INDEX(_xlpm.t,_xlpm.i,25),3),"")))</f>
        <v/>
      </c>
      <c r="T22" s="298"/>
      <c r="BG22" s="122" t="str">
        <f>$CA$3&amp;", "&amp;$AB$5&amp;": "&amp;_xlfn.XLOOKUP("AN_ANO_BENF_T",tblUIText[Key],tblUIText[TR],"AN_ANO_BENF_T")&amp;" / "&amp;_xlfn.XLOOKUP("AN_ANO_BENF_T",tblUIText[Key],tblUIText[EN],"")</f>
        <v>, : Benford: ilk hane payı, seçilen ay (gözlenen / beklenen) / Benford: first-digit share, selected month (observed / expected)</v>
      </c>
    </row>
    <row r="23" spans="2:59" ht="17.100000000000001" customHeight="1">
      <c r="B23" s="299" t="str" cm="1">
        <f t="array" ref="B23">_xlfn.LET(_xlpm.k,IFERROR(INDEX(_xlfn.ANCHORARRAY($BH$8),7),0),IF(_xlpm.k=0,"",INDEX(_xlfn.ANCHORARRAY($AC$8),_xlpm.k,1)))</f>
        <v/>
      </c>
      <c r="C23" s="297" t="str" cm="1">
        <f t="array" ref="C23">_xlfn.LET(_xlpm.k,IFERROR(INDEX(_xlfn.ANCHORARRAY($BH$8),7),0),IF(_xlpm.k=0,"",INDEX(_xlfn.ANCHORARRAY($AC$8),_xlpm.k,7)))</f>
        <v/>
      </c>
      <c r="D23" s="297"/>
      <c r="E23" s="297" t="str" cm="1">
        <f t="array" ref="E23">_xlfn.LET(_xlpm.k,IFERROR(INDEX(_xlfn.ANCHORARRAY($BH$8),7),0),IF(_xlpm.k=0,"",INDEX(_xlfn.ANCHORARRAY($AC$8),_xlpm.k,9)))</f>
        <v/>
      </c>
      <c r="F23" s="297"/>
      <c r="G23" s="297" t="str" cm="1">
        <f t="array" ref="G23">_xlfn.LET(_xlpm.k,IFERROR(INDEX(_xlfn.ANCHORARRAY($BH$8),7),0),IF(_xlpm.k=0,"",INDEX(_xlfn.ANCHORARRAY($AC$8),_xlpm.k,11)))</f>
        <v/>
      </c>
      <c r="H23" s="297"/>
      <c r="I23" s="297" t="str" cm="1">
        <f t="array" ref="I23">_xlfn.LET(_xlpm.k,IFERROR(INDEX(_xlfn.ANCHORARRAY($BH$8),7),0),IF(_xlpm.k=0,"",INDEX(_xlfn.ANCHORARRAY($AC$8),_xlpm.k,13)))</f>
        <v/>
      </c>
      <c r="J23" s="297"/>
      <c r="K23" s="297" t="str" cm="1">
        <f t="array" ref="K23">_xlfn.LET(_xlpm.k,IFERROR(INDEX(_xlfn.ANCHORARRAY($BH$8),7),0),IF(_xlpm.k=0,"",INDEX(_xlfn.ANCHORARRAY($AC$8),_xlpm.k,15)))</f>
        <v/>
      </c>
      <c r="L23" s="297"/>
      <c r="M23" s="297" t="str" cm="1">
        <f t="array" ref="M23">_xlfn.LET(_xlpm.k,IFERROR(INDEX(_xlfn.ANCHORARRAY($BH$8),7),0),IF(_xlpm.k=0,"",INDEX(_xlfn.ANCHORARRAY($AC$8),_xlpm.k,18)))</f>
        <v/>
      </c>
      <c r="N23" s="297"/>
      <c r="O23" s="297" t="str" cm="1">
        <f t="array" ref="O23">_xlfn.LET(_xlpm.k,IFERROR(INDEX(_xlfn.ANCHORARRAY($BH$8),7),0),IF(_xlpm.k=0,"",INDEX(_xlfn.ANCHORARRAY($AC$8),_xlpm.k,21)))</f>
        <v/>
      </c>
      <c r="P23" s="297"/>
      <c r="Q23" s="297" t="str" cm="1">
        <f t="array" ref="Q23">_xlfn.LET(_xlpm.k,IFERROR(INDEX(_xlfn.ANCHORARRAY($BH$8),7),0),IF(_xlpm.k=0,"",INDEX(_xlfn.ANCHORARRAY($AC$8),_xlpm.k,24)))</f>
        <v/>
      </c>
      <c r="R23" s="297"/>
      <c r="S23" s="297" t="str" cm="1">
        <f t="array" ref="S23">_xlfn.LET(_xlpm.k,IFERROR(INDEX(_xlfn.ANCHORARRAY($BH$8),7),0),IF(_xlpm.k=0,"",INDEX(_xlfn.ANCHORARRAY($AC$8),_xlpm.k,26)))</f>
        <v/>
      </c>
      <c r="T23" s="297"/>
    </row>
    <row r="24" spans="2:59" ht="9.9499999999999993" customHeight="1">
      <c r="B24" s="300"/>
      <c r="C24" s="298" t="str" cm="1">
        <f t="array" ref="C24">_xlfn.LET(_xlpm.k,IFERROR(INDEX(_xlfn.ANCHORARRAY($BH$8),7),0),_xlpm.t,_xlfn.ANCHORARRAY($AC$8),_xlpm.i,_xlpm.k,IF(_xlpm.k=0,"",IFERROR("z "&amp;anSgn(INDEX(_xlpm.t,_xlpm.i,6),1),"")))</f>
        <v/>
      </c>
      <c r="D24" s="298"/>
      <c r="E24" s="298" t="str" cm="1">
        <f t="array" ref="E24">_xlfn.LET(_xlpm.k,IFERROR(INDEX(_xlfn.ANCHORARRAY($BH$8),7),0),_xlpm.t,_xlfn.ANCHORARRAY($AC$8),_xlpm.i,_xlpm.k,IF(_xlpm.k=0,"",IFERROR("z "&amp;anSgn(INDEX(_xlpm.t,_xlpm.i,8),1),"")))</f>
        <v/>
      </c>
      <c r="F24" s="298"/>
      <c r="G24" s="298" t="str" cm="1">
        <f t="array" ref="G24">_xlfn.LET(_xlpm.k,IFERROR(INDEX(_xlfn.ANCHORARRAY($BH$8),7),0),_xlpm.t,_xlfn.ANCHORARRAY($AC$8),_xlpm.i,_xlpm.k,IF(_xlpm.k=0,"",IFERROR("z "&amp;anSgn(INDEX(_xlpm.t,_xlpm.i,10),1),"")))</f>
        <v/>
      </c>
      <c r="H24" s="298"/>
      <c r="I24" s="298" t="str" cm="1">
        <f t="array" ref="I24">_xlfn.LET(_xlpm.k,IFERROR(INDEX(_xlfn.ANCHORARRAY($BH$8),7),0),_xlpm.t,_xlfn.ANCHORARRAY($AC$8),_xlpm.i,_xlpm.k,IF(_xlpm.k=0,"",IFERROR(anSgn(INDEX(_xlpm.t,_xlpm.i,12),1)&amp;"σ","")))</f>
        <v/>
      </c>
      <c r="J24" s="298"/>
      <c r="K24" s="298" t="str" cm="1">
        <f t="array" ref="K24">_xlfn.LET(_xlpm.k,IFERROR(INDEX(_xlfn.ANCHORARRAY($BH$8),7),0),_xlpm.t,_xlfn.ANCHORARRAY($AC$8),_xlpm.i,_xlpm.k,IF(_xlpm.k=0,"",IFERROR("S "&amp;anNum(INDEX(_xlpm.t,_xlpm.i,14),1),"")))</f>
        <v/>
      </c>
      <c r="L24" s="298"/>
      <c r="M24" s="298" t="str" cm="1">
        <f t="array" ref="M24">_xlfn.LET(_xlpm.k,IFERROR(INDEX(_xlfn.ANCHORARRAY($BH$8),7),0),_xlpm.t,_xlfn.ANCHORARRAY($AC$8),_xlpm.i,_xlpm.k,IF(_xlpm.k=0,"",IFERROR(anPct(INDEX(_xlpm.t,_xlpm.i,16),1)&amp;IFERROR(" (z "&amp;anSgn(INDEX(_xlpm.t,_xlpm.i,17),1)&amp;")",""),"")))</f>
        <v/>
      </c>
      <c r="N24" s="298"/>
      <c r="O24" s="298" t="str" cm="1">
        <f t="array" ref="O24">_xlfn.LET(_xlpm.k,IFERROR(INDEX(_xlfn.ANCHORARRAY($BH$8),7),0),_xlpm.t,_xlfn.ANCHORARRAY($AC$8),_xlpm.i,_xlpm.k,IF(_xlpm.k=0,"",IFERROR(anPct(INDEX(_xlpm.t,_xlpm.i,19),1)&amp;IFERROR(" (z "&amp;anSgn(INDEX(_xlpm.t,_xlpm.i,20),1)&amp;")",""),"")))</f>
        <v/>
      </c>
      <c r="P24" s="298"/>
      <c r="Q24" s="298" t="str" cm="1">
        <f t="array" ref="Q24">_xlfn.LET(_xlpm.k,IFERROR(INDEX(_xlfn.ANCHORARRAY($BH$8),7),0),_xlpm.t,_xlfn.ANCHORARRAY($AC$8),_xlpm.i,_xlpm.k,IF(_xlpm.k=0,"",IFERROR("MAD "&amp;anNum(INDEX(_xlpm.t,_xlpm.i,22),4),"n "&amp;anNum(INDEX(_xlpm.t,_xlpm.i,28),0))))</f>
        <v/>
      </c>
      <c r="R24" s="298"/>
      <c r="S24" s="298" t="str" cm="1">
        <f t="array" ref="S24">_xlfn.LET(_xlpm.k,IFERROR(INDEX(_xlfn.ANCHORARRAY($BH$8),7),0),_xlpm.t,_xlfn.ANCHORARRAY($AC$8),_xlpm.i,_xlpm.k,IF(_xlpm.k=0,"",IFERROR("PSI "&amp;anNum(INDEX(_xlpm.t,_xlpm.i,25),3),"")))</f>
        <v/>
      </c>
      <c r="T24" s="298"/>
    </row>
    <row r="25" spans="2:59" ht="17.100000000000001" customHeight="1">
      <c r="B25" s="299" t="str" cm="1">
        <f t="array" ref="B25">_xlfn.LET(_xlpm.k,IFERROR(INDEX(_xlfn.ANCHORARRAY($BH$8),8),0),IF(_xlpm.k=0,"",INDEX(_xlfn.ANCHORARRAY($AC$8),_xlpm.k,1)))</f>
        <v/>
      </c>
      <c r="C25" s="297" t="str" cm="1">
        <f t="array" ref="C25">_xlfn.LET(_xlpm.k,IFERROR(INDEX(_xlfn.ANCHORARRAY($BH$8),8),0),IF(_xlpm.k=0,"",INDEX(_xlfn.ANCHORARRAY($AC$8),_xlpm.k,7)))</f>
        <v/>
      </c>
      <c r="D25" s="297"/>
      <c r="E25" s="297" t="str" cm="1">
        <f t="array" ref="E25">_xlfn.LET(_xlpm.k,IFERROR(INDEX(_xlfn.ANCHORARRAY($BH$8),8),0),IF(_xlpm.k=0,"",INDEX(_xlfn.ANCHORARRAY($AC$8),_xlpm.k,9)))</f>
        <v/>
      </c>
      <c r="F25" s="297"/>
      <c r="G25" s="297" t="str" cm="1">
        <f t="array" ref="G25">_xlfn.LET(_xlpm.k,IFERROR(INDEX(_xlfn.ANCHORARRAY($BH$8),8),0),IF(_xlpm.k=0,"",INDEX(_xlfn.ANCHORARRAY($AC$8),_xlpm.k,11)))</f>
        <v/>
      </c>
      <c r="H25" s="297"/>
      <c r="I25" s="297" t="str" cm="1">
        <f t="array" ref="I25">_xlfn.LET(_xlpm.k,IFERROR(INDEX(_xlfn.ANCHORARRAY($BH$8),8),0),IF(_xlpm.k=0,"",INDEX(_xlfn.ANCHORARRAY($AC$8),_xlpm.k,13)))</f>
        <v/>
      </c>
      <c r="J25" s="297"/>
      <c r="K25" s="297" t="str" cm="1">
        <f t="array" ref="K25">_xlfn.LET(_xlpm.k,IFERROR(INDEX(_xlfn.ANCHORARRAY($BH$8),8),0),IF(_xlpm.k=0,"",INDEX(_xlfn.ANCHORARRAY($AC$8),_xlpm.k,15)))</f>
        <v/>
      </c>
      <c r="L25" s="297"/>
      <c r="M25" s="297" t="str" cm="1">
        <f t="array" ref="M25">_xlfn.LET(_xlpm.k,IFERROR(INDEX(_xlfn.ANCHORARRAY($BH$8),8),0),IF(_xlpm.k=0,"",INDEX(_xlfn.ANCHORARRAY($AC$8),_xlpm.k,18)))</f>
        <v/>
      </c>
      <c r="N25" s="297"/>
      <c r="O25" s="297" t="str" cm="1">
        <f t="array" ref="O25">_xlfn.LET(_xlpm.k,IFERROR(INDEX(_xlfn.ANCHORARRAY($BH$8),8),0),IF(_xlpm.k=0,"",INDEX(_xlfn.ANCHORARRAY($AC$8),_xlpm.k,21)))</f>
        <v/>
      </c>
      <c r="P25" s="297"/>
      <c r="Q25" s="297" t="str" cm="1">
        <f t="array" ref="Q25">_xlfn.LET(_xlpm.k,IFERROR(INDEX(_xlfn.ANCHORARRAY($BH$8),8),0),IF(_xlpm.k=0,"",INDEX(_xlfn.ANCHORARRAY($AC$8),_xlpm.k,24)))</f>
        <v/>
      </c>
      <c r="R25" s="297"/>
      <c r="S25" s="297" t="str" cm="1">
        <f t="array" ref="S25">_xlfn.LET(_xlpm.k,IFERROR(INDEX(_xlfn.ANCHORARRAY($BH$8),8),0),IF(_xlpm.k=0,"",INDEX(_xlfn.ANCHORARRAY($AC$8),_xlpm.k,26)))</f>
        <v/>
      </c>
      <c r="T25" s="297"/>
    </row>
    <row r="26" spans="2:59" ht="9.9499999999999993" customHeight="1">
      <c r="B26" s="300"/>
      <c r="C26" s="298" t="str" cm="1">
        <f t="array" ref="C26">_xlfn.LET(_xlpm.k,IFERROR(INDEX(_xlfn.ANCHORARRAY($BH$8),8),0),_xlpm.t,_xlfn.ANCHORARRAY($AC$8),_xlpm.i,_xlpm.k,IF(_xlpm.k=0,"",IFERROR("z "&amp;anSgn(INDEX(_xlpm.t,_xlpm.i,6),1),"")))</f>
        <v/>
      </c>
      <c r="D26" s="298"/>
      <c r="E26" s="298" t="str" cm="1">
        <f t="array" ref="E26">_xlfn.LET(_xlpm.k,IFERROR(INDEX(_xlfn.ANCHORARRAY($BH$8),8),0),_xlpm.t,_xlfn.ANCHORARRAY($AC$8),_xlpm.i,_xlpm.k,IF(_xlpm.k=0,"",IFERROR("z "&amp;anSgn(INDEX(_xlpm.t,_xlpm.i,8),1),"")))</f>
        <v/>
      </c>
      <c r="F26" s="298"/>
      <c r="G26" s="298" t="str" cm="1">
        <f t="array" ref="G26">_xlfn.LET(_xlpm.k,IFERROR(INDEX(_xlfn.ANCHORARRAY($BH$8),8),0),_xlpm.t,_xlfn.ANCHORARRAY($AC$8),_xlpm.i,_xlpm.k,IF(_xlpm.k=0,"",IFERROR("z "&amp;anSgn(INDEX(_xlpm.t,_xlpm.i,10),1),"")))</f>
        <v/>
      </c>
      <c r="H26" s="298"/>
      <c r="I26" s="298" t="str" cm="1">
        <f t="array" ref="I26">_xlfn.LET(_xlpm.k,IFERROR(INDEX(_xlfn.ANCHORARRAY($BH$8),8),0),_xlpm.t,_xlfn.ANCHORARRAY($AC$8),_xlpm.i,_xlpm.k,IF(_xlpm.k=0,"",IFERROR(anSgn(INDEX(_xlpm.t,_xlpm.i,12),1)&amp;"σ","")))</f>
        <v/>
      </c>
      <c r="J26" s="298"/>
      <c r="K26" s="298" t="str" cm="1">
        <f t="array" ref="K26">_xlfn.LET(_xlpm.k,IFERROR(INDEX(_xlfn.ANCHORARRAY($BH$8),8),0),_xlpm.t,_xlfn.ANCHORARRAY($AC$8),_xlpm.i,_xlpm.k,IF(_xlpm.k=0,"",IFERROR("S "&amp;anNum(INDEX(_xlpm.t,_xlpm.i,14),1),"")))</f>
        <v/>
      </c>
      <c r="L26" s="298"/>
      <c r="M26" s="298" t="str" cm="1">
        <f t="array" ref="M26">_xlfn.LET(_xlpm.k,IFERROR(INDEX(_xlfn.ANCHORARRAY($BH$8),8),0),_xlpm.t,_xlfn.ANCHORARRAY($AC$8),_xlpm.i,_xlpm.k,IF(_xlpm.k=0,"",IFERROR(anPct(INDEX(_xlpm.t,_xlpm.i,16),1)&amp;IFERROR(" (z "&amp;anSgn(INDEX(_xlpm.t,_xlpm.i,17),1)&amp;")",""),"")))</f>
        <v/>
      </c>
      <c r="N26" s="298"/>
      <c r="O26" s="298" t="str" cm="1">
        <f t="array" ref="O26">_xlfn.LET(_xlpm.k,IFERROR(INDEX(_xlfn.ANCHORARRAY($BH$8),8),0),_xlpm.t,_xlfn.ANCHORARRAY($AC$8),_xlpm.i,_xlpm.k,IF(_xlpm.k=0,"",IFERROR(anPct(INDEX(_xlpm.t,_xlpm.i,19),1)&amp;IFERROR(" (z "&amp;anSgn(INDEX(_xlpm.t,_xlpm.i,20),1)&amp;")",""),"")))</f>
        <v/>
      </c>
      <c r="P26" s="298"/>
      <c r="Q26" s="298" t="str" cm="1">
        <f t="array" ref="Q26">_xlfn.LET(_xlpm.k,IFERROR(INDEX(_xlfn.ANCHORARRAY($BH$8),8),0),_xlpm.t,_xlfn.ANCHORARRAY($AC$8),_xlpm.i,_xlpm.k,IF(_xlpm.k=0,"",IFERROR("MAD "&amp;anNum(INDEX(_xlpm.t,_xlpm.i,22),4),"n "&amp;anNum(INDEX(_xlpm.t,_xlpm.i,28),0))))</f>
        <v/>
      </c>
      <c r="R26" s="298"/>
      <c r="S26" s="298" t="str" cm="1">
        <f t="array" ref="S26">_xlfn.LET(_xlpm.k,IFERROR(INDEX(_xlfn.ANCHORARRAY($BH$8),8),0),_xlpm.t,_xlfn.ANCHORARRAY($AC$8),_xlpm.i,_xlpm.k,IF(_xlpm.k=0,"",IFERROR("PSI "&amp;anNum(INDEX(_xlpm.t,_xlpm.i,25),3),"")))</f>
        <v/>
      </c>
      <c r="T26" s="298"/>
    </row>
    <row r="27" spans="2:59" ht="17.100000000000001" customHeight="1">
      <c r="B27" s="299" t="str" cm="1">
        <f t="array" ref="B27">_xlfn.LET(_xlpm.k,IFERROR(INDEX(_xlfn.ANCHORARRAY($BH$8),9),0),IF(_xlpm.k=0,"",INDEX(_xlfn.ANCHORARRAY($AC$8),_xlpm.k,1)))</f>
        <v/>
      </c>
      <c r="C27" s="297" t="str" cm="1">
        <f t="array" ref="C27">_xlfn.LET(_xlpm.k,IFERROR(INDEX(_xlfn.ANCHORARRAY($BH$8),9),0),IF(_xlpm.k=0,"",INDEX(_xlfn.ANCHORARRAY($AC$8),_xlpm.k,7)))</f>
        <v/>
      </c>
      <c r="D27" s="297"/>
      <c r="E27" s="297" t="str" cm="1">
        <f t="array" ref="E27">_xlfn.LET(_xlpm.k,IFERROR(INDEX(_xlfn.ANCHORARRAY($BH$8),9),0),IF(_xlpm.k=0,"",INDEX(_xlfn.ANCHORARRAY($AC$8),_xlpm.k,9)))</f>
        <v/>
      </c>
      <c r="F27" s="297"/>
      <c r="G27" s="297" t="str" cm="1">
        <f t="array" ref="G27">_xlfn.LET(_xlpm.k,IFERROR(INDEX(_xlfn.ANCHORARRAY($BH$8),9),0),IF(_xlpm.k=0,"",INDEX(_xlfn.ANCHORARRAY($AC$8),_xlpm.k,11)))</f>
        <v/>
      </c>
      <c r="H27" s="297"/>
      <c r="I27" s="297" t="str" cm="1">
        <f t="array" ref="I27">_xlfn.LET(_xlpm.k,IFERROR(INDEX(_xlfn.ANCHORARRAY($BH$8),9),0),IF(_xlpm.k=0,"",INDEX(_xlfn.ANCHORARRAY($AC$8),_xlpm.k,13)))</f>
        <v/>
      </c>
      <c r="J27" s="297"/>
      <c r="K27" s="297" t="str" cm="1">
        <f t="array" ref="K27">_xlfn.LET(_xlpm.k,IFERROR(INDEX(_xlfn.ANCHORARRAY($BH$8),9),0),IF(_xlpm.k=0,"",INDEX(_xlfn.ANCHORARRAY($AC$8),_xlpm.k,15)))</f>
        <v/>
      </c>
      <c r="L27" s="297"/>
      <c r="M27" s="297" t="str" cm="1">
        <f t="array" ref="M27">_xlfn.LET(_xlpm.k,IFERROR(INDEX(_xlfn.ANCHORARRAY($BH$8),9),0),IF(_xlpm.k=0,"",INDEX(_xlfn.ANCHORARRAY($AC$8),_xlpm.k,18)))</f>
        <v/>
      </c>
      <c r="N27" s="297"/>
      <c r="O27" s="297" t="str" cm="1">
        <f t="array" ref="O27">_xlfn.LET(_xlpm.k,IFERROR(INDEX(_xlfn.ANCHORARRAY($BH$8),9),0),IF(_xlpm.k=0,"",INDEX(_xlfn.ANCHORARRAY($AC$8),_xlpm.k,21)))</f>
        <v/>
      </c>
      <c r="P27" s="297"/>
      <c r="Q27" s="297" t="str" cm="1">
        <f t="array" ref="Q27">_xlfn.LET(_xlpm.k,IFERROR(INDEX(_xlfn.ANCHORARRAY($BH$8),9),0),IF(_xlpm.k=0,"",INDEX(_xlfn.ANCHORARRAY($AC$8),_xlpm.k,24)))</f>
        <v/>
      </c>
      <c r="R27" s="297"/>
      <c r="S27" s="297" t="str" cm="1">
        <f t="array" ref="S27">_xlfn.LET(_xlpm.k,IFERROR(INDEX(_xlfn.ANCHORARRAY($BH$8),9),0),IF(_xlpm.k=0,"",INDEX(_xlfn.ANCHORARRAY($AC$8),_xlpm.k,26)))</f>
        <v/>
      </c>
      <c r="T27" s="297"/>
    </row>
    <row r="28" spans="2:59" ht="9.9499999999999993" customHeight="1">
      <c r="B28" s="300"/>
      <c r="C28" s="298" t="str" cm="1">
        <f t="array" ref="C28">_xlfn.LET(_xlpm.k,IFERROR(INDEX(_xlfn.ANCHORARRAY($BH$8),9),0),_xlpm.t,_xlfn.ANCHORARRAY($AC$8),_xlpm.i,_xlpm.k,IF(_xlpm.k=0,"",IFERROR("z "&amp;anSgn(INDEX(_xlpm.t,_xlpm.i,6),1),"")))</f>
        <v/>
      </c>
      <c r="D28" s="298"/>
      <c r="E28" s="298" t="str" cm="1">
        <f t="array" ref="E28">_xlfn.LET(_xlpm.k,IFERROR(INDEX(_xlfn.ANCHORARRAY($BH$8),9),0),_xlpm.t,_xlfn.ANCHORARRAY($AC$8),_xlpm.i,_xlpm.k,IF(_xlpm.k=0,"",IFERROR("z "&amp;anSgn(INDEX(_xlpm.t,_xlpm.i,8),1),"")))</f>
        <v/>
      </c>
      <c r="F28" s="298"/>
      <c r="G28" s="298" t="str" cm="1">
        <f t="array" ref="G28">_xlfn.LET(_xlpm.k,IFERROR(INDEX(_xlfn.ANCHORARRAY($BH$8),9),0),_xlpm.t,_xlfn.ANCHORARRAY($AC$8),_xlpm.i,_xlpm.k,IF(_xlpm.k=0,"",IFERROR("z "&amp;anSgn(INDEX(_xlpm.t,_xlpm.i,10),1),"")))</f>
        <v/>
      </c>
      <c r="H28" s="298"/>
      <c r="I28" s="298" t="str" cm="1">
        <f t="array" ref="I28">_xlfn.LET(_xlpm.k,IFERROR(INDEX(_xlfn.ANCHORARRAY($BH$8),9),0),_xlpm.t,_xlfn.ANCHORARRAY($AC$8),_xlpm.i,_xlpm.k,IF(_xlpm.k=0,"",IFERROR(anSgn(INDEX(_xlpm.t,_xlpm.i,12),1)&amp;"σ","")))</f>
        <v/>
      </c>
      <c r="J28" s="298"/>
      <c r="K28" s="298" t="str" cm="1">
        <f t="array" ref="K28">_xlfn.LET(_xlpm.k,IFERROR(INDEX(_xlfn.ANCHORARRAY($BH$8),9),0),_xlpm.t,_xlfn.ANCHORARRAY($AC$8),_xlpm.i,_xlpm.k,IF(_xlpm.k=0,"",IFERROR("S "&amp;anNum(INDEX(_xlpm.t,_xlpm.i,14),1),"")))</f>
        <v/>
      </c>
      <c r="L28" s="298"/>
      <c r="M28" s="298" t="str" cm="1">
        <f t="array" ref="M28">_xlfn.LET(_xlpm.k,IFERROR(INDEX(_xlfn.ANCHORARRAY($BH$8),9),0),_xlpm.t,_xlfn.ANCHORARRAY($AC$8),_xlpm.i,_xlpm.k,IF(_xlpm.k=0,"",IFERROR(anPct(INDEX(_xlpm.t,_xlpm.i,16),1)&amp;IFERROR(" (z "&amp;anSgn(INDEX(_xlpm.t,_xlpm.i,17),1)&amp;")",""),"")))</f>
        <v/>
      </c>
      <c r="N28" s="298"/>
      <c r="O28" s="298" t="str" cm="1">
        <f t="array" ref="O28">_xlfn.LET(_xlpm.k,IFERROR(INDEX(_xlfn.ANCHORARRAY($BH$8),9),0),_xlpm.t,_xlfn.ANCHORARRAY($AC$8),_xlpm.i,_xlpm.k,IF(_xlpm.k=0,"",IFERROR(anPct(INDEX(_xlpm.t,_xlpm.i,19),1)&amp;IFERROR(" (z "&amp;anSgn(INDEX(_xlpm.t,_xlpm.i,20),1)&amp;")",""),"")))</f>
        <v/>
      </c>
      <c r="P28" s="298"/>
      <c r="Q28" s="298" t="str" cm="1">
        <f t="array" ref="Q28">_xlfn.LET(_xlpm.k,IFERROR(INDEX(_xlfn.ANCHORARRAY($BH$8),9),0),_xlpm.t,_xlfn.ANCHORARRAY($AC$8),_xlpm.i,_xlpm.k,IF(_xlpm.k=0,"",IFERROR("MAD "&amp;anNum(INDEX(_xlpm.t,_xlpm.i,22),4),"n "&amp;anNum(INDEX(_xlpm.t,_xlpm.i,28),0))))</f>
        <v/>
      </c>
      <c r="R28" s="298"/>
      <c r="S28" s="298" t="str" cm="1">
        <f t="array" ref="S28">_xlfn.LET(_xlpm.k,IFERROR(INDEX(_xlfn.ANCHORARRAY($BH$8),9),0),_xlpm.t,_xlfn.ANCHORARRAY($AC$8),_xlpm.i,_xlpm.k,IF(_xlpm.k=0,"",IFERROR("PSI "&amp;anNum(INDEX(_xlpm.t,_xlpm.i,25),3),"")))</f>
        <v/>
      </c>
      <c r="T28" s="298"/>
    </row>
    <row r="29" spans="2:59" ht="17.100000000000001" customHeight="1">
      <c r="B29" s="299" t="str" cm="1">
        <f t="array" ref="B29">_xlfn.LET(_xlpm.k,IFERROR(INDEX(_xlfn.ANCHORARRAY($BH$8),10),0),IF(_xlpm.k=0,"",INDEX(_xlfn.ANCHORARRAY($AC$8),_xlpm.k,1)))</f>
        <v/>
      </c>
      <c r="C29" s="297" t="str" cm="1">
        <f t="array" ref="C29">_xlfn.LET(_xlpm.k,IFERROR(INDEX(_xlfn.ANCHORARRAY($BH$8),10),0),IF(_xlpm.k=0,"",INDEX(_xlfn.ANCHORARRAY($AC$8),_xlpm.k,7)))</f>
        <v/>
      </c>
      <c r="D29" s="297"/>
      <c r="E29" s="297" t="str" cm="1">
        <f t="array" ref="E29">_xlfn.LET(_xlpm.k,IFERROR(INDEX(_xlfn.ANCHORARRAY($BH$8),10),0),IF(_xlpm.k=0,"",INDEX(_xlfn.ANCHORARRAY($AC$8),_xlpm.k,9)))</f>
        <v/>
      </c>
      <c r="F29" s="297"/>
      <c r="G29" s="297" t="str" cm="1">
        <f t="array" ref="G29">_xlfn.LET(_xlpm.k,IFERROR(INDEX(_xlfn.ANCHORARRAY($BH$8),10),0),IF(_xlpm.k=0,"",INDEX(_xlfn.ANCHORARRAY($AC$8),_xlpm.k,11)))</f>
        <v/>
      </c>
      <c r="H29" s="297"/>
      <c r="I29" s="297" t="str" cm="1">
        <f t="array" ref="I29">_xlfn.LET(_xlpm.k,IFERROR(INDEX(_xlfn.ANCHORARRAY($BH$8),10),0),IF(_xlpm.k=0,"",INDEX(_xlfn.ANCHORARRAY($AC$8),_xlpm.k,13)))</f>
        <v/>
      </c>
      <c r="J29" s="297"/>
      <c r="K29" s="297" t="str" cm="1">
        <f t="array" ref="K29">_xlfn.LET(_xlpm.k,IFERROR(INDEX(_xlfn.ANCHORARRAY($BH$8),10),0),IF(_xlpm.k=0,"",INDEX(_xlfn.ANCHORARRAY($AC$8),_xlpm.k,15)))</f>
        <v/>
      </c>
      <c r="L29" s="297"/>
      <c r="M29" s="297" t="str" cm="1">
        <f t="array" ref="M29">_xlfn.LET(_xlpm.k,IFERROR(INDEX(_xlfn.ANCHORARRAY($BH$8),10),0),IF(_xlpm.k=0,"",INDEX(_xlfn.ANCHORARRAY($AC$8),_xlpm.k,18)))</f>
        <v/>
      </c>
      <c r="N29" s="297"/>
      <c r="O29" s="297" t="str" cm="1">
        <f t="array" ref="O29">_xlfn.LET(_xlpm.k,IFERROR(INDEX(_xlfn.ANCHORARRAY($BH$8),10),0),IF(_xlpm.k=0,"",INDEX(_xlfn.ANCHORARRAY($AC$8),_xlpm.k,21)))</f>
        <v/>
      </c>
      <c r="P29" s="297"/>
      <c r="Q29" s="297" t="str" cm="1">
        <f t="array" ref="Q29">_xlfn.LET(_xlpm.k,IFERROR(INDEX(_xlfn.ANCHORARRAY($BH$8),10),0),IF(_xlpm.k=0,"",INDEX(_xlfn.ANCHORARRAY($AC$8),_xlpm.k,24)))</f>
        <v/>
      </c>
      <c r="R29" s="297"/>
      <c r="S29" s="297" t="str" cm="1">
        <f t="array" ref="S29">_xlfn.LET(_xlpm.k,IFERROR(INDEX(_xlfn.ANCHORARRAY($BH$8),10),0),IF(_xlpm.k=0,"",INDEX(_xlfn.ANCHORARRAY($AC$8),_xlpm.k,26)))</f>
        <v/>
      </c>
      <c r="T29" s="297"/>
    </row>
    <row r="30" spans="2:59" ht="9.9499999999999993" customHeight="1">
      <c r="B30" s="300"/>
      <c r="C30" s="298" t="str" cm="1">
        <f t="array" ref="C30">_xlfn.LET(_xlpm.k,IFERROR(INDEX(_xlfn.ANCHORARRAY($BH$8),10),0),_xlpm.t,_xlfn.ANCHORARRAY($AC$8),_xlpm.i,_xlpm.k,IF(_xlpm.k=0,"",IFERROR("z "&amp;anSgn(INDEX(_xlpm.t,_xlpm.i,6),1),"")))</f>
        <v/>
      </c>
      <c r="D30" s="298"/>
      <c r="E30" s="298" t="str" cm="1">
        <f t="array" ref="E30">_xlfn.LET(_xlpm.k,IFERROR(INDEX(_xlfn.ANCHORARRAY($BH$8),10),0),_xlpm.t,_xlfn.ANCHORARRAY($AC$8),_xlpm.i,_xlpm.k,IF(_xlpm.k=0,"",IFERROR("z "&amp;anSgn(INDEX(_xlpm.t,_xlpm.i,8),1),"")))</f>
        <v/>
      </c>
      <c r="F30" s="298"/>
      <c r="G30" s="298" t="str" cm="1">
        <f t="array" ref="G30">_xlfn.LET(_xlpm.k,IFERROR(INDEX(_xlfn.ANCHORARRAY($BH$8),10),0),_xlpm.t,_xlfn.ANCHORARRAY($AC$8),_xlpm.i,_xlpm.k,IF(_xlpm.k=0,"",IFERROR("z "&amp;anSgn(INDEX(_xlpm.t,_xlpm.i,10),1),"")))</f>
        <v/>
      </c>
      <c r="H30" s="298"/>
      <c r="I30" s="298" t="str" cm="1">
        <f t="array" ref="I30">_xlfn.LET(_xlpm.k,IFERROR(INDEX(_xlfn.ANCHORARRAY($BH$8),10),0),_xlpm.t,_xlfn.ANCHORARRAY($AC$8),_xlpm.i,_xlpm.k,IF(_xlpm.k=0,"",IFERROR(anSgn(INDEX(_xlpm.t,_xlpm.i,12),1)&amp;"σ","")))</f>
        <v/>
      </c>
      <c r="J30" s="298"/>
      <c r="K30" s="298" t="str" cm="1">
        <f t="array" ref="K30">_xlfn.LET(_xlpm.k,IFERROR(INDEX(_xlfn.ANCHORARRAY($BH$8),10),0),_xlpm.t,_xlfn.ANCHORARRAY($AC$8),_xlpm.i,_xlpm.k,IF(_xlpm.k=0,"",IFERROR("S "&amp;anNum(INDEX(_xlpm.t,_xlpm.i,14),1),"")))</f>
        <v/>
      </c>
      <c r="L30" s="298"/>
      <c r="M30" s="298" t="str" cm="1">
        <f t="array" ref="M30">_xlfn.LET(_xlpm.k,IFERROR(INDEX(_xlfn.ANCHORARRAY($BH$8),10),0),_xlpm.t,_xlfn.ANCHORARRAY($AC$8),_xlpm.i,_xlpm.k,IF(_xlpm.k=0,"",IFERROR(anPct(INDEX(_xlpm.t,_xlpm.i,16),1)&amp;IFERROR(" (z "&amp;anSgn(INDEX(_xlpm.t,_xlpm.i,17),1)&amp;")",""),"")))</f>
        <v/>
      </c>
      <c r="N30" s="298"/>
      <c r="O30" s="298" t="str" cm="1">
        <f t="array" ref="O30">_xlfn.LET(_xlpm.k,IFERROR(INDEX(_xlfn.ANCHORARRAY($BH$8),10),0),_xlpm.t,_xlfn.ANCHORARRAY($AC$8),_xlpm.i,_xlpm.k,IF(_xlpm.k=0,"",IFERROR(anPct(INDEX(_xlpm.t,_xlpm.i,19),1)&amp;IFERROR(" (z "&amp;anSgn(INDEX(_xlpm.t,_xlpm.i,20),1)&amp;")",""),"")))</f>
        <v/>
      </c>
      <c r="P30" s="298"/>
      <c r="Q30" s="298" t="str" cm="1">
        <f t="array" ref="Q30">_xlfn.LET(_xlpm.k,IFERROR(INDEX(_xlfn.ANCHORARRAY($BH$8),10),0),_xlpm.t,_xlfn.ANCHORARRAY($AC$8),_xlpm.i,_xlpm.k,IF(_xlpm.k=0,"",IFERROR("MAD "&amp;anNum(INDEX(_xlpm.t,_xlpm.i,22),4),"n "&amp;anNum(INDEX(_xlpm.t,_xlpm.i,28),0))))</f>
        <v/>
      </c>
      <c r="R30" s="298"/>
      <c r="S30" s="298" t="str" cm="1">
        <f t="array" ref="S30">_xlfn.LET(_xlpm.k,IFERROR(INDEX(_xlfn.ANCHORARRAY($BH$8),10),0),_xlpm.t,_xlfn.ANCHORARRAY($AC$8),_xlpm.i,_xlpm.k,IF(_xlpm.k=0,"",IFERROR("PSI "&amp;anNum(INDEX(_xlpm.t,_xlpm.i,25),3),"")))</f>
        <v/>
      </c>
      <c r="T30" s="298"/>
    </row>
    <row r="31" spans="2:59">
      <c r="B31" s="295" t="str">
        <f>IF($AB$2&gt;10,"+"&amp;($AB$2-10)&amp;" "&amp;_xlfn.XLOOKUP("AN_ANO_COMPANIES",tblUIText[Key],tblUIText[TR],"AN_ANO_COMPANIES")&amp;" / "&amp;_xlfn.XLOOKUP("AN_ANO_COMPANIES",tblUIText[Key],tblUIText[EN],"")&amp;": AN_Watchlist","")</f>
        <v/>
      </c>
      <c r="C31" s="295"/>
      <c r="D31" s="295"/>
      <c r="E31" s="295"/>
      <c r="F31" s="295"/>
      <c r="G31" s="295"/>
      <c r="H31" s="295"/>
      <c r="I31" s="295"/>
      <c r="J31" s="295"/>
      <c r="K31" s="295"/>
      <c r="L31" s="295"/>
      <c r="M31" s="295"/>
      <c r="N31" s="295"/>
      <c r="O31" s="295"/>
      <c r="P31" s="295"/>
      <c r="Q31" s="295"/>
      <c r="R31" s="295"/>
      <c r="S31" s="295"/>
      <c r="T31" s="295"/>
    </row>
    <row r="32" spans="2:59" ht="12.95" customHeight="1">
      <c r="B32" s="127" t="str">
        <f>_xlfn.XLOOKUP("AN_ANO_DETAIL",tblUIText[Key],tblUIText[TR],"AN_ANO_DETAIL")&amp;" / "&amp;_xlfn.XLOOKUP("AN_ANO_DETAIL",tblUIText[Key],tblUIText[EN],"")</f>
        <v>Ayrıntı: seçilen şirket / Detail: selected company</v>
      </c>
      <c r="H32" s="296" t="str">
        <f>_xlfn.XLOOKUP("AN_ANO_NOTE",tblUIText[Key],tblUIText[TR],"AN_ANO_NOTE")&amp;" / "&amp;_xlfn.XLOOKUP("AN_ANO_NOTE",tblUIText[Key],tblUIText[EN],"")</f>
        <v>Eşikler taslaktır (DRAFT). Benford ve PSI bantları yayımlanmış sabit değerlerdir: sahibi onaylayana kadar durumları yer tutucudur (*). İstatistiksel sinyal bir hatanın kanıtı değildir: önce kaynak dosyaya ve kontrol paneline bakın. / Levels are DRAFT. The Benford and PSI bands are published fixed values: until the owner approves them their statuses are placeholders (*). A statistical signal is not proof of an error: check the source file and the control panel first.</v>
      </c>
      <c r="I32" s="296"/>
      <c r="J32" s="296"/>
      <c r="K32" s="296"/>
      <c r="L32" s="296"/>
      <c r="M32" s="296"/>
      <c r="N32" s="296"/>
      <c r="O32" s="296"/>
      <c r="P32" s="296"/>
      <c r="Q32" s="296"/>
      <c r="R32" s="296"/>
      <c r="S32" s="296"/>
      <c r="T32" s="296"/>
    </row>
    <row r="33" spans="2:20" ht="21.95" customHeight="1">
      <c r="B33" s="198" t="str">
        <f>_xlfn.XLOOKUP("AN_LBL_COMPANY",tblUIText[Key],tblUIText[TR],"AN_LBL_COMPANY")&amp;" / "&amp;_xlfn.XLOOKUP("AN_LBL_COMPANY",tblUIText[Key],tblUIText[EN],"")</f>
        <v>Şirket / Company</v>
      </c>
      <c r="C33" s="287"/>
      <c r="D33" s="275"/>
      <c r="H33" s="296"/>
      <c r="I33" s="296"/>
      <c r="J33" s="296"/>
      <c r="K33" s="296"/>
      <c r="L33" s="296"/>
      <c r="M33" s="296"/>
      <c r="N33" s="296"/>
      <c r="O33" s="296"/>
      <c r="P33" s="296"/>
      <c r="Q33" s="296"/>
      <c r="R33" s="296"/>
      <c r="S33" s="296"/>
      <c r="T33" s="296"/>
    </row>
    <row r="34" spans="2:20" ht="12.95" customHeight="1">
      <c r="H34" s="296"/>
      <c r="I34" s="296"/>
      <c r="J34" s="296"/>
      <c r="K34" s="296"/>
      <c r="L34" s="296"/>
      <c r="M34" s="296"/>
      <c r="N34" s="296"/>
      <c r="O34" s="296"/>
      <c r="P34" s="296"/>
      <c r="Q34" s="296"/>
      <c r="R34" s="296"/>
      <c r="S34" s="296"/>
      <c r="T34" s="296"/>
    </row>
    <row r="52" spans="2:20" ht="18" customHeight="1">
      <c r="B52" s="284" t="str">
        <f>_xlfn.XLOOKUP("AN_FOOT_ANOMALY",tblUIText[Key],tblUIText[TR],"AN_FOOT_ANOMALY")&amp;" / "&amp;_xlfn.XLOOKUP("AN_FOOT_ANOMALY",tblUIText[Key],tblUIText[EN],"")</f>
        <v>Yöntem: dayanıklı z = (ln x − medyan) / (1,4826 × MAD), cari aydan önceki en çok 24 ay; X-mR merkez = log ödenen ortalaması, σ = ortalama hareketli aralık / 1,128; CUSUM k = 0,5σ, taban = 12 ay; paylarda alt sınır binom standart hatası; Benford MAD (Nigrini), PSI (satır sayısı, önceki 12 ay). Kayıp, rezerv veya frekans sonucu çıkarılmaz. / Method: robust z = (ln x − median) / (1.4826 × MAD) over up to 24 months before the current one; X-mR centre = mean of log paid, σ = mean moving range / 1.128; CUSUM k = 0.5σ, baseline 12 months; shares floored at the binomial standard error; Benford MAD (Nigrini), PSI (line counts, the 12 months before). No loss, reserve or frequency conclusion is drawn.</v>
      </c>
      <c r="C52" s="284"/>
      <c r="D52" s="284"/>
      <c r="E52" s="284"/>
      <c r="F52" s="284"/>
      <c r="G52" s="284"/>
      <c r="H52" s="284"/>
      <c r="I52" s="284"/>
      <c r="J52" s="284"/>
      <c r="K52" s="284"/>
      <c r="L52" s="284"/>
      <c r="M52" s="284"/>
      <c r="N52" s="284"/>
      <c r="O52" s="284"/>
      <c r="P52" s="284"/>
      <c r="Q52" s="284"/>
      <c r="R52" s="284"/>
      <c r="S52" s="284"/>
      <c r="T52" s="284"/>
    </row>
    <row r="53" spans="2:20" ht="18" customHeight="1">
      <c r="B53" s="284"/>
      <c r="C53" s="284"/>
      <c r="D53" s="284"/>
      <c r="E53" s="284"/>
      <c r="F53" s="284"/>
      <c r="G53" s="284"/>
      <c r="H53" s="284"/>
      <c r="I53" s="284"/>
      <c r="J53" s="284"/>
      <c r="K53" s="284"/>
      <c r="L53" s="284"/>
      <c r="M53" s="284"/>
      <c r="N53" s="284"/>
      <c r="O53" s="284"/>
      <c r="P53" s="284"/>
      <c r="Q53" s="284"/>
      <c r="R53" s="284"/>
      <c r="S53" s="284"/>
      <c r="T53" s="284"/>
    </row>
  </sheetData>
  <sheetProtection algorithmName="SHA-512" hashValue="ASaWuSE6lDqeBuuPZuaWwhjtjSq7bNqzql3JYVguTLDZtrkC0/eBYtYGVtgp99CxIh19gWRte3macg4wUFsq5A==" saltValue="uLHhkqBGpD0GgFY0o/WQOA==" spinCount="100000" sheet="1" scenarios="1" formatColumns="0" sort="0" autoFilter="0"/>
  <mergeCells count="207">
    <mergeCell ref="C5:D5"/>
    <mergeCell ref="J5:K5"/>
    <mergeCell ref="B4:T4"/>
    <mergeCell ref="B6:T6"/>
    <mergeCell ref="C10:D10"/>
    <mergeCell ref="E10:F10"/>
    <mergeCell ref="G10:H10"/>
    <mergeCell ref="I10:J10"/>
    <mergeCell ref="K10:L10"/>
    <mergeCell ref="M10:N10"/>
    <mergeCell ref="O10:P10"/>
    <mergeCell ref="Q10:R10"/>
    <mergeCell ref="S10:T10"/>
    <mergeCell ref="B11:B12"/>
    <mergeCell ref="C11:D11"/>
    <mergeCell ref="C12:D12"/>
    <mergeCell ref="E11:F11"/>
    <mergeCell ref="E12:F12"/>
    <mergeCell ref="G11:H11"/>
    <mergeCell ref="G12:H12"/>
    <mergeCell ref="O11:P11"/>
    <mergeCell ref="O12:P12"/>
    <mergeCell ref="Q11:R11"/>
    <mergeCell ref="Q12:R12"/>
    <mergeCell ref="S11:T11"/>
    <mergeCell ref="S12:T12"/>
    <mergeCell ref="I11:J11"/>
    <mergeCell ref="I12:J12"/>
    <mergeCell ref="K11:L11"/>
    <mergeCell ref="K12:L12"/>
    <mergeCell ref="M11:N11"/>
    <mergeCell ref="M12:N12"/>
    <mergeCell ref="Q13:R13"/>
    <mergeCell ref="Q14:R14"/>
    <mergeCell ref="S13:T13"/>
    <mergeCell ref="S14:T14"/>
    <mergeCell ref="I13:J13"/>
    <mergeCell ref="I14:J14"/>
    <mergeCell ref="K13:L13"/>
    <mergeCell ref="K14:L14"/>
    <mergeCell ref="M13:N13"/>
    <mergeCell ref="M14:N14"/>
    <mergeCell ref="B15:B16"/>
    <mergeCell ref="C15:D15"/>
    <mergeCell ref="C16:D16"/>
    <mergeCell ref="E15:F15"/>
    <mergeCell ref="E16:F16"/>
    <mergeCell ref="G15:H15"/>
    <mergeCell ref="G16:H16"/>
    <mergeCell ref="O13:P13"/>
    <mergeCell ref="O14:P14"/>
    <mergeCell ref="B13:B14"/>
    <mergeCell ref="C13:D13"/>
    <mergeCell ref="C14:D14"/>
    <mergeCell ref="E13:F13"/>
    <mergeCell ref="E14:F14"/>
    <mergeCell ref="G13:H13"/>
    <mergeCell ref="G14:H14"/>
    <mergeCell ref="O15:P15"/>
    <mergeCell ref="O16:P16"/>
    <mergeCell ref="Q15:R15"/>
    <mergeCell ref="Q16:R16"/>
    <mergeCell ref="S15:T15"/>
    <mergeCell ref="S16:T16"/>
    <mergeCell ref="I15:J15"/>
    <mergeCell ref="I16:J16"/>
    <mergeCell ref="K15:L15"/>
    <mergeCell ref="K16:L16"/>
    <mergeCell ref="M15:N15"/>
    <mergeCell ref="M16:N16"/>
    <mergeCell ref="Q17:R17"/>
    <mergeCell ref="Q18:R18"/>
    <mergeCell ref="S17:T17"/>
    <mergeCell ref="S18:T18"/>
    <mergeCell ref="I17:J17"/>
    <mergeCell ref="I18:J18"/>
    <mergeCell ref="K17:L17"/>
    <mergeCell ref="K18:L18"/>
    <mergeCell ref="M17:N17"/>
    <mergeCell ref="M18:N18"/>
    <mergeCell ref="B19:B20"/>
    <mergeCell ref="C19:D19"/>
    <mergeCell ref="C20:D20"/>
    <mergeCell ref="E19:F19"/>
    <mergeCell ref="E20:F20"/>
    <mergeCell ref="G19:H19"/>
    <mergeCell ref="G20:H20"/>
    <mergeCell ref="O17:P17"/>
    <mergeCell ref="O18:P18"/>
    <mergeCell ref="B17:B18"/>
    <mergeCell ref="C17:D17"/>
    <mergeCell ref="C18:D18"/>
    <mergeCell ref="E17:F17"/>
    <mergeCell ref="E18:F18"/>
    <mergeCell ref="G17:H17"/>
    <mergeCell ref="G18:H18"/>
    <mergeCell ref="O19:P19"/>
    <mergeCell ref="O20:P20"/>
    <mergeCell ref="Q19:R19"/>
    <mergeCell ref="Q20:R20"/>
    <mergeCell ref="S19:T19"/>
    <mergeCell ref="S20:T20"/>
    <mergeCell ref="I19:J19"/>
    <mergeCell ref="I20:J20"/>
    <mergeCell ref="K19:L19"/>
    <mergeCell ref="K20:L20"/>
    <mergeCell ref="M19:N19"/>
    <mergeCell ref="M20:N20"/>
    <mergeCell ref="Q21:R21"/>
    <mergeCell ref="Q22:R22"/>
    <mergeCell ref="S21:T21"/>
    <mergeCell ref="S22:T22"/>
    <mergeCell ref="I21:J21"/>
    <mergeCell ref="I22:J22"/>
    <mergeCell ref="K21:L21"/>
    <mergeCell ref="K22:L22"/>
    <mergeCell ref="M21:N21"/>
    <mergeCell ref="M22:N22"/>
    <mergeCell ref="B23:B24"/>
    <mergeCell ref="C23:D23"/>
    <mergeCell ref="C24:D24"/>
    <mergeCell ref="E23:F23"/>
    <mergeCell ref="E24:F24"/>
    <mergeCell ref="G23:H23"/>
    <mergeCell ref="G24:H24"/>
    <mergeCell ref="O21:P21"/>
    <mergeCell ref="O22:P22"/>
    <mergeCell ref="B21:B22"/>
    <mergeCell ref="C21:D21"/>
    <mergeCell ref="C22:D22"/>
    <mergeCell ref="E21:F21"/>
    <mergeCell ref="E22:F22"/>
    <mergeCell ref="G21:H21"/>
    <mergeCell ref="G22:H22"/>
    <mergeCell ref="O23:P23"/>
    <mergeCell ref="O24:P24"/>
    <mergeCell ref="Q23:R23"/>
    <mergeCell ref="Q24:R24"/>
    <mergeCell ref="S23:T23"/>
    <mergeCell ref="S24:T24"/>
    <mergeCell ref="I23:J23"/>
    <mergeCell ref="I24:J24"/>
    <mergeCell ref="K23:L23"/>
    <mergeCell ref="K24:L24"/>
    <mergeCell ref="M23:N23"/>
    <mergeCell ref="M24:N24"/>
    <mergeCell ref="Q25:R25"/>
    <mergeCell ref="Q26:R26"/>
    <mergeCell ref="S25:T25"/>
    <mergeCell ref="S26:T26"/>
    <mergeCell ref="I25:J25"/>
    <mergeCell ref="I26:J26"/>
    <mergeCell ref="K25:L25"/>
    <mergeCell ref="K26:L26"/>
    <mergeCell ref="M25:N25"/>
    <mergeCell ref="M26:N26"/>
    <mergeCell ref="B27:B28"/>
    <mergeCell ref="C27:D27"/>
    <mergeCell ref="C28:D28"/>
    <mergeCell ref="E27:F27"/>
    <mergeCell ref="E28:F28"/>
    <mergeCell ref="G27:H27"/>
    <mergeCell ref="G28:H28"/>
    <mergeCell ref="O25:P25"/>
    <mergeCell ref="O26:P26"/>
    <mergeCell ref="B25:B26"/>
    <mergeCell ref="C25:D25"/>
    <mergeCell ref="C26:D26"/>
    <mergeCell ref="E25:F25"/>
    <mergeCell ref="E26:F26"/>
    <mergeCell ref="G25:H25"/>
    <mergeCell ref="G26:H26"/>
    <mergeCell ref="O27:P27"/>
    <mergeCell ref="O28:P28"/>
    <mergeCell ref="Q27:R27"/>
    <mergeCell ref="Q28:R28"/>
    <mergeCell ref="S27:T27"/>
    <mergeCell ref="S28:T28"/>
    <mergeCell ref="I27:J27"/>
    <mergeCell ref="I28:J28"/>
    <mergeCell ref="K27:L27"/>
    <mergeCell ref="K28:L28"/>
    <mergeCell ref="M27:N27"/>
    <mergeCell ref="M28:N28"/>
    <mergeCell ref="B31:T31"/>
    <mergeCell ref="H32:T34"/>
    <mergeCell ref="B52:T53"/>
    <mergeCell ref="O29:P29"/>
    <mergeCell ref="O30:P30"/>
    <mergeCell ref="Q29:R29"/>
    <mergeCell ref="Q30:R30"/>
    <mergeCell ref="S29:T29"/>
    <mergeCell ref="S30:T30"/>
    <mergeCell ref="I29:J29"/>
    <mergeCell ref="I30:J30"/>
    <mergeCell ref="K29:L29"/>
    <mergeCell ref="K30:L30"/>
    <mergeCell ref="M29:N29"/>
    <mergeCell ref="M30:N30"/>
    <mergeCell ref="B29:B30"/>
    <mergeCell ref="C29:D29"/>
    <mergeCell ref="C30:D30"/>
    <mergeCell ref="E29:F29"/>
    <mergeCell ref="E30:F30"/>
    <mergeCell ref="G29:H29"/>
    <mergeCell ref="G30:H30"/>
    <mergeCell ref="C33:D33"/>
  </mergeCells>
  <conditionalFormatting sqref="B6">
    <cfRule type="expression" dxfId="501" priority="91" stopIfTrue="1">
      <formula>ISNUMBER(SEARCH("INSUFFICIENT",$B$6))</formula>
    </cfRule>
  </conditionalFormatting>
  <conditionalFormatting sqref="C11:D11">
    <cfRule type="expression" dxfId="500" priority="90" stopIfTrue="1">
      <formula>RIGHT(C11,1)="*"</formula>
    </cfRule>
    <cfRule type="expression" dxfId="499" priority="92" stopIfTrue="1">
      <formula>LEFT(C11,5)="ALERT"</formula>
    </cfRule>
    <cfRule type="expression" dxfId="498" priority="93" stopIfTrue="1">
      <formula>LEFT(C11,5)="WATCH"</formula>
    </cfRule>
    <cfRule type="expression" dxfId="497" priority="94" stopIfTrue="1">
      <formula>LEFT(C11,2)="OK"</formula>
    </cfRule>
    <cfRule type="expression" dxfId="496" priority="95" stopIfTrue="1">
      <formula>LEFT(C11,12)="INSUFFICIENT"</formula>
    </cfRule>
  </conditionalFormatting>
  <conditionalFormatting sqref="E11:F11">
    <cfRule type="expression" dxfId="495" priority="89" stopIfTrue="1">
      <formula>RIGHT(E11,1)="*"</formula>
    </cfRule>
    <cfRule type="expression" dxfId="494" priority="96" stopIfTrue="1">
      <formula>LEFT(E11,5)="ALERT"</formula>
    </cfRule>
    <cfRule type="expression" dxfId="493" priority="97" stopIfTrue="1">
      <formula>LEFT(E11,5)="WATCH"</formula>
    </cfRule>
    <cfRule type="expression" dxfId="492" priority="98" stopIfTrue="1">
      <formula>LEFT(E11,2)="OK"</formula>
    </cfRule>
    <cfRule type="expression" dxfId="491" priority="99" stopIfTrue="1">
      <formula>LEFT(E11,12)="INSUFFICIENT"</formula>
    </cfRule>
  </conditionalFormatting>
  <conditionalFormatting sqref="G11:H11">
    <cfRule type="expression" dxfId="490" priority="88" stopIfTrue="1">
      <formula>RIGHT(G11,1)="*"</formula>
    </cfRule>
    <cfRule type="expression" dxfId="489" priority="100" stopIfTrue="1">
      <formula>LEFT(G11,5)="ALERT"</formula>
    </cfRule>
    <cfRule type="expression" dxfId="488" priority="101" stopIfTrue="1">
      <formula>LEFT(G11,5)="WATCH"</formula>
    </cfRule>
    <cfRule type="expression" dxfId="487" priority="102" stopIfTrue="1">
      <formula>LEFT(G11,2)="OK"</formula>
    </cfRule>
    <cfRule type="expression" dxfId="486" priority="103" stopIfTrue="1">
      <formula>LEFT(G11,12)="INSUFFICIENT"</formula>
    </cfRule>
  </conditionalFormatting>
  <conditionalFormatting sqref="I11:J11">
    <cfRule type="expression" dxfId="485" priority="87" stopIfTrue="1">
      <formula>RIGHT(I11,1)="*"</formula>
    </cfRule>
    <cfRule type="expression" dxfId="484" priority="104" stopIfTrue="1">
      <formula>LEFT(I11,5)="ALERT"</formula>
    </cfRule>
    <cfRule type="expression" dxfId="483" priority="105" stopIfTrue="1">
      <formula>LEFT(I11,5)="WATCH"</formula>
    </cfRule>
    <cfRule type="expression" dxfId="482" priority="106" stopIfTrue="1">
      <formula>LEFT(I11,2)="OK"</formula>
    </cfRule>
    <cfRule type="expression" dxfId="481" priority="107" stopIfTrue="1">
      <formula>LEFT(I11,12)="INSUFFICIENT"</formula>
    </cfRule>
  </conditionalFormatting>
  <conditionalFormatting sqref="K11:L11">
    <cfRule type="expression" dxfId="480" priority="86" stopIfTrue="1">
      <formula>RIGHT(K11,1)="*"</formula>
    </cfRule>
    <cfRule type="expression" dxfId="479" priority="108" stopIfTrue="1">
      <formula>LEFT(K11,5)="ALERT"</formula>
    </cfRule>
    <cfRule type="expression" dxfId="478" priority="109" stopIfTrue="1">
      <formula>LEFT(K11,5)="WATCH"</formula>
    </cfRule>
    <cfRule type="expression" dxfId="477" priority="110" stopIfTrue="1">
      <formula>LEFT(K11,2)="OK"</formula>
    </cfRule>
    <cfRule type="expression" dxfId="476" priority="111" stopIfTrue="1">
      <formula>LEFT(K11,12)="INSUFFICIENT"</formula>
    </cfRule>
  </conditionalFormatting>
  <conditionalFormatting sqref="M11:N11">
    <cfRule type="expression" dxfId="475" priority="85" stopIfTrue="1">
      <formula>RIGHT(M11,1)="*"</formula>
    </cfRule>
    <cfRule type="expression" dxfId="474" priority="112" stopIfTrue="1">
      <formula>LEFT(M11,5)="ALERT"</formula>
    </cfRule>
    <cfRule type="expression" dxfId="473" priority="113" stopIfTrue="1">
      <formula>LEFT(M11,5)="WATCH"</formula>
    </cfRule>
    <cfRule type="expression" dxfId="472" priority="114" stopIfTrue="1">
      <formula>LEFT(M11,2)="OK"</formula>
    </cfRule>
    <cfRule type="expression" dxfId="471" priority="115" stopIfTrue="1">
      <formula>LEFT(M11,12)="INSUFFICIENT"</formula>
    </cfRule>
  </conditionalFormatting>
  <conditionalFormatting sqref="O11:P11">
    <cfRule type="expression" dxfId="470" priority="84" stopIfTrue="1">
      <formula>RIGHT(O11,1)="*"</formula>
    </cfRule>
    <cfRule type="expression" dxfId="469" priority="116" stopIfTrue="1">
      <formula>LEFT(O11,5)="ALERT"</formula>
    </cfRule>
    <cfRule type="expression" dxfId="468" priority="117" stopIfTrue="1">
      <formula>LEFT(O11,5)="WATCH"</formula>
    </cfRule>
    <cfRule type="expression" dxfId="467" priority="118" stopIfTrue="1">
      <formula>LEFT(O11,2)="OK"</formula>
    </cfRule>
    <cfRule type="expression" dxfId="466" priority="119" stopIfTrue="1">
      <formula>LEFT(O11,12)="INSUFFICIENT"</formula>
    </cfRule>
  </conditionalFormatting>
  <conditionalFormatting sqref="Q11:R11">
    <cfRule type="expression" dxfId="465" priority="83" stopIfTrue="1">
      <formula>RIGHT(Q11,1)="*"</formula>
    </cfRule>
    <cfRule type="expression" dxfId="464" priority="120" stopIfTrue="1">
      <formula>LEFT(Q11,5)="ALERT"</formula>
    </cfRule>
    <cfRule type="expression" dxfId="463" priority="121" stopIfTrue="1">
      <formula>LEFT(Q11,5)="WATCH"</formula>
    </cfRule>
    <cfRule type="expression" dxfId="462" priority="122" stopIfTrue="1">
      <formula>LEFT(Q11,2)="OK"</formula>
    </cfRule>
    <cfRule type="expression" dxfId="461" priority="123" stopIfTrue="1">
      <formula>LEFT(Q11,12)="INSUFFICIENT"</formula>
    </cfRule>
  </conditionalFormatting>
  <conditionalFormatting sqref="S11:T11">
    <cfRule type="expression" dxfId="460" priority="82" stopIfTrue="1">
      <formula>RIGHT(S11,1)="*"</formula>
    </cfRule>
    <cfRule type="expression" dxfId="459" priority="124" stopIfTrue="1">
      <formula>LEFT(S11,5)="ALERT"</formula>
    </cfRule>
    <cfRule type="expression" dxfId="458" priority="125" stopIfTrue="1">
      <formula>LEFT(S11,5)="WATCH"</formula>
    </cfRule>
    <cfRule type="expression" dxfId="457" priority="126" stopIfTrue="1">
      <formula>LEFT(S11,2)="OK"</formula>
    </cfRule>
    <cfRule type="expression" dxfId="456" priority="127" stopIfTrue="1">
      <formula>LEFT(S11,12)="INSUFFICIENT"</formula>
    </cfRule>
  </conditionalFormatting>
  <conditionalFormatting sqref="C13:D13">
    <cfRule type="expression" dxfId="455" priority="81" stopIfTrue="1">
      <formula>RIGHT(C13,1)="*"</formula>
    </cfRule>
    <cfRule type="expression" dxfId="454" priority="128" stopIfTrue="1">
      <formula>LEFT(C13,5)="ALERT"</formula>
    </cfRule>
    <cfRule type="expression" dxfId="453" priority="129" stopIfTrue="1">
      <formula>LEFT(C13,5)="WATCH"</formula>
    </cfRule>
    <cfRule type="expression" dxfId="452" priority="130" stopIfTrue="1">
      <formula>LEFT(C13,2)="OK"</formula>
    </cfRule>
    <cfRule type="expression" dxfId="451" priority="131" stopIfTrue="1">
      <formula>LEFT(C13,12)="INSUFFICIENT"</formula>
    </cfRule>
  </conditionalFormatting>
  <conditionalFormatting sqref="E13:F13">
    <cfRule type="expression" dxfId="450" priority="80" stopIfTrue="1">
      <formula>RIGHT(E13,1)="*"</formula>
    </cfRule>
    <cfRule type="expression" dxfId="449" priority="132" stopIfTrue="1">
      <formula>LEFT(E13,5)="ALERT"</formula>
    </cfRule>
    <cfRule type="expression" dxfId="448" priority="133" stopIfTrue="1">
      <formula>LEFT(E13,5)="WATCH"</formula>
    </cfRule>
    <cfRule type="expression" dxfId="447" priority="134" stopIfTrue="1">
      <formula>LEFT(E13,2)="OK"</formula>
    </cfRule>
    <cfRule type="expression" dxfId="446" priority="135" stopIfTrue="1">
      <formula>LEFT(E13,12)="INSUFFICIENT"</formula>
    </cfRule>
  </conditionalFormatting>
  <conditionalFormatting sqref="G13:H13">
    <cfRule type="expression" dxfId="445" priority="79" stopIfTrue="1">
      <formula>RIGHT(G13,1)="*"</formula>
    </cfRule>
    <cfRule type="expression" dxfId="444" priority="136" stopIfTrue="1">
      <formula>LEFT(G13,5)="ALERT"</formula>
    </cfRule>
    <cfRule type="expression" dxfId="443" priority="137" stopIfTrue="1">
      <formula>LEFT(G13,5)="WATCH"</formula>
    </cfRule>
    <cfRule type="expression" dxfId="442" priority="138" stopIfTrue="1">
      <formula>LEFT(G13,2)="OK"</formula>
    </cfRule>
    <cfRule type="expression" dxfId="441" priority="139" stopIfTrue="1">
      <formula>LEFT(G13,12)="INSUFFICIENT"</formula>
    </cfRule>
  </conditionalFormatting>
  <conditionalFormatting sqref="I13:J13">
    <cfRule type="expression" dxfId="440" priority="78" stopIfTrue="1">
      <formula>RIGHT(I13,1)="*"</formula>
    </cfRule>
    <cfRule type="expression" dxfId="439" priority="140" stopIfTrue="1">
      <formula>LEFT(I13,5)="ALERT"</formula>
    </cfRule>
    <cfRule type="expression" dxfId="438" priority="141" stopIfTrue="1">
      <formula>LEFT(I13,5)="WATCH"</formula>
    </cfRule>
    <cfRule type="expression" dxfId="437" priority="142" stopIfTrue="1">
      <formula>LEFT(I13,2)="OK"</formula>
    </cfRule>
    <cfRule type="expression" dxfId="436" priority="143" stopIfTrue="1">
      <formula>LEFT(I13,12)="INSUFFICIENT"</formula>
    </cfRule>
  </conditionalFormatting>
  <conditionalFormatting sqref="K13:L13">
    <cfRule type="expression" dxfId="435" priority="77" stopIfTrue="1">
      <formula>RIGHT(K13,1)="*"</formula>
    </cfRule>
    <cfRule type="expression" dxfId="434" priority="144" stopIfTrue="1">
      <formula>LEFT(K13,5)="ALERT"</formula>
    </cfRule>
    <cfRule type="expression" dxfId="433" priority="145" stopIfTrue="1">
      <formula>LEFT(K13,5)="WATCH"</formula>
    </cfRule>
    <cfRule type="expression" dxfId="432" priority="146" stopIfTrue="1">
      <formula>LEFT(K13,2)="OK"</formula>
    </cfRule>
    <cfRule type="expression" dxfId="431" priority="147" stopIfTrue="1">
      <formula>LEFT(K13,12)="INSUFFICIENT"</formula>
    </cfRule>
  </conditionalFormatting>
  <conditionalFormatting sqref="M13:N13">
    <cfRule type="expression" dxfId="430" priority="76" stopIfTrue="1">
      <formula>RIGHT(M13,1)="*"</formula>
    </cfRule>
    <cfRule type="expression" dxfId="429" priority="148" stopIfTrue="1">
      <formula>LEFT(M13,5)="ALERT"</formula>
    </cfRule>
    <cfRule type="expression" dxfId="428" priority="149" stopIfTrue="1">
      <formula>LEFT(M13,5)="WATCH"</formula>
    </cfRule>
    <cfRule type="expression" dxfId="427" priority="150" stopIfTrue="1">
      <formula>LEFT(M13,2)="OK"</formula>
    </cfRule>
    <cfRule type="expression" dxfId="426" priority="151" stopIfTrue="1">
      <formula>LEFT(M13,12)="INSUFFICIENT"</formula>
    </cfRule>
  </conditionalFormatting>
  <conditionalFormatting sqref="O13:P13">
    <cfRule type="expression" dxfId="425" priority="75" stopIfTrue="1">
      <formula>RIGHT(O13,1)="*"</formula>
    </cfRule>
    <cfRule type="expression" dxfId="424" priority="152" stopIfTrue="1">
      <formula>LEFT(O13,5)="ALERT"</formula>
    </cfRule>
    <cfRule type="expression" dxfId="423" priority="153" stopIfTrue="1">
      <formula>LEFT(O13,5)="WATCH"</formula>
    </cfRule>
    <cfRule type="expression" dxfId="422" priority="154" stopIfTrue="1">
      <formula>LEFT(O13,2)="OK"</formula>
    </cfRule>
    <cfRule type="expression" dxfId="421" priority="155" stopIfTrue="1">
      <formula>LEFT(O13,12)="INSUFFICIENT"</formula>
    </cfRule>
  </conditionalFormatting>
  <conditionalFormatting sqref="Q13:R13">
    <cfRule type="expression" dxfId="420" priority="74" stopIfTrue="1">
      <formula>RIGHT(Q13,1)="*"</formula>
    </cfRule>
    <cfRule type="expression" dxfId="419" priority="156" stopIfTrue="1">
      <formula>LEFT(Q13,5)="ALERT"</formula>
    </cfRule>
    <cfRule type="expression" dxfId="418" priority="157" stopIfTrue="1">
      <formula>LEFT(Q13,5)="WATCH"</formula>
    </cfRule>
    <cfRule type="expression" dxfId="417" priority="158" stopIfTrue="1">
      <formula>LEFT(Q13,2)="OK"</formula>
    </cfRule>
    <cfRule type="expression" dxfId="416" priority="159" stopIfTrue="1">
      <formula>LEFT(Q13,12)="INSUFFICIENT"</formula>
    </cfRule>
  </conditionalFormatting>
  <conditionalFormatting sqref="S13:T13">
    <cfRule type="expression" dxfId="415" priority="73" stopIfTrue="1">
      <formula>RIGHT(S13,1)="*"</formula>
    </cfRule>
    <cfRule type="expression" dxfId="414" priority="160" stopIfTrue="1">
      <formula>LEFT(S13,5)="ALERT"</formula>
    </cfRule>
    <cfRule type="expression" dxfId="413" priority="161" stopIfTrue="1">
      <formula>LEFT(S13,5)="WATCH"</formula>
    </cfRule>
    <cfRule type="expression" dxfId="412" priority="162" stopIfTrue="1">
      <formula>LEFT(S13,2)="OK"</formula>
    </cfRule>
    <cfRule type="expression" dxfId="411" priority="163" stopIfTrue="1">
      <formula>LEFT(S13,12)="INSUFFICIENT"</formula>
    </cfRule>
  </conditionalFormatting>
  <conditionalFormatting sqref="C15:D15">
    <cfRule type="expression" dxfId="410" priority="72" stopIfTrue="1">
      <formula>RIGHT(C15,1)="*"</formula>
    </cfRule>
    <cfRule type="expression" dxfId="409" priority="164" stopIfTrue="1">
      <formula>LEFT(C15,5)="ALERT"</formula>
    </cfRule>
    <cfRule type="expression" dxfId="408" priority="165" stopIfTrue="1">
      <formula>LEFT(C15,5)="WATCH"</formula>
    </cfRule>
    <cfRule type="expression" dxfId="407" priority="166" stopIfTrue="1">
      <formula>LEFT(C15,2)="OK"</formula>
    </cfRule>
    <cfRule type="expression" dxfId="406" priority="167" stopIfTrue="1">
      <formula>LEFT(C15,12)="INSUFFICIENT"</formula>
    </cfRule>
  </conditionalFormatting>
  <conditionalFormatting sqref="E15:F15">
    <cfRule type="expression" dxfId="405" priority="71" stopIfTrue="1">
      <formula>RIGHT(E15,1)="*"</formula>
    </cfRule>
    <cfRule type="expression" dxfId="404" priority="168" stopIfTrue="1">
      <formula>LEFT(E15,5)="ALERT"</formula>
    </cfRule>
    <cfRule type="expression" dxfId="403" priority="169" stopIfTrue="1">
      <formula>LEFT(E15,5)="WATCH"</formula>
    </cfRule>
    <cfRule type="expression" dxfId="402" priority="170" stopIfTrue="1">
      <formula>LEFT(E15,2)="OK"</formula>
    </cfRule>
    <cfRule type="expression" dxfId="401" priority="171" stopIfTrue="1">
      <formula>LEFT(E15,12)="INSUFFICIENT"</formula>
    </cfRule>
  </conditionalFormatting>
  <conditionalFormatting sqref="G15:H15">
    <cfRule type="expression" dxfId="400" priority="70" stopIfTrue="1">
      <formula>RIGHT(G15,1)="*"</formula>
    </cfRule>
    <cfRule type="expression" dxfId="399" priority="172" stopIfTrue="1">
      <formula>LEFT(G15,5)="ALERT"</formula>
    </cfRule>
    <cfRule type="expression" dxfId="398" priority="173" stopIfTrue="1">
      <formula>LEFT(G15,5)="WATCH"</formula>
    </cfRule>
    <cfRule type="expression" dxfId="397" priority="174" stopIfTrue="1">
      <formula>LEFT(G15,2)="OK"</formula>
    </cfRule>
    <cfRule type="expression" dxfId="396" priority="175" stopIfTrue="1">
      <formula>LEFT(G15,12)="INSUFFICIENT"</formula>
    </cfRule>
  </conditionalFormatting>
  <conditionalFormatting sqref="I15:J15">
    <cfRule type="expression" dxfId="395" priority="69" stopIfTrue="1">
      <formula>RIGHT(I15,1)="*"</formula>
    </cfRule>
    <cfRule type="expression" dxfId="394" priority="176" stopIfTrue="1">
      <formula>LEFT(I15,5)="ALERT"</formula>
    </cfRule>
    <cfRule type="expression" dxfId="393" priority="177" stopIfTrue="1">
      <formula>LEFT(I15,5)="WATCH"</formula>
    </cfRule>
    <cfRule type="expression" dxfId="392" priority="178" stopIfTrue="1">
      <formula>LEFT(I15,2)="OK"</formula>
    </cfRule>
    <cfRule type="expression" dxfId="391" priority="179" stopIfTrue="1">
      <formula>LEFT(I15,12)="INSUFFICIENT"</formula>
    </cfRule>
  </conditionalFormatting>
  <conditionalFormatting sqref="K15:L15">
    <cfRule type="expression" dxfId="390" priority="180" stopIfTrue="1">
      <formula>LEFT(K15,5)="ALERT"</formula>
    </cfRule>
  </conditionalFormatting>
  <conditionalFormatting sqref="K15:L15">
    <cfRule type="expression" dxfId="389" priority="181" stopIfTrue="1">
      <formula>LEFT(K15,5)="WATCH"</formula>
    </cfRule>
  </conditionalFormatting>
  <conditionalFormatting sqref="K15:L15">
    <cfRule type="expression" dxfId="388" priority="182" stopIfTrue="1">
      <formula>LEFT(K15,2)="OK"</formula>
    </cfRule>
  </conditionalFormatting>
  <conditionalFormatting sqref="K15:L15">
    <cfRule type="expression" dxfId="387" priority="183" stopIfTrue="1">
      <formula>LEFT(K15,12)="INSUFFICIENT"</formula>
    </cfRule>
  </conditionalFormatting>
  <conditionalFormatting sqref="K15:L15">
    <cfRule type="expression" dxfId="386" priority="68" stopIfTrue="1">
      <formula>RIGHT(K15,1)="*"</formula>
    </cfRule>
  </conditionalFormatting>
  <conditionalFormatting sqref="M15:N15">
    <cfRule type="expression" dxfId="385" priority="184" stopIfTrue="1">
      <formula>LEFT(M15,5)="ALERT"</formula>
    </cfRule>
  </conditionalFormatting>
  <conditionalFormatting sqref="M15:N15">
    <cfRule type="expression" dxfId="384" priority="185" stopIfTrue="1">
      <formula>LEFT(M15,5)="WATCH"</formula>
    </cfRule>
  </conditionalFormatting>
  <conditionalFormatting sqref="M15:N15">
    <cfRule type="expression" dxfId="383" priority="186" stopIfTrue="1">
      <formula>LEFT(M15,2)="OK"</formula>
    </cfRule>
  </conditionalFormatting>
  <conditionalFormatting sqref="M15:N15">
    <cfRule type="expression" dxfId="382" priority="187" stopIfTrue="1">
      <formula>LEFT(M15,12)="INSUFFICIENT"</formula>
    </cfRule>
  </conditionalFormatting>
  <conditionalFormatting sqref="M15:N15">
    <cfRule type="expression" dxfId="381" priority="67" stopIfTrue="1">
      <formula>RIGHT(M15,1)="*"</formula>
    </cfRule>
  </conditionalFormatting>
  <conditionalFormatting sqref="O15:P15">
    <cfRule type="expression" dxfId="380" priority="188" stopIfTrue="1">
      <formula>LEFT(O15,5)="ALERT"</formula>
    </cfRule>
  </conditionalFormatting>
  <conditionalFormatting sqref="O15:P15">
    <cfRule type="expression" dxfId="379" priority="189" stopIfTrue="1">
      <formula>LEFT(O15,5)="WATCH"</formula>
    </cfRule>
  </conditionalFormatting>
  <conditionalFormatting sqref="O15:P15">
    <cfRule type="expression" dxfId="378" priority="190" stopIfTrue="1">
      <formula>LEFT(O15,2)="OK"</formula>
    </cfRule>
  </conditionalFormatting>
  <conditionalFormatting sqref="O15:P15">
    <cfRule type="expression" dxfId="377" priority="191" stopIfTrue="1">
      <formula>LEFT(O15,12)="INSUFFICIENT"</formula>
    </cfRule>
  </conditionalFormatting>
  <conditionalFormatting sqref="O15:P15">
    <cfRule type="expression" dxfId="376" priority="66" stopIfTrue="1">
      <formula>RIGHT(O15,1)="*"</formula>
    </cfRule>
  </conditionalFormatting>
  <conditionalFormatting sqref="Q15:R15">
    <cfRule type="expression" dxfId="375" priority="192" stopIfTrue="1">
      <formula>LEFT(Q15,5)="ALERT"</formula>
    </cfRule>
  </conditionalFormatting>
  <conditionalFormatting sqref="Q15:R15">
    <cfRule type="expression" dxfId="374" priority="193" stopIfTrue="1">
      <formula>LEFT(Q15,5)="WATCH"</formula>
    </cfRule>
  </conditionalFormatting>
  <conditionalFormatting sqref="Q15:R15">
    <cfRule type="expression" dxfId="373" priority="194" stopIfTrue="1">
      <formula>LEFT(Q15,2)="OK"</formula>
    </cfRule>
  </conditionalFormatting>
  <conditionalFormatting sqref="Q15:R15">
    <cfRule type="expression" dxfId="372" priority="195" stopIfTrue="1">
      <formula>LEFT(Q15,12)="INSUFFICIENT"</formula>
    </cfRule>
  </conditionalFormatting>
  <conditionalFormatting sqref="Q15:R15">
    <cfRule type="expression" dxfId="371" priority="65" stopIfTrue="1">
      <formula>RIGHT(Q15,1)="*"</formula>
    </cfRule>
  </conditionalFormatting>
  <conditionalFormatting sqref="S15:T15">
    <cfRule type="expression" dxfId="370" priority="196" stopIfTrue="1">
      <formula>LEFT(S15,5)="ALERT"</formula>
    </cfRule>
  </conditionalFormatting>
  <conditionalFormatting sqref="S15:T15">
    <cfRule type="expression" dxfId="369" priority="197" stopIfTrue="1">
      <formula>LEFT(S15,5)="WATCH"</formula>
    </cfRule>
  </conditionalFormatting>
  <conditionalFormatting sqref="S15:T15">
    <cfRule type="expression" dxfId="368" priority="198" stopIfTrue="1">
      <formula>LEFT(S15,2)="OK"</formula>
    </cfRule>
  </conditionalFormatting>
  <conditionalFormatting sqref="S15:T15">
    <cfRule type="expression" dxfId="367" priority="199" stopIfTrue="1">
      <formula>LEFT(S15,12)="INSUFFICIENT"</formula>
    </cfRule>
  </conditionalFormatting>
  <conditionalFormatting sqref="S15:T15">
    <cfRule type="expression" dxfId="366" priority="64" stopIfTrue="1">
      <formula>RIGHT(S15,1)="*"</formula>
    </cfRule>
  </conditionalFormatting>
  <conditionalFormatting sqref="C17:D17">
    <cfRule type="expression" dxfId="365" priority="63" stopIfTrue="1">
      <formula>RIGHT(C17,1)="*"</formula>
    </cfRule>
    <cfRule type="expression" dxfId="364" priority="200" stopIfTrue="1">
      <formula>LEFT(C17,5)="ALERT"</formula>
    </cfRule>
    <cfRule type="expression" dxfId="363" priority="201" stopIfTrue="1">
      <formula>LEFT(C17,5)="WATCH"</formula>
    </cfRule>
    <cfRule type="expression" dxfId="362" priority="202" stopIfTrue="1">
      <formula>LEFT(C17,2)="OK"</formula>
    </cfRule>
    <cfRule type="expression" dxfId="361" priority="203" stopIfTrue="1">
      <formula>LEFT(C17,12)="INSUFFICIENT"</formula>
    </cfRule>
  </conditionalFormatting>
  <conditionalFormatting sqref="E17:F17">
    <cfRule type="expression" dxfId="360" priority="62" stopIfTrue="1">
      <formula>RIGHT(E17,1)="*"</formula>
    </cfRule>
    <cfRule type="expression" dxfId="359" priority="204" stopIfTrue="1">
      <formula>LEFT(E17,5)="ALERT"</formula>
    </cfRule>
    <cfRule type="expression" dxfId="358" priority="205" stopIfTrue="1">
      <formula>LEFT(E17,5)="WATCH"</formula>
    </cfRule>
    <cfRule type="expression" dxfId="357" priority="206" stopIfTrue="1">
      <formula>LEFT(E17,2)="OK"</formula>
    </cfRule>
    <cfRule type="expression" dxfId="356" priority="207" stopIfTrue="1">
      <formula>LEFT(E17,12)="INSUFFICIENT"</formula>
    </cfRule>
  </conditionalFormatting>
  <conditionalFormatting sqref="G17:H17">
    <cfRule type="expression" dxfId="355" priority="61" stopIfTrue="1">
      <formula>RIGHT(G17,1)="*"</formula>
    </cfRule>
    <cfRule type="expression" dxfId="354" priority="208" stopIfTrue="1">
      <formula>LEFT(G17,5)="ALERT"</formula>
    </cfRule>
    <cfRule type="expression" dxfId="353" priority="209" stopIfTrue="1">
      <formula>LEFT(G17,5)="WATCH"</formula>
    </cfRule>
    <cfRule type="expression" dxfId="352" priority="210" stopIfTrue="1">
      <formula>LEFT(G17,2)="OK"</formula>
    </cfRule>
    <cfRule type="expression" dxfId="351" priority="211" stopIfTrue="1">
      <formula>LEFT(G17,12)="INSUFFICIENT"</formula>
    </cfRule>
  </conditionalFormatting>
  <conditionalFormatting sqref="I17:J17">
    <cfRule type="expression" dxfId="350" priority="60" stopIfTrue="1">
      <formula>RIGHT(I17,1)="*"</formula>
    </cfRule>
    <cfRule type="expression" dxfId="349" priority="212" stopIfTrue="1">
      <formula>LEFT(I17,5)="ALERT"</formula>
    </cfRule>
    <cfRule type="expression" dxfId="348" priority="213" stopIfTrue="1">
      <formula>LEFT(I17,5)="WATCH"</formula>
    </cfRule>
    <cfRule type="expression" dxfId="347" priority="214" stopIfTrue="1">
      <formula>LEFT(I17,2)="OK"</formula>
    </cfRule>
    <cfRule type="expression" dxfId="346" priority="215" stopIfTrue="1">
      <formula>LEFT(I17,12)="INSUFFICIENT"</formula>
    </cfRule>
  </conditionalFormatting>
  <conditionalFormatting sqref="K17:L17">
    <cfRule type="expression" dxfId="345" priority="216" stopIfTrue="1">
      <formula>LEFT(K17,5)="ALERT"</formula>
    </cfRule>
  </conditionalFormatting>
  <conditionalFormatting sqref="K17:L17">
    <cfRule type="expression" dxfId="344" priority="217" stopIfTrue="1">
      <formula>LEFT(K17,5)="WATCH"</formula>
    </cfRule>
  </conditionalFormatting>
  <conditionalFormatting sqref="K17:L17">
    <cfRule type="expression" dxfId="343" priority="218" stopIfTrue="1">
      <formula>LEFT(K17,2)="OK"</formula>
    </cfRule>
  </conditionalFormatting>
  <conditionalFormatting sqref="K17:L17">
    <cfRule type="expression" dxfId="342" priority="219" stopIfTrue="1">
      <formula>LEFT(K17,12)="INSUFFICIENT"</formula>
    </cfRule>
  </conditionalFormatting>
  <conditionalFormatting sqref="K17:L17">
    <cfRule type="expression" dxfId="341" priority="59" stopIfTrue="1">
      <formula>RIGHT(K17,1)="*"</formula>
    </cfRule>
  </conditionalFormatting>
  <conditionalFormatting sqref="M17:N17">
    <cfRule type="expression" dxfId="340" priority="220" stopIfTrue="1">
      <formula>LEFT(M17,5)="ALERT"</formula>
    </cfRule>
  </conditionalFormatting>
  <conditionalFormatting sqref="M17:N17">
    <cfRule type="expression" dxfId="339" priority="221" stopIfTrue="1">
      <formula>LEFT(M17,5)="WATCH"</formula>
    </cfRule>
  </conditionalFormatting>
  <conditionalFormatting sqref="M17:N17">
    <cfRule type="expression" dxfId="338" priority="222" stopIfTrue="1">
      <formula>LEFT(M17,2)="OK"</formula>
    </cfRule>
  </conditionalFormatting>
  <conditionalFormatting sqref="M17:N17">
    <cfRule type="expression" dxfId="337" priority="223" stopIfTrue="1">
      <formula>LEFT(M17,12)="INSUFFICIENT"</formula>
    </cfRule>
  </conditionalFormatting>
  <conditionalFormatting sqref="M17:N17">
    <cfRule type="expression" dxfId="336" priority="58" stopIfTrue="1">
      <formula>RIGHT(M17,1)="*"</formula>
    </cfRule>
  </conditionalFormatting>
  <conditionalFormatting sqref="O17:P17">
    <cfRule type="expression" dxfId="335" priority="224" stopIfTrue="1">
      <formula>LEFT(O17,5)="ALERT"</formula>
    </cfRule>
  </conditionalFormatting>
  <conditionalFormatting sqref="O17:P17">
    <cfRule type="expression" dxfId="334" priority="225" stopIfTrue="1">
      <formula>LEFT(O17,5)="WATCH"</formula>
    </cfRule>
  </conditionalFormatting>
  <conditionalFormatting sqref="O17:P17">
    <cfRule type="expression" dxfId="333" priority="226" stopIfTrue="1">
      <formula>LEFT(O17,2)="OK"</formula>
    </cfRule>
  </conditionalFormatting>
  <conditionalFormatting sqref="O17:P17">
    <cfRule type="expression" dxfId="332" priority="227" stopIfTrue="1">
      <formula>LEFT(O17,12)="INSUFFICIENT"</formula>
    </cfRule>
  </conditionalFormatting>
  <conditionalFormatting sqref="O17:P17">
    <cfRule type="expression" dxfId="331" priority="57" stopIfTrue="1">
      <formula>RIGHT(O17,1)="*"</formula>
    </cfRule>
  </conditionalFormatting>
  <conditionalFormatting sqref="Q17:R17">
    <cfRule type="expression" dxfId="330" priority="228" stopIfTrue="1">
      <formula>LEFT(Q17,5)="ALERT"</formula>
    </cfRule>
  </conditionalFormatting>
  <conditionalFormatting sqref="Q17:R17">
    <cfRule type="expression" dxfId="329" priority="229" stopIfTrue="1">
      <formula>LEFT(Q17,5)="WATCH"</formula>
    </cfRule>
  </conditionalFormatting>
  <conditionalFormatting sqref="Q17:R17">
    <cfRule type="expression" dxfId="328" priority="230" stopIfTrue="1">
      <formula>LEFT(Q17,2)="OK"</formula>
    </cfRule>
  </conditionalFormatting>
  <conditionalFormatting sqref="Q17:R17">
    <cfRule type="expression" dxfId="327" priority="231" stopIfTrue="1">
      <formula>LEFT(Q17,12)="INSUFFICIENT"</formula>
    </cfRule>
  </conditionalFormatting>
  <conditionalFormatting sqref="Q17:R17">
    <cfRule type="expression" dxfId="326" priority="56" stopIfTrue="1">
      <formula>RIGHT(Q17,1)="*"</formula>
    </cfRule>
  </conditionalFormatting>
  <conditionalFormatting sqref="S17:T17">
    <cfRule type="expression" dxfId="325" priority="232" stopIfTrue="1">
      <formula>LEFT(S17,5)="ALERT"</formula>
    </cfRule>
  </conditionalFormatting>
  <conditionalFormatting sqref="S17:T17">
    <cfRule type="expression" dxfId="324" priority="233" stopIfTrue="1">
      <formula>LEFT(S17,5)="WATCH"</formula>
    </cfRule>
  </conditionalFormatting>
  <conditionalFormatting sqref="S17:T17">
    <cfRule type="expression" dxfId="323" priority="234" stopIfTrue="1">
      <formula>LEFT(S17,2)="OK"</formula>
    </cfRule>
  </conditionalFormatting>
  <conditionalFormatting sqref="S17:T17">
    <cfRule type="expression" dxfId="322" priority="235" stopIfTrue="1">
      <formula>LEFT(S17,12)="INSUFFICIENT"</formula>
    </cfRule>
  </conditionalFormatting>
  <conditionalFormatting sqref="S17:T17">
    <cfRule type="expression" dxfId="321" priority="55" stopIfTrue="1">
      <formula>RIGHT(S17,1)="*"</formula>
    </cfRule>
  </conditionalFormatting>
  <conditionalFormatting sqref="C19:D19">
    <cfRule type="expression" dxfId="320" priority="54" stopIfTrue="1">
      <formula>RIGHT(C19,1)="*"</formula>
    </cfRule>
    <cfRule type="expression" dxfId="319" priority="236" stopIfTrue="1">
      <formula>LEFT(C19,5)="ALERT"</formula>
    </cfRule>
    <cfRule type="expression" dxfId="318" priority="237" stopIfTrue="1">
      <formula>LEFT(C19,5)="WATCH"</formula>
    </cfRule>
    <cfRule type="expression" dxfId="317" priority="238" stopIfTrue="1">
      <formula>LEFT(C19,2)="OK"</formula>
    </cfRule>
    <cfRule type="expression" dxfId="316" priority="239" stopIfTrue="1">
      <formula>LEFT(C19,12)="INSUFFICIENT"</formula>
    </cfRule>
  </conditionalFormatting>
  <conditionalFormatting sqref="E19:F19">
    <cfRule type="expression" dxfId="315" priority="53" stopIfTrue="1">
      <formula>RIGHT(E19,1)="*"</formula>
    </cfRule>
    <cfRule type="expression" dxfId="314" priority="240" stopIfTrue="1">
      <formula>LEFT(E19,5)="ALERT"</formula>
    </cfRule>
    <cfRule type="expression" dxfId="313" priority="241" stopIfTrue="1">
      <formula>LEFT(E19,5)="WATCH"</formula>
    </cfRule>
    <cfRule type="expression" dxfId="312" priority="242" stopIfTrue="1">
      <formula>LEFT(E19,2)="OK"</formula>
    </cfRule>
    <cfRule type="expression" dxfId="311" priority="243" stopIfTrue="1">
      <formula>LEFT(E19,12)="INSUFFICIENT"</formula>
    </cfRule>
  </conditionalFormatting>
  <conditionalFormatting sqref="G19:H19">
    <cfRule type="expression" dxfId="310" priority="52" stopIfTrue="1">
      <formula>RIGHT(G19,1)="*"</formula>
    </cfRule>
    <cfRule type="expression" dxfId="309" priority="244" stopIfTrue="1">
      <formula>LEFT(G19,5)="ALERT"</formula>
    </cfRule>
    <cfRule type="expression" dxfId="308" priority="245" stopIfTrue="1">
      <formula>LEFT(G19,5)="WATCH"</formula>
    </cfRule>
    <cfRule type="expression" dxfId="307" priority="246" stopIfTrue="1">
      <formula>LEFT(G19,2)="OK"</formula>
    </cfRule>
    <cfRule type="expression" dxfId="306" priority="247" stopIfTrue="1">
      <formula>LEFT(G19,12)="INSUFFICIENT"</formula>
    </cfRule>
  </conditionalFormatting>
  <conditionalFormatting sqref="I19:J19">
    <cfRule type="expression" dxfId="305" priority="248" stopIfTrue="1">
      <formula>LEFT(I19,5)="ALERT"</formula>
    </cfRule>
  </conditionalFormatting>
  <conditionalFormatting sqref="I19:J19">
    <cfRule type="expression" dxfId="304" priority="249" stopIfTrue="1">
      <formula>LEFT(I19,5)="WATCH"</formula>
    </cfRule>
  </conditionalFormatting>
  <conditionalFormatting sqref="I19:J19">
    <cfRule type="expression" dxfId="303" priority="250" stopIfTrue="1">
      <formula>LEFT(I19,2)="OK"</formula>
    </cfRule>
  </conditionalFormatting>
  <conditionalFormatting sqref="I19:J19">
    <cfRule type="expression" dxfId="302" priority="251" stopIfTrue="1">
      <formula>LEFT(I19,12)="INSUFFICIENT"</formula>
    </cfRule>
  </conditionalFormatting>
  <conditionalFormatting sqref="I19:J19">
    <cfRule type="expression" dxfId="301" priority="51" stopIfTrue="1">
      <formula>RIGHT(I19,1)="*"</formula>
    </cfRule>
  </conditionalFormatting>
  <conditionalFormatting sqref="K19:L19">
    <cfRule type="expression" dxfId="300" priority="252" stopIfTrue="1">
      <formula>LEFT(K19,5)="ALERT"</formula>
    </cfRule>
  </conditionalFormatting>
  <conditionalFormatting sqref="K19:L19">
    <cfRule type="expression" dxfId="299" priority="253" stopIfTrue="1">
      <formula>LEFT(K19,5)="WATCH"</formula>
    </cfRule>
  </conditionalFormatting>
  <conditionalFormatting sqref="K19:L19">
    <cfRule type="expression" dxfId="298" priority="254" stopIfTrue="1">
      <formula>LEFT(K19,2)="OK"</formula>
    </cfRule>
  </conditionalFormatting>
  <conditionalFormatting sqref="K19:L19">
    <cfRule type="expression" dxfId="297" priority="255" stopIfTrue="1">
      <formula>LEFT(K19,12)="INSUFFICIENT"</formula>
    </cfRule>
  </conditionalFormatting>
  <conditionalFormatting sqref="K19:L19">
    <cfRule type="expression" dxfId="296" priority="50" stopIfTrue="1">
      <formula>RIGHT(K19,1)="*"</formula>
    </cfRule>
  </conditionalFormatting>
  <conditionalFormatting sqref="M19:N19">
    <cfRule type="expression" dxfId="295" priority="256" stopIfTrue="1">
      <formula>LEFT(M19,5)="ALERT"</formula>
    </cfRule>
  </conditionalFormatting>
  <conditionalFormatting sqref="M19:N19">
    <cfRule type="expression" dxfId="294" priority="257" stopIfTrue="1">
      <formula>LEFT(M19,5)="WATCH"</formula>
    </cfRule>
  </conditionalFormatting>
  <conditionalFormatting sqref="M19:N19">
    <cfRule type="expression" dxfId="293" priority="258" stopIfTrue="1">
      <formula>LEFT(M19,2)="OK"</formula>
    </cfRule>
  </conditionalFormatting>
  <conditionalFormatting sqref="M19:N19">
    <cfRule type="expression" dxfId="292" priority="259" stopIfTrue="1">
      <formula>LEFT(M19,12)="INSUFFICIENT"</formula>
    </cfRule>
  </conditionalFormatting>
  <conditionalFormatting sqref="M19:N19">
    <cfRule type="expression" dxfId="291" priority="49" stopIfTrue="1">
      <formula>RIGHT(M19,1)="*"</formula>
    </cfRule>
  </conditionalFormatting>
  <conditionalFormatting sqref="O19:P19">
    <cfRule type="expression" dxfId="290" priority="260" stopIfTrue="1">
      <formula>LEFT(O19,5)="ALERT"</formula>
    </cfRule>
  </conditionalFormatting>
  <conditionalFormatting sqref="O19:P19">
    <cfRule type="expression" dxfId="289" priority="261" stopIfTrue="1">
      <formula>LEFT(O19,5)="WATCH"</formula>
    </cfRule>
  </conditionalFormatting>
  <conditionalFormatting sqref="O19:P19">
    <cfRule type="expression" dxfId="288" priority="262" stopIfTrue="1">
      <formula>LEFT(O19,2)="OK"</formula>
    </cfRule>
  </conditionalFormatting>
  <conditionalFormatting sqref="O19:P19">
    <cfRule type="expression" dxfId="287" priority="263" stopIfTrue="1">
      <formula>LEFT(O19,12)="INSUFFICIENT"</formula>
    </cfRule>
  </conditionalFormatting>
  <conditionalFormatting sqref="O19:P19">
    <cfRule type="expression" dxfId="286" priority="48" stopIfTrue="1">
      <formula>RIGHT(O19,1)="*"</formula>
    </cfRule>
  </conditionalFormatting>
  <conditionalFormatting sqref="Q19:R19">
    <cfRule type="expression" dxfId="285" priority="264" stopIfTrue="1">
      <formula>LEFT(Q19,5)="ALERT"</formula>
    </cfRule>
  </conditionalFormatting>
  <conditionalFormatting sqref="Q19:R19">
    <cfRule type="expression" dxfId="284" priority="265" stopIfTrue="1">
      <formula>LEFT(Q19,5)="WATCH"</formula>
    </cfRule>
  </conditionalFormatting>
  <conditionalFormatting sqref="Q19:R19">
    <cfRule type="expression" dxfId="283" priority="266" stopIfTrue="1">
      <formula>LEFT(Q19,2)="OK"</formula>
    </cfRule>
  </conditionalFormatting>
  <conditionalFormatting sqref="Q19:R19">
    <cfRule type="expression" dxfId="282" priority="267" stopIfTrue="1">
      <formula>LEFT(Q19,12)="INSUFFICIENT"</formula>
    </cfRule>
  </conditionalFormatting>
  <conditionalFormatting sqref="Q19:R19">
    <cfRule type="expression" dxfId="281" priority="47" stopIfTrue="1">
      <formula>RIGHT(Q19,1)="*"</formula>
    </cfRule>
  </conditionalFormatting>
  <conditionalFormatting sqref="S19:T19">
    <cfRule type="expression" dxfId="280" priority="268" stopIfTrue="1">
      <formula>LEFT(S19,5)="ALERT"</formula>
    </cfRule>
  </conditionalFormatting>
  <conditionalFormatting sqref="S19:T19">
    <cfRule type="expression" dxfId="279" priority="269" stopIfTrue="1">
      <formula>LEFT(S19,5)="WATCH"</formula>
    </cfRule>
  </conditionalFormatting>
  <conditionalFormatting sqref="S19:T19">
    <cfRule type="expression" dxfId="278" priority="270" stopIfTrue="1">
      <formula>LEFT(S19,2)="OK"</formula>
    </cfRule>
  </conditionalFormatting>
  <conditionalFormatting sqref="S19:T19">
    <cfRule type="expression" dxfId="277" priority="271" stopIfTrue="1">
      <formula>LEFT(S19,12)="INSUFFICIENT"</formula>
    </cfRule>
  </conditionalFormatting>
  <conditionalFormatting sqref="S19:T19">
    <cfRule type="expression" dxfId="276" priority="46" stopIfTrue="1">
      <formula>RIGHT(S19,1)="*"</formula>
    </cfRule>
  </conditionalFormatting>
  <conditionalFormatting sqref="C21:D21">
    <cfRule type="expression" dxfId="275" priority="272" stopIfTrue="1">
      <formula>LEFT(C21,5)="ALERT"</formula>
    </cfRule>
  </conditionalFormatting>
  <conditionalFormatting sqref="C21:D21">
    <cfRule type="expression" dxfId="274" priority="273" stopIfTrue="1">
      <formula>LEFT(C21,5)="WATCH"</formula>
    </cfRule>
  </conditionalFormatting>
  <conditionalFormatting sqref="C21:D21">
    <cfRule type="expression" dxfId="273" priority="274" stopIfTrue="1">
      <formula>LEFT(C21,2)="OK"</formula>
    </cfRule>
  </conditionalFormatting>
  <conditionalFormatting sqref="C21:D21">
    <cfRule type="expression" dxfId="272" priority="275" stopIfTrue="1">
      <formula>LEFT(C21,12)="INSUFFICIENT"</formula>
    </cfRule>
  </conditionalFormatting>
  <conditionalFormatting sqref="C21:D21">
    <cfRule type="expression" dxfId="271" priority="45" stopIfTrue="1">
      <formula>RIGHT(C21,1)="*"</formula>
    </cfRule>
  </conditionalFormatting>
  <conditionalFormatting sqref="E21:F21">
    <cfRule type="expression" dxfId="270" priority="276" stopIfTrue="1">
      <formula>LEFT(E21,5)="ALERT"</formula>
    </cfRule>
  </conditionalFormatting>
  <conditionalFormatting sqref="E21:F21">
    <cfRule type="expression" dxfId="269" priority="277" stopIfTrue="1">
      <formula>LEFT(E21,5)="WATCH"</formula>
    </cfRule>
  </conditionalFormatting>
  <conditionalFormatting sqref="E21:F21">
    <cfRule type="expression" dxfId="268" priority="278" stopIfTrue="1">
      <formula>LEFT(E21,2)="OK"</formula>
    </cfRule>
  </conditionalFormatting>
  <conditionalFormatting sqref="E21:F21">
    <cfRule type="expression" dxfId="267" priority="279" stopIfTrue="1">
      <formula>LEFT(E21,12)="INSUFFICIENT"</formula>
    </cfRule>
  </conditionalFormatting>
  <conditionalFormatting sqref="E21:F21">
    <cfRule type="expression" dxfId="266" priority="44" stopIfTrue="1">
      <formula>RIGHT(E21,1)="*"</formula>
    </cfRule>
  </conditionalFormatting>
  <conditionalFormatting sqref="G21:H21">
    <cfRule type="expression" dxfId="265" priority="280" stopIfTrue="1">
      <formula>LEFT(G21,5)="ALERT"</formula>
    </cfRule>
  </conditionalFormatting>
  <conditionalFormatting sqref="G21:H21">
    <cfRule type="expression" dxfId="264" priority="281" stopIfTrue="1">
      <formula>LEFT(G21,5)="WATCH"</formula>
    </cfRule>
  </conditionalFormatting>
  <conditionalFormatting sqref="G21:H21">
    <cfRule type="expression" dxfId="263" priority="282" stopIfTrue="1">
      <formula>LEFT(G21,2)="OK"</formula>
    </cfRule>
  </conditionalFormatting>
  <conditionalFormatting sqref="G21:H21">
    <cfRule type="expression" dxfId="262" priority="283" stopIfTrue="1">
      <formula>LEFT(G21,12)="INSUFFICIENT"</formula>
    </cfRule>
  </conditionalFormatting>
  <conditionalFormatting sqref="G21:H21">
    <cfRule type="expression" dxfId="261" priority="43" stopIfTrue="1">
      <formula>RIGHT(G21,1)="*"</formula>
    </cfRule>
  </conditionalFormatting>
  <conditionalFormatting sqref="I21:J21">
    <cfRule type="expression" dxfId="260" priority="284" stopIfTrue="1">
      <formula>LEFT(I21,5)="ALERT"</formula>
    </cfRule>
  </conditionalFormatting>
  <conditionalFormatting sqref="I21:J21">
    <cfRule type="expression" dxfId="259" priority="285" stopIfTrue="1">
      <formula>LEFT(I21,5)="WATCH"</formula>
    </cfRule>
  </conditionalFormatting>
  <conditionalFormatting sqref="I21:J21">
    <cfRule type="expression" dxfId="258" priority="286" stopIfTrue="1">
      <formula>LEFT(I21,2)="OK"</formula>
    </cfRule>
  </conditionalFormatting>
  <conditionalFormatting sqref="I21:J21">
    <cfRule type="expression" dxfId="257" priority="287" stopIfTrue="1">
      <formula>LEFT(I21,12)="INSUFFICIENT"</formula>
    </cfRule>
  </conditionalFormatting>
  <conditionalFormatting sqref="I21:J21">
    <cfRule type="expression" dxfId="256" priority="42" stopIfTrue="1">
      <formula>RIGHT(I21,1)="*"</formula>
    </cfRule>
  </conditionalFormatting>
  <conditionalFormatting sqref="K21:L21">
    <cfRule type="expression" dxfId="255" priority="288" stopIfTrue="1">
      <formula>LEFT(K21,5)="ALERT"</formula>
    </cfRule>
  </conditionalFormatting>
  <conditionalFormatting sqref="K21:L21">
    <cfRule type="expression" dxfId="254" priority="289" stopIfTrue="1">
      <formula>LEFT(K21,5)="WATCH"</formula>
    </cfRule>
  </conditionalFormatting>
  <conditionalFormatting sqref="K21:L21">
    <cfRule type="expression" dxfId="253" priority="290" stopIfTrue="1">
      <formula>LEFT(K21,2)="OK"</formula>
    </cfRule>
  </conditionalFormatting>
  <conditionalFormatting sqref="K21:L21">
    <cfRule type="expression" dxfId="252" priority="291" stopIfTrue="1">
      <formula>LEFT(K21,12)="INSUFFICIENT"</formula>
    </cfRule>
  </conditionalFormatting>
  <conditionalFormatting sqref="K21:L21">
    <cfRule type="expression" dxfId="251" priority="41" stopIfTrue="1">
      <formula>RIGHT(K21,1)="*"</formula>
    </cfRule>
  </conditionalFormatting>
  <conditionalFormatting sqref="M21:N21">
    <cfRule type="expression" dxfId="250" priority="292" stopIfTrue="1">
      <formula>LEFT(M21,5)="ALERT"</formula>
    </cfRule>
  </conditionalFormatting>
  <conditionalFormatting sqref="M21:N21">
    <cfRule type="expression" dxfId="249" priority="293" stopIfTrue="1">
      <formula>LEFT(M21,5)="WATCH"</formula>
    </cfRule>
  </conditionalFormatting>
  <conditionalFormatting sqref="M21:N21">
    <cfRule type="expression" dxfId="248" priority="294" stopIfTrue="1">
      <formula>LEFT(M21,2)="OK"</formula>
    </cfRule>
  </conditionalFormatting>
  <conditionalFormatting sqref="M21:N21">
    <cfRule type="expression" dxfId="247" priority="295" stopIfTrue="1">
      <formula>LEFT(M21,12)="INSUFFICIENT"</formula>
    </cfRule>
  </conditionalFormatting>
  <conditionalFormatting sqref="M21:N21">
    <cfRule type="expression" dxfId="246" priority="40" stopIfTrue="1">
      <formula>RIGHT(M21,1)="*"</formula>
    </cfRule>
  </conditionalFormatting>
  <conditionalFormatting sqref="O21:P21">
    <cfRule type="expression" dxfId="245" priority="296" stopIfTrue="1">
      <formula>LEFT(O21,5)="ALERT"</formula>
    </cfRule>
  </conditionalFormatting>
  <conditionalFormatting sqref="O21:P21">
    <cfRule type="expression" dxfId="244" priority="297" stopIfTrue="1">
      <formula>LEFT(O21,5)="WATCH"</formula>
    </cfRule>
  </conditionalFormatting>
  <conditionalFormatting sqref="O21:P21">
    <cfRule type="expression" dxfId="243" priority="298" stopIfTrue="1">
      <formula>LEFT(O21,2)="OK"</formula>
    </cfRule>
  </conditionalFormatting>
  <conditionalFormatting sqref="O21:P21">
    <cfRule type="expression" dxfId="242" priority="299" stopIfTrue="1">
      <formula>LEFT(O21,12)="INSUFFICIENT"</formula>
    </cfRule>
  </conditionalFormatting>
  <conditionalFormatting sqref="O21:P21">
    <cfRule type="expression" dxfId="241" priority="39" stopIfTrue="1">
      <formula>RIGHT(O21,1)="*"</formula>
    </cfRule>
  </conditionalFormatting>
  <conditionalFormatting sqref="Q21:R21">
    <cfRule type="expression" dxfId="240" priority="300" stopIfTrue="1">
      <formula>LEFT(Q21,5)="ALERT"</formula>
    </cfRule>
  </conditionalFormatting>
  <conditionalFormatting sqref="Q21:R21">
    <cfRule type="expression" dxfId="239" priority="301" stopIfTrue="1">
      <formula>LEFT(Q21,5)="WATCH"</formula>
    </cfRule>
  </conditionalFormatting>
  <conditionalFormatting sqref="Q21:R21">
    <cfRule type="expression" dxfId="238" priority="302" stopIfTrue="1">
      <formula>LEFT(Q21,2)="OK"</formula>
    </cfRule>
  </conditionalFormatting>
  <conditionalFormatting sqref="Q21:R21">
    <cfRule type="expression" dxfId="237" priority="303" stopIfTrue="1">
      <formula>LEFT(Q21,12)="INSUFFICIENT"</formula>
    </cfRule>
  </conditionalFormatting>
  <conditionalFormatting sqref="Q21:R21">
    <cfRule type="expression" dxfId="236" priority="38" stopIfTrue="1">
      <formula>RIGHT(Q21,1)="*"</formula>
    </cfRule>
  </conditionalFormatting>
  <conditionalFormatting sqref="S21:T21">
    <cfRule type="expression" dxfId="235" priority="304" stopIfTrue="1">
      <formula>LEFT(S21,5)="ALERT"</formula>
    </cfRule>
  </conditionalFormatting>
  <conditionalFormatting sqref="S21:T21">
    <cfRule type="expression" dxfId="234" priority="305" stopIfTrue="1">
      <formula>LEFT(S21,5)="WATCH"</formula>
    </cfRule>
  </conditionalFormatting>
  <conditionalFormatting sqref="S21:T21">
    <cfRule type="expression" dxfId="233" priority="306" stopIfTrue="1">
      <formula>LEFT(S21,2)="OK"</formula>
    </cfRule>
  </conditionalFormatting>
  <conditionalFormatting sqref="S21:T21">
    <cfRule type="expression" dxfId="232" priority="307" stopIfTrue="1">
      <formula>LEFT(S21,12)="INSUFFICIENT"</formula>
    </cfRule>
  </conditionalFormatting>
  <conditionalFormatting sqref="S21:T21">
    <cfRule type="expression" dxfId="231" priority="37" stopIfTrue="1">
      <formula>RIGHT(S21,1)="*"</formula>
    </cfRule>
  </conditionalFormatting>
  <conditionalFormatting sqref="C23:D23">
    <cfRule type="expression" dxfId="230" priority="308" stopIfTrue="1">
      <formula>LEFT(C23,5)="ALERT"</formula>
    </cfRule>
  </conditionalFormatting>
  <conditionalFormatting sqref="C23:D23">
    <cfRule type="expression" dxfId="229" priority="309" stopIfTrue="1">
      <formula>LEFT(C23,5)="WATCH"</formula>
    </cfRule>
  </conditionalFormatting>
  <conditionalFormatting sqref="C23:D23">
    <cfRule type="expression" dxfId="228" priority="310" stopIfTrue="1">
      <formula>LEFT(C23,2)="OK"</formula>
    </cfRule>
  </conditionalFormatting>
  <conditionalFormatting sqref="C23:D23">
    <cfRule type="expression" dxfId="227" priority="311" stopIfTrue="1">
      <formula>LEFT(C23,12)="INSUFFICIENT"</formula>
    </cfRule>
  </conditionalFormatting>
  <conditionalFormatting sqref="C23:D23">
    <cfRule type="expression" dxfId="226" priority="36" stopIfTrue="1">
      <formula>RIGHT(C23,1)="*"</formula>
    </cfRule>
  </conditionalFormatting>
  <conditionalFormatting sqref="E23:F23">
    <cfRule type="expression" dxfId="225" priority="312" stopIfTrue="1">
      <formula>LEFT(E23,5)="ALERT"</formula>
    </cfRule>
  </conditionalFormatting>
  <conditionalFormatting sqref="E23:F23">
    <cfRule type="expression" dxfId="224" priority="313" stopIfTrue="1">
      <formula>LEFT(E23,5)="WATCH"</formula>
    </cfRule>
  </conditionalFormatting>
  <conditionalFormatting sqref="E23:F23">
    <cfRule type="expression" dxfId="223" priority="314" stopIfTrue="1">
      <formula>LEFT(E23,2)="OK"</formula>
    </cfRule>
  </conditionalFormatting>
  <conditionalFormatting sqref="E23:F23">
    <cfRule type="expression" dxfId="222" priority="315" stopIfTrue="1">
      <formula>LEFT(E23,12)="INSUFFICIENT"</formula>
    </cfRule>
  </conditionalFormatting>
  <conditionalFormatting sqref="E23:F23">
    <cfRule type="expression" dxfId="221" priority="35" stopIfTrue="1">
      <formula>RIGHT(E23,1)="*"</formula>
    </cfRule>
  </conditionalFormatting>
  <conditionalFormatting sqref="G23:H23">
    <cfRule type="expression" dxfId="220" priority="316" stopIfTrue="1">
      <formula>LEFT(G23,5)="ALERT"</formula>
    </cfRule>
  </conditionalFormatting>
  <conditionalFormatting sqref="G23:H23">
    <cfRule type="expression" dxfId="219" priority="317" stopIfTrue="1">
      <formula>LEFT(G23,5)="WATCH"</formula>
    </cfRule>
  </conditionalFormatting>
  <conditionalFormatting sqref="G23:H23">
    <cfRule type="expression" dxfId="218" priority="318" stopIfTrue="1">
      <formula>LEFT(G23,2)="OK"</formula>
    </cfRule>
  </conditionalFormatting>
  <conditionalFormatting sqref="G23:H23">
    <cfRule type="expression" dxfId="217" priority="319" stopIfTrue="1">
      <formula>LEFT(G23,12)="INSUFFICIENT"</formula>
    </cfRule>
  </conditionalFormatting>
  <conditionalFormatting sqref="G23:H23">
    <cfRule type="expression" dxfId="216" priority="34" stopIfTrue="1">
      <formula>RIGHT(G23,1)="*"</formula>
    </cfRule>
  </conditionalFormatting>
  <conditionalFormatting sqref="I23:J23">
    <cfRule type="expression" dxfId="215" priority="320" stopIfTrue="1">
      <formula>LEFT(I23,5)="ALERT"</formula>
    </cfRule>
  </conditionalFormatting>
  <conditionalFormatting sqref="I23:J23">
    <cfRule type="expression" dxfId="214" priority="321" stopIfTrue="1">
      <formula>LEFT(I23,5)="WATCH"</formula>
    </cfRule>
  </conditionalFormatting>
  <conditionalFormatting sqref="I23:J23">
    <cfRule type="expression" dxfId="213" priority="322" stopIfTrue="1">
      <formula>LEFT(I23,2)="OK"</formula>
    </cfRule>
  </conditionalFormatting>
  <conditionalFormatting sqref="I23:J23">
    <cfRule type="expression" dxfId="212" priority="323" stopIfTrue="1">
      <formula>LEFT(I23,12)="INSUFFICIENT"</formula>
    </cfRule>
  </conditionalFormatting>
  <conditionalFormatting sqref="I23:J23">
    <cfRule type="expression" dxfId="211" priority="33" stopIfTrue="1">
      <formula>RIGHT(I23,1)="*"</formula>
    </cfRule>
  </conditionalFormatting>
  <conditionalFormatting sqref="K23:L23">
    <cfRule type="expression" dxfId="210" priority="324" stopIfTrue="1">
      <formula>LEFT(K23,5)="ALERT"</formula>
    </cfRule>
  </conditionalFormatting>
  <conditionalFormatting sqref="K23:L23">
    <cfRule type="expression" dxfId="209" priority="325" stopIfTrue="1">
      <formula>LEFT(K23,5)="WATCH"</formula>
    </cfRule>
  </conditionalFormatting>
  <conditionalFormatting sqref="K23:L23">
    <cfRule type="expression" dxfId="208" priority="326" stopIfTrue="1">
      <formula>LEFT(K23,2)="OK"</formula>
    </cfRule>
  </conditionalFormatting>
  <conditionalFormatting sqref="K23:L23">
    <cfRule type="expression" dxfId="207" priority="327" stopIfTrue="1">
      <formula>LEFT(K23,12)="INSUFFICIENT"</formula>
    </cfRule>
  </conditionalFormatting>
  <conditionalFormatting sqref="K23:L23">
    <cfRule type="expression" dxfId="206" priority="32" stopIfTrue="1">
      <formula>RIGHT(K23,1)="*"</formula>
    </cfRule>
  </conditionalFormatting>
  <conditionalFormatting sqref="M23:N23">
    <cfRule type="expression" dxfId="205" priority="328" stopIfTrue="1">
      <formula>LEFT(M23,5)="ALERT"</formula>
    </cfRule>
  </conditionalFormatting>
  <conditionalFormatting sqref="M23:N23">
    <cfRule type="expression" dxfId="204" priority="329" stopIfTrue="1">
      <formula>LEFT(M23,5)="WATCH"</formula>
    </cfRule>
  </conditionalFormatting>
  <conditionalFormatting sqref="M23:N23">
    <cfRule type="expression" dxfId="203" priority="330" stopIfTrue="1">
      <formula>LEFT(M23,2)="OK"</formula>
    </cfRule>
  </conditionalFormatting>
  <conditionalFormatting sqref="M23:N23">
    <cfRule type="expression" dxfId="202" priority="331" stopIfTrue="1">
      <formula>LEFT(M23,12)="INSUFFICIENT"</formula>
    </cfRule>
  </conditionalFormatting>
  <conditionalFormatting sqref="M23:N23">
    <cfRule type="expression" dxfId="201" priority="31" stopIfTrue="1">
      <formula>RIGHT(M23,1)="*"</formula>
    </cfRule>
  </conditionalFormatting>
  <conditionalFormatting sqref="O23:P23">
    <cfRule type="expression" dxfId="200" priority="332" stopIfTrue="1">
      <formula>LEFT(O23,5)="ALERT"</formula>
    </cfRule>
  </conditionalFormatting>
  <conditionalFormatting sqref="O23:P23">
    <cfRule type="expression" dxfId="199" priority="333" stopIfTrue="1">
      <formula>LEFT(O23,5)="WATCH"</formula>
    </cfRule>
  </conditionalFormatting>
  <conditionalFormatting sqref="O23:P23">
    <cfRule type="expression" dxfId="198" priority="334" stopIfTrue="1">
      <formula>LEFT(O23,2)="OK"</formula>
    </cfRule>
  </conditionalFormatting>
  <conditionalFormatting sqref="O23:P23">
    <cfRule type="expression" dxfId="197" priority="335" stopIfTrue="1">
      <formula>LEFT(O23,12)="INSUFFICIENT"</formula>
    </cfRule>
  </conditionalFormatting>
  <conditionalFormatting sqref="O23:P23">
    <cfRule type="expression" dxfId="196" priority="30" stopIfTrue="1">
      <formula>RIGHT(O23,1)="*"</formula>
    </cfRule>
  </conditionalFormatting>
  <conditionalFormatting sqref="Q23:R23">
    <cfRule type="expression" dxfId="195" priority="336" stopIfTrue="1">
      <formula>LEFT(Q23,5)="ALERT"</formula>
    </cfRule>
  </conditionalFormatting>
  <conditionalFormatting sqref="Q23:R23">
    <cfRule type="expression" dxfId="194" priority="337" stopIfTrue="1">
      <formula>LEFT(Q23,5)="WATCH"</formula>
    </cfRule>
  </conditionalFormatting>
  <conditionalFormatting sqref="Q23:R23">
    <cfRule type="expression" dxfId="193" priority="338" stopIfTrue="1">
      <formula>LEFT(Q23,2)="OK"</formula>
    </cfRule>
  </conditionalFormatting>
  <conditionalFormatting sqref="Q23:R23">
    <cfRule type="expression" dxfId="192" priority="339" stopIfTrue="1">
      <formula>LEFT(Q23,12)="INSUFFICIENT"</formula>
    </cfRule>
  </conditionalFormatting>
  <conditionalFormatting sqref="Q23:R23">
    <cfRule type="expression" dxfId="191" priority="29" stopIfTrue="1">
      <formula>RIGHT(Q23,1)="*"</formula>
    </cfRule>
  </conditionalFormatting>
  <conditionalFormatting sqref="S23:T23">
    <cfRule type="expression" dxfId="190" priority="340" stopIfTrue="1">
      <formula>LEFT(S23,5)="ALERT"</formula>
    </cfRule>
  </conditionalFormatting>
  <conditionalFormatting sqref="S23:T23">
    <cfRule type="expression" dxfId="189" priority="341" stopIfTrue="1">
      <formula>LEFT(S23,5)="WATCH"</formula>
    </cfRule>
  </conditionalFormatting>
  <conditionalFormatting sqref="S23:T23">
    <cfRule type="expression" dxfId="188" priority="342" stopIfTrue="1">
      <formula>LEFT(S23,2)="OK"</formula>
    </cfRule>
  </conditionalFormatting>
  <conditionalFormatting sqref="S23:T23">
    <cfRule type="expression" dxfId="187" priority="343" stopIfTrue="1">
      <formula>LEFT(S23,12)="INSUFFICIENT"</formula>
    </cfRule>
  </conditionalFormatting>
  <conditionalFormatting sqref="S23:T23">
    <cfRule type="expression" dxfId="186" priority="28" stopIfTrue="1">
      <formula>RIGHT(S23,1)="*"</formula>
    </cfRule>
  </conditionalFormatting>
  <conditionalFormatting sqref="C25:D25">
    <cfRule type="expression" dxfId="185" priority="344" stopIfTrue="1">
      <formula>LEFT(C25,5)="ALERT"</formula>
    </cfRule>
  </conditionalFormatting>
  <conditionalFormatting sqref="C25:D25">
    <cfRule type="expression" dxfId="184" priority="345" stopIfTrue="1">
      <formula>LEFT(C25,5)="WATCH"</formula>
    </cfRule>
  </conditionalFormatting>
  <conditionalFormatting sqref="C25:D25">
    <cfRule type="expression" dxfId="183" priority="346" stopIfTrue="1">
      <formula>LEFT(C25,2)="OK"</formula>
    </cfRule>
  </conditionalFormatting>
  <conditionalFormatting sqref="C25:D25">
    <cfRule type="expression" dxfId="182" priority="347" stopIfTrue="1">
      <formula>LEFT(C25,12)="INSUFFICIENT"</formula>
    </cfRule>
  </conditionalFormatting>
  <conditionalFormatting sqref="C25:D25">
    <cfRule type="expression" dxfId="181" priority="27" stopIfTrue="1">
      <formula>RIGHT(C25,1)="*"</formula>
    </cfRule>
  </conditionalFormatting>
  <conditionalFormatting sqref="E25:F25">
    <cfRule type="expression" dxfId="180" priority="348" stopIfTrue="1">
      <formula>LEFT(E25,5)="ALERT"</formula>
    </cfRule>
  </conditionalFormatting>
  <conditionalFormatting sqref="E25:F25">
    <cfRule type="expression" dxfId="179" priority="349" stopIfTrue="1">
      <formula>LEFT(E25,5)="WATCH"</formula>
    </cfRule>
  </conditionalFormatting>
  <conditionalFormatting sqref="E25:F25">
    <cfRule type="expression" dxfId="178" priority="350" stopIfTrue="1">
      <formula>LEFT(E25,2)="OK"</formula>
    </cfRule>
  </conditionalFormatting>
  <conditionalFormatting sqref="E25:F25">
    <cfRule type="expression" dxfId="177" priority="351" stopIfTrue="1">
      <formula>LEFT(E25,12)="INSUFFICIENT"</formula>
    </cfRule>
  </conditionalFormatting>
  <conditionalFormatting sqref="E25:F25">
    <cfRule type="expression" dxfId="176" priority="26" stopIfTrue="1">
      <formula>RIGHT(E25,1)="*"</formula>
    </cfRule>
  </conditionalFormatting>
  <conditionalFormatting sqref="G25:H25">
    <cfRule type="expression" dxfId="175" priority="352" stopIfTrue="1">
      <formula>LEFT(G25,5)="ALERT"</formula>
    </cfRule>
  </conditionalFormatting>
  <conditionalFormatting sqref="G25:H25">
    <cfRule type="expression" dxfId="174" priority="353" stopIfTrue="1">
      <formula>LEFT(G25,5)="WATCH"</formula>
    </cfRule>
  </conditionalFormatting>
  <conditionalFormatting sqref="G25:H25">
    <cfRule type="expression" dxfId="173" priority="354" stopIfTrue="1">
      <formula>LEFT(G25,2)="OK"</formula>
    </cfRule>
  </conditionalFormatting>
  <conditionalFormatting sqref="G25:H25">
    <cfRule type="expression" dxfId="172" priority="355" stopIfTrue="1">
      <formula>LEFT(G25,12)="INSUFFICIENT"</formula>
    </cfRule>
  </conditionalFormatting>
  <conditionalFormatting sqref="G25:H25">
    <cfRule type="expression" dxfId="171" priority="25" stopIfTrue="1">
      <formula>RIGHT(G25,1)="*"</formula>
    </cfRule>
  </conditionalFormatting>
  <conditionalFormatting sqref="I25:J25">
    <cfRule type="expression" dxfId="170" priority="356" stopIfTrue="1">
      <formula>LEFT(I25,5)="ALERT"</formula>
    </cfRule>
  </conditionalFormatting>
  <conditionalFormatting sqref="I25:J25">
    <cfRule type="expression" dxfId="169" priority="357" stopIfTrue="1">
      <formula>LEFT(I25,5)="WATCH"</formula>
    </cfRule>
  </conditionalFormatting>
  <conditionalFormatting sqref="I25:J25">
    <cfRule type="expression" dxfId="168" priority="358" stopIfTrue="1">
      <formula>LEFT(I25,2)="OK"</formula>
    </cfRule>
  </conditionalFormatting>
  <conditionalFormatting sqref="I25:J25">
    <cfRule type="expression" dxfId="167" priority="359" stopIfTrue="1">
      <formula>LEFT(I25,12)="INSUFFICIENT"</formula>
    </cfRule>
  </conditionalFormatting>
  <conditionalFormatting sqref="I25:J25">
    <cfRule type="expression" dxfId="166" priority="24" stopIfTrue="1">
      <formula>RIGHT(I25,1)="*"</formula>
    </cfRule>
  </conditionalFormatting>
  <conditionalFormatting sqref="K25:L25">
    <cfRule type="expression" dxfId="165" priority="360" stopIfTrue="1">
      <formula>LEFT(K25,5)="ALERT"</formula>
    </cfRule>
  </conditionalFormatting>
  <conditionalFormatting sqref="K25:L25">
    <cfRule type="expression" dxfId="164" priority="361" stopIfTrue="1">
      <formula>LEFT(K25,5)="WATCH"</formula>
    </cfRule>
  </conditionalFormatting>
  <conditionalFormatting sqref="K25:L25">
    <cfRule type="expression" dxfId="163" priority="362" stopIfTrue="1">
      <formula>LEFT(K25,2)="OK"</formula>
    </cfRule>
  </conditionalFormatting>
  <conditionalFormatting sqref="K25:L25">
    <cfRule type="expression" dxfId="162" priority="363" stopIfTrue="1">
      <formula>LEFT(K25,12)="INSUFFICIENT"</formula>
    </cfRule>
  </conditionalFormatting>
  <conditionalFormatting sqref="K25:L25">
    <cfRule type="expression" dxfId="161" priority="23" stopIfTrue="1">
      <formula>RIGHT(K25,1)="*"</formula>
    </cfRule>
  </conditionalFormatting>
  <conditionalFormatting sqref="M25:N25">
    <cfRule type="expression" dxfId="160" priority="364" stopIfTrue="1">
      <formula>LEFT(M25,5)="ALERT"</formula>
    </cfRule>
  </conditionalFormatting>
  <conditionalFormatting sqref="M25:N25">
    <cfRule type="expression" dxfId="159" priority="365" stopIfTrue="1">
      <formula>LEFT(M25,5)="WATCH"</formula>
    </cfRule>
  </conditionalFormatting>
  <conditionalFormatting sqref="M25:N25">
    <cfRule type="expression" dxfId="158" priority="366" stopIfTrue="1">
      <formula>LEFT(M25,2)="OK"</formula>
    </cfRule>
  </conditionalFormatting>
  <conditionalFormatting sqref="M25:N25">
    <cfRule type="expression" dxfId="157" priority="367" stopIfTrue="1">
      <formula>LEFT(M25,12)="INSUFFICIENT"</formula>
    </cfRule>
  </conditionalFormatting>
  <conditionalFormatting sqref="M25:N25">
    <cfRule type="expression" dxfId="156" priority="22" stopIfTrue="1">
      <formula>RIGHT(M25,1)="*"</formula>
    </cfRule>
  </conditionalFormatting>
  <conditionalFormatting sqref="O25:P25">
    <cfRule type="expression" dxfId="155" priority="368" stopIfTrue="1">
      <formula>LEFT(O25,5)="ALERT"</formula>
    </cfRule>
  </conditionalFormatting>
  <conditionalFormatting sqref="O25:P25">
    <cfRule type="expression" dxfId="154" priority="369" stopIfTrue="1">
      <formula>LEFT(O25,5)="WATCH"</formula>
    </cfRule>
  </conditionalFormatting>
  <conditionalFormatting sqref="O25:P25">
    <cfRule type="expression" dxfId="153" priority="370" stopIfTrue="1">
      <formula>LEFT(O25,2)="OK"</formula>
    </cfRule>
  </conditionalFormatting>
  <conditionalFormatting sqref="O25:P25">
    <cfRule type="expression" dxfId="152" priority="371" stopIfTrue="1">
      <formula>LEFT(O25,12)="INSUFFICIENT"</formula>
    </cfRule>
  </conditionalFormatting>
  <conditionalFormatting sqref="O25:P25">
    <cfRule type="expression" dxfId="151" priority="21" stopIfTrue="1">
      <formula>RIGHT(O25,1)="*"</formula>
    </cfRule>
  </conditionalFormatting>
  <conditionalFormatting sqref="Q25:R25">
    <cfRule type="expression" dxfId="150" priority="372" stopIfTrue="1">
      <formula>LEFT(Q25,5)="ALERT"</formula>
    </cfRule>
  </conditionalFormatting>
  <conditionalFormatting sqref="Q25:R25">
    <cfRule type="expression" dxfId="149" priority="373" stopIfTrue="1">
      <formula>LEFT(Q25,5)="WATCH"</formula>
    </cfRule>
  </conditionalFormatting>
  <conditionalFormatting sqref="Q25:R25">
    <cfRule type="expression" dxfId="148" priority="374" stopIfTrue="1">
      <formula>LEFT(Q25,2)="OK"</formula>
    </cfRule>
  </conditionalFormatting>
  <conditionalFormatting sqref="Q25:R25">
    <cfRule type="expression" dxfId="147" priority="375" stopIfTrue="1">
      <formula>LEFT(Q25,12)="INSUFFICIENT"</formula>
    </cfRule>
  </conditionalFormatting>
  <conditionalFormatting sqref="Q25:R25">
    <cfRule type="expression" dxfId="146" priority="20" stopIfTrue="1">
      <formula>RIGHT(Q25,1)="*"</formula>
    </cfRule>
  </conditionalFormatting>
  <conditionalFormatting sqref="S25:T25">
    <cfRule type="expression" dxfId="145" priority="376" stopIfTrue="1">
      <formula>LEFT(S25,5)="ALERT"</formula>
    </cfRule>
  </conditionalFormatting>
  <conditionalFormatting sqref="S25:T25">
    <cfRule type="expression" dxfId="144" priority="377" stopIfTrue="1">
      <formula>LEFT(S25,5)="WATCH"</formula>
    </cfRule>
  </conditionalFormatting>
  <conditionalFormatting sqref="S25:T25">
    <cfRule type="expression" dxfId="143" priority="378" stopIfTrue="1">
      <formula>LEFT(S25,2)="OK"</formula>
    </cfRule>
  </conditionalFormatting>
  <conditionalFormatting sqref="S25:T25">
    <cfRule type="expression" dxfId="142" priority="379" stopIfTrue="1">
      <formula>LEFT(S25,12)="INSUFFICIENT"</formula>
    </cfRule>
  </conditionalFormatting>
  <conditionalFormatting sqref="S25:T25">
    <cfRule type="expression" dxfId="141" priority="19" stopIfTrue="1">
      <formula>RIGHT(S25,1)="*"</formula>
    </cfRule>
  </conditionalFormatting>
  <conditionalFormatting sqref="C27:D27">
    <cfRule type="expression" dxfId="140" priority="380" stopIfTrue="1">
      <formula>LEFT(C27,5)="ALERT"</formula>
    </cfRule>
  </conditionalFormatting>
  <conditionalFormatting sqref="C27:D27">
    <cfRule type="expression" dxfId="139" priority="381" stopIfTrue="1">
      <formula>LEFT(C27,5)="WATCH"</formula>
    </cfRule>
  </conditionalFormatting>
  <conditionalFormatting sqref="C27:D27">
    <cfRule type="expression" dxfId="138" priority="382" stopIfTrue="1">
      <formula>LEFT(C27,2)="OK"</formula>
    </cfRule>
  </conditionalFormatting>
  <conditionalFormatting sqref="C27:D27">
    <cfRule type="expression" dxfId="137" priority="383" stopIfTrue="1">
      <formula>LEFT(C27,12)="INSUFFICIENT"</formula>
    </cfRule>
  </conditionalFormatting>
  <conditionalFormatting sqref="C27:D27">
    <cfRule type="expression" dxfId="136" priority="18" stopIfTrue="1">
      <formula>RIGHT(C27,1)="*"</formula>
    </cfRule>
  </conditionalFormatting>
  <conditionalFormatting sqref="E27:F27">
    <cfRule type="expression" dxfId="135" priority="384" stopIfTrue="1">
      <formula>LEFT(E27,5)="ALERT"</formula>
    </cfRule>
  </conditionalFormatting>
  <conditionalFormatting sqref="E27:F27">
    <cfRule type="expression" dxfId="134" priority="385" stopIfTrue="1">
      <formula>LEFT(E27,5)="WATCH"</formula>
    </cfRule>
  </conditionalFormatting>
  <conditionalFormatting sqref="E27:F27">
    <cfRule type="expression" dxfId="133" priority="386" stopIfTrue="1">
      <formula>LEFT(E27,2)="OK"</formula>
    </cfRule>
  </conditionalFormatting>
  <conditionalFormatting sqref="E27:F27">
    <cfRule type="expression" dxfId="132" priority="387" stopIfTrue="1">
      <formula>LEFT(E27,12)="INSUFFICIENT"</formula>
    </cfRule>
  </conditionalFormatting>
  <conditionalFormatting sqref="E27:F27">
    <cfRule type="expression" dxfId="131" priority="17" stopIfTrue="1">
      <formula>RIGHT(E27,1)="*"</formula>
    </cfRule>
  </conditionalFormatting>
  <conditionalFormatting sqref="G27:H27">
    <cfRule type="expression" dxfId="130" priority="388" stopIfTrue="1">
      <formula>LEFT(G27,5)="ALERT"</formula>
    </cfRule>
  </conditionalFormatting>
  <conditionalFormatting sqref="G27:H27">
    <cfRule type="expression" dxfId="129" priority="389" stopIfTrue="1">
      <formula>LEFT(G27,5)="WATCH"</formula>
    </cfRule>
  </conditionalFormatting>
  <conditionalFormatting sqref="G27:H27">
    <cfRule type="expression" dxfId="128" priority="390" stopIfTrue="1">
      <formula>LEFT(G27,2)="OK"</formula>
    </cfRule>
  </conditionalFormatting>
  <conditionalFormatting sqref="G27:H27">
    <cfRule type="expression" dxfId="127" priority="391" stopIfTrue="1">
      <formula>LEFT(G27,12)="INSUFFICIENT"</formula>
    </cfRule>
  </conditionalFormatting>
  <conditionalFormatting sqref="G27:H27">
    <cfRule type="expression" dxfId="126" priority="16" stopIfTrue="1">
      <formula>RIGHT(G27,1)="*"</formula>
    </cfRule>
  </conditionalFormatting>
  <conditionalFormatting sqref="I27:J27">
    <cfRule type="expression" dxfId="125" priority="392" stopIfTrue="1">
      <formula>LEFT(I27,5)="ALERT"</formula>
    </cfRule>
  </conditionalFormatting>
  <conditionalFormatting sqref="I27:J27">
    <cfRule type="expression" dxfId="124" priority="393" stopIfTrue="1">
      <formula>LEFT(I27,5)="WATCH"</formula>
    </cfRule>
  </conditionalFormatting>
  <conditionalFormatting sqref="I27:J27">
    <cfRule type="expression" dxfId="123" priority="394" stopIfTrue="1">
      <formula>LEFT(I27,2)="OK"</formula>
    </cfRule>
  </conditionalFormatting>
  <conditionalFormatting sqref="I27:J27">
    <cfRule type="expression" dxfId="122" priority="395" stopIfTrue="1">
      <formula>LEFT(I27,12)="INSUFFICIENT"</formula>
    </cfRule>
  </conditionalFormatting>
  <conditionalFormatting sqref="I27:J27">
    <cfRule type="expression" dxfId="121" priority="15" stopIfTrue="1">
      <formula>RIGHT(I27,1)="*"</formula>
    </cfRule>
  </conditionalFormatting>
  <conditionalFormatting sqref="K27:L27">
    <cfRule type="expression" dxfId="120" priority="396" stopIfTrue="1">
      <formula>LEFT(K27,5)="ALERT"</formula>
    </cfRule>
  </conditionalFormatting>
  <conditionalFormatting sqref="K27:L27">
    <cfRule type="expression" dxfId="119" priority="397" stopIfTrue="1">
      <formula>LEFT(K27,5)="WATCH"</formula>
    </cfRule>
  </conditionalFormatting>
  <conditionalFormatting sqref="K27:L27">
    <cfRule type="expression" dxfId="118" priority="398" stopIfTrue="1">
      <formula>LEFT(K27,2)="OK"</formula>
    </cfRule>
  </conditionalFormatting>
  <conditionalFormatting sqref="K27:L27">
    <cfRule type="expression" dxfId="117" priority="399" stopIfTrue="1">
      <formula>LEFT(K27,12)="INSUFFICIENT"</formula>
    </cfRule>
  </conditionalFormatting>
  <conditionalFormatting sqref="K27:L27">
    <cfRule type="expression" dxfId="116" priority="14" stopIfTrue="1">
      <formula>RIGHT(K27,1)="*"</formula>
    </cfRule>
  </conditionalFormatting>
  <conditionalFormatting sqref="M27:N27">
    <cfRule type="expression" dxfId="115" priority="400" stopIfTrue="1">
      <formula>LEFT(M27,5)="ALERT"</formula>
    </cfRule>
  </conditionalFormatting>
  <conditionalFormatting sqref="M27:N27">
    <cfRule type="expression" dxfId="114" priority="401" stopIfTrue="1">
      <formula>LEFT(M27,5)="WATCH"</formula>
    </cfRule>
  </conditionalFormatting>
  <conditionalFormatting sqref="M27:N27">
    <cfRule type="expression" dxfId="113" priority="402" stopIfTrue="1">
      <formula>LEFT(M27,2)="OK"</formula>
    </cfRule>
  </conditionalFormatting>
  <conditionalFormatting sqref="M27:N27">
    <cfRule type="expression" dxfId="112" priority="403" stopIfTrue="1">
      <formula>LEFT(M27,12)="INSUFFICIENT"</formula>
    </cfRule>
  </conditionalFormatting>
  <conditionalFormatting sqref="M27:N27">
    <cfRule type="expression" dxfId="111" priority="13" stopIfTrue="1">
      <formula>RIGHT(M27,1)="*"</formula>
    </cfRule>
  </conditionalFormatting>
  <conditionalFormatting sqref="O27:P27">
    <cfRule type="expression" dxfId="110" priority="404" stopIfTrue="1">
      <formula>LEFT(O27,5)="ALERT"</formula>
    </cfRule>
  </conditionalFormatting>
  <conditionalFormatting sqref="O27:P27">
    <cfRule type="expression" dxfId="109" priority="405" stopIfTrue="1">
      <formula>LEFT(O27,5)="WATCH"</formula>
    </cfRule>
  </conditionalFormatting>
  <conditionalFormatting sqref="O27:P27">
    <cfRule type="expression" dxfId="108" priority="406" stopIfTrue="1">
      <formula>LEFT(O27,2)="OK"</formula>
    </cfRule>
  </conditionalFormatting>
  <conditionalFormatting sqref="O27:P27">
    <cfRule type="expression" dxfId="107" priority="407" stopIfTrue="1">
      <formula>LEFT(O27,12)="INSUFFICIENT"</formula>
    </cfRule>
  </conditionalFormatting>
  <conditionalFormatting sqref="O27:P27">
    <cfRule type="expression" dxfId="106" priority="12" stopIfTrue="1">
      <formula>RIGHT(O27,1)="*"</formula>
    </cfRule>
  </conditionalFormatting>
  <conditionalFormatting sqref="Q27:R27">
    <cfRule type="expression" dxfId="105" priority="408" stopIfTrue="1">
      <formula>LEFT(Q27,5)="ALERT"</formula>
    </cfRule>
  </conditionalFormatting>
  <conditionalFormatting sqref="Q27:R27">
    <cfRule type="expression" dxfId="104" priority="409" stopIfTrue="1">
      <formula>LEFT(Q27,5)="WATCH"</formula>
    </cfRule>
  </conditionalFormatting>
  <conditionalFormatting sqref="Q27:R27">
    <cfRule type="expression" dxfId="103" priority="410" stopIfTrue="1">
      <formula>LEFT(Q27,2)="OK"</formula>
    </cfRule>
  </conditionalFormatting>
  <conditionalFormatting sqref="Q27:R27">
    <cfRule type="expression" dxfId="102" priority="411" stopIfTrue="1">
      <formula>LEFT(Q27,12)="INSUFFICIENT"</formula>
    </cfRule>
  </conditionalFormatting>
  <conditionalFormatting sqref="Q27:R27">
    <cfRule type="expression" dxfId="101" priority="11" stopIfTrue="1">
      <formula>RIGHT(Q27,1)="*"</formula>
    </cfRule>
  </conditionalFormatting>
  <conditionalFormatting sqref="S27:T27">
    <cfRule type="expression" dxfId="100" priority="412" stopIfTrue="1">
      <formula>LEFT(S27,5)="ALERT"</formula>
    </cfRule>
  </conditionalFormatting>
  <conditionalFormatting sqref="S27:T27">
    <cfRule type="expression" dxfId="99" priority="413" stopIfTrue="1">
      <formula>LEFT(S27,5)="WATCH"</formula>
    </cfRule>
  </conditionalFormatting>
  <conditionalFormatting sqref="S27:T27">
    <cfRule type="expression" dxfId="98" priority="414" stopIfTrue="1">
      <formula>LEFT(S27,2)="OK"</formula>
    </cfRule>
  </conditionalFormatting>
  <conditionalFormatting sqref="S27:T27">
    <cfRule type="expression" dxfId="97" priority="415" stopIfTrue="1">
      <formula>LEFT(S27,12)="INSUFFICIENT"</formula>
    </cfRule>
  </conditionalFormatting>
  <conditionalFormatting sqref="S27:T27">
    <cfRule type="expression" dxfId="96" priority="10" stopIfTrue="1">
      <formula>RIGHT(S27,1)="*"</formula>
    </cfRule>
  </conditionalFormatting>
  <conditionalFormatting sqref="C29:D29">
    <cfRule type="expression" dxfId="95" priority="416" stopIfTrue="1">
      <formula>LEFT(C29,5)="ALERT"</formula>
    </cfRule>
  </conditionalFormatting>
  <conditionalFormatting sqref="C29:D29">
    <cfRule type="expression" dxfId="94" priority="417" stopIfTrue="1">
      <formula>LEFT(C29,5)="WATCH"</formula>
    </cfRule>
  </conditionalFormatting>
  <conditionalFormatting sqref="C29:D29">
    <cfRule type="expression" dxfId="93" priority="418" stopIfTrue="1">
      <formula>LEFT(C29,2)="OK"</formula>
    </cfRule>
  </conditionalFormatting>
  <conditionalFormatting sqref="C29:D29">
    <cfRule type="expression" dxfId="92" priority="419" stopIfTrue="1">
      <formula>LEFT(C29,12)="INSUFFICIENT"</formula>
    </cfRule>
  </conditionalFormatting>
  <conditionalFormatting sqref="C29:D29">
    <cfRule type="expression" dxfId="91" priority="9" stopIfTrue="1">
      <formula>RIGHT(C29,1)="*"</formula>
    </cfRule>
  </conditionalFormatting>
  <conditionalFormatting sqref="E29:F29">
    <cfRule type="expression" dxfId="90" priority="420" stopIfTrue="1">
      <formula>LEFT(E29,5)="ALERT"</formula>
    </cfRule>
  </conditionalFormatting>
  <conditionalFormatting sqref="E29:F29">
    <cfRule type="expression" dxfId="89" priority="421" stopIfTrue="1">
      <formula>LEFT(E29,5)="WATCH"</formula>
    </cfRule>
  </conditionalFormatting>
  <conditionalFormatting sqref="E29:F29">
    <cfRule type="expression" dxfId="88" priority="422" stopIfTrue="1">
      <formula>LEFT(E29,2)="OK"</formula>
    </cfRule>
  </conditionalFormatting>
  <conditionalFormatting sqref="E29:F29">
    <cfRule type="expression" dxfId="87" priority="423" stopIfTrue="1">
      <formula>LEFT(E29,12)="INSUFFICIENT"</formula>
    </cfRule>
  </conditionalFormatting>
  <conditionalFormatting sqref="E29:F29">
    <cfRule type="expression" dxfId="86" priority="8" stopIfTrue="1">
      <formula>RIGHT(E29,1)="*"</formula>
    </cfRule>
  </conditionalFormatting>
  <conditionalFormatting sqref="G29:H29">
    <cfRule type="expression" dxfId="85" priority="424" stopIfTrue="1">
      <formula>LEFT(G29,5)="ALERT"</formula>
    </cfRule>
  </conditionalFormatting>
  <conditionalFormatting sqref="G29:H29">
    <cfRule type="expression" dxfId="84" priority="425" stopIfTrue="1">
      <formula>LEFT(G29,5)="WATCH"</formula>
    </cfRule>
  </conditionalFormatting>
  <conditionalFormatting sqref="G29:H29">
    <cfRule type="expression" dxfId="83" priority="426" stopIfTrue="1">
      <formula>LEFT(G29,2)="OK"</formula>
    </cfRule>
  </conditionalFormatting>
  <conditionalFormatting sqref="G29:H29">
    <cfRule type="expression" dxfId="82" priority="427" stopIfTrue="1">
      <formula>LEFT(G29,12)="INSUFFICIENT"</formula>
    </cfRule>
  </conditionalFormatting>
  <conditionalFormatting sqref="G29:H29">
    <cfRule type="expression" dxfId="81" priority="7" stopIfTrue="1">
      <formula>RIGHT(G29,1)="*"</formula>
    </cfRule>
  </conditionalFormatting>
  <conditionalFormatting sqref="I29:J29">
    <cfRule type="expression" dxfId="80" priority="428" stopIfTrue="1">
      <formula>LEFT(I29,5)="ALERT"</formula>
    </cfRule>
  </conditionalFormatting>
  <conditionalFormatting sqref="I29:J29">
    <cfRule type="expression" dxfId="79" priority="429" stopIfTrue="1">
      <formula>LEFT(I29,5)="WATCH"</formula>
    </cfRule>
  </conditionalFormatting>
  <conditionalFormatting sqref="I29:J29">
    <cfRule type="expression" dxfId="78" priority="430" stopIfTrue="1">
      <formula>LEFT(I29,2)="OK"</formula>
    </cfRule>
  </conditionalFormatting>
  <conditionalFormatting sqref="I29:J29">
    <cfRule type="expression" dxfId="77" priority="431" stopIfTrue="1">
      <formula>LEFT(I29,12)="INSUFFICIENT"</formula>
    </cfRule>
  </conditionalFormatting>
  <conditionalFormatting sqref="I29:J29">
    <cfRule type="expression" dxfId="76" priority="6" stopIfTrue="1">
      <formula>RIGHT(I29,1)="*"</formula>
    </cfRule>
  </conditionalFormatting>
  <conditionalFormatting sqref="K29:L29">
    <cfRule type="expression" dxfId="75" priority="432" stopIfTrue="1">
      <formula>LEFT(K29,5)="ALERT"</formula>
    </cfRule>
  </conditionalFormatting>
  <conditionalFormatting sqref="K29:L29">
    <cfRule type="expression" dxfId="74" priority="433" stopIfTrue="1">
      <formula>LEFT(K29,5)="WATCH"</formula>
    </cfRule>
  </conditionalFormatting>
  <conditionalFormatting sqref="K29:L29">
    <cfRule type="expression" dxfId="73" priority="434" stopIfTrue="1">
      <formula>LEFT(K29,2)="OK"</formula>
    </cfRule>
  </conditionalFormatting>
  <conditionalFormatting sqref="K29:L29">
    <cfRule type="expression" dxfId="72" priority="435" stopIfTrue="1">
      <formula>LEFT(K29,12)="INSUFFICIENT"</formula>
    </cfRule>
  </conditionalFormatting>
  <conditionalFormatting sqref="K29:L29">
    <cfRule type="expression" dxfId="71" priority="5" stopIfTrue="1">
      <formula>RIGHT(K29,1)="*"</formula>
    </cfRule>
  </conditionalFormatting>
  <conditionalFormatting sqref="M29:N29">
    <cfRule type="expression" dxfId="70" priority="436" stopIfTrue="1">
      <formula>LEFT(M29,5)="ALERT"</formula>
    </cfRule>
  </conditionalFormatting>
  <conditionalFormatting sqref="M29:N29">
    <cfRule type="expression" dxfId="69" priority="437" stopIfTrue="1">
      <formula>LEFT(M29,5)="WATCH"</formula>
    </cfRule>
  </conditionalFormatting>
  <conditionalFormatting sqref="M29:N29">
    <cfRule type="expression" dxfId="68" priority="438" stopIfTrue="1">
      <formula>LEFT(M29,2)="OK"</formula>
    </cfRule>
  </conditionalFormatting>
  <conditionalFormatting sqref="M29:N29">
    <cfRule type="expression" dxfId="67" priority="439" stopIfTrue="1">
      <formula>LEFT(M29,12)="INSUFFICIENT"</formula>
    </cfRule>
  </conditionalFormatting>
  <conditionalFormatting sqref="M29:N29">
    <cfRule type="expression" dxfId="66" priority="4" stopIfTrue="1">
      <formula>RIGHT(M29,1)="*"</formula>
    </cfRule>
  </conditionalFormatting>
  <conditionalFormatting sqref="O29:P29">
    <cfRule type="expression" dxfId="65" priority="440" stopIfTrue="1">
      <formula>LEFT(O29,5)="ALERT"</formula>
    </cfRule>
  </conditionalFormatting>
  <conditionalFormatting sqref="O29:P29">
    <cfRule type="expression" dxfId="64" priority="441" stopIfTrue="1">
      <formula>LEFT(O29,5)="WATCH"</formula>
    </cfRule>
  </conditionalFormatting>
  <conditionalFormatting sqref="O29:P29">
    <cfRule type="expression" dxfId="63" priority="442" stopIfTrue="1">
      <formula>LEFT(O29,2)="OK"</formula>
    </cfRule>
  </conditionalFormatting>
  <conditionalFormatting sqref="O29:P29">
    <cfRule type="expression" dxfId="62" priority="443" stopIfTrue="1">
      <formula>LEFT(O29,12)="INSUFFICIENT"</formula>
    </cfRule>
  </conditionalFormatting>
  <conditionalFormatting sqref="O29:P29">
    <cfRule type="expression" dxfId="61" priority="3" stopIfTrue="1">
      <formula>RIGHT(O29,1)="*"</formula>
    </cfRule>
  </conditionalFormatting>
  <conditionalFormatting sqref="Q29:R29">
    <cfRule type="expression" dxfId="60" priority="444" stopIfTrue="1">
      <formula>LEFT(Q29,5)="ALERT"</formula>
    </cfRule>
  </conditionalFormatting>
  <conditionalFormatting sqref="Q29:R29">
    <cfRule type="expression" dxfId="59" priority="445" stopIfTrue="1">
      <formula>LEFT(Q29,5)="WATCH"</formula>
    </cfRule>
  </conditionalFormatting>
  <conditionalFormatting sqref="Q29:R29">
    <cfRule type="expression" dxfId="58" priority="446" stopIfTrue="1">
      <formula>LEFT(Q29,2)="OK"</formula>
    </cfRule>
  </conditionalFormatting>
  <conditionalFormatting sqref="Q29:R29">
    <cfRule type="expression" dxfId="57" priority="447" stopIfTrue="1">
      <formula>LEFT(Q29,12)="INSUFFICIENT"</formula>
    </cfRule>
  </conditionalFormatting>
  <conditionalFormatting sqref="Q29:R29">
    <cfRule type="expression" dxfId="56" priority="2" stopIfTrue="1">
      <formula>RIGHT(Q29,1)="*"</formula>
    </cfRule>
  </conditionalFormatting>
  <conditionalFormatting sqref="S29:T29">
    <cfRule type="expression" dxfId="55" priority="448" stopIfTrue="1">
      <formula>LEFT(S29,5)="ALERT"</formula>
    </cfRule>
  </conditionalFormatting>
  <conditionalFormatting sqref="S29:T29">
    <cfRule type="expression" dxfId="54" priority="449" stopIfTrue="1">
      <formula>LEFT(S29,5)="WATCH"</formula>
    </cfRule>
  </conditionalFormatting>
  <conditionalFormatting sqref="S29:T29">
    <cfRule type="expression" dxfId="53" priority="450" stopIfTrue="1">
      <formula>LEFT(S29,2)="OK"</formula>
    </cfRule>
  </conditionalFormatting>
  <conditionalFormatting sqref="S29:T29">
    <cfRule type="expression" dxfId="52" priority="451" stopIfTrue="1">
      <formula>LEFT(S29,12)="INSUFFICIENT"</formula>
    </cfRule>
  </conditionalFormatting>
  <conditionalFormatting sqref="S29:T29">
    <cfRule type="expression" dxfId="51" priority="1" stopIfTrue="1">
      <formula>RIGHT(S29,1)="*"</formula>
    </cfRule>
  </conditionalFormatting>
  <dataValidations count="3">
    <dataValidation type="list" allowBlank="1" showInputMessage="1" showErrorMessage="1" sqref="C5" xr:uid="{78655A98-92A3-46DF-8C2A-4B61F381E1C1}">
      <formula1>"Life,Pension,Non-life,Unassigned"</formula1>
    </dataValidation>
    <dataValidation type="list" allowBlank="1" showInputMessage="1" showErrorMessage="1" sqref="J5" xr:uid="{0F9F2E24-7D6A-41A6-87DB-9528C8C43EF4}">
      <formula1>anMonthList</formula1>
    </dataValidation>
    <dataValidation type="list" allowBlank="1" showInputMessage="1" showErrorMessage="1" sqref="C33" xr:uid="{6ED89003-0678-42A5-9D59-B4EC39ECCA97}">
      <formula1>_xlfn.ANCHORARRAY($AB$8)</formula1>
    </dataValidation>
  </dataValidations>
  <printOptions horizontalCentered="1"/>
  <pageMargins left="0.25" right="0.25" top="0.25" bottom="0.25" header="0.3" footer="0.3"/>
  <pageSetup paperSize="9" scale="7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8C1CF-514D-4E44-99A9-B1DC71864541}">
  <sheetPr codeName="Sheet87">
    <pageSetUpPr fitToPage="1"/>
  </sheetPr>
  <dimension ref="B1:BO55"/>
  <sheetViews>
    <sheetView showGridLines="0" workbookViewId="0"/>
  </sheetViews>
  <sheetFormatPr defaultRowHeight="12"/>
  <cols>
    <col min="1" max="1" width="2.28515625" style="122" customWidth="1"/>
    <col min="2" max="19" width="8.28515625" style="122" customWidth="1"/>
    <col min="20" max="27" width="9.140625" style="122"/>
    <col min="28" max="104" width="0" style="122" hidden="1" customWidth="1"/>
    <col min="105" max="16384" width="9.140625" style="122"/>
  </cols>
  <sheetData>
    <row r="1" spans="2:67" ht="18">
      <c r="B1" s="123" t="str">
        <f>$AB$5&amp;": "&amp;$BG$2&amp;" ALERT, "&amp;$BG$3&amp;" WATCH; "&amp;$BG$4&amp;" yer tutucu (*) sayılmadı; taslak eşikler"</f>
        <v>: 0 ALERT, 0 WATCH; 0 yer tutucu (*) sayılmadı; taslak eşikler</v>
      </c>
      <c r="AB1" s="122" t="s">
        <v>21026</v>
      </c>
    </row>
    <row r="2" spans="2:67" ht="15">
      <c r="B2" s="124" t="str">
        <f>$AB$5&amp;": "&amp;$BG$2&amp;" ALERT, "&amp;$BG$3&amp;" WATCH; "&amp;$BG$4&amp;" placeholders (*) not counted; draft levels"</f>
        <v>: 0 ALERT, 0 WATCH; 0 placeholders (*) not counted; draft levels</v>
      </c>
      <c r="AB2" s="122" t="str">
        <f>IF($AB$6="","INSUFFICIENT DATA","OK: "&amp;$AB$5&amp;": "&amp;$BG$2&amp;" ALERT, "&amp;$BG$3&amp;" WATCH (DRAFT)")</f>
        <v>INSUFFICIENT DATA</v>
      </c>
      <c r="BG2" s="122" cm="1">
        <f t="array" ref="BG2">IF($BH$8="",0,SUMPRODUCT((LEFT(INDEX(_xlfn.ANCHORARRAY($BH$8),,5),5)="ALERT")*(RIGHT(INDEX(_xlfn.ANCHORARRAY($BH$8),,5),1)&lt;&gt;"*")))</f>
        <v>0</v>
      </c>
    </row>
    <row r="3" spans="2:67">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7" t="str">
        <f>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BG3" s="122" cm="1">
        <f t="array" ref="BG3">IF($BH$8="",0,SUMPRODUCT((LEFT(INDEX(_xlfn.ANCHORARRAY($BH$8),,5),5)="WATCH")*(RIGHT(INDEX(_xlfn.ANCHORARRAY($BH$8),,5),1)&lt;&gt;"*")))</f>
        <v>0</v>
      </c>
    </row>
    <row r="4" spans="2:67" ht="63.95" customHeight="1">
      <c r="B4" s="244" t="str">
        <f>_xlfn.XLOOKUP("AN_WL_PURPOSE",tblUIText[Key],tblUIText[TR],"AN_WL_PURPOSE")&amp;" / "&amp;_xlfn.XLOOKUP("AN_WL_PURPOSE",tblUIText[Key],tblUIText[EN],"")&amp;CHAR(10)&amp;_xlfn.XLOOKUP("AN_HOWTO_WATCHLIST",tblUIText[Key],tblUIText[TR],"AN_HOWTO_WATCHLIST")&amp;" / "&amp;_xlfn.XLOOKUP("AN_HOWTO_WATCHLIST",tblUIText[Key],tblUIText[EN],"")</f>
        <v>Seçilen ayın uyarıları (WATCH / ALERT), her segmentte önem puanına göre sıralı; segment başına en fazla N satır. / Alerts (WATCH / ALERT) of the selected month, ranked by severity score within each segment; at most N rows per segment.
Nasıl okunur: puan = ALERT 3, WATCH 1, artı göstergenin gücü (|z| / 10, en fazla 1). Yer tutucu (*) ve INSUFFICIENT DATA durumları listede yoktur. Segmentler birbiriyle karşılaştırılmaz; 'Git' anomali sayfasını açar (segment ve şirketi orada seçin). / How to read: score = ALERT 3, WATCH 1, plus the indicator's strength (|z| / 10, at most 1). Placeholder (*) and INSUFFICIENT DATA statuses are not listed. Segments are never compared with each other; 'Go' opens the anomaly page (select segment and company there).</v>
      </c>
      <c r="C4" s="244"/>
      <c r="D4" s="244"/>
      <c r="E4" s="244"/>
      <c r="F4" s="244"/>
      <c r="G4" s="244"/>
      <c r="H4" s="244"/>
      <c r="I4" s="244"/>
      <c r="J4" s="244"/>
      <c r="K4" s="244"/>
      <c r="L4" s="244"/>
      <c r="M4" s="244"/>
      <c r="N4" s="244"/>
      <c r="O4" s="244"/>
      <c r="P4" s="244"/>
      <c r="Q4" s="244"/>
      <c r="R4" s="244"/>
      <c r="S4" s="244"/>
      <c r="BG4" s="122" cm="1">
        <f t="array" ref="BG4">IF($BH$8="",0,SUMPRODUCT(--(RIGHT(INDEX(_xlfn.ANCHORARRAY($BH$8),,5),1)="*")))</f>
        <v>0</v>
      </c>
    </row>
    <row r="5" spans="2:67">
      <c r="B5" s="128" t="s">
        <v>19100</v>
      </c>
      <c r="C5" s="130" t="s">
        <v>21493</v>
      </c>
      <c r="I5" s="129" t="str">
        <f>_xlfn.XLOOKUP("AN_LBL_MONTH",tblUIText[Key],tblUIText[TR],"AN_LBL_MONTH")&amp;" / "&amp;_xlfn.XLOOKUP("AN_LBL_MONTH",tblUIText[Key],tblUIText[EN],"")&amp;":"</f>
        <v>Ay / Month:</v>
      </c>
      <c r="J5" s="287" t="s">
        <v>19101</v>
      </c>
      <c r="K5" s="275"/>
      <c r="M5" s="130" t="str">
        <f>_xlfn.XLOOKUP("AN_LBL_REFRESH",tblUIText[Key],tblUIText[TR],"AN_LBL_REFRESH")&amp;" / "&amp;_xlfn.XLOOKUP("AN_LBL_REFRESH",tblUIText[Key],tblUIText[EN],"")&amp;": "&amp;IFERROR(TEXT(cpLastLoggedRefresh,"yyyy-mm-dd hh:mm"),cpLastLoggedRefresh&amp;"")</f>
        <v>Son yenileme / Last refresh: none</v>
      </c>
      <c r="AB5" s="122" t="str" cm="1">
        <f t="array" ref="AB5">IF($J$5=_xlfn.XLOOKUP("AN_LBL_LATEST",tblUIText[Key],tblUIText[TR],"AN_LBL_LATEST")&amp;" / "&amp;_xlfn.XLOOKUP("AN_LBL_LATEST",tblUIText[Key],tblUIText[EN],""),IFERROR(_xlfn.TAKE(_xlfn._xlws.SORT(_xlfn.UNIQUE(_xlfn._xlws.FILTER(anCM_YM,anCM_YM&lt;&gt;""))),-1),""),$J$5)</f>
        <v/>
      </c>
      <c r="BG5" s="122" cm="1">
        <f t="array" ref="BG5">IF($BH$8="",0,SUMPRODUCT(--(LEFT(INDEX(_xlfn.ANCHORARRAY($BH$8),,5),5)="INSUF")))</f>
        <v>0</v>
      </c>
    </row>
    <row r="6" spans="2:67">
      <c r="B6" s="245" t="str">
        <f>_xlfn.XLOOKUP("AN_LBL_READINESS",tblUIText[Key],tblUIText[TR],"AN_LBL_READINESS")&amp;" / "&amp;_xlfn.XLOOKUP("AN_LBL_READINESS",tblUIText[Key],tblUIText[EN],"")&amp;": "&amp;IF($AB$6="","INSUFFICIENT DATA","OK")&amp;": "&amp;IF($AC$8="",0,ROWS(_xlfn.ANCHORARRAY($AC$8)))&amp;" "&amp;_xlfn.XLOOKUP("AN_ANO_COMPANIES",tblUIText[Key],tblUIText[TR],"AN_ANO_COMPANIES")&amp;" / "&amp;_xlfn.XLOOKUP("AN_ANO_COMPANIES",tblUIText[Key],tblUIText[EN],"")&amp;"; "&amp;$AB$5&amp;" (DRAFT)"</f>
        <v>Veri durumu / Data readiness: INSUFFICIENT DATA: 0 şirket / companies;  (DRAFT)</v>
      </c>
      <c r="C6" s="246"/>
      <c r="D6" s="246"/>
      <c r="E6" s="246"/>
      <c r="F6" s="246"/>
      <c r="G6" s="246"/>
      <c r="H6" s="246"/>
      <c r="I6" s="246"/>
      <c r="J6" s="246"/>
      <c r="K6" s="246"/>
      <c r="L6" s="246"/>
      <c r="M6" s="246"/>
      <c r="N6" s="246"/>
      <c r="O6" s="246"/>
      <c r="P6" s="246"/>
      <c r="Q6" s="246"/>
      <c r="R6" s="246"/>
      <c r="S6" s="246"/>
      <c r="AB6" s="122" t="str" cm="1">
        <f t="array" ref="AB6">IF($AB$5="","",anMK($AB$5))</f>
        <v/>
      </c>
    </row>
    <row r="7" spans="2:67"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BH7" s="122" t="s">
        <v>21027</v>
      </c>
      <c r="BO7" s="122" t="s">
        <v>21028</v>
      </c>
    </row>
    <row r="8" spans="2:67">
      <c r="AB8" s="122" t="str" cm="1">
        <f t="array" ref="AB8">IFERROR(_xlfn._xlws.SORT(_xlfn.UNIQUE(_xlfn._xlws.FILTER(anCM_Comp,anCM_Comp&lt;&gt;""))),"")</f>
        <v/>
      </c>
      <c r="AC8" s="122" t="str" cm="1">
        <f t="array" ref="AC8">IF(OR(INDEX(_xlfn.ANCHORARRAY($AB$8),1)="",$AB$6=""),"",_xlfn.DROP(_xlfn.REDUCE("",_xlfn.ANCHORARRAY($AB$8),_xlfn.LAMBDA(_xlpm.a,_xlpm.x,_xlfn.VSTACK(_xlpm.a,anAnom(_xlpm.x,$AB$6)))),1))</f>
        <v/>
      </c>
      <c r="BH8" s="122" t="str" cm="1">
        <f t="array" ref="BH8">IF($AC$8="","",_xlfn.LET(_xlpm.t,_xlfn.ANCHORARRAY($AC$8),_xlpm.n,ROWS(_xlpm.t),_xlfn.VSTACK(_xlfn.HSTACK(INDEX(_xlpm.t,,2),INDEX(_xlpm.t,,1),IF(_xlfn.SEQUENCE(_xlpm.n),"AN_IND_ZPAID"),_xlfn.MAP(_xlfn.SEQUENCE(_xlpm.n),_xlfn.LAMBDA(_xlpm.i,IFERROR("z "&amp;anSgn(INDEX(_xlpm.t,_xlpm.i,6),1),""))),INDEX(_xlpm.t,,7),IFERROR(--INDEX(_xlpm.t,,6),0)),_xlfn.HSTACK(INDEX(_xlpm.t,,2),INDEX(_xlpm.t,,1),IF(_xlfn.SEQUENCE(_xlpm.n),"AN_IND_ZLINES"),_xlfn.MAP(_xlfn.SEQUENCE(_xlpm.n),_xlfn.LAMBDA(_xlpm.i,IFERROR("z "&amp;anSgn(INDEX(_xlpm.t,_xlpm.i,8),1),""))),INDEX(_xlpm.t,,9),IFERROR(--INDEX(_xlpm.t,,8),0)),_xlfn.HSTACK(INDEX(_xlpm.t,,2),INDEX(_xlpm.t,,1),IF(_xlfn.SEQUENCE(_xlpm.n),"AN_IND_ZMEAN"),_xlfn.MAP(_xlfn.SEQUENCE(_xlpm.n),_xlfn.LAMBDA(_xlpm.i,IFERROR("z "&amp;anSgn(INDEX(_xlpm.t,_xlpm.i,10),1),""))),INDEX(_xlpm.t,,11),IFERROR(--INDEX(_xlpm.t,,10),0)),_xlfn.HSTACK(INDEX(_xlpm.t,,2),INDEX(_xlpm.t,,1),IF(_xlfn.SEQUENCE(_xlpm.n),"AN_IND_XMR"),_xlfn.MAP(_xlfn.SEQUENCE(_xlpm.n),_xlfn.LAMBDA(_xlpm.i,IFERROR(anSgn(INDEX(_xlpm.t,_xlpm.i,12),1)&amp;"σ",""))),INDEX(_xlpm.t,,13),IFERROR(--INDEX(_xlpm.t,,12),0)),_xlfn.HSTACK(INDEX(_xlpm.t,,2),INDEX(_xlpm.t,,1),IF(_xlfn.SEQUENCE(_xlpm.n),"AN_IND_CUSUM"),_xlfn.MAP(_xlfn.SEQUENCE(_xlpm.n),_xlfn.LAMBDA(_xlpm.i,IFERROR("S "&amp;anNum(INDEX(_xlpm.t,_xlpm.i,14),1),""))),INDEX(_xlpm.t,,15),IFERROR(--INDEX(_xlpm.t,,14),0)),_xlfn.HSTACK(INDEX(_xlpm.t,,2),INDEX(_xlpm.t,,1),IF(_xlfn.SEQUENCE(_xlpm.n),"AN_IND_ROUND"),_xlfn.MAP(_xlfn.SEQUENCE(_xlpm.n),_xlfn.LAMBDA(_xlpm.i,IFERROR(anPct(INDEX(_xlpm.t,_xlpm.i,16),1)&amp;IFERROR(" (z "&amp;anSgn(INDEX(_xlpm.t,_xlpm.i,17),1)&amp;")",""),""))),INDEX(_xlpm.t,,18),IFERROR(--INDEX(_xlpm.t,,17),0)),_xlfn.HSTACK(INDEX(_xlpm.t,,2),INDEX(_xlpm.t,,1),IF(_xlfn.SEQUENCE(_xlpm.n),"AN_IND_DAYS"),_xlfn.MAP(_xlfn.SEQUENCE(_xlpm.n),_xlfn.LAMBDA(_xlpm.i,IFERROR(anPct(INDEX(_xlpm.t,_xlpm.i,19),1)&amp;IFERROR(" (z "&amp;anSgn(INDEX(_xlpm.t,_xlpm.i,20),1)&amp;")",""),""))),INDEX(_xlpm.t,,21),IFERROR(--INDEX(_xlpm.t,,20),0)),_xlfn.HSTACK(INDEX(_xlpm.t,,2),INDEX(_xlpm.t,,1),IF(_xlfn.SEQUENCE(_xlpm.n),"AN_IND_BENFORD"),_xlfn.MAP(_xlfn.SEQUENCE(_xlpm.n),_xlfn.LAMBDA(_xlpm.i,IFERROR("MAD "&amp;anNum(INDEX(_xlpm.t,_xlpm.i,22),4),"n "&amp;anNum(INDEX(_xlpm.t,_xlpm.i,28),0)))),INDEX(_xlpm.t,,24),IFERROR(--INDEX(_xlpm.t,,22),0)),_xlfn.HSTACK(INDEX(_xlpm.t,,2),INDEX(_xlpm.t,,1),IF(_xlfn.SEQUENCE(_xlpm.n),"AN_IND_PSI"),_xlfn.MAP(_xlfn.SEQUENCE(_xlpm.n),_xlfn.LAMBDA(_xlpm.i,IFERROR("PSI "&amp;anNum(INDEX(_xlpm.t,_xlpm.i,25),3),""))),INDEX(_xlpm.t,,26),IFERROR(--INDEX(_xlpm.t,,25),0)))))</f>
        <v/>
      </c>
      <c r="BO8" s="122" t="str" cm="1">
        <f t="array" ref="BO8">IF($BH$8="","",IFERROR(_xlfn.LET(_xlpm.u,_xlfn.ANCHORARRAY($BH$8),_xlpm.st,INDEX(_xlpm.u,,5),_xlpm.k,((LEFT(_xlpm.st,5)="ALERT")+(LEFT(_xlpm.st,5)="WATCH"))*(RIGHT(_xlpm.st,1)&lt;&gt;"*"),_xlpm.l,_xlfn._xlws.FILTER(_xlpm.u,_xlpm.k),_xlpm.sc,IF(LEFT(INDEX(_xlpm.l,,5),5)="ALERT",3,1)+IF(ABS(INDEX(_xlpm.l,,6))&gt;10,10,ABS(INDEX(_xlpm.l,,6)))/10,_xlpm.so,_xlfn.XMATCH(INDEX(_xlpm.l,,1),{"Life";"Pension";"Non-life";"Unassigned"}),_xlpm.s,_xlfn.SORTBY(_xlfn.HSTACK(_xlfn.CHOOSECOLS(_xlpm.l,1,2,3,4,5),_xlpm.sc),_xlpm.so,1,_xlpm.sc,-1,INDEX(_xlpm.l,,2),1),_xlpm.m,ROWS(_xlpm.s),_xlpm.q,_xlfn.SEQUENCE(_xlpm.m),_xlpm.rk,_xlfn.MAP(_xlpm.q,_xlfn.LAMBDA(_xlpm.i,SUM((INDEX(_xlpm.s,,1)=INDEX(_xlpm.s,_xlpm.i,1))*(_xlpm.q&lt;_xlpm.i))+1)),_xlfn._xlws.FILTER(_xlpm.s,_xlpm.rk&lt;=anPar("WatchlistTopN"))),""))</f>
        <v/>
      </c>
    </row>
    <row r="9" spans="2:67">
      <c r="B9" s="127" t="str">
        <f>_xlfn.XLOOKUP("AN_WL_SUMMARY",tblUIText[Key],tblUIText[TR],"AN_WL_SUMMARY")&amp;" / "&amp;_xlfn.XLOOKUP("AN_WL_SUMMARY",tblUIText[Key],tblUIText[EN],"")</f>
        <v>Özet (seçilen ay, şirket × gösterge) / Summary (selected month, company × indicator)</v>
      </c>
    </row>
    <row r="10" spans="2:67">
      <c r="B10" s="245" t="str" cm="1">
        <f t="array" ref="B10">_xlfn.XLOOKUP("AN_WL_COUNTS",tblUIText[Key],tblUIText[TR],"AN_WL_COUNTS")&amp;" / "&amp;_xlfn.XLOOKUP("AN_WL_COUNTS",tblUIText[Key],tblUIText[EN],"")&amp;": "&amp;$BG$2&amp;" / "&amp;$BG$3&amp;" / "&amp;$BG$4&amp;" / "&amp;$BG$5&amp;"   ·   "&amp;SUBSTITUTE(_xlfn.XLOOKUP("AN_WL_TOPN",tblUIText[Key],tblUIText[TR],"AN_WL_TOPN"),"{0}",anPar("WatchlistTopN"))&amp;" / "&amp;SUBSTITUTE(_xlfn.XLOOKUP("AN_WL_TOPN",tblUIText[Key],tblUIText[EN],"AN_WL_TOPN"),"{0}",anPar("WatchlistTopN"))</f>
        <v>ALERT / WATCH / yer tutucu * / INSUFFICIENT DATA / ALERT / WATCH / placeholder * / INSUFFICIENT DATA: 0 / 0 / 0 / 0   ·   Segment başına en fazla 10 satır / At most 10 rows per segment</v>
      </c>
      <c r="C10" s="245"/>
      <c r="D10" s="245"/>
      <c r="E10" s="245"/>
      <c r="F10" s="245"/>
      <c r="G10" s="245"/>
      <c r="H10" s="245"/>
      <c r="I10" s="245"/>
      <c r="J10" s="245"/>
      <c r="K10" s="245"/>
      <c r="L10" s="245"/>
      <c r="M10" s="245"/>
      <c r="N10" s="245"/>
      <c r="O10" s="245"/>
      <c r="P10" s="245"/>
      <c r="Q10" s="245"/>
      <c r="R10" s="245"/>
      <c r="S10" s="245"/>
    </row>
    <row r="12" spans="2:67" ht="21.95" customHeight="1">
      <c r="B12" s="307" t="str">
        <f>_xlfn.XLOOKUP("AN_WL_SEG",tblUIText[Key],tblUIText[TR],"AN_WL_SEG")&amp;" / "&amp;_xlfn.XLOOKUP("AN_WL_SEG",tblUIText[Key],tblUIText[EN],"")</f>
        <v>Segment / Segment</v>
      </c>
      <c r="C12" s="307"/>
      <c r="D12" s="187" t="str">
        <f>_xlfn.XLOOKUP("AN_WL_COMP",tblUIText[Key],tblUIText[TR],"AN_WL_COMP")&amp;" / "&amp;_xlfn.XLOOKUP("AN_WL_COMP",tblUIText[Key],tblUIText[EN],"")</f>
        <v>Şirket / Company</v>
      </c>
      <c r="E12" s="307" t="str">
        <f>_xlfn.XLOOKUP("AN_WL_IND",tblUIText[Key],tblUIText[TR],"AN_WL_IND")&amp;" / "&amp;_xlfn.XLOOKUP("AN_WL_IND",tblUIText[Key],tblUIText[EN],"")</f>
        <v>Gösterge / Indicator</v>
      </c>
      <c r="F12" s="307"/>
      <c r="G12" s="307"/>
      <c r="H12" s="307"/>
      <c r="I12" s="307" t="str">
        <f>_xlfn.XLOOKUP("AN_WL_VAL",tblUIText[Key],tblUIText[TR],"AN_WL_VAL")&amp;" / "&amp;_xlfn.XLOOKUP("AN_WL_VAL",tblUIText[Key],tblUIText[EN],"")</f>
        <v>Değer / Value</v>
      </c>
      <c r="J12" s="307"/>
      <c r="K12" s="307"/>
      <c r="L12" s="307" t="str">
        <f>_xlfn.XLOOKUP("AN_WL_STATUS",tblUIText[Key],tblUIText[TR],"AN_WL_STATUS")&amp;" / "&amp;_xlfn.XLOOKUP("AN_WL_STATUS",tblUIText[Key],tblUIText[EN],"")</f>
        <v>Durum / Status</v>
      </c>
      <c r="M12" s="307"/>
      <c r="N12" s="307"/>
      <c r="O12" s="187" t="str">
        <f>_xlfn.XLOOKUP("AN_WL_SCORE",tblUIText[Key],tblUIText[TR],"AN_WL_SCORE")&amp;" / "&amp;_xlfn.XLOOKUP("AN_WL_SCORE",tblUIText[Key],tblUIText[EN],"")</f>
        <v>Puan / Score</v>
      </c>
      <c r="P12" s="307" t="str">
        <f>_xlfn.XLOOKUP("AN_WL_GO",tblUIText[Key],tblUIText[TR],"AN_WL_GO")&amp;" / "&amp;_xlfn.XLOOKUP("AN_WL_GO",tblUIText[Key],tblUIText[EN],"")</f>
        <v>Git / Go</v>
      </c>
      <c r="Q12" s="307"/>
    </row>
    <row r="13" spans="2:67" ht="12" customHeight="1">
      <c r="B13" s="305" t="str">
        <f>_xlfn.LET(_xlpm.s,IFERROR(INDEX(_xlfn.ANCHORARRAY($BO$8),1,1),""),IF(_xlpm.s="","",_xlfn.XLOOKUP("AN_SEG_"&amp;_xlpm.s,tblUIText[Key],tblUIText[TR],_xlpm.s)&amp;" / "&amp;_xlfn.XLOOKUP("AN_SEG_"&amp;_xlpm.s,tblUIText[Key],tblUIText[EN],_xlpm.s)))</f>
        <v/>
      </c>
      <c r="C13" s="305"/>
      <c r="D13" s="188" t="str">
        <f>IFERROR(INDEX(_xlfn.ANCHORARRAY($BO$8),1,2),"")</f>
        <v/>
      </c>
      <c r="E13" s="305" t="str">
        <f>_xlfn.LET(_xlpm.k,IFERROR(INDEX(_xlfn.ANCHORARRAY($BO$8),1,3),""),IF(_xlpm.k="","",_xlfn.XLOOKUP(_xlpm.k,tblUIText[Key],tblUIText[TR],_xlpm.k)&amp;" / "&amp;_xlfn.XLOOKUP(_xlpm.k,tblUIText[Key],tblUIText[EN],"")))</f>
        <v/>
      </c>
      <c r="F13" s="305"/>
      <c r="G13" s="305"/>
      <c r="H13" s="305"/>
      <c r="I13" s="305" t="str">
        <f>IFERROR(INDEX(_xlfn.ANCHORARRAY($BO$8),1,4),"")</f>
        <v/>
      </c>
      <c r="J13" s="305"/>
      <c r="K13" s="305"/>
      <c r="L13" s="305" t="str">
        <f>IFERROR(INDEX(_xlfn.ANCHORARRAY($BO$8),1,5),"")</f>
        <v/>
      </c>
      <c r="M13" s="305"/>
      <c r="N13" s="305"/>
      <c r="O13" s="189" t="str" cm="1">
        <f t="array" ref="O13">_xlfn.LET(_xlpm.v,IFERROR(INDEX(_xlfn.ANCHORARRAY($BO$8),1,6),""),IF(_xlpm.v="","",anNum(_xlpm.v,2)))</f>
        <v/>
      </c>
      <c r="P13" s="306" t="str">
        <f t="shared" ref="P13:P52" si="0">IF($D13="","",HYPERLINK("#'AN_Anomaly'!A1","AN_Anomaly →"))</f>
        <v/>
      </c>
      <c r="Q13" s="305"/>
      <c r="S13" s="190" t="str">
        <f>IF($BO$8="",_xlfn.XLOOKUP("AN_WL_NONE",tblUIText[Key],tblUIText[TR],"AN_WL_NONE")&amp;" / "&amp;_xlfn.XLOOKUP("AN_WL_NONE",tblUIText[Key],tblUIText[EN],""),"")</f>
        <v>Bu ay sayılan uyarı yok / No counted alert this month</v>
      </c>
    </row>
    <row r="14" spans="2:67" ht="12" customHeight="1">
      <c r="B14" s="305" t="str">
        <f>_xlfn.LET(_xlpm.s,IFERROR(INDEX(_xlfn.ANCHORARRAY($BO$8),2,1),""),IF(_xlpm.s="","",_xlfn.XLOOKUP("AN_SEG_"&amp;_xlpm.s,tblUIText[Key],tblUIText[TR],_xlpm.s)&amp;" / "&amp;_xlfn.XLOOKUP("AN_SEG_"&amp;_xlpm.s,tblUIText[Key],tblUIText[EN],_xlpm.s)))</f>
        <v/>
      </c>
      <c r="C14" s="305"/>
      <c r="D14" s="188" t="str">
        <f>IFERROR(INDEX(_xlfn.ANCHORARRAY($BO$8),2,2),"")</f>
        <v/>
      </c>
      <c r="E14" s="305" t="str">
        <f>_xlfn.LET(_xlpm.k,IFERROR(INDEX(_xlfn.ANCHORARRAY($BO$8),2,3),""),IF(_xlpm.k="","",_xlfn.XLOOKUP(_xlpm.k,tblUIText[Key],tblUIText[TR],_xlpm.k)&amp;" / "&amp;_xlfn.XLOOKUP(_xlpm.k,tblUIText[Key],tblUIText[EN],"")))</f>
        <v/>
      </c>
      <c r="F14" s="305"/>
      <c r="G14" s="305"/>
      <c r="H14" s="305"/>
      <c r="I14" s="305" t="str">
        <f>IFERROR(INDEX(_xlfn.ANCHORARRAY($BO$8),2,4),"")</f>
        <v/>
      </c>
      <c r="J14" s="305"/>
      <c r="K14" s="305"/>
      <c r="L14" s="305" t="str">
        <f>IFERROR(INDEX(_xlfn.ANCHORARRAY($BO$8),2,5),"")</f>
        <v/>
      </c>
      <c r="M14" s="305"/>
      <c r="N14" s="305"/>
      <c r="O14" s="189" t="str" cm="1">
        <f t="array" ref="O14">_xlfn.LET(_xlpm.v,IFERROR(INDEX(_xlfn.ANCHORARRAY($BO$8),2,6),""),IF(_xlpm.v="","",anNum(_xlpm.v,2)))</f>
        <v/>
      </c>
      <c r="P14" s="306" t="str">
        <f t="shared" si="0"/>
        <v/>
      </c>
      <c r="Q14" s="305"/>
    </row>
    <row r="15" spans="2:67" ht="12" customHeight="1">
      <c r="B15" s="305" t="str">
        <f>_xlfn.LET(_xlpm.s,IFERROR(INDEX(_xlfn.ANCHORARRAY($BO$8),3,1),""),IF(_xlpm.s="","",_xlfn.XLOOKUP("AN_SEG_"&amp;_xlpm.s,tblUIText[Key],tblUIText[TR],_xlpm.s)&amp;" / "&amp;_xlfn.XLOOKUP("AN_SEG_"&amp;_xlpm.s,tblUIText[Key],tblUIText[EN],_xlpm.s)))</f>
        <v/>
      </c>
      <c r="C15" s="305"/>
      <c r="D15" s="188" t="str">
        <f>IFERROR(INDEX(_xlfn.ANCHORARRAY($BO$8),3,2),"")</f>
        <v/>
      </c>
      <c r="E15" s="305" t="str">
        <f>_xlfn.LET(_xlpm.k,IFERROR(INDEX(_xlfn.ANCHORARRAY($BO$8),3,3),""),IF(_xlpm.k="","",_xlfn.XLOOKUP(_xlpm.k,tblUIText[Key],tblUIText[TR],_xlpm.k)&amp;" / "&amp;_xlfn.XLOOKUP(_xlpm.k,tblUIText[Key],tblUIText[EN],"")))</f>
        <v/>
      </c>
      <c r="F15" s="305"/>
      <c r="G15" s="305"/>
      <c r="H15" s="305"/>
      <c r="I15" s="305" t="str">
        <f>IFERROR(INDEX(_xlfn.ANCHORARRAY($BO$8),3,4),"")</f>
        <v/>
      </c>
      <c r="J15" s="305"/>
      <c r="K15" s="305"/>
      <c r="L15" s="305" t="str">
        <f>IFERROR(INDEX(_xlfn.ANCHORARRAY($BO$8),3,5),"")</f>
        <v/>
      </c>
      <c r="M15" s="305"/>
      <c r="N15" s="305"/>
      <c r="O15" s="189" t="str" cm="1">
        <f t="array" ref="O15">_xlfn.LET(_xlpm.v,IFERROR(INDEX(_xlfn.ANCHORARRAY($BO$8),3,6),""),IF(_xlpm.v="","",anNum(_xlpm.v,2)))</f>
        <v/>
      </c>
      <c r="P15" s="306" t="str">
        <f t="shared" si="0"/>
        <v/>
      </c>
      <c r="Q15" s="305"/>
    </row>
    <row r="16" spans="2:67" ht="12" customHeight="1">
      <c r="B16" s="305" t="str">
        <f>_xlfn.LET(_xlpm.s,IFERROR(INDEX(_xlfn.ANCHORARRAY($BO$8),4,1),""),IF(_xlpm.s="","",_xlfn.XLOOKUP("AN_SEG_"&amp;_xlpm.s,tblUIText[Key],tblUIText[TR],_xlpm.s)&amp;" / "&amp;_xlfn.XLOOKUP("AN_SEG_"&amp;_xlpm.s,tblUIText[Key],tblUIText[EN],_xlpm.s)))</f>
        <v/>
      </c>
      <c r="C16" s="305"/>
      <c r="D16" s="188" t="str">
        <f>IFERROR(INDEX(_xlfn.ANCHORARRAY($BO$8),4,2),"")</f>
        <v/>
      </c>
      <c r="E16" s="305" t="str">
        <f>_xlfn.LET(_xlpm.k,IFERROR(INDEX(_xlfn.ANCHORARRAY($BO$8),4,3),""),IF(_xlpm.k="","",_xlfn.XLOOKUP(_xlpm.k,tblUIText[Key],tblUIText[TR],_xlpm.k)&amp;" / "&amp;_xlfn.XLOOKUP(_xlpm.k,tblUIText[Key],tblUIText[EN],"")))</f>
        <v/>
      </c>
      <c r="F16" s="305"/>
      <c r="G16" s="305"/>
      <c r="H16" s="305"/>
      <c r="I16" s="305" t="str">
        <f>IFERROR(INDEX(_xlfn.ANCHORARRAY($BO$8),4,4),"")</f>
        <v/>
      </c>
      <c r="J16" s="305"/>
      <c r="K16" s="305"/>
      <c r="L16" s="305" t="str">
        <f>IFERROR(INDEX(_xlfn.ANCHORARRAY($BO$8),4,5),"")</f>
        <v/>
      </c>
      <c r="M16" s="305"/>
      <c r="N16" s="305"/>
      <c r="O16" s="189" t="str" cm="1">
        <f t="array" ref="O16">_xlfn.LET(_xlpm.v,IFERROR(INDEX(_xlfn.ANCHORARRAY($BO$8),4,6),""),IF(_xlpm.v="","",anNum(_xlpm.v,2)))</f>
        <v/>
      </c>
      <c r="P16" s="306" t="str">
        <f t="shared" si="0"/>
        <v/>
      </c>
      <c r="Q16" s="305"/>
    </row>
    <row r="17" spans="2:17" ht="12" customHeight="1">
      <c r="B17" s="305" t="str">
        <f>_xlfn.LET(_xlpm.s,IFERROR(INDEX(_xlfn.ANCHORARRAY($BO$8),5,1),""),IF(_xlpm.s="","",_xlfn.XLOOKUP("AN_SEG_"&amp;_xlpm.s,tblUIText[Key],tblUIText[TR],_xlpm.s)&amp;" / "&amp;_xlfn.XLOOKUP("AN_SEG_"&amp;_xlpm.s,tblUIText[Key],tblUIText[EN],_xlpm.s)))</f>
        <v/>
      </c>
      <c r="C17" s="305"/>
      <c r="D17" s="188" t="str">
        <f>IFERROR(INDEX(_xlfn.ANCHORARRAY($BO$8),5,2),"")</f>
        <v/>
      </c>
      <c r="E17" s="305" t="str">
        <f>_xlfn.LET(_xlpm.k,IFERROR(INDEX(_xlfn.ANCHORARRAY($BO$8),5,3),""),IF(_xlpm.k="","",_xlfn.XLOOKUP(_xlpm.k,tblUIText[Key],tblUIText[TR],_xlpm.k)&amp;" / "&amp;_xlfn.XLOOKUP(_xlpm.k,tblUIText[Key],tblUIText[EN],"")))</f>
        <v/>
      </c>
      <c r="F17" s="305"/>
      <c r="G17" s="305"/>
      <c r="H17" s="305"/>
      <c r="I17" s="305" t="str">
        <f>IFERROR(INDEX(_xlfn.ANCHORARRAY($BO$8),5,4),"")</f>
        <v/>
      </c>
      <c r="J17" s="305"/>
      <c r="K17" s="305"/>
      <c r="L17" s="305" t="str">
        <f>IFERROR(INDEX(_xlfn.ANCHORARRAY($BO$8),5,5),"")</f>
        <v/>
      </c>
      <c r="M17" s="305"/>
      <c r="N17" s="305"/>
      <c r="O17" s="189" t="str" cm="1">
        <f t="array" ref="O17">_xlfn.LET(_xlpm.v,IFERROR(INDEX(_xlfn.ANCHORARRAY($BO$8),5,6),""),IF(_xlpm.v="","",anNum(_xlpm.v,2)))</f>
        <v/>
      </c>
      <c r="P17" s="306" t="str">
        <f t="shared" si="0"/>
        <v/>
      </c>
      <c r="Q17" s="305"/>
    </row>
    <row r="18" spans="2:17" ht="12" customHeight="1">
      <c r="B18" s="305" t="str">
        <f>_xlfn.LET(_xlpm.s,IFERROR(INDEX(_xlfn.ANCHORARRAY($BO$8),6,1),""),IF(_xlpm.s="","",_xlfn.XLOOKUP("AN_SEG_"&amp;_xlpm.s,tblUIText[Key],tblUIText[TR],_xlpm.s)&amp;" / "&amp;_xlfn.XLOOKUP("AN_SEG_"&amp;_xlpm.s,tblUIText[Key],tblUIText[EN],_xlpm.s)))</f>
        <v/>
      </c>
      <c r="C18" s="305"/>
      <c r="D18" s="188" t="str">
        <f>IFERROR(INDEX(_xlfn.ANCHORARRAY($BO$8),6,2),"")</f>
        <v/>
      </c>
      <c r="E18" s="305" t="str">
        <f>_xlfn.LET(_xlpm.k,IFERROR(INDEX(_xlfn.ANCHORARRAY($BO$8),6,3),""),IF(_xlpm.k="","",_xlfn.XLOOKUP(_xlpm.k,tblUIText[Key],tblUIText[TR],_xlpm.k)&amp;" / "&amp;_xlfn.XLOOKUP(_xlpm.k,tblUIText[Key],tblUIText[EN],"")))</f>
        <v/>
      </c>
      <c r="F18" s="305"/>
      <c r="G18" s="305"/>
      <c r="H18" s="305"/>
      <c r="I18" s="305" t="str">
        <f>IFERROR(INDEX(_xlfn.ANCHORARRAY($BO$8),6,4),"")</f>
        <v/>
      </c>
      <c r="J18" s="305"/>
      <c r="K18" s="305"/>
      <c r="L18" s="305" t="str">
        <f>IFERROR(INDEX(_xlfn.ANCHORARRAY($BO$8),6,5),"")</f>
        <v/>
      </c>
      <c r="M18" s="305"/>
      <c r="N18" s="305"/>
      <c r="O18" s="189" t="str" cm="1">
        <f t="array" ref="O18">_xlfn.LET(_xlpm.v,IFERROR(INDEX(_xlfn.ANCHORARRAY($BO$8),6,6),""),IF(_xlpm.v="","",anNum(_xlpm.v,2)))</f>
        <v/>
      </c>
      <c r="P18" s="306" t="str">
        <f t="shared" si="0"/>
        <v/>
      </c>
      <c r="Q18" s="305"/>
    </row>
    <row r="19" spans="2:17" ht="12" customHeight="1">
      <c r="B19" s="305" t="str">
        <f>_xlfn.LET(_xlpm.s,IFERROR(INDEX(_xlfn.ANCHORARRAY($BO$8),7,1),""),IF(_xlpm.s="","",_xlfn.XLOOKUP("AN_SEG_"&amp;_xlpm.s,tblUIText[Key],tblUIText[TR],_xlpm.s)&amp;" / "&amp;_xlfn.XLOOKUP("AN_SEG_"&amp;_xlpm.s,tblUIText[Key],tblUIText[EN],_xlpm.s)))</f>
        <v/>
      </c>
      <c r="C19" s="305"/>
      <c r="D19" s="188" t="str">
        <f>IFERROR(INDEX(_xlfn.ANCHORARRAY($BO$8),7,2),"")</f>
        <v/>
      </c>
      <c r="E19" s="305" t="str">
        <f>_xlfn.LET(_xlpm.k,IFERROR(INDEX(_xlfn.ANCHORARRAY($BO$8),7,3),""),IF(_xlpm.k="","",_xlfn.XLOOKUP(_xlpm.k,tblUIText[Key],tblUIText[TR],_xlpm.k)&amp;" / "&amp;_xlfn.XLOOKUP(_xlpm.k,tblUIText[Key],tblUIText[EN],"")))</f>
        <v/>
      </c>
      <c r="F19" s="305"/>
      <c r="G19" s="305"/>
      <c r="H19" s="305"/>
      <c r="I19" s="305" t="str">
        <f>IFERROR(INDEX(_xlfn.ANCHORARRAY($BO$8),7,4),"")</f>
        <v/>
      </c>
      <c r="J19" s="305"/>
      <c r="K19" s="305"/>
      <c r="L19" s="305" t="str">
        <f>IFERROR(INDEX(_xlfn.ANCHORARRAY($BO$8),7,5),"")</f>
        <v/>
      </c>
      <c r="M19" s="305"/>
      <c r="N19" s="305"/>
      <c r="O19" s="189" t="str" cm="1">
        <f t="array" ref="O19">_xlfn.LET(_xlpm.v,IFERROR(INDEX(_xlfn.ANCHORARRAY($BO$8),7,6),""),IF(_xlpm.v="","",anNum(_xlpm.v,2)))</f>
        <v/>
      </c>
      <c r="P19" s="306" t="str">
        <f t="shared" si="0"/>
        <v/>
      </c>
      <c r="Q19" s="305"/>
    </row>
    <row r="20" spans="2:17" ht="12" customHeight="1">
      <c r="B20" s="305" t="str">
        <f>_xlfn.LET(_xlpm.s,IFERROR(INDEX(_xlfn.ANCHORARRAY($BO$8),8,1),""),IF(_xlpm.s="","",_xlfn.XLOOKUP("AN_SEG_"&amp;_xlpm.s,tblUIText[Key],tblUIText[TR],_xlpm.s)&amp;" / "&amp;_xlfn.XLOOKUP("AN_SEG_"&amp;_xlpm.s,tblUIText[Key],tblUIText[EN],_xlpm.s)))</f>
        <v/>
      </c>
      <c r="C20" s="305"/>
      <c r="D20" s="188" t="str">
        <f>IFERROR(INDEX(_xlfn.ANCHORARRAY($BO$8),8,2),"")</f>
        <v/>
      </c>
      <c r="E20" s="305" t="str">
        <f>_xlfn.LET(_xlpm.k,IFERROR(INDEX(_xlfn.ANCHORARRAY($BO$8),8,3),""),IF(_xlpm.k="","",_xlfn.XLOOKUP(_xlpm.k,tblUIText[Key],tblUIText[TR],_xlpm.k)&amp;" / "&amp;_xlfn.XLOOKUP(_xlpm.k,tblUIText[Key],tblUIText[EN],"")))</f>
        <v/>
      </c>
      <c r="F20" s="305"/>
      <c r="G20" s="305"/>
      <c r="H20" s="305"/>
      <c r="I20" s="305" t="str">
        <f>IFERROR(INDEX(_xlfn.ANCHORARRAY($BO$8),8,4),"")</f>
        <v/>
      </c>
      <c r="J20" s="305"/>
      <c r="K20" s="305"/>
      <c r="L20" s="305" t="str">
        <f>IFERROR(INDEX(_xlfn.ANCHORARRAY($BO$8),8,5),"")</f>
        <v/>
      </c>
      <c r="M20" s="305"/>
      <c r="N20" s="305"/>
      <c r="O20" s="189" t="str" cm="1">
        <f t="array" ref="O20">_xlfn.LET(_xlpm.v,IFERROR(INDEX(_xlfn.ANCHORARRAY($BO$8),8,6),""),IF(_xlpm.v="","",anNum(_xlpm.v,2)))</f>
        <v/>
      </c>
      <c r="P20" s="306" t="str">
        <f t="shared" si="0"/>
        <v/>
      </c>
      <c r="Q20" s="305"/>
    </row>
    <row r="21" spans="2:17" ht="12" customHeight="1">
      <c r="B21" s="305" t="str">
        <f>_xlfn.LET(_xlpm.s,IFERROR(INDEX(_xlfn.ANCHORARRAY($BO$8),9,1),""),IF(_xlpm.s="","",_xlfn.XLOOKUP("AN_SEG_"&amp;_xlpm.s,tblUIText[Key],tblUIText[TR],_xlpm.s)&amp;" / "&amp;_xlfn.XLOOKUP("AN_SEG_"&amp;_xlpm.s,tblUIText[Key],tblUIText[EN],_xlpm.s)))</f>
        <v/>
      </c>
      <c r="C21" s="305"/>
      <c r="D21" s="188" t="str">
        <f>IFERROR(INDEX(_xlfn.ANCHORARRAY($BO$8),9,2),"")</f>
        <v/>
      </c>
      <c r="E21" s="305" t="str">
        <f>_xlfn.LET(_xlpm.k,IFERROR(INDEX(_xlfn.ANCHORARRAY($BO$8),9,3),""),IF(_xlpm.k="","",_xlfn.XLOOKUP(_xlpm.k,tblUIText[Key],tblUIText[TR],_xlpm.k)&amp;" / "&amp;_xlfn.XLOOKUP(_xlpm.k,tblUIText[Key],tblUIText[EN],"")))</f>
        <v/>
      </c>
      <c r="F21" s="305"/>
      <c r="G21" s="305"/>
      <c r="H21" s="305"/>
      <c r="I21" s="305" t="str">
        <f>IFERROR(INDEX(_xlfn.ANCHORARRAY($BO$8),9,4),"")</f>
        <v/>
      </c>
      <c r="J21" s="305"/>
      <c r="K21" s="305"/>
      <c r="L21" s="305" t="str">
        <f>IFERROR(INDEX(_xlfn.ANCHORARRAY($BO$8),9,5),"")</f>
        <v/>
      </c>
      <c r="M21" s="305"/>
      <c r="N21" s="305"/>
      <c r="O21" s="189" t="str" cm="1">
        <f t="array" ref="O21">_xlfn.LET(_xlpm.v,IFERROR(INDEX(_xlfn.ANCHORARRAY($BO$8),9,6),""),IF(_xlpm.v="","",anNum(_xlpm.v,2)))</f>
        <v/>
      </c>
      <c r="P21" s="306" t="str">
        <f t="shared" si="0"/>
        <v/>
      </c>
      <c r="Q21" s="305"/>
    </row>
    <row r="22" spans="2:17" ht="12" customHeight="1">
      <c r="B22" s="305" t="str">
        <f>_xlfn.LET(_xlpm.s,IFERROR(INDEX(_xlfn.ANCHORARRAY($BO$8),10,1),""),IF(_xlpm.s="","",_xlfn.XLOOKUP("AN_SEG_"&amp;_xlpm.s,tblUIText[Key],tblUIText[TR],_xlpm.s)&amp;" / "&amp;_xlfn.XLOOKUP("AN_SEG_"&amp;_xlpm.s,tblUIText[Key],tblUIText[EN],_xlpm.s)))</f>
        <v/>
      </c>
      <c r="C22" s="305"/>
      <c r="D22" s="188" t="str">
        <f>IFERROR(INDEX(_xlfn.ANCHORARRAY($BO$8),10,2),"")</f>
        <v/>
      </c>
      <c r="E22" s="305" t="str">
        <f>_xlfn.LET(_xlpm.k,IFERROR(INDEX(_xlfn.ANCHORARRAY($BO$8),10,3),""),IF(_xlpm.k="","",_xlfn.XLOOKUP(_xlpm.k,tblUIText[Key],tblUIText[TR],_xlpm.k)&amp;" / "&amp;_xlfn.XLOOKUP(_xlpm.k,tblUIText[Key],tblUIText[EN],"")))</f>
        <v/>
      </c>
      <c r="F22" s="305"/>
      <c r="G22" s="305"/>
      <c r="H22" s="305"/>
      <c r="I22" s="305" t="str">
        <f>IFERROR(INDEX(_xlfn.ANCHORARRAY($BO$8),10,4),"")</f>
        <v/>
      </c>
      <c r="J22" s="305"/>
      <c r="K22" s="305"/>
      <c r="L22" s="305" t="str">
        <f>IFERROR(INDEX(_xlfn.ANCHORARRAY($BO$8),10,5),"")</f>
        <v/>
      </c>
      <c r="M22" s="305"/>
      <c r="N22" s="305"/>
      <c r="O22" s="189" t="str" cm="1">
        <f t="array" ref="O22">_xlfn.LET(_xlpm.v,IFERROR(INDEX(_xlfn.ANCHORARRAY($BO$8),10,6),""),IF(_xlpm.v="","",anNum(_xlpm.v,2)))</f>
        <v/>
      </c>
      <c r="P22" s="306" t="str">
        <f t="shared" si="0"/>
        <v/>
      </c>
      <c r="Q22" s="305"/>
    </row>
    <row r="23" spans="2:17" ht="12" customHeight="1">
      <c r="B23" s="305" t="str">
        <f>_xlfn.LET(_xlpm.s,IFERROR(INDEX(_xlfn.ANCHORARRAY($BO$8),11,1),""),IF(_xlpm.s="","",_xlfn.XLOOKUP("AN_SEG_"&amp;_xlpm.s,tblUIText[Key],tblUIText[TR],_xlpm.s)&amp;" / "&amp;_xlfn.XLOOKUP("AN_SEG_"&amp;_xlpm.s,tblUIText[Key],tblUIText[EN],_xlpm.s)))</f>
        <v/>
      </c>
      <c r="C23" s="305"/>
      <c r="D23" s="188" t="str">
        <f>IFERROR(INDEX(_xlfn.ANCHORARRAY($BO$8),11,2),"")</f>
        <v/>
      </c>
      <c r="E23" s="305" t="str">
        <f>_xlfn.LET(_xlpm.k,IFERROR(INDEX(_xlfn.ANCHORARRAY($BO$8),11,3),""),IF(_xlpm.k="","",_xlfn.XLOOKUP(_xlpm.k,tblUIText[Key],tblUIText[TR],_xlpm.k)&amp;" / "&amp;_xlfn.XLOOKUP(_xlpm.k,tblUIText[Key],tblUIText[EN],"")))</f>
        <v/>
      </c>
      <c r="F23" s="305"/>
      <c r="G23" s="305"/>
      <c r="H23" s="305"/>
      <c r="I23" s="305" t="str">
        <f>IFERROR(INDEX(_xlfn.ANCHORARRAY($BO$8),11,4),"")</f>
        <v/>
      </c>
      <c r="J23" s="305"/>
      <c r="K23" s="305"/>
      <c r="L23" s="305" t="str">
        <f>IFERROR(INDEX(_xlfn.ANCHORARRAY($BO$8),11,5),"")</f>
        <v/>
      </c>
      <c r="M23" s="305"/>
      <c r="N23" s="305"/>
      <c r="O23" s="189" t="str" cm="1">
        <f t="array" ref="O23">_xlfn.LET(_xlpm.v,IFERROR(INDEX(_xlfn.ANCHORARRAY($BO$8),11,6),""),IF(_xlpm.v="","",anNum(_xlpm.v,2)))</f>
        <v/>
      </c>
      <c r="P23" s="306" t="str">
        <f t="shared" si="0"/>
        <v/>
      </c>
      <c r="Q23" s="305"/>
    </row>
    <row r="24" spans="2:17" ht="12" customHeight="1">
      <c r="B24" s="305" t="str">
        <f>_xlfn.LET(_xlpm.s,IFERROR(INDEX(_xlfn.ANCHORARRAY($BO$8),12,1),""),IF(_xlpm.s="","",_xlfn.XLOOKUP("AN_SEG_"&amp;_xlpm.s,tblUIText[Key],tblUIText[TR],_xlpm.s)&amp;" / "&amp;_xlfn.XLOOKUP("AN_SEG_"&amp;_xlpm.s,tblUIText[Key],tblUIText[EN],_xlpm.s)))</f>
        <v/>
      </c>
      <c r="C24" s="305"/>
      <c r="D24" s="188" t="str">
        <f>IFERROR(INDEX(_xlfn.ANCHORARRAY($BO$8),12,2),"")</f>
        <v/>
      </c>
      <c r="E24" s="305" t="str">
        <f>_xlfn.LET(_xlpm.k,IFERROR(INDEX(_xlfn.ANCHORARRAY($BO$8),12,3),""),IF(_xlpm.k="","",_xlfn.XLOOKUP(_xlpm.k,tblUIText[Key],tblUIText[TR],_xlpm.k)&amp;" / "&amp;_xlfn.XLOOKUP(_xlpm.k,tblUIText[Key],tblUIText[EN],"")))</f>
        <v/>
      </c>
      <c r="F24" s="305"/>
      <c r="G24" s="305"/>
      <c r="H24" s="305"/>
      <c r="I24" s="305" t="str">
        <f>IFERROR(INDEX(_xlfn.ANCHORARRAY($BO$8),12,4),"")</f>
        <v/>
      </c>
      <c r="J24" s="305"/>
      <c r="K24" s="305"/>
      <c r="L24" s="305" t="str">
        <f>IFERROR(INDEX(_xlfn.ANCHORARRAY($BO$8),12,5),"")</f>
        <v/>
      </c>
      <c r="M24" s="305"/>
      <c r="N24" s="305"/>
      <c r="O24" s="189" t="str" cm="1">
        <f t="array" ref="O24">_xlfn.LET(_xlpm.v,IFERROR(INDEX(_xlfn.ANCHORARRAY($BO$8),12,6),""),IF(_xlpm.v="","",anNum(_xlpm.v,2)))</f>
        <v/>
      </c>
      <c r="P24" s="306" t="str">
        <f t="shared" si="0"/>
        <v/>
      </c>
      <c r="Q24" s="305"/>
    </row>
    <row r="25" spans="2:17" ht="12" customHeight="1">
      <c r="B25" s="305" t="str">
        <f>_xlfn.LET(_xlpm.s,IFERROR(INDEX(_xlfn.ANCHORARRAY($BO$8),13,1),""),IF(_xlpm.s="","",_xlfn.XLOOKUP("AN_SEG_"&amp;_xlpm.s,tblUIText[Key],tblUIText[TR],_xlpm.s)&amp;" / "&amp;_xlfn.XLOOKUP("AN_SEG_"&amp;_xlpm.s,tblUIText[Key],tblUIText[EN],_xlpm.s)))</f>
        <v/>
      </c>
      <c r="C25" s="305"/>
      <c r="D25" s="188" t="str">
        <f>IFERROR(INDEX(_xlfn.ANCHORARRAY($BO$8),13,2),"")</f>
        <v/>
      </c>
      <c r="E25" s="305" t="str">
        <f>_xlfn.LET(_xlpm.k,IFERROR(INDEX(_xlfn.ANCHORARRAY($BO$8),13,3),""),IF(_xlpm.k="","",_xlfn.XLOOKUP(_xlpm.k,tblUIText[Key],tblUIText[TR],_xlpm.k)&amp;" / "&amp;_xlfn.XLOOKUP(_xlpm.k,tblUIText[Key],tblUIText[EN],"")))</f>
        <v/>
      </c>
      <c r="F25" s="305"/>
      <c r="G25" s="305"/>
      <c r="H25" s="305"/>
      <c r="I25" s="305" t="str">
        <f>IFERROR(INDEX(_xlfn.ANCHORARRAY($BO$8),13,4),"")</f>
        <v/>
      </c>
      <c r="J25" s="305"/>
      <c r="K25" s="305"/>
      <c r="L25" s="305" t="str">
        <f>IFERROR(INDEX(_xlfn.ANCHORARRAY($BO$8),13,5),"")</f>
        <v/>
      </c>
      <c r="M25" s="305"/>
      <c r="N25" s="305"/>
      <c r="O25" s="189" t="str" cm="1">
        <f t="array" ref="O25">_xlfn.LET(_xlpm.v,IFERROR(INDEX(_xlfn.ANCHORARRAY($BO$8),13,6),""),IF(_xlpm.v="","",anNum(_xlpm.v,2)))</f>
        <v/>
      </c>
      <c r="P25" s="306" t="str">
        <f t="shared" si="0"/>
        <v/>
      </c>
      <c r="Q25" s="305"/>
    </row>
    <row r="26" spans="2:17" ht="12" customHeight="1">
      <c r="B26" s="305" t="str">
        <f>_xlfn.LET(_xlpm.s,IFERROR(INDEX(_xlfn.ANCHORARRAY($BO$8),14,1),""),IF(_xlpm.s="","",_xlfn.XLOOKUP("AN_SEG_"&amp;_xlpm.s,tblUIText[Key],tblUIText[TR],_xlpm.s)&amp;" / "&amp;_xlfn.XLOOKUP("AN_SEG_"&amp;_xlpm.s,tblUIText[Key],tblUIText[EN],_xlpm.s)))</f>
        <v/>
      </c>
      <c r="C26" s="305"/>
      <c r="D26" s="188" t="str">
        <f>IFERROR(INDEX(_xlfn.ANCHORARRAY($BO$8),14,2),"")</f>
        <v/>
      </c>
      <c r="E26" s="305" t="str">
        <f>_xlfn.LET(_xlpm.k,IFERROR(INDEX(_xlfn.ANCHORARRAY($BO$8),14,3),""),IF(_xlpm.k="","",_xlfn.XLOOKUP(_xlpm.k,tblUIText[Key],tblUIText[TR],_xlpm.k)&amp;" / "&amp;_xlfn.XLOOKUP(_xlpm.k,tblUIText[Key],tblUIText[EN],"")))</f>
        <v/>
      </c>
      <c r="F26" s="305"/>
      <c r="G26" s="305"/>
      <c r="H26" s="305"/>
      <c r="I26" s="305" t="str">
        <f>IFERROR(INDEX(_xlfn.ANCHORARRAY($BO$8),14,4),"")</f>
        <v/>
      </c>
      <c r="J26" s="305"/>
      <c r="K26" s="305"/>
      <c r="L26" s="305" t="str">
        <f>IFERROR(INDEX(_xlfn.ANCHORARRAY($BO$8),14,5),"")</f>
        <v/>
      </c>
      <c r="M26" s="305"/>
      <c r="N26" s="305"/>
      <c r="O26" s="189" t="str" cm="1">
        <f t="array" ref="O26">_xlfn.LET(_xlpm.v,IFERROR(INDEX(_xlfn.ANCHORARRAY($BO$8),14,6),""),IF(_xlpm.v="","",anNum(_xlpm.v,2)))</f>
        <v/>
      </c>
      <c r="P26" s="306" t="str">
        <f t="shared" si="0"/>
        <v/>
      </c>
      <c r="Q26" s="305"/>
    </row>
    <row r="27" spans="2:17" ht="12" customHeight="1">
      <c r="B27" s="305" t="str">
        <f>_xlfn.LET(_xlpm.s,IFERROR(INDEX(_xlfn.ANCHORARRAY($BO$8),15,1),""),IF(_xlpm.s="","",_xlfn.XLOOKUP("AN_SEG_"&amp;_xlpm.s,tblUIText[Key],tblUIText[TR],_xlpm.s)&amp;" / "&amp;_xlfn.XLOOKUP("AN_SEG_"&amp;_xlpm.s,tblUIText[Key],tblUIText[EN],_xlpm.s)))</f>
        <v/>
      </c>
      <c r="C27" s="305"/>
      <c r="D27" s="188" t="str">
        <f>IFERROR(INDEX(_xlfn.ANCHORARRAY($BO$8),15,2),"")</f>
        <v/>
      </c>
      <c r="E27" s="305" t="str">
        <f>_xlfn.LET(_xlpm.k,IFERROR(INDEX(_xlfn.ANCHORARRAY($BO$8),15,3),""),IF(_xlpm.k="","",_xlfn.XLOOKUP(_xlpm.k,tblUIText[Key],tblUIText[TR],_xlpm.k)&amp;" / "&amp;_xlfn.XLOOKUP(_xlpm.k,tblUIText[Key],tblUIText[EN],"")))</f>
        <v/>
      </c>
      <c r="F27" s="305"/>
      <c r="G27" s="305"/>
      <c r="H27" s="305"/>
      <c r="I27" s="305" t="str">
        <f>IFERROR(INDEX(_xlfn.ANCHORARRAY($BO$8),15,4),"")</f>
        <v/>
      </c>
      <c r="J27" s="305"/>
      <c r="K27" s="305"/>
      <c r="L27" s="305" t="str">
        <f>IFERROR(INDEX(_xlfn.ANCHORARRAY($BO$8),15,5),"")</f>
        <v/>
      </c>
      <c r="M27" s="305"/>
      <c r="N27" s="305"/>
      <c r="O27" s="189" t="str" cm="1">
        <f t="array" ref="O27">_xlfn.LET(_xlpm.v,IFERROR(INDEX(_xlfn.ANCHORARRAY($BO$8),15,6),""),IF(_xlpm.v="","",anNum(_xlpm.v,2)))</f>
        <v/>
      </c>
      <c r="P27" s="306" t="str">
        <f t="shared" si="0"/>
        <v/>
      </c>
      <c r="Q27" s="305"/>
    </row>
    <row r="28" spans="2:17" ht="12" customHeight="1">
      <c r="B28" s="305" t="str">
        <f>_xlfn.LET(_xlpm.s,IFERROR(INDEX(_xlfn.ANCHORARRAY($BO$8),16,1),""),IF(_xlpm.s="","",_xlfn.XLOOKUP("AN_SEG_"&amp;_xlpm.s,tblUIText[Key],tblUIText[TR],_xlpm.s)&amp;" / "&amp;_xlfn.XLOOKUP("AN_SEG_"&amp;_xlpm.s,tblUIText[Key],tblUIText[EN],_xlpm.s)))</f>
        <v/>
      </c>
      <c r="C28" s="305"/>
      <c r="D28" s="188" t="str">
        <f>IFERROR(INDEX(_xlfn.ANCHORARRAY($BO$8),16,2),"")</f>
        <v/>
      </c>
      <c r="E28" s="305" t="str">
        <f>_xlfn.LET(_xlpm.k,IFERROR(INDEX(_xlfn.ANCHORARRAY($BO$8),16,3),""),IF(_xlpm.k="","",_xlfn.XLOOKUP(_xlpm.k,tblUIText[Key],tblUIText[TR],_xlpm.k)&amp;" / "&amp;_xlfn.XLOOKUP(_xlpm.k,tblUIText[Key],tblUIText[EN],"")))</f>
        <v/>
      </c>
      <c r="F28" s="305"/>
      <c r="G28" s="305"/>
      <c r="H28" s="305"/>
      <c r="I28" s="305" t="str">
        <f>IFERROR(INDEX(_xlfn.ANCHORARRAY($BO$8),16,4),"")</f>
        <v/>
      </c>
      <c r="J28" s="305"/>
      <c r="K28" s="305"/>
      <c r="L28" s="305" t="str">
        <f>IFERROR(INDEX(_xlfn.ANCHORARRAY($BO$8),16,5),"")</f>
        <v/>
      </c>
      <c r="M28" s="305"/>
      <c r="N28" s="305"/>
      <c r="O28" s="189" t="str" cm="1">
        <f t="array" ref="O28">_xlfn.LET(_xlpm.v,IFERROR(INDEX(_xlfn.ANCHORARRAY($BO$8),16,6),""),IF(_xlpm.v="","",anNum(_xlpm.v,2)))</f>
        <v/>
      </c>
      <c r="P28" s="306" t="str">
        <f t="shared" si="0"/>
        <v/>
      </c>
      <c r="Q28" s="305"/>
    </row>
    <row r="29" spans="2:17" ht="12" customHeight="1">
      <c r="B29" s="305" t="str">
        <f>_xlfn.LET(_xlpm.s,IFERROR(INDEX(_xlfn.ANCHORARRAY($BO$8),17,1),""),IF(_xlpm.s="","",_xlfn.XLOOKUP("AN_SEG_"&amp;_xlpm.s,tblUIText[Key],tblUIText[TR],_xlpm.s)&amp;" / "&amp;_xlfn.XLOOKUP("AN_SEG_"&amp;_xlpm.s,tblUIText[Key],tblUIText[EN],_xlpm.s)))</f>
        <v/>
      </c>
      <c r="C29" s="305"/>
      <c r="D29" s="188" t="str">
        <f>IFERROR(INDEX(_xlfn.ANCHORARRAY($BO$8),17,2),"")</f>
        <v/>
      </c>
      <c r="E29" s="305" t="str">
        <f>_xlfn.LET(_xlpm.k,IFERROR(INDEX(_xlfn.ANCHORARRAY($BO$8),17,3),""),IF(_xlpm.k="","",_xlfn.XLOOKUP(_xlpm.k,tblUIText[Key],tblUIText[TR],_xlpm.k)&amp;" / "&amp;_xlfn.XLOOKUP(_xlpm.k,tblUIText[Key],tblUIText[EN],"")))</f>
        <v/>
      </c>
      <c r="F29" s="305"/>
      <c r="G29" s="305"/>
      <c r="H29" s="305"/>
      <c r="I29" s="305" t="str">
        <f>IFERROR(INDEX(_xlfn.ANCHORARRAY($BO$8),17,4),"")</f>
        <v/>
      </c>
      <c r="J29" s="305"/>
      <c r="K29" s="305"/>
      <c r="L29" s="305" t="str">
        <f>IFERROR(INDEX(_xlfn.ANCHORARRAY($BO$8),17,5),"")</f>
        <v/>
      </c>
      <c r="M29" s="305"/>
      <c r="N29" s="305"/>
      <c r="O29" s="189" t="str" cm="1">
        <f t="array" ref="O29">_xlfn.LET(_xlpm.v,IFERROR(INDEX(_xlfn.ANCHORARRAY($BO$8),17,6),""),IF(_xlpm.v="","",anNum(_xlpm.v,2)))</f>
        <v/>
      </c>
      <c r="P29" s="306" t="str">
        <f t="shared" si="0"/>
        <v/>
      </c>
      <c r="Q29" s="305"/>
    </row>
    <row r="30" spans="2:17" ht="12" customHeight="1">
      <c r="B30" s="305" t="str">
        <f>_xlfn.LET(_xlpm.s,IFERROR(INDEX(_xlfn.ANCHORARRAY($BO$8),18,1),""),IF(_xlpm.s="","",_xlfn.XLOOKUP("AN_SEG_"&amp;_xlpm.s,tblUIText[Key],tblUIText[TR],_xlpm.s)&amp;" / "&amp;_xlfn.XLOOKUP("AN_SEG_"&amp;_xlpm.s,tblUIText[Key],tblUIText[EN],_xlpm.s)))</f>
        <v/>
      </c>
      <c r="C30" s="305"/>
      <c r="D30" s="188" t="str">
        <f>IFERROR(INDEX(_xlfn.ANCHORARRAY($BO$8),18,2),"")</f>
        <v/>
      </c>
      <c r="E30" s="305" t="str">
        <f>_xlfn.LET(_xlpm.k,IFERROR(INDEX(_xlfn.ANCHORARRAY($BO$8),18,3),""),IF(_xlpm.k="","",_xlfn.XLOOKUP(_xlpm.k,tblUIText[Key],tblUIText[TR],_xlpm.k)&amp;" / "&amp;_xlfn.XLOOKUP(_xlpm.k,tblUIText[Key],tblUIText[EN],"")))</f>
        <v/>
      </c>
      <c r="F30" s="305"/>
      <c r="G30" s="305"/>
      <c r="H30" s="305"/>
      <c r="I30" s="305" t="str">
        <f>IFERROR(INDEX(_xlfn.ANCHORARRAY($BO$8),18,4),"")</f>
        <v/>
      </c>
      <c r="J30" s="305"/>
      <c r="K30" s="305"/>
      <c r="L30" s="305" t="str">
        <f>IFERROR(INDEX(_xlfn.ANCHORARRAY($BO$8),18,5),"")</f>
        <v/>
      </c>
      <c r="M30" s="305"/>
      <c r="N30" s="305"/>
      <c r="O30" s="189" t="str" cm="1">
        <f t="array" ref="O30">_xlfn.LET(_xlpm.v,IFERROR(INDEX(_xlfn.ANCHORARRAY($BO$8),18,6),""),IF(_xlpm.v="","",anNum(_xlpm.v,2)))</f>
        <v/>
      </c>
      <c r="P30" s="306" t="str">
        <f t="shared" si="0"/>
        <v/>
      </c>
      <c r="Q30" s="305"/>
    </row>
    <row r="31" spans="2:17" ht="12" customHeight="1">
      <c r="B31" s="305" t="str">
        <f>_xlfn.LET(_xlpm.s,IFERROR(INDEX(_xlfn.ANCHORARRAY($BO$8),19,1),""),IF(_xlpm.s="","",_xlfn.XLOOKUP("AN_SEG_"&amp;_xlpm.s,tblUIText[Key],tblUIText[TR],_xlpm.s)&amp;" / "&amp;_xlfn.XLOOKUP("AN_SEG_"&amp;_xlpm.s,tblUIText[Key],tblUIText[EN],_xlpm.s)))</f>
        <v/>
      </c>
      <c r="C31" s="305"/>
      <c r="D31" s="188" t="str">
        <f>IFERROR(INDEX(_xlfn.ANCHORARRAY($BO$8),19,2),"")</f>
        <v/>
      </c>
      <c r="E31" s="305" t="str">
        <f>_xlfn.LET(_xlpm.k,IFERROR(INDEX(_xlfn.ANCHORARRAY($BO$8),19,3),""),IF(_xlpm.k="","",_xlfn.XLOOKUP(_xlpm.k,tblUIText[Key],tblUIText[TR],_xlpm.k)&amp;" / "&amp;_xlfn.XLOOKUP(_xlpm.k,tblUIText[Key],tblUIText[EN],"")))</f>
        <v/>
      </c>
      <c r="F31" s="305"/>
      <c r="G31" s="305"/>
      <c r="H31" s="305"/>
      <c r="I31" s="305" t="str">
        <f>IFERROR(INDEX(_xlfn.ANCHORARRAY($BO$8),19,4),"")</f>
        <v/>
      </c>
      <c r="J31" s="305"/>
      <c r="K31" s="305"/>
      <c r="L31" s="305" t="str">
        <f>IFERROR(INDEX(_xlfn.ANCHORARRAY($BO$8),19,5),"")</f>
        <v/>
      </c>
      <c r="M31" s="305"/>
      <c r="N31" s="305"/>
      <c r="O31" s="189" t="str" cm="1">
        <f t="array" ref="O31">_xlfn.LET(_xlpm.v,IFERROR(INDEX(_xlfn.ANCHORARRAY($BO$8),19,6),""),IF(_xlpm.v="","",anNum(_xlpm.v,2)))</f>
        <v/>
      </c>
      <c r="P31" s="306" t="str">
        <f t="shared" si="0"/>
        <v/>
      </c>
      <c r="Q31" s="305"/>
    </row>
    <row r="32" spans="2:17" ht="12" customHeight="1">
      <c r="B32" s="305" t="str">
        <f>_xlfn.LET(_xlpm.s,IFERROR(INDEX(_xlfn.ANCHORARRAY($BO$8),20,1),""),IF(_xlpm.s="","",_xlfn.XLOOKUP("AN_SEG_"&amp;_xlpm.s,tblUIText[Key],tblUIText[TR],_xlpm.s)&amp;" / "&amp;_xlfn.XLOOKUP("AN_SEG_"&amp;_xlpm.s,tblUIText[Key],tblUIText[EN],_xlpm.s)))</f>
        <v/>
      </c>
      <c r="C32" s="305"/>
      <c r="D32" s="188" t="str">
        <f>IFERROR(INDEX(_xlfn.ANCHORARRAY($BO$8),20,2),"")</f>
        <v/>
      </c>
      <c r="E32" s="305" t="str">
        <f>_xlfn.LET(_xlpm.k,IFERROR(INDEX(_xlfn.ANCHORARRAY($BO$8),20,3),""),IF(_xlpm.k="","",_xlfn.XLOOKUP(_xlpm.k,tblUIText[Key],tblUIText[TR],_xlpm.k)&amp;" / "&amp;_xlfn.XLOOKUP(_xlpm.k,tblUIText[Key],tblUIText[EN],"")))</f>
        <v/>
      </c>
      <c r="F32" s="305"/>
      <c r="G32" s="305"/>
      <c r="H32" s="305"/>
      <c r="I32" s="305" t="str">
        <f>IFERROR(INDEX(_xlfn.ANCHORARRAY($BO$8),20,4),"")</f>
        <v/>
      </c>
      <c r="J32" s="305"/>
      <c r="K32" s="305"/>
      <c r="L32" s="305" t="str">
        <f>IFERROR(INDEX(_xlfn.ANCHORARRAY($BO$8),20,5),"")</f>
        <v/>
      </c>
      <c r="M32" s="305"/>
      <c r="N32" s="305"/>
      <c r="O32" s="189" t="str" cm="1">
        <f t="array" ref="O32">_xlfn.LET(_xlpm.v,IFERROR(INDEX(_xlfn.ANCHORARRAY($BO$8),20,6),""),IF(_xlpm.v="","",anNum(_xlpm.v,2)))</f>
        <v/>
      </c>
      <c r="P32" s="306" t="str">
        <f t="shared" si="0"/>
        <v/>
      </c>
      <c r="Q32" s="305"/>
    </row>
    <row r="33" spans="2:17" ht="12" customHeight="1">
      <c r="B33" s="305" t="str">
        <f>_xlfn.LET(_xlpm.s,IFERROR(INDEX(_xlfn.ANCHORARRAY($BO$8),21,1),""),IF(_xlpm.s="","",_xlfn.XLOOKUP("AN_SEG_"&amp;_xlpm.s,tblUIText[Key],tblUIText[TR],_xlpm.s)&amp;" / "&amp;_xlfn.XLOOKUP("AN_SEG_"&amp;_xlpm.s,tblUIText[Key],tblUIText[EN],_xlpm.s)))</f>
        <v/>
      </c>
      <c r="C33" s="305"/>
      <c r="D33" s="188" t="str">
        <f>IFERROR(INDEX(_xlfn.ANCHORARRAY($BO$8),21,2),"")</f>
        <v/>
      </c>
      <c r="E33" s="305" t="str">
        <f>_xlfn.LET(_xlpm.k,IFERROR(INDEX(_xlfn.ANCHORARRAY($BO$8),21,3),""),IF(_xlpm.k="","",_xlfn.XLOOKUP(_xlpm.k,tblUIText[Key],tblUIText[TR],_xlpm.k)&amp;" / "&amp;_xlfn.XLOOKUP(_xlpm.k,tblUIText[Key],tblUIText[EN],"")))</f>
        <v/>
      </c>
      <c r="F33" s="305"/>
      <c r="G33" s="305"/>
      <c r="H33" s="305"/>
      <c r="I33" s="305" t="str">
        <f>IFERROR(INDEX(_xlfn.ANCHORARRAY($BO$8),21,4),"")</f>
        <v/>
      </c>
      <c r="J33" s="305"/>
      <c r="K33" s="305"/>
      <c r="L33" s="305" t="str">
        <f>IFERROR(INDEX(_xlfn.ANCHORARRAY($BO$8),21,5),"")</f>
        <v/>
      </c>
      <c r="M33" s="305"/>
      <c r="N33" s="305"/>
      <c r="O33" s="189" t="str" cm="1">
        <f t="array" ref="O33">_xlfn.LET(_xlpm.v,IFERROR(INDEX(_xlfn.ANCHORARRAY($BO$8),21,6),""),IF(_xlpm.v="","",anNum(_xlpm.v,2)))</f>
        <v/>
      </c>
      <c r="P33" s="306" t="str">
        <f t="shared" si="0"/>
        <v/>
      </c>
      <c r="Q33" s="305"/>
    </row>
    <row r="34" spans="2:17" ht="12" customHeight="1">
      <c r="B34" s="305" t="str">
        <f>_xlfn.LET(_xlpm.s,IFERROR(INDEX(_xlfn.ANCHORARRAY($BO$8),22,1),""),IF(_xlpm.s="","",_xlfn.XLOOKUP("AN_SEG_"&amp;_xlpm.s,tblUIText[Key],tblUIText[TR],_xlpm.s)&amp;" / "&amp;_xlfn.XLOOKUP("AN_SEG_"&amp;_xlpm.s,tblUIText[Key],tblUIText[EN],_xlpm.s)))</f>
        <v/>
      </c>
      <c r="C34" s="305"/>
      <c r="D34" s="188" t="str">
        <f>IFERROR(INDEX(_xlfn.ANCHORARRAY($BO$8),22,2),"")</f>
        <v/>
      </c>
      <c r="E34" s="305" t="str">
        <f>_xlfn.LET(_xlpm.k,IFERROR(INDEX(_xlfn.ANCHORARRAY($BO$8),22,3),""),IF(_xlpm.k="","",_xlfn.XLOOKUP(_xlpm.k,tblUIText[Key],tblUIText[TR],_xlpm.k)&amp;" / "&amp;_xlfn.XLOOKUP(_xlpm.k,tblUIText[Key],tblUIText[EN],"")))</f>
        <v/>
      </c>
      <c r="F34" s="305"/>
      <c r="G34" s="305"/>
      <c r="H34" s="305"/>
      <c r="I34" s="305" t="str">
        <f>IFERROR(INDEX(_xlfn.ANCHORARRAY($BO$8),22,4),"")</f>
        <v/>
      </c>
      <c r="J34" s="305"/>
      <c r="K34" s="305"/>
      <c r="L34" s="305" t="str">
        <f>IFERROR(INDEX(_xlfn.ANCHORARRAY($BO$8),22,5),"")</f>
        <v/>
      </c>
      <c r="M34" s="305"/>
      <c r="N34" s="305"/>
      <c r="O34" s="189" t="str" cm="1">
        <f t="array" ref="O34">_xlfn.LET(_xlpm.v,IFERROR(INDEX(_xlfn.ANCHORARRAY($BO$8),22,6),""),IF(_xlpm.v="","",anNum(_xlpm.v,2)))</f>
        <v/>
      </c>
      <c r="P34" s="306" t="str">
        <f t="shared" si="0"/>
        <v/>
      </c>
      <c r="Q34" s="305"/>
    </row>
    <row r="35" spans="2:17" ht="12" customHeight="1">
      <c r="B35" s="305" t="str">
        <f>_xlfn.LET(_xlpm.s,IFERROR(INDEX(_xlfn.ANCHORARRAY($BO$8),23,1),""),IF(_xlpm.s="","",_xlfn.XLOOKUP("AN_SEG_"&amp;_xlpm.s,tblUIText[Key],tblUIText[TR],_xlpm.s)&amp;" / "&amp;_xlfn.XLOOKUP("AN_SEG_"&amp;_xlpm.s,tblUIText[Key],tblUIText[EN],_xlpm.s)))</f>
        <v/>
      </c>
      <c r="C35" s="305"/>
      <c r="D35" s="188" t="str">
        <f>IFERROR(INDEX(_xlfn.ANCHORARRAY($BO$8),23,2),"")</f>
        <v/>
      </c>
      <c r="E35" s="305" t="str">
        <f>_xlfn.LET(_xlpm.k,IFERROR(INDEX(_xlfn.ANCHORARRAY($BO$8),23,3),""),IF(_xlpm.k="","",_xlfn.XLOOKUP(_xlpm.k,tblUIText[Key],tblUIText[TR],_xlpm.k)&amp;" / "&amp;_xlfn.XLOOKUP(_xlpm.k,tblUIText[Key],tblUIText[EN],"")))</f>
        <v/>
      </c>
      <c r="F35" s="305"/>
      <c r="G35" s="305"/>
      <c r="H35" s="305"/>
      <c r="I35" s="305" t="str">
        <f>IFERROR(INDEX(_xlfn.ANCHORARRAY($BO$8),23,4),"")</f>
        <v/>
      </c>
      <c r="J35" s="305"/>
      <c r="K35" s="305"/>
      <c r="L35" s="305" t="str">
        <f>IFERROR(INDEX(_xlfn.ANCHORARRAY($BO$8),23,5),"")</f>
        <v/>
      </c>
      <c r="M35" s="305"/>
      <c r="N35" s="305"/>
      <c r="O35" s="189" t="str" cm="1">
        <f t="array" ref="O35">_xlfn.LET(_xlpm.v,IFERROR(INDEX(_xlfn.ANCHORARRAY($BO$8),23,6),""),IF(_xlpm.v="","",anNum(_xlpm.v,2)))</f>
        <v/>
      </c>
      <c r="P35" s="306" t="str">
        <f t="shared" si="0"/>
        <v/>
      </c>
      <c r="Q35" s="305"/>
    </row>
    <row r="36" spans="2:17" ht="12" customHeight="1">
      <c r="B36" s="305" t="str">
        <f>_xlfn.LET(_xlpm.s,IFERROR(INDEX(_xlfn.ANCHORARRAY($BO$8),24,1),""),IF(_xlpm.s="","",_xlfn.XLOOKUP("AN_SEG_"&amp;_xlpm.s,tblUIText[Key],tblUIText[TR],_xlpm.s)&amp;" / "&amp;_xlfn.XLOOKUP("AN_SEG_"&amp;_xlpm.s,tblUIText[Key],tblUIText[EN],_xlpm.s)))</f>
        <v/>
      </c>
      <c r="C36" s="305"/>
      <c r="D36" s="188" t="str">
        <f>IFERROR(INDEX(_xlfn.ANCHORARRAY($BO$8),24,2),"")</f>
        <v/>
      </c>
      <c r="E36" s="305" t="str">
        <f>_xlfn.LET(_xlpm.k,IFERROR(INDEX(_xlfn.ANCHORARRAY($BO$8),24,3),""),IF(_xlpm.k="","",_xlfn.XLOOKUP(_xlpm.k,tblUIText[Key],tblUIText[TR],_xlpm.k)&amp;" / "&amp;_xlfn.XLOOKUP(_xlpm.k,tblUIText[Key],tblUIText[EN],"")))</f>
        <v/>
      </c>
      <c r="F36" s="305"/>
      <c r="G36" s="305"/>
      <c r="H36" s="305"/>
      <c r="I36" s="305" t="str">
        <f>IFERROR(INDEX(_xlfn.ANCHORARRAY($BO$8),24,4),"")</f>
        <v/>
      </c>
      <c r="J36" s="305"/>
      <c r="K36" s="305"/>
      <c r="L36" s="305" t="str">
        <f>IFERROR(INDEX(_xlfn.ANCHORARRAY($BO$8),24,5),"")</f>
        <v/>
      </c>
      <c r="M36" s="305"/>
      <c r="N36" s="305"/>
      <c r="O36" s="189" t="str" cm="1">
        <f t="array" ref="O36">_xlfn.LET(_xlpm.v,IFERROR(INDEX(_xlfn.ANCHORARRAY($BO$8),24,6),""),IF(_xlpm.v="","",anNum(_xlpm.v,2)))</f>
        <v/>
      </c>
      <c r="P36" s="306" t="str">
        <f t="shared" si="0"/>
        <v/>
      </c>
      <c r="Q36" s="305"/>
    </row>
    <row r="37" spans="2:17" ht="12" customHeight="1">
      <c r="B37" s="305" t="str">
        <f>_xlfn.LET(_xlpm.s,IFERROR(INDEX(_xlfn.ANCHORARRAY($BO$8),25,1),""),IF(_xlpm.s="","",_xlfn.XLOOKUP("AN_SEG_"&amp;_xlpm.s,tblUIText[Key],tblUIText[TR],_xlpm.s)&amp;" / "&amp;_xlfn.XLOOKUP("AN_SEG_"&amp;_xlpm.s,tblUIText[Key],tblUIText[EN],_xlpm.s)))</f>
        <v/>
      </c>
      <c r="C37" s="305"/>
      <c r="D37" s="188" t="str">
        <f>IFERROR(INDEX(_xlfn.ANCHORARRAY($BO$8),25,2),"")</f>
        <v/>
      </c>
      <c r="E37" s="305" t="str">
        <f>_xlfn.LET(_xlpm.k,IFERROR(INDEX(_xlfn.ANCHORARRAY($BO$8),25,3),""),IF(_xlpm.k="","",_xlfn.XLOOKUP(_xlpm.k,tblUIText[Key],tblUIText[TR],_xlpm.k)&amp;" / "&amp;_xlfn.XLOOKUP(_xlpm.k,tblUIText[Key],tblUIText[EN],"")))</f>
        <v/>
      </c>
      <c r="F37" s="305"/>
      <c r="G37" s="305"/>
      <c r="H37" s="305"/>
      <c r="I37" s="305" t="str">
        <f>IFERROR(INDEX(_xlfn.ANCHORARRAY($BO$8),25,4),"")</f>
        <v/>
      </c>
      <c r="J37" s="305"/>
      <c r="K37" s="305"/>
      <c r="L37" s="305" t="str">
        <f>IFERROR(INDEX(_xlfn.ANCHORARRAY($BO$8),25,5),"")</f>
        <v/>
      </c>
      <c r="M37" s="305"/>
      <c r="N37" s="305"/>
      <c r="O37" s="189" t="str" cm="1">
        <f t="array" ref="O37">_xlfn.LET(_xlpm.v,IFERROR(INDEX(_xlfn.ANCHORARRAY($BO$8),25,6),""),IF(_xlpm.v="","",anNum(_xlpm.v,2)))</f>
        <v/>
      </c>
      <c r="P37" s="306" t="str">
        <f t="shared" si="0"/>
        <v/>
      </c>
      <c r="Q37" s="305"/>
    </row>
    <row r="38" spans="2:17" ht="12" customHeight="1">
      <c r="B38" s="305" t="str">
        <f>_xlfn.LET(_xlpm.s,IFERROR(INDEX(_xlfn.ANCHORARRAY($BO$8),26,1),""),IF(_xlpm.s="","",_xlfn.XLOOKUP("AN_SEG_"&amp;_xlpm.s,tblUIText[Key],tblUIText[TR],_xlpm.s)&amp;" / "&amp;_xlfn.XLOOKUP("AN_SEG_"&amp;_xlpm.s,tblUIText[Key],tblUIText[EN],_xlpm.s)))</f>
        <v/>
      </c>
      <c r="C38" s="305"/>
      <c r="D38" s="188" t="str">
        <f>IFERROR(INDEX(_xlfn.ANCHORARRAY($BO$8),26,2),"")</f>
        <v/>
      </c>
      <c r="E38" s="305" t="str">
        <f>_xlfn.LET(_xlpm.k,IFERROR(INDEX(_xlfn.ANCHORARRAY($BO$8),26,3),""),IF(_xlpm.k="","",_xlfn.XLOOKUP(_xlpm.k,tblUIText[Key],tblUIText[TR],_xlpm.k)&amp;" / "&amp;_xlfn.XLOOKUP(_xlpm.k,tblUIText[Key],tblUIText[EN],"")))</f>
        <v/>
      </c>
      <c r="F38" s="305"/>
      <c r="G38" s="305"/>
      <c r="H38" s="305"/>
      <c r="I38" s="305" t="str">
        <f>IFERROR(INDEX(_xlfn.ANCHORARRAY($BO$8),26,4),"")</f>
        <v/>
      </c>
      <c r="J38" s="305"/>
      <c r="K38" s="305"/>
      <c r="L38" s="305" t="str">
        <f>IFERROR(INDEX(_xlfn.ANCHORARRAY($BO$8),26,5),"")</f>
        <v/>
      </c>
      <c r="M38" s="305"/>
      <c r="N38" s="305"/>
      <c r="O38" s="189" t="str" cm="1">
        <f t="array" ref="O38">_xlfn.LET(_xlpm.v,IFERROR(INDEX(_xlfn.ANCHORARRAY($BO$8),26,6),""),IF(_xlpm.v="","",anNum(_xlpm.v,2)))</f>
        <v/>
      </c>
      <c r="P38" s="306" t="str">
        <f t="shared" si="0"/>
        <v/>
      </c>
      <c r="Q38" s="305"/>
    </row>
    <row r="39" spans="2:17" ht="12" customHeight="1">
      <c r="B39" s="305" t="str">
        <f>_xlfn.LET(_xlpm.s,IFERROR(INDEX(_xlfn.ANCHORARRAY($BO$8),27,1),""),IF(_xlpm.s="","",_xlfn.XLOOKUP("AN_SEG_"&amp;_xlpm.s,tblUIText[Key],tblUIText[TR],_xlpm.s)&amp;" / "&amp;_xlfn.XLOOKUP("AN_SEG_"&amp;_xlpm.s,tblUIText[Key],tblUIText[EN],_xlpm.s)))</f>
        <v/>
      </c>
      <c r="C39" s="305"/>
      <c r="D39" s="188" t="str">
        <f>IFERROR(INDEX(_xlfn.ANCHORARRAY($BO$8),27,2),"")</f>
        <v/>
      </c>
      <c r="E39" s="305" t="str">
        <f>_xlfn.LET(_xlpm.k,IFERROR(INDEX(_xlfn.ANCHORARRAY($BO$8),27,3),""),IF(_xlpm.k="","",_xlfn.XLOOKUP(_xlpm.k,tblUIText[Key],tblUIText[TR],_xlpm.k)&amp;" / "&amp;_xlfn.XLOOKUP(_xlpm.k,tblUIText[Key],tblUIText[EN],"")))</f>
        <v/>
      </c>
      <c r="F39" s="305"/>
      <c r="G39" s="305"/>
      <c r="H39" s="305"/>
      <c r="I39" s="305" t="str">
        <f>IFERROR(INDEX(_xlfn.ANCHORARRAY($BO$8),27,4),"")</f>
        <v/>
      </c>
      <c r="J39" s="305"/>
      <c r="K39" s="305"/>
      <c r="L39" s="305" t="str">
        <f>IFERROR(INDEX(_xlfn.ANCHORARRAY($BO$8),27,5),"")</f>
        <v/>
      </c>
      <c r="M39" s="305"/>
      <c r="N39" s="305"/>
      <c r="O39" s="189" t="str" cm="1">
        <f t="array" ref="O39">_xlfn.LET(_xlpm.v,IFERROR(INDEX(_xlfn.ANCHORARRAY($BO$8),27,6),""),IF(_xlpm.v="","",anNum(_xlpm.v,2)))</f>
        <v/>
      </c>
      <c r="P39" s="306" t="str">
        <f t="shared" si="0"/>
        <v/>
      </c>
      <c r="Q39" s="305"/>
    </row>
    <row r="40" spans="2:17" ht="12" customHeight="1">
      <c r="B40" s="305" t="str">
        <f>_xlfn.LET(_xlpm.s,IFERROR(INDEX(_xlfn.ANCHORARRAY($BO$8),28,1),""),IF(_xlpm.s="","",_xlfn.XLOOKUP("AN_SEG_"&amp;_xlpm.s,tblUIText[Key],tblUIText[TR],_xlpm.s)&amp;" / "&amp;_xlfn.XLOOKUP("AN_SEG_"&amp;_xlpm.s,tblUIText[Key],tblUIText[EN],_xlpm.s)))</f>
        <v/>
      </c>
      <c r="C40" s="305"/>
      <c r="D40" s="188" t="str">
        <f>IFERROR(INDEX(_xlfn.ANCHORARRAY($BO$8),28,2),"")</f>
        <v/>
      </c>
      <c r="E40" s="305" t="str">
        <f>_xlfn.LET(_xlpm.k,IFERROR(INDEX(_xlfn.ANCHORARRAY($BO$8),28,3),""),IF(_xlpm.k="","",_xlfn.XLOOKUP(_xlpm.k,tblUIText[Key],tblUIText[TR],_xlpm.k)&amp;" / "&amp;_xlfn.XLOOKUP(_xlpm.k,tblUIText[Key],tblUIText[EN],"")))</f>
        <v/>
      </c>
      <c r="F40" s="305"/>
      <c r="G40" s="305"/>
      <c r="H40" s="305"/>
      <c r="I40" s="305" t="str">
        <f>IFERROR(INDEX(_xlfn.ANCHORARRAY($BO$8),28,4),"")</f>
        <v/>
      </c>
      <c r="J40" s="305"/>
      <c r="K40" s="305"/>
      <c r="L40" s="305" t="str">
        <f>IFERROR(INDEX(_xlfn.ANCHORARRAY($BO$8),28,5),"")</f>
        <v/>
      </c>
      <c r="M40" s="305"/>
      <c r="N40" s="305"/>
      <c r="O40" s="189" t="str" cm="1">
        <f t="array" ref="O40">_xlfn.LET(_xlpm.v,IFERROR(INDEX(_xlfn.ANCHORARRAY($BO$8),28,6),""),IF(_xlpm.v="","",anNum(_xlpm.v,2)))</f>
        <v/>
      </c>
      <c r="P40" s="306" t="str">
        <f t="shared" si="0"/>
        <v/>
      </c>
      <c r="Q40" s="305"/>
    </row>
    <row r="41" spans="2:17" ht="12" customHeight="1">
      <c r="B41" s="305" t="str">
        <f>_xlfn.LET(_xlpm.s,IFERROR(INDEX(_xlfn.ANCHORARRAY($BO$8),29,1),""),IF(_xlpm.s="","",_xlfn.XLOOKUP("AN_SEG_"&amp;_xlpm.s,tblUIText[Key],tblUIText[TR],_xlpm.s)&amp;" / "&amp;_xlfn.XLOOKUP("AN_SEG_"&amp;_xlpm.s,tblUIText[Key],tblUIText[EN],_xlpm.s)))</f>
        <v/>
      </c>
      <c r="C41" s="305"/>
      <c r="D41" s="188" t="str">
        <f>IFERROR(INDEX(_xlfn.ANCHORARRAY($BO$8),29,2),"")</f>
        <v/>
      </c>
      <c r="E41" s="305" t="str">
        <f>_xlfn.LET(_xlpm.k,IFERROR(INDEX(_xlfn.ANCHORARRAY($BO$8),29,3),""),IF(_xlpm.k="","",_xlfn.XLOOKUP(_xlpm.k,tblUIText[Key],tblUIText[TR],_xlpm.k)&amp;" / "&amp;_xlfn.XLOOKUP(_xlpm.k,tblUIText[Key],tblUIText[EN],"")))</f>
        <v/>
      </c>
      <c r="F41" s="305"/>
      <c r="G41" s="305"/>
      <c r="H41" s="305"/>
      <c r="I41" s="305" t="str">
        <f>IFERROR(INDEX(_xlfn.ANCHORARRAY($BO$8),29,4),"")</f>
        <v/>
      </c>
      <c r="J41" s="305"/>
      <c r="K41" s="305"/>
      <c r="L41" s="305" t="str">
        <f>IFERROR(INDEX(_xlfn.ANCHORARRAY($BO$8),29,5),"")</f>
        <v/>
      </c>
      <c r="M41" s="305"/>
      <c r="N41" s="305"/>
      <c r="O41" s="189" t="str" cm="1">
        <f t="array" ref="O41">_xlfn.LET(_xlpm.v,IFERROR(INDEX(_xlfn.ANCHORARRAY($BO$8),29,6),""),IF(_xlpm.v="","",anNum(_xlpm.v,2)))</f>
        <v/>
      </c>
      <c r="P41" s="306" t="str">
        <f t="shared" si="0"/>
        <v/>
      </c>
      <c r="Q41" s="305"/>
    </row>
    <row r="42" spans="2:17" ht="12" customHeight="1">
      <c r="B42" s="305" t="str">
        <f>_xlfn.LET(_xlpm.s,IFERROR(INDEX(_xlfn.ANCHORARRAY($BO$8),30,1),""),IF(_xlpm.s="","",_xlfn.XLOOKUP("AN_SEG_"&amp;_xlpm.s,tblUIText[Key],tblUIText[TR],_xlpm.s)&amp;" / "&amp;_xlfn.XLOOKUP("AN_SEG_"&amp;_xlpm.s,tblUIText[Key],tblUIText[EN],_xlpm.s)))</f>
        <v/>
      </c>
      <c r="C42" s="305"/>
      <c r="D42" s="188" t="str">
        <f>IFERROR(INDEX(_xlfn.ANCHORARRAY($BO$8),30,2),"")</f>
        <v/>
      </c>
      <c r="E42" s="305" t="str">
        <f>_xlfn.LET(_xlpm.k,IFERROR(INDEX(_xlfn.ANCHORARRAY($BO$8),30,3),""),IF(_xlpm.k="","",_xlfn.XLOOKUP(_xlpm.k,tblUIText[Key],tblUIText[TR],_xlpm.k)&amp;" / "&amp;_xlfn.XLOOKUP(_xlpm.k,tblUIText[Key],tblUIText[EN],"")))</f>
        <v/>
      </c>
      <c r="F42" s="305"/>
      <c r="G42" s="305"/>
      <c r="H42" s="305"/>
      <c r="I42" s="305" t="str">
        <f>IFERROR(INDEX(_xlfn.ANCHORARRAY($BO$8),30,4),"")</f>
        <v/>
      </c>
      <c r="J42" s="305"/>
      <c r="K42" s="305"/>
      <c r="L42" s="305" t="str">
        <f>IFERROR(INDEX(_xlfn.ANCHORARRAY($BO$8),30,5),"")</f>
        <v/>
      </c>
      <c r="M42" s="305"/>
      <c r="N42" s="305"/>
      <c r="O42" s="189" t="str" cm="1">
        <f t="array" ref="O42">_xlfn.LET(_xlpm.v,IFERROR(INDEX(_xlfn.ANCHORARRAY($BO$8),30,6),""),IF(_xlpm.v="","",anNum(_xlpm.v,2)))</f>
        <v/>
      </c>
      <c r="P42" s="306" t="str">
        <f t="shared" si="0"/>
        <v/>
      </c>
      <c r="Q42" s="305"/>
    </row>
    <row r="43" spans="2:17" ht="12" customHeight="1">
      <c r="B43" s="305" t="str">
        <f>_xlfn.LET(_xlpm.s,IFERROR(INDEX(_xlfn.ANCHORARRAY($BO$8),31,1),""),IF(_xlpm.s="","",_xlfn.XLOOKUP("AN_SEG_"&amp;_xlpm.s,tblUIText[Key],tblUIText[TR],_xlpm.s)&amp;" / "&amp;_xlfn.XLOOKUP("AN_SEG_"&amp;_xlpm.s,tblUIText[Key],tblUIText[EN],_xlpm.s)))</f>
        <v/>
      </c>
      <c r="C43" s="305"/>
      <c r="D43" s="188" t="str">
        <f>IFERROR(INDEX(_xlfn.ANCHORARRAY($BO$8),31,2),"")</f>
        <v/>
      </c>
      <c r="E43" s="305" t="str">
        <f>_xlfn.LET(_xlpm.k,IFERROR(INDEX(_xlfn.ANCHORARRAY($BO$8),31,3),""),IF(_xlpm.k="","",_xlfn.XLOOKUP(_xlpm.k,tblUIText[Key],tblUIText[TR],_xlpm.k)&amp;" / "&amp;_xlfn.XLOOKUP(_xlpm.k,tblUIText[Key],tblUIText[EN],"")))</f>
        <v/>
      </c>
      <c r="F43" s="305"/>
      <c r="G43" s="305"/>
      <c r="H43" s="305"/>
      <c r="I43" s="305" t="str">
        <f>IFERROR(INDEX(_xlfn.ANCHORARRAY($BO$8),31,4),"")</f>
        <v/>
      </c>
      <c r="J43" s="305"/>
      <c r="K43" s="305"/>
      <c r="L43" s="305" t="str">
        <f>IFERROR(INDEX(_xlfn.ANCHORARRAY($BO$8),31,5),"")</f>
        <v/>
      </c>
      <c r="M43" s="305"/>
      <c r="N43" s="305"/>
      <c r="O43" s="189" t="str" cm="1">
        <f t="array" ref="O43">_xlfn.LET(_xlpm.v,IFERROR(INDEX(_xlfn.ANCHORARRAY($BO$8),31,6),""),IF(_xlpm.v="","",anNum(_xlpm.v,2)))</f>
        <v/>
      </c>
      <c r="P43" s="306" t="str">
        <f t="shared" si="0"/>
        <v/>
      </c>
      <c r="Q43" s="305"/>
    </row>
    <row r="44" spans="2:17" ht="12" customHeight="1">
      <c r="B44" s="305" t="str">
        <f>_xlfn.LET(_xlpm.s,IFERROR(INDEX(_xlfn.ANCHORARRAY($BO$8),32,1),""),IF(_xlpm.s="","",_xlfn.XLOOKUP("AN_SEG_"&amp;_xlpm.s,tblUIText[Key],tblUIText[TR],_xlpm.s)&amp;" / "&amp;_xlfn.XLOOKUP("AN_SEG_"&amp;_xlpm.s,tblUIText[Key],tblUIText[EN],_xlpm.s)))</f>
        <v/>
      </c>
      <c r="C44" s="305"/>
      <c r="D44" s="188" t="str">
        <f>IFERROR(INDEX(_xlfn.ANCHORARRAY($BO$8),32,2),"")</f>
        <v/>
      </c>
      <c r="E44" s="305" t="str">
        <f>_xlfn.LET(_xlpm.k,IFERROR(INDEX(_xlfn.ANCHORARRAY($BO$8),32,3),""),IF(_xlpm.k="","",_xlfn.XLOOKUP(_xlpm.k,tblUIText[Key],tblUIText[TR],_xlpm.k)&amp;" / "&amp;_xlfn.XLOOKUP(_xlpm.k,tblUIText[Key],tblUIText[EN],"")))</f>
        <v/>
      </c>
      <c r="F44" s="305"/>
      <c r="G44" s="305"/>
      <c r="H44" s="305"/>
      <c r="I44" s="305" t="str">
        <f>IFERROR(INDEX(_xlfn.ANCHORARRAY($BO$8),32,4),"")</f>
        <v/>
      </c>
      <c r="J44" s="305"/>
      <c r="K44" s="305"/>
      <c r="L44" s="305" t="str">
        <f>IFERROR(INDEX(_xlfn.ANCHORARRAY($BO$8),32,5),"")</f>
        <v/>
      </c>
      <c r="M44" s="305"/>
      <c r="N44" s="305"/>
      <c r="O44" s="189" t="str" cm="1">
        <f t="array" ref="O44">_xlfn.LET(_xlpm.v,IFERROR(INDEX(_xlfn.ANCHORARRAY($BO$8),32,6),""),IF(_xlpm.v="","",anNum(_xlpm.v,2)))</f>
        <v/>
      </c>
      <c r="P44" s="306" t="str">
        <f t="shared" si="0"/>
        <v/>
      </c>
      <c r="Q44" s="305"/>
    </row>
    <row r="45" spans="2:17" ht="12" customHeight="1">
      <c r="B45" s="305" t="str">
        <f>_xlfn.LET(_xlpm.s,IFERROR(INDEX(_xlfn.ANCHORARRAY($BO$8),33,1),""),IF(_xlpm.s="","",_xlfn.XLOOKUP("AN_SEG_"&amp;_xlpm.s,tblUIText[Key],tblUIText[TR],_xlpm.s)&amp;" / "&amp;_xlfn.XLOOKUP("AN_SEG_"&amp;_xlpm.s,tblUIText[Key],tblUIText[EN],_xlpm.s)))</f>
        <v/>
      </c>
      <c r="C45" s="305"/>
      <c r="D45" s="188" t="str">
        <f>IFERROR(INDEX(_xlfn.ANCHORARRAY($BO$8),33,2),"")</f>
        <v/>
      </c>
      <c r="E45" s="305" t="str">
        <f>_xlfn.LET(_xlpm.k,IFERROR(INDEX(_xlfn.ANCHORARRAY($BO$8),33,3),""),IF(_xlpm.k="","",_xlfn.XLOOKUP(_xlpm.k,tblUIText[Key],tblUIText[TR],_xlpm.k)&amp;" / "&amp;_xlfn.XLOOKUP(_xlpm.k,tblUIText[Key],tblUIText[EN],"")))</f>
        <v/>
      </c>
      <c r="F45" s="305"/>
      <c r="G45" s="305"/>
      <c r="H45" s="305"/>
      <c r="I45" s="305" t="str">
        <f>IFERROR(INDEX(_xlfn.ANCHORARRAY($BO$8),33,4),"")</f>
        <v/>
      </c>
      <c r="J45" s="305"/>
      <c r="K45" s="305"/>
      <c r="L45" s="305" t="str">
        <f>IFERROR(INDEX(_xlfn.ANCHORARRAY($BO$8),33,5),"")</f>
        <v/>
      </c>
      <c r="M45" s="305"/>
      <c r="N45" s="305"/>
      <c r="O45" s="189" t="str" cm="1">
        <f t="array" ref="O45">_xlfn.LET(_xlpm.v,IFERROR(INDEX(_xlfn.ANCHORARRAY($BO$8),33,6),""),IF(_xlpm.v="","",anNum(_xlpm.v,2)))</f>
        <v/>
      </c>
      <c r="P45" s="306" t="str">
        <f t="shared" si="0"/>
        <v/>
      </c>
      <c r="Q45" s="305"/>
    </row>
    <row r="46" spans="2:17" ht="12" customHeight="1">
      <c r="B46" s="305" t="str">
        <f>_xlfn.LET(_xlpm.s,IFERROR(INDEX(_xlfn.ANCHORARRAY($BO$8),34,1),""),IF(_xlpm.s="","",_xlfn.XLOOKUP("AN_SEG_"&amp;_xlpm.s,tblUIText[Key],tblUIText[TR],_xlpm.s)&amp;" / "&amp;_xlfn.XLOOKUP("AN_SEG_"&amp;_xlpm.s,tblUIText[Key],tblUIText[EN],_xlpm.s)))</f>
        <v/>
      </c>
      <c r="C46" s="305"/>
      <c r="D46" s="188" t="str">
        <f>IFERROR(INDEX(_xlfn.ANCHORARRAY($BO$8),34,2),"")</f>
        <v/>
      </c>
      <c r="E46" s="305" t="str">
        <f>_xlfn.LET(_xlpm.k,IFERROR(INDEX(_xlfn.ANCHORARRAY($BO$8),34,3),""),IF(_xlpm.k="","",_xlfn.XLOOKUP(_xlpm.k,tblUIText[Key],tblUIText[TR],_xlpm.k)&amp;" / "&amp;_xlfn.XLOOKUP(_xlpm.k,tblUIText[Key],tblUIText[EN],"")))</f>
        <v/>
      </c>
      <c r="F46" s="305"/>
      <c r="G46" s="305"/>
      <c r="H46" s="305"/>
      <c r="I46" s="305" t="str">
        <f>IFERROR(INDEX(_xlfn.ANCHORARRAY($BO$8),34,4),"")</f>
        <v/>
      </c>
      <c r="J46" s="305"/>
      <c r="K46" s="305"/>
      <c r="L46" s="305" t="str">
        <f>IFERROR(INDEX(_xlfn.ANCHORARRAY($BO$8),34,5),"")</f>
        <v/>
      </c>
      <c r="M46" s="305"/>
      <c r="N46" s="305"/>
      <c r="O46" s="189" t="str" cm="1">
        <f t="array" ref="O46">_xlfn.LET(_xlpm.v,IFERROR(INDEX(_xlfn.ANCHORARRAY($BO$8),34,6),""),IF(_xlpm.v="","",anNum(_xlpm.v,2)))</f>
        <v/>
      </c>
      <c r="P46" s="306" t="str">
        <f t="shared" si="0"/>
        <v/>
      </c>
      <c r="Q46" s="305"/>
    </row>
    <row r="47" spans="2:17" ht="12" customHeight="1">
      <c r="B47" s="305" t="str">
        <f>_xlfn.LET(_xlpm.s,IFERROR(INDEX(_xlfn.ANCHORARRAY($BO$8),35,1),""),IF(_xlpm.s="","",_xlfn.XLOOKUP("AN_SEG_"&amp;_xlpm.s,tblUIText[Key],tblUIText[TR],_xlpm.s)&amp;" / "&amp;_xlfn.XLOOKUP("AN_SEG_"&amp;_xlpm.s,tblUIText[Key],tblUIText[EN],_xlpm.s)))</f>
        <v/>
      </c>
      <c r="C47" s="305"/>
      <c r="D47" s="188" t="str">
        <f>IFERROR(INDEX(_xlfn.ANCHORARRAY($BO$8),35,2),"")</f>
        <v/>
      </c>
      <c r="E47" s="305" t="str">
        <f>_xlfn.LET(_xlpm.k,IFERROR(INDEX(_xlfn.ANCHORARRAY($BO$8),35,3),""),IF(_xlpm.k="","",_xlfn.XLOOKUP(_xlpm.k,tblUIText[Key],tblUIText[TR],_xlpm.k)&amp;" / "&amp;_xlfn.XLOOKUP(_xlpm.k,tblUIText[Key],tblUIText[EN],"")))</f>
        <v/>
      </c>
      <c r="F47" s="305"/>
      <c r="G47" s="305"/>
      <c r="H47" s="305"/>
      <c r="I47" s="305" t="str">
        <f>IFERROR(INDEX(_xlfn.ANCHORARRAY($BO$8),35,4),"")</f>
        <v/>
      </c>
      <c r="J47" s="305"/>
      <c r="K47" s="305"/>
      <c r="L47" s="305" t="str">
        <f>IFERROR(INDEX(_xlfn.ANCHORARRAY($BO$8),35,5),"")</f>
        <v/>
      </c>
      <c r="M47" s="305"/>
      <c r="N47" s="305"/>
      <c r="O47" s="189" t="str" cm="1">
        <f t="array" ref="O47">_xlfn.LET(_xlpm.v,IFERROR(INDEX(_xlfn.ANCHORARRAY($BO$8),35,6),""),IF(_xlpm.v="","",anNum(_xlpm.v,2)))</f>
        <v/>
      </c>
      <c r="P47" s="306" t="str">
        <f t="shared" si="0"/>
        <v/>
      </c>
      <c r="Q47" s="305"/>
    </row>
    <row r="48" spans="2:17" ht="12" customHeight="1">
      <c r="B48" s="305" t="str">
        <f>_xlfn.LET(_xlpm.s,IFERROR(INDEX(_xlfn.ANCHORARRAY($BO$8),36,1),""),IF(_xlpm.s="","",_xlfn.XLOOKUP("AN_SEG_"&amp;_xlpm.s,tblUIText[Key],tblUIText[TR],_xlpm.s)&amp;" / "&amp;_xlfn.XLOOKUP("AN_SEG_"&amp;_xlpm.s,tblUIText[Key],tblUIText[EN],_xlpm.s)))</f>
        <v/>
      </c>
      <c r="C48" s="305"/>
      <c r="D48" s="188" t="str">
        <f>IFERROR(INDEX(_xlfn.ANCHORARRAY($BO$8),36,2),"")</f>
        <v/>
      </c>
      <c r="E48" s="305" t="str">
        <f>_xlfn.LET(_xlpm.k,IFERROR(INDEX(_xlfn.ANCHORARRAY($BO$8),36,3),""),IF(_xlpm.k="","",_xlfn.XLOOKUP(_xlpm.k,tblUIText[Key],tblUIText[TR],_xlpm.k)&amp;" / "&amp;_xlfn.XLOOKUP(_xlpm.k,tblUIText[Key],tblUIText[EN],"")))</f>
        <v/>
      </c>
      <c r="F48" s="305"/>
      <c r="G48" s="305"/>
      <c r="H48" s="305"/>
      <c r="I48" s="305" t="str">
        <f>IFERROR(INDEX(_xlfn.ANCHORARRAY($BO$8),36,4),"")</f>
        <v/>
      </c>
      <c r="J48" s="305"/>
      <c r="K48" s="305"/>
      <c r="L48" s="305" t="str">
        <f>IFERROR(INDEX(_xlfn.ANCHORARRAY($BO$8),36,5),"")</f>
        <v/>
      </c>
      <c r="M48" s="305"/>
      <c r="N48" s="305"/>
      <c r="O48" s="189" t="str" cm="1">
        <f t="array" ref="O48">_xlfn.LET(_xlpm.v,IFERROR(INDEX(_xlfn.ANCHORARRAY($BO$8),36,6),""),IF(_xlpm.v="","",anNum(_xlpm.v,2)))</f>
        <v/>
      </c>
      <c r="P48" s="306" t="str">
        <f t="shared" si="0"/>
        <v/>
      </c>
      <c r="Q48" s="305"/>
    </row>
    <row r="49" spans="2:19" ht="12" customHeight="1">
      <c r="B49" s="305" t="str">
        <f>_xlfn.LET(_xlpm.s,IFERROR(INDEX(_xlfn.ANCHORARRAY($BO$8),37,1),""),IF(_xlpm.s="","",_xlfn.XLOOKUP("AN_SEG_"&amp;_xlpm.s,tblUIText[Key],tblUIText[TR],_xlpm.s)&amp;" / "&amp;_xlfn.XLOOKUP("AN_SEG_"&amp;_xlpm.s,tblUIText[Key],tblUIText[EN],_xlpm.s)))</f>
        <v/>
      </c>
      <c r="C49" s="305"/>
      <c r="D49" s="188" t="str">
        <f>IFERROR(INDEX(_xlfn.ANCHORARRAY($BO$8),37,2),"")</f>
        <v/>
      </c>
      <c r="E49" s="305" t="str">
        <f>_xlfn.LET(_xlpm.k,IFERROR(INDEX(_xlfn.ANCHORARRAY($BO$8),37,3),""),IF(_xlpm.k="","",_xlfn.XLOOKUP(_xlpm.k,tblUIText[Key],tblUIText[TR],_xlpm.k)&amp;" / "&amp;_xlfn.XLOOKUP(_xlpm.k,tblUIText[Key],tblUIText[EN],"")))</f>
        <v/>
      </c>
      <c r="F49" s="305"/>
      <c r="G49" s="305"/>
      <c r="H49" s="305"/>
      <c r="I49" s="305" t="str">
        <f>IFERROR(INDEX(_xlfn.ANCHORARRAY($BO$8),37,4),"")</f>
        <v/>
      </c>
      <c r="J49" s="305"/>
      <c r="K49" s="305"/>
      <c r="L49" s="305" t="str">
        <f>IFERROR(INDEX(_xlfn.ANCHORARRAY($BO$8),37,5),"")</f>
        <v/>
      </c>
      <c r="M49" s="305"/>
      <c r="N49" s="305"/>
      <c r="O49" s="189" t="str" cm="1">
        <f t="array" ref="O49">_xlfn.LET(_xlpm.v,IFERROR(INDEX(_xlfn.ANCHORARRAY($BO$8),37,6),""),IF(_xlpm.v="","",anNum(_xlpm.v,2)))</f>
        <v/>
      </c>
      <c r="P49" s="306" t="str">
        <f t="shared" si="0"/>
        <v/>
      </c>
      <c r="Q49" s="305"/>
    </row>
    <row r="50" spans="2:19" ht="12" customHeight="1">
      <c r="B50" s="305" t="str">
        <f>_xlfn.LET(_xlpm.s,IFERROR(INDEX(_xlfn.ANCHORARRAY($BO$8),38,1),""),IF(_xlpm.s="","",_xlfn.XLOOKUP("AN_SEG_"&amp;_xlpm.s,tblUIText[Key],tblUIText[TR],_xlpm.s)&amp;" / "&amp;_xlfn.XLOOKUP("AN_SEG_"&amp;_xlpm.s,tblUIText[Key],tblUIText[EN],_xlpm.s)))</f>
        <v/>
      </c>
      <c r="C50" s="305"/>
      <c r="D50" s="188" t="str">
        <f>IFERROR(INDEX(_xlfn.ANCHORARRAY($BO$8),38,2),"")</f>
        <v/>
      </c>
      <c r="E50" s="305" t="str">
        <f>_xlfn.LET(_xlpm.k,IFERROR(INDEX(_xlfn.ANCHORARRAY($BO$8),38,3),""),IF(_xlpm.k="","",_xlfn.XLOOKUP(_xlpm.k,tblUIText[Key],tblUIText[TR],_xlpm.k)&amp;" / "&amp;_xlfn.XLOOKUP(_xlpm.k,tblUIText[Key],tblUIText[EN],"")))</f>
        <v/>
      </c>
      <c r="F50" s="305"/>
      <c r="G50" s="305"/>
      <c r="H50" s="305"/>
      <c r="I50" s="305" t="str">
        <f>IFERROR(INDEX(_xlfn.ANCHORARRAY($BO$8),38,4),"")</f>
        <v/>
      </c>
      <c r="J50" s="305"/>
      <c r="K50" s="305"/>
      <c r="L50" s="305" t="str">
        <f>IFERROR(INDEX(_xlfn.ANCHORARRAY($BO$8),38,5),"")</f>
        <v/>
      </c>
      <c r="M50" s="305"/>
      <c r="N50" s="305"/>
      <c r="O50" s="189" t="str" cm="1">
        <f t="array" ref="O50">_xlfn.LET(_xlpm.v,IFERROR(INDEX(_xlfn.ANCHORARRAY($BO$8),38,6),""),IF(_xlpm.v="","",anNum(_xlpm.v,2)))</f>
        <v/>
      </c>
      <c r="P50" s="306" t="str">
        <f t="shared" si="0"/>
        <v/>
      </c>
      <c r="Q50" s="305"/>
    </row>
    <row r="51" spans="2:19" ht="12" customHeight="1">
      <c r="B51" s="305" t="str">
        <f>_xlfn.LET(_xlpm.s,IFERROR(INDEX(_xlfn.ANCHORARRAY($BO$8),39,1),""),IF(_xlpm.s="","",_xlfn.XLOOKUP("AN_SEG_"&amp;_xlpm.s,tblUIText[Key],tblUIText[TR],_xlpm.s)&amp;" / "&amp;_xlfn.XLOOKUP("AN_SEG_"&amp;_xlpm.s,tblUIText[Key],tblUIText[EN],_xlpm.s)))</f>
        <v/>
      </c>
      <c r="C51" s="305"/>
      <c r="D51" s="188" t="str">
        <f>IFERROR(INDEX(_xlfn.ANCHORARRAY($BO$8),39,2),"")</f>
        <v/>
      </c>
      <c r="E51" s="305" t="str">
        <f>_xlfn.LET(_xlpm.k,IFERROR(INDEX(_xlfn.ANCHORARRAY($BO$8),39,3),""),IF(_xlpm.k="","",_xlfn.XLOOKUP(_xlpm.k,tblUIText[Key],tblUIText[TR],_xlpm.k)&amp;" / "&amp;_xlfn.XLOOKUP(_xlpm.k,tblUIText[Key],tblUIText[EN],"")))</f>
        <v/>
      </c>
      <c r="F51" s="305"/>
      <c r="G51" s="305"/>
      <c r="H51" s="305"/>
      <c r="I51" s="305" t="str">
        <f>IFERROR(INDEX(_xlfn.ANCHORARRAY($BO$8),39,4),"")</f>
        <v/>
      </c>
      <c r="J51" s="305"/>
      <c r="K51" s="305"/>
      <c r="L51" s="305" t="str">
        <f>IFERROR(INDEX(_xlfn.ANCHORARRAY($BO$8),39,5),"")</f>
        <v/>
      </c>
      <c r="M51" s="305"/>
      <c r="N51" s="305"/>
      <c r="O51" s="189" t="str" cm="1">
        <f t="array" ref="O51">_xlfn.LET(_xlpm.v,IFERROR(INDEX(_xlfn.ANCHORARRAY($BO$8),39,6),""),IF(_xlpm.v="","",anNum(_xlpm.v,2)))</f>
        <v/>
      </c>
      <c r="P51" s="306" t="str">
        <f t="shared" si="0"/>
        <v/>
      </c>
      <c r="Q51" s="305"/>
    </row>
    <row r="52" spans="2:19" ht="12" customHeight="1">
      <c r="B52" s="305" t="str">
        <f>_xlfn.LET(_xlpm.s,IFERROR(INDEX(_xlfn.ANCHORARRAY($BO$8),40,1),""),IF(_xlpm.s="","",_xlfn.XLOOKUP("AN_SEG_"&amp;_xlpm.s,tblUIText[Key],tblUIText[TR],_xlpm.s)&amp;" / "&amp;_xlfn.XLOOKUP("AN_SEG_"&amp;_xlpm.s,tblUIText[Key],tblUIText[EN],_xlpm.s)))</f>
        <v/>
      </c>
      <c r="C52" s="305"/>
      <c r="D52" s="188" t="str">
        <f>IFERROR(INDEX(_xlfn.ANCHORARRAY($BO$8),40,2),"")</f>
        <v/>
      </c>
      <c r="E52" s="305" t="str">
        <f>_xlfn.LET(_xlpm.k,IFERROR(INDEX(_xlfn.ANCHORARRAY($BO$8),40,3),""),IF(_xlpm.k="","",_xlfn.XLOOKUP(_xlpm.k,tblUIText[Key],tblUIText[TR],_xlpm.k)&amp;" / "&amp;_xlfn.XLOOKUP(_xlpm.k,tblUIText[Key],tblUIText[EN],"")))</f>
        <v/>
      </c>
      <c r="F52" s="305"/>
      <c r="G52" s="305"/>
      <c r="H52" s="305"/>
      <c r="I52" s="305" t="str">
        <f>IFERROR(INDEX(_xlfn.ANCHORARRAY($BO$8),40,4),"")</f>
        <v/>
      </c>
      <c r="J52" s="305"/>
      <c r="K52" s="305"/>
      <c r="L52" s="305" t="str">
        <f>IFERROR(INDEX(_xlfn.ANCHORARRAY($BO$8),40,5),"")</f>
        <v/>
      </c>
      <c r="M52" s="305"/>
      <c r="N52" s="305"/>
      <c r="O52" s="189" t="str" cm="1">
        <f t="array" ref="O52">_xlfn.LET(_xlpm.v,IFERROR(INDEX(_xlfn.ANCHORARRAY($BO$8),40,6),""),IF(_xlpm.v="","",anNum(_xlpm.v,2)))</f>
        <v/>
      </c>
      <c r="P52" s="306" t="str">
        <f t="shared" si="0"/>
        <v/>
      </c>
      <c r="Q52" s="305"/>
    </row>
    <row r="54" spans="2:19" ht="12" customHeight="1">
      <c r="B54" s="304" t="str">
        <f>_xlfn.XLOOKUP("AN_ANO_NOTE",tblUIText[Key],tblUIText[TR],"AN_ANO_NOTE")&amp;" / "&amp;_xlfn.XLOOKUP("AN_ANO_NOTE",tblUIText[Key],tblUIText[EN],"")</f>
        <v>Eşikler taslaktır (DRAFT). Benford ve PSI bantları yayımlanmış sabit değerlerdir: sahibi onaylayana kadar durumları yer tutucudur (*). İstatistiksel sinyal bir hatanın kanıtı değildir: önce kaynak dosyaya ve kontrol paneline bakın. / Levels are DRAFT. The Benford and PSI bands are published fixed values: until the owner approves them their statuses are placeholders (*). A statistical signal is not proof of an error: check the source file and the control panel first.</v>
      </c>
      <c r="C54" s="304"/>
      <c r="D54" s="304"/>
      <c r="E54" s="304"/>
      <c r="F54" s="304"/>
      <c r="G54" s="304"/>
      <c r="H54" s="304"/>
      <c r="I54" s="304"/>
      <c r="J54" s="304"/>
      <c r="K54" s="304"/>
      <c r="L54" s="304"/>
      <c r="M54" s="304"/>
      <c r="N54" s="304"/>
      <c r="O54" s="304"/>
      <c r="P54" s="304"/>
      <c r="Q54" s="304"/>
      <c r="R54" s="304"/>
      <c r="S54" s="304"/>
    </row>
    <row r="55" spans="2:19">
      <c r="B55" s="304"/>
      <c r="C55" s="304"/>
      <c r="D55" s="304"/>
      <c r="E55" s="304"/>
      <c r="F55" s="304"/>
      <c r="G55" s="304"/>
      <c r="H55" s="304"/>
      <c r="I55" s="304"/>
      <c r="J55" s="304"/>
      <c r="K55" s="304"/>
      <c r="L55" s="304"/>
      <c r="M55" s="304"/>
      <c r="N55" s="304"/>
      <c r="O55" s="304"/>
      <c r="P55" s="304"/>
      <c r="Q55" s="304"/>
      <c r="R55" s="304"/>
      <c r="S55" s="304"/>
    </row>
  </sheetData>
  <sheetProtection algorithmName="SHA-512" hashValue="KYkAvqlX6Cv8xeoKiCxnmGMfnBwb2FBMP0sOBrMnQDWa0MVqqhZUUXCwfSPIPC19E2AMfuFj2bHy4UhZJV8xGQ==" saltValue="2BkmLfUfTST6607IWJ5s7A==" spinCount="100000" sheet="1" scenarios="1" formatColumns="0" sort="0" autoFilter="0"/>
  <mergeCells count="210">
    <mergeCell ref="J5:K5"/>
    <mergeCell ref="B4:S4"/>
    <mergeCell ref="B6:S6"/>
    <mergeCell ref="B10:S10"/>
    <mergeCell ref="B12:C12"/>
    <mergeCell ref="E12:H12"/>
    <mergeCell ref="I12:K12"/>
    <mergeCell ref="L12:N12"/>
    <mergeCell ref="P12:Q12"/>
    <mergeCell ref="B13:C13"/>
    <mergeCell ref="E13:H13"/>
    <mergeCell ref="I13:K13"/>
    <mergeCell ref="L13:N13"/>
    <mergeCell ref="P13:Q13"/>
    <mergeCell ref="B14:C14"/>
    <mergeCell ref="E14:H14"/>
    <mergeCell ref="I14:K14"/>
    <mergeCell ref="L14:N14"/>
    <mergeCell ref="P14:Q14"/>
    <mergeCell ref="B15:C15"/>
    <mergeCell ref="E15:H15"/>
    <mergeCell ref="I15:K15"/>
    <mergeCell ref="L15:N15"/>
    <mergeCell ref="P15:Q15"/>
    <mergeCell ref="B16:C16"/>
    <mergeCell ref="E16:H16"/>
    <mergeCell ref="I16:K16"/>
    <mergeCell ref="L16:N16"/>
    <mergeCell ref="P16:Q16"/>
    <mergeCell ref="B17:C17"/>
    <mergeCell ref="E17:H17"/>
    <mergeCell ref="I17:K17"/>
    <mergeCell ref="L17:N17"/>
    <mergeCell ref="P17:Q17"/>
    <mergeCell ref="B18:C18"/>
    <mergeCell ref="E18:H18"/>
    <mergeCell ref="I18:K18"/>
    <mergeCell ref="L18:N18"/>
    <mergeCell ref="P18:Q18"/>
    <mergeCell ref="B19:C19"/>
    <mergeCell ref="E19:H19"/>
    <mergeCell ref="I19:K19"/>
    <mergeCell ref="L19:N19"/>
    <mergeCell ref="P19:Q19"/>
    <mergeCell ref="B20:C20"/>
    <mergeCell ref="E20:H20"/>
    <mergeCell ref="I20:K20"/>
    <mergeCell ref="L20:N20"/>
    <mergeCell ref="P20:Q20"/>
    <mergeCell ref="B21:C21"/>
    <mergeCell ref="E21:H21"/>
    <mergeCell ref="I21:K21"/>
    <mergeCell ref="L21:N21"/>
    <mergeCell ref="P21:Q21"/>
    <mergeCell ref="B22:C22"/>
    <mergeCell ref="E22:H22"/>
    <mergeCell ref="I22:K22"/>
    <mergeCell ref="L22:N22"/>
    <mergeCell ref="P22:Q22"/>
    <mergeCell ref="B23:C23"/>
    <mergeCell ref="E23:H23"/>
    <mergeCell ref="I23:K23"/>
    <mergeCell ref="L23:N23"/>
    <mergeCell ref="P23:Q23"/>
    <mergeCell ref="B24:C24"/>
    <mergeCell ref="E24:H24"/>
    <mergeCell ref="I24:K24"/>
    <mergeCell ref="L24:N24"/>
    <mergeCell ref="P24:Q24"/>
    <mergeCell ref="B25:C25"/>
    <mergeCell ref="E25:H25"/>
    <mergeCell ref="I25:K25"/>
    <mergeCell ref="L25:N25"/>
    <mergeCell ref="P25:Q25"/>
    <mergeCell ref="B26:C26"/>
    <mergeCell ref="E26:H26"/>
    <mergeCell ref="I26:K26"/>
    <mergeCell ref="L26:N26"/>
    <mergeCell ref="P26:Q26"/>
    <mergeCell ref="B27:C27"/>
    <mergeCell ref="E27:H27"/>
    <mergeCell ref="I27:K27"/>
    <mergeCell ref="L27:N27"/>
    <mergeCell ref="P27:Q27"/>
    <mergeCell ref="B28:C28"/>
    <mergeCell ref="E28:H28"/>
    <mergeCell ref="I28:K28"/>
    <mergeCell ref="L28:N28"/>
    <mergeCell ref="P28:Q28"/>
    <mergeCell ref="B29:C29"/>
    <mergeCell ref="E29:H29"/>
    <mergeCell ref="I29:K29"/>
    <mergeCell ref="L29:N29"/>
    <mergeCell ref="P29:Q29"/>
    <mergeCell ref="B30:C30"/>
    <mergeCell ref="E30:H30"/>
    <mergeCell ref="I30:K30"/>
    <mergeCell ref="L30:N30"/>
    <mergeCell ref="P30:Q30"/>
    <mergeCell ref="B31:C31"/>
    <mergeCell ref="E31:H31"/>
    <mergeCell ref="I31:K31"/>
    <mergeCell ref="L31:N31"/>
    <mergeCell ref="P31:Q31"/>
    <mergeCell ref="B32:C32"/>
    <mergeCell ref="E32:H32"/>
    <mergeCell ref="I32:K32"/>
    <mergeCell ref="L32:N32"/>
    <mergeCell ref="P32:Q32"/>
    <mergeCell ref="B33:C33"/>
    <mergeCell ref="E33:H33"/>
    <mergeCell ref="I33:K33"/>
    <mergeCell ref="L33:N33"/>
    <mergeCell ref="P33:Q33"/>
    <mergeCell ref="B34:C34"/>
    <mergeCell ref="E34:H34"/>
    <mergeCell ref="I34:K34"/>
    <mergeCell ref="L34:N34"/>
    <mergeCell ref="P34:Q34"/>
    <mergeCell ref="B35:C35"/>
    <mergeCell ref="E35:H35"/>
    <mergeCell ref="I35:K35"/>
    <mergeCell ref="L35:N35"/>
    <mergeCell ref="P35:Q35"/>
    <mergeCell ref="B36:C36"/>
    <mergeCell ref="E36:H36"/>
    <mergeCell ref="I36:K36"/>
    <mergeCell ref="L36:N36"/>
    <mergeCell ref="P36:Q36"/>
    <mergeCell ref="B37:C37"/>
    <mergeCell ref="E37:H37"/>
    <mergeCell ref="I37:K37"/>
    <mergeCell ref="L37:N37"/>
    <mergeCell ref="P37:Q37"/>
    <mergeCell ref="B38:C38"/>
    <mergeCell ref="E38:H38"/>
    <mergeCell ref="I38:K38"/>
    <mergeCell ref="L38:N38"/>
    <mergeCell ref="P38:Q38"/>
    <mergeCell ref="B39:C39"/>
    <mergeCell ref="E39:H39"/>
    <mergeCell ref="I39:K39"/>
    <mergeCell ref="L39:N39"/>
    <mergeCell ref="P39:Q39"/>
    <mergeCell ref="B40:C40"/>
    <mergeCell ref="E40:H40"/>
    <mergeCell ref="I40:K40"/>
    <mergeCell ref="L40:N40"/>
    <mergeCell ref="P40:Q40"/>
    <mergeCell ref="B41:C41"/>
    <mergeCell ref="E41:H41"/>
    <mergeCell ref="I41:K41"/>
    <mergeCell ref="L41:N41"/>
    <mergeCell ref="P41:Q41"/>
    <mergeCell ref="B42:C42"/>
    <mergeCell ref="E42:H42"/>
    <mergeCell ref="I42:K42"/>
    <mergeCell ref="L42:N42"/>
    <mergeCell ref="P42:Q42"/>
    <mergeCell ref="B43:C43"/>
    <mergeCell ref="E43:H43"/>
    <mergeCell ref="I43:K43"/>
    <mergeCell ref="L43:N43"/>
    <mergeCell ref="P43:Q43"/>
    <mergeCell ref="B44:C44"/>
    <mergeCell ref="E44:H44"/>
    <mergeCell ref="I44:K44"/>
    <mergeCell ref="L44:N44"/>
    <mergeCell ref="P44:Q44"/>
    <mergeCell ref="B45:C45"/>
    <mergeCell ref="E45:H45"/>
    <mergeCell ref="I45:K45"/>
    <mergeCell ref="L45:N45"/>
    <mergeCell ref="P45:Q45"/>
    <mergeCell ref="B46:C46"/>
    <mergeCell ref="E46:H46"/>
    <mergeCell ref="I46:K46"/>
    <mergeCell ref="L46:N46"/>
    <mergeCell ref="P46:Q46"/>
    <mergeCell ref="B47:C47"/>
    <mergeCell ref="E47:H47"/>
    <mergeCell ref="I47:K47"/>
    <mergeCell ref="L47:N47"/>
    <mergeCell ref="P47:Q47"/>
    <mergeCell ref="B48:C48"/>
    <mergeCell ref="E48:H48"/>
    <mergeCell ref="I48:K48"/>
    <mergeCell ref="L48:N48"/>
    <mergeCell ref="P48:Q48"/>
    <mergeCell ref="B49:C49"/>
    <mergeCell ref="E49:H49"/>
    <mergeCell ref="I49:K49"/>
    <mergeCell ref="L49:N49"/>
    <mergeCell ref="P49:Q49"/>
    <mergeCell ref="B50:C50"/>
    <mergeCell ref="E50:H50"/>
    <mergeCell ref="I50:K50"/>
    <mergeCell ref="L50:N50"/>
    <mergeCell ref="P50:Q50"/>
    <mergeCell ref="B54:S55"/>
    <mergeCell ref="B51:C51"/>
    <mergeCell ref="E51:H51"/>
    <mergeCell ref="I51:K51"/>
    <mergeCell ref="L51:N51"/>
    <mergeCell ref="P51:Q51"/>
    <mergeCell ref="B52:C52"/>
    <mergeCell ref="E52:H52"/>
    <mergeCell ref="I52:K52"/>
    <mergeCell ref="L52:N52"/>
    <mergeCell ref="P52:Q52"/>
  </mergeCells>
  <conditionalFormatting sqref="B6">
    <cfRule type="expression" dxfId="50" priority="2" stopIfTrue="1">
      <formula>ISNUMBER(SEARCH("INSUFFICIENT",$B$6))</formula>
    </cfRule>
  </conditionalFormatting>
  <conditionalFormatting sqref="L13:N52">
    <cfRule type="expression" dxfId="49" priority="1" stopIfTrue="1">
      <formula>RIGHT(L13,1)="*"</formula>
    </cfRule>
    <cfRule type="expression" dxfId="48" priority="3" stopIfTrue="1">
      <formula>LEFT(L13,5)="ALERT"</formula>
    </cfRule>
    <cfRule type="expression" dxfId="47" priority="4" stopIfTrue="1">
      <formula>LEFT(L13,5)="WATCH"</formula>
    </cfRule>
    <cfRule type="expression" dxfId="46" priority="5" stopIfTrue="1">
      <formula>LEFT(L13,2)="OK"</formula>
    </cfRule>
    <cfRule type="expression" dxfId="45" priority="6" stopIfTrue="1">
      <formula>LEFT(L13,12)="INSUFFICIENT"</formula>
    </cfRule>
  </conditionalFormatting>
  <conditionalFormatting sqref="B13">
    <cfRule type="expression" dxfId="44" priority="7" stopIfTrue="1">
      <formula>$BO$8=""</formula>
    </cfRule>
  </conditionalFormatting>
  <dataValidations count="1">
    <dataValidation type="list" allowBlank="1" showInputMessage="1" showErrorMessage="1" sqref="J5" xr:uid="{0D8F440B-78F8-450C-BA84-D5871C4A3C51}">
      <formula1>anMonthList</formula1>
    </dataValidation>
  </dataValidations>
  <printOptions horizontalCentered="1"/>
  <pageMargins left="0.25" right="0.25" top="0.25" bottom="0.25" header="0.3" footer="0.3"/>
  <pageSetup paperSize="9" scale="7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3B7B-79A6-4A10-99CB-DB553687EBCB}">
  <sheetPr codeName="Sheet89">
    <pageSetUpPr fitToPage="1"/>
  </sheetPr>
  <dimension ref="B1:DE44"/>
  <sheetViews>
    <sheetView showGridLines="0" workbookViewId="0"/>
  </sheetViews>
  <sheetFormatPr defaultRowHeight="12"/>
  <cols>
    <col min="1" max="1" width="2.28515625" style="122" customWidth="1"/>
    <col min="2" max="19" width="8.28515625" style="122" customWidth="1"/>
    <col min="20" max="27" width="9.140625" style="122"/>
    <col min="28" max="110" width="0" style="122" hidden="1" customWidth="1"/>
    <col min="111" max="16384" width="9.140625" style="122"/>
  </cols>
  <sheetData>
    <row r="1" spans="2:109" ht="18">
      <c r="B1" s="123" t="str" cm="1">
        <f t="array" ref="B1">IF($AB$11&lt;1,_xlfn.XLOOKUP("AN_SEG_"&amp;$AB$3,tblUIText[Key],tblUIText[TR],$AB$3)&amp;": "&amp;SUBSTITUTE(SUBSTITUTE(SUBSTITUTE(_xlfn.XLOOKUP("AN_BT_GATE",tblUIText[Key],tblUIText[TR],"AN_BT_GATE"),"{0}",$AB$4),"{1}",$AB$7),"{2}",$AB$5),SUBSTITUTE(SUBSTITUTE(SUBSTITUTE(SUBSTITUTE(SUBSTITUTE(_xlfn.XLOOKUP("AN_BT_HEAD",tblUIText[Key],tblUIText[TR],"AN_BT_HEAD"),"{0}",_xlfn.XLOOKUP("AN_SEG_"&amp;$AB$3,tblUIText[Key],tblUIText[TR],$AB$3)),"{1}",IFERROR(anPct(INDEX(_xlfn.ANCHORARRAY($CY$4),1),1),"-")),"{2}",IFERROR(anPct(INDEX(_xlfn.ANCHORARRAY($CY$6),1),1),"-")),"{3}",IFERROR(anPct(INDEX(_xlfn.ANCHORARRAY($CY$8),1),0),"-")),"{4}",$AB$11))</f>
        <v>Hayat: VERİ YETERSİZ: 0 ay veri var; test için en az 24 ay eğitim + 3 ay ufuk gerekir</v>
      </c>
      <c r="AB1" s="122" t="s">
        <v>21754</v>
      </c>
    </row>
    <row r="2" spans="2:109" ht="15">
      <c r="B2" s="124" t="str" cm="1">
        <f t="array" ref="B2">IF($AB$11&lt;1,_xlfn.XLOOKUP("AN_SEG_"&amp;$AB$3,tblUIText[Key],tblUIText[EN],$AB$3)&amp;": "&amp;SUBSTITUTE(SUBSTITUTE(SUBSTITUTE(_xlfn.XLOOKUP("AN_BT_GATE",tblUIText[Key],tblUIText[EN],"AN_BT_GATE"),"{0}",$AB$4),"{1}",$AB$7),"{2}",$AB$5),SUBSTITUTE(SUBSTITUTE(SUBSTITUTE(SUBSTITUTE(SUBSTITUTE(_xlfn.XLOOKUP("AN_BT_HEAD",tblUIText[Key],tblUIText[EN],"AN_BT_HEAD"),"{0}",_xlfn.XLOOKUP("AN_SEG_"&amp;$AB$3,tblUIText[Key],tblUIText[EN],$AB$3)),"{1}",IFERROR(anPct(INDEX(_xlfn.ANCHORARRAY($CY$4),1),1),"-")),"{2}",IFERROR(anPct(INDEX(_xlfn.ANCHORARRAY($CY$6),1),1),"-")),"{3}",IFERROR(anPct(INDEX(_xlfn.ANCHORARRAY($CY$8),1),0),"-")),"{4}",$AB$11))</f>
        <v>Life: INSUFFICIENT DATA: 0 months of data; the test needs at least 24 training months + 3 horizon months</v>
      </c>
      <c r="AB2" s="122" t="str">
        <f>IF($AB$11&lt;1,SUBSTITUTE(SUBSTITUTE(SUBSTITUTE(_xlfn.XLOOKUP("AN_BT_GATE",tblUIText[Key],tblUIText[EN],"AN_BT_GATE"),"{0}",$AB$4),"{1}",$AB$7),"{2}",$AB$5),"OK: "&amp;$AB$11&amp;" "&amp;_xlfn.XLOOKUP("AN_BT_N",tblUIText[Key],tblUIText[TR],"AN_BT_N")&amp;" / "&amp;_xlfn.XLOOKUP("AN_BT_N",tblUIText[Key],tblUIText[EN],"")&amp;"; "&amp;$AB$4&amp;" "&amp;_xlfn.XLOOKUP("AN_READY_MONTHS",tblUIText[Key],tblUIText[TR],"AN_READY_MONTHS")&amp;" / "&amp;_xlfn.XLOOKUP("AN_READY_MONTHS",tblUIText[Key],tblUIText[EN],"")&amp;" (DRAFT)")</f>
        <v>INSUFFICIENT DATA: 0 months of data; the test needs at least 24 training months + 3 horizon months</v>
      </c>
    </row>
    <row r="3" spans="2:109">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tr">
        <f>$C$5</f>
        <v>Life</v>
      </c>
      <c r="CX3" s="122" t="s">
        <v>21766</v>
      </c>
    </row>
    <row r="4" spans="2:109" ht="33.950000000000003" customHeight="1">
      <c r="B4" s="244" t="str">
        <f>_xlfn.XLOOKUP("AN_BT_PURPOSE",tblUIText[Key],tblUIText[TR],"AN_BT_PURPOSE")&amp;" / "&amp;_xlfn.XLOOKUP("AN_BT_PURPOSE",tblUIText[Key],tblUIText[EN],"")&amp;CHAR(10)&amp;_xlfn.XLOOKUP("AN_HOWTO_BACKTEST",tblUIText[Key],tblUIText[TR],"AN_HOWTO_BACKTEST")&amp;" / "&amp;_xlfn.XLOOKUP("AN_HOWTO_BACKTEST",tblUIText[Key],tblUIText[EN],"")</f>
        <v>Kayan başlangıçlı geriye dönük test: her başlangıç ayında FORECAST.ETS yalnızca o aya kadarki aylarla kurulur ve sonraki 1..H ay gerçekleşenlerle karşılaştırılır. / Rolling-origin backtest: at each origin month FORECAST.ETS is fitted on the months up to that origin only and its next 1..H months are compared with the actual values.
Nasıl okunur: MAPE düşük olmalı ve basit kıyaslardan (naif, mevsimsel naif) düşük olmalı; kapsama oranı güven düzeyine yakın olmalı. Az başlangıç = geniş belirsizlik. / How to read: MAPE should be low and lower than the simple benchmarks (naive, seasonal naive); coverage should be close to the confidence level. Few origins = wide uncertainty.</v>
      </c>
      <c r="C4" s="244"/>
      <c r="D4" s="244"/>
      <c r="E4" s="244"/>
      <c r="F4" s="244"/>
      <c r="G4" s="244"/>
      <c r="H4" s="244"/>
      <c r="I4" s="244"/>
      <c r="J4" s="244"/>
      <c r="K4" s="244"/>
      <c r="L4" s="244"/>
      <c r="M4" s="244"/>
      <c r="N4" s="244"/>
      <c r="O4" s="244"/>
      <c r="P4" s="244"/>
      <c r="Q4" s="244"/>
      <c r="R4" s="244"/>
      <c r="S4" s="244"/>
      <c r="AB4" s="122">
        <f>COUNT(_xlfn.ANCHORARRAY($AD$12))</f>
        <v>0</v>
      </c>
      <c r="CX4" s="122" t="s">
        <v>21767</v>
      </c>
      <c r="CY4" s="122" t="e" cm="1">
        <f t="array" ref="CY4">IF($AB$11&lt;1,NA(),_xlfn.BYCOL(_xlfn.ANCHORARRAY($BV$12),_xlfn.LAMBDA(_xlpm.col,IFERROR(AVERAGE(_xlfn._xlws.FILTER(_xlpm.col,ISNUMBER(_xlpm.col))),NA()))))</f>
        <v>#N/A</v>
      </c>
    </row>
    <row r="5" spans="2:109">
      <c r="B5" s="128" t="s">
        <v>19100</v>
      </c>
      <c r="C5" s="275" t="s">
        <v>113</v>
      </c>
      <c r="D5" s="275"/>
      <c r="E5" s="126" t="str">
        <f>_xlfn.XLOOKUP("AN_SEG_"&amp;$C$5,tblUIText[Key],tblUIText[TR],$C$5)&amp;" / "&amp;_xlfn.XLOOKUP("AN_SEG_"&amp;$C$5,tblUIText[Key],tblUIText[EN],$C$5)</f>
        <v>Hayat / Life</v>
      </c>
      <c r="M5" s="130" t="str">
        <f>_xlfn.XLOOKUP("AN_LBL_REFRESH",tblUIText[Key],tblUIText[TR],"AN_LBL_REFRESH")&amp;" / "&amp;_xlfn.XLOOKUP("AN_LBL_REFRESH",tblUIText[Key],tblUIText[EN],"")&amp;": "&amp;IFERROR(TEXT(cpLastLoggedRefresh,"yyyy-mm-dd hh:mm"),cpLastLoggedRefresh&amp;"")</f>
        <v>Son yenileme / Last refresh: none</v>
      </c>
      <c r="AB5" s="122">
        <f>_xlfn.XLOOKUP("ForecastHorizonMonths",AnParam[Param],AnParam[Value])</f>
        <v>3</v>
      </c>
      <c r="CX5" s="122" t="s">
        <v>21768</v>
      </c>
      <c r="CY5" s="122" t="e" cm="1">
        <f t="array" ref="CY5">IF($AB$11&lt;1,NA(),_xlfn.BYCOL(_xlfn.ANCHORARRAY($CC$12),_xlfn.LAMBDA(_xlpm.col,IFERROR(AVERAGE(_xlfn._xlws.FILTER(_xlpm.col,ISNUMBER(_xlpm.col))),NA()))))</f>
        <v>#N/A</v>
      </c>
    </row>
    <row r="6" spans="2:109">
      <c r="B6" s="245" t="str">
        <f>_xlfn.XLOOKUP("AN_LBL_READINESS",tblUIText[Key],tblUIText[TR],"AN_LBL_READINESS")&amp;" / "&amp;_xlfn.XLOOKUP("AN_LBL_READINESS",tblUIText[Key],tblUIText[EN],"")&amp;": "&amp;IF($AB$11&lt;1,SUBSTITUTE(SUBSTITUTE(SUBSTITUTE(_xlfn.XLOOKUP("AN_BT_GATE",tblUIText[Key],tblUIText[TR],"AN_BT_GATE"),"{0}",$AB$4),"{1}",$AB$7),"{2}",$AB$5)&amp;" / "&amp;SUBSTITUTE(SUBSTITUTE(SUBSTITUTE(_xlfn.XLOOKUP("AN_BT_GATE",tblUIText[Key],tblUIText[EN],"AN_BT_GATE"),"{0}",$AB$4),"{1}",$AB$7),"{2}",$AB$5),"OK: "&amp;$AB$4&amp;" "&amp;_xlfn.XLOOKUP("AN_READY_MONTHS",tblUIText[Key],tblUIText[TR],"AN_READY_MONTHS")&amp;" / "&amp;_xlfn.XLOOKUP("AN_READY_MONTHS",tblUIText[Key],tblUIText[EN],"")&amp;"; "&amp;$AB$11&amp;" "&amp;_xlfn.XLOOKUP("AN_BT_N",tblUIText[Key],tblUIText[TR],"AN_BT_N")&amp;" / "&amp;_xlfn.XLOOKUP("AN_BT_N",tblUIText[Key],tblUIText[EN],"")&amp;"; "&amp;_xlfn.XLOOKUP("AN_BT_H",tblUIText[Key],tblUIText[TR],"AN_BT_H")&amp;" / "&amp;_xlfn.XLOOKUP("AN_BT_H",tblUIText[Key],tblUIText[EN],"")&amp;" 1.."&amp;$AB$5)</f>
        <v>Veri durumu / Data readiness: VERİ YETERSİZ: 0 ay veri var; test için en az 24 ay eğitim + 3 ay ufuk gerekir / INSUFFICIENT DATA: 0 months of data; the test needs at least 24 training months + 3 horizon months</v>
      </c>
      <c r="C6" s="246"/>
      <c r="D6" s="246"/>
      <c r="E6" s="246"/>
      <c r="F6" s="246"/>
      <c r="G6" s="246"/>
      <c r="H6" s="246"/>
      <c r="I6" s="246"/>
      <c r="J6" s="246"/>
      <c r="K6" s="246"/>
      <c r="L6" s="246"/>
      <c r="M6" s="246"/>
      <c r="N6" s="246"/>
      <c r="O6" s="246"/>
      <c r="P6" s="246"/>
      <c r="Q6" s="246"/>
      <c r="R6" s="246"/>
      <c r="S6" s="246"/>
      <c r="AB6" s="122">
        <f>_xlfn.XLOOKUP("BacktestOrigins",AnParam[Param],AnParam[Value])</f>
        <v>12</v>
      </c>
      <c r="CX6" s="122" t="s">
        <v>21769</v>
      </c>
      <c r="CY6" s="122" t="e" cm="1">
        <f t="array" ref="CY6">IF($AB$11&lt;1,NA(),_xlfn.BYCOL(_xlfn.ANCHORARRAY($CJ$12),_xlfn.LAMBDA(_xlpm.col,IFERROR(AVERAGE(_xlfn._xlws.FILTER(_xlpm.col,ISNUMBER(_xlpm.col))),NA()))))</f>
        <v>#N/A</v>
      </c>
    </row>
    <row r="7" spans="2:109"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B7" s="122">
        <f>_xlfn.XLOOKUP("MinMonthsForForecast",AnParam[Param],AnParam[Value])</f>
        <v>24</v>
      </c>
      <c r="CX7" s="122" t="s">
        <v>21770</v>
      </c>
      <c r="CY7" s="122" t="e" cm="1">
        <f t="array" ref="CY7">IF($AB$11&lt;1,NA(),_xlfn.BYCOL(_xlfn.ANCHORARRAY($CQ$12),_xlfn.LAMBDA(_xlpm.col,IFERROR(AVERAGE(_xlfn._xlws.FILTER(_xlpm.col,ISNUMBER(_xlpm.col))),NA()))))</f>
        <v>#N/A</v>
      </c>
    </row>
    <row r="8" spans="2:109">
      <c r="B8" s="125" t="str">
        <f>HYPERLINK("#'Method_Cards'!B"&amp;IFERROR(MATCH("M2",Method_Cards!$A:$A,0),1),_xlfn.XLOOKUP("AN_W_METHOD_CARD",tblUIText[Key],tblUIText[TR],"AN_W_METHOD_CARD")&amp;" / "&amp;_xlfn.XLOOKUP("AN_W_METHOD_CARD",tblUIText[Key],tblUIText[EN],"")&amp;" (M2)")</f>
        <v>Yöntem kartı / Method card (M2)</v>
      </c>
      <c r="AB8" s="122">
        <f>_xlfn.XLOOKUP("ForecastConfidence",AnParam[Param],AnParam[Value])</f>
        <v>0.95</v>
      </c>
      <c r="CX8" s="122" t="s">
        <v>21771</v>
      </c>
      <c r="CY8" s="122" t="e" cm="1">
        <f t="array" ref="CY8">IF($AB$11&lt;1,NA(),_xlfn.BYCOL(_xlfn.ANCHORARRAY($BO$12),_xlfn.LAMBDA(_xlpm.col,AVERAGE(_xlpm.col))))</f>
        <v>#N/A</v>
      </c>
    </row>
    <row r="9" spans="2:109" ht="24" customHeight="1">
      <c r="B9" s="312" t="str">
        <f>_xlfn.XLOOKUP("AN_BT_DISCLAIMER",tblUIText[Key],tblUIText[TR],"AN_BT_DISCLAIMER")&amp;" / "&amp;_xlfn.XLOOKUP("AN_BT_DISCLAIMER",tblUIText[Key],tblUIText[EN],"")</f>
        <v>TASLAK - gösterge niteliğinde: test en fazla 36 aylık analiz penceresindeki aylarla yapılır; tahmin bir bütçe veya rezerv değildir. / DRAFT - indicative: the test uses at most the 36 months of the analysis window; the forecast is not a budget or a reserve.</v>
      </c>
      <c r="C9" s="312"/>
      <c r="D9" s="312"/>
      <c r="E9" s="312"/>
      <c r="F9" s="312"/>
      <c r="G9" s="312"/>
      <c r="H9" s="312"/>
      <c r="I9" s="312"/>
      <c r="J9" s="312"/>
      <c r="K9" s="312"/>
      <c r="L9" s="312"/>
      <c r="M9" s="312"/>
      <c r="N9" s="312"/>
      <c r="O9" s="312"/>
      <c r="P9" s="312"/>
      <c r="Q9" s="312"/>
      <c r="R9" s="312"/>
      <c r="S9" s="312"/>
      <c r="AB9" s="122">
        <f>MAX($AB$7,$AB$4-$AB$5-$AB$6+1)</f>
        <v>24</v>
      </c>
      <c r="CX9" s="122" t="s">
        <v>19772</v>
      </c>
      <c r="CY9" s="122" t="e" cm="1">
        <f t="array" ref="CY9">IF($AB$11&lt;1,NA(),_xlfn.BYCOL(_xlfn.ANCHORARRAY($BV$12),_xlfn.LAMBDA(_xlpm.col,COUNT(_xlpm.col))))</f>
        <v>#N/A</v>
      </c>
    </row>
    <row r="10" spans="2:109">
      <c r="B10" s="127" t="str">
        <f>_xlfn.XLOOKUP("AN_BT_SUMMARY",tblUIText[Key],tblUIText[TR],"AN_BT_SUMMARY")&amp;" / "&amp;_xlfn.XLOOKUP("AN_BT_SUMMARY",tblUIText[Key],tblUIText[EN],"")</f>
        <v>Ufka göre isabet (tüm başlangıçlar) / Accuracy by horizon (all origins)</v>
      </c>
      <c r="AB10" s="122">
        <f>$AB$4-$AB$5</f>
        <v>-3</v>
      </c>
    </row>
    <row r="11" spans="2:109">
      <c r="B11" s="313" t="str">
        <f>_xlfn.XLOOKUP("AN_BT_H",tblUIText[Key],tblUIText[TR],"AN_BT_H")&amp;" / "&amp;_xlfn.XLOOKUP("AN_BT_H",tblUIText[Key],tblUIText[EN],"")</f>
        <v>Ufuk (ay) / Horizon (months)</v>
      </c>
      <c r="C11" s="313"/>
      <c r="D11" s="313"/>
      <c r="E11" s="313"/>
      <c r="F11" s="200" cm="1">
        <f t="array" ref="F11:H11">_xlfn.SEQUENCE(1,$AB$5)</f>
        <v>1</v>
      </c>
      <c r="G11" s="200">
        <v>2</v>
      </c>
      <c r="H11" s="200">
        <v>3</v>
      </c>
      <c r="I11" s="200"/>
      <c r="J11" s="200"/>
      <c r="K11" s="200"/>
      <c r="AB11" s="122">
        <f>MAX(0,$AB$10-$AB$9+1)</f>
        <v>0</v>
      </c>
      <c r="AC11" s="122" t="s">
        <v>16896</v>
      </c>
      <c r="AD11" s="122" t="s">
        <v>21755</v>
      </c>
      <c r="AE11" s="122" t="s">
        <v>21756</v>
      </c>
      <c r="AF11" s="122" t="s">
        <v>19665</v>
      </c>
      <c r="AM11" s="122" t="s">
        <v>21757</v>
      </c>
      <c r="AT11" s="122" t="s">
        <v>21758</v>
      </c>
      <c r="BA11" s="122" t="s">
        <v>21759</v>
      </c>
      <c r="BH11" s="122" t="s">
        <v>21760</v>
      </c>
      <c r="BO11" s="122" t="s">
        <v>21761</v>
      </c>
      <c r="BV11" s="122" t="s">
        <v>21762</v>
      </c>
      <c r="CC11" s="122" t="s">
        <v>21763</v>
      </c>
      <c r="CJ11" s="122" t="s">
        <v>21764</v>
      </c>
      <c r="CQ11" s="122" t="s">
        <v>21765</v>
      </c>
      <c r="DA11" s="122" t="s">
        <v>21772</v>
      </c>
    </row>
    <row r="12" spans="2:109" ht="21" customHeight="1">
      <c r="B12" s="311" t="str">
        <f>_xlfn.XLOOKUP("AN_BT_MAPE_ETS",tblUIText[Key],tblUIText[TR],"AN_BT_MAPE_ETS")&amp;" / "&amp;_xlfn.XLOOKUP("AN_BT_MAPE_ETS",tblUIText[Key],tblUIText[EN],"")</f>
        <v>MAPE - ETS / MAPE - ETS</v>
      </c>
      <c r="C12" s="311"/>
      <c r="D12" s="311"/>
      <c r="E12" s="311"/>
      <c r="F12" s="201" t="str" cm="1">
        <f t="array" ref="F12">IF($AB$11&lt;1,"-",_xlfn.MAP(_xlfn.ANCHORARRAY($CY$4),_xlfn.LAMBDA(_xlpm.vv,IF(ISNUMBER(_xlpm.vv),anPct(_xlpm.vv,1),"-"))))</f>
        <v>-</v>
      </c>
      <c r="G12" s="201"/>
      <c r="H12" s="201"/>
      <c r="I12" s="201"/>
      <c r="J12" s="201"/>
      <c r="K12" s="201"/>
      <c r="AC12" s="122" t="str" cm="1">
        <f t="array" ref="AC12">IFERROR(_xlfn._xlws.SORT(_xlfn.UNIQUE(_xlfn._xlws.FILTER(anSM_YM,(anSM_Seg=$AB$3)*(anSM_Lines&lt;&gt;"")*(anSM_YM&lt;&gt;"")))),"")</f>
        <v/>
      </c>
      <c r="AD12" s="122" t="str" cm="1">
        <f t="array" ref="AD12">IF(INDEX(_xlfn.ANCHORARRAY($AC$12),1)="","",SUMIFS(anSM_Paid,anSM_Seg,$AB$3,anSM_YM,_xlfn.ANCHORARRAY($AC$12)))</f>
        <v/>
      </c>
      <c r="AE12" s="122" t="str" cm="1">
        <f t="array" ref="AE12">IF($AB$11&lt;1,"",_xlfn.SEQUENCE($AB$11,1,$AB$9))</f>
        <v/>
      </c>
      <c r="AF12" s="122" t="str" cm="1">
        <f t="array" ref="AF12">IF($AB$11&lt;1,"",_xlfn.MAKEARRAY($AB$11,$AB$5,_xlfn.LAMBDA(_xlpm.ii,_xlpm.hh,_xlfn.LET(_xlpm.org,INDEX(_xlfn.ANCHORARRAY($AE$12),_xlpm.ii),_xlfn.FORECAST.ETS(_xlpm.org+_xlpm.hh,_xlfn.TAKE(_xlfn.ANCHORARRAY($AD$12),_xlpm.org),_xlfn.SEQUENCE(_xlpm.org),1,1)))))</f>
        <v/>
      </c>
      <c r="AM12" s="122" t="str" cm="1">
        <f t="array" ref="AM12">IF($AB$11&lt;1,"",_xlfn.MAKEARRAY($AB$11,$AB$5,_xlfn.LAMBDA(_xlpm.ii,_xlpm.hh,_xlfn.LET(_xlpm.org,INDEX(_xlfn.ANCHORARRAY($AE$12),_xlpm.ii),_xlfn.FORECAST.ETS.CONFINT(_xlpm.org+_xlpm.hh,_xlfn.TAKE(_xlfn.ANCHORARRAY($AD$12),_xlpm.org),_xlfn.SEQUENCE(_xlpm.org),$AB$8,1,1)))))</f>
        <v/>
      </c>
      <c r="AT12" s="122" t="str" cm="1">
        <f t="array" ref="AT12">IF($AB$11&lt;1,"",_xlfn.MAKEARRAY($AB$11,$AB$5,_xlfn.LAMBDA(_xlpm.ii,_xlpm.hh,_xlfn.LET(_xlpm.org,INDEX(_xlfn.ANCHORARRAY($AE$12),_xlpm.ii),INDEX(_xlfn.ANCHORARRAY($AD$12),_xlpm.org+_xlpm.hh)))))</f>
        <v/>
      </c>
      <c r="BA12" s="122" t="str" cm="1">
        <f t="array" ref="BA12">IF($AB$11&lt;1,"",_xlfn.MAKEARRAY($AB$11,$AB$5,_xlfn.LAMBDA(_xlpm.ii,_xlpm.hh,_xlfn.LET(_xlpm.org,INDEX(_xlfn.ANCHORARRAY($AE$12),_xlpm.ii),INDEX(_xlfn.ANCHORARRAY($AD$12),_xlpm.org)))))</f>
        <v/>
      </c>
      <c r="BH12" s="122" t="str" cm="1">
        <f t="array" ref="BH12">IF($AB$11&lt;1,"",_xlfn.MAKEARRAY($AB$11,$AB$5,_xlfn.LAMBDA(_xlpm.ii,_xlpm.hh,_xlfn.LET(_xlpm.org,INDEX(_xlfn.ANCHORARRAY($AE$12),_xlpm.ii),IF(_xlpm.org+_xlpm.hh-12&gt;=1,INDEX(_xlfn.ANCHORARRAY($AD$12),_xlpm.org+_xlpm.hh-12),NA())))))</f>
        <v/>
      </c>
      <c r="BO12" s="122" t="str" cm="1">
        <f t="array" ref="BO12">IF($AB$11&lt;1,"",--((_xlfn.ANCHORARRAY($AT$12)&gt;=IF(_xlfn.ANCHORARRAY($AF$12)-_xlfn.ANCHORARRAY($AM$12)&lt;0,0,_xlfn.ANCHORARRAY($AF$12)-_xlfn.ANCHORARRAY($AM$12)))*(_xlfn.ANCHORARRAY($AT$12)&lt;=_xlfn.ANCHORARRAY($AF$12)+_xlfn.ANCHORARRAY($AM$12))))</f>
        <v/>
      </c>
      <c r="BV12" s="122" t="str" cm="1">
        <f t="array" ref="BV12">IF($AB$11&lt;1,"",IF(_xlfn.ANCHORARRAY($AT$12)&gt;0,ABS(_xlfn.ANCHORARRAY($AT$12)-_xlfn.ANCHORARRAY($AF$12))/_xlfn.ANCHORARRAY($AT$12),NA()))</f>
        <v/>
      </c>
      <c r="CC12" s="122" t="str" cm="1">
        <f t="array" ref="CC12">IF($AB$11&lt;1,"",IF(_xlfn.ANCHORARRAY($AT$12)&gt;0,ABS(_xlfn.ANCHORARRAY($AT$12)-_xlfn.ANCHORARRAY($BA$12))/_xlfn.ANCHORARRAY($AT$12),NA()))</f>
        <v/>
      </c>
      <c r="CJ12" s="122" t="str" cm="1">
        <f t="array" ref="CJ12">IF($AB$11&lt;1,"",IFERROR(IF(_xlfn.ANCHORARRAY($AT$12)&gt;0,ABS(_xlfn.ANCHORARRAY($AT$12)-_xlfn.ANCHORARRAY($BH$12))/_xlfn.ANCHORARRAY($AT$12),NA()),NA()))</f>
        <v/>
      </c>
      <c r="CQ12" s="122" t="str" cm="1">
        <f t="array" ref="CQ12">IF($AB$11&lt;1,"",IF(_xlfn.ANCHORARRAY($AT$12)&gt;0,(_xlfn.ANCHORARRAY($AF$12)-_xlfn.ANCHORARRAY($AT$12))/_xlfn.ANCHORARRAY($AT$12),NA()))</f>
        <v/>
      </c>
      <c r="DA12" s="122" t="str" cm="1">
        <f t="array" ref="DA12:DE12">IF($AB$11&lt;1,_xlfn.HSTACK("-",0,0,0,0),_xlfn.LET(_xlpm.fc,INDEX(_xlfn.ANCHORARRAY($AF$12),0,1),_xlpm.hw,INDEX(_xlfn.ANCHORARRAY($AM$12),0,1),_xlfn.HSTACK(INDEX(_xlfn.ANCHORARRAY($AC$12),_xlfn.ANCHORARRAY($AE$12)+1),INDEX(_xlfn.ANCHORARRAY($AT$12),0,1)/1000000,_xlpm.fc/1000000,IF(_xlpm.fc-_xlpm.hw&lt;0,0,_xlpm.fc-_xlpm.hw)/1000000,(_xlpm.fc+_xlpm.hw)/1000000)))</f>
        <v>-</v>
      </c>
      <c r="DB12" s="122">
        <v>0</v>
      </c>
      <c r="DC12" s="122">
        <v>0</v>
      </c>
      <c r="DD12" s="122">
        <v>0</v>
      </c>
      <c r="DE12" s="122">
        <v>0</v>
      </c>
    </row>
    <row r="13" spans="2:109" ht="21" customHeight="1">
      <c r="B13" s="278" t="str">
        <f>_xlfn.XLOOKUP("AN_BT_MAPE_NAIVE",tblUIText[Key],tblUIText[TR],"AN_BT_MAPE_NAIVE")&amp;" / "&amp;_xlfn.XLOOKUP("AN_BT_MAPE_NAIVE",tblUIText[Key],tblUIText[EN],"")</f>
        <v>MAPE - naif (son ay) / MAPE - naive (last month)</v>
      </c>
      <c r="C13" s="278"/>
      <c r="D13" s="278"/>
      <c r="E13" s="278"/>
      <c r="F13" s="129" t="str" cm="1">
        <f t="array" ref="F13">IF($AB$11&lt;1,"-",_xlfn.MAP(_xlfn.ANCHORARRAY($CY$5),_xlfn.LAMBDA(_xlpm.vv,IF(ISNUMBER(_xlpm.vv),anPct(_xlpm.vv,1),"-"))))</f>
        <v>-</v>
      </c>
      <c r="G13" s="129"/>
      <c r="H13" s="129"/>
      <c r="I13" s="129"/>
      <c r="J13" s="129"/>
      <c r="K13" s="129"/>
    </row>
    <row r="14" spans="2:109" ht="21" customHeight="1">
      <c r="B14" s="278" t="str">
        <f>_xlfn.XLOOKUP("AN_BT_MAPE_SNAIVE",tblUIText[Key],tblUIText[TR],"AN_BT_MAPE_SNAIVE")&amp;" / "&amp;_xlfn.XLOOKUP("AN_BT_MAPE_SNAIVE",tblUIText[Key],tblUIText[EN],"")</f>
        <v>MAPE - mevsimsel naif (12 ay önce) / MAPE - seasonal naive (12 months before)</v>
      </c>
      <c r="C14" s="278"/>
      <c r="D14" s="278"/>
      <c r="E14" s="278"/>
      <c r="F14" s="129" t="str" cm="1">
        <f t="array" ref="F14">IF($AB$11&lt;1,"-",_xlfn.MAP(_xlfn.ANCHORARRAY($CY$6),_xlfn.LAMBDA(_xlpm.vv,IF(ISNUMBER(_xlpm.vv),anPct(_xlpm.vv,1),"-"))))</f>
        <v>-</v>
      </c>
      <c r="G14" s="129"/>
      <c r="H14" s="129"/>
      <c r="I14" s="129"/>
      <c r="J14" s="129"/>
      <c r="K14" s="129"/>
    </row>
    <row r="15" spans="2:109" ht="21" customHeight="1">
      <c r="B15" s="278" t="str">
        <f>_xlfn.XLOOKUP("AN_BT_BIAS",tblUIText[Key],tblUIText[TR],"AN_BT_BIAS")&amp;" / "&amp;_xlfn.XLOOKUP("AN_BT_BIAS",tblUIText[Key],tblUIText[EN],"")</f>
        <v>Ortalama yüzde hata (ETS; + = fazla tahmin) / Mean percentage error (ETS; + = over-forecast)</v>
      </c>
      <c r="C15" s="278"/>
      <c r="D15" s="278"/>
      <c r="E15" s="278"/>
      <c r="F15" s="129" t="str" cm="1">
        <f t="array" ref="F15">IF($AB$11&lt;1,"-",_xlfn.MAP(_xlfn.ANCHORARRAY($CY$7),_xlfn.LAMBDA(_xlpm.vv,IF(ISNUMBER(_xlpm.vv),anPctS(_xlpm.vv,1),"-"))))</f>
        <v>-</v>
      </c>
      <c r="G15" s="129"/>
      <c r="H15" s="129"/>
      <c r="I15" s="129"/>
      <c r="J15" s="129"/>
      <c r="K15" s="129"/>
    </row>
    <row r="16" spans="2:109" ht="21" customHeight="1">
      <c r="B16" s="311" t="str">
        <f>_xlfn.XLOOKUP("AN_BT_COVER",tblUIText[Key],tblUIText[TR],"AN_BT_COVER")&amp;" / "&amp;_xlfn.XLOOKUP("AN_BT_COVER",tblUIText[Key],tblUIText[EN],"")</f>
        <v>Aralık kapsaması (gerçekleşen aralık içinde) / Interval coverage (actual inside the interval)</v>
      </c>
      <c r="C16" s="311"/>
      <c r="D16" s="311"/>
      <c r="E16" s="311"/>
      <c r="F16" s="201" t="str" cm="1">
        <f t="array" ref="F16">IF($AB$11&lt;1,"-",_xlfn.MAP(_xlfn.ANCHORARRAY($CY$8),_xlfn.LAMBDA(_xlpm.vv,IF(ISNUMBER(_xlpm.vv),anPct(_xlpm.vv,0),"-"))))</f>
        <v>-</v>
      </c>
      <c r="G16" s="201"/>
      <c r="H16" s="201"/>
      <c r="I16" s="201"/>
      <c r="J16" s="201"/>
      <c r="K16" s="201"/>
    </row>
    <row r="17" spans="2:28" ht="21" customHeight="1">
      <c r="B17" s="278" t="str">
        <f>_xlfn.XLOOKUP("AN_BT_NOMINAL",tblUIText[Key],tblUIText[TR],"AN_BT_NOMINAL")&amp;" / "&amp;_xlfn.XLOOKUP("AN_BT_NOMINAL",tblUIText[Key],tblUIText[EN],"")</f>
        <v>Hedef (güven düzeyi) / Target (confidence level)</v>
      </c>
      <c r="C17" s="278"/>
      <c r="D17" s="278"/>
      <c r="E17" s="278"/>
      <c r="F17" s="129" t="str" cm="1">
        <f t="array" ref="F17">IF($AB$11&lt;1,"-",anPct($AB$8,0))</f>
        <v>-</v>
      </c>
      <c r="G17" s="129"/>
      <c r="H17" s="129"/>
      <c r="I17" s="129"/>
      <c r="J17" s="129"/>
      <c r="K17" s="129"/>
    </row>
    <row r="18" spans="2:28" ht="21" customHeight="1">
      <c r="B18" s="278" t="str">
        <f>_xlfn.XLOOKUP("AN_BT_N",tblUIText[Key],tblUIText[TR],"AN_BT_N")&amp;" / "&amp;_xlfn.XLOOKUP("AN_BT_N",tblUIText[Key],tblUIText[EN],"")</f>
        <v>Başlangıç sayısı / Origins</v>
      </c>
      <c r="C18" s="278"/>
      <c r="D18" s="278"/>
      <c r="E18" s="278"/>
      <c r="F18" s="129" t="str" cm="1">
        <f t="array" ref="F18">IF($AB$11&lt;1,"-",_xlfn.MAP(_xlfn.ANCHORARRAY($CY$9),_xlfn.LAMBDA(_xlpm.vv,IF(ISNUMBER(_xlpm.vv),anNum(_xlpm.vv,0),"-"))))</f>
        <v>-</v>
      </c>
      <c r="G18" s="129"/>
      <c r="H18" s="129"/>
      <c r="I18" s="129"/>
      <c r="J18" s="129"/>
      <c r="K18" s="129"/>
    </row>
    <row r="20" spans="2:28">
      <c r="B20" s="127" t="str">
        <f>_xlfn.XLOOKUP("AN_BT_ORIGINS",tblUIText[Key],tblUIText[TR],"AN_BT_ORIGINS")&amp;" / "&amp;_xlfn.XLOOKUP("AN_BT_ORIGINS",tblUIText[Key],tblUIText[EN],"")</f>
        <v>Başlangıç ayına göre mutlak yüzde hata (APE) ve aralık / Absolute percentage error (APE) and interval by origin month</v>
      </c>
      <c r="AB20" s="122" t="str">
        <f>IF($AB$11&lt;1,SUBSTITUTE(SUBSTITUTE(SUBSTITUTE(_xlfn.XLOOKUP("AN_BT_GATE",tblUIText[Key],tblUIText[TR],"AN_BT_GATE"),"{0}",$AB$4),"{1}",$AB$7),"{2}",$AB$5)&amp;CHAR(10)&amp;SUBSTITUTE(SUBSTITUTE(SUBSTITUTE(_xlfn.XLOOKUP("AN_BT_GATE",tblUIText[Key],tblUIText[EN],"AN_BT_GATE"),"{0}",$AB$4),"{1}",$AB$7),"{2}",$AB$5),_xlfn.XLOOKUP("AN_BT_CHART",tblUIText[Key],tblUIText[TR],"AN_BT_CHART")&amp;" / "&amp;_xlfn.XLOOKUP("AN_BT_CHART",tblUIText[Key],tblUIText[EN],""))</f>
        <v>VERİ YETERSİZ: 0 ay veri var; test için en az 24 ay eğitim + 3 ay ufuk gerekir
INSUFFICIENT DATA: 0 months of data; the test needs at least 24 training months + 3 horizon months</v>
      </c>
    </row>
    <row r="21" spans="2:28" ht="24" customHeight="1">
      <c r="B21" s="308" t="str">
        <f>_xlfn.XLOOKUP("AN_BT_ORIGIN",tblUIText[Key],tblUIText[TR],"AN_BT_ORIGIN")&amp;" / "&amp;_xlfn.XLOOKUP("AN_BT_ORIGIN",tblUIText[Key],tblUIText[EN],"")</f>
        <v>Başlangıç ayı / Origin month</v>
      </c>
      <c r="C21" s="308"/>
      <c r="D21" s="202" t="str" cm="1">
        <f t="array" ref="D21:I21">_xlfn.HSTACK("APE h="&amp;_xlfn.SEQUENCE(1,$AB$5),"Aralık / Int. h="&amp;_xlfn.SEQUENCE(1,$AB$5))</f>
        <v>APE h=1</v>
      </c>
      <c r="E21" s="202" t="str">
        <v>APE h=2</v>
      </c>
      <c r="F21" s="202" t="str">
        <v>APE h=3</v>
      </c>
      <c r="G21" s="202" t="str">
        <v>Aralık / Int. h=1</v>
      </c>
      <c r="H21" s="202" t="str">
        <v>Aralık / Int. h=2</v>
      </c>
      <c r="I21" s="202" t="str">
        <v>Aralık / Int. h=3</v>
      </c>
      <c r="J21" s="202"/>
      <c r="K21" s="202"/>
    </row>
    <row r="22" spans="2:28">
      <c r="B22" s="134" t="str" cm="1">
        <f t="array" ref="B22">IF($AB$11&lt;1,"",INDEX(_xlfn.ANCHORARRAY($AC$12),_xlfn.ANCHORARRAY($AE$12)))</f>
        <v/>
      </c>
      <c r="C22" s="134"/>
      <c r="D22" s="183" t="str" cm="1">
        <f t="array" ref="D22">IF($AB$11&lt;1,"",_xlfn.HSTACK(_xlfn.MAP(_xlfn.ANCHORARRAY($BV$12),_xlfn.LAMBDA(_xlpm.vv,IF(ISNUMBER(_xlpm.vv),anPct(_xlpm.vv,1),"-"))),IF(_xlfn.ANCHORARRAY($BO$12)=1,"+","DIŞ / OUT")))</f>
        <v/>
      </c>
      <c r="E22" s="183"/>
      <c r="F22" s="183"/>
      <c r="G22" s="183"/>
      <c r="H22" s="183"/>
      <c r="I22" s="183"/>
      <c r="J22" s="183"/>
      <c r="K22" s="183"/>
    </row>
    <row r="23" spans="2:28">
      <c r="B23" s="134"/>
      <c r="C23" s="134"/>
      <c r="D23" s="183"/>
      <c r="E23" s="183"/>
      <c r="F23" s="183"/>
      <c r="G23" s="183"/>
      <c r="H23" s="183"/>
      <c r="I23" s="183"/>
      <c r="J23" s="183"/>
      <c r="K23" s="183"/>
    </row>
    <row r="24" spans="2:28">
      <c r="B24" s="134"/>
      <c r="C24" s="134"/>
      <c r="D24" s="183"/>
      <c r="E24" s="183"/>
      <c r="F24" s="183"/>
      <c r="G24" s="183"/>
      <c r="H24" s="183"/>
      <c r="I24" s="183"/>
      <c r="J24" s="183"/>
      <c r="K24" s="183"/>
    </row>
    <row r="25" spans="2:28">
      <c r="B25" s="134"/>
      <c r="C25" s="134"/>
      <c r="D25" s="183"/>
      <c r="E25" s="183"/>
      <c r="F25" s="183"/>
      <c r="G25" s="183"/>
      <c r="H25" s="183"/>
      <c r="I25" s="183"/>
      <c r="J25" s="183"/>
      <c r="K25" s="183"/>
    </row>
    <row r="26" spans="2:28">
      <c r="B26" s="134"/>
      <c r="C26" s="134"/>
      <c r="D26" s="183"/>
      <c r="E26" s="183"/>
      <c r="F26" s="183"/>
      <c r="G26" s="183"/>
      <c r="H26" s="183"/>
      <c r="I26" s="183"/>
      <c r="J26" s="183"/>
      <c r="K26" s="183"/>
    </row>
    <row r="27" spans="2:28">
      <c r="B27" s="134"/>
      <c r="C27" s="134"/>
      <c r="D27" s="183"/>
      <c r="E27" s="183"/>
      <c r="F27" s="183"/>
      <c r="G27" s="183"/>
      <c r="H27" s="183"/>
      <c r="I27" s="183"/>
      <c r="J27" s="183"/>
      <c r="K27" s="183"/>
    </row>
    <row r="28" spans="2:28">
      <c r="B28" s="134"/>
      <c r="C28" s="134"/>
      <c r="D28" s="183"/>
      <c r="E28" s="183"/>
      <c r="F28" s="183"/>
      <c r="G28" s="183"/>
      <c r="H28" s="183"/>
      <c r="I28" s="183"/>
      <c r="J28" s="183"/>
      <c r="K28" s="183"/>
    </row>
    <row r="29" spans="2:28">
      <c r="B29" s="134"/>
      <c r="C29" s="134"/>
      <c r="D29" s="183"/>
      <c r="E29" s="183"/>
      <c r="F29" s="183"/>
      <c r="G29" s="183"/>
      <c r="H29" s="183"/>
      <c r="I29" s="183"/>
      <c r="J29" s="183"/>
      <c r="K29" s="183"/>
    </row>
    <row r="30" spans="2:28">
      <c r="B30" s="134"/>
      <c r="C30" s="134"/>
      <c r="D30" s="183"/>
      <c r="E30" s="183"/>
      <c r="F30" s="183"/>
      <c r="G30" s="183"/>
      <c r="H30" s="183"/>
      <c r="I30" s="183"/>
      <c r="J30" s="183"/>
      <c r="K30" s="183"/>
    </row>
    <row r="31" spans="2:28">
      <c r="B31" s="134"/>
      <c r="C31" s="134"/>
      <c r="D31" s="183"/>
      <c r="E31" s="183"/>
      <c r="F31" s="183"/>
      <c r="G31" s="183"/>
      <c r="H31" s="183"/>
      <c r="I31" s="183"/>
      <c r="J31" s="183"/>
      <c r="K31" s="183"/>
    </row>
    <row r="32" spans="2:28">
      <c r="B32" s="134"/>
      <c r="C32" s="134"/>
      <c r="D32" s="183"/>
      <c r="E32" s="183"/>
      <c r="F32" s="183"/>
      <c r="G32" s="183"/>
      <c r="H32" s="183"/>
      <c r="I32" s="183"/>
      <c r="J32" s="183"/>
      <c r="K32" s="183"/>
    </row>
    <row r="33" spans="2:19">
      <c r="B33" s="134"/>
      <c r="C33" s="134"/>
      <c r="D33" s="183"/>
      <c r="E33" s="183"/>
      <c r="F33" s="183"/>
      <c r="G33" s="183"/>
      <c r="H33" s="183"/>
      <c r="I33" s="183"/>
      <c r="J33" s="183"/>
      <c r="K33" s="183"/>
    </row>
    <row r="34" spans="2:19">
      <c r="B34" s="134"/>
      <c r="C34" s="134"/>
      <c r="D34" s="183"/>
      <c r="E34" s="183"/>
      <c r="F34" s="183"/>
      <c r="G34" s="183"/>
      <c r="H34" s="183"/>
      <c r="I34" s="183"/>
      <c r="J34" s="183"/>
      <c r="K34" s="183"/>
    </row>
    <row r="35" spans="2:19">
      <c r="B35" s="134"/>
      <c r="C35" s="134"/>
      <c r="D35" s="183"/>
      <c r="E35" s="183"/>
      <c r="F35" s="183"/>
      <c r="G35" s="183"/>
      <c r="H35" s="183"/>
      <c r="I35" s="183"/>
      <c r="J35" s="183"/>
      <c r="K35" s="183"/>
    </row>
    <row r="36" spans="2:19">
      <c r="B36" s="134"/>
      <c r="C36" s="134"/>
      <c r="D36" s="183"/>
      <c r="E36" s="183"/>
      <c r="F36" s="183"/>
      <c r="G36" s="183"/>
      <c r="H36" s="183"/>
      <c r="I36" s="183"/>
      <c r="J36" s="183"/>
      <c r="K36" s="183"/>
    </row>
    <row r="37" spans="2:19">
      <c r="B37" s="134"/>
      <c r="C37" s="134"/>
      <c r="D37" s="183"/>
      <c r="E37" s="183"/>
      <c r="F37" s="183"/>
      <c r="G37" s="183"/>
      <c r="H37" s="183"/>
      <c r="I37" s="183"/>
      <c r="J37" s="183"/>
      <c r="K37" s="183"/>
    </row>
    <row r="38" spans="2:19">
      <c r="B38" s="134"/>
      <c r="C38" s="134"/>
      <c r="D38" s="183"/>
      <c r="E38" s="183"/>
      <c r="F38" s="183"/>
      <c r="G38" s="183"/>
      <c r="H38" s="183"/>
      <c r="I38" s="183"/>
      <c r="J38" s="183"/>
      <c r="K38" s="183"/>
    </row>
    <row r="39" spans="2:19">
      <c r="B39" s="134"/>
      <c r="C39" s="134"/>
      <c r="D39" s="183"/>
      <c r="E39" s="183"/>
      <c r="F39" s="183"/>
      <c r="G39" s="183"/>
      <c r="H39" s="183"/>
      <c r="I39" s="183"/>
      <c r="J39" s="183"/>
      <c r="K39" s="183"/>
    </row>
    <row r="40" spans="2:19">
      <c r="B40" s="134"/>
      <c r="C40" s="134"/>
      <c r="D40" s="183"/>
      <c r="E40" s="183"/>
      <c r="F40" s="183"/>
      <c r="G40" s="183"/>
      <c r="H40" s="183"/>
      <c r="I40" s="183"/>
      <c r="J40" s="183"/>
      <c r="K40" s="183"/>
    </row>
    <row r="41" spans="2:19" ht="12" customHeight="1">
      <c r="B41" s="309" t="str">
        <f>"+ = "&amp;_xlfn.XLOOKUP("AN_BT_IN",tblUIText[Key],tblUIText[TR],"AN_BT_IN")&amp;" / "&amp;_xlfn.XLOOKUP("AN_BT_IN",tblUIText[Key],tblUIText[EN],"")&amp;"; DIŞ / OUT = "&amp;_xlfn.XLOOKUP("AN_BT_OUT",tblUIText[Key],tblUIText[TR],"AN_BT_OUT")&amp;" / "&amp;_xlfn.XLOOKUP("AN_BT_OUT",tblUIText[Key],tblUIText[EN],"AN_BT_OUT")&amp;"; APE = |"&amp;_xlfn.XLOOKUP("AN_BT_ACTUAL",tblUIText[Key],tblUIText[EN],"AN_BT_ACTUAL")&amp;" - "&amp;_xlfn.XLOOKUP("AN_BT_FORECAST",tblUIText[Key],tblUIText[EN],"AN_BT_FORECAST")&amp;"| / "&amp;_xlfn.XLOOKUP("AN_BT_ACTUAL",tblUIText[Key],tblUIText[EN],"AN_BT_ACTUAL")</f>
        <v>+ = içinde / in; DIŞ / OUT = DIŞINDA / OUT; APE = |Actual - Forecast (1 month)| / Actual</v>
      </c>
      <c r="C41" s="309"/>
      <c r="D41" s="309"/>
      <c r="E41" s="309"/>
      <c r="F41" s="309"/>
      <c r="G41" s="309"/>
      <c r="H41" s="309"/>
      <c r="I41" s="309"/>
      <c r="J41" s="309"/>
      <c r="K41" s="309"/>
    </row>
    <row r="43" spans="2:19" ht="12" customHeight="1">
      <c r="B43" s="284"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C43" s="310"/>
      <c r="D43" s="310"/>
      <c r="E43" s="310"/>
      <c r="F43" s="310"/>
      <c r="G43" s="310"/>
      <c r="H43" s="310"/>
      <c r="I43" s="310"/>
      <c r="J43" s="310"/>
      <c r="K43" s="310"/>
      <c r="L43" s="310"/>
      <c r="M43" s="310"/>
      <c r="N43" s="310"/>
      <c r="O43" s="310"/>
      <c r="P43" s="310"/>
      <c r="Q43" s="310"/>
      <c r="R43" s="310"/>
      <c r="S43" s="310"/>
    </row>
    <row r="44" spans="2:19">
      <c r="B44" s="310"/>
      <c r="C44" s="310"/>
      <c r="D44" s="310"/>
      <c r="E44" s="310"/>
      <c r="F44" s="310"/>
      <c r="G44" s="310"/>
      <c r="H44" s="310"/>
      <c r="I44" s="310"/>
      <c r="J44" s="310"/>
      <c r="K44" s="310"/>
      <c r="L44" s="310"/>
      <c r="M44" s="310"/>
      <c r="N44" s="310"/>
      <c r="O44" s="310"/>
      <c r="P44" s="310"/>
      <c r="Q44" s="310"/>
      <c r="R44" s="310"/>
      <c r="S44" s="310"/>
    </row>
  </sheetData>
  <sheetProtection algorithmName="SHA-512" hashValue="Foyyxj+F0mmnCm/vYW9Wt5oOXuu6MMrWhSPssYe2YJa6cr7SjxCUpyBz0WzMh2mo8nePe7417wo5XorRMKqL+Q==" saltValue="WVVDHFCWaZ1ATaO7GgqClA==" spinCount="100000" sheet="1" scenarios="1" formatColumns="0" sort="0" autoFilter="0"/>
  <mergeCells count="15">
    <mergeCell ref="B12:E12"/>
    <mergeCell ref="C5:D5"/>
    <mergeCell ref="B4:S4"/>
    <mergeCell ref="B6:S6"/>
    <mergeCell ref="B9:S9"/>
    <mergeCell ref="B11:E11"/>
    <mergeCell ref="B21:C21"/>
    <mergeCell ref="B41:K41"/>
    <mergeCell ref="B43:S44"/>
    <mergeCell ref="B13:E13"/>
    <mergeCell ref="B14:E14"/>
    <mergeCell ref="B15:E15"/>
    <mergeCell ref="B16:E16"/>
    <mergeCell ref="B17:E17"/>
    <mergeCell ref="B18:E18"/>
  </mergeCells>
  <conditionalFormatting sqref="B6">
    <cfRule type="expression" dxfId="43" priority="1" stopIfTrue="1">
      <formula>ISNUMBER(SEARCH("INSUFFICIENT",$B$6))</formula>
    </cfRule>
  </conditionalFormatting>
  <conditionalFormatting sqref="D22:K40">
    <cfRule type="expression" dxfId="42" priority="2" stopIfTrue="1">
      <formula>D22="DIŞ / OUT"</formula>
    </cfRule>
  </conditionalFormatting>
  <dataValidations count="1">
    <dataValidation type="list" allowBlank="1" showInputMessage="1" showErrorMessage="1" sqref="C5" xr:uid="{E17DF593-D74A-44F7-BDB4-5D71558D28B6}">
      <formula1>"Life,Pension,Non-life"</formula1>
    </dataValidation>
  </dataValidations>
  <printOptions horizontalCentered="1"/>
  <pageMargins left="0.25" right="0.25" top="0.25" bottom="0.25" header="0.3" footer="0.3"/>
  <pageSetup paperSize="9" scale="8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93DA8-3A57-4F64-B961-224B00BB339C}">
  <sheetPr codeName="Sheet90">
    <pageSetUpPr fitToPage="1"/>
  </sheetPr>
  <dimension ref="B1:DC52"/>
  <sheetViews>
    <sheetView showGridLines="0" workbookViewId="0"/>
  </sheetViews>
  <sheetFormatPr defaultRowHeight="12"/>
  <cols>
    <col min="1" max="1" width="2.28515625" style="122" customWidth="1"/>
    <col min="2" max="19" width="8.28515625" style="122" customWidth="1"/>
    <col min="20" max="27" width="9.140625" style="122"/>
    <col min="28" max="110" width="0" style="122" hidden="1" customWidth="1"/>
    <col min="111" max="16384" width="9.140625" style="122"/>
  </cols>
  <sheetData>
    <row r="1" spans="2:107" ht="18">
      <c r="B1" s="123" t="str" cm="1">
        <f t="array" ref="B1">IF(NOT($AB$8),_xlfn.XLOOKUP("AN_SEG_"&amp;AN_Triangle!$AH$2,tblUIText[Key],tblUIText[TR],AN_Triangle!$AH$2)&amp;IF(AN_Triangle!$AH$3=AN_Triangle!$AH$6,""," · "&amp;AN_Triangle!$AH$3)&amp;": "&amp;SUBSTITUTE(SUBSTITUTE(_xlfn.XLOOKUP("AN_DS_GATE",tblUIText[Key],tblUIText[TR],"AN_DS_GATE"),"{0}",$AB$5),"{1}",$AB$6),SUBSTITUTE(SUBSTITUTE(SUBSTITUTE(SUBSTITUTE(SUBSTITUTE(_xlfn.XLOOKUP("AN_DS_HEAD",tblUIText[Key],tblUIText[TR],"AN_DS_HEAD"),"{0}",_xlfn.XLOOKUP("AN_SEG_"&amp;AN_Triangle!$AH$2,tblUIText[Key],tblUIText[TR],AN_Triangle!$AH$2)&amp;IF(AN_Triangle!$AH$3=AN_Triangle!$AH$6,""," · "&amp;AN_Triangle!$AH$3)),"{1}",anNum($CS$3/1000000,1)),"{2}",anNum($CS$5/1000000,1)),"{3}",anPct($CS$6,1)),"{4}",$CS$10))</f>
        <v>Hayat: VERİ YETERSİZ: 0 PARTIAL olmayan hasar ayı (en az 12) veya eksik faktör</v>
      </c>
      <c r="AB1" s="122" t="s">
        <v>21773</v>
      </c>
    </row>
    <row r="2" spans="2:107" ht="15">
      <c r="B2" s="124" t="str" cm="1">
        <f t="array" ref="B2">IF(NOT($AB$8),_xlfn.XLOOKUP("AN_SEG_"&amp;AN_Triangle!$AH$2,tblUIText[Key],tblUIText[EN],AN_Triangle!$AH$2)&amp;IF(AN_Triangle!$AH$3=AN_Triangle!$AH$6,""," · "&amp;AN_Triangle!$AH$3)&amp;": "&amp;SUBSTITUTE(SUBSTITUTE(_xlfn.XLOOKUP("AN_DS_GATE",tblUIText[Key],tblUIText[EN],"AN_DS_GATE"),"{0}",$AB$5),"{1}",$AB$6),SUBSTITUTE(SUBSTITUTE(SUBSTITUTE(SUBSTITUTE(SUBSTITUTE(_xlfn.XLOOKUP("AN_DS_HEAD",tblUIText[Key],tblUIText[EN],"AN_DS_HEAD"),"{0}",_xlfn.XLOOKUP("AN_SEG_"&amp;AN_Triangle!$AH$2,tblUIText[Key],tblUIText[EN],AN_Triangle!$AH$2)&amp;IF(AN_Triangle!$AH$3=AN_Triangle!$AH$6,""," · "&amp;AN_Triangle!$AH$3)),"{1}",anNum($CS$3/1000000,1)),"{2}",anNum($CS$5/1000000,1)),"{3}",anPct($CS$6,1)),"{4}",$CS$10))</f>
        <v>Life: INSUFFICIENT DATA: 0 loss months that are not PARTIAL (at least 12) or a missing factor</v>
      </c>
      <c r="AB2" s="122" t="str">
        <f>IF(NOT($AB$8),SUBSTITUTE(SUBSTITUTE(_xlfn.XLOOKUP("AN_DS_GATE",tblUIText[Key],tblUIText[EN],"AN_DS_GATE"),"{0}",$AB$5),"{1}",$AB$6),"OK: "&amp;$CS$10&amp;" "&amp;_xlfn.XLOOKUP("AN_TRI_LOSSM",tblUIText[Key],tblUIText[TR],"AN_TRI_LOSSM")&amp;" / "&amp;_xlfn.XLOOKUP("AN_TRI_LOSSM",tblUIText[Key],tblUIText[EN],"")&amp;" (DRAFT)")</f>
        <v>INSUFFICIENT DATA: 0 loss months that are not PARTIAL (at least 12) or a missing factor</v>
      </c>
    </row>
    <row r="3" spans="2:107">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tr">
        <f>AN_Triangle!$AH$2</f>
        <v>Life</v>
      </c>
      <c r="CR3" s="122" t="s">
        <v>21786</v>
      </c>
      <c r="CS3" s="122" cm="1">
        <f t="array" ref="CS3">SUM(IFERROR(IF(_xlfn.ANCHORARRAY($BR$12)=1,_xlfn.ANCHORARRAY($CP$12),0),0))</f>
        <v>0</v>
      </c>
    </row>
    <row r="4" spans="2:107" ht="33.950000000000003" customHeight="1">
      <c r="B4" s="244" t="str">
        <f>_xlfn.XLOOKUP("AN_DS_PURPOSE",tblUIText[Key],tblUIText[TR],"AN_DS_PURPOSE")&amp;" / "&amp;_xlfn.XLOOKUP("AN_DS_PURPOSE",tblUIText[Key],tblUIText[EN],"")&amp;CHAR(10)&amp;_xlfn.XLOOKUP("AN_HOWTO_DISPERSION",tblUIText[Key],tblUIText[TR],"AN_HOWTO_DISPERSION")&amp;" / "&amp;_xlfn.XLOOKUP("AN_HOWTO_DISPERSION",tblUIText[Key],tblUIText[EN],"")</f>
        <v>AN_Triangle'daki seçimin (segment, şirket) ödenen üçgeni için zincir merdiven ek ödemelerinin Mack (1993) tipi standart hatası; faktörler tüm gözlenen hasar aylarının hacim ağırlıklı ortalamasıdır. / Mack (1993)-style standard error of the chain-ladder further payments for the paid triangle of the selection on AN_Triangle (segment, company); the factors are volume-weighted over every observed loss month.
Nasıl okunur: CV = standart hata / ek ödeme; büyük CV o hasar ayının tahmininin belirsiz olduğunu gösterir. Toplam satır hasar ayları arasındaki ortak faktör belirsizliğini içerir. / How to read: CV = standard error / further payments; a large CV means the projection of that loss month is uncertain. The total row includes the factor uncertainty shared by the loss months.</v>
      </c>
      <c r="C4" s="244"/>
      <c r="D4" s="244"/>
      <c r="E4" s="244"/>
      <c r="F4" s="244"/>
      <c r="G4" s="244"/>
      <c r="H4" s="244"/>
      <c r="I4" s="244"/>
      <c r="J4" s="244"/>
      <c r="K4" s="244"/>
      <c r="L4" s="244"/>
      <c r="M4" s="244"/>
      <c r="N4" s="244"/>
      <c r="O4" s="244"/>
      <c r="P4" s="244"/>
      <c r="Q4" s="244"/>
      <c r="R4" s="244"/>
      <c r="S4" s="244"/>
      <c r="AB4" s="122" t="str">
        <f>AN_Triangle!$AH$3</f>
        <v>Tümü / All</v>
      </c>
      <c r="CR4" s="122" t="s">
        <v>21787</v>
      </c>
      <c r="CS4" s="122" cm="1">
        <f t="array" ref="CS4">_xlfn.LET(_xlpm.ww,_xlfn.ANCHORARRAY($AV$11),_xlpm.ss,_xlfn.ANCHORARRAY($AV$6),_xlpm.ag,_xlfn.ANCHORARRAY($BP$12),_xlpm.ok,_xlfn.ANCHORARRAY($BR$12),_xlpm.uu,IFERROR(IF(_xlpm.ok=1,_xlfn.ANCHORARRAY($BS$12),0),0),_xlpm.kk,_xlfn.SEQUENCE(1,triMx,0),_xlpm.inm,(_xlpm.ag&lt;=_xlpm.kk)*(_xlpm.ok=1),_xlpm.su,MMULT(TRANSPOSE(_xlpm.uu),_xlpm.inm),_xlpm.sq,MMULT(TRANSPOSE(_xlpm.uu^2),_xlpm.inm),SUM(IFERROR(_xlfn.ANCHORARRAY($CN$12),0))+SUM(IFERROR(_xlpm.ww/_xlpm.ss*(_xlpm.su^2-_xlpm.sq),0)))</f>
        <v>0</v>
      </c>
    </row>
    <row r="5" spans="2:107">
      <c r="B5" s="128" t="s">
        <v>19100</v>
      </c>
      <c r="C5" s="316" t="str">
        <f>_xlfn.XLOOKUP("AN_SEG_"&amp;AN_Triangle!$AH$2,tblUIText[Key],tblUIText[TR],AN_Triangle!$AH$2)&amp;IF(AN_Triangle!$AH$3=AN_Triangle!$AH$6,""," · "&amp;AN_Triangle!$AH$3)&amp;" / "&amp;_xlfn.XLOOKUP("AN_SEG_"&amp;AN_Triangle!$AH$2,tblUIText[Key],tblUIText[EN],AN_Triangle!$AH$2)&amp;IF(AN_Triangle!$AH$3=AN_Triangle!$AH$6,""," · "&amp;AN_Triangle!$AH$3)</f>
        <v>Hayat / Life</v>
      </c>
      <c r="D5" s="316"/>
      <c r="E5" s="316"/>
      <c r="F5" s="316"/>
      <c r="G5" s="316"/>
      <c r="H5" s="316"/>
      <c r="M5" s="130" t="str">
        <f>_xlfn.XLOOKUP("AN_LBL_REFRESH",tblUIText[Key],tblUIText[TR],"AN_LBL_REFRESH")&amp;" / "&amp;_xlfn.XLOOKUP("AN_LBL_REFRESH",tblUIText[Key],tblUIText[EN],"")&amp;": "&amp;IFERROR(TEXT(cpLastLoggedRefresh,"yyyy-mm-dd hh:mm"),cpLastLoggedRefresh&amp;"")</f>
        <v>Son yenileme / Last refresh: none</v>
      </c>
      <c r="AB5" s="122" cm="1">
        <f t="array" ref="AB5">IFERROR(SUM(--(triRows&gt;=AN_Triangle!$AH$13)),0)</f>
        <v>0</v>
      </c>
      <c r="AU5" s="122" t="s">
        <v>19772</v>
      </c>
      <c r="AV5" s="122" t="e" cm="1">
        <f t="array" ref="AV5">MMULT(_xlfn.SEQUENCE(1,ROWS(triRows),1,0),_xlfn.ANCHORARRAY($AC$12))</f>
        <v>#VALUE!</v>
      </c>
      <c r="CR5" s="122" t="s">
        <v>21788</v>
      </c>
      <c r="CS5" s="122">
        <f>SQRT($CS$4)</f>
        <v>0</v>
      </c>
    </row>
    <row r="6" spans="2:107">
      <c r="B6" s="245" t="str">
        <f>_xlfn.XLOOKUP("AN_LBL_READINESS",tblUIText[Key],tblUIText[TR],"AN_LBL_READINESS")&amp;" / "&amp;_xlfn.XLOOKUP("AN_LBL_READINESS",tblUIText[Key],tblUIText[EN],"")&amp;": "&amp;IF(NOT($AB$8),SUBSTITUTE(SUBSTITUTE(_xlfn.XLOOKUP("AN_DS_GATE",tblUIText[Key],tblUIText[TR],"AN_DS_GATE"),"{0}",$AB$5),"{1}",$AB$6)&amp;" / "&amp;SUBSTITUTE(SUBSTITUTE(_xlfn.XLOOKUP("AN_DS_GATE",tblUIText[Key],tblUIText[EN],"AN_DS_GATE"),"{0}",$AB$5),"{1}",$AB$6),"OK: "&amp;$CS$10&amp;" "&amp;_xlfn.XLOOKUP("AN_TRI_LOSSM",tblUIText[Key],tblUIText[TR],"AN_TRI_LOSSM")&amp;" / "&amp;_xlfn.XLOOKUP("AN_TRI_LOSSM",tblUIText[Key],tblUIText[EN],"")&amp;"; "&amp;triMx&amp;" "&amp;_xlfn.XLOOKUP("AN_DS_N",tblUIText[Key],tblUIText[TR],"AN_DS_N")&amp;" / "&amp;_xlfn.XLOOKUP("AN_DS_N",tblUIText[Key],tblUIText[EN],"")&amp;IF($AB$9&gt;0,"; "&amp;$AB$9&amp;" "&amp;_xlfn.XLOOKUP("AN_DS_EXTRAP",tblUIText[Key],tblUIText[TR],"AN_DS_EXTRAP")&amp;" / "&amp;_xlfn.XLOOKUP("AN_DS_EXTRAP",tblUIText[Key],tblUIText[EN],""),""))</f>
        <v>Veri durumu / Data readiness: VERİ YETERSİZ: 0 PARTIAL olmayan hasar ayı (en az 12) veya eksik faktör / INSUFFICIENT DATA: 0 loss months that are not PARTIAL (at least 12) or a missing factor</v>
      </c>
      <c r="C6" s="246"/>
      <c r="D6" s="246"/>
      <c r="E6" s="246"/>
      <c r="F6" s="246"/>
      <c r="G6" s="246"/>
      <c r="H6" s="246"/>
      <c r="I6" s="246"/>
      <c r="J6" s="246"/>
      <c r="K6" s="246"/>
      <c r="L6" s="246"/>
      <c r="M6" s="246"/>
      <c r="N6" s="246"/>
      <c r="O6" s="246"/>
      <c r="P6" s="246"/>
      <c r="Q6" s="246"/>
      <c r="R6" s="246"/>
      <c r="S6" s="246"/>
      <c r="AB6" s="122">
        <f>_xlfn.XLOOKUP("MackMinLossMonths",AnParam[Param],AnParam[Value])</f>
        <v>12</v>
      </c>
      <c r="AU6" s="122" t="s">
        <v>21775</v>
      </c>
      <c r="AV6" s="122" t="e" cm="1">
        <f t="array" ref="AV6">MMULT(_xlfn.SEQUENCE(1,ROWS(triRows),1,0),_xlfn.ANCHORARRAY($AC$12)*_xlfn.DROP(_xlfn.ANCHORARRAY(AN_Triangle!$BF$15),,-1))</f>
        <v>#VALUE!</v>
      </c>
      <c r="CR6" s="122" t="s">
        <v>21789</v>
      </c>
      <c r="CS6" s="122" t="e">
        <f>IFERROR($CS$5/$CS$3,NA())</f>
        <v>#N/A</v>
      </c>
    </row>
    <row r="7" spans="2:107"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B7" s="122">
        <f>triMx</f>
        <v>18</v>
      </c>
      <c r="AU7" s="122" t="s">
        <v>21776</v>
      </c>
      <c r="AV7" s="122" t="e" cm="1">
        <f t="array" ref="AV7">_xlfn.LET(_xlpm.ss,_xlfn.ANCHORARRAY($AV$6),IF(_xlpm.ss&gt;0,MMULT(_xlfn.SEQUENCE(1,ROWS(triRows),1,0),_xlfn.ANCHORARRAY($AC$12)*_xlfn.DROP(_xlfn.ANCHORARRAY(AN_Triangle!$BF$15),,1))/IF(_xlpm.ss&gt;0,_xlpm.ss,1),NA()))</f>
        <v>#VALUE!</v>
      </c>
      <c r="CR7" s="122" t="s">
        <v>21790</v>
      </c>
      <c r="CS7" s="122">
        <f>MAX(0,$CS$3-1.96*$CS$5)</f>
        <v>0</v>
      </c>
    </row>
    <row r="8" spans="2:107">
      <c r="B8" s="125" t="str">
        <f>HYPERLINK("#'AN_Triangle'!A1",_xlfn.XLOOKUP("AN_DS_SEL",tblUIText[Key],tblUIText[TR],"AN_DS_SEL")&amp;" / "&amp;_xlfn.XLOOKUP("AN_DS_SEL",tblUIText[Key],tblUIText[EN],"")&amp;" (AN_Triangle)")</f>
        <v>Seçim AN_Triangle sayfasından / Selection from AN_Triangle (AN_Triangle)</v>
      </c>
      <c r="K8" s="125" t="str">
        <f>HYPERLINK("#'Method_Cards'!B"&amp;IFERROR(MATCH("M1",Method_Cards!$A:$A,0),1),_xlfn.XLOOKUP("AN_W_METHOD_CARD",tblUIText[Key],tblUIText[TR],"AN_W_METHOD_CARD")&amp;" / "&amp;_xlfn.XLOOKUP("AN_W_METHOD_CARD",tblUIText[Key],tblUIText[EN],"")&amp;" (M1)")</f>
        <v>Yöntem kartı / Method card (M1)</v>
      </c>
      <c r="AB8" s="122" t="b">
        <f>IFERROR(AND($AB$5&gt;=$AB$6,COUNT(_xlfn.ANCHORARRAY($AV$7))=triMx,COUNT(_xlfn.ANCHORARRAY($AV$9))=triMx),FALSE)</f>
        <v>0</v>
      </c>
      <c r="AU8" s="122" t="s">
        <v>21777</v>
      </c>
      <c r="AV8" s="122" t="e" cm="1">
        <f t="array" ref="AV8">_xlfn.LET(_xlpm.ee,_xlfn.ANCHORARRAY($AC$12),_xlpm.cprev,_xlfn.DROP(_xlfn.ANCHORARRAY(AN_Triangle!$BF$15),,-1),_xlpm.cnext,_xlfn.DROP(_xlfn.ANCHORARRAY(AN_Triangle!$BF$15),,1),_xlpm.ff,_xlfn.ANCHORARRAY($AV$7),_xlpm.nn,_xlfn.ANCHORARRAY($AV$5),_xlpm.lk,IF(_xlpm.ee*(_xlpm.cprev&gt;0),_xlpm.cnext/IF(_xlpm.cprev&gt;0,_xlpm.cprev,1),0),_xlpm.num,MMULT(_xlfn.SEQUENCE(1,ROWS(triRows),1,0),_xlpm.ee*_xlpm.cprev*(_xlpm.lk-IFERROR(_xlpm.ff,0))^2),IF(_xlpm.nn&gt;=2,_xlpm.num/IF(_xlpm.nn&gt;=2,_xlpm.nn-1,1),NA()))</f>
        <v>#VALUE!</v>
      </c>
      <c r="CR8" s="122" t="s">
        <v>19099</v>
      </c>
      <c r="CS8" s="122">
        <f>$CS$3+1.96*$CS$5</f>
        <v>0</v>
      </c>
    </row>
    <row r="9" spans="2:107" ht="24" customHeight="1">
      <c r="B9" s="312" t="str">
        <f>SUBSTITUTE(_xlfn.XLOOKUP("AN_DS_DISCLAIMER",tblUIText[Key],tblUIText[TR],"AN_DS_DISCLAIMER"),"{0}",triMx)&amp;" / "&amp;SUBSTITUTE(_xlfn.XLOOKUP("AN_DS_DISCLAIMER",tblUIText[Key],tblUIText[EN],"AN_DS_DISCLAIMER"),"{0}",triMx)</f>
        <v>TASLAK - gösterge niteliğinde: yalnızca ödenen veri; muallak, IBNR ve kuyruk yok (kuyruk = 1); son sütun (18+) sonraki gelişimi toplar. Rezerv tahmini değildir. / DRAFT - indicative: paid data only; no case reserves, IBNR or tail (tail = 1); the last column (18+) accumulates later development. Not a reserve estimate.</v>
      </c>
      <c r="C9" s="312"/>
      <c r="D9" s="312"/>
      <c r="E9" s="312"/>
      <c r="F9" s="312"/>
      <c r="G9" s="312"/>
      <c r="H9" s="312"/>
      <c r="I9" s="312"/>
      <c r="J9" s="312"/>
      <c r="K9" s="312"/>
      <c r="L9" s="312"/>
      <c r="M9" s="312"/>
      <c r="N9" s="312"/>
      <c r="O9" s="312"/>
      <c r="P9" s="312"/>
      <c r="Q9" s="312"/>
      <c r="R9" s="312"/>
      <c r="S9" s="312"/>
      <c r="AB9" s="122" cm="1">
        <f t="array" ref="AB9">IFERROR(SUM(--NOT(ISNUMBER(_xlfn.ANCHORARRAY($AV$8)))),0)</f>
        <v>1</v>
      </c>
      <c r="AU9" s="122" t="s">
        <v>21778</v>
      </c>
      <c r="AV9" s="122" t="e" cm="1">
        <f t="array" ref="AV9">_xlfn.LET(_xlpm.sg,_xlfn.ANCHORARRAY($AV$8),_xlpm.mx,COLUMNS(_xlpm.sg),_xlfn.REDUCE(_xlpm.sg,_xlfn.SEQUENCE(_xlpm.mx),_xlfn.LAMBDA(_xlpm.acc,_xlpm.kk,IF(OR(ISNUMBER(INDEX(_xlpm.sg,1,_xlpm.kk)),_xlpm.kk&lt;3),_xlpm.acc,_xlfn.LET(_xlpm.sp,INDEX(_xlpm.acc,1,_xlpm.kk-1),_xlpm.sq,INDEX(_xlpm.acc,1,_xlpm.kk-2),_xlpm.nv,IFERROR(MIN(_xlpm.sp^2/_xlpm.sq,_xlpm.sp,_xlpm.sq),NA()),IF(_xlfn.SEQUENCE(1,_xlpm.mx)=_xlpm.kk,_xlpm.nv,_xlpm.acc))))))</f>
        <v>#VALUE!</v>
      </c>
      <c r="CR9" s="122" t="s">
        <v>21791</v>
      </c>
      <c r="CS9" s="122">
        <f>AN_Triangle!$AH$15</f>
        <v>0</v>
      </c>
    </row>
    <row r="10" spans="2:107">
      <c r="B10" s="127" t="str">
        <f>_xlfn.XLOOKUP("AN_DS_TABLE",tblUIText[Key],tblUIText[TR],"AN_DS_TABLE")&amp;" / "&amp;_xlfn.XLOOKUP("AN_DS_TABLE",tblUIText[Key],tblUIText[EN],"")</f>
        <v>Hasar ayına göre ek ödeme ve standart hata (mn TL) / Further payments and standard error by loss month (TRY m)</v>
      </c>
      <c r="AU10" s="122" t="s">
        <v>21779</v>
      </c>
      <c r="AV10" s="122" t="e" cm="1">
        <f t="array" ref="AV10">_xlfn.LET(_xlpm.ff,_xlfn.ANCHORARRAY($AV$7),_xlpm.mx,COLUMNS(_xlpm.ff),MMULT(LN(_xlpm.ff),--(_xlfn.SEQUENCE(_xlpm.mx)&lt;=_xlfn.SEQUENCE(1,_xlpm.mx+1,0))))</f>
        <v>#VALUE!</v>
      </c>
      <c r="CR10" s="122" t="s">
        <v>21792</v>
      </c>
      <c r="CS10" s="122" cm="1">
        <f t="array" ref="CS10">SUM(--ISNUMBER(IF(_xlfn.ANCHORARRAY($BR$12)=1,_xlfn.ANCHORARRAY($CP$12),"")))</f>
        <v>0</v>
      </c>
    </row>
    <row r="11" spans="2:107" ht="24" customHeight="1">
      <c r="B11" s="308" t="str">
        <f>_xlfn.XLOOKUP("AN_TRI_LOSSM",tblUIText[Key],tblUIText[TR],"AN_TRI_LOSSM")&amp;" / "&amp;_xlfn.XLOOKUP("AN_TRI_LOSSM",tblUIText[Key],tblUIText[EN],"")</f>
        <v>Hasar ayı / Loss month</v>
      </c>
      <c r="C11" s="308"/>
      <c r="D11" s="202" t="str">
        <f>_xlfn.XLOOKUP("AN_TRI_FLAG",tblUIText[Key],tblUIText[TR],"AN_TRI_FLAG")&amp;" / "&amp;_xlfn.XLOOKUP("AN_TRI_FLAG",tblUIText[Key],tblUIText[EN],"")</f>
        <v>Durum / Flag</v>
      </c>
      <c r="E11" s="308" t="str">
        <f>_xlfn.XLOOKUP("AN_DS_LATEST",tblUIText[Key],tblUIText[TR],"AN_DS_LATEST")&amp;" / "&amp;_xlfn.XLOOKUP("AN_DS_LATEST",tblUIText[Key],tblUIText[EN],"")</f>
        <v>Son kümülatif / Latest cumulative</v>
      </c>
      <c r="F11" s="308"/>
      <c r="G11" s="308" t="str">
        <f>_xlfn.XLOOKUP("AN_DS_ULT",tblUIText[Key],tblUIText[TR],"AN_DS_ULT")&amp;" / "&amp;_xlfn.XLOOKUP("AN_DS_ULT",tblUIText[Key],tblUIText[EN],"")</f>
        <v>Projeksiyon / Projection</v>
      </c>
      <c r="H11" s="308"/>
      <c r="I11" s="308" t="str">
        <f>_xlfn.XLOOKUP("AN_DS_FURTHER",tblUIText[Key],tblUIText[TR],"AN_DS_FURTHER")&amp;" / "&amp;_xlfn.XLOOKUP("AN_DS_FURTHER",tblUIText[Key],tblUIText[EN],"")</f>
        <v>Ek ödeme / Further payments</v>
      </c>
      <c r="J11" s="308"/>
      <c r="K11" s="308" t="str">
        <f>_xlfn.XLOOKUP("AN_DS_SE",tblUIText[Key],tblUIText[TR],"AN_DS_SE")&amp;" / "&amp;_xlfn.XLOOKUP("AN_DS_SE",tblUIText[Key],tblUIText[EN],"")</f>
        <v>Standart hata / Standard error</v>
      </c>
      <c r="L11" s="308"/>
      <c r="M11" s="202" t="str">
        <f>_xlfn.XLOOKUP("AN_DS_CV",tblUIText[Key],tblUIText[TR],"AN_DS_CV")&amp;" / "&amp;_xlfn.XLOOKUP("AN_DS_CV",tblUIText[Key],tblUIText[EN],"")</f>
        <v>CV / CV</v>
      </c>
      <c r="AC11" s="122" t="s">
        <v>21774</v>
      </c>
      <c r="AU11" s="122" t="s">
        <v>21780</v>
      </c>
      <c r="AV11" s="122" t="e" cm="1">
        <f t="array" ref="AV11">_xlfn.ANCHORARRAY($AV$9)/_xlfn.ANCHORARRAY($AV$7)^2</f>
        <v>#VALUE!</v>
      </c>
      <c r="BP11" s="122" t="s">
        <v>19778</v>
      </c>
      <c r="BQ11" s="122" t="s">
        <v>19779</v>
      </c>
      <c r="BR11" s="122" t="s">
        <v>21781</v>
      </c>
      <c r="BS11" s="122" t="s">
        <v>21782</v>
      </c>
      <c r="BU11" s="122" t="s">
        <v>21783</v>
      </c>
      <c r="CN11" s="122" t="s">
        <v>21784</v>
      </c>
      <c r="CO11" s="122" t="s">
        <v>21785</v>
      </c>
      <c r="CP11" s="122" t="s">
        <v>20146</v>
      </c>
      <c r="CQ11" s="122" t="s">
        <v>19777</v>
      </c>
      <c r="DA11" s="122" t="s">
        <v>21793</v>
      </c>
    </row>
    <row r="12" spans="2:107">
      <c r="B12" s="134" t="str" cm="1">
        <f t="array" ref="B12">LEFT(triRows,4)&amp;"-"&amp;RIGHT(triRows,2)</f>
        <v>0-0</v>
      </c>
      <c r="C12" s="134"/>
      <c r="D12" s="134" t="str" cm="1">
        <f t="array" ref="D12">IFERROR(IF(_xlfn.ANCHORARRAY($BR$12)=1,"","PARTIAL"),"")</f>
        <v/>
      </c>
      <c r="E12" s="183" t="str" cm="1">
        <f t="array" ref="E12">_xlfn.MAP(_xlfn.ANCHORARRAY($BQ$12),_xlfn.LAMBDA(_xlpm.vv,IF(ISNUMBER(_xlpm.vv),anNum(_xlpm.vv/1000000,1),"-")))</f>
        <v>-</v>
      </c>
      <c r="F12" s="183"/>
      <c r="G12" s="183" t="str" cm="1">
        <f t="array" ref="G12">IFERROR(IF(_xlfn.ANCHORARRAY($BR$12)=1,_xlfn.MAP(_xlfn.ANCHORARRAY($BS$12),_xlfn.LAMBDA(_xlpm.vv,IF(ISNUMBER(_xlpm.vv),anNum(_xlpm.vv/1000000,1),"-"))),"PARTIAL"),"")</f>
        <v/>
      </c>
      <c r="H12" s="183"/>
      <c r="I12" s="183" t="str" cm="1">
        <f t="array" ref="I12">IFERROR(IF(_xlfn.ANCHORARRAY($BR$12)=1,_xlfn.MAP(_xlfn.ANCHORARRAY($CP$12),_xlfn.LAMBDA(_xlpm.vv,IF(ISNUMBER(_xlpm.vv),anNum(_xlpm.vv/1000000,1),"-"))),""),"")</f>
        <v/>
      </c>
      <c r="J12" s="183"/>
      <c r="K12" s="183" t="str" cm="1">
        <f t="array" ref="K12">IFERROR(IF(_xlfn.ANCHORARRAY($BR$12)=1,_xlfn.MAP(_xlfn.ANCHORARRAY($CO$12),_xlfn.LAMBDA(_xlpm.vv,IF(ISNUMBER(_xlpm.vv),anNum(_xlpm.vv/1000000,1),"-"))),""),"")</f>
        <v/>
      </c>
      <c r="L12" s="183"/>
      <c r="M12" s="183" t="str" cm="1">
        <f t="array" ref="M12">IFERROR(IF(_xlfn.ANCHORARRAY($BR$12)=1,_xlfn.MAP(_xlfn.ANCHORARRAY($CQ$12),_xlfn.LAMBDA(_xlpm.vv,IF(ISNUMBER(_xlpm.vv),anPct(_xlpm.vv,0),"-"))),""),"")</f>
        <v/>
      </c>
      <c r="AC12" s="122" t="e" cm="1">
        <f t="array" ref="AC12:AT12">_xlfn.LET(_xlpm.cu,_xlfn.ANCHORARRAY(AN_Triangle!$BF$15),_xlpm.kal,_xlfn.ANCHORARRAY(AN_Triangle!$BZ$15),_xlfn.DROP((_xlpm.kal&lt;=AN_Triangle!$AH$11)*1,,1)*(_xlfn.DROP(_xlpm.cu,,-1)&gt;0)*(triRows&gt;=AN_Triangle!$AH$13))</f>
        <v>#VALUE!</v>
      </c>
      <c r="AD12" s="122" t="e">
        <v>#VALUE!</v>
      </c>
      <c r="AE12" s="122" t="e">
        <v>#VALUE!</v>
      </c>
      <c r="AF12" s="122" t="e">
        <v>#VALUE!</v>
      </c>
      <c r="AG12" s="122" t="e">
        <v>#VALUE!</v>
      </c>
      <c r="AH12" s="122" t="e">
        <v>#VALUE!</v>
      </c>
      <c r="AI12" s="122" t="e">
        <v>#VALUE!</v>
      </c>
      <c r="AJ12" s="122" t="e">
        <v>#VALUE!</v>
      </c>
      <c r="AK12" s="122" t="e">
        <v>#VALUE!</v>
      </c>
      <c r="AL12" s="122" t="e">
        <v>#VALUE!</v>
      </c>
      <c r="AM12" s="122" t="e">
        <v>#VALUE!</v>
      </c>
      <c r="AN12" s="122" t="e">
        <v>#VALUE!</v>
      </c>
      <c r="AO12" s="122" t="e">
        <v>#VALUE!</v>
      </c>
      <c r="AP12" s="122" t="e">
        <v>#VALUE!</v>
      </c>
      <c r="AQ12" s="122" t="e">
        <v>#VALUE!</v>
      </c>
      <c r="AR12" s="122" t="e">
        <v>#VALUE!</v>
      </c>
      <c r="AS12" s="122" t="e">
        <v>#VALUE!</v>
      </c>
      <c r="AT12" s="122" t="e">
        <v>#VALUE!</v>
      </c>
      <c r="BP12" s="122" t="e" cm="1">
        <f t="array" ref="BP12">_xlfn.ANCHORARRAY(AN_Triangle!$EH$15)</f>
        <v>#VALUE!</v>
      </c>
      <c r="BQ12" s="122" t="e" cm="1">
        <f t="array" ref="BQ12">_xlfn.ANCHORARRAY(AN_Triangle!$EI$15)</f>
        <v>#VALUE!</v>
      </c>
      <c r="BR12" s="122" t="e" cm="1">
        <f t="array" ref="BR12">--(triRows&gt;=AN_Triangle!$AH$13)</f>
        <v>#VALUE!</v>
      </c>
      <c r="BS12" s="122" t="e" cm="1">
        <f t="array" ref="BS12">_xlfn.LET(_xlpm.lc,_xlfn.ANCHORARRAY($AV$10),_xlpm.ag,_xlfn.ANCHORARRAY($BP$12),IF(_xlfn.ANCHORARRAY($BR$12)=1,_xlfn.ANCHORARRAY($BQ$12)*EXP(INDEX(_xlpm.lc,1,triMx+1)-INDEX(_xlpm.lc,1,_xlpm.ag+1)),NA()))</f>
        <v>#VALUE!</v>
      </c>
      <c r="BU12" s="122" t="e" cm="1">
        <f t="array" ref="BU12:CL12">_xlfn.LET(_xlpm.lc,_xlfn.ANCHORARRAY($AV$10),_xlpm.ag,_xlfn.ANCHORARRAY($BP$12),_xlpm.kk,_xlfn.SEQUENCE(1,triMx,0),IF(_xlpm.kk&gt;=_xlpm.ag,_xlfn.ANCHORARRAY($BQ$12)*EXP(INDEX(_xlpm.lc,1,_xlpm.kk+1)-INDEX(_xlpm.lc,1,_xlpm.ag+1)),0))</f>
        <v>#VALUE!</v>
      </c>
      <c r="BV12" s="122" t="e">
        <v>#VALUE!</v>
      </c>
      <c r="BW12" s="122" t="e">
        <v>#VALUE!</v>
      </c>
      <c r="BX12" s="122" t="e">
        <v>#VALUE!</v>
      </c>
      <c r="BY12" s="122" t="e">
        <v>#VALUE!</v>
      </c>
      <c r="BZ12" s="122" t="e">
        <v>#VALUE!</v>
      </c>
      <c r="CA12" s="122" t="e">
        <v>#VALUE!</v>
      </c>
      <c r="CB12" s="122" t="e">
        <v>#VALUE!</v>
      </c>
      <c r="CC12" s="122" t="e">
        <v>#VALUE!</v>
      </c>
      <c r="CD12" s="122" t="e">
        <v>#VALUE!</v>
      </c>
      <c r="CE12" s="122" t="e">
        <v>#VALUE!</v>
      </c>
      <c r="CF12" s="122" t="e">
        <v>#VALUE!</v>
      </c>
      <c r="CG12" s="122" t="e">
        <v>#VALUE!</v>
      </c>
      <c r="CH12" s="122" t="e">
        <v>#VALUE!</v>
      </c>
      <c r="CI12" s="122" t="e">
        <v>#VALUE!</v>
      </c>
      <c r="CJ12" s="122" t="e">
        <v>#VALUE!</v>
      </c>
      <c r="CK12" s="122" t="e">
        <v>#VALUE!</v>
      </c>
      <c r="CL12" s="122" t="e">
        <v>#VALUE!</v>
      </c>
      <c r="CN12" s="122" t="e" cm="1">
        <f t="array" ref="CN12">_xlfn.LET(_xlpm.ww,_xlfn.ANCHORARRAY($AV$11),_xlpm.ss,_xlfn.ANCHORARRAY($AV$6),_xlpm.ag,_xlfn.ANCHORARRAY($BP$12),_xlpm.kk,_xlfn.SEQUENCE(1,triMx,0),_xlpm.ch,_xlfn.ANCHORARRAY($BU$12),_xlpm.term,IF(_xlpm.kk&gt;=_xlpm.ag,_xlpm.ww*(1/IF(_xlpm.ch&gt;0,_xlpm.ch,1)+1/IF(_xlpm.ss&gt;0,_xlpm.ss,1)),0),IF(_xlfn.ANCHORARRAY($BR$12)=1,_xlfn.ANCHORARRAY($BS$12)^2*MMULT(_xlpm.term,_xlfn.SEQUENCE(triMx,1,1,0)),NA()))</f>
        <v>#VALUE!</v>
      </c>
      <c r="CO12" s="122" t="e" cm="1">
        <f t="array" ref="CO12">SQRT(_xlfn.ANCHORARRAY($CN$12))</f>
        <v>#VALUE!</v>
      </c>
      <c r="CP12" s="122" t="e" cm="1">
        <f t="array" ref="CP12">_xlfn.ANCHORARRAY($BS$12)-_xlfn.ANCHORARRAY($BQ$12)</f>
        <v>#VALUE!</v>
      </c>
      <c r="CQ12" s="122" t="e" cm="1">
        <f t="array" ref="CQ12">IFERROR(IF(_xlfn.ANCHORARRAY($CP$12)&gt;0,_xlfn.ANCHORARRAY($CO$12)/_xlfn.ANCHORARRAY($CP$12),NA()),NA())</f>
        <v>#N/A</v>
      </c>
      <c r="DA12" s="122" t="str" cm="1">
        <f t="array" ref="DA12:DC12">IFERROR(_xlfn._xlws.FILTER(_xlfn.HSTACK(LEFT(triRows,4)&amp;"-"&amp;RIGHT(triRows,2),_xlfn.ANCHORARRAY($CP$12)/1000000,_xlfn.ANCHORARRAY($CO$12)/1000000),(_xlfn.ANCHORARRAY($BR$12)=1)*ISNUMBER(_xlfn.ANCHORARRAY($CP$12))*ISNUMBER(_xlfn.ANCHORARRAY($CO$12))),_xlfn.HSTACK("-",0,0))</f>
        <v>-</v>
      </c>
      <c r="DB12" s="122">
        <v>0</v>
      </c>
      <c r="DC12" s="122">
        <v>0</v>
      </c>
    </row>
    <row r="13" spans="2:107">
      <c r="B13" s="134"/>
      <c r="C13" s="134"/>
      <c r="D13" s="134"/>
      <c r="E13" s="183"/>
      <c r="F13" s="183"/>
      <c r="G13" s="183"/>
      <c r="H13" s="183"/>
      <c r="I13" s="183"/>
      <c r="J13" s="183"/>
      <c r="K13" s="183"/>
      <c r="L13" s="183"/>
      <c r="M13" s="183"/>
    </row>
    <row r="14" spans="2:107">
      <c r="B14" s="134"/>
      <c r="C14" s="134"/>
      <c r="D14" s="134"/>
      <c r="E14" s="183"/>
      <c r="F14" s="183"/>
      <c r="G14" s="183"/>
      <c r="H14" s="183"/>
      <c r="I14" s="183"/>
      <c r="J14" s="183"/>
      <c r="K14" s="183"/>
      <c r="L14" s="183"/>
      <c r="M14" s="183"/>
    </row>
    <row r="15" spans="2:107">
      <c r="B15" s="134"/>
      <c r="C15" s="134"/>
      <c r="D15" s="134"/>
      <c r="E15" s="183"/>
      <c r="F15" s="183"/>
      <c r="G15" s="183"/>
      <c r="H15" s="183"/>
      <c r="I15" s="183"/>
      <c r="J15" s="183"/>
      <c r="K15" s="183"/>
      <c r="L15" s="183"/>
      <c r="M15" s="183"/>
    </row>
    <row r="16" spans="2:107">
      <c r="B16" s="134"/>
      <c r="C16" s="134"/>
      <c r="D16" s="134"/>
      <c r="E16" s="183"/>
      <c r="F16" s="183"/>
      <c r="G16" s="183"/>
      <c r="H16" s="183"/>
      <c r="I16" s="183"/>
      <c r="J16" s="183"/>
      <c r="K16" s="183"/>
      <c r="L16" s="183"/>
      <c r="M16" s="183"/>
    </row>
    <row r="17" spans="2:28">
      <c r="B17" s="134"/>
      <c r="C17" s="134"/>
      <c r="D17" s="134"/>
      <c r="E17" s="183"/>
      <c r="F17" s="183"/>
      <c r="G17" s="183"/>
      <c r="H17" s="183"/>
      <c r="I17" s="183"/>
      <c r="J17" s="183"/>
      <c r="K17" s="183"/>
      <c r="L17" s="183"/>
      <c r="M17" s="183"/>
    </row>
    <row r="18" spans="2:28">
      <c r="B18" s="134"/>
      <c r="C18" s="134"/>
      <c r="D18" s="134"/>
      <c r="E18" s="183"/>
      <c r="F18" s="183"/>
      <c r="G18" s="183"/>
      <c r="H18" s="183"/>
      <c r="I18" s="183"/>
      <c r="J18" s="183"/>
      <c r="K18" s="183"/>
      <c r="L18" s="183"/>
      <c r="M18" s="183"/>
    </row>
    <row r="19" spans="2:28">
      <c r="B19" s="134"/>
      <c r="C19" s="134"/>
      <c r="D19" s="134"/>
      <c r="E19" s="183"/>
      <c r="F19" s="183"/>
      <c r="G19" s="183"/>
      <c r="H19" s="183"/>
      <c r="I19" s="183"/>
      <c r="J19" s="183"/>
      <c r="K19" s="183"/>
      <c r="L19" s="183"/>
      <c r="M19" s="183"/>
    </row>
    <row r="20" spans="2:28">
      <c r="B20" s="134"/>
      <c r="C20" s="134"/>
      <c r="D20" s="134"/>
      <c r="E20" s="183"/>
      <c r="F20" s="183"/>
      <c r="G20" s="183"/>
      <c r="H20" s="183"/>
      <c r="I20" s="183"/>
      <c r="J20" s="183"/>
      <c r="K20" s="183"/>
      <c r="L20" s="183"/>
      <c r="M20" s="183"/>
      <c r="AB20" s="122" t="str">
        <f>IF(NOT($AB$8),SUBSTITUTE(SUBSTITUTE(_xlfn.XLOOKUP("AN_DS_GATE",tblUIText[Key],tblUIText[TR],"AN_DS_GATE"),"{0}",$AB$5),"{1}",$AB$6)&amp;CHAR(10)&amp;SUBSTITUTE(SUBSTITUTE(_xlfn.XLOOKUP("AN_DS_GATE",tblUIText[Key],tblUIText[EN],"AN_DS_GATE"),"{0}",$AB$5),"{1}",$AB$6),_xlfn.XLOOKUP("AN_DS_CHART",tblUIText[Key],tblUIText[TR],"AN_DS_CHART")&amp;" / "&amp;_xlfn.XLOOKUP("AN_DS_CHART",tblUIText[Key],tblUIText[EN],""))</f>
        <v>VERİ YETERSİZ: 0 PARTIAL olmayan hasar ayı (en az 12) veya eksik faktör
INSUFFICIENT DATA: 0 loss months that are not PARTIAL (at least 12) or a missing factor</v>
      </c>
    </row>
    <row r="21" spans="2:28">
      <c r="B21" s="134"/>
      <c r="C21" s="134"/>
      <c r="D21" s="134"/>
      <c r="E21" s="183"/>
      <c r="F21" s="183"/>
      <c r="G21" s="183"/>
      <c r="H21" s="183"/>
      <c r="I21" s="183"/>
      <c r="J21" s="183"/>
      <c r="K21" s="183"/>
      <c r="L21" s="183"/>
      <c r="M21" s="183"/>
    </row>
    <row r="22" spans="2:28">
      <c r="B22" s="134"/>
      <c r="C22" s="134"/>
      <c r="D22" s="134"/>
      <c r="E22" s="183"/>
      <c r="F22" s="183"/>
      <c r="G22" s="183"/>
      <c r="H22" s="183"/>
      <c r="I22" s="183"/>
      <c r="J22" s="183"/>
      <c r="K22" s="183"/>
      <c r="L22" s="183"/>
      <c r="M22" s="183"/>
    </row>
    <row r="23" spans="2:28">
      <c r="B23" s="134"/>
      <c r="C23" s="134"/>
      <c r="D23" s="134"/>
      <c r="E23" s="183"/>
      <c r="F23" s="183"/>
      <c r="G23" s="183"/>
      <c r="H23" s="183"/>
      <c r="I23" s="183"/>
      <c r="J23" s="183"/>
      <c r="K23" s="183"/>
      <c r="L23" s="183"/>
      <c r="M23" s="183"/>
    </row>
    <row r="24" spans="2:28">
      <c r="B24" s="134"/>
      <c r="C24" s="134"/>
      <c r="D24" s="134"/>
      <c r="E24" s="183"/>
      <c r="F24" s="183"/>
      <c r="G24" s="183"/>
      <c r="H24" s="183"/>
      <c r="I24" s="183"/>
      <c r="J24" s="183"/>
      <c r="K24" s="183"/>
      <c r="L24" s="183"/>
      <c r="M24" s="183"/>
    </row>
    <row r="25" spans="2:28">
      <c r="B25" s="134"/>
      <c r="C25" s="134"/>
      <c r="D25" s="134"/>
      <c r="E25" s="183"/>
      <c r="F25" s="183"/>
      <c r="G25" s="183"/>
      <c r="H25" s="183"/>
      <c r="I25" s="183"/>
      <c r="J25" s="183"/>
      <c r="K25" s="183"/>
      <c r="L25" s="183"/>
      <c r="M25" s="183"/>
    </row>
    <row r="26" spans="2:28">
      <c r="B26" s="134"/>
      <c r="C26" s="134"/>
      <c r="D26" s="134"/>
      <c r="E26" s="183"/>
      <c r="F26" s="183"/>
      <c r="G26" s="183"/>
      <c r="H26" s="183"/>
      <c r="I26" s="183"/>
      <c r="J26" s="183"/>
      <c r="K26" s="183"/>
      <c r="L26" s="183"/>
      <c r="M26" s="183"/>
    </row>
    <row r="27" spans="2:28">
      <c r="B27" s="134"/>
      <c r="C27" s="134"/>
      <c r="D27" s="134"/>
      <c r="E27" s="183"/>
      <c r="F27" s="183"/>
      <c r="G27" s="183"/>
      <c r="H27" s="183"/>
      <c r="I27" s="183"/>
      <c r="J27" s="183"/>
      <c r="K27" s="183"/>
      <c r="L27" s="183"/>
      <c r="M27" s="183"/>
    </row>
    <row r="28" spans="2:28">
      <c r="B28" s="134"/>
      <c r="C28" s="134"/>
      <c r="D28" s="134"/>
      <c r="E28" s="183"/>
      <c r="F28" s="183"/>
      <c r="G28" s="183"/>
      <c r="H28" s="183"/>
      <c r="I28" s="183"/>
      <c r="J28" s="183"/>
      <c r="K28" s="183"/>
      <c r="L28" s="183"/>
      <c r="M28" s="183"/>
    </row>
    <row r="29" spans="2:28">
      <c r="B29" s="134"/>
      <c r="C29" s="134"/>
      <c r="D29" s="134"/>
      <c r="E29" s="183"/>
      <c r="F29" s="183"/>
      <c r="G29" s="183"/>
      <c r="H29" s="183"/>
      <c r="I29" s="183"/>
      <c r="J29" s="183"/>
      <c r="K29" s="183"/>
      <c r="L29" s="183"/>
      <c r="M29" s="183"/>
    </row>
    <row r="30" spans="2:28">
      <c r="B30" s="134"/>
      <c r="C30" s="134"/>
      <c r="D30" s="134"/>
      <c r="E30" s="183"/>
      <c r="F30" s="183"/>
      <c r="G30" s="183"/>
      <c r="H30" s="183"/>
      <c r="I30" s="183"/>
      <c r="J30" s="183"/>
      <c r="K30" s="183"/>
      <c r="L30" s="183"/>
      <c r="M30" s="183"/>
    </row>
    <row r="31" spans="2:28">
      <c r="B31" s="134"/>
      <c r="C31" s="134"/>
      <c r="D31" s="134"/>
      <c r="E31" s="183"/>
      <c r="F31" s="183"/>
      <c r="G31" s="183"/>
      <c r="H31" s="183"/>
      <c r="I31" s="183"/>
      <c r="J31" s="183"/>
      <c r="K31" s="183"/>
      <c r="L31" s="183"/>
      <c r="M31" s="183"/>
      <c r="N31" s="127" t="str">
        <f>_xlfn.XLOOKUP("AN_DS_FACTORS",tblUIText[Key],tblUIText[TR],"AN_DS_FACTORS")&amp;" / "&amp;_xlfn.XLOOKUP("AN_DS_FACTORS",tblUIText[Key],tblUIText[EN],"")</f>
        <v>Gelişim yaşına göre faktör, sigma ve oran sayısı / Factor, sigma and number of ratios by development age</v>
      </c>
    </row>
    <row r="32" spans="2:28" ht="21.95" customHeight="1">
      <c r="B32" s="134"/>
      <c r="C32" s="134"/>
      <c r="D32" s="134"/>
      <c r="E32" s="183"/>
      <c r="F32" s="183"/>
      <c r="G32" s="183"/>
      <c r="H32" s="183"/>
      <c r="I32" s="183"/>
      <c r="J32" s="183"/>
      <c r="K32" s="183"/>
      <c r="L32" s="183"/>
      <c r="M32" s="183"/>
      <c r="N32" s="202" t="str">
        <f>_xlfn.XLOOKUP("AN_DS_AGE",tblUIText[Key],tblUIText[TR],"AN_DS_AGE")&amp;" / "&amp;_xlfn.XLOOKUP("AN_DS_AGE",tblUIText[Key],tblUIText[EN],"")</f>
        <v>Yaş / Age</v>
      </c>
      <c r="O32" s="308" t="str">
        <f>_xlfn.XLOOKUP("AN_DS_F",tblUIText[Key],tblUIText[TR],"AN_DS_F")&amp;" / "&amp;_xlfn.XLOOKUP("AN_DS_F",tblUIText[Key],tblUIText[EN],"")</f>
        <v>Faktör f / Factor f</v>
      </c>
      <c r="P32" s="308"/>
      <c r="Q32" s="308" t="str">
        <f>_xlfn.XLOOKUP("AN_DS_SIGMA",tblUIText[Key],tblUIText[TR],"AN_DS_SIGMA")&amp;" / "&amp;_xlfn.XLOOKUP("AN_DS_SIGMA",tblUIText[Key],tblUIText[EN],"")</f>
        <v>Sigma / Sigma</v>
      </c>
      <c r="R32" s="308"/>
      <c r="S32" s="202" t="str">
        <f>_xlfn.XLOOKUP("AN_DS_N",tblUIText[Key],tblUIText[TR],"AN_DS_N")&amp;" / "&amp;_xlfn.XLOOKUP("AN_DS_N",tblUIText[Key],tblUIText[EN],"")</f>
        <v>Oran sayısı / Ratios</v>
      </c>
    </row>
    <row r="33" spans="2:19">
      <c r="B33" s="134"/>
      <c r="C33" s="134"/>
      <c r="D33" s="134"/>
      <c r="E33" s="183"/>
      <c r="F33" s="183"/>
      <c r="G33" s="183"/>
      <c r="H33" s="183"/>
      <c r="I33" s="183"/>
      <c r="J33" s="183"/>
      <c r="K33" s="183"/>
      <c r="L33" s="183"/>
      <c r="M33" s="183"/>
      <c r="N33" s="134" t="str" cm="1">
        <f t="array" ref="N33:N50">_xlfn.SEQUENCE(triMx,1,0)&amp;"-"&amp;_xlfn.SEQUENCE(triMx,1,1)</f>
        <v>0-1</v>
      </c>
      <c r="O33" s="183" t="str" cm="1">
        <f t="array" ref="O33">IFERROR(_xlfn.MAP(TRANSPOSE(_xlfn.ANCHORARRAY($AV$7)),_xlfn.LAMBDA(_xlpm.vv,IF(ISNUMBER(_xlpm.vv),anNum(_xlpm.vv,3),"-"))),"")</f>
        <v/>
      </c>
      <c r="P33" s="183"/>
      <c r="Q33" s="183" t="str" cm="1">
        <f t="array" ref="Q33">IFERROR(_xlfn.MAP(TRANSPOSE(_xlfn.ANCHORARRAY($AV$9)),_xlfn.LAMBDA(_xlpm.vv,IF(ISNUMBER(_xlpm.vv),anNum(SQRT(_xlpm.vv),1),"-"))),"")</f>
        <v/>
      </c>
      <c r="R33" s="183"/>
      <c r="S33" s="183" t="str" cm="1">
        <f t="array" ref="S33">IFERROR(TRANSPOSE(_xlfn.ANCHORARRAY($AV$5)),"")</f>
        <v/>
      </c>
    </row>
    <row r="34" spans="2:19">
      <c r="B34" s="134"/>
      <c r="C34" s="134"/>
      <c r="D34" s="134"/>
      <c r="E34" s="183"/>
      <c r="F34" s="183"/>
      <c r="G34" s="183"/>
      <c r="H34" s="183"/>
      <c r="I34" s="183"/>
      <c r="J34" s="183"/>
      <c r="K34" s="183"/>
      <c r="L34" s="183"/>
      <c r="M34" s="183"/>
      <c r="N34" s="134" t="str">
        <v>1-2</v>
      </c>
      <c r="O34" s="183"/>
      <c r="P34" s="183"/>
      <c r="Q34" s="183"/>
      <c r="R34" s="183"/>
      <c r="S34" s="183"/>
    </row>
    <row r="35" spans="2:19">
      <c r="B35" s="134"/>
      <c r="C35" s="134"/>
      <c r="D35" s="134"/>
      <c r="E35" s="183"/>
      <c r="F35" s="183"/>
      <c r="G35" s="183"/>
      <c r="H35" s="183"/>
      <c r="I35" s="183"/>
      <c r="J35" s="183"/>
      <c r="K35" s="183"/>
      <c r="L35" s="183"/>
      <c r="M35" s="183"/>
      <c r="N35" s="134" t="str">
        <v>2-3</v>
      </c>
      <c r="O35" s="183"/>
      <c r="P35" s="183"/>
      <c r="Q35" s="183"/>
      <c r="R35" s="183"/>
      <c r="S35" s="183"/>
    </row>
    <row r="36" spans="2:19">
      <c r="B36" s="134"/>
      <c r="C36" s="134"/>
      <c r="D36" s="134"/>
      <c r="E36" s="183"/>
      <c r="F36" s="183"/>
      <c r="G36" s="183"/>
      <c r="H36" s="183"/>
      <c r="I36" s="183"/>
      <c r="J36" s="183"/>
      <c r="K36" s="183"/>
      <c r="L36" s="183"/>
      <c r="M36" s="183"/>
      <c r="N36" s="134" t="str">
        <v>3-4</v>
      </c>
      <c r="O36" s="183"/>
      <c r="P36" s="183"/>
      <c r="Q36" s="183"/>
      <c r="R36" s="183"/>
      <c r="S36" s="183"/>
    </row>
    <row r="37" spans="2:19">
      <c r="B37" s="134"/>
      <c r="C37" s="134"/>
      <c r="D37" s="134"/>
      <c r="E37" s="183"/>
      <c r="F37" s="183"/>
      <c r="G37" s="183"/>
      <c r="H37" s="183"/>
      <c r="I37" s="183"/>
      <c r="J37" s="183"/>
      <c r="K37" s="183"/>
      <c r="L37" s="183"/>
      <c r="M37" s="183"/>
      <c r="N37" s="134" t="str">
        <v>4-5</v>
      </c>
      <c r="O37" s="183"/>
      <c r="P37" s="183"/>
      <c r="Q37" s="183"/>
      <c r="R37" s="183"/>
      <c r="S37" s="183"/>
    </row>
    <row r="38" spans="2:19">
      <c r="B38" s="134"/>
      <c r="C38" s="134"/>
      <c r="D38" s="134"/>
      <c r="E38" s="183"/>
      <c r="F38" s="183"/>
      <c r="G38" s="183"/>
      <c r="H38" s="183"/>
      <c r="I38" s="183"/>
      <c r="J38" s="183"/>
      <c r="K38" s="183"/>
      <c r="L38" s="183"/>
      <c r="M38" s="183"/>
      <c r="N38" s="134" t="str">
        <v>5-6</v>
      </c>
      <c r="O38" s="183"/>
      <c r="P38" s="183"/>
      <c r="Q38" s="183"/>
      <c r="R38" s="183"/>
      <c r="S38" s="183"/>
    </row>
    <row r="39" spans="2:19">
      <c r="B39" s="134"/>
      <c r="C39" s="134"/>
      <c r="D39" s="134"/>
      <c r="E39" s="183"/>
      <c r="F39" s="183"/>
      <c r="G39" s="183"/>
      <c r="H39" s="183"/>
      <c r="I39" s="183"/>
      <c r="J39" s="183"/>
      <c r="K39" s="183"/>
      <c r="L39" s="183"/>
      <c r="M39" s="183"/>
      <c r="N39" s="134" t="str">
        <v>6-7</v>
      </c>
      <c r="O39" s="183"/>
      <c r="P39" s="183"/>
      <c r="Q39" s="183"/>
      <c r="R39" s="183"/>
      <c r="S39" s="183"/>
    </row>
    <row r="40" spans="2:19">
      <c r="B40" s="134"/>
      <c r="C40" s="134"/>
      <c r="D40" s="134"/>
      <c r="E40" s="183"/>
      <c r="F40" s="183"/>
      <c r="G40" s="183"/>
      <c r="H40" s="183"/>
      <c r="I40" s="183"/>
      <c r="J40" s="183"/>
      <c r="K40" s="183"/>
      <c r="L40" s="183"/>
      <c r="M40" s="183"/>
      <c r="N40" s="134" t="str">
        <v>7-8</v>
      </c>
      <c r="O40" s="183"/>
      <c r="P40" s="183"/>
      <c r="Q40" s="183"/>
      <c r="R40" s="183"/>
      <c r="S40" s="183"/>
    </row>
    <row r="41" spans="2:19">
      <c r="B41" s="134"/>
      <c r="C41" s="134"/>
      <c r="D41" s="134"/>
      <c r="E41" s="183"/>
      <c r="F41" s="183"/>
      <c r="G41" s="183"/>
      <c r="H41" s="183"/>
      <c r="I41" s="183"/>
      <c r="J41" s="183"/>
      <c r="K41" s="183"/>
      <c r="L41" s="183"/>
      <c r="M41" s="183"/>
      <c r="N41" s="134" t="str">
        <v>8-9</v>
      </c>
      <c r="O41" s="183"/>
      <c r="P41" s="183"/>
      <c r="Q41" s="183"/>
      <c r="R41" s="183"/>
      <c r="S41" s="183"/>
    </row>
    <row r="42" spans="2:19">
      <c r="B42" s="134"/>
      <c r="C42" s="134"/>
      <c r="D42" s="134"/>
      <c r="E42" s="183"/>
      <c r="F42" s="183"/>
      <c r="G42" s="183"/>
      <c r="H42" s="183"/>
      <c r="I42" s="183"/>
      <c r="J42" s="183"/>
      <c r="K42" s="183"/>
      <c r="L42" s="183"/>
      <c r="M42" s="183"/>
      <c r="N42" s="134" t="str">
        <v>9-10</v>
      </c>
      <c r="O42" s="183"/>
      <c r="P42" s="183"/>
      <c r="Q42" s="183"/>
      <c r="R42" s="183"/>
      <c r="S42" s="183"/>
    </row>
    <row r="43" spans="2:19">
      <c r="B43" s="134"/>
      <c r="C43" s="134"/>
      <c r="D43" s="134"/>
      <c r="E43" s="183"/>
      <c r="F43" s="183"/>
      <c r="G43" s="183"/>
      <c r="H43" s="183"/>
      <c r="I43" s="183"/>
      <c r="J43" s="183"/>
      <c r="K43" s="183"/>
      <c r="L43" s="183"/>
      <c r="M43" s="183"/>
      <c r="N43" s="134" t="str">
        <v>10-11</v>
      </c>
      <c r="O43" s="183"/>
      <c r="P43" s="183"/>
      <c r="Q43" s="183"/>
      <c r="R43" s="183"/>
      <c r="S43" s="183"/>
    </row>
    <row r="44" spans="2:19">
      <c r="B44" s="134"/>
      <c r="C44" s="134"/>
      <c r="D44" s="134"/>
      <c r="E44" s="183"/>
      <c r="F44" s="183"/>
      <c r="G44" s="183"/>
      <c r="H44" s="183"/>
      <c r="I44" s="183"/>
      <c r="J44" s="183"/>
      <c r="K44" s="183"/>
      <c r="L44" s="183"/>
      <c r="M44" s="183"/>
      <c r="N44" s="134" t="str">
        <v>11-12</v>
      </c>
      <c r="O44" s="183"/>
      <c r="P44" s="183"/>
      <c r="Q44" s="183"/>
      <c r="R44" s="183"/>
      <c r="S44" s="183"/>
    </row>
    <row r="45" spans="2:19">
      <c r="B45" s="134"/>
      <c r="C45" s="134"/>
      <c r="D45" s="134"/>
      <c r="E45" s="183"/>
      <c r="F45" s="183"/>
      <c r="G45" s="183"/>
      <c r="H45" s="183"/>
      <c r="I45" s="183"/>
      <c r="J45" s="183"/>
      <c r="K45" s="183"/>
      <c r="L45" s="183"/>
      <c r="M45" s="183"/>
      <c r="N45" s="134" t="str">
        <v>12-13</v>
      </c>
      <c r="O45" s="183"/>
      <c r="P45" s="183"/>
      <c r="Q45" s="183"/>
      <c r="R45" s="183"/>
      <c r="S45" s="183"/>
    </row>
    <row r="46" spans="2:19">
      <c r="N46" s="134" t="str">
        <v>13-14</v>
      </c>
      <c r="O46" s="183"/>
      <c r="P46" s="183"/>
      <c r="Q46" s="183"/>
      <c r="R46" s="183"/>
      <c r="S46" s="183"/>
    </row>
    <row r="47" spans="2:19">
      <c r="B47" s="314" t="str">
        <f>_xlfn.XLOOKUP("AN_DS_TOTAL",tblUIText[Key],tblUIText[TR],"AN_DS_TOTAL")&amp;" / "&amp;_xlfn.XLOOKUP("AN_DS_TOTAL",tblUIText[Key],tblUIText[EN],"")</f>
        <v>Toplam (PARTIAL hariç) / Total (PARTIAL excluded)</v>
      </c>
      <c r="C47" s="314"/>
      <c r="D47" s="314"/>
      <c r="E47" s="203"/>
      <c r="F47" s="203"/>
      <c r="G47" s="203"/>
      <c r="H47" s="203"/>
      <c r="I47" s="203" t="str" cm="1">
        <f t="array" ref="I47">IF($AB$8,anNum($CS$3/1000000,1),"-")</f>
        <v>-</v>
      </c>
      <c r="J47" s="203"/>
      <c r="K47" s="203" t="str" cm="1">
        <f t="array" ref="K47">IF($AB$8,anNum($CS$5/1000000,1),"-")</f>
        <v>-</v>
      </c>
      <c r="L47" s="203"/>
      <c r="M47" s="203" t="str" cm="1">
        <f t="array" ref="M47">IF($AB$8,anPct($CS$6,0),"-")</f>
        <v>-</v>
      </c>
      <c r="N47" s="134" t="str">
        <v>14-15</v>
      </c>
      <c r="O47" s="183"/>
      <c r="P47" s="183"/>
      <c r="Q47" s="183"/>
      <c r="R47" s="183"/>
      <c r="S47" s="183"/>
    </row>
    <row r="48" spans="2:19" ht="21" customHeight="1">
      <c r="B48" s="278" t="str">
        <f>_xlfn.XLOOKUP("AN_DS_RANGE",tblUIText[Key],tblUIText[TR],"AN_DS_RANGE")&amp;" / "&amp;_xlfn.XLOOKUP("AN_DS_RANGE",tblUIText[Key],tblUIText[EN],"")</f>
        <v>Yaklaşık %95 aralık (normal yaklaşım, 0 alt sınır) / Approximate 95% range (normal approximation, floored at 0)</v>
      </c>
      <c r="C48" s="265"/>
      <c r="D48" s="265"/>
      <c r="E48" s="265"/>
      <c r="F48" s="265"/>
      <c r="G48" s="265"/>
      <c r="H48" s="265"/>
      <c r="I48" s="292" t="str" cm="1">
        <f t="array" ref="I48">IF($AB$8,anNum($CS$7/1000000,1)&amp;" - "&amp;anNum($CS$8/1000000,1),"-")</f>
        <v>-</v>
      </c>
      <c r="J48" s="315"/>
      <c r="K48" s="315"/>
      <c r="L48" s="315"/>
      <c r="M48" s="315"/>
      <c r="N48" s="134" t="str">
        <v>15-16</v>
      </c>
      <c r="O48" s="183"/>
      <c r="P48" s="183"/>
      <c r="Q48" s="183"/>
      <c r="R48" s="183"/>
      <c r="S48" s="183"/>
    </row>
    <row r="49" spans="2:19" ht="21" customHeight="1">
      <c r="B49" s="278" t="str">
        <f>_xlfn.XLOOKUP("AN_DS_TRI_CMP",tblUIText[Key],tblUIText[TR],"AN_DS_TRI_CMP")&amp;" / "&amp;_xlfn.XLOOKUP("AN_DS_TRI_CMP",tblUIText[Key],tblUIText[EN],"")</f>
        <v>AN_Triangle seçili yöntemle ek ödeme / AN_Triangle further payments with the selected method</v>
      </c>
      <c r="C49" s="265"/>
      <c r="D49" s="265"/>
      <c r="E49" s="265"/>
      <c r="F49" s="265"/>
      <c r="G49" s="265"/>
      <c r="H49" s="265"/>
      <c r="I49" s="292" t="str" cm="1">
        <f t="array" ref="I49">IFERROR(anNum($CS$9/1000000,1),"-")</f>
        <v>0,0</v>
      </c>
      <c r="J49" s="315"/>
      <c r="K49" s="315"/>
      <c r="L49" s="315"/>
      <c r="M49" s="315"/>
      <c r="N49" s="134" t="str">
        <v>16-17</v>
      </c>
      <c r="O49" s="183"/>
      <c r="P49" s="183"/>
      <c r="Q49" s="183"/>
      <c r="R49" s="183"/>
      <c r="S49" s="183"/>
    </row>
    <row r="50" spans="2:19">
      <c r="N50" s="134" t="str">
        <v>17-18</v>
      </c>
      <c r="O50" s="183"/>
      <c r="P50" s="183"/>
      <c r="Q50" s="183"/>
      <c r="R50" s="183"/>
      <c r="S50" s="183"/>
    </row>
    <row r="51" spans="2:19" ht="12" customHeight="1">
      <c r="B51" s="284"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C51" s="310"/>
      <c r="D51" s="310"/>
      <c r="E51" s="310"/>
      <c r="F51" s="310"/>
      <c r="G51" s="310"/>
      <c r="H51" s="310"/>
      <c r="I51" s="310"/>
      <c r="J51" s="310"/>
      <c r="K51" s="310"/>
      <c r="L51" s="310"/>
      <c r="M51" s="310"/>
      <c r="N51" s="310"/>
      <c r="O51" s="310"/>
      <c r="P51" s="310"/>
      <c r="Q51" s="310"/>
      <c r="R51" s="310"/>
      <c r="S51" s="310"/>
    </row>
    <row r="52" spans="2:19">
      <c r="B52" s="310"/>
      <c r="C52" s="310"/>
      <c r="D52" s="310"/>
      <c r="E52" s="310"/>
      <c r="F52" s="310"/>
      <c r="G52" s="310"/>
      <c r="H52" s="310"/>
      <c r="I52" s="310"/>
      <c r="J52" s="310"/>
      <c r="K52" s="310"/>
      <c r="L52" s="310"/>
      <c r="M52" s="310"/>
      <c r="N52" s="310"/>
      <c r="O52" s="310"/>
      <c r="P52" s="310"/>
      <c r="Q52" s="310"/>
      <c r="R52" s="310"/>
      <c r="S52" s="310"/>
    </row>
  </sheetData>
  <sheetProtection algorithmName="SHA-512" hashValue="0DkUDZAOxT5yli1bAZue+WyP5UQ2VHmF0Jv9NHHmXE2cbdAwbeVcnavkiJirAW2Sq2z2oFE7mcN/mRXwkdonNw==" saltValue="46r5zuncWafoU9WavyhAZg==" spinCount="100000" sheet="1" scenarios="1" formatColumns="0" sort="0" autoFilter="0"/>
  <mergeCells count="17">
    <mergeCell ref="B4:S4"/>
    <mergeCell ref="B6:S6"/>
    <mergeCell ref="C5:H5"/>
    <mergeCell ref="B9:S9"/>
    <mergeCell ref="B11:C11"/>
    <mergeCell ref="E11:F11"/>
    <mergeCell ref="G11:H11"/>
    <mergeCell ref="I11:J11"/>
    <mergeCell ref="K11:L11"/>
    <mergeCell ref="Q32:R32"/>
    <mergeCell ref="B51:S52"/>
    <mergeCell ref="B47:D47"/>
    <mergeCell ref="B48:H48"/>
    <mergeCell ref="I48:M48"/>
    <mergeCell ref="B49:H49"/>
    <mergeCell ref="I49:M49"/>
    <mergeCell ref="O32:P32"/>
  </mergeCells>
  <conditionalFormatting sqref="B6">
    <cfRule type="expression" dxfId="41" priority="1" stopIfTrue="1">
      <formula>ISNUMBER(SEARCH("INSUFFICIENT",$B$6))</formula>
    </cfRule>
  </conditionalFormatting>
  <printOptions horizontalCentered="1"/>
  <pageMargins left="0.25" right="0.25" top="0.25" bottom="0.25" header="0.3" footer="0.3"/>
  <pageSetup paperSize="9" scale="81"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A8771-BA09-4CEC-A942-7E0CB06F57A3}">
  <sheetPr codeName="Sheet91">
    <pageSetUpPr fitToPage="1"/>
  </sheetPr>
  <dimension ref="B1:BF37"/>
  <sheetViews>
    <sheetView showGridLines="0" workbookViewId="0"/>
  </sheetViews>
  <sheetFormatPr defaultRowHeight="12"/>
  <cols>
    <col min="1" max="1" width="2.28515625" style="122" customWidth="1"/>
    <col min="2" max="19" width="8.28515625" style="122" customWidth="1"/>
    <col min="20" max="27" width="9.140625" style="122"/>
    <col min="28" max="60" width="0" style="122" hidden="1" customWidth="1"/>
    <col min="61" max="16384" width="9.140625" style="122"/>
  </cols>
  <sheetData>
    <row r="1" spans="2:58" ht="18">
      <c r="B1" s="123" t="str" cm="1">
        <f t="array" ref="B1">IF(NOT($AB$11),_xlfn.XLOOKUP("AN_SEG_"&amp;$AB$3,tblUIText[Key],tblUIText[TR],$AB$3)&amp;": "&amp;SUBSTITUTE(SUBSTITUTE(SUBSTITUTE(SUBSTITUTE(_xlfn.XLOOKUP("AN_TF_GATE",tblUIText[Key],tblUIText[TR],"AN_TF_GATE"),"{0}",$AB$5),"{1}",$AB$6),"{2}",$AB$9),"{3}",$AB$7),SUBSTITUTE(SUBSTITUTE(SUBSTITUTE(SUBSTITUTE(SUBSTITUTE(SUBSTITUTE(SUBSTITUTE(_xlfn.XLOOKUP("AN_TF_HEAD",tblUIText[Key],tblUIText[TR],"AN_TF_HEAD"),"{0}",_xlfn.XLOOKUP("AN_SEG_"&amp;$AB$3,tblUIText[Key],tblUIText[TR],$AB$3)),"{1}",anNum($AB$5,0)),"{2}",ROUND($AB$8*100,0)),"{3}",IF(ISNUMBER($BA$4),anNum($BA$4,2),"-")),"{4}",IFERROR(anNum(1/$BA$4,2),"-")),"{5}",IF(ISNUMBER($BA$5),anNum($BA$5,2),"-")),"{6}",IF(ISNUMBER($BA$7),anNum($BA$7,2),"-")))</f>
        <v>Hayat: VERİ YETERSİZ: 0 dosya (en az 200) veya eşik üstünde 0 dosya (en az 10)</v>
      </c>
      <c r="AB1" s="122" t="s">
        <v>21794</v>
      </c>
    </row>
    <row r="2" spans="2:58" ht="15">
      <c r="B2" s="124" t="str" cm="1">
        <f t="array" ref="B2">IF(NOT($AB$11),_xlfn.XLOOKUP("AN_SEG_"&amp;$AB$3,tblUIText[Key],tblUIText[EN],$AB$3)&amp;": "&amp;SUBSTITUTE(SUBSTITUTE(SUBSTITUTE(SUBSTITUTE(_xlfn.XLOOKUP("AN_TF_GATE",tblUIText[Key],tblUIText[EN],"AN_TF_GATE"),"{0}",$AB$5),"{1}",$AB$6),"{2}",$AB$9),"{3}",$AB$7),SUBSTITUTE(SUBSTITUTE(SUBSTITUTE(SUBSTITUTE(SUBSTITUTE(SUBSTITUTE(SUBSTITUTE(_xlfn.XLOOKUP("AN_TF_HEAD",tblUIText[Key],tblUIText[EN],"AN_TF_HEAD"),"{0}",_xlfn.XLOOKUP("AN_SEG_"&amp;$AB$3,tblUIText[Key],tblUIText[EN],$AB$3)),"{1}",anNum($AB$5,0)),"{2}",ROUND($AB$8*100,0)),"{3}",IF(ISNUMBER($BA$4),anNum($BA$4,2),"-")),"{4}",IFERROR(anNum(1/$BA$4,2),"-")),"{5}",IF(ISNUMBER($BA$5),anNum($BA$5,2),"-")),"{6}",IF(ISNUMBER($BA$7),anNum($BA$7,2),"-")))</f>
        <v>Life: INSUFFICIENT DATA: 0 cases (at least 200) or 0 cases above the threshold (at least 10)</v>
      </c>
      <c r="AB2" s="122" t="str" cm="1">
        <f t="array" ref="AB2">IF(NOT($AB$11),SUBSTITUTE(SUBSTITUTE(SUBSTITUTE(SUBSTITUTE(_xlfn.XLOOKUP("AN_TF_GATE",tblUIText[Key],tblUIText[EN],"AN_TF_GATE"),"{0}",$AB$5),"{1}",$AB$6),"{2}",$AB$9),"{3}",$AB$7),"OK: "&amp;anNum($AB$5,0)&amp;" "&amp;_xlfn.XLOOKUP("AN_SEV_N",tblUIText[Key],tblUIText[TR],"AN_SEV_N")&amp;" / "&amp;_xlfn.XLOOKUP("AN_SEV_N",tblUIText[Key],tblUIText[EN],"")&amp;"; k = "&amp;$AB$9&amp;" (DRAFT)")</f>
        <v>INSUFFICIENT DATA: 0 cases (at least 200) or 0 cases above the threshold (at least 10)</v>
      </c>
    </row>
    <row r="3" spans="2:58">
      <c r="B3" s="125" t="str">
        <f>HYPERLINK("#'AN_Index'!A1",_xlfn.XLOOKUP("AN_NAV_INDEX",tblUIText[Key],tblUIText[TR],"AN_NAV_INDEX"))</f>
        <v>Dizin</v>
      </c>
      <c r="D3" s="125" t="str">
        <f>HYPERLINK("#'AN_Exec_Life'!A1",_xlfn.XLOOKUP("AN_NAV_LIFE",tblUIText[Key],tblUIText[TR],"AN_NAV_LIFE"))</f>
        <v>Hayat</v>
      </c>
      <c r="F3" s="125" t="str">
        <f>HYPERLINK("#'AN_Exec_Pension'!A1",_xlfn.XLOOKUP("AN_NAV_PENSION",tblUIText[Key],tblUIText[TR],"AN_NAV_PENSION"))</f>
        <v>Emeklilik</v>
      </c>
      <c r="H3" s="125" t="str">
        <f>HYPERLINK("#'AN_Exec_NonLife'!A1",_xlfn.XLOOKUP("AN_NAV_NONLIFE",tblUIText[Key],tblUIText[TR],"AN_NAV_NONLIFE"))</f>
        <v>Elementer</v>
      </c>
      <c r="J3" s="125" t="str">
        <f>HYPERLINK("#'AN_Trend'!A1",_xlfn.XLOOKUP("AN_NAV_TREND",tblUIText[Key],tblUIText[TR],"AN_NAV_TREND"))</f>
        <v>Eğilim</v>
      </c>
      <c r="L3" s="125" t="str">
        <f>HYPERLINK("#'AN_Triangle'!A1",_xlfn.XLOOKUP("AN_NAV_TRIANGLE",tblUIText[Key],tblUIText[TR],"AN_NAV_TRIANGLE"))</f>
        <v>Üçgen</v>
      </c>
      <c r="N3" s="125" t="str">
        <f>HYPERLINK("#'AN_Lags'!A1",_xlfn.XLOOKUP("AN_NAV_LAGS",tblUIText[Key],tblUIText[TR],"AN_NAV_LAGS"))</f>
        <v>Süreler</v>
      </c>
      <c r="P3" s="125" t="str">
        <f>HYPERLINK("#'AN_Severity'!A1",_xlfn.XLOOKUP("AN_NAV_SEVERITY",tblUIText[Key],tblUIText[TR],"AN_NAV_SEVERITY"))</f>
        <v>Şiddet</v>
      </c>
      <c r="R3" s="125" t="str">
        <f>HYPERLINK("#'AN_Limits'!A1",_xlfn.XLOOKUP("AN_NAV_LIMITS",tblUIText[Key],tblUIText[TR],"AN_NAV_LIMITS"))</f>
        <v>Limitler</v>
      </c>
      <c r="T3" s="125" t="str">
        <f>HYPERLINK("#'AN_Anomaly'!A1",_xlfn.XLOOKUP("AN_NAV_ANOMALY",tblUIText[Key],tblUIText[TR],"AN_NAV_ANOMALY"))</f>
        <v>Anomali</v>
      </c>
      <c r="V3" s="125" t="str">
        <f>HYPERLINK("#'AN_Watchlist'!A1",_xlfn.XLOOKUP("AN_NAV_WATCHLIST",tblUIText[Key],tblUIText[TR],"AN_NAV_WATCHLIST"))</f>
        <v>İzleme listesi</v>
      </c>
      <c r="X3" s="125" t="str">
        <f>HYPERLINK("#'KPI_Catalog'!A1",_xlfn.XLOOKUP("AN_NAV_CATALOG",tblUIText[Key],tblUIText[TR],"AN_NAV_CATALOG"))</f>
        <v>KPI kataloğu</v>
      </c>
      <c r="Z3" s="125" t="str">
        <f>HYPERLINK("#'Home'!A1",_xlfn.XLOOKUP("AN_NAV_HOME",tblUIText[Key],tblUIText[TR],"AN_NAV_HOME"))</f>
        <v>Ana sayfa</v>
      </c>
      <c r="AB3" s="122" t="str">
        <f>$C$5</f>
        <v>Life</v>
      </c>
      <c r="AZ3" s="122" t="s">
        <v>21805</v>
      </c>
      <c r="BA3" s="122" t="e" cm="1">
        <f t="array" ref="BA3">IF($AB$11,INDEX(_xlfn.ANCHORARRAY($AC$12),$AB$9+1),NA())</f>
        <v>#N/A</v>
      </c>
      <c r="BC3" s="122" t="s">
        <v>20503</v>
      </c>
      <c r="BD3" s="122" t="s">
        <v>21024</v>
      </c>
      <c r="BE3" s="122" t="s">
        <v>21712</v>
      </c>
      <c r="BF3" s="122" t="s">
        <v>21814</v>
      </c>
    </row>
    <row r="4" spans="2:58" ht="33.950000000000003" customHeight="1">
      <c r="B4" s="244" t="str">
        <f>_xlfn.XLOOKUP("AN_TF_PURPOSE",tblUIText[Key],tblUIText[TR],"AN_TF_PURPOSE")&amp;" / "&amp;_xlfn.XLOOKUP("AN_TF_PURPOSE",tblUIText[Key],tblUIText[EN],"")&amp;CHAR(10)&amp;_xlfn.XLOOKUP("AN_HOWTO_TAILFIT",tblUIText[Key],tblUIText[TR],"AN_HOWTO_TAILFIT")&amp;" / "&amp;_xlfn.XLOOKUP("AN_HOWTO_TAILFIT",tblUIText[Key],tblUIText[EN],"")</f>
        <v>Analiz penceresindeki dosya başı ödenenlerin (pozitif) üst kuyruğu: kapalı biçimli kuyruk indeksi tahmincileri (Hill, moment, Pickands, GPD olasılık ağırlıklı momentler) eşiğe göre. / Upper tail of paid per case (positive) in the analysis window: closed-form tail-index estimators (Hill, moment, Pickands, GPD probability-weighted moments) across thresholds.
Nasıl okunur: ξ &gt; 0 ağır (Pareto tipi) kuyruk, büyükse daha ağır; tahminciler bir eşik aralığında birbirine yakın ve yatay ise o aralık güvenilir. α = 1/ξ. / How to read: ξ &gt; 0 means a heavy (Pareto-type) tail, larger is heavier; where the estimators agree and stay flat over a range of thresholds, that range is reliable. α = 1/ξ.</v>
      </c>
      <c r="C4" s="244"/>
      <c r="D4" s="244"/>
      <c r="E4" s="244"/>
      <c r="F4" s="244"/>
      <c r="G4" s="244"/>
      <c r="H4" s="244"/>
      <c r="I4" s="244"/>
      <c r="J4" s="244"/>
      <c r="K4" s="244"/>
      <c r="L4" s="244"/>
      <c r="M4" s="244"/>
      <c r="N4" s="244"/>
      <c r="O4" s="244"/>
      <c r="P4" s="244"/>
      <c r="Q4" s="244"/>
      <c r="R4" s="244"/>
      <c r="S4" s="244"/>
      <c r="AB4" s="122" cm="1">
        <f t="array" ref="AB4">IFERROR(ROWS(_xlfn.UNIQUE(_xlfn._xlws.FILTER(anSM_YM,(anSM_Seg=$AB$3)*(anSM_Lines&lt;&gt;"")*(anSM_YM&lt;&gt;"")))),0)</f>
        <v>0</v>
      </c>
      <c r="AZ4" s="122" t="s">
        <v>21806</v>
      </c>
      <c r="BA4" s="122" t="e" cm="1">
        <f t="array" ref="BA4">IF($AB$11,AVERAGE(LN(_xlfn.TAKE(_xlfn.ANCHORARRAY($AC$12),$AB$9)/$BA$3)),NA())</f>
        <v>#N/A</v>
      </c>
      <c r="BC4" s="122">
        <f>0.99</f>
        <v>0.99</v>
      </c>
      <c r="BD4" s="122" t="e">
        <f>IF($AB$5*(1-$BC$4)&gt;=1,_xlfn.PERCENTILE.INC(_xlfn.ANCHORARRAY($AC$12),$BC$4),NA())</f>
        <v>#N/A</v>
      </c>
      <c r="BE4" s="122" t="e">
        <f>IF(AND($AB$11,$AB$5*(1-$BC$4)&lt;$AB$9),$BA$3*($AB$9/($AB$5*(1-$BC$4)))^$BA$4,NA())</f>
        <v>#N/A</v>
      </c>
      <c r="BF4" s="122" t="e">
        <f>IF(AND($AB$11,$AB$5*(1-$BC$4)&lt;$AB$9),IFERROR($BA$3+$BA$8/$BA$7*(($AB$9/($AB$5*(1-$BC$4)))^$BA$7-1),NA()),NA())</f>
        <v>#N/A</v>
      </c>
    </row>
    <row r="5" spans="2:58" ht="21.95" customHeight="1">
      <c r="B5" s="128" t="s">
        <v>19100</v>
      </c>
      <c r="C5" s="275" t="s">
        <v>113</v>
      </c>
      <c r="D5" s="275"/>
      <c r="E5" s="126" t="str">
        <f>_xlfn.XLOOKUP("AN_SEG_"&amp;$C$5,tblUIText[Key],tblUIText[TR],$C$5)&amp;" / "&amp;_xlfn.XLOOKUP("AN_SEG_"&amp;$C$5,tblUIText[Key],tblUIText[EN],$C$5)</f>
        <v>Hayat / Life</v>
      </c>
      <c r="I5" s="204" t="str">
        <f>_xlfn.XLOOKUP("AN_TF_THRESH",tblUIText[Key],tblUIText[TR],"AN_TF_THRESH")&amp;" / "&amp;_xlfn.XLOOKUP("AN_TF_THRESH",tblUIText[Key],tblUIText[EN],"")&amp;":"</f>
        <v>Eşik (dosya yüzdeliği) / Threshold (case percentile):</v>
      </c>
      <c r="J5" s="275" t="s">
        <v>16940</v>
      </c>
      <c r="K5" s="275"/>
      <c r="M5" s="130" t="str">
        <f>_xlfn.XLOOKUP("AN_LBL_REFRESH",tblUIText[Key],tblUIText[TR],"AN_LBL_REFRESH")&amp;" / "&amp;_xlfn.XLOOKUP("AN_LBL_REFRESH",tblUIText[Key],tblUIText[EN],"")&amp;": "&amp;IFERROR(TEXT(cpLastLoggedRefresh,"yyyy-mm-dd hh:mm"),cpLastLoggedRefresh&amp;"")</f>
        <v>Son yenileme / Last refresh: none</v>
      </c>
      <c r="AB5" s="122">
        <f>COUNT(_xlfn.ANCHORARRAY($AC$12))</f>
        <v>0</v>
      </c>
      <c r="AZ5" s="122" t="s">
        <v>21807</v>
      </c>
      <c r="BA5" s="122" t="e" cm="1">
        <f t="array" ref="BA5">IF($AB$11,_xlfn.LET(_xlpm.lg,LN(_xlfn.TAKE(_xlfn.ANCHORARRAY($AC$12),$AB$9)/$BA$3),_xlpm.mo,AVERAGE(_xlpm.lg),_xlpm.mt,SUMSQ(_xlpm.lg)/$AB$9,IFERROR(_xlpm.mo+1-0.5/(1-_xlpm.mo^2/_xlpm.mt),NA())),NA())</f>
        <v>#N/A</v>
      </c>
      <c r="BC5" s="122">
        <f>0.995</f>
        <v>0.995</v>
      </c>
      <c r="BD5" s="122" t="e">
        <f>IF($AB$5*(1-$BC$5)&gt;=1,_xlfn.PERCENTILE.INC(_xlfn.ANCHORARRAY($AC$12),$BC$5),NA())</f>
        <v>#N/A</v>
      </c>
      <c r="BE5" s="122" t="e">
        <f>IF(AND($AB$11,$AB$5*(1-$BC$5)&lt;$AB$9),$BA$3*($AB$9/($AB$5*(1-$BC$5)))^$BA$4,NA())</f>
        <v>#N/A</v>
      </c>
      <c r="BF5" s="122" t="e">
        <f>IF(AND($AB$11,$AB$5*(1-$BC$5)&lt;$AB$9),IFERROR($BA$3+$BA$8/$BA$7*(($AB$9/($AB$5*(1-$BC$5)))^$BA$7-1),NA()),NA())</f>
        <v>#N/A</v>
      </c>
    </row>
    <row r="6" spans="2:58">
      <c r="B6" s="245" t="str" cm="1">
        <f t="array" ref="B6">_xlfn.XLOOKUP("AN_LBL_READINESS",tblUIText[Key],tblUIText[TR],"AN_LBL_READINESS")&amp;" / "&amp;_xlfn.XLOOKUP("AN_LBL_READINESS",tblUIText[Key],tblUIText[EN],"")&amp;": "&amp;IF(NOT($AB$11),SUBSTITUTE(SUBSTITUTE(SUBSTITUTE(SUBSTITUTE(_xlfn.XLOOKUP("AN_TF_GATE",tblUIText[Key],tblUIText[TR],"AN_TF_GATE"),"{0}",$AB$5),"{1}",$AB$6),"{2}",$AB$9),"{3}",$AB$7)&amp;" / "&amp;SUBSTITUTE(SUBSTITUTE(SUBSTITUTE(SUBSTITUTE(_xlfn.XLOOKUP("AN_TF_GATE",tblUIText[Key],tblUIText[EN],"AN_TF_GATE"),"{0}",$AB$5),"{1}",$AB$6),"{2}",$AB$9),"{3}",$AB$7),"OK: "&amp;anNum($AB$5,0)&amp;" "&amp;_xlfn.XLOOKUP("AN_SEV_N",tblUIText[Key],tblUIText[TR],"AN_SEV_N")&amp;" / "&amp;_xlfn.XLOOKUP("AN_SEV_N",tblUIText[Key],tblUIText[EN],"")&amp;"; "&amp;$AB$4&amp;" "&amp;_xlfn.XLOOKUP("AN_READY_MONTHS",tblUIText[Key],tblUIText[TR],"AN_READY_MONTHS")&amp;" / "&amp;_xlfn.XLOOKUP("AN_READY_MONTHS",tblUIText[Key],tblUIText[EN],"")&amp;"; k = "&amp;$AB$9)</f>
        <v>Veri durumu / Data readiness: VERİ YETERSİZ: 0 dosya (en az 200) veya eşik üstünde 0 dosya (en az 10) / INSUFFICIENT DATA: 0 cases (at least 200) or 0 cases above the threshold (at least 10)</v>
      </c>
      <c r="C6" s="246"/>
      <c r="D6" s="246"/>
      <c r="E6" s="246"/>
      <c r="F6" s="246"/>
      <c r="G6" s="246"/>
      <c r="H6" s="246"/>
      <c r="I6" s="246"/>
      <c r="J6" s="246"/>
      <c r="K6" s="246"/>
      <c r="L6" s="246"/>
      <c r="M6" s="246"/>
      <c r="N6" s="246"/>
      <c r="O6" s="246"/>
      <c r="P6" s="246"/>
      <c r="Q6" s="246"/>
      <c r="R6" s="246"/>
      <c r="S6" s="246"/>
      <c r="AB6" s="122">
        <f>_xlfn.XLOOKUP("MinCasesForTail",AnParam[Param],AnParam[Value])</f>
        <v>200</v>
      </c>
      <c r="AZ6" s="122" t="s">
        <v>21808</v>
      </c>
      <c r="BA6" s="122" t="e" cm="1">
        <f t="array" ref="BA6">IF(AND($AB$11,4*$AB$9&lt;=$AB$5),_xlfn.LET(_xlpm.pa,INDEX(_xlfn.ANCHORARRAY($AC$12),$AB$9),_xlpm.pb,INDEX(_xlfn.ANCHORARRAY($AC$12),2*$AB$9),_xlpm.pd,INDEX(_xlfn.ANCHORARRAY($AC$12),4*$AB$9),IFERROR(LN((_xlpm.pa-_xlpm.pb)/(_xlpm.pb-_xlpm.pd))/LN(2),NA())),NA())</f>
        <v>#N/A</v>
      </c>
      <c r="BC6" s="122">
        <f>0.999</f>
        <v>0.999</v>
      </c>
      <c r="BD6" s="122" t="e">
        <f>IF($AB$5*(1-$BC$6)&gt;=1,_xlfn.PERCENTILE.INC(_xlfn.ANCHORARRAY($AC$12),$BC$6),NA())</f>
        <v>#N/A</v>
      </c>
      <c r="BE6" s="122" t="e">
        <f>IF(AND($AB$11,$AB$5*(1-$BC$6)&lt;$AB$9),$BA$3*($AB$9/($AB$5*(1-$BC$6)))^$BA$4,NA())</f>
        <v>#N/A</v>
      </c>
      <c r="BF6" s="122" t="e">
        <f>IF(AND($AB$11,$AB$5*(1-$BC$6)&lt;$AB$9),IFERROR($BA$3+$BA$8/$BA$7*(($AB$9/($AB$5*(1-$BC$6)))^$BA$7-1),NA()),NA())</f>
        <v>#N/A</v>
      </c>
    </row>
    <row r="7" spans="2:58" ht="12.95" customHeight="1">
      <c r="B7" s="173" t="str" cm="1">
        <f t="array" ref="B7">_xlfn.LET(_xlpm.rl,IFERROR(SUM(STG_Rejected[Lines]),0),_xlpm.rf,IFERROR(SUMPRODUCT(--(STG_Rejected[FileName]&lt;&gt;"")),0),_xlpm.u,SUMIFS(anSM_Lines,anSM_Seg,"Unassigned"),IF(_xlpm.rf&gt;0,SUBSTITUTE(SUBSTITUTE(_xlfn.XLOOKUP("AN_TAG_REJECTED",tblUIText[Key],tblUIText[TR],"AN_TAG_REJECTED"),"{0}",anNum(_xlpm.rl,0)),"{1}",_xlpm.rf)&amp;" / "&amp;SUBSTITUTE(SUBSTITUTE(_xlfn.XLOOKUP("AN_TAG_REJECTED",tblUIText[Key],tblUIText[EN],"AN_TAG_REJECTED"),"{0}",anNum(_xlpm.rl,0)),"{1}",_xlpm.rf),IF(_xlpm.u&gt;0,SUBSTITUTE(_xlfn.XLOOKUP("AN_TAG_UNASSIGNED",tblUIText[Key],tblUIText[TR],"AN_TAG_UNASSIGNED"),"{0}",anNum(_xlpm.u,0))&amp;" / "&amp;SUBSTITUTE(_xlfn.XLOOKUP("AN_TAG_UNASSIGNED",tblUIText[Key],tblUIText[EN],"AN_TAG_UNASSIGNED"),"{0}",anNum(_xlpm.u,0)),"")))</f>
        <v/>
      </c>
      <c r="AB7" s="122">
        <f>_xlfn.XLOOKUP("TailMinK",AnParam[Param],AnParam[Value])</f>
        <v>10</v>
      </c>
      <c r="AZ7" s="122" t="s">
        <v>21809</v>
      </c>
      <c r="BA7" s="122" t="e" cm="1">
        <f t="array" ref="BA7">IF($AB$11,_xlfn.LET(_xlpm.yy,_xlfn.TAKE(_xlfn.ANCHORARRAY($AC$12),$AB$9)-$BA$3,_xlpm.mzero,AVERAGE(_xlpm.yy),_xlpm.mone,SUM((_xlfn.SEQUENCE($AB$9)-0.65)/$AB$9*_xlpm.yy)/$AB$9,IFERROR(2-_xlpm.mzero/(_xlpm.mzero-2*_xlpm.mone),NA())),NA())</f>
        <v>#N/A</v>
      </c>
    </row>
    <row r="8" spans="2:58">
      <c r="B8" s="125" t="str">
        <f>HYPERLINK("#'Method_Cards'!B"&amp;IFERROR(MATCH("M8",Method_Cards!$A:$A,0),1),_xlfn.XLOOKUP("AN_W_METHOD_CARD",tblUIText[Key],tblUIText[TR],"AN_W_METHOD_CARD")&amp;" / "&amp;_xlfn.XLOOKUP("AN_W_METHOD_CARD",tblUIText[Key],tblUIText[EN],"")&amp;" (M8)")</f>
        <v>Yöntem kartı / Method card (M8)</v>
      </c>
      <c r="AB8" s="122">
        <f>IFERROR(VALUE(MID($J$5,2,3))/100,_xlfn.XLOOKUP("TailFitQuantile",AnParam[Param],AnParam[Value]))</f>
        <v>0.9</v>
      </c>
      <c r="AZ8" s="122" t="s">
        <v>21810</v>
      </c>
      <c r="BA8" s="122" t="e" cm="1">
        <f t="array" ref="BA8">IF($AB$11,_xlfn.LET(_xlpm.yy,_xlfn.TAKE(_xlfn.ANCHORARRAY($AC$12),$AB$9)-$BA$3,_xlpm.mzero,AVERAGE(_xlpm.yy),_xlpm.mone,SUM((_xlfn.SEQUENCE($AB$9)-0.65)/$AB$9*_xlpm.yy)/$AB$9,IFERROR(2*_xlpm.mzero*_xlpm.mone/(_xlpm.mzero-2*_xlpm.mone),NA())),NA())</f>
        <v>#N/A</v>
      </c>
    </row>
    <row r="9" spans="2:58" ht="24" customHeight="1">
      <c r="B9" s="312" t="str">
        <f>_xlfn.XLOOKUP("AN_TF_DISCLAIMER",tblUIText[Key],tblUIText[TR],"AN_TF_DISCLAIMER")&amp;" / "&amp;_xlfn.XLOOKUP("AN_TF_DISCLAIMER",tblUIText[Key],tblUIText[EN],"")</f>
        <v>TASLAK - gösterge niteliğinde: dosya başı ödenen pencere içindedir (nihai hasar değil); poliçe limitleri kuyruğu keser (AN_Limits). Fiyatlama veya rezerv için değildir. / DRAFT - indicative: paid per case is within the window (not the ultimate claim); policy limits cap the tail (AN_Limits). Not for pricing or reserving.</v>
      </c>
      <c r="C9" s="312"/>
      <c r="D9" s="312"/>
      <c r="E9" s="312"/>
      <c r="F9" s="312"/>
      <c r="G9" s="312"/>
      <c r="H9" s="312"/>
      <c r="I9" s="312"/>
      <c r="J9" s="312"/>
      <c r="K9" s="312"/>
      <c r="L9" s="312"/>
      <c r="M9" s="312"/>
      <c r="N9" s="312"/>
      <c r="O9" s="312"/>
      <c r="P9" s="312"/>
      <c r="Q9" s="312"/>
      <c r="R9" s="312"/>
      <c r="S9" s="312"/>
      <c r="AB9" s="122">
        <f>ROUND($AB$5*(1-$AB$8),0)</f>
        <v>0</v>
      </c>
      <c r="AZ9" s="122" t="s">
        <v>21811</v>
      </c>
      <c r="BA9" s="122" t="e">
        <f>IFERROR($BA$4/SQRT($AB$9),NA())</f>
        <v>#N/A</v>
      </c>
    </row>
    <row r="10" spans="2:58">
      <c r="B10" s="127" t="str">
        <f>_xlfn.XLOOKUP("AN_TF_TABLE",tblUIText[Key],tblUIText[TR],"AN_TF_TABLE")&amp;" / "&amp;_xlfn.XLOOKUP("AN_TF_TABLE",tblUIText[Key],tblUIText[EN],"")</f>
        <v>Seçilen eşikte tahminler / Estimates at the selected threshold</v>
      </c>
      <c r="AB10" s="122">
        <f>MAX(20,ROUND($AB$5*_xlfn.XLOOKUP("TailShare",AnParam[Param],AnParam[Value]),0))</f>
        <v>20</v>
      </c>
      <c r="AZ10" s="122" t="s">
        <v>21812</v>
      </c>
      <c r="BA10" s="122" t="e" cm="1">
        <f t="array" ref="BA10">IF($AB$5&gt;=$AB$10+1,$AB$10/SUM(LN(_xlfn.TAKE(_xlfn.ANCHORARRAY($AC$12),$AB$10)/INDEX(_xlfn.ANCHORARRAY($AC$12),$AB$10+1))),NA())</f>
        <v>#N/A</v>
      </c>
    </row>
    <row r="11" spans="2:58" ht="21.95" customHeight="1">
      <c r="B11" s="308" t="str">
        <f>_xlfn.XLOOKUP("AN_TF_METHOD",tblUIText[Key],tblUIText[TR],"AN_TF_METHOD")&amp;" / "&amp;_xlfn.XLOOKUP("AN_TF_METHOD",tblUIText[Key],tblUIText[EN],"")</f>
        <v>Yöntem / Method</v>
      </c>
      <c r="C11" s="308"/>
      <c r="D11" s="308"/>
      <c r="E11" s="308"/>
      <c r="F11" s="308" t="str">
        <f>_xlfn.XLOOKUP("AN_TF_XI",tblUIText[Key],tblUIText[TR],"AN_TF_XI")&amp;" / "&amp;_xlfn.XLOOKUP("AN_TF_XI",tblUIText[Key],tblUIText[EN],"")</f>
        <v>ξ (kuyruk indeksi) / ξ (tail index)</v>
      </c>
      <c r="G11" s="308"/>
      <c r="H11" s="308" t="str">
        <f>_xlfn.XLOOKUP("AN_TF_ALPHA",tblUIText[Key],tblUIText[TR],"AN_TF_ALPHA")&amp;" / "&amp;_xlfn.XLOOKUP("AN_TF_ALPHA",tblUIText[Key],tblUIText[EN],"")</f>
        <v>α = 1/ξ / α = 1/ξ</v>
      </c>
      <c r="I11" s="308"/>
      <c r="J11" s="202" t="str">
        <f>_xlfn.XLOOKUP("AN_TF_SE",tblUIText[Key],tblUIText[TR],"AN_TF_SE")&amp;" / "&amp;_xlfn.XLOOKUP("AN_TF_SE",tblUIText[Key],tblUIText[EN],"")</f>
        <v>Standart hata / Standard error</v>
      </c>
      <c r="AB11" s="122" t="b">
        <f>AND($AB$5&gt;=$AB$6,$AB$9&gt;=$AB$7,$AB$9+1&lt;=$AB$5)</f>
        <v>0</v>
      </c>
      <c r="AC11" s="122" t="s">
        <v>21795</v>
      </c>
      <c r="AE11" s="122" t="s">
        <v>21796</v>
      </c>
      <c r="AF11" s="122" t="s">
        <v>21797</v>
      </c>
      <c r="AG11" s="122" t="s">
        <v>21798</v>
      </c>
      <c r="AH11" s="122" t="s">
        <v>21799</v>
      </c>
      <c r="AI11" s="122" t="s">
        <v>21800</v>
      </c>
      <c r="AJ11" s="122" t="s">
        <v>21801</v>
      </c>
      <c r="AK11" s="122" t="s">
        <v>21802</v>
      </c>
      <c r="AL11" s="122" t="s">
        <v>21803</v>
      </c>
      <c r="AM11" s="122" t="s">
        <v>21804</v>
      </c>
      <c r="AZ11" s="122" t="s">
        <v>21813</v>
      </c>
      <c r="BA11" s="122" t="e">
        <f>IF(AN_Severity!$AB$3=$AB$3,AN_Severity!$AE$13,NA())</f>
        <v>#N/A</v>
      </c>
    </row>
    <row r="12" spans="2:58" ht="21" customHeight="1">
      <c r="B12" s="278" t="str">
        <f>_xlfn.XLOOKUP("AN_TF_HILL",tblUIText[Key],tblUIText[TR],"AN_TF_HILL")&amp;" / "&amp;_xlfn.XLOOKUP("AN_TF_HILL",tblUIText[Key],tblUIText[EN],"")</f>
        <v>Hill / Hill</v>
      </c>
      <c r="C12" s="278"/>
      <c r="D12" s="278"/>
      <c r="E12" s="278"/>
      <c r="F12" s="292" t="str" cm="1">
        <f t="array" ref="F12">IF(ISNUMBER($BA$4),anNum($BA$4,3),"-")</f>
        <v>-</v>
      </c>
      <c r="G12" s="292"/>
      <c r="H12" s="292" t="str" cm="1">
        <f t="array" ref="H12">IF(ISNUMBER($BA$4),IF($BA$4&gt;0,anNum(1/$BA$4,2),"-"),"-")</f>
        <v>-</v>
      </c>
      <c r="I12" s="292"/>
      <c r="J12" s="129" t="str" cm="1">
        <f t="array" ref="J12">IF(ISNUMBER($BA$9),anNum($BA$9,3),"-")</f>
        <v>-</v>
      </c>
      <c r="AC12" s="122" t="str" cm="1">
        <f t="array" ref="AC12">IFERROR(_xlfn._xlws.SORT(_xlfn._xlws.FILTER(anCASE_Paid,(anCASE_Seg=$AB$3)*ISNUMBER(anCASE_Paid)*(anCASE_Paid&gt;0)),,-1),"")</f>
        <v/>
      </c>
      <c r="AE12" s="122" cm="1">
        <f t="array" ref="AE12:AE32">_xlfn.VSTACK(_xlfn.SEQUENCE(20,1,0.8,0.01),0.995)</f>
        <v>0.8</v>
      </c>
      <c r="AF12" s="122" cm="1">
        <f t="array" ref="AF12:AF32">ROUND($AB$5*(1-_xlfn.ANCHORARRAY($AE$12)),0)</f>
        <v>0</v>
      </c>
      <c r="AG12" s="122" t="e" cm="1">
        <f t="array" ref="AG12:AG32">_xlfn.MAP(_xlfn.ANCHORARRAY($AF$12),_xlfn.LAMBDA(_xlpm.kk,IF(OR(_xlpm.kk&lt;$AB$7,_xlpm.kk+1&gt;$AB$5),NA(),INDEX(_xlfn.ANCHORARRAY($AC$12),_xlpm.kk+1))))</f>
        <v>#N/A</v>
      </c>
      <c r="AH12" s="122" t="e" cm="1">
        <f t="array" ref="AH12:AH32">_xlfn.MAP(_xlfn.ANCHORARRAY($AF$12),_xlfn.LAMBDA(_xlpm.kk,IF(OR(_xlpm.kk&lt;$AB$7,_xlpm.kk+1&gt;$AB$5),NA(),AVERAGE(LN(_xlfn.TAKE(_xlfn.ANCHORARRAY($AC$12),_xlpm.kk)/INDEX(_xlfn.ANCHORARRAY($AC$12),_xlpm.kk+1))))))</f>
        <v>#N/A</v>
      </c>
      <c r="AI12" s="122" t="e" cm="1">
        <f t="array" ref="AI12:AI32">_xlfn.MAP(_xlfn.ANCHORARRAY($AF$12),_xlfn.LAMBDA(_xlpm.kk,IF(OR(_xlpm.kk&lt;$AB$7,_xlpm.kk+1&gt;$AB$5),NA(),_xlfn.LET(_xlpm.lg,LN(_xlfn.TAKE(_xlfn.ANCHORARRAY($AC$12),_xlpm.kk)/INDEX(_xlfn.ANCHORARRAY($AC$12),_xlpm.kk+1)),_xlpm.mo,AVERAGE(_xlpm.lg),_xlpm.mt,SUMSQ(_xlpm.lg)/_xlpm.kk,IFERROR(_xlpm.mo+1-0.5/(1-_xlpm.mo^2/_xlpm.mt),NA())))))</f>
        <v>#N/A</v>
      </c>
      <c r="AJ12" s="122" t="e" cm="1">
        <f t="array" ref="AJ12:AJ32">_xlfn.MAP(_xlfn.ANCHORARRAY($AF$12),_xlfn.LAMBDA(_xlpm.kk,IF(OR(_xlpm.kk&lt;$AB$7,4*_xlpm.kk&gt;$AB$5),NA(),_xlfn.LET(_xlpm.pa,INDEX(_xlfn.ANCHORARRAY($AC$12),_xlpm.kk),_xlpm.pb,INDEX(_xlfn.ANCHORARRAY($AC$12),2*_xlpm.kk),_xlpm.pd,INDEX(_xlfn.ANCHORARRAY($AC$12),4*_xlpm.kk),IFERROR(LN((_xlpm.pa-_xlpm.pb)/(_xlpm.pb-_xlpm.pd))/LN(2),NA())))))</f>
        <v>#N/A</v>
      </c>
      <c r="AK12" s="122" t="e" cm="1">
        <f t="array" ref="AK12:AK32">_xlfn.MAP(_xlfn.ANCHORARRAY($AF$12),_xlfn.LAMBDA(_xlpm.kk,IF(OR(_xlpm.kk&lt;$AB$7,_xlpm.kk+1&gt;$AB$5),NA(),_xlfn.LET(_xlpm.uu,INDEX(_xlfn.ANCHORARRAY($AC$12),_xlpm.kk+1),_xlpm.yy,_xlfn.TAKE(_xlfn.ANCHORARRAY($AC$12),_xlpm.kk)-_xlpm.uu,_xlpm.mzero,AVERAGE(_xlpm.yy),_xlpm.mone,SUM((_xlfn.SEQUENCE(_xlpm.kk)-0.65)/_xlpm.kk*_xlpm.yy)/_xlpm.kk,IFERROR(2-_xlpm.mzero/(_xlpm.mzero-2*_xlpm.mone),NA())))))</f>
        <v>#N/A</v>
      </c>
      <c r="AL12" s="122" t="e" cm="1">
        <f t="array" ref="AL12:AL32">IFERROR(_xlfn.ANCHORARRAY($AH$12)-1.96*_xlfn.ANCHORARRAY($AH$12)/SQRT(_xlfn.ANCHORARRAY($AF$12)),NA())</f>
        <v>#N/A</v>
      </c>
      <c r="AM12" s="122" t="e" cm="1">
        <f t="array" ref="AM12:AM32">IFERROR(_xlfn.ANCHORARRAY($AH$12)+1.96*_xlfn.ANCHORARRAY($AH$12)/SQRT(_xlfn.ANCHORARRAY($AF$12)),NA())</f>
        <v>#N/A</v>
      </c>
    </row>
    <row r="13" spans="2:58" ht="21" customHeight="1">
      <c r="B13" s="278" t="str">
        <f>_xlfn.XLOOKUP("AN_TF_MOM",tblUIText[Key],tblUIText[TR],"AN_TF_MOM")&amp;" / "&amp;_xlfn.XLOOKUP("AN_TF_MOM",tblUIText[Key],tblUIText[EN],"")</f>
        <v>Moment (Dekkers-Einmahl-de Haan) / Moment (Dekkers-Einmahl-de Haan)</v>
      </c>
      <c r="C13" s="278"/>
      <c r="D13" s="278"/>
      <c r="E13" s="278"/>
      <c r="F13" s="292" t="str" cm="1">
        <f t="array" ref="F13">IF(ISNUMBER($BA$5),anNum($BA$5,3),"-")</f>
        <v>-</v>
      </c>
      <c r="G13" s="292"/>
      <c r="H13" s="292" t="str" cm="1">
        <f t="array" ref="H13">IF(ISNUMBER($BA$5),IF($BA$5&gt;0,anNum(1/$BA$5,2),"-"),"-")</f>
        <v>-</v>
      </c>
      <c r="I13" s="292"/>
      <c r="J13" s="129" t="str">
        <f>"-"</f>
        <v>-</v>
      </c>
      <c r="AE13" s="122">
        <v>0.81</v>
      </c>
      <c r="AF13" s="122">
        <v>0</v>
      </c>
      <c r="AG13" s="122" t="e">
        <v>#N/A</v>
      </c>
      <c r="AH13" s="122" t="e">
        <v>#N/A</v>
      </c>
      <c r="AI13" s="122" t="e">
        <v>#N/A</v>
      </c>
      <c r="AJ13" s="122" t="e">
        <v>#N/A</v>
      </c>
      <c r="AK13" s="122" t="e">
        <v>#N/A</v>
      </c>
      <c r="AL13" s="122" t="e">
        <v>#N/A</v>
      </c>
      <c r="AM13" s="122" t="e">
        <v>#N/A</v>
      </c>
    </row>
    <row r="14" spans="2:58" ht="21" customHeight="1">
      <c r="B14" s="278" t="str">
        <f>_xlfn.XLOOKUP("AN_TF_PICK",tblUIText[Key],tblUIText[TR],"AN_TF_PICK")&amp;" / "&amp;_xlfn.XLOOKUP("AN_TF_PICK",tblUIText[Key],tblUIText[EN],"")</f>
        <v>Pickands / Pickands</v>
      </c>
      <c r="C14" s="278"/>
      <c r="D14" s="278"/>
      <c r="E14" s="278"/>
      <c r="F14" s="292" t="str" cm="1">
        <f t="array" ref="F14">IF(ISNUMBER($BA$6),anNum($BA$6,3),"-")</f>
        <v>-</v>
      </c>
      <c r="G14" s="292"/>
      <c r="H14" s="292" t="str" cm="1">
        <f t="array" ref="H14">IF(ISNUMBER($BA$6),IF($BA$6&gt;0,anNum(1/$BA$6,2),"-"),"-")</f>
        <v>-</v>
      </c>
      <c r="I14" s="292"/>
      <c r="J14" s="129" t="str">
        <f>"-"</f>
        <v>-</v>
      </c>
      <c r="AE14" s="122">
        <v>0.82000000000000006</v>
      </c>
      <c r="AF14" s="122">
        <v>0</v>
      </c>
      <c r="AG14" s="122" t="e">
        <v>#N/A</v>
      </c>
      <c r="AH14" s="122" t="e">
        <v>#N/A</v>
      </c>
      <c r="AI14" s="122" t="e">
        <v>#N/A</v>
      </c>
      <c r="AJ14" s="122" t="e">
        <v>#N/A</v>
      </c>
      <c r="AK14" s="122" t="e">
        <v>#N/A</v>
      </c>
      <c r="AL14" s="122" t="e">
        <v>#N/A</v>
      </c>
      <c r="AM14" s="122" t="e">
        <v>#N/A</v>
      </c>
    </row>
    <row r="15" spans="2:58" ht="21" customHeight="1">
      <c r="B15" s="278" t="str">
        <f>_xlfn.XLOOKUP("AN_TF_PWM",tblUIText[Key],tblUIText[TR],"AN_TF_PWM")&amp;" / "&amp;_xlfn.XLOOKUP("AN_TF_PWM",tblUIText[Key],tblUIText[EN],"")</f>
        <v>GPD olasılık ağırlıklı momentler / GPD probability-weighted moments</v>
      </c>
      <c r="C15" s="278"/>
      <c r="D15" s="278"/>
      <c r="E15" s="278"/>
      <c r="F15" s="292" t="str" cm="1">
        <f t="array" ref="F15">IF(ISNUMBER($BA$7),anNum($BA$7,3),"-")</f>
        <v>-</v>
      </c>
      <c r="G15" s="292"/>
      <c r="H15" s="292" t="str" cm="1">
        <f t="array" ref="H15">IF(ISNUMBER($BA$7),IF($BA$7&gt;0,anNum(1/$BA$7,2),"-"),"-")</f>
        <v>-</v>
      </c>
      <c r="I15" s="292"/>
      <c r="J15" s="129" t="str">
        <f>"-"</f>
        <v>-</v>
      </c>
      <c r="AE15" s="122">
        <v>0.83000000000000007</v>
      </c>
      <c r="AF15" s="122">
        <v>0</v>
      </c>
      <c r="AG15" s="122" t="e">
        <v>#N/A</v>
      </c>
      <c r="AH15" s="122" t="e">
        <v>#N/A</v>
      </c>
      <c r="AI15" s="122" t="e">
        <v>#N/A</v>
      </c>
      <c r="AJ15" s="122" t="e">
        <v>#N/A</v>
      </c>
      <c r="AK15" s="122" t="e">
        <v>#N/A</v>
      </c>
      <c r="AL15" s="122" t="e">
        <v>#N/A</v>
      </c>
      <c r="AM15" s="122" t="e">
        <v>#N/A</v>
      </c>
    </row>
    <row r="16" spans="2:58" ht="21.95" customHeight="1">
      <c r="B16" s="278" t="str" cm="1">
        <f t="array" ref="B16">_xlfn.XLOOKUP("AN_TF_U",tblUIText[Key],tblUIText[TR],"AN_TF_U")&amp;" / "&amp;_xlfn.XLOOKUP("AN_TF_U",tblUIText[Key],tblUIText[EN],"")&amp;": "&amp;IF(ISNUMBER($BA$3),anNum($BA$3/1000,1),"-")&amp;";  "&amp;_xlfn.XLOOKUP("AN_TF_K",tblUIText[Key],tblUIText[TR],"AN_TF_K")&amp;" / "&amp;_xlfn.XLOOKUP("AN_TF_K",tblUIText[Key],tblUIText[EN],"")&amp;": "&amp;$AB$9&amp;";  n = "&amp;anNum($AB$5,0)</f>
        <v>Eşik u (bin TL) / Threshold u (TRY k): -;  Eşik üstü dosya k / Cases above the threshold k: 0;  n = 0</v>
      </c>
      <c r="C16" s="278"/>
      <c r="D16" s="278"/>
      <c r="E16" s="278"/>
      <c r="F16" s="278"/>
      <c r="G16" s="278"/>
      <c r="H16" s="278"/>
      <c r="I16" s="278"/>
      <c r="J16" s="278"/>
      <c r="AE16" s="122">
        <v>0.84000000000000008</v>
      </c>
      <c r="AF16" s="122">
        <v>0</v>
      </c>
      <c r="AG16" s="122" t="e">
        <v>#N/A</v>
      </c>
      <c r="AH16" s="122" t="e">
        <v>#N/A</v>
      </c>
      <c r="AI16" s="122" t="e">
        <v>#N/A</v>
      </c>
      <c r="AJ16" s="122" t="e">
        <v>#N/A</v>
      </c>
      <c r="AK16" s="122" t="e">
        <v>#N/A</v>
      </c>
      <c r="AL16" s="122" t="e">
        <v>#N/A</v>
      </c>
      <c r="AM16" s="122" t="e">
        <v>#N/A</v>
      </c>
    </row>
    <row r="17" spans="2:39" ht="21.95" customHeight="1">
      <c r="B17" s="278" t="str" cm="1">
        <f t="array" ref="B17">_xlfn.XLOOKUP("AN_TF_SEVCHK",tblUIText[Key],tblUIText[TR],"AN_TF_SEVCHK")&amp;" / "&amp;_xlfn.XLOOKUP("AN_TF_SEVCHK",tblUIText[Key],tblUIText[EN],"")&amp;" (k = "&amp;$AB$10&amp;"): "&amp;IF(ISNUMBER($BA$10),anNum($BA$10,2),"-")&amp;"  |  AN_Severity: "&amp;IF(ISNUMBER($BA$11),anNum($BA$11,2),"-")</f>
        <v>AN_Severity Hill α (aynı k ile) - tutarlılık / AN_Severity Hill α (same k) - consistency (k = 20): -  |  AN_Severity: -</v>
      </c>
      <c r="C17" s="278"/>
      <c r="D17" s="278"/>
      <c r="E17" s="278"/>
      <c r="F17" s="278"/>
      <c r="G17" s="278"/>
      <c r="H17" s="278"/>
      <c r="I17" s="278"/>
      <c r="J17" s="278"/>
      <c r="AE17" s="122">
        <v>0.85000000000000009</v>
      </c>
      <c r="AF17" s="122">
        <v>0</v>
      </c>
      <c r="AG17" s="122" t="e">
        <v>#N/A</v>
      </c>
      <c r="AH17" s="122" t="e">
        <v>#N/A</v>
      </c>
      <c r="AI17" s="122" t="e">
        <v>#N/A</v>
      </c>
      <c r="AJ17" s="122" t="e">
        <v>#N/A</v>
      </c>
      <c r="AK17" s="122" t="e">
        <v>#N/A</v>
      </c>
      <c r="AL17" s="122" t="e">
        <v>#N/A</v>
      </c>
      <c r="AM17" s="122" t="e">
        <v>#N/A</v>
      </c>
    </row>
    <row r="18" spans="2:39">
      <c r="AE18" s="122">
        <v>0.8600000000000001</v>
      </c>
      <c r="AF18" s="122">
        <v>0</v>
      </c>
      <c r="AG18" s="122" t="e">
        <v>#N/A</v>
      </c>
      <c r="AH18" s="122" t="e">
        <v>#N/A</v>
      </c>
      <c r="AI18" s="122" t="e">
        <v>#N/A</v>
      </c>
      <c r="AJ18" s="122" t="e">
        <v>#N/A</v>
      </c>
      <c r="AK18" s="122" t="e">
        <v>#N/A</v>
      </c>
      <c r="AL18" s="122" t="e">
        <v>#N/A</v>
      </c>
      <c r="AM18" s="122" t="e">
        <v>#N/A</v>
      </c>
    </row>
    <row r="19" spans="2:39">
      <c r="B19" s="127" t="str">
        <f>_xlfn.XLOOKUP("AN_TF_QTABLE",tblUIText[Key],tblUIText[TR],"AN_TF_QTABLE")&amp;" / "&amp;_xlfn.XLOOKUP("AN_TF_QTABLE",tblUIText[Key],tblUIText[EN],"")</f>
        <v>Yüksek yüzdelikler (bin TL): model ve gözlenen / High percentiles (TRY k): model and observed</v>
      </c>
      <c r="AE19" s="122">
        <v>0.87000000000000011</v>
      </c>
      <c r="AF19" s="122">
        <v>0</v>
      </c>
      <c r="AG19" s="122" t="e">
        <v>#N/A</v>
      </c>
      <c r="AH19" s="122" t="e">
        <v>#N/A</v>
      </c>
      <c r="AI19" s="122" t="e">
        <v>#N/A</v>
      </c>
      <c r="AJ19" s="122" t="e">
        <v>#N/A</v>
      </c>
      <c r="AK19" s="122" t="e">
        <v>#N/A</v>
      </c>
      <c r="AL19" s="122" t="e">
        <v>#N/A</v>
      </c>
      <c r="AM19" s="122" t="e">
        <v>#N/A</v>
      </c>
    </row>
    <row r="20" spans="2:39" ht="21.95" customHeight="1">
      <c r="B20" s="308" t="s">
        <v>20503</v>
      </c>
      <c r="C20" s="308"/>
      <c r="D20" s="308" t="str">
        <f>_xlfn.XLOOKUP("AN_TF_EMP",tblUIText[Key],tblUIText[TR],"AN_TF_EMP")&amp;" / "&amp;_xlfn.XLOOKUP("AN_TF_EMP",tblUIText[Key],tblUIText[EN],"")</f>
        <v>Gözlenen (PERCENTILE.INC) / Observed (PERCENTILE.INC)</v>
      </c>
      <c r="E20" s="308"/>
      <c r="F20" s="308" t="str">
        <f>_xlfn.XLOOKUP("AN_TF_WEISS",tblUIText[Key],tblUIText[TR],"AN_TF_WEISS")&amp;" / "&amp;_xlfn.XLOOKUP("AN_TF_WEISS",tblUIText[Key],tblUIText[EN],"")</f>
        <v>Hill / Weissman / Hill / Weissman</v>
      </c>
      <c r="G20" s="308"/>
      <c r="H20" s="308" t="str">
        <f>_xlfn.XLOOKUP("AN_TF_GPDQ",tblUIText[Key],tblUIText[TR],"AN_TF_GPDQ")&amp;" / "&amp;_xlfn.XLOOKUP("AN_TF_GPDQ",tblUIText[Key],tblUIText[EN],"")</f>
        <v>GPD (PWM) / GPD (PWM)</v>
      </c>
      <c r="I20" s="308"/>
      <c r="AB20" s="122" t="str">
        <f>IF(NOT($AB$11),SUBSTITUTE(SUBSTITUTE(SUBSTITUTE(SUBSTITUTE(_xlfn.XLOOKUP("AN_TF_GATE",tblUIText[Key],tblUIText[TR],"AN_TF_GATE"),"{0}",$AB$5),"{1}",$AB$6),"{2}",$AB$9),"{3}",$AB$7)&amp;CHAR(10)&amp;SUBSTITUTE(SUBSTITUTE(SUBSTITUTE(SUBSTITUTE(_xlfn.XLOOKUP("AN_TF_GATE",tblUIText[Key],tblUIText[EN],"AN_TF_GATE"),"{0}",$AB$5),"{1}",$AB$6),"{2}",$AB$9),"{3}",$AB$7),_xlfn.XLOOKUP("AN_TF_CHART",tblUIText[Key],tblUIText[TR],"AN_TF_CHART")&amp;" / "&amp;_xlfn.XLOOKUP("AN_TF_CHART",tblUIText[Key],tblUIText[EN],""))</f>
        <v>VERİ YETERSİZ: 0 dosya (en az 200) veya eşik üstünde 0 dosya (en az 10)
INSUFFICIENT DATA: 0 cases (at least 200) or 0 cases above the threshold (at least 10)</v>
      </c>
      <c r="AE20" s="122">
        <v>0.88000000000000012</v>
      </c>
      <c r="AF20" s="122">
        <v>0</v>
      </c>
      <c r="AG20" s="122" t="e">
        <v>#N/A</v>
      </c>
      <c r="AH20" s="122" t="e">
        <v>#N/A</v>
      </c>
      <c r="AI20" s="122" t="e">
        <v>#N/A</v>
      </c>
      <c r="AJ20" s="122" t="e">
        <v>#N/A</v>
      </c>
      <c r="AK20" s="122" t="e">
        <v>#N/A</v>
      </c>
      <c r="AL20" s="122" t="e">
        <v>#N/A</v>
      </c>
      <c r="AM20" s="122" t="e">
        <v>#N/A</v>
      </c>
    </row>
    <row r="21" spans="2:39">
      <c r="B21" s="245" t="str" cm="1">
        <f t="array" ref="B21">"P"&amp;anNum($BC$4*100,1)</f>
        <v>P99,0</v>
      </c>
      <c r="C21" s="245"/>
      <c r="D21" s="317" t="str" cm="1">
        <f t="array" ref="D21">IF(ISNUMBER($BD$4),anNum($BD$4/1000,1),"-")</f>
        <v>-</v>
      </c>
      <c r="E21" s="317"/>
      <c r="F21" s="317" t="str" cm="1">
        <f t="array" ref="F21">IF(ISNUMBER($BE$4),anNum($BE$4/1000,1),"-")</f>
        <v>-</v>
      </c>
      <c r="G21" s="317"/>
      <c r="H21" s="317" t="str" cm="1">
        <f t="array" ref="H21">IF(ISNUMBER($BF$4),anNum($BF$4/1000,1),"-")</f>
        <v>-</v>
      </c>
      <c r="I21" s="317"/>
      <c r="AE21" s="122">
        <v>0.89000000000000012</v>
      </c>
      <c r="AF21" s="122">
        <v>0</v>
      </c>
      <c r="AG21" s="122" t="e">
        <v>#N/A</v>
      </c>
      <c r="AH21" s="122" t="e">
        <v>#N/A</v>
      </c>
      <c r="AI21" s="122" t="e">
        <v>#N/A</v>
      </c>
      <c r="AJ21" s="122" t="e">
        <v>#N/A</v>
      </c>
      <c r="AK21" s="122" t="e">
        <v>#N/A</v>
      </c>
      <c r="AL21" s="122" t="e">
        <v>#N/A</v>
      </c>
      <c r="AM21" s="122" t="e">
        <v>#N/A</v>
      </c>
    </row>
    <row r="22" spans="2:39">
      <c r="B22" s="245" t="str" cm="1">
        <f t="array" ref="B22">"P"&amp;anNum($BC$5*100,1)</f>
        <v>P99,5</v>
      </c>
      <c r="C22" s="245"/>
      <c r="D22" s="317" t="str" cm="1">
        <f t="array" ref="D22">IF(ISNUMBER($BD$5),anNum($BD$5/1000,1),"-")</f>
        <v>-</v>
      </c>
      <c r="E22" s="317"/>
      <c r="F22" s="317" t="str" cm="1">
        <f t="array" ref="F22">IF(ISNUMBER($BE$5),anNum($BE$5/1000,1),"-")</f>
        <v>-</v>
      </c>
      <c r="G22" s="317"/>
      <c r="H22" s="317" t="str" cm="1">
        <f t="array" ref="H22">IF(ISNUMBER($BF$5),anNum($BF$5/1000,1),"-")</f>
        <v>-</v>
      </c>
      <c r="I22" s="317"/>
      <c r="AE22" s="122">
        <v>0.90000000000000013</v>
      </c>
      <c r="AF22" s="122">
        <v>0</v>
      </c>
      <c r="AG22" s="122" t="e">
        <v>#N/A</v>
      </c>
      <c r="AH22" s="122" t="e">
        <v>#N/A</v>
      </c>
      <c r="AI22" s="122" t="e">
        <v>#N/A</v>
      </c>
      <c r="AJ22" s="122" t="e">
        <v>#N/A</v>
      </c>
      <c r="AK22" s="122" t="e">
        <v>#N/A</v>
      </c>
      <c r="AL22" s="122" t="e">
        <v>#N/A</v>
      </c>
      <c r="AM22" s="122" t="e">
        <v>#N/A</v>
      </c>
    </row>
    <row r="23" spans="2:39">
      <c r="B23" s="245" t="str" cm="1">
        <f t="array" ref="B23">"P"&amp;anNum($BC$6*100,1)</f>
        <v>P99,9</v>
      </c>
      <c r="C23" s="245"/>
      <c r="D23" s="317" t="str" cm="1">
        <f t="array" ref="D23">IF(ISNUMBER($BD$6),anNum($BD$6/1000,1),"-")</f>
        <v>-</v>
      </c>
      <c r="E23" s="317"/>
      <c r="F23" s="317" t="str" cm="1">
        <f t="array" ref="F23">IF(ISNUMBER($BE$6),anNum($BE$6/1000,1),"-")</f>
        <v>-</v>
      </c>
      <c r="G23" s="317"/>
      <c r="H23" s="317" t="str" cm="1">
        <f t="array" ref="H23">IF(ISNUMBER($BF$6),anNum($BF$6/1000,1),"-")</f>
        <v>-</v>
      </c>
      <c r="I23" s="317"/>
      <c r="AE23" s="122">
        <v>0.91000000000000014</v>
      </c>
      <c r="AF23" s="122">
        <v>0</v>
      </c>
      <c r="AG23" s="122" t="e">
        <v>#N/A</v>
      </c>
      <c r="AH23" s="122" t="e">
        <v>#N/A</v>
      </c>
      <c r="AI23" s="122" t="e">
        <v>#N/A</v>
      </c>
      <c r="AJ23" s="122" t="e">
        <v>#N/A</v>
      </c>
      <c r="AK23" s="122" t="e">
        <v>#N/A</v>
      </c>
      <c r="AL23" s="122" t="e">
        <v>#N/A</v>
      </c>
      <c r="AM23" s="122" t="e">
        <v>#N/A</v>
      </c>
    </row>
    <row r="24" spans="2:39">
      <c r="AE24" s="122">
        <v>0.92000000000000015</v>
      </c>
      <c r="AF24" s="122">
        <v>0</v>
      </c>
      <c r="AG24" s="122" t="e">
        <v>#N/A</v>
      </c>
      <c r="AH24" s="122" t="e">
        <v>#N/A</v>
      </c>
      <c r="AI24" s="122" t="e">
        <v>#N/A</v>
      </c>
      <c r="AJ24" s="122" t="e">
        <v>#N/A</v>
      </c>
      <c r="AK24" s="122" t="e">
        <v>#N/A</v>
      </c>
      <c r="AL24" s="122" t="e">
        <v>#N/A</v>
      </c>
      <c r="AM24" s="122" t="e">
        <v>#N/A</v>
      </c>
    </row>
    <row r="25" spans="2:39">
      <c r="AE25" s="122">
        <v>0.93000000000000016</v>
      </c>
      <c r="AF25" s="122">
        <v>0</v>
      </c>
      <c r="AG25" s="122" t="e">
        <v>#N/A</v>
      </c>
      <c r="AH25" s="122" t="e">
        <v>#N/A</v>
      </c>
      <c r="AI25" s="122" t="e">
        <v>#N/A</v>
      </c>
      <c r="AJ25" s="122" t="e">
        <v>#N/A</v>
      </c>
      <c r="AK25" s="122" t="e">
        <v>#N/A</v>
      </c>
      <c r="AL25" s="122" t="e">
        <v>#N/A</v>
      </c>
      <c r="AM25" s="122" t="e">
        <v>#N/A</v>
      </c>
    </row>
    <row r="26" spans="2:39">
      <c r="AE26" s="122">
        <v>0.94000000000000017</v>
      </c>
      <c r="AF26" s="122">
        <v>0</v>
      </c>
      <c r="AG26" s="122" t="e">
        <v>#N/A</v>
      </c>
      <c r="AH26" s="122" t="e">
        <v>#N/A</v>
      </c>
      <c r="AI26" s="122" t="e">
        <v>#N/A</v>
      </c>
      <c r="AJ26" s="122" t="e">
        <v>#N/A</v>
      </c>
      <c r="AK26" s="122" t="e">
        <v>#N/A</v>
      </c>
      <c r="AL26" s="122" t="e">
        <v>#N/A</v>
      </c>
      <c r="AM26" s="122" t="e">
        <v>#N/A</v>
      </c>
    </row>
    <row r="27" spans="2:39">
      <c r="AE27" s="122">
        <v>0.95000000000000018</v>
      </c>
      <c r="AF27" s="122">
        <v>0</v>
      </c>
      <c r="AG27" s="122" t="e">
        <v>#N/A</v>
      </c>
      <c r="AH27" s="122" t="e">
        <v>#N/A</v>
      </c>
      <c r="AI27" s="122" t="e">
        <v>#N/A</v>
      </c>
      <c r="AJ27" s="122" t="e">
        <v>#N/A</v>
      </c>
      <c r="AK27" s="122" t="e">
        <v>#N/A</v>
      </c>
      <c r="AL27" s="122" t="e">
        <v>#N/A</v>
      </c>
      <c r="AM27" s="122" t="e">
        <v>#N/A</v>
      </c>
    </row>
    <row r="28" spans="2:39">
      <c r="AE28" s="122">
        <v>0.96000000000000019</v>
      </c>
      <c r="AF28" s="122">
        <v>0</v>
      </c>
      <c r="AG28" s="122" t="e">
        <v>#N/A</v>
      </c>
      <c r="AH28" s="122" t="e">
        <v>#N/A</v>
      </c>
      <c r="AI28" s="122" t="e">
        <v>#N/A</v>
      </c>
      <c r="AJ28" s="122" t="e">
        <v>#N/A</v>
      </c>
      <c r="AK28" s="122" t="e">
        <v>#N/A</v>
      </c>
      <c r="AL28" s="122" t="e">
        <v>#N/A</v>
      </c>
      <c r="AM28" s="122" t="e">
        <v>#N/A</v>
      </c>
    </row>
    <row r="29" spans="2:39">
      <c r="AE29" s="122">
        <v>0.9700000000000002</v>
      </c>
      <c r="AF29" s="122">
        <v>0</v>
      </c>
      <c r="AG29" s="122" t="e">
        <v>#N/A</v>
      </c>
      <c r="AH29" s="122" t="e">
        <v>#N/A</v>
      </c>
      <c r="AI29" s="122" t="e">
        <v>#N/A</v>
      </c>
      <c r="AJ29" s="122" t="e">
        <v>#N/A</v>
      </c>
      <c r="AK29" s="122" t="e">
        <v>#N/A</v>
      </c>
      <c r="AL29" s="122" t="e">
        <v>#N/A</v>
      </c>
      <c r="AM29" s="122" t="e">
        <v>#N/A</v>
      </c>
    </row>
    <row r="30" spans="2:39">
      <c r="AE30" s="122">
        <v>0.9800000000000002</v>
      </c>
      <c r="AF30" s="122">
        <v>0</v>
      </c>
      <c r="AG30" s="122" t="e">
        <v>#N/A</v>
      </c>
      <c r="AH30" s="122" t="e">
        <v>#N/A</v>
      </c>
      <c r="AI30" s="122" t="e">
        <v>#N/A</v>
      </c>
      <c r="AJ30" s="122" t="e">
        <v>#N/A</v>
      </c>
      <c r="AK30" s="122" t="e">
        <v>#N/A</v>
      </c>
      <c r="AL30" s="122" t="e">
        <v>#N/A</v>
      </c>
      <c r="AM30" s="122" t="e">
        <v>#N/A</v>
      </c>
    </row>
    <row r="31" spans="2:39">
      <c r="AE31" s="122">
        <v>0.99000000000000021</v>
      </c>
      <c r="AF31" s="122">
        <v>0</v>
      </c>
      <c r="AG31" s="122" t="e">
        <v>#N/A</v>
      </c>
      <c r="AH31" s="122" t="e">
        <v>#N/A</v>
      </c>
      <c r="AI31" s="122" t="e">
        <v>#N/A</v>
      </c>
      <c r="AJ31" s="122" t="e">
        <v>#N/A</v>
      </c>
      <c r="AK31" s="122" t="e">
        <v>#N/A</v>
      </c>
      <c r="AL31" s="122" t="e">
        <v>#N/A</v>
      </c>
      <c r="AM31" s="122" t="e">
        <v>#N/A</v>
      </c>
    </row>
    <row r="32" spans="2:39">
      <c r="AE32" s="122">
        <v>0.995</v>
      </c>
      <c r="AF32" s="122">
        <v>0</v>
      </c>
      <c r="AG32" s="122" t="e">
        <v>#N/A</v>
      </c>
      <c r="AH32" s="122" t="e">
        <v>#N/A</v>
      </c>
      <c r="AI32" s="122" t="e">
        <v>#N/A</v>
      </c>
      <c r="AJ32" s="122" t="e">
        <v>#N/A</v>
      </c>
      <c r="AK32" s="122" t="e">
        <v>#N/A</v>
      </c>
      <c r="AL32" s="122" t="e">
        <v>#N/A</v>
      </c>
      <c r="AM32" s="122" t="e">
        <v>#N/A</v>
      </c>
    </row>
    <row r="36" spans="2:19" ht="12" customHeight="1">
      <c r="B36" s="284" t="str">
        <f>_xlfn.XLOOKUP("AN_FOOT_AMOUNTS",tblUIText[Key],tblUIText[TR],"AN_FOOT_AMOUNTS")&amp;" / "&amp;_xlfn.XLOOKUP("AN_FOOT_AMOUNTS",tblUIText[Key],tblUIText[EN],"")</f>
        <v>Tutarlar ödeme günü TCMB kuruyla TL'dir; segmentler toplanmaz ve karşılaştırılmaz. Yalnızca ödenen veriler: rezerv, prim ve risk tutarı yoktur. / Amounts are TRY at the CBRT rate of the payment date; segments are never added or compared. Paid data only: no reserves, premium or exposure.</v>
      </c>
      <c r="C36" s="310"/>
      <c r="D36" s="310"/>
      <c r="E36" s="310"/>
      <c r="F36" s="310"/>
      <c r="G36" s="310"/>
      <c r="H36" s="310"/>
      <c r="I36" s="310"/>
      <c r="J36" s="310"/>
      <c r="K36" s="310"/>
      <c r="L36" s="310"/>
      <c r="M36" s="310"/>
      <c r="N36" s="310"/>
      <c r="O36" s="310"/>
      <c r="P36" s="310"/>
      <c r="Q36" s="310"/>
      <c r="R36" s="310"/>
      <c r="S36" s="310"/>
    </row>
    <row r="37" spans="2:19">
      <c r="B37" s="310"/>
      <c r="C37" s="310"/>
      <c r="D37" s="310"/>
      <c r="E37" s="310"/>
      <c r="F37" s="310"/>
      <c r="G37" s="310"/>
      <c r="H37" s="310"/>
      <c r="I37" s="310"/>
      <c r="J37" s="310"/>
      <c r="K37" s="310"/>
      <c r="L37" s="310"/>
      <c r="M37" s="310"/>
      <c r="N37" s="310"/>
      <c r="O37" s="310"/>
      <c r="P37" s="310"/>
      <c r="Q37" s="310"/>
      <c r="R37" s="310"/>
      <c r="S37" s="310"/>
    </row>
  </sheetData>
  <sheetProtection algorithmName="SHA-512" hashValue="oONzZuOPUMh8DXQc4Q420aI3oaT9JeEotNhaigicGwXvLKSlMquZ8oJTXC8Ed4j2YXJQuNuyRm89xE3H4hEkUg==" saltValue="T4yFPuJLiuhLTBrdfOGpHg==" spinCount="100000" sheet="1" scenarios="1" formatColumns="0" sort="0" autoFilter="0"/>
  <mergeCells count="39">
    <mergeCell ref="B11:E11"/>
    <mergeCell ref="F11:G11"/>
    <mergeCell ref="H11:I11"/>
    <mergeCell ref="C5:D5"/>
    <mergeCell ref="B4:S4"/>
    <mergeCell ref="B6:S6"/>
    <mergeCell ref="J5:K5"/>
    <mergeCell ref="B9:S9"/>
    <mergeCell ref="B12:E12"/>
    <mergeCell ref="F12:G12"/>
    <mergeCell ref="H12:I12"/>
    <mergeCell ref="B13:E13"/>
    <mergeCell ref="F13:G13"/>
    <mergeCell ref="H13:I13"/>
    <mergeCell ref="B14:E14"/>
    <mergeCell ref="F14:G14"/>
    <mergeCell ref="H14:I14"/>
    <mergeCell ref="B15:E15"/>
    <mergeCell ref="F15:G15"/>
    <mergeCell ref="H15:I15"/>
    <mergeCell ref="B16:J16"/>
    <mergeCell ref="B17:J17"/>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36:S37"/>
  </mergeCells>
  <conditionalFormatting sqref="B6">
    <cfRule type="expression" dxfId="40" priority="1" stopIfTrue="1">
      <formula>ISNUMBER(SEARCH("INSUFFICIENT",$B$6))</formula>
    </cfRule>
  </conditionalFormatting>
  <dataValidations count="2">
    <dataValidation type="list" allowBlank="1" showInputMessage="1" showErrorMessage="1" sqref="C5" xr:uid="{7F276F49-6435-4496-8489-478B7E51A6A9}">
      <formula1>"Life,Pension,Non-life"</formula1>
    </dataValidation>
    <dataValidation type="list" allowBlank="1" showInputMessage="1" showErrorMessage="1" sqref="J5" xr:uid="{921ACBA8-4D2E-4963-935A-2414EDC36CAD}">
      <formula1>"P80,P85,P90,P95,P98,P99"</formula1>
    </dataValidation>
  </dataValidations>
  <printOptions horizontalCentered="1"/>
  <pageMargins left="0.25" right="0.25" top="0.25" bottom="0.25" header="0.3" footer="0.3"/>
  <pageSetup paperSize="9" scale="96"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F97C8-49D1-4D3C-8A88-8D5E18648D85}">
  <sheetPr codeName="Sheet88"/>
  <dimension ref="A1:BL24"/>
  <sheetViews>
    <sheetView showGridLines="0" workbookViewId="0"/>
  </sheetViews>
  <sheetFormatPr defaultRowHeight="12.75"/>
  <cols>
    <col min="1" max="1" width="2.28515625" customWidth="1"/>
    <col min="2" max="19" width="10.7109375" customWidth="1"/>
    <col min="20" max="26" width="12.7109375" customWidth="1"/>
    <col min="27" max="27" width="16.28515625" bestFit="1" customWidth="1"/>
    <col min="28" max="28" width="20.7109375" hidden="1" customWidth="1"/>
    <col min="29" max="29" width="15.85546875" hidden="1" customWidth="1"/>
    <col min="30" max="31" width="15.7109375" hidden="1" customWidth="1"/>
    <col min="32" max="32" width="13.28515625" hidden="1" customWidth="1"/>
    <col min="33" max="33" width="15.7109375" hidden="1" customWidth="1"/>
    <col min="34" max="35" width="13.28515625" hidden="1" customWidth="1"/>
    <col min="36" max="36" width="17" hidden="1" customWidth="1"/>
    <col min="37" max="37" width="14.42578125" hidden="1" customWidth="1"/>
    <col min="38" max="38" width="21.42578125" hidden="1" customWidth="1"/>
    <col min="39" max="39" width="14.7109375" hidden="1" customWidth="1"/>
    <col min="40" max="40" width="20.85546875" hidden="1" customWidth="1"/>
    <col min="41" max="41" width="22.140625" hidden="1" customWidth="1"/>
    <col min="42" max="42" width="23.28515625" hidden="1" customWidth="1"/>
    <col min="43" max="43" width="18.85546875" hidden="1" customWidth="1"/>
    <col min="44" max="44" width="21.28515625" hidden="1" customWidth="1"/>
    <col min="45" max="45" width="20.85546875" hidden="1" customWidth="1"/>
    <col min="46" max="46" width="11" hidden="1" customWidth="1"/>
    <col min="47" max="47" width="11.28515625" hidden="1" customWidth="1"/>
    <col min="48" max="48" width="7.42578125" hidden="1" customWidth="1"/>
    <col min="49" max="49" width="15.42578125" hidden="1" customWidth="1"/>
    <col min="50" max="50" width="16.5703125" hidden="1" customWidth="1"/>
    <col min="51" max="51" width="14.7109375" hidden="1" customWidth="1"/>
    <col min="52" max="52" width="18.42578125" hidden="1" customWidth="1"/>
    <col min="53" max="53" width="13" bestFit="1" customWidth="1"/>
    <col min="54" max="54" width="18.140625" bestFit="1" customWidth="1"/>
    <col min="55" max="55" width="17.42578125" bestFit="1" customWidth="1"/>
    <col min="56" max="56" width="22.7109375" bestFit="1" customWidth="1"/>
    <col min="57" max="57" width="20.28515625" bestFit="1" customWidth="1"/>
    <col min="58" max="58" width="15.5703125" bestFit="1" customWidth="1"/>
    <col min="59" max="59" width="14.5703125" bestFit="1" customWidth="1"/>
    <col min="60" max="60" width="21.5703125" bestFit="1" customWidth="1"/>
    <col min="61" max="61" width="16.85546875" bestFit="1" customWidth="1"/>
    <col min="62" max="62" width="12.7109375" bestFit="1" customWidth="1"/>
    <col min="63" max="63" width="20.7109375" bestFit="1" customWidth="1"/>
    <col min="64" max="64" width="22.28515625" bestFit="1" customWidth="1"/>
  </cols>
  <sheetData>
    <row r="1" spans="1:52" ht="18">
      <c r="A1" s="122"/>
      <c r="B1" s="123" t="str">
        <f>_xlfn.XLOOKUP("AN_RV_TITLE",tblUIText[Key],tblUIText[TR],"AN_RV_TITLE")</f>
        <v>Satırlar: seçilen şirketler ve dönemler</v>
      </c>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c r="AS1" s="122"/>
      <c r="AT1" s="122"/>
      <c r="AU1" s="122"/>
      <c r="AV1" s="122"/>
      <c r="AW1" s="122"/>
      <c r="AX1" s="122"/>
      <c r="AY1" s="122"/>
      <c r="AZ1" s="122"/>
    </row>
    <row r="2" spans="1:52" ht="15">
      <c r="A2" s="122"/>
      <c r="B2" s="124" t="str">
        <f>_xlfn.XLOOKUP("AN_RV_TITLE",tblUIText[Key],tblUIText[EN],"AN_RV_TITLE")</f>
        <v>Raw view: selected companies and months</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row>
    <row r="3" spans="1:52">
      <c r="A3" s="122"/>
      <c r="B3" s="125" t="str">
        <f>HYPERLINK("#'AN_Index'!A1",_xlfn.XLOOKUP("AN_NAV_INDEX",tblUIText[Key],tblUIText[TR],"AN_NAV_INDEX"))</f>
        <v>Dizin</v>
      </c>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t="s">
        <v>21442</v>
      </c>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row>
    <row r="4" spans="1:52" ht="45.95" customHeight="1">
      <c r="A4" s="122"/>
      <c r="B4" s="244" t="str">
        <f>_xlfn.XLOOKUP("AN_RV_PURPOSE",tblUIText[Key],tblUIText[TR],"AN_RV_PURPOSE")&amp;" / "&amp;_xlfn.XLOOKUP("AN_RV_PURPOSE",tblUIText[Key],tblUIText[EN],"")&amp;CHAR(10)&amp;_xlfn.XLOOKUP("AN_HOWTO_RAWVIEW",tblUIText[Key],tblUIText[TR],"AN_HOWTO_RAWVIEW")&amp;" / "&amp;_xlfn.XLOOKUP("AN_HOWTO_RAWVIEW",tblUIText[Key],tblUIText[EN],"")</f>
        <v>Kapanmış aylar depodan (kapanıştaki haliyle), açık ay incelenen aktif satırlardan; yalnızca şirket listesindeki şirketler ve sözlüğün kişisel olmayan model alanları. / Closed months from the store (as closed), the open month from the reviewed active lines; only companies in the company list and the non-personal model fields of the dictionary.
Nasıl kullanılır: şirketleri (virgülle; boş = hepsi), başlangıç ve bitiş ayını (YYYYAA) girin, gerekirse nitelik veya dosya parçası seçin, 'Satırları göster'e basın. Mutabakat her şirket-ay için gösterilen satırları kayıtlı satırlarla karşılaştırır. / How to use: enter the companies (comma-separated; blank = all), the first and last month (YYYYMM), optionally a nature or part of a case key, then press 'Show lines'. The reconciliation compares the lines shown with the recorded lines for each company-month.</v>
      </c>
      <c r="C4" s="244"/>
      <c r="D4" s="244"/>
      <c r="E4" s="244"/>
      <c r="F4" s="244"/>
      <c r="G4" s="244"/>
      <c r="H4" s="244"/>
      <c r="I4" s="244"/>
      <c r="J4" s="244"/>
      <c r="K4" s="244"/>
      <c r="L4" s="244"/>
      <c r="M4" s="244"/>
      <c r="N4" s="244"/>
      <c r="O4" s="244"/>
      <c r="P4" s="244"/>
      <c r="Q4" s="244"/>
      <c r="R4" s="244"/>
      <c r="S4" s="244"/>
      <c r="T4" s="122"/>
      <c r="U4" s="122"/>
      <c r="V4" s="122"/>
      <c r="W4" s="122"/>
      <c r="X4" s="122"/>
      <c r="Y4" s="122"/>
      <c r="Z4" s="122"/>
      <c r="AA4" s="122"/>
      <c r="AB4" s="122" t="str" cm="1">
        <f t="array" ref="AB4:AB15">_xlfn.VSTACK("*",_xlfn._xlws.SORT(_xlfn.UNIQUE(_xlfn._xlws.FILTER(DimPaymentNature[PaymentNature],DimPaymentNature[PaymentNature]&lt;&gt;""))))</f>
        <v>*</v>
      </c>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row>
    <row r="5" spans="1:52" ht="30" customHeight="1">
      <c r="A5" s="122"/>
      <c r="B5" s="192" t="str">
        <f>_xlfn.XLOOKUP("AN_RV_COMPANIES",tblUIText[Key],tblUIText[TR],"AN_RV_COMPANIES")&amp;" / "&amp;_xlfn.XLOOKUP("AN_RV_COMPANIES",tblUIText[Key],tblUIText[EN],"")</f>
        <v>Şirketler / Companies</v>
      </c>
      <c r="C5" s="318" t="s">
        <v>16084</v>
      </c>
      <c r="D5" s="318"/>
      <c r="E5" s="318"/>
      <c r="F5" s="192" t="str">
        <f>_xlfn.XLOOKUP("AN_RV_FROM",tblUIText[Key],tblUIText[TR],"AN_RV_FROM")&amp;" / "&amp;_xlfn.XLOOKUP("AN_RV_FROM",tblUIText[Key],tblUIText[EN],"")</f>
        <v>Başlangıç / From</v>
      </c>
      <c r="G5" s="194"/>
      <c r="H5" s="192" t="str">
        <f>_xlfn.XLOOKUP("AN_RV_TO",tblUIText[Key],tblUIText[TR],"AN_RV_TO")&amp;" / "&amp;_xlfn.XLOOKUP("AN_RV_TO",tblUIText[Key],tblUIText[EN],"")</f>
        <v>Bitiş / To</v>
      </c>
      <c r="I5" s="194"/>
      <c r="J5" s="192" t="str">
        <f>_xlfn.XLOOKUP("AN_RV_NATURE",tblUIText[Key],tblUIText[TR],"AN_RV_NATURE")&amp;" / "&amp;_xlfn.XLOOKUP("AN_RV_NATURE",tblUIText[Key],tblUIText[EN],"")</f>
        <v>Nitelik / Nature</v>
      </c>
      <c r="K5" s="318" t="s">
        <v>3465</v>
      </c>
      <c r="L5" s="318"/>
      <c r="M5" s="192" t="str">
        <f>_xlfn.XLOOKUP("AN_RV_CASE",tblUIText[Key],tblUIText[TR],"AN_RV_CASE")&amp;" / "&amp;_xlfn.XLOOKUP("AN_RV_CASE",tblUIText[Key],tblUIText[EN],"")</f>
        <v>Dosya içerir / Case contains</v>
      </c>
      <c r="N5" s="318" t="s">
        <v>2833</v>
      </c>
      <c r="O5" s="318"/>
      <c r="P5" s="122"/>
      <c r="Q5" s="122"/>
      <c r="R5" s="122"/>
      <c r="S5" s="122"/>
      <c r="T5" s="122"/>
      <c r="U5" s="122"/>
      <c r="V5" s="122"/>
      <c r="W5" s="122"/>
      <c r="X5" s="122"/>
      <c r="Y5" s="122"/>
      <c r="Z5" s="122"/>
      <c r="AA5" s="122"/>
      <c r="AB5" s="122" t="str">
        <v>ANNUITY</v>
      </c>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row>
    <row r="6" spans="1:52" ht="33.950000000000003" customHeight="1">
      <c r="A6" s="122"/>
      <c r="B6" s="122"/>
      <c r="C6" s="122"/>
      <c r="D6" s="122"/>
      <c r="E6" s="122"/>
      <c r="F6" s="122"/>
      <c r="G6" s="122"/>
      <c r="H6" s="122"/>
      <c r="I6" s="122"/>
      <c r="J6" s="122"/>
      <c r="K6" s="319" t="str">
        <f>_xlfn.XLOOKUP("AN_RV_NOTE",tblUIText[Key],tblUIText[TR],"AN_RV_NOTE")&amp;" / "&amp;_xlfn.XLOOKUP("AN_RV_NOTE",tblUIText[Key],tblUIText[EN],"")</f>
        <v>Göster ve CSV: Analist, Hazırlayan, İncelemeci; kaynak dosyayı açma: Hazırlayan, İncelemeci (neden sorulur). Her kullanım etkinlik günlüğüne yazılır; satırlar dosya kaydedilmeden önce silinir; PDF alınmaz. / Show and CSV: Analyst, Preparer, Reviewer; open source file: Preparer, Reviewer (a reason is asked). Every use is written to the activity log; the lines are removed before the file is saved; no PDF.</v>
      </c>
      <c r="L6" s="319"/>
      <c r="M6" s="319"/>
      <c r="N6" s="319"/>
      <c r="O6" s="319"/>
      <c r="P6" s="319"/>
      <c r="Q6" s="319"/>
      <c r="R6" s="319"/>
      <c r="S6" s="319"/>
      <c r="T6" s="122"/>
      <c r="U6" s="122"/>
      <c r="V6" s="122"/>
      <c r="W6" s="122"/>
      <c r="X6" s="122"/>
      <c r="Y6" s="122"/>
      <c r="Z6" s="122"/>
      <c r="AA6" s="122"/>
      <c r="AB6" s="122" t="str">
        <v>CLAIM</v>
      </c>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row>
    <row r="7" spans="1:52">
      <c r="A7" s="122"/>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t="str">
        <v>DEATH</v>
      </c>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row>
    <row r="8" spans="1:52">
      <c r="A8" s="122"/>
      <c r="B8" s="127" t="str">
        <f>_xlfn.XLOOKUP("AN_RV_RECON",tblUIText[Key],tblUIText[TR],"AN_RV_RECON")&amp;" / "&amp;_xlfn.XLOOKUP("AN_RV_RECON",tblUIText[Key],tblUIText[EN],"")</f>
        <v>Mutabakat (şirket × ay) / Reconciliation (company × month)</v>
      </c>
      <c r="C8" s="122"/>
      <c r="D8" s="122"/>
      <c r="E8" s="122"/>
      <c r="F8" s="122"/>
      <c r="G8" s="122"/>
      <c r="H8" s="128" t="str" cm="1">
        <f t="array" ref="H8">"Satırlar / Lines: "&amp;anNum(SUMPRODUCT(--(qView_Raw[CompanyID]&lt;&gt;"")),0)&amp;IF(SUMPRODUCT(--(qView_Raw[CompanyID]&lt;&gt;""))&gt;=--INDEX(tblParameters[Value],MATCH("RawMaxRows",tblParameters[Parameter],0))," (RawMaxRows)","")</f>
        <v>Satırlar / Lines: 0</v>
      </c>
      <c r="I8" s="122"/>
      <c r="J8" s="122"/>
      <c r="K8" s="122"/>
      <c r="L8" s="122"/>
      <c r="M8" s="122"/>
      <c r="N8" s="122"/>
      <c r="O8" s="122"/>
      <c r="P8" s="122"/>
      <c r="Q8" s="122"/>
      <c r="R8" s="122"/>
      <c r="S8" s="122"/>
      <c r="T8" s="122"/>
      <c r="U8" s="122"/>
      <c r="V8" s="122"/>
      <c r="W8" s="122"/>
      <c r="X8" s="122"/>
      <c r="Y8" s="122"/>
      <c r="Z8" s="122"/>
      <c r="AA8" s="122"/>
      <c r="AB8" s="122" t="str">
        <v>EXIT</v>
      </c>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row>
    <row r="9" spans="1:52" ht="21.95" customHeight="1">
      <c r="A9" s="122"/>
      <c r="B9" s="145" t="str">
        <f>_xlfn.XLOOKUP("AN_RV_COMPANIES",tblUIText[Key],tblUIText[TR],"AN_RV_COMPANIES")&amp;" / "&amp;_xlfn.XLOOKUP("AN_RV_COMPANIES",tblUIText[Key],tblUIText[EN],"AN_RV_COMPANIES")</f>
        <v>Şirketler / Companies</v>
      </c>
      <c r="C9" s="145" t="str">
        <f>_xlfn.XLOOKUP("AN_RV_PERIOD",tblUIText[Key],tblUIText[TR],"AN_RV_PERIOD")&amp;" / "&amp;_xlfn.XLOOKUP("AN_RV_PERIOD",tblUIText[Key],tblUIText[EN],"AN_RV_PERIOD")</f>
        <v>Ay / Month</v>
      </c>
      <c r="D9" s="145" t="str">
        <f>_xlfn.XLOOKUP("AN_RV_SHOWN",tblUIText[Key],tblUIText[TR],"AN_RV_SHOWN")&amp;" / "&amp;_xlfn.XLOOKUP("AN_RV_SHOWN",tblUIText[Key],tblUIText[EN],"AN_RV_SHOWN")</f>
        <v>Gösterilen / Shown</v>
      </c>
      <c r="E9" s="145" t="str">
        <f>_xlfn.XLOOKUP("AN_RV_RECORDED",tblUIText[Key],tblUIText[TR],"AN_RV_RECORDED")&amp;" / "&amp;_xlfn.XLOOKUP("AN_RV_RECORDED",tblUIText[Key],tblUIText[EN],"AN_RV_RECORDED")</f>
        <v>Kayıtlı / Recorded</v>
      </c>
      <c r="F9" s="145" t="str">
        <f>_xlfn.XLOOKUP("AN_RV_STATUS",tblUIText[Key],tblUIText[TR],"AN_RV_STATUS")&amp;" / "&amp;_xlfn.XLOOKUP("AN_RV_STATUS",tblUIText[Key],tblUIText[EN],"AN_RV_STATUS")</f>
        <v>Durum / Status</v>
      </c>
      <c r="G9" s="122"/>
      <c r="H9" s="122"/>
      <c r="I9" s="122"/>
      <c r="J9" s="122"/>
      <c r="K9" s="122"/>
      <c r="L9" s="122"/>
      <c r="M9" s="122"/>
      <c r="N9" s="122"/>
      <c r="O9" s="122"/>
      <c r="P9" s="122"/>
      <c r="Q9" s="122"/>
      <c r="R9" s="122"/>
      <c r="S9" s="122"/>
      <c r="T9" s="122"/>
      <c r="U9" s="122"/>
      <c r="V9" s="122"/>
      <c r="W9" s="122"/>
      <c r="X9" s="122"/>
      <c r="Y9" s="122"/>
      <c r="Z9" s="122"/>
      <c r="AA9" s="122"/>
      <c r="AB9" s="122" t="str">
        <v>MATURITY</v>
      </c>
      <c r="AC9" s="122"/>
      <c r="AD9" s="122" t="s">
        <v>21443</v>
      </c>
      <c r="AE9" s="122"/>
      <c r="AF9" s="122"/>
      <c r="AG9" s="122"/>
      <c r="AH9" s="122"/>
      <c r="AI9" s="122"/>
      <c r="AJ9" s="122"/>
      <c r="AK9" s="122"/>
      <c r="AL9" s="122"/>
      <c r="AM9" s="122"/>
      <c r="AN9" s="122"/>
      <c r="AO9" s="122"/>
      <c r="AP9" s="122"/>
      <c r="AQ9" s="122"/>
      <c r="AR9" s="122"/>
      <c r="AS9" s="122"/>
      <c r="AT9" s="122"/>
      <c r="AU9" s="122"/>
      <c r="AV9" s="122"/>
      <c r="AW9" s="122"/>
      <c r="AX9" s="122"/>
      <c r="AY9" s="122"/>
      <c r="AZ9" s="122"/>
    </row>
    <row r="10" spans="1:52" ht="11.1" customHeight="1">
      <c r="A10" s="122"/>
      <c r="B10" s="134" t="str">
        <f>IFERROR(INDEX(_xlfn.ANCHORARRAY($AD$10),1,1),"")</f>
        <v/>
      </c>
      <c r="C10" s="134" t="str">
        <f>IFERROR(INDEX(_xlfn.ANCHORARRAY($AD$10),1,2),"")</f>
        <v/>
      </c>
      <c r="D10" s="171" t="str">
        <f>IFERROR(INDEX(_xlfn.ANCHORARRAY($AD$10),1,3),"")</f>
        <v/>
      </c>
      <c r="E10" s="171" t="str">
        <f>IFERROR(INDEX(_xlfn.ANCHORARRAY($AD$10),1,4),"")</f>
        <v/>
      </c>
      <c r="F10" s="134" t="str">
        <f>IFERROR(INDEX(_xlfn.ANCHORARRAY($AD$10),1,5),"")</f>
        <v/>
      </c>
      <c r="G10" s="122"/>
      <c r="H10" s="122"/>
      <c r="I10" s="122"/>
      <c r="J10" s="122"/>
      <c r="K10" s="122"/>
      <c r="L10" s="122"/>
      <c r="M10" s="122"/>
      <c r="N10" s="122"/>
      <c r="O10" s="122"/>
      <c r="P10" s="122"/>
      <c r="Q10" s="122"/>
      <c r="R10" s="122"/>
      <c r="S10" s="122"/>
      <c r="T10" s="122"/>
      <c r="U10" s="122"/>
      <c r="V10" s="122"/>
      <c r="W10" s="122"/>
      <c r="X10" s="122"/>
      <c r="Y10" s="122"/>
      <c r="Z10" s="122"/>
      <c r="AA10" s="122"/>
      <c r="AB10" s="122" t="str">
        <v>OTHER</v>
      </c>
      <c r="AC10" s="122"/>
      <c r="AD10" s="122" t="str" cm="1">
        <f t="array" ref="AD10">_xlfn.LET(_xlpm.co,qView_Raw[CompanyID],_xlpm.pk,qView_Raw[PeriodKey],_xlpm.k,IFERROR(_xlfn.UNIQUE(_xlfn._xlws.FILTER(_xlfn.HSTACK(_xlpm.co,_xlpm.pk),_xlpm.co&lt;&gt;"")),""),IF(INDEX(_xlpm.k,1,1)="","",_xlfn.LET(_xlpm.n,ROWS(_xlpm.k),_xlpm.act,--INDEX(tblParameters[Value],MATCH("ActivePeriod",tblParameters[Parameter],0)),_xlpm.flt,OR(TRIM(INDEX(tblParameters[Value],MATCH("RawNature",tblParameters[Parameter],0))&amp;"")&lt;&gt;"",TRIM(INDEX(tblParameters[Value],MATCH("RawCaseContains",tblParameters[Parameter],0))&amp;"")&lt;&gt;""),_xlpm.cap,ROWS(_xlpm.co)&gt;=--INDEX(tblParameters[Value],MATCH("RawMaxRows",tblParameters[Parameter],0)),_xlpm.sh,_xlfn.MAP(_xlfn.SEQUENCE(_xlpm.n),_xlfn.LAMBDA(_xlpm.i,COUNTIFS(_xlpm.co,INDEX(_xlpm.k,_xlpm.i,1),_xlpm.pk,INDEX(_xlpm.k,_xlpm.i,2)))),_xlpm.rc,_xlfn.MAP(_xlfn.SEQUENCE(_xlpm.n),_xlfn.LAMBDA(_xlpm.i,_xlfn.LET(_xlpm.cid,INDEX(_xlpm.k,_xlpm.i,1),_xlpm.p,INDEX(_xlpm.k,_xlpm.i,2),IF(_xlpm.p=_xlpm.act,COUNTIFS(STG_ActiveFact[CompanyID],_xlpm.cid),_xlfn.LET(_xlpm.b,IFERROR(INDEX(_xlfn._xlws.FILTER(tblArchiveLog[LoadBatch],(tblArchiveLog[PeriodKey]=_xlpm.p)*(tblArchiveLog[ArchiveState]="CURRENT")),1),""),SUMIFS(tblStoreSummary[LineCount],tblStoreSummary[CompanyID],_xlpm.cid,tblStoreSummary[LoadBatch],_xlpm.b)))))),_xlpm.st,IF(OR(_xlpm.flt,_xlpm.cap),IF(_xlpm.sh&lt;=_xlpm.rc,"FILTERED","DIFF"),IF(_xlpm.sh=_xlpm.rc,"OK","DIFF")),_xlfn.HSTACK(_xlpm.k,_xlpm.sh,_xlpm.rc,_xlpm.st))))</f>
        <v/>
      </c>
      <c r="AE10" s="122"/>
      <c r="AF10" s="122"/>
      <c r="AG10" s="122"/>
      <c r="AH10" s="122"/>
      <c r="AI10" s="122"/>
      <c r="AJ10" s="122"/>
      <c r="AK10" s="122"/>
      <c r="AL10" s="122"/>
      <c r="AM10" s="122"/>
      <c r="AN10" s="122"/>
      <c r="AO10" s="122"/>
      <c r="AP10" s="122"/>
      <c r="AQ10" s="122"/>
      <c r="AR10" s="122"/>
      <c r="AS10" s="122"/>
      <c r="AT10" s="122"/>
      <c r="AU10" s="122"/>
      <c r="AV10" s="122"/>
      <c r="AW10" s="122"/>
      <c r="AX10" s="122"/>
      <c r="AY10" s="122"/>
      <c r="AZ10" s="122"/>
    </row>
    <row r="11" spans="1:52" ht="11.1" customHeight="1">
      <c r="A11" s="122"/>
      <c r="B11" s="134" t="str">
        <f>IFERROR(INDEX(_xlfn.ANCHORARRAY($AD$10),2,1),"")</f>
        <v/>
      </c>
      <c r="C11" s="134" t="str">
        <f>IFERROR(INDEX(_xlfn.ANCHORARRAY($AD$10),2,2),"")</f>
        <v/>
      </c>
      <c r="D11" s="171" t="str">
        <f>IFERROR(INDEX(_xlfn.ANCHORARRAY($AD$10),2,3),"")</f>
        <v/>
      </c>
      <c r="E11" s="171" t="str">
        <f>IFERROR(INDEX(_xlfn.ANCHORARRAY($AD$10),2,4),"")</f>
        <v/>
      </c>
      <c r="F11" s="134" t="str">
        <f>IFERROR(INDEX(_xlfn.ANCHORARRAY($AD$10),2,5),"")</f>
        <v/>
      </c>
      <c r="G11" s="122"/>
      <c r="H11" s="122"/>
      <c r="I11" s="122"/>
      <c r="J11" s="122"/>
      <c r="K11" s="122"/>
      <c r="L11" s="122"/>
      <c r="M11" s="122"/>
      <c r="N11" s="122"/>
      <c r="O11" s="122"/>
      <c r="P11" s="122"/>
      <c r="Q11" s="122"/>
      <c r="R11" s="122"/>
      <c r="S11" s="122"/>
      <c r="T11" s="122"/>
      <c r="U11" s="122"/>
      <c r="V11" s="122"/>
      <c r="W11" s="122"/>
      <c r="X11" s="122"/>
      <c r="Y11" s="122"/>
      <c r="Z11" s="122"/>
      <c r="AA11" s="122"/>
      <c r="AB11" s="122" t="str">
        <v>PARTIAL_WITHDRAWAL</v>
      </c>
      <c r="AC11" s="122"/>
      <c r="AD11" s="122"/>
      <c r="AE11" s="122"/>
      <c r="AF11" s="122"/>
      <c r="AG11" s="122"/>
      <c r="AH11" s="122"/>
      <c r="AI11" s="122"/>
      <c r="AJ11" s="122"/>
      <c r="AK11" s="122"/>
      <c r="AL11" s="122"/>
      <c r="AM11" s="122"/>
      <c r="AN11" s="122"/>
      <c r="AO11" s="122"/>
      <c r="AP11" s="122"/>
      <c r="AQ11" s="122"/>
      <c r="AR11" s="122"/>
      <c r="AS11" s="122"/>
      <c r="AT11" s="122"/>
      <c r="AU11" s="122"/>
      <c r="AV11" s="122"/>
      <c r="AW11" s="122"/>
      <c r="AX11" s="122"/>
      <c r="AY11" s="122"/>
      <c r="AZ11" s="122"/>
    </row>
    <row r="12" spans="1:52" ht="11.1" customHeight="1">
      <c r="A12" s="122"/>
      <c r="B12" s="134" t="str">
        <f>IFERROR(INDEX(_xlfn.ANCHORARRAY($AD$10),3,1),"")</f>
        <v/>
      </c>
      <c r="C12" s="134" t="str">
        <f>IFERROR(INDEX(_xlfn.ANCHORARRAY($AD$10),3,2),"")</f>
        <v/>
      </c>
      <c r="D12" s="171" t="str">
        <f>IFERROR(INDEX(_xlfn.ANCHORARRAY($AD$10),3,3),"")</f>
        <v/>
      </c>
      <c r="E12" s="171" t="str">
        <f>IFERROR(INDEX(_xlfn.ANCHORARRAY($AD$10),3,4),"")</f>
        <v/>
      </c>
      <c r="F12" s="134" t="str">
        <f>IFERROR(INDEX(_xlfn.ANCHORARRAY($AD$10),3,5),"")</f>
        <v/>
      </c>
      <c r="G12" s="122"/>
      <c r="H12" s="122"/>
      <c r="I12" s="122"/>
      <c r="J12" s="122"/>
      <c r="K12" s="122"/>
      <c r="L12" s="122"/>
      <c r="M12" s="122"/>
      <c r="N12" s="122"/>
      <c r="O12" s="122"/>
      <c r="P12" s="122"/>
      <c r="Q12" s="122"/>
      <c r="R12" s="122"/>
      <c r="S12" s="122"/>
      <c r="T12" s="122"/>
      <c r="U12" s="122"/>
      <c r="V12" s="122"/>
      <c r="W12" s="122"/>
      <c r="X12" s="122"/>
      <c r="Y12" s="122"/>
      <c r="Z12" s="122"/>
      <c r="AA12" s="122"/>
      <c r="AB12" s="122" t="str">
        <v>REFUND</v>
      </c>
      <c r="AC12" s="122"/>
      <c r="AD12" s="122"/>
      <c r="AE12" s="122"/>
      <c r="AF12" s="122"/>
      <c r="AG12" s="122"/>
      <c r="AH12" s="122"/>
      <c r="AI12" s="122"/>
      <c r="AJ12" s="122"/>
      <c r="AK12" s="122"/>
      <c r="AL12" s="122"/>
      <c r="AM12" s="122"/>
      <c r="AN12" s="122"/>
      <c r="AO12" s="122"/>
      <c r="AP12" s="122"/>
      <c r="AQ12" s="122"/>
      <c r="AR12" s="122"/>
      <c r="AS12" s="122"/>
      <c r="AT12" s="122"/>
      <c r="AU12" s="122"/>
      <c r="AV12" s="122"/>
      <c r="AW12" s="122"/>
      <c r="AX12" s="122"/>
      <c r="AY12" s="122"/>
      <c r="AZ12" s="122"/>
    </row>
    <row r="13" spans="1:52" ht="11.1" customHeight="1">
      <c r="A13" s="122"/>
      <c r="B13" s="134" t="str">
        <f>IFERROR(INDEX(_xlfn.ANCHORARRAY($AD$10),4,1),"")</f>
        <v/>
      </c>
      <c r="C13" s="134" t="str">
        <f>IFERROR(INDEX(_xlfn.ANCHORARRAY($AD$10),4,2),"")</f>
        <v/>
      </c>
      <c r="D13" s="171" t="str">
        <f>IFERROR(INDEX(_xlfn.ANCHORARRAY($AD$10),4,3),"")</f>
        <v/>
      </c>
      <c r="E13" s="171" t="str">
        <f>IFERROR(INDEX(_xlfn.ANCHORARRAY($AD$10),4,4),"")</f>
        <v/>
      </c>
      <c r="F13" s="134" t="str">
        <f>IFERROR(INDEX(_xlfn.ANCHORARRAY($AD$10),4,5),"")</f>
        <v/>
      </c>
      <c r="G13" s="122"/>
      <c r="H13" s="122"/>
      <c r="I13" s="122"/>
      <c r="J13" s="122"/>
      <c r="K13" s="122"/>
      <c r="L13" s="122"/>
      <c r="M13" s="122"/>
      <c r="N13" s="122"/>
      <c r="O13" s="122"/>
      <c r="P13" s="122"/>
      <c r="Q13" s="122"/>
      <c r="R13" s="122"/>
      <c r="S13" s="122"/>
      <c r="T13" s="122"/>
      <c r="U13" s="122"/>
      <c r="V13" s="122"/>
      <c r="W13" s="122"/>
      <c r="X13" s="122"/>
      <c r="Y13" s="122"/>
      <c r="Z13" s="122"/>
      <c r="AA13" s="122"/>
      <c r="AB13" s="122" t="str">
        <v>RETIREMENT_BENEFIT</v>
      </c>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row>
    <row r="14" spans="1:52" ht="11.1" customHeight="1">
      <c r="A14" s="122"/>
      <c r="B14" s="134" t="str">
        <f>IFERROR(INDEX(_xlfn.ANCHORARRAY($AD$10),5,1),"")</f>
        <v/>
      </c>
      <c r="C14" s="134" t="str">
        <f>IFERROR(INDEX(_xlfn.ANCHORARRAY($AD$10),5,2),"")</f>
        <v/>
      </c>
      <c r="D14" s="171" t="str">
        <f>IFERROR(INDEX(_xlfn.ANCHORARRAY($AD$10),5,3),"")</f>
        <v/>
      </c>
      <c r="E14" s="171" t="str">
        <f>IFERROR(INDEX(_xlfn.ANCHORARRAY($AD$10),5,4),"")</f>
        <v/>
      </c>
      <c r="F14" s="134" t="str">
        <f>IFERROR(INDEX(_xlfn.ANCHORARRAY($AD$10),5,5),"")</f>
        <v/>
      </c>
      <c r="G14" s="122"/>
      <c r="H14" s="122"/>
      <c r="I14" s="122"/>
      <c r="J14" s="122"/>
      <c r="K14" s="122"/>
      <c r="L14" s="122"/>
      <c r="M14" s="122"/>
      <c r="N14" s="122"/>
      <c r="O14" s="122"/>
      <c r="P14" s="122"/>
      <c r="Q14" s="122"/>
      <c r="R14" s="122"/>
      <c r="S14" s="122"/>
      <c r="T14" s="122"/>
      <c r="U14" s="122"/>
      <c r="V14" s="122"/>
      <c r="W14" s="122"/>
      <c r="X14" s="122"/>
      <c r="Y14" s="122"/>
      <c r="Z14" s="122"/>
      <c r="AA14" s="122"/>
      <c r="AB14" s="122" t="str">
        <v>SURRENDER</v>
      </c>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row>
    <row r="15" spans="1:52" ht="11.1" customHeight="1">
      <c r="A15" s="122"/>
      <c r="B15" s="134" t="str">
        <f>IFERROR(INDEX(_xlfn.ANCHORARRAY($AD$10),6,1),"")</f>
        <v/>
      </c>
      <c r="C15" s="134" t="str">
        <f>IFERROR(INDEX(_xlfn.ANCHORARRAY($AD$10),6,2),"")</f>
        <v/>
      </c>
      <c r="D15" s="171" t="str">
        <f>IFERROR(INDEX(_xlfn.ANCHORARRAY($AD$10),6,3),"")</f>
        <v/>
      </c>
      <c r="E15" s="171" t="str">
        <f>IFERROR(INDEX(_xlfn.ANCHORARRAY($AD$10),6,4),"")</f>
        <v/>
      </c>
      <c r="F15" s="134" t="str">
        <f>IFERROR(INDEX(_xlfn.ANCHORARRAY($AD$10),6,5),"")</f>
        <v/>
      </c>
      <c r="G15" s="122"/>
      <c r="H15" s="122"/>
      <c r="I15" s="122"/>
      <c r="J15" s="122"/>
      <c r="K15" s="122"/>
      <c r="L15" s="122"/>
      <c r="M15" s="122"/>
      <c r="N15" s="122"/>
      <c r="O15" s="122"/>
      <c r="P15" s="122"/>
      <c r="Q15" s="122"/>
      <c r="R15" s="122"/>
      <c r="S15" s="122"/>
      <c r="T15" s="122"/>
      <c r="U15" s="122"/>
      <c r="V15" s="122"/>
      <c r="W15" s="122"/>
      <c r="X15" s="122"/>
      <c r="Y15" s="122"/>
      <c r="Z15" s="122"/>
      <c r="AA15" s="122"/>
      <c r="AB15" s="122" t="str">
        <v>TRANSFER_OUT</v>
      </c>
      <c r="AC15" s="122"/>
      <c r="AD15" s="122"/>
      <c r="AE15" s="122"/>
      <c r="AF15" s="122"/>
      <c r="AG15" s="122"/>
      <c r="AH15" s="122"/>
      <c r="AI15" s="122"/>
      <c r="AJ15" s="122"/>
      <c r="AK15" s="122"/>
      <c r="AL15" s="122"/>
      <c r="AM15" s="122"/>
      <c r="AN15" s="122"/>
      <c r="AO15" s="122"/>
      <c r="AP15" s="122"/>
      <c r="AQ15" s="122"/>
      <c r="AR15" s="122"/>
      <c r="AS15" s="122"/>
      <c r="AT15" s="122"/>
      <c r="AU15" s="122"/>
      <c r="AV15" s="122"/>
      <c r="AW15" s="122"/>
      <c r="AX15" s="122"/>
      <c r="AY15" s="122"/>
      <c r="AZ15" s="122"/>
    </row>
    <row r="16" spans="1:52" ht="11.1" customHeight="1">
      <c r="A16" s="122"/>
      <c r="B16" s="134" t="str">
        <f>IFERROR(INDEX(_xlfn.ANCHORARRAY($AD$10),7,1),"")</f>
        <v/>
      </c>
      <c r="C16" s="134" t="str">
        <f>IFERROR(INDEX(_xlfn.ANCHORARRAY($AD$10),7,2),"")</f>
        <v/>
      </c>
      <c r="D16" s="171" t="str">
        <f>IFERROR(INDEX(_xlfn.ANCHORARRAY($AD$10),7,3),"")</f>
        <v/>
      </c>
      <c r="E16" s="171" t="str">
        <f>IFERROR(INDEX(_xlfn.ANCHORARRAY($AD$10),7,4),"")</f>
        <v/>
      </c>
      <c r="F16" s="134" t="str">
        <f>IFERROR(INDEX(_xlfn.ANCHORARRAY($AD$10),7,5),"")</f>
        <v/>
      </c>
      <c r="G16" s="122"/>
      <c r="H16" s="122"/>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c r="AK16" s="122"/>
      <c r="AL16" s="122"/>
      <c r="AM16" s="122"/>
      <c r="AN16" s="122"/>
      <c r="AO16" s="122"/>
      <c r="AP16" s="122"/>
      <c r="AQ16" s="122"/>
      <c r="AR16" s="122"/>
      <c r="AS16" s="122"/>
      <c r="AT16" s="122"/>
      <c r="AU16" s="122"/>
      <c r="AV16" s="122"/>
      <c r="AW16" s="122"/>
      <c r="AX16" s="122"/>
      <c r="AY16" s="122"/>
      <c r="AZ16" s="122"/>
    </row>
    <row r="17" spans="1:64" ht="11.1" customHeight="1">
      <c r="A17" s="122"/>
      <c r="B17" s="134" t="str">
        <f>IFERROR(INDEX(_xlfn.ANCHORARRAY($AD$10),8,1),"")</f>
        <v/>
      </c>
      <c r="C17" s="134" t="str">
        <f>IFERROR(INDEX(_xlfn.ANCHORARRAY($AD$10),8,2),"")</f>
        <v/>
      </c>
      <c r="D17" s="171" t="str">
        <f>IFERROR(INDEX(_xlfn.ANCHORARRAY($AD$10),8,3),"")</f>
        <v/>
      </c>
      <c r="E17" s="171" t="str">
        <f>IFERROR(INDEX(_xlfn.ANCHORARRAY($AD$10),8,4),"")</f>
        <v/>
      </c>
      <c r="F17" s="134" t="str">
        <f>IFERROR(INDEX(_xlfn.ANCHORARRAY($AD$10),8,5),"")</f>
        <v/>
      </c>
      <c r="G17" s="122"/>
      <c r="H17" s="122"/>
      <c r="I17" s="122"/>
      <c r="J17" s="122"/>
      <c r="K17" s="122"/>
      <c r="L17" s="122"/>
      <c r="M17" s="122"/>
      <c r="N17" s="122"/>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c r="AL17" s="122"/>
      <c r="AM17" s="122"/>
      <c r="AN17" s="122"/>
      <c r="AO17" s="122"/>
      <c r="AP17" s="122"/>
      <c r="AQ17" s="122"/>
      <c r="AR17" s="122"/>
      <c r="AS17" s="122"/>
      <c r="AT17" s="122"/>
      <c r="AU17" s="122"/>
      <c r="AV17" s="122"/>
      <c r="AW17" s="122"/>
      <c r="AX17" s="122"/>
      <c r="AY17" s="122"/>
      <c r="AZ17" s="122"/>
    </row>
    <row r="18" spans="1:64" ht="11.1" customHeight="1">
      <c r="A18" s="122"/>
      <c r="B18" s="134" t="str">
        <f>IFERROR(INDEX(_xlfn.ANCHORARRAY($AD$10),9,1),"")</f>
        <v/>
      </c>
      <c r="C18" s="134" t="str">
        <f>IFERROR(INDEX(_xlfn.ANCHORARRAY($AD$10),9,2),"")</f>
        <v/>
      </c>
      <c r="D18" s="171" t="str">
        <f>IFERROR(INDEX(_xlfn.ANCHORARRAY($AD$10),9,3),"")</f>
        <v/>
      </c>
      <c r="E18" s="171" t="str">
        <f>IFERROR(INDEX(_xlfn.ANCHORARRAY($AD$10),9,4),"")</f>
        <v/>
      </c>
      <c r="F18" s="134" t="str">
        <f>IFERROR(INDEX(_xlfn.ANCHORARRAY($AD$10),9,5),"")</f>
        <v/>
      </c>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122"/>
      <c r="AG18" s="122"/>
      <c r="AH18" s="122"/>
      <c r="AI18" s="122"/>
      <c r="AJ18" s="122"/>
      <c r="AK18" s="122"/>
      <c r="AL18" s="122"/>
      <c r="AM18" s="122"/>
      <c r="AN18" s="122"/>
      <c r="AO18" s="122"/>
      <c r="AP18" s="122"/>
      <c r="AQ18" s="122"/>
      <c r="AR18" s="122"/>
      <c r="AS18" s="122"/>
      <c r="AT18" s="122"/>
      <c r="AU18" s="122"/>
      <c r="AV18" s="122"/>
      <c r="AW18" s="122"/>
      <c r="AX18" s="122"/>
      <c r="AY18" s="122"/>
      <c r="AZ18" s="122"/>
    </row>
    <row r="19" spans="1:64" ht="11.1" customHeight="1">
      <c r="A19" s="122"/>
      <c r="B19" s="134" t="str">
        <f>IFERROR(INDEX(_xlfn.ANCHORARRAY($AD$10),10,1),"")</f>
        <v/>
      </c>
      <c r="C19" s="134" t="str">
        <f>IFERROR(INDEX(_xlfn.ANCHORARRAY($AD$10),10,2),"")</f>
        <v/>
      </c>
      <c r="D19" s="171" t="str">
        <f>IFERROR(INDEX(_xlfn.ANCHORARRAY($AD$10),10,3),"")</f>
        <v/>
      </c>
      <c r="E19" s="171" t="str">
        <f>IFERROR(INDEX(_xlfn.ANCHORARRAY($AD$10),10,4),"")</f>
        <v/>
      </c>
      <c r="F19" s="134" t="str">
        <f>IFERROR(INDEX(_xlfn.ANCHORARRAY($AD$10),10,5),"")</f>
        <v/>
      </c>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row>
    <row r="20" spans="1:64" ht="11.1" customHeight="1">
      <c r="A20" s="122"/>
      <c r="B20" s="134" t="str">
        <f>IFERROR(INDEX(_xlfn.ANCHORARRAY($AD$10),11,1),"")</f>
        <v/>
      </c>
      <c r="C20" s="134" t="str">
        <f>IFERROR(INDEX(_xlfn.ANCHORARRAY($AD$10),11,2),"")</f>
        <v/>
      </c>
      <c r="D20" s="171" t="str">
        <f>IFERROR(INDEX(_xlfn.ANCHORARRAY($AD$10),11,3),"")</f>
        <v/>
      </c>
      <c r="E20" s="171" t="str">
        <f>IFERROR(INDEX(_xlfn.ANCHORARRAY($AD$10),11,4),"")</f>
        <v/>
      </c>
      <c r="F20" s="134" t="str">
        <f>IFERROR(INDEX(_xlfn.ANCHORARRAY($AD$10),11,5),"")</f>
        <v/>
      </c>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122"/>
      <c r="AM20" s="122"/>
      <c r="AN20" s="122"/>
      <c r="AO20" s="122"/>
      <c r="AP20" s="122"/>
      <c r="AQ20" s="122"/>
      <c r="AR20" s="122"/>
      <c r="AS20" s="122"/>
      <c r="AT20" s="122"/>
      <c r="AU20" s="122"/>
      <c r="AV20" s="122"/>
      <c r="AW20" s="122"/>
      <c r="AX20" s="122"/>
      <c r="AY20" s="122"/>
      <c r="AZ20" s="122"/>
    </row>
    <row r="21" spans="1:64" ht="11.1" customHeight="1">
      <c r="A21" s="122"/>
      <c r="B21" s="134" t="str">
        <f>IFERROR(INDEX(_xlfn.ANCHORARRAY($AD$10),12,1),"")</f>
        <v/>
      </c>
      <c r="C21" s="134" t="str">
        <f>IFERROR(INDEX(_xlfn.ANCHORARRAY($AD$10),12,2),"")</f>
        <v/>
      </c>
      <c r="D21" s="171" t="str">
        <f>IFERROR(INDEX(_xlfn.ANCHORARRAY($AD$10),12,3),"")</f>
        <v/>
      </c>
      <c r="E21" s="171" t="str">
        <f>IFERROR(INDEX(_xlfn.ANCHORARRAY($AD$10),12,4),"")</f>
        <v/>
      </c>
      <c r="F21" s="134" t="str">
        <f>IFERROR(INDEX(_xlfn.ANCHORARRAY($AD$10),12,5),"")</f>
        <v/>
      </c>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22"/>
      <c r="AS21" s="122"/>
      <c r="AT21" s="122"/>
      <c r="AU21" s="122"/>
      <c r="AV21" s="122"/>
      <c r="AW21" s="122"/>
      <c r="AX21" s="122"/>
      <c r="AY21" s="122"/>
      <c r="AZ21" s="122"/>
    </row>
    <row r="22" spans="1:64">
      <c r="A22" s="122"/>
      <c r="B22" s="193" t="str">
        <f>IF(IFERROR(ROWS(_xlfn.ANCHORARRAY($AD$10)),0)&gt;12,SUBSTITUTE(_xlfn.XLOOKUP("AN_RV_MORE",tblUIText[Key],tblUIText[TR],"AN_RV_MORE"),"{0}",ROWS(_xlfn.ANCHORARRAY($AD$10))-12)&amp;" / "&amp;SUBSTITUTE(_xlfn.XLOOKUP("AN_RV_MORE",tblUIText[Key],tblUIText[EN],"AN_RV_MORE"),"{0}",ROWS(_xlfn.ANCHORARRAY($AD$10))-12),"")</f>
        <v/>
      </c>
      <c r="C22" s="122"/>
      <c r="D22" s="122"/>
      <c r="E22" s="122"/>
      <c r="F22" s="122"/>
      <c r="G22" s="122"/>
      <c r="H22" s="122"/>
      <c r="I22" s="122"/>
      <c r="J22" s="122"/>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c r="AT22" s="122"/>
      <c r="AU22" s="122"/>
      <c r="AV22" s="122"/>
      <c r="AW22" s="122"/>
      <c r="AX22" s="122"/>
      <c r="AY22" s="122"/>
      <c r="AZ22" s="122"/>
    </row>
    <row r="23" spans="1:64">
      <c r="A23" s="122"/>
      <c r="B23" s="127" t="str">
        <f>_xlfn.XLOOKUP("AN_RV_LINES",tblUIText[Key],tblUIText[TR],"AN_RV_LINES")&amp;" / "&amp;_xlfn.XLOOKUP("AN_RV_LINES",tblUIText[Key],tblUIText[EN],"")</f>
        <v>Satırlar (en çok RawMaxRows) / Lines (at most RawMaxRows)</v>
      </c>
      <c r="C23" s="122"/>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22"/>
      <c r="AL23" s="122"/>
      <c r="AM23" s="122"/>
      <c r="AN23" s="122"/>
      <c r="AO23" s="122"/>
      <c r="AP23" s="122"/>
      <c r="AQ23" s="122"/>
      <c r="AR23" s="122"/>
      <c r="AS23" s="122"/>
      <c r="AT23" s="122"/>
      <c r="AU23" s="122"/>
      <c r="AV23" s="122"/>
      <c r="AW23" s="122"/>
      <c r="AX23" s="122"/>
      <c r="AY23" s="122"/>
      <c r="AZ23" s="122"/>
    </row>
    <row r="24" spans="1:64">
      <c r="B24" t="s">
        <v>193</v>
      </c>
      <c r="C24" t="s">
        <v>181</v>
      </c>
      <c r="D24" t="s">
        <v>2419</v>
      </c>
      <c r="E24" t="s">
        <v>20555</v>
      </c>
      <c r="F24" t="s">
        <v>2421</v>
      </c>
      <c r="G24" t="s">
        <v>2423</v>
      </c>
      <c r="H24" t="s">
        <v>16555</v>
      </c>
      <c r="I24" t="s">
        <v>2446</v>
      </c>
      <c r="J24" t="s">
        <v>2454</v>
      </c>
      <c r="K24" t="s">
        <v>2456</v>
      </c>
      <c r="L24" t="s">
        <v>618</v>
      </c>
      <c r="M24" t="s">
        <v>2458</v>
      </c>
      <c r="N24" t="s">
        <v>2462</v>
      </c>
      <c r="O24" t="s">
        <v>2466</v>
      </c>
      <c r="P24" t="s">
        <v>3188</v>
      </c>
      <c r="Q24" t="s">
        <v>121</v>
      </c>
      <c r="R24" t="s">
        <v>123</v>
      </c>
      <c r="S24" t="s">
        <v>124</v>
      </c>
      <c r="T24" t="s">
        <v>126</v>
      </c>
      <c r="U24" t="s">
        <v>125</v>
      </c>
      <c r="V24" t="s">
        <v>326</v>
      </c>
      <c r="W24" t="s">
        <v>331</v>
      </c>
      <c r="X24" t="s">
        <v>336</v>
      </c>
      <c r="Y24" t="s">
        <v>346</v>
      </c>
      <c r="Z24" t="s">
        <v>117</v>
      </c>
      <c r="AA24" t="s">
        <v>127</v>
      </c>
      <c r="AB24" t="s">
        <v>366</v>
      </c>
      <c r="AC24" t="s">
        <v>369</v>
      </c>
      <c r="AD24" t="s">
        <v>372</v>
      </c>
      <c r="AE24" t="s">
        <v>387</v>
      </c>
      <c r="AF24" t="s">
        <v>118</v>
      </c>
      <c r="AG24" t="s">
        <v>401</v>
      </c>
      <c r="AH24" t="s">
        <v>404</v>
      </c>
      <c r="AI24" t="s">
        <v>410</v>
      </c>
      <c r="AJ24" t="s">
        <v>122</v>
      </c>
      <c r="AK24" t="s">
        <v>418</v>
      </c>
      <c r="AL24" t="s">
        <v>421</v>
      </c>
      <c r="AM24" t="s">
        <v>427</v>
      </c>
      <c r="AN24" t="s">
        <v>430</v>
      </c>
      <c r="AO24" t="s">
        <v>433</v>
      </c>
      <c r="AP24" t="s">
        <v>439</v>
      </c>
      <c r="AQ24" t="s">
        <v>442</v>
      </c>
      <c r="AR24" t="s">
        <v>445</v>
      </c>
      <c r="AS24" t="s">
        <v>448</v>
      </c>
      <c r="AT24" t="s">
        <v>460</v>
      </c>
      <c r="AU24" t="s">
        <v>472</v>
      </c>
      <c r="AV24" t="s">
        <v>475</v>
      </c>
      <c r="AW24" t="s">
        <v>484</v>
      </c>
      <c r="AX24" t="s">
        <v>487</v>
      </c>
      <c r="AY24" t="s">
        <v>499</v>
      </c>
      <c r="AZ24" t="s">
        <v>16343</v>
      </c>
      <c r="BA24" t="s">
        <v>510</v>
      </c>
      <c r="BB24" t="s">
        <v>519</v>
      </c>
      <c r="BC24" t="s">
        <v>522</v>
      </c>
      <c r="BD24" t="s">
        <v>528</v>
      </c>
      <c r="BE24" t="s">
        <v>531</v>
      </c>
      <c r="BF24" t="s">
        <v>534</v>
      </c>
      <c r="BG24" t="s">
        <v>537</v>
      </c>
      <c r="BH24" t="s">
        <v>546</v>
      </c>
      <c r="BI24" t="s">
        <v>561</v>
      </c>
      <c r="BJ24" t="s">
        <v>564</v>
      </c>
      <c r="BK24" t="s">
        <v>570</v>
      </c>
      <c r="BL24" t="s">
        <v>604</v>
      </c>
    </row>
  </sheetData>
  <sheetProtection algorithmName="SHA-512" hashValue="qEgQYbFpd1FqjY5CPWd7Qbfk3WxTb06Yr/z82MX0BAMC/vervWhPa+e1oTFy54ibRkW83X4E0CNqd0QP/Yt8kw==" saltValue="Wsh4u6GvNO55Trjr4g3W3g==" spinCount="100000" sheet="1" scenarios="1" formatColumns="0" sort="0" autoFilter="0"/>
  <mergeCells count="5">
    <mergeCell ref="B4:S4"/>
    <mergeCell ref="C5:E5"/>
    <mergeCell ref="K5:L5"/>
    <mergeCell ref="N5:O5"/>
    <mergeCell ref="K6:S6"/>
  </mergeCells>
  <phoneticPr fontId="17" type="noConversion"/>
  <conditionalFormatting sqref="F10:F21">
    <cfRule type="expression" dxfId="39" priority="1" stopIfTrue="1">
      <formula>RIGHT(F10,1)="*"</formula>
    </cfRule>
    <cfRule type="expression" dxfId="38" priority="2" stopIfTrue="1">
      <formula>LEFT(F10,5)="ALERT"</formula>
    </cfRule>
    <cfRule type="expression" dxfId="37" priority="3" stopIfTrue="1">
      <formula>LEFT(F10,5)="WATCH"</formula>
    </cfRule>
    <cfRule type="expression" dxfId="36" priority="4" stopIfTrue="1">
      <formula>LEFT(F10,2)="OK"</formula>
    </cfRule>
    <cfRule type="expression" dxfId="35" priority="5" stopIfTrue="1">
      <formula>LEFT(F10,12)="INSUFFICIENT"</formula>
    </cfRule>
    <cfRule type="expression" dxfId="34" priority="6" stopIfTrue="1">
      <formula>LEFT(F10,8)="FILTERED"</formula>
    </cfRule>
    <cfRule type="expression" dxfId="33" priority="7" stopIfTrue="1">
      <formula>LEFT(F10,4)="DIFF"</formula>
    </cfRule>
  </conditionalFormatting>
  <dataValidations count="1">
    <dataValidation type="list" allowBlank="1" showInputMessage="1" showErrorMessage="1" sqref="K5" xr:uid="{7DE0768F-6DEB-4F2C-BA3E-475E03FA81F7}">
      <formula1>_xlfn.ANCHORARRAY($AB$4)</formula1>
    </dataValidation>
  </dataValidations>
  <pageMargins left="0.7" right="0.7" top="0.75" bottom="0.75" header="0.3" footer="0.3"/>
  <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0DB28-7BF5-43CC-9853-01C71AE1C181}">
  <sheetPr codeName="Sheet6"/>
  <dimension ref="A1:W13"/>
  <sheetViews>
    <sheetView workbookViewId="0"/>
  </sheetViews>
  <sheetFormatPr defaultRowHeight="12.75"/>
  <cols>
    <col min="1" max="1" width="13.7109375" bestFit="1" customWidth="1"/>
    <col min="2" max="2" width="12.7109375" bestFit="1" customWidth="1"/>
    <col min="3" max="3" width="13.140625" bestFit="1" customWidth="1"/>
    <col min="4" max="4" width="16.28515625" bestFit="1" customWidth="1"/>
    <col min="5" max="5" width="12.42578125" bestFit="1" customWidth="1"/>
    <col min="6" max="6" width="16.140625" bestFit="1" customWidth="1"/>
    <col min="7" max="7" width="22.7109375" bestFit="1" customWidth="1"/>
    <col min="8" max="8" width="16" bestFit="1" customWidth="1"/>
    <col min="9" max="9" width="15.140625" bestFit="1" customWidth="1"/>
    <col min="10" max="10" width="12.42578125" bestFit="1" customWidth="1"/>
    <col min="11" max="11" width="16.5703125" bestFit="1" customWidth="1"/>
    <col min="12" max="12" width="17.7109375" bestFit="1" customWidth="1"/>
    <col min="13" max="13" width="13.85546875" bestFit="1" customWidth="1"/>
    <col min="14" max="14" width="14.42578125" bestFit="1" customWidth="1"/>
    <col min="15" max="15" width="11" bestFit="1" customWidth="1"/>
    <col min="16" max="16" width="17.85546875" bestFit="1" customWidth="1"/>
    <col min="17" max="17" width="16.85546875" bestFit="1" customWidth="1"/>
    <col min="18" max="18" width="14.85546875" bestFit="1" customWidth="1"/>
    <col min="19" max="19" width="12.85546875" bestFit="1" customWidth="1"/>
    <col min="20" max="20" width="11.42578125" bestFit="1" customWidth="1"/>
    <col min="21" max="21" width="22.7109375" bestFit="1" customWidth="1"/>
    <col min="22" max="22" width="12.42578125" bestFit="1" customWidth="1"/>
    <col min="23" max="23" width="13.85546875" bestFit="1" customWidth="1"/>
  </cols>
  <sheetData>
    <row r="1" spans="1:23" ht="20.25">
      <c r="A1" s="53" t="s">
        <v>3261</v>
      </c>
    </row>
    <row r="2" spans="1:23">
      <c r="A2" s="54" t="s">
        <v>3262</v>
      </c>
    </row>
    <row r="3" spans="1:23">
      <c r="A3" s="101" t="str" cm="1">
        <f t="array" ref="A3">IF(prmSetupCompletedOn="",_xlfn.XLOOKUP("NODATA",tblUIText[Key],tblUIText[Text],"NODATA"),"")</f>
        <v>Henüz veri yok – Kurulum'u tamamlayın (Giriş sayfası).
No data yet – complete Setup (Home).</v>
      </c>
    </row>
    <row r="4" spans="1:23">
      <c r="A4" s="47" t="s">
        <v>3263</v>
      </c>
      <c r="B4" s="48"/>
    </row>
    <row r="5" spans="1:23">
      <c r="A5" s="47" t="s">
        <v>3264</v>
      </c>
      <c r="B5" s="72"/>
    </row>
    <row r="6" spans="1:23">
      <c r="A6" s="47" t="s">
        <v>3265</v>
      </c>
      <c r="B6" t="str">
        <f>"Company "&amp;INDEX(tblParameters[Value],MATCH("ViewCompany",tblParameters[Parameter],0))&amp;", period "&amp;INDEX(tblParameters[Value],MATCH("ViewPeriod",tblParameters[Parameter],0))&amp;" - "&amp;COUNTA(qView_Lines[CompanyID])&amp;" line(s)"&amp;IF(INDEX(tblParameters[Value],MATCH("ViewPeriod",tblParameters[Parameter],0))=cpActivePeriod," from the source file (active month)"," from the archive file (closed month)")</f>
        <v>Company , period  - 0 line(s) from the source file (active month)</v>
      </c>
    </row>
    <row r="9" spans="1:23">
      <c r="A9" s="54" t="s">
        <v>3270</v>
      </c>
    </row>
    <row r="11" spans="1:23" ht="15">
      <c r="A11" s="58" t="s">
        <v>3271</v>
      </c>
      <c r="B11" s="58"/>
      <c r="C11" s="58"/>
      <c r="D11" s="58"/>
      <c r="E11" s="58"/>
      <c r="F11" s="58"/>
      <c r="G11" s="58"/>
      <c r="H11" s="58"/>
      <c r="I11" s="58"/>
      <c r="J11" s="58"/>
    </row>
    <row r="12" spans="1:23">
      <c r="A12" t="s">
        <v>181</v>
      </c>
      <c r="B12" t="s">
        <v>193</v>
      </c>
      <c r="C12" t="s">
        <v>2421</v>
      </c>
      <c r="D12" t="s">
        <v>2423</v>
      </c>
      <c r="E12" t="s">
        <v>305</v>
      </c>
      <c r="F12" t="s">
        <v>309</v>
      </c>
      <c r="G12" t="s">
        <v>313</v>
      </c>
      <c r="H12" t="s">
        <v>317</v>
      </c>
      <c r="I12" t="s">
        <v>321</v>
      </c>
      <c r="J12" t="s">
        <v>325</v>
      </c>
      <c r="K12" t="s">
        <v>345</v>
      </c>
      <c r="L12" t="s">
        <v>358</v>
      </c>
      <c r="M12" t="s">
        <v>359</v>
      </c>
      <c r="N12" t="s">
        <v>398</v>
      </c>
      <c r="O12" t="s">
        <v>400</v>
      </c>
      <c r="P12" t="s">
        <v>403</v>
      </c>
      <c r="Q12" t="s">
        <v>409</v>
      </c>
      <c r="R12" t="s">
        <v>412</v>
      </c>
      <c r="S12" t="s">
        <v>471</v>
      </c>
      <c r="T12" t="s">
        <v>498</v>
      </c>
      <c r="U12" t="s">
        <v>509</v>
      </c>
      <c r="V12" t="s">
        <v>545</v>
      </c>
      <c r="W12" t="s">
        <v>563</v>
      </c>
    </row>
    <row r="13" spans="1:23">
      <c r="F13" s="38"/>
      <c r="G13" s="38"/>
      <c r="H13" s="38"/>
      <c r="I13" s="38"/>
    </row>
  </sheetData>
  <sheetProtection algorithmName="SHA-512" hashValue="ihvDDefVEL/8FsUKOzNReXHL2CGEFGP9A+mxcGZRvKzJF7clp35un8MSVkbAw9a7UJBzzqgvrZNlZo9JKho31A==" saltValue="cRENgLWfznJ0ogHclN/9DA==" spinCount="100000" sheet="1" scenarios="1" formatColumns="0" sort="0" autoFilter="0"/>
  <phoneticPr fontId="17" type="noConversion"/>
  <dataValidations count="2">
    <dataValidation type="list" allowBlank="1" showInputMessage="1" showErrorMessage="1" sqref="B4" xr:uid="{334BA626-58DD-4E71-AA16-E7C7F59F5218}">
      <formula1>dvCompanyList</formula1>
    </dataValidation>
    <dataValidation type="list" allowBlank="1" showInputMessage="1" showErrorMessage="1" sqref="B5" xr:uid="{9B6C3D03-111B-4019-975F-5A4BFE496980}">
      <formula1>dvPeriodList</formula1>
    </dataValidation>
  </dataValidations>
  <pageMargins left="0.7" right="0.7" top="0.75" bottom="0.75" header="0.3" footer="0.3"/>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1F3864"/>
  </sheetPr>
  <dimension ref="A1:K62"/>
  <sheetViews>
    <sheetView showGridLines="0" workbookViewId="0">
      <pane ySplit="5" topLeftCell="A6" activePane="bottomLeft" state="frozen"/>
      <selection pane="bottomLeft"/>
    </sheetView>
  </sheetViews>
  <sheetFormatPr defaultRowHeight="12.75"/>
  <cols>
    <col min="1" max="1" width="3" customWidth="1"/>
    <col min="2" max="2" width="34" customWidth="1"/>
    <col min="3" max="3" width="60" customWidth="1"/>
    <col min="4" max="4" width="20" customWidth="1"/>
    <col min="5" max="5" width="34" customWidth="1"/>
    <col min="6" max="9" width="14" customWidth="1"/>
    <col min="10" max="10" width="18" customWidth="1"/>
    <col min="11" max="11" width="12" customWidth="1"/>
  </cols>
  <sheetData>
    <row r="1" spans="1:11" ht="20.25">
      <c r="A1" s="9" t="s">
        <v>201</v>
      </c>
      <c r="B1" s="1"/>
      <c r="C1" s="1"/>
      <c r="D1" s="1"/>
      <c r="E1" s="1"/>
      <c r="F1" s="1"/>
      <c r="G1" s="1"/>
      <c r="H1" s="1"/>
      <c r="I1" s="1"/>
      <c r="J1" s="1"/>
      <c r="K1" s="1"/>
    </row>
    <row r="2" spans="1:11">
      <c r="A2" s="10" t="s">
        <v>3370</v>
      </c>
      <c r="B2" s="1"/>
      <c r="C2" s="1"/>
      <c r="D2" s="1"/>
      <c r="E2" s="1"/>
      <c r="F2" s="1"/>
      <c r="G2" s="1"/>
      <c r="H2" s="1"/>
      <c r="I2" s="1"/>
      <c r="J2" s="1"/>
      <c r="K2" s="1"/>
    </row>
    <row r="3" spans="1:11">
      <c r="A3" s="1"/>
      <c r="B3" s="13" t="s">
        <v>135</v>
      </c>
      <c r="C3" s="1"/>
      <c r="D3" s="12">
        <f>cpActivePeriod</f>
        <v>0</v>
      </c>
      <c r="E3" s="1"/>
      <c r="F3" s="1"/>
      <c r="G3" s="1"/>
      <c r="H3" s="1"/>
      <c r="I3" s="1"/>
      <c r="J3" s="1"/>
      <c r="K3" s="1"/>
    </row>
    <row r="4" spans="1:11">
      <c r="A4" s="1"/>
      <c r="B4" s="13" t="s">
        <v>136</v>
      </c>
      <c r="C4" s="1"/>
      <c r="D4" s="12">
        <f>cpPrevPeriod</f>
        <v>-1</v>
      </c>
      <c r="E4" s="1"/>
      <c r="F4" s="1"/>
      <c r="G4" s="1"/>
      <c r="H4" s="1"/>
      <c r="I4" s="1"/>
      <c r="J4" s="1"/>
      <c r="K4" s="1"/>
    </row>
    <row r="5" spans="1:11">
      <c r="A5" s="1"/>
      <c r="B5" s="5" t="s">
        <v>202</v>
      </c>
      <c r="C5" s="5" t="s">
        <v>203</v>
      </c>
      <c r="D5" s="5" t="s">
        <v>93</v>
      </c>
      <c r="E5" s="5" t="s">
        <v>204</v>
      </c>
      <c r="F5" s="1"/>
      <c r="G5" s="1"/>
      <c r="H5" s="1"/>
      <c r="I5" s="1"/>
      <c r="J5" s="1"/>
      <c r="K5" s="1"/>
    </row>
    <row r="6" spans="1:11">
      <c r="A6" s="1"/>
      <c r="B6" s="6" t="s">
        <v>205</v>
      </c>
      <c r="C6" s="7" t="s">
        <v>206</v>
      </c>
      <c r="D6" s="19">
        <f>SUM(STG_ActiveFact[GrossAmountTRY])</f>
        <v>0</v>
      </c>
      <c r="E6" s="7" t="s">
        <v>205</v>
      </c>
      <c r="F6" s="1"/>
      <c r="G6" s="1"/>
      <c r="H6" s="1"/>
      <c r="I6" s="1"/>
      <c r="J6" s="1"/>
      <c r="K6" s="1"/>
    </row>
    <row r="7" spans="1:11">
      <c r="A7" s="1"/>
      <c r="B7" s="6" t="s">
        <v>207</v>
      </c>
      <c r="C7" s="7" t="s">
        <v>208</v>
      </c>
      <c r="D7" s="19">
        <f>SUM(STG_ActiveFact[NetAmountTRY])</f>
        <v>0</v>
      </c>
      <c r="E7" s="7" t="s">
        <v>207</v>
      </c>
      <c r="F7" s="1"/>
      <c r="G7" s="1"/>
      <c r="H7" s="1"/>
      <c r="I7" s="1"/>
      <c r="J7" s="1"/>
      <c r="K7" s="1"/>
    </row>
    <row r="8" spans="1:11">
      <c r="A8" s="1"/>
      <c r="B8" s="6" t="s">
        <v>209</v>
      </c>
      <c r="C8" s="7" t="s">
        <v>210</v>
      </c>
      <c r="D8" s="21">
        <f>D6-D7</f>
        <v>0</v>
      </c>
      <c r="E8" s="7" t="s">
        <v>209</v>
      </c>
      <c r="F8" s="1"/>
      <c r="G8" s="1"/>
      <c r="H8" s="1"/>
      <c r="I8" s="1"/>
      <c r="J8" s="1"/>
      <c r="K8" s="1"/>
    </row>
    <row r="9" spans="1:11">
      <c r="A9" s="1"/>
      <c r="B9" s="6" t="s">
        <v>211</v>
      </c>
      <c r="C9" s="7" t="s">
        <v>212</v>
      </c>
      <c r="D9" s="18">
        <f>COUNTA(STG_ActiveFact[CaseKey])</f>
        <v>0</v>
      </c>
      <c r="E9" s="7" t="s">
        <v>211</v>
      </c>
      <c r="F9" s="1"/>
      <c r="G9" s="1"/>
      <c r="H9" s="1"/>
      <c r="I9" s="1"/>
      <c r="J9" s="1"/>
      <c r="K9" s="1"/>
    </row>
    <row r="10" spans="1:11">
      <c r="A10" s="1"/>
      <c r="B10" s="6" t="s">
        <v>213</v>
      </c>
      <c r="C10" s="7" t="s">
        <v>214</v>
      </c>
      <c r="D10" s="18">
        <f>SUM(STG_ActiveFact[IsFirstLineOfCaseInPeriod])</f>
        <v>0</v>
      </c>
      <c r="E10" s="7" t="s">
        <v>213</v>
      </c>
      <c r="F10" s="1"/>
      <c r="G10" s="1"/>
      <c r="H10" s="1"/>
      <c r="I10" s="1"/>
      <c r="J10" s="1"/>
      <c r="K10" s="1"/>
    </row>
    <row r="11" spans="1:11">
      <c r="A11" s="1"/>
      <c r="B11" s="6" t="s">
        <v>215</v>
      </c>
      <c r="C11" s="7" t="s">
        <v>216</v>
      </c>
      <c r="D11" s="19">
        <f>SUMIFS(STG_Summary[GrossAmountTRY],STG_Summary[PeriodKey],cpPrevPeriod,STG_Summary[DataSource],"ARCHIVE")</f>
        <v>0</v>
      </c>
      <c r="E11" s="7" t="s">
        <v>215</v>
      </c>
      <c r="F11" s="1"/>
      <c r="G11" s="1"/>
      <c r="H11" s="1"/>
      <c r="I11" s="1"/>
      <c r="J11" s="1"/>
      <c r="K11" s="1"/>
    </row>
    <row r="12" spans="1:11">
      <c r="A12" s="1"/>
      <c r="B12" s="6" t="s">
        <v>217</v>
      </c>
      <c r="C12" s="7" t="s">
        <v>218</v>
      </c>
      <c r="D12" s="21" t="str">
        <f>IF(N(D11)=0,"n/a",D6-D11)</f>
        <v>n/a</v>
      </c>
      <c r="E12" s="7" t="s">
        <v>217</v>
      </c>
      <c r="F12" s="1"/>
      <c r="G12" s="1"/>
      <c r="H12" s="1"/>
      <c r="I12" s="1"/>
      <c r="J12" s="1"/>
      <c r="K12" s="1"/>
    </row>
    <row r="13" spans="1:11">
      <c r="A13" s="1"/>
      <c r="B13" s="6" t="s">
        <v>219</v>
      </c>
      <c r="C13" s="7" t="s">
        <v>220</v>
      </c>
      <c r="D13" s="22" t="str">
        <f>IF(N(D11)=0,"n/a",(D6-D11)/D11)</f>
        <v>n/a</v>
      </c>
      <c r="E13" s="7" t="s">
        <v>219</v>
      </c>
      <c r="F13" s="1"/>
      <c r="G13" s="1"/>
      <c r="H13" s="1"/>
      <c r="I13" s="1"/>
      <c r="J13" s="1"/>
      <c r="K13" s="1"/>
    </row>
    <row r="14" spans="1:11">
      <c r="A14" s="1"/>
      <c r="B14" s="6" t="s">
        <v>221</v>
      </c>
      <c r="C14" s="7" t="s">
        <v>222</v>
      </c>
      <c r="D14" s="23" t="str">
        <f>IFERROR(AVERAGEIFS(STG_ActiveFact[DaysNotificationToPayment],STG_ActiveFact[DaysNotificationToPayment],"&gt;=0"),"n/a")</f>
        <v>n/a</v>
      </c>
      <c r="E14" s="7" t="s">
        <v>221</v>
      </c>
      <c r="F14" s="1"/>
      <c r="G14" s="1"/>
      <c r="H14" s="1"/>
      <c r="I14" s="1"/>
      <c r="J14" s="1"/>
      <c r="K14" s="1"/>
    </row>
    <row r="15" spans="1:11">
      <c r="A15" s="1"/>
      <c r="B15" s="6" t="s">
        <v>223</v>
      </c>
      <c r="C15" s="7" t="s">
        <v>224</v>
      </c>
      <c r="D15" s="18">
        <f>SUMIFS(STG_ActiveFact[IsFirstLineOfCaseInPeriod],STG_ActiveFact[CaseLinesToDate],"&gt;=2")</f>
        <v>0</v>
      </c>
      <c r="E15" s="7" t="s">
        <v>223</v>
      </c>
      <c r="F15" s="1"/>
      <c r="G15" s="1"/>
      <c r="H15" s="1"/>
      <c r="I15" s="1"/>
      <c r="J15" s="1"/>
      <c r="K15" s="1"/>
    </row>
    <row r="16" spans="1:11">
      <c r="A16" s="1"/>
      <c r="B16" s="6" t="s">
        <v>225</v>
      </c>
      <c r="C16" s="7" t="s">
        <v>226</v>
      </c>
      <c r="D16" s="22" t="str">
        <f>IF(N(D10)=0,"n/a",D15/D10)</f>
        <v>n/a</v>
      </c>
      <c r="E16" s="7" t="s">
        <v>225</v>
      </c>
      <c r="F16" s="1"/>
      <c r="G16" s="1"/>
      <c r="H16" s="1"/>
      <c r="I16" s="1"/>
      <c r="J16" s="1"/>
      <c r="K16" s="1"/>
    </row>
    <row r="17" spans="1:11">
      <c r="A17" s="1"/>
      <c r="B17" s="1"/>
      <c r="C17" s="1"/>
      <c r="D17" s="1"/>
      <c r="E17" s="1"/>
      <c r="F17" s="1"/>
      <c r="G17" s="1"/>
      <c r="H17" s="1"/>
      <c r="I17" s="1"/>
      <c r="J17" s="1"/>
      <c r="K17" s="1"/>
    </row>
    <row r="18" spans="1:11" ht="15">
      <c r="A18" s="1"/>
      <c r="B18" s="2" t="s">
        <v>227</v>
      </c>
      <c r="C18" s="3"/>
      <c r="D18" s="3"/>
      <c r="E18" s="3"/>
      <c r="F18" s="3"/>
      <c r="G18" s="3"/>
      <c r="H18" s="3"/>
      <c r="I18" s="3"/>
      <c r="J18" s="3"/>
      <c r="K18" s="3"/>
    </row>
    <row r="19" spans="1:11" ht="29.1" customHeight="1">
      <c r="A19" s="1"/>
      <c r="B19" s="5" t="s">
        <v>181</v>
      </c>
      <c r="C19" s="5" t="s">
        <v>182</v>
      </c>
      <c r="D19" s="5" t="s">
        <v>205</v>
      </c>
      <c r="E19" s="5" t="s">
        <v>207</v>
      </c>
      <c r="F19" s="5" t="s">
        <v>228</v>
      </c>
      <c r="G19" s="5" t="s">
        <v>213</v>
      </c>
      <c r="H19" s="5" t="s">
        <v>229</v>
      </c>
      <c r="I19" s="5" t="s">
        <v>230</v>
      </c>
      <c r="J19" s="5" t="s">
        <v>231</v>
      </c>
      <c r="K19" s="5" t="s">
        <v>232</v>
      </c>
    </row>
    <row r="20" spans="1:11">
      <c r="A20" s="1"/>
      <c r="B20" s="16" t="str">
        <f>IF(1&gt;ROWS(tblDimCompany[CompanyID]),"",INDEX(tblDimCompany[CompanyID],1)&amp;"")</f>
        <v/>
      </c>
      <c r="C20" s="16" t="str">
        <f>IF(B20="","",INDEX(tblDimCompany[CompanyName],1))</f>
        <v/>
      </c>
      <c r="D20" s="19" t="str">
        <f>IF(B20="","",SUMIFS(STG_ActiveFact[GrossAmountTRY],STG_ActiveFact[CompanyID],B20))</f>
        <v/>
      </c>
      <c r="E20" s="19" t="str">
        <f>IF(B20="","",SUMIFS(STG_ActiveFact[NetAmountTRY],STG_ActiveFact[CompanyID],B20))</f>
        <v/>
      </c>
      <c r="F20" s="22" t="str">
        <f t="shared" ref="F20:F59" si="0">IF(OR(B20="",N($D$6)=0),"",D20/$D$6)</f>
        <v/>
      </c>
      <c r="G20" s="18" t="str">
        <f>IF(B20="","",SUMIFS(STG_ActiveFact[IsFirstLineOfCaseInPeriod],STG_ActiveFact[CompanyID],B20))</f>
        <v/>
      </c>
      <c r="H20" s="23" t="str">
        <f>IF(B20="","",IFERROR(AVERAGEIFS(STG_ActiveFact[DaysNotificationToPayment],STG_ActiveFact[CompanyID],B20,STG_ActiveFact[DaysNotificationToPayment],"&gt;=0"),"n/a"))</f>
        <v/>
      </c>
      <c r="I20" s="24" t="str">
        <f>IF(OR(B20="",N(G20)=0),"",SUMIFS(STG_ActiveFact[IsFirstLineOfCaseInPeriod],STG_ActiveFact[CompanyID],B20,STG_ActiveFact[CaseLinesToDate],"&gt;=2")/G20)</f>
        <v/>
      </c>
      <c r="J20" s="19" t="str">
        <f>IF(B20="","",SUMIFS(STG_Summary[GrossAmountTRY],STG_Summary[PeriodKey],cpPrevPeriod,STG_Summary[CompanyID],B20,STG_Summary[DataSource],"ARCHIVE"))</f>
        <v/>
      </c>
      <c r="K20" s="22" t="str">
        <f t="shared" ref="K20:K59" si="1">IF(OR(B20="",N(J20)=0),"",N(D20)/J20-1)</f>
        <v/>
      </c>
    </row>
    <row r="21" spans="1:11">
      <c r="A21" s="1"/>
      <c r="B21" s="16" t="str">
        <f>IF(2&gt;ROWS(tblDimCompany[CompanyID]),"",INDEX(tblDimCompany[CompanyID],2)&amp;"")</f>
        <v/>
      </c>
      <c r="C21" s="16" t="str">
        <f>IF(B21="","",INDEX(tblDimCompany[CompanyName],2))</f>
        <v/>
      </c>
      <c r="D21" s="19" t="str">
        <f>IF(B21="","",SUMIFS(STG_ActiveFact[GrossAmountTRY],STG_ActiveFact[CompanyID],B21))</f>
        <v/>
      </c>
      <c r="E21" s="19" t="str">
        <f>IF(B21="","",SUMIFS(STG_ActiveFact[NetAmountTRY],STG_ActiveFact[CompanyID],B21))</f>
        <v/>
      </c>
      <c r="F21" s="22" t="str">
        <f t="shared" si="0"/>
        <v/>
      </c>
      <c r="G21" s="18" t="str">
        <f>IF(B21="","",SUMIFS(STG_ActiveFact[IsFirstLineOfCaseInPeriod],STG_ActiveFact[CompanyID],B21))</f>
        <v/>
      </c>
      <c r="H21" s="23" t="str">
        <f>IF(B21="","",IFERROR(AVERAGEIFS(STG_ActiveFact[DaysNotificationToPayment],STG_ActiveFact[CompanyID],B21,STG_ActiveFact[DaysNotificationToPayment],"&gt;=0"),"n/a"))</f>
        <v/>
      </c>
      <c r="I21" s="24" t="str">
        <f>IF(OR(B21="",N(G21)=0),"",SUMIFS(STG_ActiveFact[IsFirstLineOfCaseInPeriod],STG_ActiveFact[CompanyID],B21,STG_ActiveFact[CaseLinesToDate],"&gt;=2")/G21)</f>
        <v/>
      </c>
      <c r="J21" s="19" t="str">
        <f>IF(B21="","",SUMIFS(STG_Summary[GrossAmountTRY],STG_Summary[PeriodKey],cpPrevPeriod,STG_Summary[CompanyID],B21,STG_Summary[DataSource],"ARCHIVE"))</f>
        <v/>
      </c>
      <c r="K21" s="22" t="str">
        <f t="shared" si="1"/>
        <v/>
      </c>
    </row>
    <row r="22" spans="1:11">
      <c r="A22" s="1"/>
      <c r="B22" s="16" t="str">
        <f>IF(3&gt;ROWS(tblDimCompany[CompanyID]),"",INDEX(tblDimCompany[CompanyID],3)&amp;"")</f>
        <v/>
      </c>
      <c r="C22" s="16" t="str">
        <f>IF(B22="","",INDEX(tblDimCompany[CompanyName],3))</f>
        <v/>
      </c>
      <c r="D22" s="19" t="str">
        <f>IF(B22="","",SUMIFS(STG_ActiveFact[GrossAmountTRY],STG_ActiveFact[CompanyID],B22))</f>
        <v/>
      </c>
      <c r="E22" s="19" t="str">
        <f>IF(B22="","",SUMIFS(STG_ActiveFact[NetAmountTRY],STG_ActiveFact[CompanyID],B22))</f>
        <v/>
      </c>
      <c r="F22" s="22" t="str">
        <f t="shared" si="0"/>
        <v/>
      </c>
      <c r="G22" s="18" t="str">
        <f>IF(B22="","",SUMIFS(STG_ActiveFact[IsFirstLineOfCaseInPeriod],STG_ActiveFact[CompanyID],B22))</f>
        <v/>
      </c>
      <c r="H22" s="23" t="str">
        <f>IF(B22="","",IFERROR(AVERAGEIFS(STG_ActiveFact[DaysNotificationToPayment],STG_ActiveFact[CompanyID],B22,STG_ActiveFact[DaysNotificationToPayment],"&gt;=0"),"n/a"))</f>
        <v/>
      </c>
      <c r="I22" s="24" t="str">
        <f>IF(OR(B22="",N(G22)=0),"",SUMIFS(STG_ActiveFact[IsFirstLineOfCaseInPeriod],STG_ActiveFact[CompanyID],B22,STG_ActiveFact[CaseLinesToDate],"&gt;=2")/G22)</f>
        <v/>
      </c>
      <c r="J22" s="19" t="str">
        <f>IF(B22="","",SUMIFS(STG_Summary[GrossAmountTRY],STG_Summary[PeriodKey],cpPrevPeriod,STG_Summary[CompanyID],B22,STG_Summary[DataSource],"ARCHIVE"))</f>
        <v/>
      </c>
      <c r="K22" s="22" t="str">
        <f t="shared" si="1"/>
        <v/>
      </c>
    </row>
    <row r="23" spans="1:11">
      <c r="A23" s="1"/>
      <c r="B23" s="16" t="str">
        <f>IF(4&gt;ROWS(tblDimCompany[CompanyID]),"",INDEX(tblDimCompany[CompanyID],4)&amp;"")</f>
        <v/>
      </c>
      <c r="C23" s="16" t="str">
        <f>IF(B23="","",INDEX(tblDimCompany[CompanyName],4))</f>
        <v/>
      </c>
      <c r="D23" s="19" t="str">
        <f>IF(B23="","",SUMIFS(STG_ActiveFact[GrossAmountTRY],STG_ActiveFact[CompanyID],B23))</f>
        <v/>
      </c>
      <c r="E23" s="19" t="str">
        <f>IF(B23="","",SUMIFS(STG_ActiveFact[NetAmountTRY],STG_ActiveFact[CompanyID],B23))</f>
        <v/>
      </c>
      <c r="F23" s="22" t="str">
        <f t="shared" si="0"/>
        <v/>
      </c>
      <c r="G23" s="18" t="str">
        <f>IF(B23="","",SUMIFS(STG_ActiveFact[IsFirstLineOfCaseInPeriod],STG_ActiveFact[CompanyID],B23))</f>
        <v/>
      </c>
      <c r="H23" s="23" t="str">
        <f>IF(B23="","",IFERROR(AVERAGEIFS(STG_ActiveFact[DaysNotificationToPayment],STG_ActiveFact[CompanyID],B23,STG_ActiveFact[DaysNotificationToPayment],"&gt;=0"),"n/a"))</f>
        <v/>
      </c>
      <c r="I23" s="24" t="str">
        <f>IF(OR(B23="",N(G23)=0),"",SUMIFS(STG_ActiveFact[IsFirstLineOfCaseInPeriod],STG_ActiveFact[CompanyID],B23,STG_ActiveFact[CaseLinesToDate],"&gt;=2")/G23)</f>
        <v/>
      </c>
      <c r="J23" s="19" t="str">
        <f>IF(B23="","",SUMIFS(STG_Summary[GrossAmountTRY],STG_Summary[PeriodKey],cpPrevPeriod,STG_Summary[CompanyID],B23,STG_Summary[DataSource],"ARCHIVE"))</f>
        <v/>
      </c>
      <c r="K23" s="22" t="str">
        <f t="shared" si="1"/>
        <v/>
      </c>
    </row>
    <row r="24" spans="1:11">
      <c r="A24" s="1"/>
      <c r="B24" s="16" t="str">
        <f>IF(5&gt;ROWS(tblDimCompany[CompanyID]),"",INDEX(tblDimCompany[CompanyID],5)&amp;"")</f>
        <v/>
      </c>
      <c r="C24" s="16" t="str">
        <f>IF(B24="","",INDEX(tblDimCompany[CompanyName],5))</f>
        <v/>
      </c>
      <c r="D24" s="19" t="str">
        <f>IF(B24="","",SUMIFS(STG_ActiveFact[GrossAmountTRY],STG_ActiveFact[CompanyID],B24))</f>
        <v/>
      </c>
      <c r="E24" s="19" t="str">
        <f>IF(B24="","",SUMIFS(STG_ActiveFact[NetAmountTRY],STG_ActiveFact[CompanyID],B24))</f>
        <v/>
      </c>
      <c r="F24" s="22" t="str">
        <f t="shared" si="0"/>
        <v/>
      </c>
      <c r="G24" s="18" t="str">
        <f>IF(B24="","",SUMIFS(STG_ActiveFact[IsFirstLineOfCaseInPeriod],STG_ActiveFact[CompanyID],B24))</f>
        <v/>
      </c>
      <c r="H24" s="23" t="str">
        <f>IF(B24="","",IFERROR(AVERAGEIFS(STG_ActiveFact[DaysNotificationToPayment],STG_ActiveFact[CompanyID],B24,STG_ActiveFact[DaysNotificationToPayment],"&gt;=0"),"n/a"))</f>
        <v/>
      </c>
      <c r="I24" s="24" t="str">
        <f>IF(OR(B24="",N(G24)=0),"",SUMIFS(STG_ActiveFact[IsFirstLineOfCaseInPeriod],STG_ActiveFact[CompanyID],B24,STG_ActiveFact[CaseLinesToDate],"&gt;=2")/G24)</f>
        <v/>
      </c>
      <c r="J24" s="19" t="str">
        <f>IF(B24="","",SUMIFS(STG_Summary[GrossAmountTRY],STG_Summary[PeriodKey],cpPrevPeriod,STG_Summary[CompanyID],B24,STG_Summary[DataSource],"ARCHIVE"))</f>
        <v/>
      </c>
      <c r="K24" s="22" t="str">
        <f t="shared" si="1"/>
        <v/>
      </c>
    </row>
    <row r="25" spans="1:11">
      <c r="A25" s="1"/>
      <c r="B25" s="16" t="str">
        <f>IF(6&gt;ROWS(tblDimCompany[CompanyID]),"",INDEX(tblDimCompany[CompanyID],6)&amp;"")</f>
        <v/>
      </c>
      <c r="C25" s="16" t="str">
        <f>IF(B25="","",INDEX(tblDimCompany[CompanyName],6))</f>
        <v/>
      </c>
      <c r="D25" s="19" t="str">
        <f>IF(B25="","",SUMIFS(STG_ActiveFact[GrossAmountTRY],STG_ActiveFact[CompanyID],B25))</f>
        <v/>
      </c>
      <c r="E25" s="19" t="str">
        <f>IF(B25="","",SUMIFS(STG_ActiveFact[NetAmountTRY],STG_ActiveFact[CompanyID],B25))</f>
        <v/>
      </c>
      <c r="F25" s="22" t="str">
        <f t="shared" si="0"/>
        <v/>
      </c>
      <c r="G25" s="18" t="str">
        <f>IF(B25="","",SUMIFS(STG_ActiveFact[IsFirstLineOfCaseInPeriod],STG_ActiveFact[CompanyID],B25))</f>
        <v/>
      </c>
      <c r="H25" s="23" t="str">
        <f>IF(B25="","",IFERROR(AVERAGEIFS(STG_ActiveFact[DaysNotificationToPayment],STG_ActiveFact[CompanyID],B25,STG_ActiveFact[DaysNotificationToPayment],"&gt;=0"),"n/a"))</f>
        <v/>
      </c>
      <c r="I25" s="24" t="str">
        <f>IF(OR(B25="",N(G25)=0),"",SUMIFS(STG_ActiveFact[IsFirstLineOfCaseInPeriod],STG_ActiveFact[CompanyID],B25,STG_ActiveFact[CaseLinesToDate],"&gt;=2")/G25)</f>
        <v/>
      </c>
      <c r="J25" s="19" t="str">
        <f>IF(B25="","",SUMIFS(STG_Summary[GrossAmountTRY],STG_Summary[PeriodKey],cpPrevPeriod,STG_Summary[CompanyID],B25,STG_Summary[DataSource],"ARCHIVE"))</f>
        <v/>
      </c>
      <c r="K25" s="22" t="str">
        <f t="shared" si="1"/>
        <v/>
      </c>
    </row>
    <row r="26" spans="1:11">
      <c r="A26" s="1"/>
      <c r="B26" s="16" t="str">
        <f>IF(7&gt;ROWS(tblDimCompany[CompanyID]),"",INDEX(tblDimCompany[CompanyID],7)&amp;"")</f>
        <v/>
      </c>
      <c r="C26" s="16" t="str">
        <f>IF(B26="","",INDEX(tblDimCompany[CompanyName],7))</f>
        <v/>
      </c>
      <c r="D26" s="19" t="str">
        <f>IF(B26="","",SUMIFS(STG_ActiveFact[GrossAmountTRY],STG_ActiveFact[CompanyID],B26))</f>
        <v/>
      </c>
      <c r="E26" s="19" t="str">
        <f>IF(B26="","",SUMIFS(STG_ActiveFact[NetAmountTRY],STG_ActiveFact[CompanyID],B26))</f>
        <v/>
      </c>
      <c r="F26" s="22" t="str">
        <f t="shared" si="0"/>
        <v/>
      </c>
      <c r="G26" s="18" t="str">
        <f>IF(B26="","",SUMIFS(STG_ActiveFact[IsFirstLineOfCaseInPeriod],STG_ActiveFact[CompanyID],B26))</f>
        <v/>
      </c>
      <c r="H26" s="23" t="str">
        <f>IF(B26="","",IFERROR(AVERAGEIFS(STG_ActiveFact[DaysNotificationToPayment],STG_ActiveFact[CompanyID],B26,STG_ActiveFact[DaysNotificationToPayment],"&gt;=0"),"n/a"))</f>
        <v/>
      </c>
      <c r="I26" s="24" t="str">
        <f>IF(OR(B26="",N(G26)=0),"",SUMIFS(STG_ActiveFact[IsFirstLineOfCaseInPeriod],STG_ActiveFact[CompanyID],B26,STG_ActiveFact[CaseLinesToDate],"&gt;=2")/G26)</f>
        <v/>
      </c>
      <c r="J26" s="19" t="str">
        <f>IF(B26="","",SUMIFS(STG_Summary[GrossAmountTRY],STG_Summary[PeriodKey],cpPrevPeriod,STG_Summary[CompanyID],B26,STG_Summary[DataSource],"ARCHIVE"))</f>
        <v/>
      </c>
      <c r="K26" s="22" t="str">
        <f t="shared" si="1"/>
        <v/>
      </c>
    </row>
    <row r="27" spans="1:11">
      <c r="A27" s="1"/>
      <c r="B27" s="16" t="str">
        <f>IF(8&gt;ROWS(tblDimCompany[CompanyID]),"",INDEX(tblDimCompany[CompanyID],8)&amp;"")</f>
        <v/>
      </c>
      <c r="C27" s="16" t="str">
        <f>IF(B27="","",INDEX(tblDimCompany[CompanyName],8))</f>
        <v/>
      </c>
      <c r="D27" s="19" t="str">
        <f>IF(B27="","",SUMIFS(STG_ActiveFact[GrossAmountTRY],STG_ActiveFact[CompanyID],B27))</f>
        <v/>
      </c>
      <c r="E27" s="19" t="str">
        <f>IF(B27="","",SUMIFS(STG_ActiveFact[NetAmountTRY],STG_ActiveFact[CompanyID],B27))</f>
        <v/>
      </c>
      <c r="F27" s="22" t="str">
        <f t="shared" si="0"/>
        <v/>
      </c>
      <c r="G27" s="18" t="str">
        <f>IF(B27="","",SUMIFS(STG_ActiveFact[IsFirstLineOfCaseInPeriod],STG_ActiveFact[CompanyID],B27))</f>
        <v/>
      </c>
      <c r="H27" s="23" t="str">
        <f>IF(B27="","",IFERROR(AVERAGEIFS(STG_ActiveFact[DaysNotificationToPayment],STG_ActiveFact[CompanyID],B27,STG_ActiveFact[DaysNotificationToPayment],"&gt;=0"),"n/a"))</f>
        <v/>
      </c>
      <c r="I27" s="24" t="str">
        <f>IF(OR(B27="",N(G27)=0),"",SUMIFS(STG_ActiveFact[IsFirstLineOfCaseInPeriod],STG_ActiveFact[CompanyID],B27,STG_ActiveFact[CaseLinesToDate],"&gt;=2")/G27)</f>
        <v/>
      </c>
      <c r="J27" s="19" t="str">
        <f>IF(B27="","",SUMIFS(STG_Summary[GrossAmountTRY],STG_Summary[PeriodKey],cpPrevPeriod,STG_Summary[CompanyID],B27,STG_Summary[DataSource],"ARCHIVE"))</f>
        <v/>
      </c>
      <c r="K27" s="22" t="str">
        <f t="shared" si="1"/>
        <v/>
      </c>
    </row>
    <row r="28" spans="1:11">
      <c r="A28" s="1"/>
      <c r="B28" s="16" t="str">
        <f>IF(9&gt;ROWS(tblDimCompany[CompanyID]),"",INDEX(tblDimCompany[CompanyID],9)&amp;"")</f>
        <v/>
      </c>
      <c r="C28" s="16" t="str">
        <f>IF(B28="","",INDEX(tblDimCompany[CompanyName],9))</f>
        <v/>
      </c>
      <c r="D28" s="19" t="str">
        <f>IF(B28="","",SUMIFS(STG_ActiveFact[GrossAmountTRY],STG_ActiveFact[CompanyID],B28))</f>
        <v/>
      </c>
      <c r="E28" s="19" t="str">
        <f>IF(B28="","",SUMIFS(STG_ActiveFact[NetAmountTRY],STG_ActiveFact[CompanyID],B28))</f>
        <v/>
      </c>
      <c r="F28" s="22" t="str">
        <f t="shared" si="0"/>
        <v/>
      </c>
      <c r="G28" s="18" t="str">
        <f>IF(B28="","",SUMIFS(STG_ActiveFact[IsFirstLineOfCaseInPeriod],STG_ActiveFact[CompanyID],B28))</f>
        <v/>
      </c>
      <c r="H28" s="23" t="str">
        <f>IF(B28="","",IFERROR(AVERAGEIFS(STG_ActiveFact[DaysNotificationToPayment],STG_ActiveFact[CompanyID],B28,STG_ActiveFact[DaysNotificationToPayment],"&gt;=0"),"n/a"))</f>
        <v/>
      </c>
      <c r="I28" s="24" t="str">
        <f>IF(OR(B28="",N(G28)=0),"",SUMIFS(STG_ActiveFact[IsFirstLineOfCaseInPeriod],STG_ActiveFact[CompanyID],B28,STG_ActiveFact[CaseLinesToDate],"&gt;=2")/G28)</f>
        <v/>
      </c>
      <c r="J28" s="19" t="str">
        <f>IF(B28="","",SUMIFS(STG_Summary[GrossAmountTRY],STG_Summary[PeriodKey],cpPrevPeriod,STG_Summary[CompanyID],B28,STG_Summary[DataSource],"ARCHIVE"))</f>
        <v/>
      </c>
      <c r="K28" s="22" t="str">
        <f t="shared" si="1"/>
        <v/>
      </c>
    </row>
    <row r="29" spans="1:11">
      <c r="A29" s="1"/>
      <c r="B29" s="16" t="str">
        <f>IF(10&gt;ROWS(tblDimCompany[CompanyID]),"",INDEX(tblDimCompany[CompanyID],10)&amp;"")</f>
        <v/>
      </c>
      <c r="C29" s="16" t="str">
        <f>IF(B29="","",INDEX(tblDimCompany[CompanyName],10))</f>
        <v/>
      </c>
      <c r="D29" s="19" t="str">
        <f>IF(B29="","",SUMIFS(STG_ActiveFact[GrossAmountTRY],STG_ActiveFact[CompanyID],B29))</f>
        <v/>
      </c>
      <c r="E29" s="19" t="str">
        <f>IF(B29="","",SUMIFS(STG_ActiveFact[NetAmountTRY],STG_ActiveFact[CompanyID],B29))</f>
        <v/>
      </c>
      <c r="F29" s="22" t="str">
        <f t="shared" si="0"/>
        <v/>
      </c>
      <c r="G29" s="18" t="str">
        <f>IF(B29="","",SUMIFS(STG_ActiveFact[IsFirstLineOfCaseInPeriod],STG_ActiveFact[CompanyID],B29))</f>
        <v/>
      </c>
      <c r="H29" s="23" t="str">
        <f>IF(B29="","",IFERROR(AVERAGEIFS(STG_ActiveFact[DaysNotificationToPayment],STG_ActiveFact[CompanyID],B29,STG_ActiveFact[DaysNotificationToPayment],"&gt;=0"),"n/a"))</f>
        <v/>
      </c>
      <c r="I29" s="24" t="str">
        <f>IF(OR(B29="",N(G29)=0),"",SUMIFS(STG_ActiveFact[IsFirstLineOfCaseInPeriod],STG_ActiveFact[CompanyID],B29,STG_ActiveFact[CaseLinesToDate],"&gt;=2")/G29)</f>
        <v/>
      </c>
      <c r="J29" s="19" t="str">
        <f>IF(B29="","",SUMIFS(STG_Summary[GrossAmountTRY],STG_Summary[PeriodKey],cpPrevPeriod,STG_Summary[CompanyID],B29,STG_Summary[DataSource],"ARCHIVE"))</f>
        <v/>
      </c>
      <c r="K29" s="22" t="str">
        <f t="shared" si="1"/>
        <v/>
      </c>
    </row>
    <row r="30" spans="1:11">
      <c r="A30" s="1"/>
      <c r="B30" s="16" t="str">
        <f>IF(11&gt;ROWS(tblDimCompany[CompanyID]),"",INDEX(tblDimCompany[CompanyID],11)&amp;"")</f>
        <v/>
      </c>
      <c r="C30" s="16" t="str">
        <f>IF(B30="","",INDEX(tblDimCompany[CompanyName],11))</f>
        <v/>
      </c>
      <c r="D30" s="19" t="str">
        <f>IF(B30="","",SUMIFS(STG_ActiveFact[GrossAmountTRY],STG_ActiveFact[CompanyID],B30))</f>
        <v/>
      </c>
      <c r="E30" s="19" t="str">
        <f>IF(B30="","",SUMIFS(STG_ActiveFact[NetAmountTRY],STG_ActiveFact[CompanyID],B30))</f>
        <v/>
      </c>
      <c r="F30" s="22" t="str">
        <f t="shared" si="0"/>
        <v/>
      </c>
      <c r="G30" s="18" t="str">
        <f>IF(B30="","",SUMIFS(STG_ActiveFact[IsFirstLineOfCaseInPeriod],STG_ActiveFact[CompanyID],B30))</f>
        <v/>
      </c>
      <c r="H30" s="23" t="str">
        <f>IF(B30="","",IFERROR(AVERAGEIFS(STG_ActiveFact[DaysNotificationToPayment],STG_ActiveFact[CompanyID],B30,STG_ActiveFact[DaysNotificationToPayment],"&gt;=0"),"n/a"))</f>
        <v/>
      </c>
      <c r="I30" s="24" t="str">
        <f>IF(OR(B30="",N(G30)=0),"",SUMIFS(STG_ActiveFact[IsFirstLineOfCaseInPeriod],STG_ActiveFact[CompanyID],B30,STG_ActiveFact[CaseLinesToDate],"&gt;=2")/G30)</f>
        <v/>
      </c>
      <c r="J30" s="19" t="str">
        <f>IF(B30="","",SUMIFS(STG_Summary[GrossAmountTRY],STG_Summary[PeriodKey],cpPrevPeriod,STG_Summary[CompanyID],B30,STG_Summary[DataSource],"ARCHIVE"))</f>
        <v/>
      </c>
      <c r="K30" s="22" t="str">
        <f t="shared" si="1"/>
        <v/>
      </c>
    </row>
    <row r="31" spans="1:11">
      <c r="A31" s="1"/>
      <c r="B31" s="16" t="str">
        <f>IF(12&gt;ROWS(tblDimCompany[CompanyID]),"",INDEX(tblDimCompany[CompanyID],12)&amp;"")</f>
        <v/>
      </c>
      <c r="C31" s="16" t="str">
        <f>IF(B31="","",INDEX(tblDimCompany[CompanyName],12))</f>
        <v/>
      </c>
      <c r="D31" s="19" t="str">
        <f>IF(B31="","",SUMIFS(STG_ActiveFact[GrossAmountTRY],STG_ActiveFact[CompanyID],B31))</f>
        <v/>
      </c>
      <c r="E31" s="19" t="str">
        <f>IF(B31="","",SUMIFS(STG_ActiveFact[NetAmountTRY],STG_ActiveFact[CompanyID],B31))</f>
        <v/>
      </c>
      <c r="F31" s="22" t="str">
        <f t="shared" si="0"/>
        <v/>
      </c>
      <c r="G31" s="18" t="str">
        <f>IF(B31="","",SUMIFS(STG_ActiveFact[IsFirstLineOfCaseInPeriod],STG_ActiveFact[CompanyID],B31))</f>
        <v/>
      </c>
      <c r="H31" s="23" t="str">
        <f>IF(B31="","",IFERROR(AVERAGEIFS(STG_ActiveFact[DaysNotificationToPayment],STG_ActiveFact[CompanyID],B31,STG_ActiveFact[DaysNotificationToPayment],"&gt;=0"),"n/a"))</f>
        <v/>
      </c>
      <c r="I31" s="24" t="str">
        <f>IF(OR(B31="",N(G31)=0),"",SUMIFS(STG_ActiveFact[IsFirstLineOfCaseInPeriod],STG_ActiveFact[CompanyID],B31,STG_ActiveFact[CaseLinesToDate],"&gt;=2")/G31)</f>
        <v/>
      </c>
      <c r="J31" s="19" t="str">
        <f>IF(B31="","",SUMIFS(STG_Summary[GrossAmountTRY],STG_Summary[PeriodKey],cpPrevPeriod,STG_Summary[CompanyID],B31,STG_Summary[DataSource],"ARCHIVE"))</f>
        <v/>
      </c>
      <c r="K31" s="22" t="str">
        <f t="shared" si="1"/>
        <v/>
      </c>
    </row>
    <row r="32" spans="1:11">
      <c r="A32" s="1"/>
      <c r="B32" s="16" t="str">
        <f>IF(13&gt;ROWS(tblDimCompany[CompanyID]),"",INDEX(tblDimCompany[CompanyID],13)&amp;"")</f>
        <v/>
      </c>
      <c r="C32" s="16" t="str">
        <f>IF(B32="","",INDEX(tblDimCompany[CompanyName],13))</f>
        <v/>
      </c>
      <c r="D32" s="19" t="str">
        <f>IF(B32="","",SUMIFS(STG_ActiveFact[GrossAmountTRY],STG_ActiveFact[CompanyID],B32))</f>
        <v/>
      </c>
      <c r="E32" s="19" t="str">
        <f>IF(B32="","",SUMIFS(STG_ActiveFact[NetAmountTRY],STG_ActiveFact[CompanyID],B32))</f>
        <v/>
      </c>
      <c r="F32" s="22" t="str">
        <f t="shared" si="0"/>
        <v/>
      </c>
      <c r="G32" s="18" t="str">
        <f>IF(B32="","",SUMIFS(STG_ActiveFact[IsFirstLineOfCaseInPeriod],STG_ActiveFact[CompanyID],B32))</f>
        <v/>
      </c>
      <c r="H32" s="23" t="str">
        <f>IF(B32="","",IFERROR(AVERAGEIFS(STG_ActiveFact[DaysNotificationToPayment],STG_ActiveFact[CompanyID],B32,STG_ActiveFact[DaysNotificationToPayment],"&gt;=0"),"n/a"))</f>
        <v/>
      </c>
      <c r="I32" s="24" t="str">
        <f>IF(OR(B32="",N(G32)=0),"",SUMIFS(STG_ActiveFact[IsFirstLineOfCaseInPeriod],STG_ActiveFact[CompanyID],B32,STG_ActiveFact[CaseLinesToDate],"&gt;=2")/G32)</f>
        <v/>
      </c>
      <c r="J32" s="19" t="str">
        <f>IF(B32="","",SUMIFS(STG_Summary[GrossAmountTRY],STG_Summary[PeriodKey],cpPrevPeriod,STG_Summary[CompanyID],B32,STG_Summary[DataSource],"ARCHIVE"))</f>
        <v/>
      </c>
      <c r="K32" s="22" t="str">
        <f t="shared" si="1"/>
        <v/>
      </c>
    </row>
    <row r="33" spans="1:11">
      <c r="A33" s="1"/>
      <c r="B33" s="16" t="str">
        <f>IF(14&gt;ROWS(tblDimCompany[CompanyID]),"",INDEX(tblDimCompany[CompanyID],14)&amp;"")</f>
        <v/>
      </c>
      <c r="C33" s="16" t="str">
        <f>IF(B33="","",INDEX(tblDimCompany[CompanyName],14))</f>
        <v/>
      </c>
      <c r="D33" s="19" t="str">
        <f>IF(B33="","",SUMIFS(STG_ActiveFact[GrossAmountTRY],STG_ActiveFact[CompanyID],B33))</f>
        <v/>
      </c>
      <c r="E33" s="19" t="str">
        <f>IF(B33="","",SUMIFS(STG_ActiveFact[NetAmountTRY],STG_ActiveFact[CompanyID],B33))</f>
        <v/>
      </c>
      <c r="F33" s="22" t="str">
        <f t="shared" si="0"/>
        <v/>
      </c>
      <c r="G33" s="18" t="str">
        <f>IF(B33="","",SUMIFS(STG_ActiveFact[IsFirstLineOfCaseInPeriod],STG_ActiveFact[CompanyID],B33))</f>
        <v/>
      </c>
      <c r="H33" s="23" t="str">
        <f>IF(B33="","",IFERROR(AVERAGEIFS(STG_ActiveFact[DaysNotificationToPayment],STG_ActiveFact[CompanyID],B33,STG_ActiveFact[DaysNotificationToPayment],"&gt;=0"),"n/a"))</f>
        <v/>
      </c>
      <c r="I33" s="24" t="str">
        <f>IF(OR(B33="",N(G33)=0),"",SUMIFS(STG_ActiveFact[IsFirstLineOfCaseInPeriod],STG_ActiveFact[CompanyID],B33,STG_ActiveFact[CaseLinesToDate],"&gt;=2")/G33)</f>
        <v/>
      </c>
      <c r="J33" s="19" t="str">
        <f>IF(B33="","",SUMIFS(STG_Summary[GrossAmountTRY],STG_Summary[PeriodKey],cpPrevPeriod,STG_Summary[CompanyID],B33,STG_Summary[DataSource],"ARCHIVE"))</f>
        <v/>
      </c>
      <c r="K33" s="22" t="str">
        <f t="shared" si="1"/>
        <v/>
      </c>
    </row>
    <row r="34" spans="1:11">
      <c r="A34" s="1"/>
      <c r="B34" s="16" t="str">
        <f>IF(15&gt;ROWS(tblDimCompany[CompanyID]),"",INDEX(tblDimCompany[CompanyID],15)&amp;"")</f>
        <v/>
      </c>
      <c r="C34" s="16" t="str">
        <f>IF(B34="","",INDEX(tblDimCompany[CompanyName],15))</f>
        <v/>
      </c>
      <c r="D34" s="19" t="str">
        <f>IF(B34="","",SUMIFS(STG_ActiveFact[GrossAmountTRY],STG_ActiveFact[CompanyID],B34))</f>
        <v/>
      </c>
      <c r="E34" s="19" t="str">
        <f>IF(B34="","",SUMIFS(STG_ActiveFact[NetAmountTRY],STG_ActiveFact[CompanyID],B34))</f>
        <v/>
      </c>
      <c r="F34" s="22" t="str">
        <f t="shared" si="0"/>
        <v/>
      </c>
      <c r="G34" s="18" t="str">
        <f>IF(B34="","",SUMIFS(STG_ActiveFact[IsFirstLineOfCaseInPeriod],STG_ActiveFact[CompanyID],B34))</f>
        <v/>
      </c>
      <c r="H34" s="23" t="str">
        <f>IF(B34="","",IFERROR(AVERAGEIFS(STG_ActiveFact[DaysNotificationToPayment],STG_ActiveFact[CompanyID],B34,STG_ActiveFact[DaysNotificationToPayment],"&gt;=0"),"n/a"))</f>
        <v/>
      </c>
      <c r="I34" s="24" t="str">
        <f>IF(OR(B34="",N(G34)=0),"",SUMIFS(STG_ActiveFact[IsFirstLineOfCaseInPeriod],STG_ActiveFact[CompanyID],B34,STG_ActiveFact[CaseLinesToDate],"&gt;=2")/G34)</f>
        <v/>
      </c>
      <c r="J34" s="19" t="str">
        <f>IF(B34="","",SUMIFS(STG_Summary[GrossAmountTRY],STG_Summary[PeriodKey],cpPrevPeriod,STG_Summary[CompanyID],B34,STG_Summary[DataSource],"ARCHIVE"))</f>
        <v/>
      </c>
      <c r="K34" s="22" t="str">
        <f t="shared" si="1"/>
        <v/>
      </c>
    </row>
    <row r="35" spans="1:11">
      <c r="A35" s="1"/>
      <c r="B35" s="16" t="str">
        <f>IF(16&gt;ROWS(tblDimCompany[CompanyID]),"",INDEX(tblDimCompany[CompanyID],16)&amp;"")</f>
        <v/>
      </c>
      <c r="C35" s="16" t="str">
        <f>IF(B35="","",INDEX(tblDimCompany[CompanyName],16))</f>
        <v/>
      </c>
      <c r="D35" s="19" t="str">
        <f>IF(B35="","",SUMIFS(STG_ActiveFact[GrossAmountTRY],STG_ActiveFact[CompanyID],B35))</f>
        <v/>
      </c>
      <c r="E35" s="19" t="str">
        <f>IF(B35="","",SUMIFS(STG_ActiveFact[NetAmountTRY],STG_ActiveFact[CompanyID],B35))</f>
        <v/>
      </c>
      <c r="F35" s="22" t="str">
        <f t="shared" si="0"/>
        <v/>
      </c>
      <c r="G35" s="18" t="str">
        <f>IF(B35="","",SUMIFS(STG_ActiveFact[IsFirstLineOfCaseInPeriod],STG_ActiveFact[CompanyID],B35))</f>
        <v/>
      </c>
      <c r="H35" s="23" t="str">
        <f>IF(B35="","",IFERROR(AVERAGEIFS(STG_ActiveFact[DaysNotificationToPayment],STG_ActiveFact[CompanyID],B35,STG_ActiveFact[DaysNotificationToPayment],"&gt;=0"),"n/a"))</f>
        <v/>
      </c>
      <c r="I35" s="24" t="str">
        <f>IF(OR(B35="",N(G35)=0),"",SUMIFS(STG_ActiveFact[IsFirstLineOfCaseInPeriod],STG_ActiveFact[CompanyID],B35,STG_ActiveFact[CaseLinesToDate],"&gt;=2")/G35)</f>
        <v/>
      </c>
      <c r="J35" s="19" t="str">
        <f>IF(B35="","",SUMIFS(STG_Summary[GrossAmountTRY],STG_Summary[PeriodKey],cpPrevPeriod,STG_Summary[CompanyID],B35,STG_Summary[DataSource],"ARCHIVE"))</f>
        <v/>
      </c>
      <c r="K35" s="22" t="str">
        <f t="shared" si="1"/>
        <v/>
      </c>
    </row>
    <row r="36" spans="1:11">
      <c r="A36" s="1"/>
      <c r="B36" s="16" t="str">
        <f>IF(17&gt;ROWS(tblDimCompany[CompanyID]),"",INDEX(tblDimCompany[CompanyID],17)&amp;"")</f>
        <v/>
      </c>
      <c r="C36" s="16" t="str">
        <f>IF(B36="","",INDEX(tblDimCompany[CompanyName],17))</f>
        <v/>
      </c>
      <c r="D36" s="19" t="str">
        <f>IF(B36="","",SUMIFS(STG_ActiveFact[GrossAmountTRY],STG_ActiveFact[CompanyID],B36))</f>
        <v/>
      </c>
      <c r="E36" s="19" t="str">
        <f>IF(B36="","",SUMIFS(STG_ActiveFact[NetAmountTRY],STG_ActiveFact[CompanyID],B36))</f>
        <v/>
      </c>
      <c r="F36" s="22" t="str">
        <f t="shared" si="0"/>
        <v/>
      </c>
      <c r="G36" s="18" t="str">
        <f>IF(B36="","",SUMIFS(STG_ActiveFact[IsFirstLineOfCaseInPeriod],STG_ActiveFact[CompanyID],B36))</f>
        <v/>
      </c>
      <c r="H36" s="23" t="str">
        <f>IF(B36="","",IFERROR(AVERAGEIFS(STG_ActiveFact[DaysNotificationToPayment],STG_ActiveFact[CompanyID],B36,STG_ActiveFact[DaysNotificationToPayment],"&gt;=0"),"n/a"))</f>
        <v/>
      </c>
      <c r="I36" s="24" t="str">
        <f>IF(OR(B36="",N(G36)=0),"",SUMIFS(STG_ActiveFact[IsFirstLineOfCaseInPeriod],STG_ActiveFact[CompanyID],B36,STG_ActiveFact[CaseLinesToDate],"&gt;=2")/G36)</f>
        <v/>
      </c>
      <c r="J36" s="19" t="str">
        <f>IF(B36="","",SUMIFS(STG_Summary[GrossAmountTRY],STG_Summary[PeriodKey],cpPrevPeriod,STG_Summary[CompanyID],B36,STG_Summary[DataSource],"ARCHIVE"))</f>
        <v/>
      </c>
      <c r="K36" s="22" t="str">
        <f t="shared" si="1"/>
        <v/>
      </c>
    </row>
    <row r="37" spans="1:11">
      <c r="A37" s="1"/>
      <c r="B37" s="16" t="str">
        <f>IF(18&gt;ROWS(tblDimCompany[CompanyID]),"",INDEX(tblDimCompany[CompanyID],18)&amp;"")</f>
        <v/>
      </c>
      <c r="C37" s="16" t="str">
        <f>IF(B37="","",INDEX(tblDimCompany[CompanyName],18))</f>
        <v/>
      </c>
      <c r="D37" s="19" t="str">
        <f>IF(B37="","",SUMIFS(STG_ActiveFact[GrossAmountTRY],STG_ActiveFact[CompanyID],B37))</f>
        <v/>
      </c>
      <c r="E37" s="19" t="str">
        <f>IF(B37="","",SUMIFS(STG_ActiveFact[NetAmountTRY],STG_ActiveFact[CompanyID],B37))</f>
        <v/>
      </c>
      <c r="F37" s="22" t="str">
        <f t="shared" si="0"/>
        <v/>
      </c>
      <c r="G37" s="18" t="str">
        <f>IF(B37="","",SUMIFS(STG_ActiveFact[IsFirstLineOfCaseInPeriod],STG_ActiveFact[CompanyID],B37))</f>
        <v/>
      </c>
      <c r="H37" s="23" t="str">
        <f>IF(B37="","",IFERROR(AVERAGEIFS(STG_ActiveFact[DaysNotificationToPayment],STG_ActiveFact[CompanyID],B37,STG_ActiveFact[DaysNotificationToPayment],"&gt;=0"),"n/a"))</f>
        <v/>
      </c>
      <c r="I37" s="24" t="str">
        <f>IF(OR(B37="",N(G37)=0),"",SUMIFS(STG_ActiveFact[IsFirstLineOfCaseInPeriod],STG_ActiveFact[CompanyID],B37,STG_ActiveFact[CaseLinesToDate],"&gt;=2")/G37)</f>
        <v/>
      </c>
      <c r="J37" s="19" t="str">
        <f>IF(B37="","",SUMIFS(STG_Summary[GrossAmountTRY],STG_Summary[PeriodKey],cpPrevPeriod,STG_Summary[CompanyID],B37,STG_Summary[DataSource],"ARCHIVE"))</f>
        <v/>
      </c>
      <c r="K37" s="22" t="str">
        <f t="shared" si="1"/>
        <v/>
      </c>
    </row>
    <row r="38" spans="1:11">
      <c r="A38" s="1"/>
      <c r="B38" s="16" t="str">
        <f>IF(19&gt;ROWS(tblDimCompany[CompanyID]),"",INDEX(tblDimCompany[CompanyID],19)&amp;"")</f>
        <v/>
      </c>
      <c r="C38" s="16" t="str">
        <f>IF(B38="","",INDEX(tblDimCompany[CompanyName],19))</f>
        <v/>
      </c>
      <c r="D38" s="19" t="str">
        <f>IF(B38="","",SUMIFS(STG_ActiveFact[GrossAmountTRY],STG_ActiveFact[CompanyID],B38))</f>
        <v/>
      </c>
      <c r="E38" s="19" t="str">
        <f>IF(B38="","",SUMIFS(STG_ActiveFact[NetAmountTRY],STG_ActiveFact[CompanyID],B38))</f>
        <v/>
      </c>
      <c r="F38" s="22" t="str">
        <f t="shared" si="0"/>
        <v/>
      </c>
      <c r="G38" s="18" t="str">
        <f>IF(B38="","",SUMIFS(STG_ActiveFact[IsFirstLineOfCaseInPeriod],STG_ActiveFact[CompanyID],B38))</f>
        <v/>
      </c>
      <c r="H38" s="23" t="str">
        <f>IF(B38="","",IFERROR(AVERAGEIFS(STG_ActiveFact[DaysNotificationToPayment],STG_ActiveFact[CompanyID],B38,STG_ActiveFact[DaysNotificationToPayment],"&gt;=0"),"n/a"))</f>
        <v/>
      </c>
      <c r="I38" s="24" t="str">
        <f>IF(OR(B38="",N(G38)=0),"",SUMIFS(STG_ActiveFact[IsFirstLineOfCaseInPeriod],STG_ActiveFact[CompanyID],B38,STG_ActiveFact[CaseLinesToDate],"&gt;=2")/G38)</f>
        <v/>
      </c>
      <c r="J38" s="19" t="str">
        <f>IF(B38="","",SUMIFS(STG_Summary[GrossAmountTRY],STG_Summary[PeriodKey],cpPrevPeriod,STG_Summary[CompanyID],B38,STG_Summary[DataSource],"ARCHIVE"))</f>
        <v/>
      </c>
      <c r="K38" s="22" t="str">
        <f t="shared" si="1"/>
        <v/>
      </c>
    </row>
    <row r="39" spans="1:11">
      <c r="A39" s="1"/>
      <c r="B39" s="16" t="str">
        <f>IF(20&gt;ROWS(tblDimCompany[CompanyID]),"",INDEX(tblDimCompany[CompanyID],20)&amp;"")</f>
        <v/>
      </c>
      <c r="C39" s="16" t="str">
        <f>IF(B39="","",INDEX(tblDimCompany[CompanyName],20))</f>
        <v/>
      </c>
      <c r="D39" s="19" t="str">
        <f>IF(B39="","",SUMIFS(STG_ActiveFact[GrossAmountTRY],STG_ActiveFact[CompanyID],B39))</f>
        <v/>
      </c>
      <c r="E39" s="19" t="str">
        <f>IF(B39="","",SUMIFS(STG_ActiveFact[NetAmountTRY],STG_ActiveFact[CompanyID],B39))</f>
        <v/>
      </c>
      <c r="F39" s="22" t="str">
        <f t="shared" si="0"/>
        <v/>
      </c>
      <c r="G39" s="18" t="str">
        <f>IF(B39="","",SUMIFS(STG_ActiveFact[IsFirstLineOfCaseInPeriod],STG_ActiveFact[CompanyID],B39))</f>
        <v/>
      </c>
      <c r="H39" s="23" t="str">
        <f>IF(B39="","",IFERROR(AVERAGEIFS(STG_ActiveFact[DaysNotificationToPayment],STG_ActiveFact[CompanyID],B39,STG_ActiveFact[DaysNotificationToPayment],"&gt;=0"),"n/a"))</f>
        <v/>
      </c>
      <c r="I39" s="24" t="str">
        <f>IF(OR(B39="",N(G39)=0),"",SUMIFS(STG_ActiveFact[IsFirstLineOfCaseInPeriod],STG_ActiveFact[CompanyID],B39,STG_ActiveFact[CaseLinesToDate],"&gt;=2")/G39)</f>
        <v/>
      </c>
      <c r="J39" s="19" t="str">
        <f>IF(B39="","",SUMIFS(STG_Summary[GrossAmountTRY],STG_Summary[PeriodKey],cpPrevPeriod,STG_Summary[CompanyID],B39,STG_Summary[DataSource],"ARCHIVE"))</f>
        <v/>
      </c>
      <c r="K39" s="22" t="str">
        <f t="shared" si="1"/>
        <v/>
      </c>
    </row>
    <row r="40" spans="1:11">
      <c r="A40" s="1"/>
      <c r="B40" s="16" t="str">
        <f>IF(21&gt;ROWS(tblDimCompany[CompanyID]),"",INDEX(tblDimCompany[CompanyID],21)&amp;"")</f>
        <v/>
      </c>
      <c r="C40" s="16" t="str">
        <f>IF(B40="","",INDEX(tblDimCompany[CompanyName],21))</f>
        <v/>
      </c>
      <c r="D40" s="19" t="str">
        <f>IF(B40="","",SUMIFS(STG_ActiveFact[GrossAmountTRY],STG_ActiveFact[CompanyID],B40))</f>
        <v/>
      </c>
      <c r="E40" s="19" t="str">
        <f>IF(B40="","",SUMIFS(STG_ActiveFact[NetAmountTRY],STG_ActiveFact[CompanyID],B40))</f>
        <v/>
      </c>
      <c r="F40" s="22" t="str">
        <f t="shared" si="0"/>
        <v/>
      </c>
      <c r="G40" s="18" t="str">
        <f>IF(B40="","",SUMIFS(STG_ActiveFact[IsFirstLineOfCaseInPeriod],STG_ActiveFact[CompanyID],B40))</f>
        <v/>
      </c>
      <c r="H40" s="23" t="str">
        <f>IF(B40="","",IFERROR(AVERAGEIFS(STG_ActiveFact[DaysNotificationToPayment],STG_ActiveFact[CompanyID],B40,STG_ActiveFact[DaysNotificationToPayment],"&gt;=0"),"n/a"))</f>
        <v/>
      </c>
      <c r="I40" s="24" t="str">
        <f>IF(OR(B40="",N(G40)=0),"",SUMIFS(STG_ActiveFact[IsFirstLineOfCaseInPeriod],STG_ActiveFact[CompanyID],B40,STG_ActiveFact[CaseLinesToDate],"&gt;=2")/G40)</f>
        <v/>
      </c>
      <c r="J40" s="19" t="str">
        <f>IF(B40="","",SUMIFS(STG_Summary[GrossAmountTRY],STG_Summary[PeriodKey],cpPrevPeriod,STG_Summary[CompanyID],B40,STG_Summary[DataSource],"ARCHIVE"))</f>
        <v/>
      </c>
      <c r="K40" s="22" t="str">
        <f t="shared" si="1"/>
        <v/>
      </c>
    </row>
    <row r="41" spans="1:11">
      <c r="A41" s="1"/>
      <c r="B41" s="16" t="str">
        <f>IF(22&gt;ROWS(tblDimCompany[CompanyID]),"",INDEX(tblDimCompany[CompanyID],22)&amp;"")</f>
        <v/>
      </c>
      <c r="C41" s="16" t="str">
        <f>IF(B41="","",INDEX(tblDimCompany[CompanyName],22))</f>
        <v/>
      </c>
      <c r="D41" s="19" t="str">
        <f>IF(B41="","",SUMIFS(STG_ActiveFact[GrossAmountTRY],STG_ActiveFact[CompanyID],B41))</f>
        <v/>
      </c>
      <c r="E41" s="19" t="str">
        <f>IF(B41="","",SUMIFS(STG_ActiveFact[NetAmountTRY],STG_ActiveFact[CompanyID],B41))</f>
        <v/>
      </c>
      <c r="F41" s="22" t="str">
        <f t="shared" si="0"/>
        <v/>
      </c>
      <c r="G41" s="18" t="str">
        <f>IF(B41="","",SUMIFS(STG_ActiveFact[IsFirstLineOfCaseInPeriod],STG_ActiveFact[CompanyID],B41))</f>
        <v/>
      </c>
      <c r="H41" s="23" t="str">
        <f>IF(B41="","",IFERROR(AVERAGEIFS(STG_ActiveFact[DaysNotificationToPayment],STG_ActiveFact[CompanyID],B41,STG_ActiveFact[DaysNotificationToPayment],"&gt;=0"),"n/a"))</f>
        <v/>
      </c>
      <c r="I41" s="24" t="str">
        <f>IF(OR(B41="",N(G41)=0),"",SUMIFS(STG_ActiveFact[IsFirstLineOfCaseInPeriod],STG_ActiveFact[CompanyID],B41,STG_ActiveFact[CaseLinesToDate],"&gt;=2")/G41)</f>
        <v/>
      </c>
      <c r="J41" s="19" t="str">
        <f>IF(B41="","",SUMIFS(STG_Summary[GrossAmountTRY],STG_Summary[PeriodKey],cpPrevPeriod,STG_Summary[CompanyID],B41,STG_Summary[DataSource],"ARCHIVE"))</f>
        <v/>
      </c>
      <c r="K41" s="22" t="str">
        <f t="shared" si="1"/>
        <v/>
      </c>
    </row>
    <row r="42" spans="1:11">
      <c r="A42" s="1"/>
      <c r="B42" s="16" t="str">
        <f>IF(23&gt;ROWS(tblDimCompany[CompanyID]),"",INDEX(tblDimCompany[CompanyID],23)&amp;"")</f>
        <v/>
      </c>
      <c r="C42" s="16" t="str">
        <f>IF(B42="","",INDEX(tblDimCompany[CompanyName],23))</f>
        <v/>
      </c>
      <c r="D42" s="19" t="str">
        <f>IF(B42="","",SUMIFS(STG_ActiveFact[GrossAmountTRY],STG_ActiveFact[CompanyID],B42))</f>
        <v/>
      </c>
      <c r="E42" s="19" t="str">
        <f>IF(B42="","",SUMIFS(STG_ActiveFact[NetAmountTRY],STG_ActiveFact[CompanyID],B42))</f>
        <v/>
      </c>
      <c r="F42" s="22" t="str">
        <f t="shared" si="0"/>
        <v/>
      </c>
      <c r="G42" s="18" t="str">
        <f>IF(B42="","",SUMIFS(STG_ActiveFact[IsFirstLineOfCaseInPeriod],STG_ActiveFact[CompanyID],B42))</f>
        <v/>
      </c>
      <c r="H42" s="23" t="str">
        <f>IF(B42="","",IFERROR(AVERAGEIFS(STG_ActiveFact[DaysNotificationToPayment],STG_ActiveFact[CompanyID],B42,STG_ActiveFact[DaysNotificationToPayment],"&gt;=0"),"n/a"))</f>
        <v/>
      </c>
      <c r="I42" s="24" t="str">
        <f>IF(OR(B42="",N(G42)=0),"",SUMIFS(STG_ActiveFact[IsFirstLineOfCaseInPeriod],STG_ActiveFact[CompanyID],B42,STG_ActiveFact[CaseLinesToDate],"&gt;=2")/G42)</f>
        <v/>
      </c>
      <c r="J42" s="19" t="str">
        <f>IF(B42="","",SUMIFS(STG_Summary[GrossAmountTRY],STG_Summary[PeriodKey],cpPrevPeriod,STG_Summary[CompanyID],B42,STG_Summary[DataSource],"ARCHIVE"))</f>
        <v/>
      </c>
      <c r="K42" s="22" t="str">
        <f t="shared" si="1"/>
        <v/>
      </c>
    </row>
    <row r="43" spans="1:11">
      <c r="A43" s="1"/>
      <c r="B43" s="16" t="str">
        <f>IF(24&gt;ROWS(tblDimCompany[CompanyID]),"",INDEX(tblDimCompany[CompanyID],24)&amp;"")</f>
        <v/>
      </c>
      <c r="C43" s="16" t="str">
        <f>IF(B43="","",INDEX(tblDimCompany[CompanyName],24))</f>
        <v/>
      </c>
      <c r="D43" s="19" t="str">
        <f>IF(B43="","",SUMIFS(STG_ActiveFact[GrossAmountTRY],STG_ActiveFact[CompanyID],B43))</f>
        <v/>
      </c>
      <c r="E43" s="19" t="str">
        <f>IF(B43="","",SUMIFS(STG_ActiveFact[NetAmountTRY],STG_ActiveFact[CompanyID],B43))</f>
        <v/>
      </c>
      <c r="F43" s="22" t="str">
        <f t="shared" si="0"/>
        <v/>
      </c>
      <c r="G43" s="18" t="str">
        <f>IF(B43="","",SUMIFS(STG_ActiveFact[IsFirstLineOfCaseInPeriod],STG_ActiveFact[CompanyID],B43))</f>
        <v/>
      </c>
      <c r="H43" s="23" t="str">
        <f>IF(B43="","",IFERROR(AVERAGEIFS(STG_ActiveFact[DaysNotificationToPayment],STG_ActiveFact[CompanyID],B43,STG_ActiveFact[DaysNotificationToPayment],"&gt;=0"),"n/a"))</f>
        <v/>
      </c>
      <c r="I43" s="24" t="str">
        <f>IF(OR(B43="",N(G43)=0),"",SUMIFS(STG_ActiveFact[IsFirstLineOfCaseInPeriod],STG_ActiveFact[CompanyID],B43,STG_ActiveFact[CaseLinesToDate],"&gt;=2")/G43)</f>
        <v/>
      </c>
      <c r="J43" s="19" t="str">
        <f>IF(B43="","",SUMIFS(STG_Summary[GrossAmountTRY],STG_Summary[PeriodKey],cpPrevPeriod,STG_Summary[CompanyID],B43,STG_Summary[DataSource],"ARCHIVE"))</f>
        <v/>
      </c>
      <c r="K43" s="22" t="str">
        <f t="shared" si="1"/>
        <v/>
      </c>
    </row>
    <row r="44" spans="1:11">
      <c r="A44" s="1"/>
      <c r="B44" s="16" t="str">
        <f>IF(25&gt;ROWS(tblDimCompany[CompanyID]),"",INDEX(tblDimCompany[CompanyID],25)&amp;"")</f>
        <v/>
      </c>
      <c r="C44" s="16" t="str">
        <f>IF(B44="","",INDEX(tblDimCompany[CompanyName],25))</f>
        <v/>
      </c>
      <c r="D44" s="19" t="str">
        <f>IF(B44="","",SUMIFS(STG_ActiveFact[GrossAmountTRY],STG_ActiveFact[CompanyID],B44))</f>
        <v/>
      </c>
      <c r="E44" s="19" t="str">
        <f>IF(B44="","",SUMIFS(STG_ActiveFact[NetAmountTRY],STG_ActiveFact[CompanyID],B44))</f>
        <v/>
      </c>
      <c r="F44" s="22" t="str">
        <f t="shared" si="0"/>
        <v/>
      </c>
      <c r="G44" s="18" t="str">
        <f>IF(B44="","",SUMIFS(STG_ActiveFact[IsFirstLineOfCaseInPeriod],STG_ActiveFact[CompanyID],B44))</f>
        <v/>
      </c>
      <c r="H44" s="23" t="str">
        <f>IF(B44="","",IFERROR(AVERAGEIFS(STG_ActiveFact[DaysNotificationToPayment],STG_ActiveFact[CompanyID],B44,STG_ActiveFact[DaysNotificationToPayment],"&gt;=0"),"n/a"))</f>
        <v/>
      </c>
      <c r="I44" s="24" t="str">
        <f>IF(OR(B44="",N(G44)=0),"",SUMIFS(STG_ActiveFact[IsFirstLineOfCaseInPeriod],STG_ActiveFact[CompanyID],B44,STG_ActiveFact[CaseLinesToDate],"&gt;=2")/G44)</f>
        <v/>
      </c>
      <c r="J44" s="19" t="str">
        <f>IF(B44="","",SUMIFS(STG_Summary[GrossAmountTRY],STG_Summary[PeriodKey],cpPrevPeriod,STG_Summary[CompanyID],B44,STG_Summary[DataSource],"ARCHIVE"))</f>
        <v/>
      </c>
      <c r="K44" s="22" t="str">
        <f t="shared" si="1"/>
        <v/>
      </c>
    </row>
    <row r="45" spans="1:11">
      <c r="A45" s="1"/>
      <c r="B45" s="16" t="str">
        <f>IF(26&gt;ROWS(tblDimCompany[CompanyID]),"",INDEX(tblDimCompany[CompanyID],26)&amp;"")</f>
        <v/>
      </c>
      <c r="C45" s="16" t="str">
        <f>IF(B45="","",INDEX(tblDimCompany[CompanyName],26))</f>
        <v/>
      </c>
      <c r="D45" s="19" t="str">
        <f>IF(B45="","",SUMIFS(STG_ActiveFact[GrossAmountTRY],STG_ActiveFact[CompanyID],B45))</f>
        <v/>
      </c>
      <c r="E45" s="19" t="str">
        <f>IF(B45="","",SUMIFS(STG_ActiveFact[NetAmountTRY],STG_ActiveFact[CompanyID],B45))</f>
        <v/>
      </c>
      <c r="F45" s="22" t="str">
        <f t="shared" si="0"/>
        <v/>
      </c>
      <c r="G45" s="18" t="str">
        <f>IF(B45="","",SUMIFS(STG_ActiveFact[IsFirstLineOfCaseInPeriod],STG_ActiveFact[CompanyID],B45))</f>
        <v/>
      </c>
      <c r="H45" s="23" t="str">
        <f>IF(B45="","",IFERROR(AVERAGEIFS(STG_ActiveFact[DaysNotificationToPayment],STG_ActiveFact[CompanyID],B45,STG_ActiveFact[DaysNotificationToPayment],"&gt;=0"),"n/a"))</f>
        <v/>
      </c>
      <c r="I45" s="24" t="str">
        <f>IF(OR(B45="",N(G45)=0),"",SUMIFS(STG_ActiveFact[IsFirstLineOfCaseInPeriod],STG_ActiveFact[CompanyID],B45,STG_ActiveFact[CaseLinesToDate],"&gt;=2")/G45)</f>
        <v/>
      </c>
      <c r="J45" s="19" t="str">
        <f>IF(B45="","",SUMIFS(STG_Summary[GrossAmountTRY],STG_Summary[PeriodKey],cpPrevPeriod,STG_Summary[CompanyID],B45,STG_Summary[DataSource],"ARCHIVE"))</f>
        <v/>
      </c>
      <c r="K45" s="22" t="str">
        <f t="shared" si="1"/>
        <v/>
      </c>
    </row>
    <row r="46" spans="1:11">
      <c r="A46" s="1"/>
      <c r="B46" s="16" t="str">
        <f>IF(27&gt;ROWS(tblDimCompany[CompanyID]),"",INDEX(tblDimCompany[CompanyID],27)&amp;"")</f>
        <v/>
      </c>
      <c r="C46" s="16" t="str">
        <f>IF(B46="","",INDEX(tblDimCompany[CompanyName],27))</f>
        <v/>
      </c>
      <c r="D46" s="19" t="str">
        <f>IF(B46="","",SUMIFS(STG_ActiveFact[GrossAmountTRY],STG_ActiveFact[CompanyID],B46))</f>
        <v/>
      </c>
      <c r="E46" s="19" t="str">
        <f>IF(B46="","",SUMIFS(STG_ActiveFact[NetAmountTRY],STG_ActiveFact[CompanyID],B46))</f>
        <v/>
      </c>
      <c r="F46" s="22" t="str">
        <f t="shared" si="0"/>
        <v/>
      </c>
      <c r="G46" s="18" t="str">
        <f>IF(B46="","",SUMIFS(STG_ActiveFact[IsFirstLineOfCaseInPeriod],STG_ActiveFact[CompanyID],B46))</f>
        <v/>
      </c>
      <c r="H46" s="23" t="str">
        <f>IF(B46="","",IFERROR(AVERAGEIFS(STG_ActiveFact[DaysNotificationToPayment],STG_ActiveFact[CompanyID],B46,STG_ActiveFact[DaysNotificationToPayment],"&gt;=0"),"n/a"))</f>
        <v/>
      </c>
      <c r="I46" s="24" t="str">
        <f>IF(OR(B46="",N(G46)=0),"",SUMIFS(STG_ActiveFact[IsFirstLineOfCaseInPeriod],STG_ActiveFact[CompanyID],B46,STG_ActiveFact[CaseLinesToDate],"&gt;=2")/G46)</f>
        <v/>
      </c>
      <c r="J46" s="19" t="str">
        <f>IF(B46="","",SUMIFS(STG_Summary[GrossAmountTRY],STG_Summary[PeriodKey],cpPrevPeriod,STG_Summary[CompanyID],B46,STG_Summary[DataSource],"ARCHIVE"))</f>
        <v/>
      </c>
      <c r="K46" s="22" t="str">
        <f t="shared" si="1"/>
        <v/>
      </c>
    </row>
    <row r="47" spans="1:11">
      <c r="A47" s="1"/>
      <c r="B47" s="16" t="str">
        <f>IF(28&gt;ROWS(tblDimCompany[CompanyID]),"",INDEX(tblDimCompany[CompanyID],28)&amp;"")</f>
        <v/>
      </c>
      <c r="C47" s="16" t="str">
        <f>IF(B47="","",INDEX(tblDimCompany[CompanyName],28))</f>
        <v/>
      </c>
      <c r="D47" s="19" t="str">
        <f>IF(B47="","",SUMIFS(STG_ActiveFact[GrossAmountTRY],STG_ActiveFact[CompanyID],B47))</f>
        <v/>
      </c>
      <c r="E47" s="19" t="str">
        <f>IF(B47="","",SUMIFS(STG_ActiveFact[NetAmountTRY],STG_ActiveFact[CompanyID],B47))</f>
        <v/>
      </c>
      <c r="F47" s="22" t="str">
        <f t="shared" si="0"/>
        <v/>
      </c>
      <c r="G47" s="18" t="str">
        <f>IF(B47="","",SUMIFS(STG_ActiveFact[IsFirstLineOfCaseInPeriod],STG_ActiveFact[CompanyID],B47))</f>
        <v/>
      </c>
      <c r="H47" s="23" t="str">
        <f>IF(B47="","",IFERROR(AVERAGEIFS(STG_ActiveFact[DaysNotificationToPayment],STG_ActiveFact[CompanyID],B47,STG_ActiveFact[DaysNotificationToPayment],"&gt;=0"),"n/a"))</f>
        <v/>
      </c>
      <c r="I47" s="24" t="str">
        <f>IF(OR(B47="",N(G47)=0),"",SUMIFS(STG_ActiveFact[IsFirstLineOfCaseInPeriod],STG_ActiveFact[CompanyID],B47,STG_ActiveFact[CaseLinesToDate],"&gt;=2")/G47)</f>
        <v/>
      </c>
      <c r="J47" s="19" t="str">
        <f>IF(B47="","",SUMIFS(STG_Summary[GrossAmountTRY],STG_Summary[PeriodKey],cpPrevPeriod,STG_Summary[CompanyID],B47,STG_Summary[DataSource],"ARCHIVE"))</f>
        <v/>
      </c>
      <c r="K47" s="22" t="str">
        <f t="shared" si="1"/>
        <v/>
      </c>
    </row>
    <row r="48" spans="1:11">
      <c r="A48" s="1"/>
      <c r="B48" s="16" t="str">
        <f>IF(29&gt;ROWS(tblDimCompany[CompanyID]),"",INDEX(tblDimCompany[CompanyID],29)&amp;"")</f>
        <v/>
      </c>
      <c r="C48" s="16" t="str">
        <f>IF(B48="","",INDEX(tblDimCompany[CompanyName],29))</f>
        <v/>
      </c>
      <c r="D48" s="19" t="str">
        <f>IF(B48="","",SUMIFS(STG_ActiveFact[GrossAmountTRY],STG_ActiveFact[CompanyID],B48))</f>
        <v/>
      </c>
      <c r="E48" s="19" t="str">
        <f>IF(B48="","",SUMIFS(STG_ActiveFact[NetAmountTRY],STG_ActiveFact[CompanyID],B48))</f>
        <v/>
      </c>
      <c r="F48" s="22" t="str">
        <f t="shared" si="0"/>
        <v/>
      </c>
      <c r="G48" s="18" t="str">
        <f>IF(B48="","",SUMIFS(STG_ActiveFact[IsFirstLineOfCaseInPeriod],STG_ActiveFact[CompanyID],B48))</f>
        <v/>
      </c>
      <c r="H48" s="23" t="str">
        <f>IF(B48="","",IFERROR(AVERAGEIFS(STG_ActiveFact[DaysNotificationToPayment],STG_ActiveFact[CompanyID],B48,STG_ActiveFact[DaysNotificationToPayment],"&gt;=0"),"n/a"))</f>
        <v/>
      </c>
      <c r="I48" s="24" t="str">
        <f>IF(OR(B48="",N(G48)=0),"",SUMIFS(STG_ActiveFact[IsFirstLineOfCaseInPeriod],STG_ActiveFact[CompanyID],B48,STG_ActiveFact[CaseLinesToDate],"&gt;=2")/G48)</f>
        <v/>
      </c>
      <c r="J48" s="19" t="str">
        <f>IF(B48="","",SUMIFS(STG_Summary[GrossAmountTRY],STG_Summary[PeriodKey],cpPrevPeriod,STG_Summary[CompanyID],B48,STG_Summary[DataSource],"ARCHIVE"))</f>
        <v/>
      </c>
      <c r="K48" s="22" t="str">
        <f t="shared" si="1"/>
        <v/>
      </c>
    </row>
    <row r="49" spans="1:11">
      <c r="A49" s="1"/>
      <c r="B49" s="16" t="str">
        <f>IF(30&gt;ROWS(tblDimCompany[CompanyID]),"",INDEX(tblDimCompany[CompanyID],30)&amp;"")</f>
        <v/>
      </c>
      <c r="C49" s="16" t="str">
        <f>IF(B49="","",INDEX(tblDimCompany[CompanyName],30))</f>
        <v/>
      </c>
      <c r="D49" s="19" t="str">
        <f>IF(B49="","",SUMIFS(STG_ActiveFact[GrossAmountTRY],STG_ActiveFact[CompanyID],B49))</f>
        <v/>
      </c>
      <c r="E49" s="19" t="str">
        <f>IF(B49="","",SUMIFS(STG_ActiveFact[NetAmountTRY],STG_ActiveFact[CompanyID],B49))</f>
        <v/>
      </c>
      <c r="F49" s="22" t="str">
        <f t="shared" si="0"/>
        <v/>
      </c>
      <c r="G49" s="18" t="str">
        <f>IF(B49="","",SUMIFS(STG_ActiveFact[IsFirstLineOfCaseInPeriod],STG_ActiveFact[CompanyID],B49))</f>
        <v/>
      </c>
      <c r="H49" s="23" t="str">
        <f>IF(B49="","",IFERROR(AVERAGEIFS(STG_ActiveFact[DaysNotificationToPayment],STG_ActiveFact[CompanyID],B49,STG_ActiveFact[DaysNotificationToPayment],"&gt;=0"),"n/a"))</f>
        <v/>
      </c>
      <c r="I49" s="24" t="str">
        <f>IF(OR(B49="",N(G49)=0),"",SUMIFS(STG_ActiveFact[IsFirstLineOfCaseInPeriod],STG_ActiveFact[CompanyID],B49,STG_ActiveFact[CaseLinesToDate],"&gt;=2")/G49)</f>
        <v/>
      </c>
      <c r="J49" s="19" t="str">
        <f>IF(B49="","",SUMIFS(STG_Summary[GrossAmountTRY],STG_Summary[PeriodKey],cpPrevPeriod,STG_Summary[CompanyID],B49,STG_Summary[DataSource],"ARCHIVE"))</f>
        <v/>
      </c>
      <c r="K49" s="22" t="str">
        <f t="shared" si="1"/>
        <v/>
      </c>
    </row>
    <row r="50" spans="1:11">
      <c r="A50" s="1"/>
      <c r="B50" s="16" t="str">
        <f>IF(31&gt;ROWS(tblDimCompany[CompanyID]),"",INDEX(tblDimCompany[CompanyID],31)&amp;"")</f>
        <v/>
      </c>
      <c r="C50" s="16" t="str">
        <f>IF(B50="","",INDEX(tblDimCompany[CompanyName],31))</f>
        <v/>
      </c>
      <c r="D50" s="19" t="str">
        <f>IF(B50="","",SUMIFS(STG_ActiveFact[GrossAmountTRY],STG_ActiveFact[CompanyID],B50))</f>
        <v/>
      </c>
      <c r="E50" s="19" t="str">
        <f>IF(B50="","",SUMIFS(STG_ActiveFact[NetAmountTRY],STG_ActiveFact[CompanyID],B50))</f>
        <v/>
      </c>
      <c r="F50" s="22" t="str">
        <f t="shared" si="0"/>
        <v/>
      </c>
      <c r="G50" s="18" t="str">
        <f>IF(B50="","",SUMIFS(STG_ActiveFact[IsFirstLineOfCaseInPeriod],STG_ActiveFact[CompanyID],B50))</f>
        <v/>
      </c>
      <c r="H50" s="23" t="str">
        <f>IF(B50="","",IFERROR(AVERAGEIFS(STG_ActiveFact[DaysNotificationToPayment],STG_ActiveFact[CompanyID],B50,STG_ActiveFact[DaysNotificationToPayment],"&gt;=0"),"n/a"))</f>
        <v/>
      </c>
      <c r="I50" s="24" t="str">
        <f>IF(OR(B50="",N(G50)=0),"",SUMIFS(STG_ActiveFact[IsFirstLineOfCaseInPeriod],STG_ActiveFact[CompanyID],B50,STG_ActiveFact[CaseLinesToDate],"&gt;=2")/G50)</f>
        <v/>
      </c>
      <c r="J50" s="19" t="str">
        <f>IF(B50="","",SUMIFS(STG_Summary[GrossAmountTRY],STG_Summary[PeriodKey],cpPrevPeriod,STG_Summary[CompanyID],B50,STG_Summary[DataSource],"ARCHIVE"))</f>
        <v/>
      </c>
      <c r="K50" s="22" t="str">
        <f t="shared" si="1"/>
        <v/>
      </c>
    </row>
    <row r="51" spans="1:11">
      <c r="A51" s="1"/>
      <c r="B51" s="16" t="str">
        <f>IF(32&gt;ROWS(tblDimCompany[CompanyID]),"",INDEX(tblDimCompany[CompanyID],32)&amp;"")</f>
        <v/>
      </c>
      <c r="C51" s="16" t="str">
        <f>IF(B51="","",INDEX(tblDimCompany[CompanyName],32))</f>
        <v/>
      </c>
      <c r="D51" s="19" t="str">
        <f>IF(B51="","",SUMIFS(STG_ActiveFact[GrossAmountTRY],STG_ActiveFact[CompanyID],B51))</f>
        <v/>
      </c>
      <c r="E51" s="19" t="str">
        <f>IF(B51="","",SUMIFS(STG_ActiveFact[NetAmountTRY],STG_ActiveFact[CompanyID],B51))</f>
        <v/>
      </c>
      <c r="F51" s="22" t="str">
        <f t="shared" si="0"/>
        <v/>
      </c>
      <c r="G51" s="18" t="str">
        <f>IF(B51="","",SUMIFS(STG_ActiveFact[IsFirstLineOfCaseInPeriod],STG_ActiveFact[CompanyID],B51))</f>
        <v/>
      </c>
      <c r="H51" s="23" t="str">
        <f>IF(B51="","",IFERROR(AVERAGEIFS(STG_ActiveFact[DaysNotificationToPayment],STG_ActiveFact[CompanyID],B51,STG_ActiveFact[DaysNotificationToPayment],"&gt;=0"),"n/a"))</f>
        <v/>
      </c>
      <c r="I51" s="24" t="str">
        <f>IF(OR(B51="",N(G51)=0),"",SUMIFS(STG_ActiveFact[IsFirstLineOfCaseInPeriod],STG_ActiveFact[CompanyID],B51,STG_ActiveFact[CaseLinesToDate],"&gt;=2")/G51)</f>
        <v/>
      </c>
      <c r="J51" s="19" t="str">
        <f>IF(B51="","",SUMIFS(STG_Summary[GrossAmountTRY],STG_Summary[PeriodKey],cpPrevPeriod,STG_Summary[CompanyID],B51,STG_Summary[DataSource],"ARCHIVE"))</f>
        <v/>
      </c>
      <c r="K51" s="22" t="str">
        <f t="shared" si="1"/>
        <v/>
      </c>
    </row>
    <row r="52" spans="1:11">
      <c r="A52" s="1"/>
      <c r="B52" s="16" t="str">
        <f>IF(33&gt;ROWS(tblDimCompany[CompanyID]),"",INDEX(tblDimCompany[CompanyID],33)&amp;"")</f>
        <v/>
      </c>
      <c r="C52" s="16" t="str">
        <f>IF(B52="","",INDEX(tblDimCompany[CompanyName],33))</f>
        <v/>
      </c>
      <c r="D52" s="19" t="str">
        <f>IF(B52="","",SUMIFS(STG_ActiveFact[GrossAmountTRY],STG_ActiveFact[CompanyID],B52))</f>
        <v/>
      </c>
      <c r="E52" s="19" t="str">
        <f>IF(B52="","",SUMIFS(STG_ActiveFact[NetAmountTRY],STG_ActiveFact[CompanyID],B52))</f>
        <v/>
      </c>
      <c r="F52" s="22" t="str">
        <f t="shared" si="0"/>
        <v/>
      </c>
      <c r="G52" s="18" t="str">
        <f>IF(B52="","",SUMIFS(STG_ActiveFact[IsFirstLineOfCaseInPeriod],STG_ActiveFact[CompanyID],B52))</f>
        <v/>
      </c>
      <c r="H52" s="23" t="str">
        <f>IF(B52="","",IFERROR(AVERAGEIFS(STG_ActiveFact[DaysNotificationToPayment],STG_ActiveFact[CompanyID],B52,STG_ActiveFact[DaysNotificationToPayment],"&gt;=0"),"n/a"))</f>
        <v/>
      </c>
      <c r="I52" s="24" t="str">
        <f>IF(OR(B52="",N(G52)=0),"",SUMIFS(STG_ActiveFact[IsFirstLineOfCaseInPeriod],STG_ActiveFact[CompanyID],B52,STG_ActiveFact[CaseLinesToDate],"&gt;=2")/G52)</f>
        <v/>
      </c>
      <c r="J52" s="19" t="str">
        <f>IF(B52="","",SUMIFS(STG_Summary[GrossAmountTRY],STG_Summary[PeriodKey],cpPrevPeriod,STG_Summary[CompanyID],B52,STG_Summary[DataSource],"ARCHIVE"))</f>
        <v/>
      </c>
      <c r="K52" s="22" t="str">
        <f t="shared" si="1"/>
        <v/>
      </c>
    </row>
    <row r="53" spans="1:11">
      <c r="A53" s="1"/>
      <c r="B53" s="16" t="str">
        <f>IF(34&gt;ROWS(tblDimCompany[CompanyID]),"",INDEX(tblDimCompany[CompanyID],34)&amp;"")</f>
        <v/>
      </c>
      <c r="C53" s="16" t="str">
        <f>IF(B53="","",INDEX(tblDimCompany[CompanyName],34))</f>
        <v/>
      </c>
      <c r="D53" s="19" t="str">
        <f>IF(B53="","",SUMIFS(STG_ActiveFact[GrossAmountTRY],STG_ActiveFact[CompanyID],B53))</f>
        <v/>
      </c>
      <c r="E53" s="19" t="str">
        <f>IF(B53="","",SUMIFS(STG_ActiveFact[NetAmountTRY],STG_ActiveFact[CompanyID],B53))</f>
        <v/>
      </c>
      <c r="F53" s="22" t="str">
        <f t="shared" si="0"/>
        <v/>
      </c>
      <c r="G53" s="18" t="str">
        <f>IF(B53="","",SUMIFS(STG_ActiveFact[IsFirstLineOfCaseInPeriod],STG_ActiveFact[CompanyID],B53))</f>
        <v/>
      </c>
      <c r="H53" s="23" t="str">
        <f>IF(B53="","",IFERROR(AVERAGEIFS(STG_ActiveFact[DaysNotificationToPayment],STG_ActiveFact[CompanyID],B53,STG_ActiveFact[DaysNotificationToPayment],"&gt;=0"),"n/a"))</f>
        <v/>
      </c>
      <c r="I53" s="24" t="str">
        <f>IF(OR(B53="",N(G53)=0),"",SUMIFS(STG_ActiveFact[IsFirstLineOfCaseInPeriod],STG_ActiveFact[CompanyID],B53,STG_ActiveFact[CaseLinesToDate],"&gt;=2")/G53)</f>
        <v/>
      </c>
      <c r="J53" s="19" t="str">
        <f>IF(B53="","",SUMIFS(STG_Summary[GrossAmountTRY],STG_Summary[PeriodKey],cpPrevPeriod,STG_Summary[CompanyID],B53,STG_Summary[DataSource],"ARCHIVE"))</f>
        <v/>
      </c>
      <c r="K53" s="22" t="str">
        <f t="shared" si="1"/>
        <v/>
      </c>
    </row>
    <row r="54" spans="1:11">
      <c r="A54" s="1"/>
      <c r="B54" s="16" t="str">
        <f>IF(35&gt;ROWS(tblDimCompany[CompanyID]),"",INDEX(tblDimCompany[CompanyID],35)&amp;"")</f>
        <v/>
      </c>
      <c r="C54" s="16" t="str">
        <f>IF(B54="","",INDEX(tblDimCompany[CompanyName],35))</f>
        <v/>
      </c>
      <c r="D54" s="19" t="str">
        <f>IF(B54="","",SUMIFS(STG_ActiveFact[GrossAmountTRY],STG_ActiveFact[CompanyID],B54))</f>
        <v/>
      </c>
      <c r="E54" s="19" t="str">
        <f>IF(B54="","",SUMIFS(STG_ActiveFact[NetAmountTRY],STG_ActiveFact[CompanyID],B54))</f>
        <v/>
      </c>
      <c r="F54" s="22" t="str">
        <f t="shared" si="0"/>
        <v/>
      </c>
      <c r="G54" s="18" t="str">
        <f>IF(B54="","",SUMIFS(STG_ActiveFact[IsFirstLineOfCaseInPeriod],STG_ActiveFact[CompanyID],B54))</f>
        <v/>
      </c>
      <c r="H54" s="23" t="str">
        <f>IF(B54="","",IFERROR(AVERAGEIFS(STG_ActiveFact[DaysNotificationToPayment],STG_ActiveFact[CompanyID],B54,STG_ActiveFact[DaysNotificationToPayment],"&gt;=0"),"n/a"))</f>
        <v/>
      </c>
      <c r="I54" s="24" t="str">
        <f>IF(OR(B54="",N(G54)=0),"",SUMIFS(STG_ActiveFact[IsFirstLineOfCaseInPeriod],STG_ActiveFact[CompanyID],B54,STG_ActiveFact[CaseLinesToDate],"&gt;=2")/G54)</f>
        <v/>
      </c>
      <c r="J54" s="19" t="str">
        <f>IF(B54="","",SUMIFS(STG_Summary[GrossAmountTRY],STG_Summary[PeriodKey],cpPrevPeriod,STG_Summary[CompanyID],B54,STG_Summary[DataSource],"ARCHIVE"))</f>
        <v/>
      </c>
      <c r="K54" s="22" t="str">
        <f t="shared" si="1"/>
        <v/>
      </c>
    </row>
    <row r="55" spans="1:11">
      <c r="A55" s="1"/>
      <c r="B55" s="16" t="str">
        <f>IF(36&gt;ROWS(tblDimCompany[CompanyID]),"",INDEX(tblDimCompany[CompanyID],36)&amp;"")</f>
        <v/>
      </c>
      <c r="C55" s="16" t="str">
        <f>IF(B55="","",INDEX(tblDimCompany[CompanyName],36))</f>
        <v/>
      </c>
      <c r="D55" s="19" t="str">
        <f>IF(B55="","",SUMIFS(STG_ActiveFact[GrossAmountTRY],STG_ActiveFact[CompanyID],B55))</f>
        <v/>
      </c>
      <c r="E55" s="19" t="str">
        <f>IF(B55="","",SUMIFS(STG_ActiveFact[NetAmountTRY],STG_ActiveFact[CompanyID],B55))</f>
        <v/>
      </c>
      <c r="F55" s="22" t="str">
        <f t="shared" si="0"/>
        <v/>
      </c>
      <c r="G55" s="18" t="str">
        <f>IF(B55="","",SUMIFS(STG_ActiveFact[IsFirstLineOfCaseInPeriod],STG_ActiveFact[CompanyID],B55))</f>
        <v/>
      </c>
      <c r="H55" s="23" t="str">
        <f>IF(B55="","",IFERROR(AVERAGEIFS(STG_ActiveFact[DaysNotificationToPayment],STG_ActiveFact[CompanyID],B55,STG_ActiveFact[DaysNotificationToPayment],"&gt;=0"),"n/a"))</f>
        <v/>
      </c>
      <c r="I55" s="24" t="str">
        <f>IF(OR(B55="",N(G55)=0),"",SUMIFS(STG_ActiveFact[IsFirstLineOfCaseInPeriod],STG_ActiveFact[CompanyID],B55,STG_ActiveFact[CaseLinesToDate],"&gt;=2")/G55)</f>
        <v/>
      </c>
      <c r="J55" s="19" t="str">
        <f>IF(B55="","",SUMIFS(STG_Summary[GrossAmountTRY],STG_Summary[PeriodKey],cpPrevPeriod,STG_Summary[CompanyID],B55,STG_Summary[DataSource],"ARCHIVE"))</f>
        <v/>
      </c>
      <c r="K55" s="22" t="str">
        <f t="shared" si="1"/>
        <v/>
      </c>
    </row>
    <row r="56" spans="1:11">
      <c r="A56" s="1"/>
      <c r="B56" s="16" t="str">
        <f>IF(37&gt;ROWS(tblDimCompany[CompanyID]),"",INDEX(tblDimCompany[CompanyID],37)&amp;"")</f>
        <v/>
      </c>
      <c r="C56" s="16" t="str">
        <f>IF(B56="","",INDEX(tblDimCompany[CompanyName],37))</f>
        <v/>
      </c>
      <c r="D56" s="19" t="str">
        <f>IF(B56="","",SUMIFS(STG_ActiveFact[GrossAmountTRY],STG_ActiveFact[CompanyID],B56))</f>
        <v/>
      </c>
      <c r="E56" s="19" t="str">
        <f>IF(B56="","",SUMIFS(STG_ActiveFact[NetAmountTRY],STG_ActiveFact[CompanyID],B56))</f>
        <v/>
      </c>
      <c r="F56" s="22" t="str">
        <f t="shared" si="0"/>
        <v/>
      </c>
      <c r="G56" s="18" t="str">
        <f>IF(B56="","",SUMIFS(STG_ActiveFact[IsFirstLineOfCaseInPeriod],STG_ActiveFact[CompanyID],B56))</f>
        <v/>
      </c>
      <c r="H56" s="23" t="str">
        <f>IF(B56="","",IFERROR(AVERAGEIFS(STG_ActiveFact[DaysNotificationToPayment],STG_ActiveFact[CompanyID],B56,STG_ActiveFact[DaysNotificationToPayment],"&gt;=0"),"n/a"))</f>
        <v/>
      </c>
      <c r="I56" s="24" t="str">
        <f>IF(OR(B56="",N(G56)=0),"",SUMIFS(STG_ActiveFact[IsFirstLineOfCaseInPeriod],STG_ActiveFact[CompanyID],B56,STG_ActiveFact[CaseLinesToDate],"&gt;=2")/G56)</f>
        <v/>
      </c>
      <c r="J56" s="19" t="str">
        <f>IF(B56="","",SUMIFS(STG_Summary[GrossAmountTRY],STG_Summary[PeriodKey],cpPrevPeriod,STG_Summary[CompanyID],B56,STG_Summary[DataSource],"ARCHIVE"))</f>
        <v/>
      </c>
      <c r="K56" s="22" t="str">
        <f t="shared" si="1"/>
        <v/>
      </c>
    </row>
    <row r="57" spans="1:11">
      <c r="A57" s="1"/>
      <c r="B57" s="16" t="str">
        <f>IF(38&gt;ROWS(tblDimCompany[CompanyID]),"",INDEX(tblDimCompany[CompanyID],38)&amp;"")</f>
        <v/>
      </c>
      <c r="C57" s="16" t="str">
        <f>IF(B57="","",INDEX(tblDimCompany[CompanyName],38))</f>
        <v/>
      </c>
      <c r="D57" s="19" t="str">
        <f>IF(B57="","",SUMIFS(STG_ActiveFact[GrossAmountTRY],STG_ActiveFact[CompanyID],B57))</f>
        <v/>
      </c>
      <c r="E57" s="19" t="str">
        <f>IF(B57="","",SUMIFS(STG_ActiveFact[NetAmountTRY],STG_ActiveFact[CompanyID],B57))</f>
        <v/>
      </c>
      <c r="F57" s="22" t="str">
        <f t="shared" si="0"/>
        <v/>
      </c>
      <c r="G57" s="18" t="str">
        <f>IF(B57="","",SUMIFS(STG_ActiveFact[IsFirstLineOfCaseInPeriod],STG_ActiveFact[CompanyID],B57))</f>
        <v/>
      </c>
      <c r="H57" s="23" t="str">
        <f>IF(B57="","",IFERROR(AVERAGEIFS(STG_ActiveFact[DaysNotificationToPayment],STG_ActiveFact[CompanyID],B57,STG_ActiveFact[DaysNotificationToPayment],"&gt;=0"),"n/a"))</f>
        <v/>
      </c>
      <c r="I57" s="24" t="str">
        <f>IF(OR(B57="",N(G57)=0),"",SUMIFS(STG_ActiveFact[IsFirstLineOfCaseInPeriod],STG_ActiveFact[CompanyID],B57,STG_ActiveFact[CaseLinesToDate],"&gt;=2")/G57)</f>
        <v/>
      </c>
      <c r="J57" s="19" t="str">
        <f>IF(B57="","",SUMIFS(STG_Summary[GrossAmountTRY],STG_Summary[PeriodKey],cpPrevPeriod,STG_Summary[CompanyID],B57,STG_Summary[DataSource],"ARCHIVE"))</f>
        <v/>
      </c>
      <c r="K57" s="22" t="str">
        <f t="shared" si="1"/>
        <v/>
      </c>
    </row>
    <row r="58" spans="1:11">
      <c r="A58" s="1"/>
      <c r="B58" s="16" t="str">
        <f>IF(39&gt;ROWS(tblDimCompany[CompanyID]),"",INDEX(tblDimCompany[CompanyID],39)&amp;"")</f>
        <v/>
      </c>
      <c r="C58" s="16" t="str">
        <f>IF(B58="","",INDEX(tblDimCompany[CompanyName],39))</f>
        <v/>
      </c>
      <c r="D58" s="19" t="str">
        <f>IF(B58="","",SUMIFS(STG_ActiveFact[GrossAmountTRY],STG_ActiveFact[CompanyID],B58))</f>
        <v/>
      </c>
      <c r="E58" s="19" t="str">
        <f>IF(B58="","",SUMIFS(STG_ActiveFact[NetAmountTRY],STG_ActiveFact[CompanyID],B58))</f>
        <v/>
      </c>
      <c r="F58" s="22" t="str">
        <f t="shared" si="0"/>
        <v/>
      </c>
      <c r="G58" s="18" t="str">
        <f>IF(B58="","",SUMIFS(STG_ActiveFact[IsFirstLineOfCaseInPeriod],STG_ActiveFact[CompanyID],B58))</f>
        <v/>
      </c>
      <c r="H58" s="23" t="str">
        <f>IF(B58="","",IFERROR(AVERAGEIFS(STG_ActiveFact[DaysNotificationToPayment],STG_ActiveFact[CompanyID],B58,STG_ActiveFact[DaysNotificationToPayment],"&gt;=0"),"n/a"))</f>
        <v/>
      </c>
      <c r="I58" s="24" t="str">
        <f>IF(OR(B58="",N(G58)=0),"",SUMIFS(STG_ActiveFact[IsFirstLineOfCaseInPeriod],STG_ActiveFact[CompanyID],B58,STG_ActiveFact[CaseLinesToDate],"&gt;=2")/G58)</f>
        <v/>
      </c>
      <c r="J58" s="19" t="str">
        <f>IF(B58="","",SUMIFS(STG_Summary[GrossAmountTRY],STG_Summary[PeriodKey],cpPrevPeriod,STG_Summary[CompanyID],B58,STG_Summary[DataSource],"ARCHIVE"))</f>
        <v/>
      </c>
      <c r="K58" s="22" t="str">
        <f t="shared" si="1"/>
        <v/>
      </c>
    </row>
    <row r="59" spans="1:11">
      <c r="A59" s="1"/>
      <c r="B59" s="16" t="str">
        <f>IF(40&gt;ROWS(tblDimCompany[CompanyID]),"",INDEX(tblDimCompany[CompanyID],40)&amp;"")</f>
        <v/>
      </c>
      <c r="C59" s="16" t="str">
        <f>IF(B59="","",INDEX(tblDimCompany[CompanyName],40))</f>
        <v/>
      </c>
      <c r="D59" s="19" t="str">
        <f>IF(B59="","",SUMIFS(STG_ActiveFact[GrossAmountTRY],STG_ActiveFact[CompanyID],B59))</f>
        <v/>
      </c>
      <c r="E59" s="19" t="str">
        <f>IF(B59="","",SUMIFS(STG_ActiveFact[NetAmountTRY],STG_ActiveFact[CompanyID],B59))</f>
        <v/>
      </c>
      <c r="F59" s="22" t="str">
        <f t="shared" si="0"/>
        <v/>
      </c>
      <c r="G59" s="18" t="str">
        <f>IF(B59="","",SUMIFS(STG_ActiveFact[IsFirstLineOfCaseInPeriod],STG_ActiveFact[CompanyID],B59))</f>
        <v/>
      </c>
      <c r="H59" s="23" t="str">
        <f>IF(B59="","",IFERROR(AVERAGEIFS(STG_ActiveFact[DaysNotificationToPayment],STG_ActiveFact[CompanyID],B59,STG_ActiveFact[DaysNotificationToPayment],"&gt;=0"),"n/a"))</f>
        <v/>
      </c>
      <c r="I59" s="24" t="str">
        <f>IF(OR(B59="",N(G59)=0),"",SUMIFS(STG_ActiveFact[IsFirstLineOfCaseInPeriod],STG_ActiveFact[CompanyID],B59,STG_ActiveFact[CaseLinesToDate],"&gt;=2")/G59)</f>
        <v/>
      </c>
      <c r="J59" s="19" t="str">
        <f>IF(B59="","",SUMIFS(STG_Summary[GrossAmountTRY],STG_Summary[PeriodKey],cpPrevPeriod,STG_Summary[CompanyID],B59,STG_Summary[DataSource],"ARCHIVE"))</f>
        <v/>
      </c>
      <c r="K59" s="22" t="str">
        <f t="shared" si="1"/>
        <v/>
      </c>
    </row>
    <row r="60" spans="1:11">
      <c r="A60" s="1"/>
      <c r="B60" s="8" t="s">
        <v>233</v>
      </c>
      <c r="C60" s="1"/>
      <c r="D60" s="25">
        <f>SUM(D20:D59)</f>
        <v>0</v>
      </c>
      <c r="E60" s="25">
        <f>SUM(E20:E59)</f>
        <v>0</v>
      </c>
      <c r="F60" s="26">
        <f>SUM(F20:F59)</f>
        <v>0</v>
      </c>
      <c r="G60" s="27">
        <f>SUM(G20:G59)</f>
        <v>0</v>
      </c>
      <c r="H60" s="1"/>
      <c r="I60" s="1"/>
      <c r="J60" s="25">
        <f>SUM(J20:J59)</f>
        <v>0</v>
      </c>
      <c r="K60" s="1"/>
    </row>
    <row r="61" spans="1:11">
      <c r="A61" s="1"/>
      <c r="B61" s="320" t="s">
        <v>234</v>
      </c>
      <c r="C61" s="321"/>
      <c r="D61" s="321"/>
      <c r="E61" s="321"/>
      <c r="F61" s="321"/>
      <c r="G61" s="321"/>
      <c r="H61" s="321"/>
      <c r="I61" s="321"/>
      <c r="J61" s="321"/>
      <c r="K61" s="321"/>
    </row>
    <row r="62" spans="1:11">
      <c r="A62" s="1"/>
      <c r="B62" s="20" t="str">
        <f>IF(AND(ROUND(D60-D6,2)=0,ROUND(E60-D7,2)=0,G60=D10,ROUND(J60-N(D11),2)=0),"OK","REVIEW")</f>
        <v>OK</v>
      </c>
      <c r="C62" s="14" t="s">
        <v>235</v>
      </c>
      <c r="D62" s="1"/>
      <c r="E62" s="1"/>
      <c r="F62" s="1"/>
      <c r="G62" s="1"/>
      <c r="H62" s="1"/>
      <c r="I62" s="1"/>
      <c r="J62" s="1"/>
      <c r="K62" s="1"/>
    </row>
  </sheetData>
  <sheetProtection algorithmName="SHA-512" hashValue="JIhoKSX2LrUelVkz9UC+2D8v+QUF3DiCEDmWui7lFahIvgWwDpHCCJa54w/Xi2cNxithz5PnR2dgQRpdNyoGmQ==" saltValue="CO6ZGBQ1RTV4pVqiL7K7xg==" spinCount="100000" sheet="1" scenarios="1" formatColumns="0" sort="0" autoFilter="0"/>
  <mergeCells count="1">
    <mergeCell ref="B61:K61"/>
  </mergeCells>
  <conditionalFormatting sqref="B62">
    <cfRule type="cellIs" dxfId="32" priority="1" operator="equal">
      <formula>"OK"</formula>
    </cfRule>
    <cfRule type="cellIs" dxfId="31" priority="2" operator="equal">
      <formula>"REVIEW"</formula>
    </cfRule>
    <cfRule type="cellIs" dxfId="30" priority="3" operator="equal">
      <formula>"NO INPUT"</formula>
    </cfRule>
    <cfRule type="cellIs" dxfId="29" priority="4" operator="equal">
      <formula>"INFO"</formula>
    </cfRule>
  </conditionalFormatting>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C000"/>
  </sheetPr>
  <dimension ref="A1:I61"/>
  <sheetViews>
    <sheetView showGridLines="0" workbookViewId="0">
      <pane xSplit="2" ySplit="4" topLeftCell="C5" activePane="bottomRight" state="frozen"/>
      <selection pane="topRight"/>
      <selection pane="bottomLeft"/>
      <selection pane="bottomRight"/>
    </sheetView>
  </sheetViews>
  <sheetFormatPr defaultRowHeight="12.75"/>
  <cols>
    <col min="1" max="1" width="18" customWidth="1"/>
    <col min="2" max="2" width="24" customWidth="1"/>
    <col min="3" max="3" width="46" customWidth="1"/>
    <col min="4" max="4" width="20" customWidth="1"/>
    <col min="5" max="5" width="60" customWidth="1"/>
    <col min="6" max="6" width="70" customWidth="1"/>
    <col min="8" max="8" width="24" customWidth="1"/>
    <col min="9" max="9" width="28" customWidth="1"/>
  </cols>
  <sheetData>
    <row r="1" spans="1:9" ht="20.25">
      <c r="A1" s="9" t="s">
        <v>15</v>
      </c>
      <c r="B1" s="1"/>
      <c r="C1" s="1"/>
      <c r="D1" s="1"/>
      <c r="E1" s="1"/>
      <c r="F1" s="1"/>
      <c r="G1" s="1"/>
      <c r="H1" s="1"/>
      <c r="I1" s="1"/>
    </row>
    <row r="2" spans="1:9">
      <c r="A2" s="10" t="s">
        <v>3865</v>
      </c>
      <c r="B2" s="1"/>
      <c r="C2" s="1"/>
      <c r="D2" s="1"/>
      <c r="E2" s="1"/>
      <c r="F2" s="1"/>
      <c r="G2" s="1"/>
      <c r="H2" s="1"/>
      <c r="I2" s="1"/>
    </row>
    <row r="3" spans="1:9">
      <c r="A3" s="1"/>
      <c r="B3" s="1"/>
      <c r="C3" s="1"/>
      <c r="D3" s="1"/>
      <c r="E3" s="1"/>
      <c r="F3" s="1"/>
      <c r="G3" s="1"/>
      <c r="H3" s="1"/>
      <c r="I3" s="1"/>
    </row>
    <row r="4" spans="1:9" ht="15">
      <c r="A4" s="5" t="s">
        <v>236</v>
      </c>
      <c r="B4" s="5" t="s">
        <v>237</v>
      </c>
      <c r="C4" s="5" t="s">
        <v>93</v>
      </c>
      <c r="D4" s="5" t="s">
        <v>238</v>
      </c>
      <c r="E4" s="5" t="s">
        <v>239</v>
      </c>
      <c r="F4" s="5" t="s">
        <v>240</v>
      </c>
      <c r="G4" s="1"/>
      <c r="H4" s="2" t="s">
        <v>241</v>
      </c>
      <c r="I4" s="3"/>
    </row>
    <row r="5" spans="1:9" ht="29.1" customHeight="1">
      <c r="A5" s="334" t="s">
        <v>245</v>
      </c>
      <c r="B5" s="335" t="s">
        <v>2</v>
      </c>
      <c r="C5" s="336"/>
      <c r="D5" s="335" t="s">
        <v>246</v>
      </c>
      <c r="E5" s="335" t="s">
        <v>3819</v>
      </c>
      <c r="F5" s="335" t="s">
        <v>2664</v>
      </c>
      <c r="G5" s="1"/>
      <c r="H5" s="11" t="s">
        <v>242</v>
      </c>
      <c r="I5" s="28" t="str">
        <f>_xlfn.LET(_xlpm.p,N(INDEX(tblParameters[Value],MATCH("ActivePeriod",tblParameters[Parameter],0))),IF(_xlpm.p=0,"",DATE(INT(_xlpm.p/100),MOD(_xlpm.p,100),1)))</f>
        <v/>
      </c>
    </row>
    <row r="6" spans="1:9" ht="29.1" customHeight="1">
      <c r="A6" s="334" t="s">
        <v>245</v>
      </c>
      <c r="B6" s="335" t="s">
        <v>3</v>
      </c>
      <c r="C6" s="336">
        <v>202409</v>
      </c>
      <c r="D6" s="335" t="s">
        <v>246</v>
      </c>
      <c r="E6" s="335" t="s">
        <v>21741</v>
      </c>
      <c r="F6" s="335" t="s">
        <v>21742</v>
      </c>
      <c r="G6" s="1"/>
      <c r="H6" s="11" t="s">
        <v>243</v>
      </c>
      <c r="I6" s="28" t="str">
        <f>IF(I5="","",EOMONTH(I5,0))</f>
        <v/>
      </c>
    </row>
    <row r="7" spans="1:9" ht="29.1" customHeight="1">
      <c r="A7" s="334" t="s">
        <v>3820</v>
      </c>
      <c r="B7" s="335" t="s">
        <v>3821</v>
      </c>
      <c r="C7" s="337"/>
      <c r="D7" s="335" t="s">
        <v>3822</v>
      </c>
      <c r="E7" s="335" t="s">
        <v>3823</v>
      </c>
      <c r="F7" s="335" t="s">
        <v>3824</v>
      </c>
      <c r="G7" s="1"/>
      <c r="H7" s="11" t="s">
        <v>244</v>
      </c>
      <c r="I7" s="15" t="str">
        <f>_xlfn.LET(_xlpm.p,N(INDEX(tblParameters[Value],MATCH("ActivePeriod",tblParameters[Parameter],0))),IF(_xlpm.p=0,"",IF(MOD(_xlpm.p,100)=1,_xlpm.p-89,_xlpm.p-1)))</f>
        <v/>
      </c>
    </row>
    <row r="8" spans="1:9" ht="29.1" customHeight="1">
      <c r="A8" s="334" t="s">
        <v>3820</v>
      </c>
      <c r="B8" s="335" t="s">
        <v>3825</v>
      </c>
      <c r="C8" s="337"/>
      <c r="D8" s="335" t="s">
        <v>3822</v>
      </c>
      <c r="E8" s="335" t="s">
        <v>3826</v>
      </c>
      <c r="F8" s="335" t="s">
        <v>3827</v>
      </c>
      <c r="G8" s="1"/>
      <c r="H8" s="11" t="s">
        <v>247</v>
      </c>
      <c r="I8" s="15">
        <f>IF(MOD(INDEX(tblParameters[Value],MATCH("ActivePeriod",tblParameters[Parameter],0)),100)=12,INDEX(tblParameters[Value],MATCH("ActivePeriod",tblParameters[Parameter],0))+89,INDEX(tblParameters[Value],MATCH("ActivePeriod",tblParameters[Parameter],0))+1)</f>
        <v>1</v>
      </c>
    </row>
    <row r="9" spans="1:9">
      <c r="A9" s="334" t="s">
        <v>3820</v>
      </c>
      <c r="B9" s="335" t="s">
        <v>3828</v>
      </c>
      <c r="C9" s="337"/>
      <c r="D9" s="335" t="s">
        <v>3822</v>
      </c>
      <c r="E9" s="335" t="s">
        <v>21743</v>
      </c>
      <c r="F9" s="335" t="s">
        <v>21744</v>
      </c>
      <c r="G9" s="1"/>
      <c r="H9" s="11" t="s">
        <v>248</v>
      </c>
      <c r="I9" s="11" t="str">
        <f>INDEX(tblParameters[Value],MATCH("ArchiveFilePrefix",tblParameters[Parameter],0))&amp;INDEX(tblParameters[Value],MATCH("ActivePeriod",tblParameters[Parameter],0))&amp;INDEX(tblParameters[Value],MATCH("FileExtension",tblParameters[Parameter],0))</f>
        <v>ARCHIVE_PAY_.xlsx</v>
      </c>
    </row>
    <row r="10" spans="1:9">
      <c r="A10" s="334" t="s">
        <v>3820</v>
      </c>
      <c r="B10" s="335" t="s">
        <v>3829</v>
      </c>
      <c r="C10" s="337"/>
      <c r="D10" s="335" t="s">
        <v>3822</v>
      </c>
      <c r="E10" s="335" t="s">
        <v>3830</v>
      </c>
      <c r="F10" s="335" t="s">
        <v>3831</v>
      </c>
      <c r="G10" s="1"/>
      <c r="H10" s="1"/>
      <c r="I10" s="1"/>
    </row>
    <row r="11" spans="1:9">
      <c r="A11" s="334" t="s">
        <v>3820</v>
      </c>
      <c r="B11" s="335" t="s">
        <v>2671</v>
      </c>
      <c r="C11" s="337"/>
      <c r="D11" s="335" t="s">
        <v>3822</v>
      </c>
      <c r="E11" s="335" t="s">
        <v>3832</v>
      </c>
      <c r="F11" s="335" t="s">
        <v>3833</v>
      </c>
      <c r="G11" s="1"/>
      <c r="H11" s="320" t="s">
        <v>257</v>
      </c>
      <c r="I11" s="321"/>
    </row>
    <row r="12" spans="1:9" ht="29.1" customHeight="1">
      <c r="A12" s="334" t="s">
        <v>3820</v>
      </c>
      <c r="B12" s="335" t="s">
        <v>2672</v>
      </c>
      <c r="C12" s="337"/>
      <c r="D12" s="335" t="s">
        <v>3822</v>
      </c>
      <c r="E12" s="335" t="s">
        <v>3834</v>
      </c>
      <c r="F12" s="335" t="s">
        <v>3835</v>
      </c>
      <c r="G12" s="1"/>
      <c r="H12" s="321"/>
      <c r="I12" s="321"/>
    </row>
    <row r="13" spans="1:9">
      <c r="A13" s="334" t="s">
        <v>3820</v>
      </c>
      <c r="B13" s="335" t="s">
        <v>3836</v>
      </c>
      <c r="C13" s="337"/>
      <c r="D13" s="335" t="s">
        <v>3837</v>
      </c>
      <c r="E13" s="335" t="s">
        <v>3838</v>
      </c>
      <c r="F13" s="335" t="s">
        <v>3839</v>
      </c>
      <c r="G13" s="1"/>
      <c r="H13" s="321"/>
      <c r="I13" s="321"/>
    </row>
    <row r="14" spans="1:9" ht="29.1" customHeight="1">
      <c r="A14" s="334" t="s">
        <v>3820</v>
      </c>
      <c r="B14" s="335" t="s">
        <v>3840</v>
      </c>
      <c r="C14" s="337"/>
      <c r="D14" s="335" t="s">
        <v>3841</v>
      </c>
      <c r="E14" s="335" t="s">
        <v>3842</v>
      </c>
      <c r="F14" s="335" t="s">
        <v>3843</v>
      </c>
      <c r="G14" s="1"/>
      <c r="H14" s="1"/>
      <c r="I14" s="1"/>
    </row>
    <row r="15" spans="1:9">
      <c r="A15" s="334" t="s">
        <v>3820</v>
      </c>
      <c r="B15" s="335" t="s">
        <v>3844</v>
      </c>
      <c r="C15" s="337"/>
      <c r="D15" s="335" t="s">
        <v>3845</v>
      </c>
      <c r="E15" s="335" t="s">
        <v>3846</v>
      </c>
      <c r="F15" s="335" t="s">
        <v>3847</v>
      </c>
      <c r="G15" s="1"/>
      <c r="H15" s="1"/>
      <c r="I15" s="1"/>
    </row>
    <row r="16" spans="1:9">
      <c r="A16" s="334" t="s">
        <v>249</v>
      </c>
      <c r="B16" s="335" t="s">
        <v>250</v>
      </c>
      <c r="C16" s="338" t="s">
        <v>251</v>
      </c>
      <c r="D16" s="335" t="s">
        <v>252</v>
      </c>
      <c r="E16" s="335" t="s">
        <v>253</v>
      </c>
      <c r="F16" s="335" t="s">
        <v>3848</v>
      </c>
      <c r="G16" s="1"/>
      <c r="H16" s="1"/>
      <c r="I16" s="1"/>
    </row>
    <row r="17" spans="1:9">
      <c r="A17" s="334" t="s">
        <v>249</v>
      </c>
      <c r="B17" s="335" t="s">
        <v>254</v>
      </c>
      <c r="C17" s="338" t="s">
        <v>255</v>
      </c>
      <c r="D17" s="335" t="s">
        <v>252</v>
      </c>
      <c r="E17" s="335" t="s">
        <v>256</v>
      </c>
      <c r="F17" s="335" t="s">
        <v>3849</v>
      </c>
      <c r="G17" s="1"/>
      <c r="H17" s="1"/>
      <c r="I17" s="1"/>
    </row>
    <row r="18" spans="1:9" ht="29.1" customHeight="1">
      <c r="A18" s="334" t="s">
        <v>249</v>
      </c>
      <c r="B18" s="335" t="s">
        <v>258</v>
      </c>
      <c r="C18" s="338" t="s">
        <v>259</v>
      </c>
      <c r="D18" s="335" t="s">
        <v>252</v>
      </c>
      <c r="E18" s="335" t="s">
        <v>21745</v>
      </c>
      <c r="F18" s="335" t="s">
        <v>2673</v>
      </c>
      <c r="G18" s="1"/>
      <c r="H18" s="1"/>
      <c r="I18" s="1"/>
    </row>
    <row r="19" spans="1:9">
      <c r="A19" s="334" t="s">
        <v>249</v>
      </c>
      <c r="B19" s="335" t="s">
        <v>260</v>
      </c>
      <c r="C19" s="338" t="s">
        <v>261</v>
      </c>
      <c r="D19" s="335" t="s">
        <v>252</v>
      </c>
      <c r="E19" s="335" t="s">
        <v>21746</v>
      </c>
      <c r="F19" s="335" t="s">
        <v>21747</v>
      </c>
      <c r="G19" s="1"/>
      <c r="H19" s="1"/>
      <c r="I19" s="1"/>
    </row>
    <row r="20" spans="1:9" ht="29.1" customHeight="1">
      <c r="A20" s="334" t="s">
        <v>249</v>
      </c>
      <c r="B20" s="335" t="s">
        <v>2674</v>
      </c>
      <c r="C20" s="338" t="s">
        <v>2675</v>
      </c>
      <c r="D20" s="335" t="s">
        <v>252</v>
      </c>
      <c r="E20" s="335" t="s">
        <v>21748</v>
      </c>
      <c r="F20" s="335" t="s">
        <v>21749</v>
      </c>
      <c r="G20" s="1"/>
      <c r="H20" s="1"/>
      <c r="I20" s="1"/>
    </row>
    <row r="21" spans="1:9" ht="29.1" customHeight="1">
      <c r="A21" s="334" t="s">
        <v>262</v>
      </c>
      <c r="B21" s="335" t="s">
        <v>263</v>
      </c>
      <c r="C21" s="338" t="s">
        <v>264</v>
      </c>
      <c r="D21" s="335" t="s">
        <v>265</v>
      </c>
      <c r="E21" s="335" t="s">
        <v>266</v>
      </c>
      <c r="F21" s="335" t="s">
        <v>267</v>
      </c>
      <c r="G21" s="1"/>
      <c r="H21" s="1"/>
      <c r="I21" s="1"/>
    </row>
    <row r="22" spans="1:9" ht="29.1" customHeight="1">
      <c r="A22" s="334" t="s">
        <v>262</v>
      </c>
      <c r="B22" s="335" t="s">
        <v>268</v>
      </c>
      <c r="C22" s="338" t="s">
        <v>269</v>
      </c>
      <c r="D22" s="335" t="s">
        <v>270</v>
      </c>
      <c r="E22" s="335" t="s">
        <v>271</v>
      </c>
      <c r="F22" s="335" t="s">
        <v>272</v>
      </c>
      <c r="G22" s="1"/>
      <c r="H22" s="1"/>
      <c r="I22" s="1"/>
    </row>
    <row r="23" spans="1:9" ht="29.1" customHeight="1">
      <c r="A23" s="334" t="s">
        <v>262</v>
      </c>
      <c r="B23" s="335" t="s">
        <v>273</v>
      </c>
      <c r="C23" s="336">
        <v>2000</v>
      </c>
      <c r="D23" s="335" t="s">
        <v>274</v>
      </c>
      <c r="E23" s="335" t="s">
        <v>2676</v>
      </c>
      <c r="F23" s="335" t="s">
        <v>275</v>
      </c>
      <c r="G23" s="1"/>
      <c r="H23" s="1"/>
      <c r="I23" s="1"/>
    </row>
    <row r="24" spans="1:9">
      <c r="A24" s="339" t="s">
        <v>262</v>
      </c>
      <c r="B24" s="339" t="s">
        <v>276</v>
      </c>
      <c r="C24" s="340">
        <v>2030</v>
      </c>
      <c r="D24" s="339" t="s">
        <v>274</v>
      </c>
      <c r="E24" s="339" t="s">
        <v>2677</v>
      </c>
      <c r="F24" s="339" t="s">
        <v>277</v>
      </c>
    </row>
    <row r="25" spans="1:9">
      <c r="A25" s="339" t="s">
        <v>262</v>
      </c>
      <c r="B25" s="339" t="s">
        <v>278</v>
      </c>
      <c r="C25" s="341" t="s">
        <v>279</v>
      </c>
      <c r="D25" s="339" t="s">
        <v>280</v>
      </c>
      <c r="E25" s="339" t="s">
        <v>2678</v>
      </c>
      <c r="F25" s="339" t="s">
        <v>2679</v>
      </c>
    </row>
    <row r="26" spans="1:9">
      <c r="A26" s="339" t="s">
        <v>262</v>
      </c>
      <c r="B26" s="339" t="s">
        <v>281</v>
      </c>
      <c r="C26" s="341" t="s">
        <v>282</v>
      </c>
      <c r="D26" s="339" t="s">
        <v>280</v>
      </c>
      <c r="E26" s="339" t="s">
        <v>2680</v>
      </c>
      <c r="F26" s="339" t="s">
        <v>3850</v>
      </c>
    </row>
    <row r="27" spans="1:9">
      <c r="A27" s="339" t="s">
        <v>262</v>
      </c>
      <c r="B27" s="339" t="s">
        <v>283</v>
      </c>
      <c r="C27" s="340">
        <v>10</v>
      </c>
      <c r="D27" s="339" t="s">
        <v>274</v>
      </c>
      <c r="E27" s="339" t="s">
        <v>284</v>
      </c>
      <c r="F27" s="339" t="s">
        <v>2681</v>
      </c>
    </row>
    <row r="28" spans="1:9">
      <c r="A28" s="339" t="s">
        <v>5</v>
      </c>
      <c r="B28" s="339" t="s">
        <v>2682</v>
      </c>
      <c r="C28" s="341" t="s">
        <v>2625</v>
      </c>
      <c r="D28" s="339" t="s">
        <v>3851</v>
      </c>
      <c r="E28" s="339" t="s">
        <v>3852</v>
      </c>
      <c r="F28" s="339" t="s">
        <v>3853</v>
      </c>
    </row>
    <row r="29" spans="1:9">
      <c r="A29" s="339" t="s">
        <v>5</v>
      </c>
      <c r="B29" s="339" t="s">
        <v>3854</v>
      </c>
      <c r="C29" s="341" t="s">
        <v>3863</v>
      </c>
      <c r="D29" s="339" t="s">
        <v>2667</v>
      </c>
      <c r="E29" s="339" t="s">
        <v>3855</v>
      </c>
      <c r="F29" s="339" t="s">
        <v>3856</v>
      </c>
    </row>
    <row r="30" spans="1:9">
      <c r="A30" s="339" t="s">
        <v>5</v>
      </c>
      <c r="B30" s="339" t="s">
        <v>2683</v>
      </c>
      <c r="C30" s="341" t="s">
        <v>2629</v>
      </c>
      <c r="D30" s="339" t="s">
        <v>2684</v>
      </c>
      <c r="E30" s="339" t="s">
        <v>2685</v>
      </c>
      <c r="F30" s="339" t="s">
        <v>2686</v>
      </c>
    </row>
    <row r="31" spans="1:9">
      <c r="A31" s="339" t="s">
        <v>5</v>
      </c>
      <c r="B31" s="339" t="s">
        <v>2687</v>
      </c>
      <c r="C31" s="341" t="s">
        <v>95</v>
      </c>
      <c r="D31" s="339" t="s">
        <v>2688</v>
      </c>
      <c r="E31" s="339" t="s">
        <v>3857</v>
      </c>
      <c r="F31" s="339" t="s">
        <v>2689</v>
      </c>
    </row>
    <row r="32" spans="1:9">
      <c r="A32" s="339" t="s">
        <v>5</v>
      </c>
      <c r="B32" s="339" t="s">
        <v>2690</v>
      </c>
      <c r="C32" s="342"/>
      <c r="D32" s="339" t="s">
        <v>129</v>
      </c>
      <c r="E32" s="339" t="s">
        <v>2691</v>
      </c>
      <c r="F32" s="339" t="s">
        <v>2692</v>
      </c>
    </row>
    <row r="33" spans="1:6">
      <c r="A33" s="339" t="s">
        <v>157</v>
      </c>
      <c r="B33" s="339" t="s">
        <v>285</v>
      </c>
      <c r="C33" s="341" t="s">
        <v>117</v>
      </c>
      <c r="D33" s="339" t="s">
        <v>286</v>
      </c>
      <c r="E33" s="339" t="s">
        <v>287</v>
      </c>
      <c r="F33" s="339" t="s">
        <v>288</v>
      </c>
    </row>
    <row r="34" spans="1:6">
      <c r="A34" s="339" t="s">
        <v>157</v>
      </c>
      <c r="B34" s="339" t="s">
        <v>289</v>
      </c>
      <c r="C34" s="340">
        <v>1</v>
      </c>
      <c r="D34" s="339" t="s">
        <v>290</v>
      </c>
      <c r="E34" s="339" t="s">
        <v>291</v>
      </c>
      <c r="F34" s="339" t="s">
        <v>2693</v>
      </c>
    </row>
    <row r="35" spans="1:6">
      <c r="A35" s="339" t="s">
        <v>157</v>
      </c>
      <c r="B35" s="339" t="s">
        <v>292</v>
      </c>
      <c r="C35" s="340">
        <v>0</v>
      </c>
      <c r="D35" s="339" t="s">
        <v>293</v>
      </c>
      <c r="E35" s="339" t="s">
        <v>294</v>
      </c>
      <c r="F35" s="339" t="s">
        <v>3858</v>
      </c>
    </row>
    <row r="36" spans="1:6">
      <c r="A36" s="339" t="s">
        <v>2636</v>
      </c>
      <c r="B36" s="339" t="s">
        <v>2694</v>
      </c>
      <c r="C36" s="340">
        <v>5000000</v>
      </c>
      <c r="D36" s="339" t="s">
        <v>2695</v>
      </c>
      <c r="E36" s="339" t="s">
        <v>2696</v>
      </c>
      <c r="F36" s="339" t="s">
        <v>3859</v>
      </c>
    </row>
    <row r="37" spans="1:6">
      <c r="A37" s="339" t="s">
        <v>2636</v>
      </c>
      <c r="B37" s="339" t="s">
        <v>2697</v>
      </c>
      <c r="C37" s="341" t="s">
        <v>94</v>
      </c>
      <c r="D37" s="339" t="s">
        <v>3860</v>
      </c>
      <c r="E37" s="339" t="s">
        <v>3861</v>
      </c>
      <c r="F37" s="339" t="s">
        <v>3862</v>
      </c>
    </row>
    <row r="38" spans="1:6">
      <c r="A38" s="339" t="s">
        <v>2698</v>
      </c>
      <c r="B38" s="339" t="s">
        <v>2699</v>
      </c>
      <c r="C38" s="340"/>
      <c r="D38" s="339" t="s">
        <v>252</v>
      </c>
      <c r="E38" s="339" t="s">
        <v>2700</v>
      </c>
      <c r="F38" s="339" t="s">
        <v>2701</v>
      </c>
    </row>
    <row r="39" spans="1:6">
      <c r="A39" s="339" t="s">
        <v>2698</v>
      </c>
      <c r="B39" s="339" t="s">
        <v>2702</v>
      </c>
      <c r="C39" s="340"/>
      <c r="D39" s="339" t="s">
        <v>246</v>
      </c>
      <c r="E39" s="339" t="s">
        <v>2703</v>
      </c>
      <c r="F39" s="339" t="s">
        <v>2704</v>
      </c>
    </row>
    <row r="40" spans="1:6">
      <c r="A40" s="339" t="s">
        <v>2705</v>
      </c>
      <c r="B40" s="339" t="s">
        <v>2706</v>
      </c>
      <c r="C40" s="341" t="s">
        <v>21737</v>
      </c>
      <c r="D40" s="339" t="s">
        <v>252</v>
      </c>
      <c r="E40" s="339" t="s">
        <v>21738</v>
      </c>
      <c r="F40" s="339" t="s">
        <v>2708</v>
      </c>
    </row>
    <row r="41" spans="1:6">
      <c r="A41" s="339" t="s">
        <v>2705</v>
      </c>
      <c r="B41" s="339" t="s">
        <v>2709</v>
      </c>
      <c r="C41" s="341" t="s">
        <v>21739</v>
      </c>
      <c r="D41" s="339" t="s">
        <v>252</v>
      </c>
      <c r="E41" s="339" t="s">
        <v>21740</v>
      </c>
      <c r="F41" s="339" t="s">
        <v>2710</v>
      </c>
    </row>
    <row r="42" spans="1:6">
      <c r="A42" s="339" t="s">
        <v>2705</v>
      </c>
      <c r="B42" s="339" t="s">
        <v>2973</v>
      </c>
      <c r="C42" s="341" t="s">
        <v>3189</v>
      </c>
      <c r="D42" s="339" t="s">
        <v>3190</v>
      </c>
      <c r="E42" s="339" t="s">
        <v>3191</v>
      </c>
      <c r="F42" s="339" t="s">
        <v>3192</v>
      </c>
    </row>
    <row r="43" spans="1:6">
      <c r="A43" s="339" t="s">
        <v>16894</v>
      </c>
      <c r="B43" s="339" t="s">
        <v>20143</v>
      </c>
      <c r="C43" s="340">
        <v>3</v>
      </c>
      <c r="D43" s="339" t="s">
        <v>20142</v>
      </c>
      <c r="E43" s="339" t="s">
        <v>20140</v>
      </c>
      <c r="F43" s="339" t="s">
        <v>20141</v>
      </c>
    </row>
    <row r="44" spans="1:6">
      <c r="A44" s="339" t="s">
        <v>249</v>
      </c>
      <c r="B44" s="339" t="s">
        <v>20600</v>
      </c>
      <c r="C44" s="340" t="s">
        <v>20601</v>
      </c>
      <c r="D44" s="339" t="s">
        <v>252</v>
      </c>
      <c r="E44" s="339" t="s">
        <v>20598</v>
      </c>
      <c r="F44" s="339" t="s">
        <v>20599</v>
      </c>
    </row>
    <row r="45" spans="1:6">
      <c r="A45" s="339" t="s">
        <v>249</v>
      </c>
      <c r="B45" s="339" t="s">
        <v>20604</v>
      </c>
      <c r="C45" s="340" t="s">
        <v>245</v>
      </c>
      <c r="D45" s="339" t="s">
        <v>252</v>
      </c>
      <c r="E45" s="339" t="s">
        <v>20602</v>
      </c>
      <c r="F45" s="339" t="s">
        <v>20603</v>
      </c>
    </row>
    <row r="46" spans="1:6">
      <c r="A46" s="339" t="s">
        <v>20606</v>
      </c>
      <c r="B46" s="339" t="s">
        <v>20609</v>
      </c>
      <c r="C46" s="343" t="s">
        <v>16058</v>
      </c>
      <c r="D46" s="339" t="s">
        <v>20608</v>
      </c>
      <c r="E46" s="339" t="s">
        <v>20605</v>
      </c>
      <c r="F46" s="339" t="s">
        <v>20607</v>
      </c>
    </row>
    <row r="47" spans="1:6">
      <c r="A47" s="339" t="s">
        <v>20606</v>
      </c>
      <c r="B47" s="339" t="s">
        <v>20612</v>
      </c>
      <c r="C47" s="340"/>
      <c r="D47" s="339" t="s">
        <v>246</v>
      </c>
      <c r="E47" s="339" t="s">
        <v>20610</v>
      </c>
      <c r="F47" s="339" t="s">
        <v>20611</v>
      </c>
    </row>
    <row r="48" spans="1:6">
      <c r="A48" s="339" t="s">
        <v>20606</v>
      </c>
      <c r="B48" s="339" t="s">
        <v>20614</v>
      </c>
      <c r="C48" s="340">
        <v>0</v>
      </c>
      <c r="D48" s="339" t="s">
        <v>246</v>
      </c>
      <c r="E48" s="339" t="s">
        <v>20613</v>
      </c>
      <c r="F48" s="339" t="s">
        <v>20611</v>
      </c>
    </row>
    <row r="49" spans="1:6">
      <c r="A49" s="339" t="s">
        <v>20606</v>
      </c>
      <c r="B49" s="339" t="s">
        <v>20617</v>
      </c>
      <c r="C49" s="340">
        <v>12</v>
      </c>
      <c r="D49" s="339" t="s">
        <v>274</v>
      </c>
      <c r="E49" s="339" t="s">
        <v>20615</v>
      </c>
      <c r="F49" s="339" t="s">
        <v>20616</v>
      </c>
    </row>
    <row r="50" spans="1:6">
      <c r="A50" s="339" t="s">
        <v>2705</v>
      </c>
      <c r="B50" s="339" t="s">
        <v>20621</v>
      </c>
      <c r="C50" s="340" t="s">
        <v>95</v>
      </c>
      <c r="D50" s="339" t="s">
        <v>20620</v>
      </c>
      <c r="E50" s="339" t="s">
        <v>20618</v>
      </c>
      <c r="F50" s="339" t="s">
        <v>20619</v>
      </c>
    </row>
    <row r="51" spans="1:6">
      <c r="A51" s="339" t="s">
        <v>16894</v>
      </c>
      <c r="B51" s="339" t="s">
        <v>21390</v>
      </c>
      <c r="C51" s="343"/>
      <c r="D51" s="339" t="s">
        <v>21389</v>
      </c>
      <c r="E51" s="339" t="s">
        <v>21388</v>
      </c>
      <c r="F51" s="339"/>
    </row>
    <row r="52" spans="1:6">
      <c r="A52" s="339" t="s">
        <v>16894</v>
      </c>
      <c r="B52" s="339" t="s">
        <v>21393</v>
      </c>
      <c r="C52" s="340">
        <v>0</v>
      </c>
      <c r="D52" s="339" t="s">
        <v>21392</v>
      </c>
      <c r="E52" s="339" t="s">
        <v>21391</v>
      </c>
      <c r="F52" s="339"/>
    </row>
    <row r="53" spans="1:6">
      <c r="A53" s="339" t="s">
        <v>16894</v>
      </c>
      <c r="B53" s="339" t="s">
        <v>21395</v>
      </c>
      <c r="C53" s="340">
        <v>0</v>
      </c>
      <c r="D53" s="339" t="s">
        <v>21392</v>
      </c>
      <c r="E53" s="339" t="s">
        <v>21394</v>
      </c>
      <c r="F53" s="339"/>
    </row>
    <row r="54" spans="1:6">
      <c r="A54" s="339" t="s">
        <v>16894</v>
      </c>
      <c r="B54" s="339" t="s">
        <v>21397</v>
      </c>
      <c r="C54" s="340"/>
      <c r="D54" s="339" t="s">
        <v>21389</v>
      </c>
      <c r="E54" s="339" t="s">
        <v>21396</v>
      </c>
      <c r="F54" s="339"/>
    </row>
    <row r="55" spans="1:6">
      <c r="A55" s="339" t="s">
        <v>16894</v>
      </c>
      <c r="B55" s="339" t="s">
        <v>21399</v>
      </c>
      <c r="C55" s="340"/>
      <c r="D55" s="339" t="s">
        <v>21389</v>
      </c>
      <c r="E55" s="339" t="s">
        <v>21398</v>
      </c>
      <c r="F55" s="339"/>
    </row>
    <row r="56" spans="1:6">
      <c r="A56" s="339" t="s">
        <v>16894</v>
      </c>
      <c r="B56" s="339" t="s">
        <v>21401</v>
      </c>
      <c r="C56" s="340">
        <v>100000</v>
      </c>
      <c r="D56" s="339" t="s">
        <v>2413</v>
      </c>
      <c r="E56" s="339" t="s">
        <v>21400</v>
      </c>
      <c r="F56" s="339"/>
    </row>
    <row r="57" spans="1:6">
      <c r="A57" s="339" t="s">
        <v>21402</v>
      </c>
      <c r="B57" s="339" t="s">
        <v>21405</v>
      </c>
      <c r="C57" s="343" t="s">
        <v>95</v>
      </c>
      <c r="D57" s="339" t="s">
        <v>21404</v>
      </c>
      <c r="E57" s="339" t="s">
        <v>21403</v>
      </c>
      <c r="F57" s="339"/>
    </row>
    <row r="58" spans="1:6">
      <c r="A58" s="339" t="s">
        <v>21402</v>
      </c>
      <c r="B58" s="339" t="s">
        <v>21408</v>
      </c>
      <c r="C58" s="343"/>
      <c r="D58" s="339" t="s">
        <v>21407</v>
      </c>
      <c r="E58" s="339" t="s">
        <v>21406</v>
      </c>
      <c r="F58" s="339"/>
    </row>
    <row r="59" spans="1:6">
      <c r="A59" s="339" t="s">
        <v>21402</v>
      </c>
      <c r="B59" s="339" t="s">
        <v>21410</v>
      </c>
      <c r="C59" s="343"/>
      <c r="D59" s="339" t="s">
        <v>21407</v>
      </c>
      <c r="E59" s="339" t="s">
        <v>21409</v>
      </c>
      <c r="F59" s="339"/>
    </row>
    <row r="60" spans="1:6">
      <c r="A60" s="339" t="s">
        <v>21402</v>
      </c>
      <c r="B60" s="339" t="s">
        <v>21412</v>
      </c>
      <c r="C60" s="343"/>
      <c r="D60" s="339" t="s">
        <v>21407</v>
      </c>
      <c r="E60" s="339" t="s">
        <v>21411</v>
      </c>
      <c r="F60" s="339"/>
    </row>
    <row r="61" spans="1:6">
      <c r="A61" s="339" t="s">
        <v>21402</v>
      </c>
      <c r="B61" s="339" t="s">
        <v>21414</v>
      </c>
      <c r="C61" s="343"/>
      <c r="D61" s="339" t="s">
        <v>21407</v>
      </c>
      <c r="E61" s="339" t="s">
        <v>21413</v>
      </c>
      <c r="F61" s="339"/>
    </row>
  </sheetData>
  <sheetProtection algorithmName="SHA-512" hashValue="rEQqE1+Pcc3lRmiTnS0EBSmpe6UrJW4ws4SW+QoZEpRxpqJLS9qArQob4Fww+isSXBqHuyVMYG3QHqglBHrPog==" saltValue="kZI4sm1XZGyplG601U+bhw==" spinCount="100000" sheet="1" scenarios="1" formatColumns="0" sort="0" autoFilter="0"/>
  <mergeCells count="1">
    <mergeCell ref="H11:I13"/>
  </mergeCells>
  <dataValidations count="7">
    <dataValidation type="list" allowBlank="1" showInputMessage="1" showErrorMessage="1" sqref="C28" xr:uid="{EAAA0C7A-E5E7-4330-8B8B-F6BFF07C2CE1}">
      <formula1>lstFXSource</formula1>
    </dataValidation>
    <dataValidation type="list" allowBlank="1" showInputMessage="1" showErrorMessage="1" sqref="C30" xr:uid="{F960B9B3-F3EB-43CD-B087-689A2BC41560}">
      <formula1>lstFXRateType</formula1>
    </dataValidation>
    <dataValidation type="list" allowBlank="1" showInputMessage="1" showErrorMessage="1" sqref="C31 C37" xr:uid="{7F31E655-2703-4E9D-8C47-1AC6D4E91542}">
      <formula1>lstYN</formula1>
    </dataValidation>
    <dataValidation type="list" allowBlank="1" showInputMessage="1" showErrorMessage="1" sqref="C33" xr:uid="{92FEAD85-5A3D-43F5-8A3A-375DE01B4D78}">
      <formula1>lstReconBasis</formula1>
    </dataValidation>
    <dataValidation type="whole" allowBlank="1" showInputMessage="1" showErrorMessage="1" error="An integer YYYYMM between 200001 and 209912" sqref="C39 C5:C6" xr:uid="{9DB38D4C-3A06-4AF5-AD70-DDD04C5CC09C}">
      <formula1>200001</formula1>
      <formula2>209912</formula2>
    </dataValidation>
    <dataValidation type="whole" allowBlank="1" showInputMessage="1" showErrorMessage="1" sqref="C23:C24" xr:uid="{3365040E-BC1F-4E5F-97E7-57692E83860D}">
      <formula1>1990</formula1>
      <formula2>2100</formula2>
    </dataValidation>
    <dataValidation type="whole" allowBlank="1" showInputMessage="1" showErrorMessage="1" sqref="C27" xr:uid="{8FCA1A5B-0F93-4CE5-A9E3-F18274F44A93}">
      <formula1>0</formula1>
      <formula2>60</formula2>
    </dataValidation>
  </dataValidations>
  <pageMargins left="0.75" right="0.75" top="1" bottom="1" header="0.5" footer="0.5"/>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FFC000"/>
  </sheetPr>
  <dimension ref="A1:Q107"/>
  <sheetViews>
    <sheetView showGridLines="0" workbookViewId="0">
      <pane xSplit="1" ySplit="4" topLeftCell="B5" activePane="bottomRight" state="frozen"/>
      <selection pane="topRight"/>
      <selection pane="bottomLeft"/>
      <selection pane="bottomRight" activeCell="C5" sqref="C5"/>
    </sheetView>
  </sheetViews>
  <sheetFormatPr defaultRowHeight="12.75"/>
  <cols>
    <col min="1" max="1" width="28" customWidth="1"/>
    <col min="2" max="2" width="22" customWidth="1"/>
    <col min="3" max="4" width="11" customWidth="1"/>
    <col min="5" max="5" width="17" customWidth="1"/>
    <col min="6" max="6" width="15" customWidth="1"/>
    <col min="7" max="7" width="20" customWidth="1"/>
    <col min="8" max="8" width="90" customWidth="1"/>
    <col min="9" max="9" width="14.7109375" customWidth="1"/>
    <col min="10" max="10" width="12.7109375" customWidth="1"/>
    <col min="11" max="11" width="3.7109375" customWidth="1"/>
    <col min="12" max="12" width="8" customWidth="1"/>
    <col min="13" max="13" width="60.7109375" customWidth="1"/>
  </cols>
  <sheetData>
    <row r="1" spans="1:17" ht="20.25">
      <c r="A1" s="9" t="s">
        <v>295</v>
      </c>
      <c r="B1" s="1"/>
      <c r="C1" s="1"/>
      <c r="D1" s="1"/>
      <c r="E1" s="1"/>
      <c r="F1" s="1"/>
      <c r="G1" s="1"/>
      <c r="H1" s="1"/>
      <c r="I1" s="1"/>
      <c r="J1" s="1"/>
      <c r="K1" s="1"/>
      <c r="L1" s="1"/>
      <c r="M1" s="1"/>
    </row>
    <row r="2" spans="1:17">
      <c r="A2" s="10" t="s">
        <v>4295</v>
      </c>
      <c r="B2" s="1"/>
      <c r="C2" s="1"/>
      <c r="D2" s="1"/>
      <c r="E2" s="1"/>
      <c r="F2" s="1"/>
      <c r="G2" s="1"/>
      <c r="H2" s="1"/>
      <c r="I2" s="1"/>
      <c r="J2" s="1"/>
      <c r="K2" s="1"/>
      <c r="L2" s="1"/>
      <c r="M2" s="1"/>
    </row>
    <row r="3" spans="1:17">
      <c r="A3" s="1"/>
      <c r="B3" s="1"/>
      <c r="C3" s="1"/>
      <c r="D3" s="1"/>
      <c r="E3" s="1"/>
      <c r="F3" s="1"/>
      <c r="G3" s="1"/>
      <c r="H3" s="1"/>
      <c r="I3" s="1"/>
      <c r="J3" s="1"/>
      <c r="K3" s="1"/>
      <c r="L3" s="1"/>
      <c r="M3" s="1"/>
    </row>
    <row r="4" spans="1:17" ht="15">
      <c r="A4" s="51" t="s">
        <v>296</v>
      </c>
      <c r="B4" s="51" t="s">
        <v>297</v>
      </c>
      <c r="C4" s="51" t="s">
        <v>298</v>
      </c>
      <c r="D4" s="51" t="s">
        <v>299</v>
      </c>
      <c r="E4" s="51" t="s">
        <v>300</v>
      </c>
      <c r="F4" s="51" t="s">
        <v>301</v>
      </c>
      <c r="G4" s="51" t="s">
        <v>302</v>
      </c>
      <c r="H4" s="51" t="s">
        <v>303</v>
      </c>
      <c r="I4" s="50" t="s">
        <v>2714</v>
      </c>
      <c r="J4" s="50" t="s">
        <v>2715</v>
      </c>
      <c r="K4" s="1"/>
      <c r="N4" s="2" t="s">
        <v>304</v>
      </c>
      <c r="O4" s="3"/>
      <c r="P4" s="3"/>
      <c r="Q4" s="3"/>
    </row>
    <row r="5" spans="1:17" ht="29.1" customHeight="1">
      <c r="A5" s="344" t="s">
        <v>305</v>
      </c>
      <c r="B5" s="344" t="s">
        <v>121</v>
      </c>
      <c r="C5" s="344" t="s">
        <v>306</v>
      </c>
      <c r="D5" s="344" t="s">
        <v>98</v>
      </c>
      <c r="E5" s="344" t="s">
        <v>94</v>
      </c>
      <c r="F5" s="344" t="s">
        <v>95</v>
      </c>
      <c r="G5" s="344" t="s">
        <v>105</v>
      </c>
      <c r="H5" s="345" t="s">
        <v>2716</v>
      </c>
      <c r="I5" s="346"/>
      <c r="J5" s="347"/>
      <c r="K5" s="1"/>
      <c r="N5" s="5" t="s">
        <v>20</v>
      </c>
      <c r="O5" s="5" t="s">
        <v>307</v>
      </c>
      <c r="P5" s="5" t="s">
        <v>308</v>
      </c>
      <c r="Q5" s="5" t="s">
        <v>57</v>
      </c>
    </row>
    <row r="6" spans="1:17" ht="29.1" customHeight="1">
      <c r="A6" s="344" t="s">
        <v>309</v>
      </c>
      <c r="B6" s="344" t="s">
        <v>123</v>
      </c>
      <c r="C6" s="344" t="s">
        <v>310</v>
      </c>
      <c r="D6" s="344" t="s">
        <v>99</v>
      </c>
      <c r="E6" s="344" t="s">
        <v>94</v>
      </c>
      <c r="F6" s="344" t="s">
        <v>95</v>
      </c>
      <c r="G6" s="344" t="s">
        <v>105</v>
      </c>
      <c r="H6" s="345" t="s">
        <v>2717</v>
      </c>
      <c r="I6" s="346"/>
      <c r="J6" s="347"/>
      <c r="K6" s="1"/>
      <c r="N6" s="11">
        <v>1</v>
      </c>
      <c r="O6" s="7" t="s">
        <v>311</v>
      </c>
      <c r="P6" s="17">
        <f>SUMPRODUCT((tblColumnMap[SourceHeader]&lt;&gt;"")*(tblColumnMap[IncludeInModel]&lt;&gt;"Y")*(tblColumnMap[IncludeInModel]&lt;&gt;"N"))</f>
        <v>0</v>
      </c>
      <c r="Q6" s="7" t="s">
        <v>312</v>
      </c>
    </row>
    <row r="7" spans="1:17" ht="114.75">
      <c r="A7" s="344" t="s">
        <v>313</v>
      </c>
      <c r="B7" s="344" t="s">
        <v>124</v>
      </c>
      <c r="C7" s="344" t="s">
        <v>314</v>
      </c>
      <c r="D7" s="344" t="s">
        <v>99</v>
      </c>
      <c r="E7" s="344" t="s">
        <v>94</v>
      </c>
      <c r="F7" s="344" t="s">
        <v>95</v>
      </c>
      <c r="G7" s="344" t="s">
        <v>105</v>
      </c>
      <c r="H7" s="345" t="s">
        <v>2718</v>
      </c>
      <c r="I7" s="346"/>
      <c r="J7" s="347"/>
      <c r="K7" s="1"/>
      <c r="N7" s="11">
        <v>2</v>
      </c>
      <c r="O7" s="7" t="s">
        <v>315</v>
      </c>
      <c r="P7" s="17">
        <f>SUMPRODUCT((tblColumnMap[SourceHeader]&lt;&gt;"")*(tblColumnMap[PersonalData]&lt;&gt;"Y")*(tblColumnMap[PersonalData]&lt;&gt;"N"))</f>
        <v>0</v>
      </c>
      <c r="Q7" s="7" t="s">
        <v>316</v>
      </c>
    </row>
    <row r="8" spans="1:17" ht="29.1" customHeight="1">
      <c r="A8" s="344" t="s">
        <v>317</v>
      </c>
      <c r="B8" s="344" t="s">
        <v>126</v>
      </c>
      <c r="C8" s="344" t="s">
        <v>318</v>
      </c>
      <c r="D8" s="344" t="s">
        <v>99</v>
      </c>
      <c r="E8" s="344" t="s">
        <v>94</v>
      </c>
      <c r="F8" s="344" t="s">
        <v>95</v>
      </c>
      <c r="G8" s="344" t="s">
        <v>105</v>
      </c>
      <c r="H8" s="345" t="s">
        <v>2719</v>
      </c>
      <c r="I8" s="346"/>
      <c r="J8" s="347"/>
      <c r="K8" s="1"/>
      <c r="N8" s="11">
        <v>3</v>
      </c>
      <c r="O8" s="7" t="s">
        <v>319</v>
      </c>
      <c r="P8" s="17">
        <f>COUNTIFS(tblColumnMap[IncludeInModel],"Y",tblColumnMap[PersonalData],"&lt;&gt;N")</f>
        <v>0</v>
      </c>
      <c r="Q8" s="7" t="s">
        <v>320</v>
      </c>
    </row>
    <row r="9" spans="1:17" ht="29.1" customHeight="1">
      <c r="A9" s="344" t="s">
        <v>321</v>
      </c>
      <c r="B9" s="344" t="s">
        <v>125</v>
      </c>
      <c r="C9" s="344" t="s">
        <v>322</v>
      </c>
      <c r="D9" s="344" t="s">
        <v>99</v>
      </c>
      <c r="E9" s="344" t="s">
        <v>94</v>
      </c>
      <c r="F9" s="344" t="s">
        <v>95</v>
      </c>
      <c r="G9" s="344" t="s">
        <v>105</v>
      </c>
      <c r="H9" s="345" t="s">
        <v>2720</v>
      </c>
      <c r="I9" s="346"/>
      <c r="J9" s="347"/>
      <c r="K9" s="1"/>
      <c r="N9" s="11">
        <v>4</v>
      </c>
      <c r="O9" s="7" t="s">
        <v>323</v>
      </c>
      <c r="P9" s="17">
        <f>SUMPRODUCT((tblColumnMap[SourceHeader]&lt;&gt;"")*(COUNTIF(lstDataType,tblColumnMap[DataType])=0))</f>
        <v>0</v>
      </c>
      <c r="Q9" s="7" t="s">
        <v>324</v>
      </c>
    </row>
    <row r="10" spans="1:17" ht="63.75">
      <c r="A10" s="344" t="s">
        <v>325</v>
      </c>
      <c r="B10" s="344" t="s">
        <v>326</v>
      </c>
      <c r="C10" s="344" t="s">
        <v>327</v>
      </c>
      <c r="D10" s="344" t="s">
        <v>98</v>
      </c>
      <c r="E10" s="344" t="s">
        <v>94</v>
      </c>
      <c r="F10" s="344" t="s">
        <v>95</v>
      </c>
      <c r="G10" s="344" t="s">
        <v>106</v>
      </c>
      <c r="H10" s="345" t="s">
        <v>2721</v>
      </c>
      <c r="I10" s="346"/>
      <c r="J10" s="347"/>
      <c r="K10" s="1"/>
      <c r="N10" s="11">
        <v>5</v>
      </c>
      <c r="O10" s="7" t="s">
        <v>328</v>
      </c>
      <c r="P10" s="17">
        <f>SUMPRODUCT((tblColumnMap[SourceHeader]&lt;&gt;"")*(COUNTIF(lstGroup,tblColumnMap[Group])=0))</f>
        <v>0</v>
      </c>
      <c r="Q10" s="7" t="s">
        <v>329</v>
      </c>
    </row>
    <row r="11" spans="1:17" ht="29.1" customHeight="1">
      <c r="A11" s="344" t="s">
        <v>330</v>
      </c>
      <c r="B11" s="344" t="s">
        <v>331</v>
      </c>
      <c r="C11" s="344" t="s">
        <v>332</v>
      </c>
      <c r="D11" s="344" t="s">
        <v>98</v>
      </c>
      <c r="E11" s="348" t="s">
        <v>94</v>
      </c>
      <c r="F11" s="344" t="s">
        <v>95</v>
      </c>
      <c r="G11" s="348" t="s">
        <v>16342</v>
      </c>
      <c r="H11" s="345" t="s">
        <v>2722</v>
      </c>
      <c r="I11" s="346"/>
      <c r="J11" s="347"/>
      <c r="K11" s="1"/>
      <c r="N11" s="11">
        <v>6</v>
      </c>
      <c r="O11" s="7" t="s">
        <v>333</v>
      </c>
      <c r="P11" s="17">
        <f>COUNTIFS(tblColumnMap[SourceHeader],"&lt;&gt;",tblColumnMap[CanonicalName],"")</f>
        <v>0</v>
      </c>
      <c r="Q11" s="7" t="s">
        <v>334</v>
      </c>
    </row>
    <row r="12" spans="1:17" ht="29.1" customHeight="1">
      <c r="A12" s="344" t="s">
        <v>335</v>
      </c>
      <c r="B12" s="344" t="s">
        <v>336</v>
      </c>
      <c r="C12" s="344" t="s">
        <v>337</v>
      </c>
      <c r="D12" s="344" t="s">
        <v>98</v>
      </c>
      <c r="E12" s="348" t="s">
        <v>94</v>
      </c>
      <c r="F12" s="344" t="s">
        <v>95</v>
      </c>
      <c r="G12" s="348" t="s">
        <v>16342</v>
      </c>
      <c r="H12" s="345" t="s">
        <v>2722</v>
      </c>
      <c r="I12" s="346"/>
      <c r="J12" s="347"/>
      <c r="K12" s="1"/>
      <c r="N12" s="11">
        <v>7</v>
      </c>
      <c r="O12" s="7" t="s">
        <v>338</v>
      </c>
      <c r="P12" s="17">
        <f>SUMPRODUCT((tblColumnMap[SourceHeader]&lt;&gt;"")*(COUNTIF(tblColumnMap[SourceHeader],tblColumnMap[SourceHeader])&gt;1))</f>
        <v>0</v>
      </c>
      <c r="Q12" s="7" t="s">
        <v>339</v>
      </c>
    </row>
    <row r="13" spans="1:17" ht="29.1" customHeight="1">
      <c r="A13" s="344" t="s">
        <v>340</v>
      </c>
      <c r="B13" s="344" t="s">
        <v>341</v>
      </c>
      <c r="C13" s="344" t="s">
        <v>342</v>
      </c>
      <c r="D13" s="344" t="s">
        <v>98</v>
      </c>
      <c r="E13" s="344" t="s">
        <v>95</v>
      </c>
      <c r="F13" s="344" t="s">
        <v>95</v>
      </c>
      <c r="G13" s="344" t="s">
        <v>109</v>
      </c>
      <c r="H13" s="345" t="s">
        <v>2723</v>
      </c>
      <c r="I13" s="346"/>
      <c r="J13" s="347"/>
      <c r="K13" s="1"/>
      <c r="N13" s="11">
        <v>8</v>
      </c>
      <c r="O13" s="7" t="s">
        <v>343</v>
      </c>
      <c r="P13" s="17">
        <f>SUMPRODUCT((tblColumnMap[CanonicalName]&lt;&gt;"")*((COUNTIFS(tblColumnMap[CanonicalName],tblColumnMap[CanonicalName],tblColumnMap[DataType],"&lt;&gt;"&amp;tblColumnMap[DataType])+COUNTIFS(tblColumnMap[CanonicalName],tblColumnMap[CanonicalName],tblColumnMap[IncludeInModel],"&lt;&gt;"&amp;tblColumnMap[IncludeInModel])+COUNTIFS(tblColumnMap[CanonicalName],tblColumnMap[CanonicalName],tblColumnMap[PersonalData],"&lt;&gt;"&amp;tblColumnMap[PersonalData])+COUNTIFS(tblColumnMap[CanonicalName],tblColumnMap[CanonicalName],tblColumnMap[Group],"&lt;&gt;"&amp;tblColumnMap[Group]))&gt;0))</f>
        <v>0</v>
      </c>
      <c r="Q13" s="7" t="s">
        <v>344</v>
      </c>
    </row>
    <row r="14" spans="1:17" ht="29.1" customHeight="1">
      <c r="A14" s="344" t="s">
        <v>345</v>
      </c>
      <c r="B14" s="344" t="s">
        <v>346</v>
      </c>
      <c r="C14" s="344" t="s">
        <v>347</v>
      </c>
      <c r="D14" s="344" t="s">
        <v>98</v>
      </c>
      <c r="E14" s="344" t="s">
        <v>94</v>
      </c>
      <c r="F14" s="344" t="s">
        <v>95</v>
      </c>
      <c r="G14" s="344" t="s">
        <v>106</v>
      </c>
      <c r="H14" s="345" t="s">
        <v>2724</v>
      </c>
      <c r="I14" s="346"/>
      <c r="J14" s="347"/>
      <c r="K14" s="1"/>
      <c r="N14" s="11">
        <v>9</v>
      </c>
      <c r="O14" s="7" t="s">
        <v>348</v>
      </c>
      <c r="P14" s="17">
        <f>SUMPRODUCT((COUNTIFS(tblColumnMap[CanonicalName],lstCoreContract,tblColumnMap[IncludeInModel],"Y",tblColumnMap[PersonalData],"N",tblColumnMap[Group],"1 Core")=0)*1)</f>
        <v>0</v>
      </c>
      <c r="Q14" s="7" t="s">
        <v>349</v>
      </c>
    </row>
    <row r="15" spans="1:17" ht="102">
      <c r="A15" s="344" t="s">
        <v>350</v>
      </c>
      <c r="B15" s="344" t="s">
        <v>351</v>
      </c>
      <c r="C15" s="344" t="s">
        <v>352</v>
      </c>
      <c r="D15" s="344" t="s">
        <v>98</v>
      </c>
      <c r="E15" s="344" t="s">
        <v>95</v>
      </c>
      <c r="F15" s="344" t="s">
        <v>94</v>
      </c>
      <c r="G15" s="344" t="s">
        <v>108</v>
      </c>
      <c r="H15" s="345" t="s">
        <v>2725</v>
      </c>
      <c r="I15" s="346"/>
      <c r="J15" s="347"/>
      <c r="K15" s="1"/>
      <c r="N15" s="11">
        <v>10</v>
      </c>
      <c r="O15" s="7" t="s">
        <v>353</v>
      </c>
      <c r="P15" s="17">
        <f>COUNTIFS(tblColumnMap[Group],"1 Core",tblColumnMap[IncludeInModel],"&lt;&gt;Y")</f>
        <v>0</v>
      </c>
      <c r="Q15" s="7" t="s">
        <v>354</v>
      </c>
    </row>
    <row r="16" spans="1:17" ht="76.5">
      <c r="A16" s="344" t="s">
        <v>355</v>
      </c>
      <c r="B16" s="344" t="s">
        <v>356</v>
      </c>
      <c r="C16" s="344" t="s">
        <v>357</v>
      </c>
      <c r="D16" s="344" t="s">
        <v>98</v>
      </c>
      <c r="E16" s="344" t="s">
        <v>95</v>
      </c>
      <c r="F16" s="344" t="s">
        <v>94</v>
      </c>
      <c r="G16" s="344" t="s">
        <v>108</v>
      </c>
      <c r="H16" s="345" t="s">
        <v>2726</v>
      </c>
      <c r="I16" s="346"/>
      <c r="J16" s="347"/>
      <c r="K16" s="1"/>
      <c r="N16" s="1"/>
      <c r="O16" s="8" t="s">
        <v>2812</v>
      </c>
      <c r="P16" s="27">
        <f>SUM(P6:P15)</f>
        <v>0</v>
      </c>
      <c r="Q16" s="1"/>
    </row>
    <row r="17" spans="1:17" ht="29.1" customHeight="1">
      <c r="A17" s="344" t="s">
        <v>358</v>
      </c>
      <c r="B17" s="344" t="s">
        <v>117</v>
      </c>
      <c r="C17" s="344" t="s">
        <v>66</v>
      </c>
      <c r="D17" s="344" t="s">
        <v>100</v>
      </c>
      <c r="E17" s="344" t="s">
        <v>94</v>
      </c>
      <c r="F17" s="344" t="s">
        <v>95</v>
      </c>
      <c r="G17" s="344" t="s">
        <v>105</v>
      </c>
      <c r="H17" s="345" t="s">
        <v>2727</v>
      </c>
      <c r="I17" s="346"/>
      <c r="J17" s="347"/>
      <c r="K17" s="1"/>
      <c r="N17" s="1"/>
      <c r="O17" s="1"/>
      <c r="P17" s="1"/>
      <c r="Q17" s="1"/>
    </row>
    <row r="18" spans="1:17">
      <c r="A18" s="344" t="s">
        <v>359</v>
      </c>
      <c r="B18" s="344" t="s">
        <v>127</v>
      </c>
      <c r="C18" s="344" t="s">
        <v>360</v>
      </c>
      <c r="D18" s="344" t="s">
        <v>98</v>
      </c>
      <c r="E18" s="344" t="s">
        <v>94</v>
      </c>
      <c r="F18" s="344" t="s">
        <v>95</v>
      </c>
      <c r="G18" s="344" t="s">
        <v>105</v>
      </c>
      <c r="H18" s="345" t="s">
        <v>2728</v>
      </c>
      <c r="I18" s="346"/>
      <c r="J18" s="347"/>
      <c r="K18" s="1"/>
      <c r="N18" s="1"/>
      <c r="O18" s="320" t="s">
        <v>361</v>
      </c>
      <c r="P18" s="321"/>
      <c r="Q18" s="321"/>
    </row>
    <row r="19" spans="1:17">
      <c r="A19" s="344" t="s">
        <v>362</v>
      </c>
      <c r="B19" s="344" t="s">
        <v>363</v>
      </c>
      <c r="C19" s="344" t="s">
        <v>364</v>
      </c>
      <c r="D19" s="344" t="s">
        <v>98</v>
      </c>
      <c r="E19" s="344" t="s">
        <v>95</v>
      </c>
      <c r="F19" s="344" t="s">
        <v>94</v>
      </c>
      <c r="G19" s="344" t="s">
        <v>108</v>
      </c>
      <c r="H19" s="345" t="s">
        <v>2729</v>
      </c>
      <c r="I19" s="346"/>
      <c r="J19" s="347"/>
      <c r="K19" s="1"/>
      <c r="N19" s="1"/>
      <c r="O19" s="321"/>
      <c r="P19" s="321"/>
      <c r="Q19" s="321"/>
    </row>
    <row r="20" spans="1:17" ht="29.1" customHeight="1">
      <c r="A20" s="344" t="s">
        <v>365</v>
      </c>
      <c r="B20" s="344" t="s">
        <v>366</v>
      </c>
      <c r="C20" s="344" t="s">
        <v>367</v>
      </c>
      <c r="D20" s="344" t="s">
        <v>99</v>
      </c>
      <c r="E20" s="348" t="s">
        <v>94</v>
      </c>
      <c r="F20" s="344" t="s">
        <v>95</v>
      </c>
      <c r="G20" s="348" t="s">
        <v>106</v>
      </c>
      <c r="H20" s="345" t="s">
        <v>2730</v>
      </c>
      <c r="I20" s="346"/>
      <c r="J20" s="347"/>
      <c r="K20" s="1"/>
      <c r="N20" s="1"/>
      <c r="O20" s="321"/>
      <c r="P20" s="321"/>
      <c r="Q20" s="321"/>
    </row>
    <row r="21" spans="1:17" ht="29.1" customHeight="1">
      <c r="A21" s="344" t="s">
        <v>368</v>
      </c>
      <c r="B21" s="344" t="s">
        <v>369</v>
      </c>
      <c r="C21" s="344" t="s">
        <v>370</v>
      </c>
      <c r="D21" s="344" t="s">
        <v>100</v>
      </c>
      <c r="E21" s="348" t="s">
        <v>94</v>
      </c>
      <c r="F21" s="344" t="s">
        <v>95</v>
      </c>
      <c r="G21" s="348" t="s">
        <v>106</v>
      </c>
      <c r="H21" s="345" t="s">
        <v>2731</v>
      </c>
      <c r="I21" s="346"/>
      <c r="J21" s="347"/>
      <c r="K21" s="1"/>
      <c r="N21" s="1"/>
      <c r="O21" s="321"/>
      <c r="P21" s="321"/>
      <c r="Q21" s="321"/>
    </row>
    <row r="22" spans="1:17">
      <c r="A22" s="344" t="s">
        <v>371</v>
      </c>
      <c r="B22" s="344" t="s">
        <v>372</v>
      </c>
      <c r="C22" s="344" t="s">
        <v>373</v>
      </c>
      <c r="D22" s="344" t="s">
        <v>100</v>
      </c>
      <c r="E22" s="348" t="s">
        <v>94</v>
      </c>
      <c r="F22" s="344" t="s">
        <v>95</v>
      </c>
      <c r="G22" s="348" t="s">
        <v>106</v>
      </c>
      <c r="H22" s="345" t="s">
        <v>2732</v>
      </c>
      <c r="I22" s="346"/>
      <c r="J22" s="347"/>
      <c r="K22" s="1"/>
      <c r="N22" s="1"/>
      <c r="O22" s="1"/>
      <c r="P22" s="1"/>
      <c r="Q22" s="1"/>
    </row>
    <row r="23" spans="1:17">
      <c r="A23" s="344" t="s">
        <v>374</v>
      </c>
      <c r="B23" s="344" t="s">
        <v>375</v>
      </c>
      <c r="C23" s="344" t="s">
        <v>376</v>
      </c>
      <c r="D23" s="344" t="s">
        <v>98</v>
      </c>
      <c r="E23" s="344" t="s">
        <v>95</v>
      </c>
      <c r="F23" s="344" t="s">
        <v>95</v>
      </c>
      <c r="G23" s="344" t="s">
        <v>109</v>
      </c>
      <c r="H23" s="345" t="s">
        <v>2733</v>
      </c>
      <c r="I23" s="346"/>
      <c r="J23" s="347"/>
      <c r="K23" s="1"/>
      <c r="M23" s="52"/>
      <c r="N23" s="1"/>
      <c r="O23" s="320" t="s">
        <v>2813</v>
      </c>
      <c r="P23" s="321"/>
      <c r="Q23" s="321"/>
    </row>
    <row r="24" spans="1:17" ht="29.1" customHeight="1">
      <c r="A24" s="344" t="s">
        <v>377</v>
      </c>
      <c r="B24" s="344" t="s">
        <v>378</v>
      </c>
      <c r="C24" s="344" t="s">
        <v>379</v>
      </c>
      <c r="D24" s="344" t="s">
        <v>98</v>
      </c>
      <c r="E24" s="344" t="s">
        <v>95</v>
      </c>
      <c r="F24" s="344" t="s">
        <v>94</v>
      </c>
      <c r="G24" s="344" t="s">
        <v>108</v>
      </c>
      <c r="H24" s="345" t="s">
        <v>2734</v>
      </c>
      <c r="I24" s="346"/>
      <c r="J24" s="347"/>
      <c r="K24" s="1"/>
      <c r="N24" s="1"/>
      <c r="O24" s="321"/>
      <c r="P24" s="321"/>
      <c r="Q24" s="321"/>
    </row>
    <row r="25" spans="1:17" ht="29.1" customHeight="1">
      <c r="A25" s="344" t="s">
        <v>380</v>
      </c>
      <c r="B25" s="344" t="s">
        <v>381</v>
      </c>
      <c r="C25" s="344" t="s">
        <v>382</v>
      </c>
      <c r="D25" s="344" t="s">
        <v>102</v>
      </c>
      <c r="E25" s="344" t="s">
        <v>95</v>
      </c>
      <c r="F25" s="344" t="s">
        <v>95</v>
      </c>
      <c r="G25" s="344" t="s">
        <v>109</v>
      </c>
      <c r="H25" s="345" t="s">
        <v>2735</v>
      </c>
      <c r="I25" s="346"/>
      <c r="J25" s="347"/>
      <c r="K25" s="1"/>
      <c r="N25" s="1"/>
      <c r="O25" s="321"/>
      <c r="P25" s="321"/>
      <c r="Q25" s="321"/>
    </row>
    <row r="26" spans="1:17">
      <c r="A26" s="344" t="s">
        <v>383</v>
      </c>
      <c r="B26" s="344" t="s">
        <v>384</v>
      </c>
      <c r="C26" s="344" t="s">
        <v>385</v>
      </c>
      <c r="D26" s="344" t="s">
        <v>102</v>
      </c>
      <c r="E26" s="344" t="s">
        <v>95</v>
      </c>
      <c r="F26" s="344" t="s">
        <v>95</v>
      </c>
      <c r="G26" s="344" t="s">
        <v>109</v>
      </c>
      <c r="H26" s="345" t="s">
        <v>2736</v>
      </c>
      <c r="I26" s="346"/>
      <c r="J26" s="347"/>
      <c r="K26" s="1"/>
      <c r="N26" s="1"/>
      <c r="O26" s="321"/>
      <c r="P26" s="321"/>
      <c r="Q26" s="321"/>
    </row>
    <row r="27" spans="1:17" ht="29.1" customHeight="1">
      <c r="A27" s="344" t="s">
        <v>386</v>
      </c>
      <c r="B27" s="344" t="s">
        <v>387</v>
      </c>
      <c r="C27" s="344" t="s">
        <v>388</v>
      </c>
      <c r="D27" s="344" t="s">
        <v>99</v>
      </c>
      <c r="E27" s="348" t="s">
        <v>94</v>
      </c>
      <c r="F27" s="344" t="s">
        <v>95</v>
      </c>
      <c r="G27" s="348" t="s">
        <v>106</v>
      </c>
      <c r="H27" s="345" t="s">
        <v>2737</v>
      </c>
      <c r="I27" s="346"/>
      <c r="J27" s="347"/>
      <c r="K27" s="1"/>
      <c r="L27" s="1"/>
      <c r="M27" s="1"/>
      <c r="N27" s="1"/>
      <c r="O27" s="1"/>
    </row>
    <row r="28" spans="1:17">
      <c r="A28" s="344" t="s">
        <v>389</v>
      </c>
      <c r="B28" s="344" t="s">
        <v>390</v>
      </c>
      <c r="C28" s="344" t="s">
        <v>391</v>
      </c>
      <c r="D28" s="344" t="s">
        <v>98</v>
      </c>
      <c r="E28" s="344" t="s">
        <v>95</v>
      </c>
      <c r="F28" s="344" t="s">
        <v>95</v>
      </c>
      <c r="G28" s="344" t="s">
        <v>109</v>
      </c>
      <c r="H28" s="345" t="s">
        <v>2738</v>
      </c>
      <c r="I28" s="346"/>
      <c r="J28" s="347"/>
      <c r="K28" s="1"/>
      <c r="L28" s="1"/>
      <c r="M28" s="1"/>
      <c r="N28" s="1"/>
      <c r="O28" s="1"/>
    </row>
    <row r="29" spans="1:17" ht="29.1" customHeight="1">
      <c r="A29" s="344" t="s">
        <v>392</v>
      </c>
      <c r="B29" s="344" t="s">
        <v>393</v>
      </c>
      <c r="C29" s="344" t="s">
        <v>394</v>
      </c>
      <c r="D29" s="344" t="s">
        <v>98</v>
      </c>
      <c r="E29" s="344" t="s">
        <v>95</v>
      </c>
      <c r="F29" s="344" t="s">
        <v>94</v>
      </c>
      <c r="G29" s="344" t="s">
        <v>108</v>
      </c>
      <c r="H29" s="345" t="s">
        <v>2739</v>
      </c>
      <c r="I29" s="346"/>
      <c r="J29" s="347"/>
      <c r="K29" s="1"/>
      <c r="L29" s="1"/>
      <c r="M29" s="1"/>
      <c r="N29" s="1"/>
      <c r="O29" s="1"/>
    </row>
    <row r="30" spans="1:17">
      <c r="A30" s="344" t="s">
        <v>395</v>
      </c>
      <c r="B30" s="344" t="s">
        <v>396</v>
      </c>
      <c r="C30" s="344" t="s">
        <v>397</v>
      </c>
      <c r="D30" s="344" t="s">
        <v>98</v>
      </c>
      <c r="E30" s="344" t="s">
        <v>95</v>
      </c>
      <c r="F30" s="344" t="s">
        <v>95</v>
      </c>
      <c r="G30" s="344" t="s">
        <v>109</v>
      </c>
      <c r="H30" s="345" t="s">
        <v>2740</v>
      </c>
      <c r="I30" s="346"/>
      <c r="J30" s="347"/>
      <c r="K30" s="1"/>
      <c r="L30" s="1"/>
      <c r="M30" s="1"/>
      <c r="N30" s="1"/>
      <c r="O30" s="1"/>
    </row>
    <row r="31" spans="1:17" ht="29.1" customHeight="1">
      <c r="A31" s="344" t="s">
        <v>398</v>
      </c>
      <c r="B31" s="344" t="s">
        <v>118</v>
      </c>
      <c r="C31" s="344" t="s">
        <v>399</v>
      </c>
      <c r="D31" s="344" t="s">
        <v>100</v>
      </c>
      <c r="E31" s="344" t="s">
        <v>94</v>
      </c>
      <c r="F31" s="344" t="s">
        <v>95</v>
      </c>
      <c r="G31" s="344" t="s">
        <v>105</v>
      </c>
      <c r="H31" s="345" t="s">
        <v>2741</v>
      </c>
      <c r="I31" s="346"/>
      <c r="J31" s="347"/>
      <c r="K31" s="1"/>
      <c r="L31" s="1"/>
      <c r="M31" s="1"/>
      <c r="N31" s="1"/>
      <c r="O31" s="1"/>
    </row>
    <row r="32" spans="1:17">
      <c r="A32" s="344" t="s">
        <v>400</v>
      </c>
      <c r="B32" s="344" t="s">
        <v>401</v>
      </c>
      <c r="C32" s="344" t="s">
        <v>402</v>
      </c>
      <c r="D32" s="344" t="s">
        <v>98</v>
      </c>
      <c r="E32" s="344" t="s">
        <v>94</v>
      </c>
      <c r="F32" s="344" t="s">
        <v>95</v>
      </c>
      <c r="G32" s="344" t="s">
        <v>106</v>
      </c>
      <c r="H32" s="345" t="s">
        <v>2742</v>
      </c>
      <c r="I32" s="346"/>
      <c r="J32" s="347"/>
      <c r="K32" s="1"/>
      <c r="L32" s="1"/>
      <c r="M32" s="1"/>
      <c r="N32" s="1"/>
      <c r="O32" s="1"/>
    </row>
    <row r="33" spans="1:15">
      <c r="A33" s="344" t="s">
        <v>403</v>
      </c>
      <c r="B33" s="344" t="s">
        <v>404</v>
      </c>
      <c r="C33" s="344" t="s">
        <v>405</v>
      </c>
      <c r="D33" s="344" t="s">
        <v>98</v>
      </c>
      <c r="E33" s="344" t="s">
        <v>94</v>
      </c>
      <c r="F33" s="344" t="s">
        <v>95</v>
      </c>
      <c r="G33" s="344" t="s">
        <v>106</v>
      </c>
      <c r="H33" s="345" t="s">
        <v>2743</v>
      </c>
      <c r="I33" s="346"/>
      <c r="J33" s="347"/>
      <c r="K33" s="1"/>
      <c r="L33" s="1"/>
      <c r="M33" s="1"/>
      <c r="N33" s="1"/>
      <c r="O33" s="1"/>
    </row>
    <row r="34" spans="1:15">
      <c r="A34" s="344" t="s">
        <v>406</v>
      </c>
      <c r="B34" s="344" t="s">
        <v>407</v>
      </c>
      <c r="C34" s="344" t="s">
        <v>408</v>
      </c>
      <c r="D34" s="344" t="s">
        <v>98</v>
      </c>
      <c r="E34" s="344" t="s">
        <v>95</v>
      </c>
      <c r="F34" s="344" t="s">
        <v>95</v>
      </c>
      <c r="G34" s="344" t="s">
        <v>109</v>
      </c>
      <c r="H34" s="345" t="s">
        <v>2744</v>
      </c>
      <c r="I34" s="346"/>
      <c r="J34" s="347"/>
      <c r="K34" s="1"/>
      <c r="L34" s="1"/>
      <c r="M34" s="1"/>
      <c r="N34" s="1"/>
      <c r="O34" s="1"/>
    </row>
    <row r="35" spans="1:15" ht="29.1" customHeight="1">
      <c r="A35" s="344" t="s">
        <v>409</v>
      </c>
      <c r="B35" s="344" t="s">
        <v>410</v>
      </c>
      <c r="C35" s="344" t="s">
        <v>411</v>
      </c>
      <c r="D35" s="344" t="s">
        <v>98</v>
      </c>
      <c r="E35" s="344" t="s">
        <v>94</v>
      </c>
      <c r="F35" s="344" t="s">
        <v>95</v>
      </c>
      <c r="G35" s="344" t="s">
        <v>106</v>
      </c>
      <c r="H35" s="345" t="s">
        <v>2745</v>
      </c>
      <c r="I35" s="346"/>
      <c r="J35" s="347"/>
      <c r="K35" s="1"/>
      <c r="L35" s="1"/>
      <c r="M35" s="1"/>
      <c r="N35" s="1"/>
      <c r="O35" s="1"/>
    </row>
    <row r="36" spans="1:15" ht="29.1" customHeight="1">
      <c r="A36" s="344" t="s">
        <v>412</v>
      </c>
      <c r="B36" s="344" t="s">
        <v>122</v>
      </c>
      <c r="C36" s="344" t="s">
        <v>413</v>
      </c>
      <c r="D36" s="344" t="s">
        <v>102</v>
      </c>
      <c r="E36" s="344" t="s">
        <v>94</v>
      </c>
      <c r="F36" s="344" t="s">
        <v>95</v>
      </c>
      <c r="G36" s="344" t="s">
        <v>105</v>
      </c>
      <c r="H36" s="345" t="s">
        <v>2746</v>
      </c>
      <c r="I36" s="346"/>
      <c r="J36" s="347"/>
      <c r="K36" s="1"/>
      <c r="L36" s="1"/>
      <c r="M36" s="1"/>
      <c r="N36" s="1"/>
      <c r="O36" s="1"/>
    </row>
    <row r="37" spans="1:15">
      <c r="A37" s="344" t="s">
        <v>414</v>
      </c>
      <c r="B37" s="344" t="s">
        <v>415</v>
      </c>
      <c r="C37" s="344" t="s">
        <v>416</v>
      </c>
      <c r="D37" s="344" t="s">
        <v>98</v>
      </c>
      <c r="E37" s="344" t="s">
        <v>95</v>
      </c>
      <c r="F37" s="344" t="s">
        <v>95</v>
      </c>
      <c r="G37" s="344" t="s">
        <v>109</v>
      </c>
      <c r="H37" s="345" t="s">
        <v>2747</v>
      </c>
      <c r="I37" s="346"/>
      <c r="J37" s="347"/>
      <c r="K37" s="1"/>
      <c r="L37" s="1"/>
      <c r="M37" s="1"/>
      <c r="N37" s="1"/>
      <c r="O37" s="1"/>
    </row>
    <row r="38" spans="1:15" ht="29.1" customHeight="1">
      <c r="A38" s="344" t="s">
        <v>417</v>
      </c>
      <c r="B38" s="344" t="s">
        <v>418</v>
      </c>
      <c r="C38" s="344" t="s">
        <v>419</v>
      </c>
      <c r="D38" s="344" t="s">
        <v>98</v>
      </c>
      <c r="E38" s="348" t="s">
        <v>94</v>
      </c>
      <c r="F38" s="344" t="s">
        <v>95</v>
      </c>
      <c r="G38" s="348" t="s">
        <v>16342</v>
      </c>
      <c r="H38" s="345" t="s">
        <v>2722</v>
      </c>
      <c r="I38" s="346"/>
      <c r="J38" s="347"/>
      <c r="K38" s="1"/>
      <c r="L38" s="1"/>
      <c r="M38" s="1"/>
      <c r="N38" s="1"/>
      <c r="O38" s="1"/>
    </row>
    <row r="39" spans="1:15">
      <c r="A39" s="344" t="s">
        <v>420</v>
      </c>
      <c r="B39" s="344" t="s">
        <v>421</v>
      </c>
      <c r="C39" s="344" t="s">
        <v>422</v>
      </c>
      <c r="D39" s="344" t="s">
        <v>98</v>
      </c>
      <c r="E39" s="348" t="s">
        <v>94</v>
      </c>
      <c r="F39" s="344" t="s">
        <v>95</v>
      </c>
      <c r="G39" s="348" t="s">
        <v>106</v>
      </c>
      <c r="H39" s="345" t="s">
        <v>2748</v>
      </c>
      <c r="I39" s="346"/>
      <c r="J39" s="347"/>
      <c r="K39" s="1"/>
      <c r="L39" s="1"/>
      <c r="M39" s="1"/>
      <c r="N39" s="1"/>
      <c r="O39" s="1"/>
    </row>
    <row r="40" spans="1:15" ht="29.1" customHeight="1">
      <c r="A40" s="344" t="s">
        <v>423</v>
      </c>
      <c r="B40" s="344" t="s">
        <v>424</v>
      </c>
      <c r="C40" s="344" t="s">
        <v>425</v>
      </c>
      <c r="D40" s="344" t="s">
        <v>98</v>
      </c>
      <c r="E40" s="344" t="s">
        <v>95</v>
      </c>
      <c r="F40" s="344" t="s">
        <v>95</v>
      </c>
      <c r="G40" s="344" t="s">
        <v>109</v>
      </c>
      <c r="H40" s="345" t="s">
        <v>2749</v>
      </c>
      <c r="I40" s="346"/>
      <c r="J40" s="347"/>
      <c r="K40" s="1"/>
      <c r="L40" s="1"/>
      <c r="M40" s="1"/>
      <c r="N40" s="1"/>
      <c r="O40" s="1"/>
    </row>
    <row r="41" spans="1:15">
      <c r="A41" s="344" t="s">
        <v>426</v>
      </c>
      <c r="B41" s="344" t="s">
        <v>427</v>
      </c>
      <c r="C41" s="344" t="s">
        <v>428</v>
      </c>
      <c r="D41" s="344" t="s">
        <v>98</v>
      </c>
      <c r="E41" s="348" t="s">
        <v>94</v>
      </c>
      <c r="F41" s="344" t="s">
        <v>95</v>
      </c>
      <c r="G41" s="348" t="s">
        <v>106</v>
      </c>
      <c r="H41" s="345" t="s">
        <v>2750</v>
      </c>
      <c r="I41" s="346"/>
      <c r="J41" s="347"/>
      <c r="K41" s="1"/>
      <c r="L41" s="1"/>
      <c r="M41" s="1"/>
      <c r="N41" s="1"/>
      <c r="O41" s="1"/>
    </row>
    <row r="42" spans="1:15">
      <c r="A42" s="344" t="s">
        <v>429</v>
      </c>
      <c r="B42" s="344" t="s">
        <v>430</v>
      </c>
      <c r="C42" s="344" t="s">
        <v>431</v>
      </c>
      <c r="D42" s="344" t="s">
        <v>100</v>
      </c>
      <c r="E42" s="348" t="s">
        <v>94</v>
      </c>
      <c r="F42" s="344" t="s">
        <v>95</v>
      </c>
      <c r="G42" s="348" t="s">
        <v>106</v>
      </c>
      <c r="H42" s="345" t="s">
        <v>2751</v>
      </c>
      <c r="I42" s="346"/>
      <c r="J42" s="347"/>
      <c r="K42" s="1"/>
      <c r="L42" s="1"/>
      <c r="M42" s="1"/>
      <c r="N42" s="1"/>
      <c r="O42" s="1"/>
    </row>
    <row r="43" spans="1:15" ht="42" customHeight="1">
      <c r="A43" s="344" t="s">
        <v>432</v>
      </c>
      <c r="B43" s="344" t="s">
        <v>433</v>
      </c>
      <c r="C43" s="344" t="s">
        <v>434</v>
      </c>
      <c r="D43" s="344" t="s">
        <v>98</v>
      </c>
      <c r="E43" s="348" t="s">
        <v>94</v>
      </c>
      <c r="F43" s="344" t="s">
        <v>95</v>
      </c>
      <c r="G43" s="348" t="s">
        <v>16342</v>
      </c>
      <c r="H43" s="345" t="s">
        <v>2752</v>
      </c>
      <c r="I43" s="346"/>
      <c r="J43" s="347"/>
      <c r="K43" s="1"/>
      <c r="L43" s="1"/>
      <c r="M43" s="1"/>
      <c r="N43" s="1"/>
      <c r="O43" s="1"/>
    </row>
    <row r="44" spans="1:15">
      <c r="A44" s="344" t="s">
        <v>435</v>
      </c>
      <c r="B44" s="344" t="s">
        <v>436</v>
      </c>
      <c r="C44" s="344" t="s">
        <v>437</v>
      </c>
      <c r="D44" s="344" t="s">
        <v>98</v>
      </c>
      <c r="E44" s="344" t="s">
        <v>95</v>
      </c>
      <c r="F44" s="344" t="s">
        <v>95</v>
      </c>
      <c r="G44" s="344" t="s">
        <v>109</v>
      </c>
      <c r="H44" s="345" t="s">
        <v>2753</v>
      </c>
      <c r="I44" s="346"/>
      <c r="J44" s="347"/>
      <c r="K44" s="1"/>
      <c r="L44" s="1"/>
      <c r="M44" s="1"/>
      <c r="N44" s="1"/>
      <c r="O44" s="1"/>
    </row>
    <row r="45" spans="1:15">
      <c r="A45" s="344" t="s">
        <v>438</v>
      </c>
      <c r="B45" s="344" t="s">
        <v>439</v>
      </c>
      <c r="C45" s="344" t="s">
        <v>440</v>
      </c>
      <c r="D45" s="344" t="s">
        <v>99</v>
      </c>
      <c r="E45" s="348" t="s">
        <v>94</v>
      </c>
      <c r="F45" s="344" t="s">
        <v>95</v>
      </c>
      <c r="G45" s="348" t="s">
        <v>106</v>
      </c>
      <c r="H45" s="345" t="s">
        <v>2754</v>
      </c>
      <c r="I45" s="346"/>
      <c r="J45" s="347"/>
      <c r="K45" s="1"/>
      <c r="L45" s="1"/>
      <c r="M45" s="1"/>
      <c r="N45" s="1"/>
      <c r="O45" s="1"/>
    </row>
    <row r="46" spans="1:15">
      <c r="A46" s="344" t="s">
        <v>441</v>
      </c>
      <c r="B46" s="344" t="s">
        <v>442</v>
      </c>
      <c r="C46" s="344" t="s">
        <v>443</v>
      </c>
      <c r="D46" s="344" t="s">
        <v>100</v>
      </c>
      <c r="E46" s="348" t="s">
        <v>94</v>
      </c>
      <c r="F46" s="344" t="s">
        <v>95</v>
      </c>
      <c r="G46" s="348" t="s">
        <v>106</v>
      </c>
      <c r="H46" s="345" t="s">
        <v>2755</v>
      </c>
      <c r="I46" s="346"/>
      <c r="J46" s="347"/>
      <c r="K46" s="1"/>
      <c r="L46" s="1"/>
      <c r="M46" s="1"/>
      <c r="N46" s="1"/>
      <c r="O46" s="1"/>
    </row>
    <row r="47" spans="1:15" ht="29.1" customHeight="1">
      <c r="A47" s="344" t="s">
        <v>444</v>
      </c>
      <c r="B47" s="344" t="s">
        <v>445</v>
      </c>
      <c r="C47" s="344" t="s">
        <v>446</v>
      </c>
      <c r="D47" s="344" t="s">
        <v>98</v>
      </c>
      <c r="E47" s="348" t="s">
        <v>94</v>
      </c>
      <c r="F47" s="344" t="s">
        <v>95</v>
      </c>
      <c r="G47" s="348" t="s">
        <v>16342</v>
      </c>
      <c r="H47" s="345" t="s">
        <v>2722</v>
      </c>
      <c r="I47" s="346"/>
      <c r="J47" s="347"/>
      <c r="K47" s="1"/>
      <c r="L47" s="1"/>
      <c r="M47" s="1"/>
      <c r="N47" s="1"/>
      <c r="O47" s="1"/>
    </row>
    <row r="48" spans="1:15">
      <c r="A48" s="344" t="s">
        <v>447</v>
      </c>
      <c r="B48" s="344" t="s">
        <v>448</v>
      </c>
      <c r="C48" s="344" t="s">
        <v>449</v>
      </c>
      <c r="D48" s="344" t="s">
        <v>98</v>
      </c>
      <c r="E48" s="348" t="s">
        <v>94</v>
      </c>
      <c r="F48" s="344" t="s">
        <v>95</v>
      </c>
      <c r="G48" s="348" t="s">
        <v>106</v>
      </c>
      <c r="H48" s="345" t="s">
        <v>2756</v>
      </c>
      <c r="I48" s="346"/>
      <c r="J48" s="347"/>
      <c r="K48" s="1"/>
      <c r="L48" s="1"/>
      <c r="M48" s="1"/>
      <c r="N48" s="1"/>
      <c r="O48" s="1"/>
    </row>
    <row r="49" spans="1:15" ht="29.1" customHeight="1">
      <c r="A49" s="344" t="s">
        <v>450</v>
      </c>
      <c r="B49" s="344" t="s">
        <v>451</v>
      </c>
      <c r="C49" s="344" t="s">
        <v>452</v>
      </c>
      <c r="D49" s="344" t="s">
        <v>98</v>
      </c>
      <c r="E49" s="344" t="s">
        <v>95</v>
      </c>
      <c r="F49" s="344" t="s">
        <v>94</v>
      </c>
      <c r="G49" s="344" t="s">
        <v>108</v>
      </c>
      <c r="H49" s="345" t="s">
        <v>2757</v>
      </c>
      <c r="I49" s="346"/>
      <c r="J49" s="347"/>
      <c r="K49" s="1"/>
      <c r="L49" s="1"/>
      <c r="M49" s="1"/>
      <c r="N49" s="1"/>
      <c r="O49" s="1"/>
    </row>
    <row r="50" spans="1:15">
      <c r="A50" s="344" t="s">
        <v>453</v>
      </c>
      <c r="B50" s="344" t="s">
        <v>454</v>
      </c>
      <c r="C50" s="344" t="s">
        <v>455</v>
      </c>
      <c r="D50" s="344" t="s">
        <v>98</v>
      </c>
      <c r="E50" s="344" t="s">
        <v>95</v>
      </c>
      <c r="F50" s="344" t="s">
        <v>95</v>
      </c>
      <c r="G50" s="344" t="s">
        <v>109</v>
      </c>
      <c r="H50" s="345" t="s">
        <v>2758</v>
      </c>
      <c r="I50" s="346"/>
      <c r="J50" s="347"/>
      <c r="K50" s="1"/>
      <c r="L50" s="1"/>
      <c r="M50" s="1"/>
      <c r="N50" s="1"/>
      <c r="O50" s="1"/>
    </row>
    <row r="51" spans="1:15">
      <c r="A51" s="344" t="s">
        <v>456</v>
      </c>
      <c r="B51" s="344" t="s">
        <v>457</v>
      </c>
      <c r="C51" s="344" t="s">
        <v>458</v>
      </c>
      <c r="D51" s="344" t="s">
        <v>98</v>
      </c>
      <c r="E51" s="344" t="s">
        <v>95</v>
      </c>
      <c r="F51" s="344" t="s">
        <v>95</v>
      </c>
      <c r="G51" s="344" t="s">
        <v>109</v>
      </c>
      <c r="H51" s="345" t="s">
        <v>2759</v>
      </c>
      <c r="I51" s="346"/>
      <c r="J51" s="347"/>
      <c r="K51" s="1"/>
      <c r="L51" s="1"/>
      <c r="M51" s="1"/>
      <c r="N51" s="1"/>
      <c r="O51" s="1"/>
    </row>
    <row r="52" spans="1:15">
      <c r="A52" s="344" t="s">
        <v>459</v>
      </c>
      <c r="B52" s="344" t="s">
        <v>460</v>
      </c>
      <c r="C52" s="344" t="s">
        <v>461</v>
      </c>
      <c r="D52" s="344" t="s">
        <v>99</v>
      </c>
      <c r="E52" s="348" t="s">
        <v>94</v>
      </c>
      <c r="F52" s="344" t="s">
        <v>95</v>
      </c>
      <c r="G52" s="348" t="s">
        <v>106</v>
      </c>
      <c r="H52" s="345" t="s">
        <v>2760</v>
      </c>
      <c r="I52" s="346"/>
      <c r="J52" s="347"/>
      <c r="K52" s="1"/>
      <c r="L52" s="1"/>
      <c r="M52" s="1"/>
      <c r="N52" s="1"/>
      <c r="O52" s="1"/>
    </row>
    <row r="53" spans="1:15">
      <c r="A53" s="344" t="s">
        <v>462</v>
      </c>
      <c r="B53" s="344" t="s">
        <v>463</v>
      </c>
      <c r="C53" s="344" t="s">
        <v>464</v>
      </c>
      <c r="D53" s="344" t="s">
        <v>98</v>
      </c>
      <c r="E53" s="344" t="s">
        <v>95</v>
      </c>
      <c r="F53" s="344" t="s">
        <v>95</v>
      </c>
      <c r="G53" s="344" t="s">
        <v>109</v>
      </c>
      <c r="H53" s="345" t="s">
        <v>2761</v>
      </c>
      <c r="I53" s="346"/>
      <c r="J53" s="347"/>
      <c r="K53" s="1"/>
      <c r="L53" s="1"/>
      <c r="M53" s="1"/>
      <c r="N53" s="1"/>
      <c r="O53" s="1"/>
    </row>
    <row r="54" spans="1:15">
      <c r="A54" s="344" t="s">
        <v>465</v>
      </c>
      <c r="B54" s="344" t="s">
        <v>466</v>
      </c>
      <c r="C54" s="344" t="s">
        <v>467</v>
      </c>
      <c r="D54" s="344" t="s">
        <v>98</v>
      </c>
      <c r="E54" s="344" t="s">
        <v>95</v>
      </c>
      <c r="F54" s="344" t="s">
        <v>94</v>
      </c>
      <c r="G54" s="344" t="s">
        <v>108</v>
      </c>
      <c r="H54" s="345" t="s">
        <v>2762</v>
      </c>
      <c r="I54" s="346"/>
      <c r="J54" s="347"/>
      <c r="K54" s="1"/>
      <c r="L54" s="1"/>
      <c r="M54" s="1"/>
      <c r="N54" s="1"/>
      <c r="O54" s="1"/>
    </row>
    <row r="55" spans="1:15" ht="29.1" customHeight="1">
      <c r="A55" s="344" t="s">
        <v>468</v>
      </c>
      <c r="B55" s="344" t="s">
        <v>469</v>
      </c>
      <c r="C55" s="344" t="s">
        <v>470</v>
      </c>
      <c r="D55" s="344" t="s">
        <v>98</v>
      </c>
      <c r="E55" s="344" t="s">
        <v>95</v>
      </c>
      <c r="F55" s="344" t="s">
        <v>94</v>
      </c>
      <c r="G55" s="344" t="s">
        <v>108</v>
      </c>
      <c r="H55" s="345" t="s">
        <v>2763</v>
      </c>
      <c r="I55" s="346"/>
      <c r="J55" s="347"/>
      <c r="K55" s="1"/>
      <c r="L55" s="1"/>
      <c r="M55" s="1"/>
      <c r="N55" s="1"/>
      <c r="O55" s="1"/>
    </row>
    <row r="56" spans="1:15">
      <c r="A56" s="344" t="s">
        <v>471</v>
      </c>
      <c r="B56" s="344" t="s">
        <v>472</v>
      </c>
      <c r="C56" s="344" t="s">
        <v>473</v>
      </c>
      <c r="D56" s="344" t="s">
        <v>98</v>
      </c>
      <c r="E56" s="344" t="s">
        <v>94</v>
      </c>
      <c r="F56" s="344" t="s">
        <v>95</v>
      </c>
      <c r="G56" s="344" t="s">
        <v>106</v>
      </c>
      <c r="H56" s="345" t="s">
        <v>2764</v>
      </c>
      <c r="I56" s="346"/>
      <c r="J56" s="347"/>
      <c r="K56" s="1"/>
      <c r="L56" s="1"/>
      <c r="M56" s="1"/>
      <c r="N56" s="1"/>
      <c r="O56" s="1"/>
    </row>
    <row r="57" spans="1:15">
      <c r="A57" s="344" t="s">
        <v>474</v>
      </c>
      <c r="B57" s="344" t="s">
        <v>475</v>
      </c>
      <c r="C57" s="344" t="s">
        <v>476</v>
      </c>
      <c r="D57" s="344" t="s">
        <v>101</v>
      </c>
      <c r="E57" s="348" t="s">
        <v>94</v>
      </c>
      <c r="F57" s="344" t="s">
        <v>95</v>
      </c>
      <c r="G57" s="348" t="s">
        <v>106</v>
      </c>
      <c r="H57" s="345" t="s">
        <v>2765</v>
      </c>
      <c r="I57" s="346"/>
      <c r="J57" s="347"/>
      <c r="K57" s="1"/>
      <c r="L57" s="1"/>
      <c r="M57" s="1"/>
      <c r="N57" s="1"/>
      <c r="O57" s="1"/>
    </row>
    <row r="58" spans="1:15">
      <c r="A58" s="344" t="s">
        <v>477</v>
      </c>
      <c r="B58" s="344" t="s">
        <v>478</v>
      </c>
      <c r="C58" s="344" t="s">
        <v>479</v>
      </c>
      <c r="D58" s="344" t="s">
        <v>98</v>
      </c>
      <c r="E58" s="344" t="s">
        <v>95</v>
      </c>
      <c r="F58" s="344" t="s">
        <v>95</v>
      </c>
      <c r="G58" s="344" t="s">
        <v>109</v>
      </c>
      <c r="H58" s="345" t="s">
        <v>2766</v>
      </c>
      <c r="I58" s="346"/>
      <c r="J58" s="347"/>
      <c r="K58" s="1"/>
      <c r="L58" s="1"/>
      <c r="M58" s="1"/>
      <c r="N58" s="1"/>
      <c r="O58" s="1"/>
    </row>
    <row r="59" spans="1:15">
      <c r="A59" s="344" t="s">
        <v>480</v>
      </c>
      <c r="B59" s="344" t="s">
        <v>481</v>
      </c>
      <c r="C59" s="344" t="s">
        <v>482</v>
      </c>
      <c r="D59" s="344" t="s">
        <v>99</v>
      </c>
      <c r="E59" s="344" t="s">
        <v>95</v>
      </c>
      <c r="F59" s="344" t="s">
        <v>94</v>
      </c>
      <c r="G59" s="344" t="s">
        <v>108</v>
      </c>
      <c r="H59" s="345" t="s">
        <v>2767</v>
      </c>
      <c r="I59" s="346"/>
      <c r="J59" s="347"/>
      <c r="K59" s="1"/>
      <c r="L59" s="1"/>
      <c r="M59" s="1"/>
      <c r="N59" s="1"/>
      <c r="O59" s="1"/>
    </row>
    <row r="60" spans="1:15">
      <c r="A60" s="344" t="s">
        <v>483</v>
      </c>
      <c r="B60" s="344" t="s">
        <v>484</v>
      </c>
      <c r="C60" s="344" t="s">
        <v>485</v>
      </c>
      <c r="D60" s="344" t="s">
        <v>98</v>
      </c>
      <c r="E60" s="348" t="s">
        <v>94</v>
      </c>
      <c r="F60" s="344" t="s">
        <v>95</v>
      </c>
      <c r="G60" s="348" t="s">
        <v>106</v>
      </c>
      <c r="H60" s="345" t="s">
        <v>2768</v>
      </c>
      <c r="I60" s="346"/>
      <c r="J60" s="347"/>
      <c r="K60" s="1"/>
      <c r="L60" s="1"/>
      <c r="M60" s="1"/>
      <c r="N60" s="1"/>
      <c r="O60" s="1"/>
    </row>
    <row r="61" spans="1:15">
      <c r="A61" s="344" t="s">
        <v>486</v>
      </c>
      <c r="B61" s="344" t="s">
        <v>487</v>
      </c>
      <c r="C61" s="344" t="s">
        <v>488</v>
      </c>
      <c r="D61" s="344" t="s">
        <v>99</v>
      </c>
      <c r="E61" s="348" t="s">
        <v>94</v>
      </c>
      <c r="F61" s="344" t="s">
        <v>95</v>
      </c>
      <c r="G61" s="348" t="s">
        <v>106</v>
      </c>
      <c r="H61" s="345" t="s">
        <v>2769</v>
      </c>
      <c r="I61" s="346"/>
      <c r="J61" s="347"/>
      <c r="K61" s="1"/>
      <c r="L61" s="1"/>
      <c r="M61" s="1"/>
      <c r="N61" s="1"/>
      <c r="O61" s="1"/>
    </row>
    <row r="62" spans="1:15">
      <c r="A62" s="344" t="s">
        <v>489</v>
      </c>
      <c r="B62" s="344" t="s">
        <v>490</v>
      </c>
      <c r="C62" s="344" t="s">
        <v>491</v>
      </c>
      <c r="D62" s="344" t="s">
        <v>98</v>
      </c>
      <c r="E62" s="344" t="s">
        <v>95</v>
      </c>
      <c r="F62" s="344" t="s">
        <v>94</v>
      </c>
      <c r="G62" s="344" t="s">
        <v>108</v>
      </c>
      <c r="H62" s="345" t="s">
        <v>2770</v>
      </c>
      <c r="I62" s="346"/>
      <c r="J62" s="347"/>
      <c r="K62" s="1"/>
      <c r="L62" s="1"/>
      <c r="M62" s="1"/>
      <c r="N62" s="1"/>
      <c r="O62" s="1"/>
    </row>
    <row r="63" spans="1:15">
      <c r="A63" s="344" t="s">
        <v>492</v>
      </c>
      <c r="B63" s="344" t="s">
        <v>493</v>
      </c>
      <c r="C63" s="344" t="s">
        <v>494</v>
      </c>
      <c r="D63" s="344" t="s">
        <v>98</v>
      </c>
      <c r="E63" s="344" t="s">
        <v>95</v>
      </c>
      <c r="F63" s="344" t="s">
        <v>95</v>
      </c>
      <c r="G63" s="344" t="s">
        <v>109</v>
      </c>
      <c r="H63" s="345" t="s">
        <v>2771</v>
      </c>
      <c r="I63" s="346"/>
      <c r="J63" s="347"/>
      <c r="K63" s="1"/>
      <c r="L63" s="1"/>
      <c r="M63" s="1"/>
      <c r="N63" s="1"/>
      <c r="O63" s="1"/>
    </row>
    <row r="64" spans="1:15">
      <c r="A64" s="344" t="s">
        <v>495</v>
      </c>
      <c r="B64" s="344" t="s">
        <v>496</v>
      </c>
      <c r="C64" s="344" t="s">
        <v>497</v>
      </c>
      <c r="D64" s="344" t="s">
        <v>98</v>
      </c>
      <c r="E64" s="344" t="s">
        <v>95</v>
      </c>
      <c r="F64" s="344" t="s">
        <v>94</v>
      </c>
      <c r="G64" s="344" t="s">
        <v>108</v>
      </c>
      <c r="H64" s="345" t="s">
        <v>2772</v>
      </c>
      <c r="I64" s="346"/>
      <c r="J64" s="347"/>
      <c r="K64" s="1"/>
      <c r="L64" s="1"/>
      <c r="M64" s="1"/>
      <c r="N64" s="1"/>
      <c r="O64" s="1"/>
    </row>
    <row r="65" spans="1:15">
      <c r="A65" s="344" t="s">
        <v>498</v>
      </c>
      <c r="B65" s="344" t="s">
        <v>499</v>
      </c>
      <c r="C65" s="344" t="s">
        <v>500</v>
      </c>
      <c r="D65" s="344" t="s">
        <v>98</v>
      </c>
      <c r="E65" s="344" t="s">
        <v>94</v>
      </c>
      <c r="F65" s="344" t="s">
        <v>95</v>
      </c>
      <c r="G65" s="344" t="s">
        <v>106</v>
      </c>
      <c r="H65" s="345" t="s">
        <v>2773</v>
      </c>
      <c r="I65" s="346"/>
      <c r="J65" s="347"/>
      <c r="K65" s="1"/>
      <c r="L65" s="1"/>
      <c r="M65" s="1"/>
      <c r="N65" s="1"/>
      <c r="O65" s="1"/>
    </row>
    <row r="66" spans="1:15">
      <c r="A66" s="344" t="s">
        <v>501</v>
      </c>
      <c r="B66" s="344" t="s">
        <v>502</v>
      </c>
      <c r="C66" s="344" t="s">
        <v>503</v>
      </c>
      <c r="D66" s="344" t="s">
        <v>98</v>
      </c>
      <c r="E66" s="344" t="s">
        <v>95</v>
      </c>
      <c r="F66" s="344" t="s">
        <v>95</v>
      </c>
      <c r="G66" s="344" t="s">
        <v>109</v>
      </c>
      <c r="H66" s="345" t="s">
        <v>2774</v>
      </c>
      <c r="I66" s="346"/>
      <c r="J66" s="347"/>
      <c r="K66" s="1"/>
      <c r="L66" s="1"/>
      <c r="M66" s="1"/>
      <c r="N66" s="1"/>
      <c r="O66" s="1"/>
    </row>
    <row r="67" spans="1:15">
      <c r="A67" s="344" t="s">
        <v>504</v>
      </c>
      <c r="B67" s="344" t="s">
        <v>505</v>
      </c>
      <c r="C67" s="344" t="s">
        <v>506</v>
      </c>
      <c r="D67" s="344" t="s">
        <v>98</v>
      </c>
      <c r="E67" s="344" t="s">
        <v>95</v>
      </c>
      <c r="F67" s="344" t="s">
        <v>94</v>
      </c>
      <c r="G67" s="344" t="s">
        <v>108</v>
      </c>
      <c r="H67" s="345" t="s">
        <v>2775</v>
      </c>
      <c r="I67" s="346"/>
      <c r="J67" s="347"/>
      <c r="K67" s="1"/>
      <c r="L67" s="1"/>
      <c r="M67" s="1"/>
      <c r="N67" s="1"/>
      <c r="O67" s="1"/>
    </row>
    <row r="68" spans="1:15" ht="29.1" customHeight="1">
      <c r="A68" s="344" t="s">
        <v>507</v>
      </c>
      <c r="B68" s="348" t="s">
        <v>16343</v>
      </c>
      <c r="C68" s="344" t="s">
        <v>508</v>
      </c>
      <c r="D68" s="348" t="s">
        <v>16344</v>
      </c>
      <c r="E68" s="348" t="s">
        <v>94</v>
      </c>
      <c r="F68" s="344" t="s">
        <v>95</v>
      </c>
      <c r="G68" s="348" t="s">
        <v>106</v>
      </c>
      <c r="H68" s="345" t="s">
        <v>2776</v>
      </c>
      <c r="I68" s="346"/>
      <c r="J68" s="347"/>
      <c r="K68" s="1"/>
      <c r="L68" s="1"/>
      <c r="M68" s="1"/>
      <c r="N68" s="1"/>
      <c r="O68" s="1"/>
    </row>
    <row r="69" spans="1:15">
      <c r="A69" s="344" t="s">
        <v>509</v>
      </c>
      <c r="B69" s="344" t="s">
        <v>510</v>
      </c>
      <c r="C69" s="344" t="s">
        <v>511</v>
      </c>
      <c r="D69" s="344" t="s">
        <v>98</v>
      </c>
      <c r="E69" s="344" t="s">
        <v>94</v>
      </c>
      <c r="F69" s="344" t="s">
        <v>95</v>
      </c>
      <c r="G69" s="344" t="s">
        <v>106</v>
      </c>
      <c r="H69" s="345" t="s">
        <v>2777</v>
      </c>
      <c r="I69" s="346"/>
      <c r="J69" s="347"/>
      <c r="K69" s="1"/>
      <c r="L69" s="1"/>
      <c r="M69" s="1"/>
      <c r="N69" s="1"/>
      <c r="O69" s="1"/>
    </row>
    <row r="70" spans="1:15">
      <c r="A70" s="344" t="s">
        <v>512</v>
      </c>
      <c r="B70" s="344" t="s">
        <v>513</v>
      </c>
      <c r="C70" s="344" t="s">
        <v>514</v>
      </c>
      <c r="D70" s="344" t="s">
        <v>98</v>
      </c>
      <c r="E70" s="344" t="s">
        <v>95</v>
      </c>
      <c r="F70" s="344" t="s">
        <v>95</v>
      </c>
      <c r="G70" s="344" t="s">
        <v>109</v>
      </c>
      <c r="H70" s="345" t="s">
        <v>2778</v>
      </c>
      <c r="I70" s="346"/>
      <c r="J70" s="347"/>
      <c r="K70" s="1"/>
      <c r="L70" s="1"/>
      <c r="M70" s="1"/>
      <c r="N70" s="1"/>
      <c r="O70" s="1"/>
    </row>
    <row r="71" spans="1:15">
      <c r="A71" s="344" t="s">
        <v>515</v>
      </c>
      <c r="B71" s="344" t="s">
        <v>516</v>
      </c>
      <c r="C71" s="344" t="s">
        <v>517</v>
      </c>
      <c r="D71" s="344" t="s">
        <v>98</v>
      </c>
      <c r="E71" s="344" t="s">
        <v>95</v>
      </c>
      <c r="F71" s="344" t="s">
        <v>95</v>
      </c>
      <c r="G71" s="344" t="s">
        <v>109</v>
      </c>
      <c r="H71" s="345" t="s">
        <v>2779</v>
      </c>
      <c r="I71" s="346"/>
      <c r="J71" s="347"/>
      <c r="K71" s="1"/>
      <c r="L71" s="1"/>
      <c r="M71" s="1"/>
      <c r="N71" s="1"/>
      <c r="O71" s="1"/>
    </row>
    <row r="72" spans="1:15">
      <c r="A72" s="344" t="s">
        <v>518</v>
      </c>
      <c r="B72" s="344" t="s">
        <v>519</v>
      </c>
      <c r="C72" s="344" t="s">
        <v>520</v>
      </c>
      <c r="D72" s="344" t="s">
        <v>98</v>
      </c>
      <c r="E72" s="348" t="s">
        <v>94</v>
      </c>
      <c r="F72" s="344" t="s">
        <v>95</v>
      </c>
      <c r="G72" s="348" t="s">
        <v>106</v>
      </c>
      <c r="H72" s="345" t="s">
        <v>2780</v>
      </c>
      <c r="I72" s="346"/>
      <c r="J72" s="347"/>
      <c r="K72" s="1"/>
      <c r="L72" s="1"/>
      <c r="M72" s="1"/>
      <c r="N72" s="1"/>
      <c r="O72" s="1"/>
    </row>
    <row r="73" spans="1:15">
      <c r="A73" s="344" t="s">
        <v>521</v>
      </c>
      <c r="B73" s="344" t="s">
        <v>522</v>
      </c>
      <c r="C73" s="344" t="s">
        <v>523</v>
      </c>
      <c r="D73" s="344" t="s">
        <v>99</v>
      </c>
      <c r="E73" s="348" t="s">
        <v>94</v>
      </c>
      <c r="F73" s="344" t="s">
        <v>95</v>
      </c>
      <c r="G73" s="348" t="s">
        <v>106</v>
      </c>
      <c r="H73" s="345" t="s">
        <v>2781</v>
      </c>
      <c r="I73" s="346"/>
      <c r="J73" s="347"/>
      <c r="K73" s="1"/>
      <c r="L73" s="1"/>
      <c r="M73" s="1"/>
      <c r="N73" s="1"/>
      <c r="O73" s="1"/>
    </row>
    <row r="74" spans="1:15">
      <c r="A74" s="344" t="s">
        <v>524</v>
      </c>
      <c r="B74" s="344" t="s">
        <v>525</v>
      </c>
      <c r="C74" s="344" t="s">
        <v>526</v>
      </c>
      <c r="D74" s="344" t="s">
        <v>98</v>
      </c>
      <c r="E74" s="344" t="s">
        <v>95</v>
      </c>
      <c r="F74" s="344" t="s">
        <v>95</v>
      </c>
      <c r="G74" s="344" t="s">
        <v>109</v>
      </c>
      <c r="H74" s="345" t="s">
        <v>2782</v>
      </c>
      <c r="I74" s="346"/>
      <c r="J74" s="347"/>
      <c r="K74" s="1"/>
      <c r="L74" s="1"/>
      <c r="M74" s="1"/>
      <c r="N74" s="1"/>
      <c r="O74" s="1"/>
    </row>
    <row r="75" spans="1:15" ht="29.1" customHeight="1">
      <c r="A75" s="344" t="s">
        <v>527</v>
      </c>
      <c r="B75" s="344" t="s">
        <v>528</v>
      </c>
      <c r="C75" s="344" t="s">
        <v>529</v>
      </c>
      <c r="D75" s="344" t="s">
        <v>98</v>
      </c>
      <c r="E75" s="348" t="s">
        <v>94</v>
      </c>
      <c r="F75" s="344" t="s">
        <v>95</v>
      </c>
      <c r="G75" s="348" t="s">
        <v>16342</v>
      </c>
      <c r="H75" s="345" t="s">
        <v>2722</v>
      </c>
      <c r="I75" s="346"/>
      <c r="J75" s="347"/>
      <c r="K75" s="1"/>
      <c r="L75" s="1"/>
      <c r="M75" s="1"/>
      <c r="N75" s="1"/>
      <c r="O75" s="1"/>
    </row>
    <row r="76" spans="1:15">
      <c r="A76" s="344" t="s">
        <v>530</v>
      </c>
      <c r="B76" s="344" t="s">
        <v>531</v>
      </c>
      <c r="C76" s="344" t="s">
        <v>532</v>
      </c>
      <c r="D76" s="344" t="s">
        <v>100</v>
      </c>
      <c r="E76" s="348" t="s">
        <v>94</v>
      </c>
      <c r="F76" s="344" t="s">
        <v>95</v>
      </c>
      <c r="G76" s="348" t="s">
        <v>106</v>
      </c>
      <c r="H76" s="345" t="s">
        <v>2783</v>
      </c>
      <c r="I76" s="346"/>
      <c r="J76" s="347"/>
      <c r="K76" s="1"/>
      <c r="L76" s="1"/>
      <c r="M76" s="1"/>
      <c r="N76" s="1"/>
      <c r="O76" s="1"/>
    </row>
    <row r="77" spans="1:15">
      <c r="A77" s="344" t="s">
        <v>533</v>
      </c>
      <c r="B77" s="344" t="s">
        <v>534</v>
      </c>
      <c r="C77" s="344" t="s">
        <v>535</v>
      </c>
      <c r="D77" s="344" t="s">
        <v>99</v>
      </c>
      <c r="E77" s="348" t="s">
        <v>94</v>
      </c>
      <c r="F77" s="344" t="s">
        <v>95</v>
      </c>
      <c r="G77" s="348" t="s">
        <v>106</v>
      </c>
      <c r="H77" s="345" t="s">
        <v>2784</v>
      </c>
      <c r="I77" s="346"/>
      <c r="J77" s="347"/>
      <c r="K77" s="1"/>
      <c r="L77" s="1"/>
      <c r="M77" s="1"/>
      <c r="N77" s="1"/>
      <c r="O77" s="1"/>
    </row>
    <row r="78" spans="1:15">
      <c r="A78" s="344" t="s">
        <v>536</v>
      </c>
      <c r="B78" s="344" t="s">
        <v>537</v>
      </c>
      <c r="C78" s="344" t="s">
        <v>538</v>
      </c>
      <c r="D78" s="344" t="s">
        <v>99</v>
      </c>
      <c r="E78" s="348" t="s">
        <v>94</v>
      </c>
      <c r="F78" s="344" t="s">
        <v>95</v>
      </c>
      <c r="G78" s="348" t="s">
        <v>106</v>
      </c>
      <c r="H78" s="345" t="s">
        <v>2785</v>
      </c>
      <c r="I78" s="346"/>
      <c r="J78" s="347"/>
      <c r="K78" s="1"/>
      <c r="L78" s="1"/>
      <c r="M78" s="1"/>
      <c r="N78" s="1"/>
      <c r="O78" s="1"/>
    </row>
    <row r="79" spans="1:15">
      <c r="A79" s="344" t="s">
        <v>539</v>
      </c>
      <c r="B79" s="344" t="s">
        <v>540</v>
      </c>
      <c r="C79" s="344" t="s">
        <v>541</v>
      </c>
      <c r="D79" s="344" t="s">
        <v>98</v>
      </c>
      <c r="E79" s="344" t="s">
        <v>95</v>
      </c>
      <c r="F79" s="344" t="s">
        <v>95</v>
      </c>
      <c r="G79" s="344" t="s">
        <v>109</v>
      </c>
      <c r="H79" s="345" t="s">
        <v>2786</v>
      </c>
      <c r="I79" s="346"/>
      <c r="J79" s="347"/>
      <c r="K79" s="1"/>
      <c r="L79" s="1"/>
      <c r="M79" s="1"/>
      <c r="N79" s="1"/>
      <c r="O79" s="1"/>
    </row>
    <row r="80" spans="1:15">
      <c r="A80" s="344" t="s">
        <v>542</v>
      </c>
      <c r="B80" s="344" t="s">
        <v>543</v>
      </c>
      <c r="C80" s="344" t="s">
        <v>544</v>
      </c>
      <c r="D80" s="344" t="s">
        <v>98</v>
      </c>
      <c r="E80" s="344" t="s">
        <v>95</v>
      </c>
      <c r="F80" s="344" t="s">
        <v>95</v>
      </c>
      <c r="G80" s="344" t="s">
        <v>109</v>
      </c>
      <c r="H80" s="345" t="s">
        <v>2787</v>
      </c>
      <c r="I80" s="346"/>
      <c r="J80" s="347"/>
      <c r="K80" s="1"/>
      <c r="L80" s="1"/>
      <c r="M80" s="1"/>
      <c r="N80" s="1"/>
      <c r="O80" s="1"/>
    </row>
    <row r="81" spans="1:15" ht="29.1" customHeight="1">
      <c r="A81" s="344" t="s">
        <v>545</v>
      </c>
      <c r="B81" s="344" t="s">
        <v>546</v>
      </c>
      <c r="C81" s="344" t="s">
        <v>547</v>
      </c>
      <c r="D81" s="344" t="s">
        <v>98</v>
      </c>
      <c r="E81" s="344" t="s">
        <v>94</v>
      </c>
      <c r="F81" s="344" t="s">
        <v>95</v>
      </c>
      <c r="G81" s="344" t="s">
        <v>106</v>
      </c>
      <c r="H81" s="345" t="s">
        <v>2788</v>
      </c>
      <c r="I81" s="346"/>
      <c r="J81" s="347"/>
      <c r="K81" s="1"/>
      <c r="L81" s="1"/>
      <c r="M81" s="1"/>
      <c r="N81" s="1"/>
      <c r="O81" s="1"/>
    </row>
    <row r="82" spans="1:15">
      <c r="A82" s="344" t="s">
        <v>548</v>
      </c>
      <c r="B82" s="344" t="s">
        <v>549</v>
      </c>
      <c r="C82" s="344" t="s">
        <v>550</v>
      </c>
      <c r="D82" s="344" t="s">
        <v>99</v>
      </c>
      <c r="E82" s="344" t="s">
        <v>95</v>
      </c>
      <c r="F82" s="344" t="s">
        <v>95</v>
      </c>
      <c r="G82" s="344" t="s">
        <v>109</v>
      </c>
      <c r="H82" s="345" t="s">
        <v>2789</v>
      </c>
      <c r="I82" s="346"/>
      <c r="J82" s="347"/>
      <c r="K82" s="1"/>
      <c r="L82" s="1"/>
      <c r="M82" s="1"/>
      <c r="N82" s="1"/>
      <c r="O82" s="1"/>
    </row>
    <row r="83" spans="1:15">
      <c r="A83" s="344" t="s">
        <v>551</v>
      </c>
      <c r="B83" s="344" t="s">
        <v>552</v>
      </c>
      <c r="C83" s="344" t="s">
        <v>553</v>
      </c>
      <c r="D83" s="344" t="s">
        <v>99</v>
      </c>
      <c r="E83" s="344" t="s">
        <v>95</v>
      </c>
      <c r="F83" s="344" t="s">
        <v>95</v>
      </c>
      <c r="G83" s="344" t="s">
        <v>109</v>
      </c>
      <c r="H83" s="345" t="s">
        <v>2790</v>
      </c>
      <c r="I83" s="346"/>
      <c r="J83" s="347"/>
      <c r="K83" s="1"/>
      <c r="L83" s="1"/>
      <c r="M83" s="1"/>
      <c r="N83" s="1"/>
      <c r="O83" s="1"/>
    </row>
    <row r="84" spans="1:15">
      <c r="A84" s="344" t="s">
        <v>554</v>
      </c>
      <c r="B84" s="344" t="s">
        <v>555</v>
      </c>
      <c r="C84" s="344" t="s">
        <v>556</v>
      </c>
      <c r="D84" s="344" t="s">
        <v>99</v>
      </c>
      <c r="E84" s="344" t="s">
        <v>95</v>
      </c>
      <c r="F84" s="344" t="s">
        <v>95</v>
      </c>
      <c r="G84" s="344" t="s">
        <v>109</v>
      </c>
      <c r="H84" s="345" t="s">
        <v>2791</v>
      </c>
      <c r="I84" s="346"/>
      <c r="J84" s="347"/>
      <c r="K84" s="1"/>
      <c r="L84" s="1"/>
      <c r="M84" s="1"/>
      <c r="N84" s="1"/>
      <c r="O84" s="1"/>
    </row>
    <row r="85" spans="1:15">
      <c r="A85" s="344" t="s">
        <v>557</v>
      </c>
      <c r="B85" s="344" t="s">
        <v>558</v>
      </c>
      <c r="C85" s="344" t="s">
        <v>559</v>
      </c>
      <c r="D85" s="344" t="s">
        <v>98</v>
      </c>
      <c r="E85" s="344" t="s">
        <v>95</v>
      </c>
      <c r="F85" s="344" t="s">
        <v>94</v>
      </c>
      <c r="G85" s="344" t="s">
        <v>108</v>
      </c>
      <c r="H85" s="345" t="s">
        <v>2792</v>
      </c>
      <c r="I85" s="346"/>
      <c r="J85" s="347"/>
      <c r="K85" s="1"/>
      <c r="L85" s="1"/>
      <c r="M85" s="1"/>
      <c r="N85" s="1"/>
      <c r="O85" s="1"/>
    </row>
    <row r="86" spans="1:15">
      <c r="A86" s="344" t="s">
        <v>560</v>
      </c>
      <c r="B86" s="344" t="s">
        <v>561</v>
      </c>
      <c r="C86" s="344" t="s">
        <v>562</v>
      </c>
      <c r="D86" s="344" t="s">
        <v>98</v>
      </c>
      <c r="E86" s="348" t="s">
        <v>94</v>
      </c>
      <c r="F86" s="344" t="s">
        <v>95</v>
      </c>
      <c r="G86" s="348" t="s">
        <v>106</v>
      </c>
      <c r="H86" s="345" t="s">
        <v>2793</v>
      </c>
      <c r="I86" s="346"/>
      <c r="J86" s="347"/>
      <c r="K86" s="1"/>
      <c r="L86" s="1"/>
      <c r="M86" s="1"/>
      <c r="N86" s="1"/>
      <c r="O86" s="1"/>
    </row>
    <row r="87" spans="1:15">
      <c r="A87" s="344" t="s">
        <v>563</v>
      </c>
      <c r="B87" s="344" t="s">
        <v>564</v>
      </c>
      <c r="C87" s="344" t="s">
        <v>565</v>
      </c>
      <c r="D87" s="344" t="s">
        <v>98</v>
      </c>
      <c r="E87" s="344" t="s">
        <v>94</v>
      </c>
      <c r="F87" s="344" t="s">
        <v>95</v>
      </c>
      <c r="G87" s="344" t="s">
        <v>106</v>
      </c>
      <c r="H87" s="345" t="s">
        <v>2794</v>
      </c>
      <c r="I87" s="346"/>
      <c r="J87" s="347"/>
      <c r="K87" s="1"/>
      <c r="L87" s="1"/>
      <c r="M87" s="1"/>
      <c r="N87" s="1"/>
      <c r="O87" s="1"/>
    </row>
    <row r="88" spans="1:15">
      <c r="A88" s="344" t="s">
        <v>566</v>
      </c>
      <c r="B88" s="344" t="s">
        <v>567</v>
      </c>
      <c r="C88" s="344" t="s">
        <v>568</v>
      </c>
      <c r="D88" s="344" t="s">
        <v>98</v>
      </c>
      <c r="E88" s="344" t="s">
        <v>95</v>
      </c>
      <c r="F88" s="344" t="s">
        <v>94</v>
      </c>
      <c r="G88" s="344" t="s">
        <v>108</v>
      </c>
      <c r="H88" s="345" t="s">
        <v>2795</v>
      </c>
      <c r="I88" s="346"/>
      <c r="J88" s="347"/>
      <c r="K88" s="1"/>
      <c r="L88" s="1"/>
      <c r="M88" s="1"/>
      <c r="N88" s="1"/>
      <c r="O88" s="1"/>
    </row>
    <row r="89" spans="1:15" ht="29.1" customHeight="1">
      <c r="A89" s="344" t="s">
        <v>569</v>
      </c>
      <c r="B89" s="344" t="s">
        <v>570</v>
      </c>
      <c r="C89" s="344" t="s">
        <v>571</v>
      </c>
      <c r="D89" s="344" t="s">
        <v>98</v>
      </c>
      <c r="E89" s="348" t="s">
        <v>94</v>
      </c>
      <c r="F89" s="344" t="s">
        <v>95</v>
      </c>
      <c r="G89" s="348" t="s">
        <v>16342</v>
      </c>
      <c r="H89" s="345" t="s">
        <v>2722</v>
      </c>
      <c r="I89" s="346"/>
      <c r="J89" s="347"/>
      <c r="K89" s="1"/>
      <c r="L89" s="1"/>
      <c r="M89" s="1"/>
      <c r="N89" s="1"/>
      <c r="O89" s="1"/>
    </row>
    <row r="90" spans="1:15">
      <c r="A90" s="344" t="s">
        <v>572</v>
      </c>
      <c r="B90" s="344" t="s">
        <v>573</v>
      </c>
      <c r="C90" s="344" t="s">
        <v>574</v>
      </c>
      <c r="D90" s="344" t="s">
        <v>98</v>
      </c>
      <c r="E90" s="344" t="s">
        <v>95</v>
      </c>
      <c r="F90" s="344" t="s">
        <v>95</v>
      </c>
      <c r="G90" s="344" t="s">
        <v>109</v>
      </c>
      <c r="H90" s="345" t="s">
        <v>2796</v>
      </c>
      <c r="I90" s="346"/>
      <c r="J90" s="347"/>
      <c r="K90" s="1"/>
      <c r="L90" s="1"/>
      <c r="M90" s="1"/>
      <c r="N90" s="1"/>
      <c r="O90" s="1"/>
    </row>
    <row r="91" spans="1:15">
      <c r="A91" s="344" t="s">
        <v>575</v>
      </c>
      <c r="B91" s="344" t="s">
        <v>576</v>
      </c>
      <c r="C91" s="344" t="s">
        <v>577</v>
      </c>
      <c r="D91" s="344" t="s">
        <v>98</v>
      </c>
      <c r="E91" s="344" t="s">
        <v>95</v>
      </c>
      <c r="F91" s="344" t="s">
        <v>95</v>
      </c>
      <c r="G91" s="344" t="s">
        <v>109</v>
      </c>
      <c r="H91" s="345" t="s">
        <v>2797</v>
      </c>
      <c r="I91" s="346"/>
      <c r="J91" s="347"/>
      <c r="K91" s="1"/>
      <c r="L91" s="1"/>
      <c r="M91" s="1"/>
      <c r="N91" s="1"/>
      <c r="O91" s="1"/>
    </row>
    <row r="92" spans="1:15">
      <c r="A92" s="344" t="s">
        <v>578</v>
      </c>
      <c r="B92" s="344" t="s">
        <v>579</v>
      </c>
      <c r="C92" s="344" t="s">
        <v>580</v>
      </c>
      <c r="D92" s="344" t="s">
        <v>98</v>
      </c>
      <c r="E92" s="344" t="s">
        <v>95</v>
      </c>
      <c r="F92" s="344" t="s">
        <v>95</v>
      </c>
      <c r="G92" s="344" t="s">
        <v>109</v>
      </c>
      <c r="H92" s="345" t="s">
        <v>2798</v>
      </c>
      <c r="I92" s="346"/>
      <c r="J92" s="347"/>
      <c r="K92" s="1"/>
      <c r="L92" s="1"/>
      <c r="M92" s="1"/>
      <c r="N92" s="1"/>
      <c r="O92" s="1"/>
    </row>
    <row r="93" spans="1:15" ht="29.1" customHeight="1">
      <c r="A93" s="344" t="s">
        <v>581</v>
      </c>
      <c r="B93" s="344" t="s">
        <v>472</v>
      </c>
      <c r="C93" s="344" t="s">
        <v>582</v>
      </c>
      <c r="D93" s="344" t="s">
        <v>98</v>
      </c>
      <c r="E93" s="344" t="s">
        <v>94</v>
      </c>
      <c r="F93" s="344" t="s">
        <v>95</v>
      </c>
      <c r="G93" s="344" t="s">
        <v>106</v>
      </c>
      <c r="H93" s="345" t="s">
        <v>2799</v>
      </c>
      <c r="I93" s="346"/>
      <c r="J93" s="347"/>
      <c r="K93" s="1"/>
      <c r="L93" s="1"/>
      <c r="M93" s="1"/>
      <c r="N93" s="1"/>
      <c r="O93" s="1"/>
    </row>
    <row r="94" spans="1:15" ht="29.1" customHeight="1">
      <c r="A94" s="344" t="s">
        <v>583</v>
      </c>
      <c r="B94" s="344" t="s">
        <v>351</v>
      </c>
      <c r="C94" s="344" t="s">
        <v>584</v>
      </c>
      <c r="D94" s="344" t="s">
        <v>98</v>
      </c>
      <c r="E94" s="344" t="s">
        <v>95</v>
      </c>
      <c r="F94" s="344" t="s">
        <v>94</v>
      </c>
      <c r="G94" s="344" t="s">
        <v>108</v>
      </c>
      <c r="H94" s="345" t="s">
        <v>2800</v>
      </c>
      <c r="I94" s="346"/>
      <c r="J94" s="347"/>
      <c r="K94" s="1"/>
      <c r="L94" s="1"/>
      <c r="M94" s="1"/>
      <c r="N94" s="1"/>
      <c r="O94" s="1"/>
    </row>
    <row r="95" spans="1:15" ht="29.1" customHeight="1">
      <c r="A95" s="344" t="s">
        <v>585</v>
      </c>
      <c r="B95" s="344" t="s">
        <v>393</v>
      </c>
      <c r="C95" s="344" t="s">
        <v>586</v>
      </c>
      <c r="D95" s="344" t="s">
        <v>98</v>
      </c>
      <c r="E95" s="344" t="s">
        <v>95</v>
      </c>
      <c r="F95" s="344" t="s">
        <v>94</v>
      </c>
      <c r="G95" s="344" t="s">
        <v>108</v>
      </c>
      <c r="H95" s="345" t="s">
        <v>2801</v>
      </c>
      <c r="I95" s="346"/>
      <c r="J95" s="347"/>
      <c r="K95" s="1"/>
      <c r="L95" s="1"/>
      <c r="M95" s="1"/>
      <c r="N95" s="1"/>
      <c r="O95" s="1"/>
    </row>
    <row r="96" spans="1:15" ht="29.1" customHeight="1">
      <c r="A96" s="344" t="s">
        <v>587</v>
      </c>
      <c r="B96" s="344" t="s">
        <v>126</v>
      </c>
      <c r="C96" s="344" t="s">
        <v>588</v>
      </c>
      <c r="D96" s="344" t="s">
        <v>99</v>
      </c>
      <c r="E96" s="344" t="s">
        <v>94</v>
      </c>
      <c r="F96" s="344" t="s">
        <v>95</v>
      </c>
      <c r="G96" s="344" t="s">
        <v>105</v>
      </c>
      <c r="H96" s="345" t="s">
        <v>2802</v>
      </c>
      <c r="I96" s="346"/>
      <c r="J96" s="347"/>
      <c r="K96" s="1"/>
      <c r="L96" s="1"/>
      <c r="M96" s="1"/>
      <c r="N96" s="1"/>
      <c r="O96" s="1"/>
    </row>
    <row r="97" spans="1:15" ht="29.1" customHeight="1">
      <c r="A97" s="344" t="s">
        <v>589</v>
      </c>
      <c r="B97" s="344" t="s">
        <v>122</v>
      </c>
      <c r="C97" s="344" t="s">
        <v>590</v>
      </c>
      <c r="D97" s="344" t="s">
        <v>102</v>
      </c>
      <c r="E97" s="344" t="s">
        <v>94</v>
      </c>
      <c r="F97" s="344" t="s">
        <v>95</v>
      </c>
      <c r="G97" s="344" t="s">
        <v>105</v>
      </c>
      <c r="H97" s="345" t="s">
        <v>2803</v>
      </c>
      <c r="I97" s="346"/>
      <c r="J97" s="347"/>
      <c r="K97" s="1"/>
      <c r="L97" s="1"/>
      <c r="M97" s="1"/>
      <c r="N97" s="1"/>
      <c r="O97" s="1"/>
    </row>
    <row r="98" spans="1:15" ht="29.1" customHeight="1">
      <c r="A98" s="344" t="s">
        <v>591</v>
      </c>
      <c r="B98" s="344" t="s">
        <v>125</v>
      </c>
      <c r="C98" s="344" t="s">
        <v>592</v>
      </c>
      <c r="D98" s="344" t="s">
        <v>99</v>
      </c>
      <c r="E98" s="344" t="s">
        <v>94</v>
      </c>
      <c r="F98" s="344" t="s">
        <v>95</v>
      </c>
      <c r="G98" s="344" t="s">
        <v>105</v>
      </c>
      <c r="H98" s="345" t="s">
        <v>2804</v>
      </c>
      <c r="I98" s="346"/>
      <c r="J98" s="347"/>
      <c r="K98" s="1"/>
      <c r="L98" s="1"/>
      <c r="M98" s="1"/>
      <c r="N98" s="1"/>
      <c r="O98" s="1"/>
    </row>
    <row r="99" spans="1:15" ht="42" customHeight="1">
      <c r="A99" s="344" t="s">
        <v>593</v>
      </c>
      <c r="B99" s="344" t="s">
        <v>121</v>
      </c>
      <c r="C99" s="344" t="s">
        <v>594</v>
      </c>
      <c r="D99" s="344" t="s">
        <v>98</v>
      </c>
      <c r="E99" s="344" t="s">
        <v>94</v>
      </c>
      <c r="F99" s="344" t="s">
        <v>95</v>
      </c>
      <c r="G99" s="344" t="s">
        <v>105</v>
      </c>
      <c r="H99" s="345" t="s">
        <v>2805</v>
      </c>
      <c r="I99" s="346"/>
      <c r="J99" s="347"/>
      <c r="K99" s="1"/>
      <c r="L99" s="1"/>
      <c r="M99" s="1"/>
      <c r="N99" s="1"/>
      <c r="O99" s="1"/>
    </row>
    <row r="100" spans="1:15">
      <c r="A100" s="344" t="s">
        <v>595</v>
      </c>
      <c r="B100" s="344" t="s">
        <v>564</v>
      </c>
      <c r="C100" s="344" t="s">
        <v>596</v>
      </c>
      <c r="D100" s="344" t="s">
        <v>98</v>
      </c>
      <c r="E100" s="344" t="s">
        <v>94</v>
      </c>
      <c r="F100" s="344" t="s">
        <v>95</v>
      </c>
      <c r="G100" s="344" t="s">
        <v>106</v>
      </c>
      <c r="H100" s="345" t="s">
        <v>2806</v>
      </c>
      <c r="I100" s="346"/>
      <c r="J100" s="347"/>
      <c r="K100" s="1"/>
      <c r="L100" s="1"/>
      <c r="M100" s="1"/>
      <c r="N100" s="1"/>
      <c r="O100" s="1"/>
    </row>
    <row r="101" spans="1:15" ht="29.1" customHeight="1">
      <c r="A101" s="344" t="s">
        <v>597</v>
      </c>
      <c r="B101" s="344" t="s">
        <v>410</v>
      </c>
      <c r="C101" s="344" t="s">
        <v>598</v>
      </c>
      <c r="D101" s="344" t="s">
        <v>98</v>
      </c>
      <c r="E101" s="344" t="s">
        <v>94</v>
      </c>
      <c r="F101" s="344" t="s">
        <v>95</v>
      </c>
      <c r="G101" s="344" t="s">
        <v>106</v>
      </c>
      <c r="H101" s="345" t="s">
        <v>2807</v>
      </c>
      <c r="I101" s="346"/>
      <c r="J101" s="347"/>
      <c r="K101" s="1"/>
      <c r="L101" s="1"/>
      <c r="M101" s="1"/>
      <c r="N101" s="1"/>
      <c r="O101" s="1"/>
    </row>
    <row r="102" spans="1:15" ht="42" customHeight="1">
      <c r="A102" s="344" t="s">
        <v>599</v>
      </c>
      <c r="B102" s="344" t="s">
        <v>117</v>
      </c>
      <c r="C102" s="344" t="s">
        <v>600</v>
      </c>
      <c r="D102" s="344" t="s">
        <v>100</v>
      </c>
      <c r="E102" s="344" t="s">
        <v>94</v>
      </c>
      <c r="F102" s="344" t="s">
        <v>95</v>
      </c>
      <c r="G102" s="344" t="s">
        <v>105</v>
      </c>
      <c r="H102" s="345" t="s">
        <v>3371</v>
      </c>
      <c r="I102" s="346"/>
      <c r="J102" s="347"/>
      <c r="K102" s="1"/>
      <c r="L102" s="1"/>
      <c r="M102" s="1"/>
      <c r="N102" s="1"/>
      <c r="O102" s="1"/>
    </row>
    <row r="103" spans="1:15" ht="29.1" customHeight="1">
      <c r="A103" s="344" t="s">
        <v>601</v>
      </c>
      <c r="B103" s="344" t="s">
        <v>123</v>
      </c>
      <c r="C103" s="344" t="s">
        <v>602</v>
      </c>
      <c r="D103" s="344" t="s">
        <v>99</v>
      </c>
      <c r="E103" s="344" t="s">
        <v>94</v>
      </c>
      <c r="F103" s="344" t="s">
        <v>95</v>
      </c>
      <c r="G103" s="344" t="s">
        <v>105</v>
      </c>
      <c r="H103" s="345" t="s">
        <v>2808</v>
      </c>
      <c r="I103" s="346"/>
      <c r="J103" s="347"/>
      <c r="K103" s="1"/>
      <c r="L103" s="1"/>
      <c r="M103" s="1"/>
      <c r="N103" s="1"/>
      <c r="O103" s="1"/>
    </row>
    <row r="104" spans="1:15" ht="29.1" customHeight="1">
      <c r="A104" s="344" t="s">
        <v>603</v>
      </c>
      <c r="B104" s="344" t="s">
        <v>604</v>
      </c>
      <c r="C104" s="344" t="s">
        <v>605</v>
      </c>
      <c r="D104" s="344" t="s">
        <v>98</v>
      </c>
      <c r="E104" s="348" t="s">
        <v>94</v>
      </c>
      <c r="F104" s="344" t="s">
        <v>95</v>
      </c>
      <c r="G104" s="348" t="s">
        <v>106</v>
      </c>
      <c r="H104" s="345" t="s">
        <v>2809</v>
      </c>
      <c r="I104" s="346"/>
      <c r="J104" s="347"/>
      <c r="K104" s="1"/>
      <c r="L104" s="1"/>
      <c r="M104" s="1"/>
      <c r="N104" s="1"/>
      <c r="O104" s="1"/>
    </row>
    <row r="105" spans="1:15" ht="29.1" customHeight="1">
      <c r="A105" s="344" t="s">
        <v>606</v>
      </c>
      <c r="B105" s="348" t="s">
        <v>16345</v>
      </c>
      <c r="C105" s="344" t="s">
        <v>607</v>
      </c>
      <c r="D105" s="344" t="s">
        <v>99</v>
      </c>
      <c r="E105" s="344" t="s">
        <v>95</v>
      </c>
      <c r="F105" s="344" t="s">
        <v>95</v>
      </c>
      <c r="G105" s="344" t="s">
        <v>109</v>
      </c>
      <c r="H105" s="345" t="s">
        <v>2810</v>
      </c>
      <c r="I105" s="346"/>
      <c r="J105" s="347"/>
      <c r="K105" s="1"/>
      <c r="L105" s="1"/>
      <c r="M105" s="1"/>
      <c r="N105" s="1"/>
      <c r="O105" s="1"/>
    </row>
    <row r="106" spans="1:15" ht="29.1" customHeight="1">
      <c r="A106" s="344" t="s">
        <v>608</v>
      </c>
      <c r="B106" s="348" t="s">
        <v>16346</v>
      </c>
      <c r="C106" s="344" t="s">
        <v>609</v>
      </c>
      <c r="D106" s="344" t="s">
        <v>99</v>
      </c>
      <c r="E106" s="344" t="s">
        <v>95</v>
      </c>
      <c r="F106" s="344" t="s">
        <v>95</v>
      </c>
      <c r="G106" s="344" t="s">
        <v>109</v>
      </c>
      <c r="H106" s="345" t="s">
        <v>2811</v>
      </c>
      <c r="I106" s="346"/>
      <c r="J106" s="347"/>
      <c r="K106" s="1"/>
      <c r="L106" s="1"/>
      <c r="M106" s="1"/>
      <c r="N106" s="1"/>
      <c r="O106" s="1"/>
    </row>
    <row r="107" spans="1:15" ht="42" customHeight="1">
      <c r="A107" s="344" t="s">
        <v>610</v>
      </c>
      <c r="B107" s="344" t="s">
        <v>121</v>
      </c>
      <c r="C107" s="344"/>
      <c r="D107" s="344" t="s">
        <v>98</v>
      </c>
      <c r="E107" s="344" t="s">
        <v>94</v>
      </c>
      <c r="F107" s="344" t="s">
        <v>95</v>
      </c>
      <c r="G107" s="344" t="s">
        <v>105</v>
      </c>
      <c r="H107" s="345" t="s">
        <v>4294</v>
      </c>
      <c r="I107" s="346"/>
      <c r="J107" s="347"/>
      <c r="K107" s="1"/>
      <c r="L107" s="1"/>
      <c r="M107" s="1"/>
      <c r="N107" s="1"/>
      <c r="O107" s="1"/>
    </row>
  </sheetData>
  <sheetProtection algorithmName="SHA-512" hashValue="x9kcsQ40/DDTWImqI/SDDSUJiLp/0U5u4LShMBflmKv6ugXhB6LIMj1EppGGnWBUyJalA1jQg7qRA47+yaWifg==" saltValue="S+km3uaO6g+u+6K/8fmCmw==" spinCount="100000" sheet="1" scenarios="1" formatColumns="0" sort="0" autoFilter="0"/>
  <mergeCells count="2">
    <mergeCell ref="O23:Q26"/>
    <mergeCell ref="O18:Q21"/>
  </mergeCells>
  <conditionalFormatting sqref="C5:C307">
    <cfRule type="expression" dxfId="28" priority="9" stopIfTrue="1">
      <formula>AND($A5&lt;&gt;"",OR($C5="",$I5="",$J5=""))</formula>
    </cfRule>
  </conditionalFormatting>
  <conditionalFormatting sqref="F5:F307">
    <cfRule type="cellIs" dxfId="27" priority="3" operator="equal">
      <formula>"Y"</formula>
    </cfRule>
  </conditionalFormatting>
  <conditionalFormatting sqref="I5:J107 A5:H307">
    <cfRule type="expression" dxfId="26" priority="2">
      <formula>AND($E5="Y",$F5&lt;&gt;"N")</formula>
    </cfRule>
  </conditionalFormatting>
  <conditionalFormatting sqref="P6:P16">
    <cfRule type="cellIs" dxfId="25" priority="8" operator="greaterThan">
      <formula>0</formula>
    </cfRule>
  </conditionalFormatting>
  <conditionalFormatting sqref="P16">
    <cfRule type="cellIs" dxfId="24" priority="4" operator="equal">
      <formula>"OK"</formula>
    </cfRule>
    <cfRule type="cellIs" dxfId="23" priority="5" operator="equal">
      <formula>"REVIEW"</formula>
    </cfRule>
    <cfRule type="cellIs" dxfId="22" priority="6" operator="equal">
      <formula>"NO INPUT"</formula>
    </cfRule>
    <cfRule type="cellIs" dxfId="21" priority="7" operator="equal">
      <formula>"INFO"</formula>
    </cfRule>
  </conditionalFormatting>
  <dataValidations count="3">
    <dataValidation type="list" allowBlank="1" showErrorMessage="1" error="Choose a value from the list (Legend sheet)." sqref="D5:D307" xr:uid="{00000000-0002-0000-0700-000000000000}">
      <formula1>lstDataType</formula1>
    </dataValidation>
    <dataValidation type="list" allowBlank="1" showErrorMessage="1" error="Choose a value from the list (Legend sheet)." sqref="E5:F307" xr:uid="{00000000-0002-0000-0700-000001000000}">
      <formula1>lstYN</formula1>
    </dataValidation>
    <dataValidation type="list" allowBlank="1" showErrorMessage="1" error="Choose a value from the list (Legend sheet)." sqref="G5:G307" xr:uid="{00000000-0002-0000-0700-000002000000}">
      <formula1>lstGroup</formula1>
    </dataValidation>
  </dataValidations>
  <pageMargins left="0.75" right="0.75" top="1" bottom="1" header="0.5" footer="0.5"/>
  <drawing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C000"/>
  </sheetPr>
  <dimension ref="A1:M5"/>
  <sheetViews>
    <sheetView showGridLines="0" workbookViewId="0">
      <pane xSplit="1" ySplit="4" topLeftCell="B5" activePane="bottomRight" state="frozen"/>
      <selection pane="topRight"/>
      <selection pane="bottomLeft"/>
      <selection pane="bottomRight"/>
    </sheetView>
  </sheetViews>
  <sheetFormatPr defaultRowHeight="12.75"/>
  <cols>
    <col min="1" max="1" width="12" customWidth="1"/>
    <col min="2" max="2" width="34" customWidth="1"/>
    <col min="3" max="3" width="14" customWidth="1"/>
    <col min="4" max="5" width="20" customWidth="1"/>
    <col min="6" max="6" width="70" customWidth="1"/>
    <col min="8" max="9" width="11.7109375" customWidth="1"/>
    <col min="10" max="10" width="45.7109375" customWidth="1"/>
    <col min="11" max="11" width="16.7109375" customWidth="1"/>
    <col min="12" max="12" width="12.7109375" customWidth="1"/>
  </cols>
  <sheetData>
    <row r="1" spans="1:13" ht="20.25">
      <c r="A1" s="9" t="s">
        <v>611</v>
      </c>
      <c r="B1" s="1"/>
      <c r="C1" s="1"/>
      <c r="D1" s="1"/>
      <c r="E1" s="1"/>
      <c r="F1" s="1"/>
    </row>
    <row r="2" spans="1:13">
      <c r="A2" s="10" t="s">
        <v>4288</v>
      </c>
      <c r="B2" s="1"/>
      <c r="C2" s="1"/>
      <c r="D2" s="1"/>
      <c r="E2" s="1"/>
      <c r="F2" s="1"/>
    </row>
    <row r="3" spans="1:13">
      <c r="A3" s="1"/>
      <c r="B3" s="1"/>
      <c r="C3" s="1"/>
      <c r="D3" s="1"/>
      <c r="E3" s="1"/>
      <c r="F3" s="1"/>
      <c r="H3" s="47" t="s">
        <v>4289</v>
      </c>
    </row>
    <row r="4" spans="1:13" ht="25.5">
      <c r="A4" s="5" t="s">
        <v>181</v>
      </c>
      <c r="B4" s="5" t="s">
        <v>182</v>
      </c>
      <c r="C4" s="5" t="s">
        <v>612</v>
      </c>
      <c r="D4" s="5" t="s">
        <v>613</v>
      </c>
      <c r="E4" s="5" t="s">
        <v>614</v>
      </c>
      <c r="F4" s="5" t="s">
        <v>303</v>
      </c>
      <c r="G4" s="185" t="s">
        <v>2665</v>
      </c>
      <c r="I4" s="50" t="s">
        <v>193</v>
      </c>
      <c r="J4" s="50" t="s">
        <v>181</v>
      </c>
      <c r="K4" s="50" t="s">
        <v>2711</v>
      </c>
      <c r="L4" s="50" t="s">
        <v>2712</v>
      </c>
      <c r="M4" s="50" t="s">
        <v>2713</v>
      </c>
    </row>
    <row r="5" spans="1:13">
      <c r="A5" s="349"/>
      <c r="B5" s="350"/>
      <c r="C5" s="350"/>
      <c r="D5" s="351"/>
      <c r="E5" s="351"/>
      <c r="F5" s="352"/>
      <c r="G5" s="353"/>
      <c r="I5" s="354"/>
      <c r="J5" s="355"/>
      <c r="K5" s="354"/>
      <c r="L5" s="354"/>
      <c r="M5" s="356"/>
    </row>
  </sheetData>
  <sheetProtection algorithmName="SHA-512" hashValue="TNKEXIotNTziAgRgQS6oZAQAyE3fR4/WCuOckSy5yfLqDRPJsoUb+mwcwinGXgpcnpDRZB0IBeM3OMVbQnPpWQ==" saltValue="oCkd87CdNOaj/yF6KVg4OA==" spinCount="100000" sheet="1" scenarios="1" formatColumns="0" sort="0" autoFilter="0"/>
  <dataValidations count="2">
    <dataValidation type="list" allowBlank="1" showInputMessage="1" showErrorMessage="1" sqref="G5" xr:uid="{EE37BC99-FAF2-4CC6-85EE-0CE1D705A568}">
      <formula1>"FOLDER,CUMULATIVE"</formula1>
    </dataValidation>
    <dataValidation type="list" allowBlank="1" sqref="C5:C102" xr:uid="{00000000-0002-0000-0800-000000000000}">
      <formula1>lstCompanyType</formula1>
    </dataValidation>
  </dataValidations>
  <pageMargins left="0.75" right="0.75" top="1" bottom="1" header="0.5" footer="0.5"/>
  <tableParts count="2">
    <tablePart r:id="rId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ABD34-BF53-42F4-9D58-095945B193BC}">
  <sheetPr codeName="Sheet55">
    <tabColor rgb="FFFFC000"/>
  </sheetPr>
  <dimension ref="A1:L390"/>
  <sheetViews>
    <sheetView workbookViewId="0"/>
  </sheetViews>
  <sheetFormatPr defaultRowHeight="12.75"/>
  <cols>
    <col min="1" max="1" width="48.7109375" style="52" customWidth="1"/>
    <col min="2" max="2" width="22.5703125" bestFit="1" customWidth="1"/>
    <col min="3" max="3" width="21.7109375" bestFit="1" customWidth="1"/>
    <col min="4" max="4" width="48.7109375" style="52" customWidth="1"/>
    <col min="5" max="5" width="18.140625" bestFit="1" customWidth="1"/>
    <col min="6" max="6" width="24.5703125" bestFit="1" customWidth="1"/>
    <col min="7" max="7" width="28.28515625" bestFit="1" customWidth="1"/>
    <col min="8" max="8" width="11.42578125" bestFit="1" customWidth="1"/>
    <col min="9" max="9" width="17.85546875" bestFit="1" customWidth="1"/>
    <col min="10" max="24" width="10.7109375" customWidth="1"/>
  </cols>
  <sheetData>
    <row r="1" spans="1:12" ht="40.5">
      <c r="A1" s="114" t="str">
        <f>_xlfn.XLOOKUP("RD_TITLE",tblUIText[Key],tblUIText[Text],"RD_TITLE")</f>
        <v>Referans verileri ve bantlar
Reference data and bands</v>
      </c>
      <c r="J1" s="118" t="s">
        <v>18649</v>
      </c>
      <c r="K1" s="118" cm="1">
        <f t="array" ref="K1">SUMPRODUCT((LEN((DimSegment[#Data]&amp;""))+3*IFERROR(_xlfn.UNICODE(LEFT((DimSegment[#Data]&amp;" "),1)),0)+7*IFERROR(_xlfn.UNICODE(MID((DimSegment[#Data]&amp;" "),LEN((DimSegment[#Data]&amp;"")),1)),0)+11*IFERROR(_xlfn.UNICODE(MID((DimSegment[#Data]&amp;" "),2,1)),0)+13*IFERROR(_xlfn.UNICODE(MID((DimSegment[#Data]&amp;" "),3,1)),0))*ROW(DimSegment[#Data])*COLUMN(DimSegment[#Data]))+SUMPRODUCT((LEN((DimPaymentNature[#Data]&amp;""))+3*IFERROR(_xlfn.UNICODE(LEFT((DimPaymentNature[#Data]&amp;" "),1)),0)+7*IFERROR(_xlfn.UNICODE(MID((DimPaymentNature[#Data]&amp;" "),LEN((DimPaymentNature[#Data]&amp;"")),1)),0)+11*IFERROR(_xlfn.UNICODE(MID((DimPaymentNature[#Data]&amp;" "),2,1)),0)+13*IFERROR(_xlfn.UNICODE(MID((DimPaymentNature[#Data]&amp;" "),3,1)),0))*ROW(DimPaymentNature[#Data])*COLUMN(DimPaymentNature[#Data]))+SUMPRODUCT((LEN((DimBranch[#Data]&amp;""))+3*IFERROR(_xlfn.UNICODE(LEFT((DimBranch[#Data]&amp;" "),1)),0)+7*IFERROR(_xlfn.UNICODE(MID((DimBranch[#Data]&amp;" "),LEN((DimBranch[#Data]&amp;"")),1)),0)+11*IFERROR(_xlfn.UNICODE(MID((DimBranch[#Data]&amp;" "),2,1)),0)+13*IFERROR(_xlfn.UNICODE(MID((DimBranch[#Data]&amp;" "),3,1)),0))*ROW(DimBranch[#Data])*COLUMN(DimBranch[#Data]))+SUMPRODUCT((LEN((DimProduct[#Data]&amp;""))+3*IFERROR(_xlfn.UNICODE(LEFT((DimProduct[#Data]&amp;" "),1)),0)+7*IFERROR(_xlfn.UNICODE(MID((DimProduct[#Data]&amp;" "),LEN((DimProduct[#Data]&amp;"")),1)),0)+11*IFERROR(_xlfn.UNICODE(MID((DimProduct[#Data]&amp;" "),2,1)),0)+13*IFERROR(_xlfn.UNICODE(MID((DimProduct[#Data]&amp;" "),3,1)),0))*ROW(DimProduct[#Data])*COLUMN(DimProduct[#Data]))+SUMPRODUCT((LEN((DimChannel[#Data]&amp;""))+3*IFERROR(_xlfn.UNICODE(LEFT((DimChannel[#Data]&amp;" "),1)),0)+7*IFERROR(_xlfn.UNICODE(MID((DimChannel[#Data]&amp;" "),LEN((DimChannel[#Data]&amp;"")),1)),0)+11*IFERROR(_xlfn.UNICODE(MID((DimChannel[#Data]&amp;" "),2,1)),0)+13*IFERROR(_xlfn.UNICODE(MID((DimChannel[#Data]&amp;" "),3,1)),0))*ROW(DimChannel[#Data])*COLUMN(DimChannel[#Data]))+SUMPRODUCT((LEN((DimPartner[#Data]&amp;""))+3*IFERROR(_xlfn.UNICODE(LEFT((DimPartner[#Data]&amp;" "),1)),0)+7*IFERROR(_xlfn.UNICODE(MID((DimPartner[#Data]&amp;" "),LEN((DimPartner[#Data]&amp;"")),1)),0)+11*IFERROR(_xlfn.UNICODE(MID((DimPartner[#Data]&amp;" "),2,1)),0)+13*IFERROR(_xlfn.UNICODE(MID((DimPartner[#Data]&amp;" "),3,1)),0))*ROW(DimPartner[#Data])*COLUMN(DimPartner[#Data]))+SUMPRODUCT((LEN((DimGeography[#Data]&amp;""))+3*IFERROR(_xlfn.UNICODE(LEFT((DimGeography[#Data]&amp;" "),1)),0)+7*IFERROR(_xlfn.UNICODE(MID((DimGeography[#Data]&amp;" "),LEN((DimGeography[#Data]&amp;"")),1)),0)+11*IFERROR(_xlfn.UNICODE(MID((DimGeography[#Data]&amp;" "),2,1)),0)+13*IFERROR(_xlfn.UNICODE(MID((DimGeography[#Data]&amp;" "),3,1)),0))*ROW(DimGeography[#Data])*COLUMN(DimGeography[#Data]))+SUMPRODUCT((LEN((DimCurrency[#Data]&amp;""))+3*IFERROR(_xlfn.UNICODE(LEFT((DimCurrency[#Data]&amp;" "),1)),0)+7*IFERROR(_xlfn.UNICODE(MID((DimCurrency[#Data]&amp;" "),LEN((DimCurrency[#Data]&amp;"")),1)),0)+11*IFERROR(_xlfn.UNICODE(MID((DimCurrency[#Data]&amp;" "),2,1)),0)+13*IFERROR(_xlfn.UNICODE(MID((DimCurrency[#Data]&amp;" "),3,1)),0))*ROW(DimCurrency[#Data])*COLUMN(DimCurrency[#Data]))+SUMPRODUCT((LEN((DimAgeBand[#Data]&amp;""))+3*IFERROR(_xlfn.UNICODE(LEFT((DimAgeBand[#Data]&amp;" "),1)),0)+7*IFERROR(_xlfn.UNICODE(MID((DimAgeBand[#Data]&amp;" "),LEN((DimAgeBand[#Data]&amp;"")),1)),0)+11*IFERROR(_xlfn.UNICODE(MID((DimAgeBand[#Data]&amp;" "),2,1)),0)+13*IFERROR(_xlfn.UNICODE(MID((DimAgeBand[#Data]&amp;" "),3,1)),0))*ROW(DimAgeBand[#Data])*COLUMN(DimAgeBand[#Data]))+SUMPRODUCT((LEN((BandLag[#Data]&amp;""))+3*IFERROR(_xlfn.UNICODE(LEFT((BandLag[#Data]&amp;" "),1)),0)+7*IFERROR(_xlfn.UNICODE(MID((BandLag[#Data]&amp;" "),LEN((BandLag[#Data]&amp;"")),1)),0)+11*IFERROR(_xlfn.UNICODE(MID((BandLag[#Data]&amp;" "),2,1)),0)+13*IFERROR(_xlfn.UNICODE(MID((BandLag[#Data]&amp;" "),3,1)),0))*ROW(BandLag[#Data])*COLUMN(BandLag[#Data]))+SUMPRODUCT((LEN((BandAmount[#Data]&amp;""))+3*IFERROR(_xlfn.UNICODE(LEFT((BandAmount[#Data]&amp;" "),1)),0)+7*IFERROR(_xlfn.UNICODE(MID((BandAmount[#Data]&amp;" "),LEN((BandAmount[#Data]&amp;"")),1)),0)+11*IFERROR(_xlfn.UNICODE(MID((BandAmount[#Data]&amp;" "),2,1)),0)+13*IFERROR(_xlfn.UNICODE(MID((BandAmount[#Data]&amp;" "),3,1)),0))*ROW(BandAmount[#Data])*COLUMN(BandAmount[#Data]))+SUMPRODUCT((LEN((DevMonth[#Data]&amp;""))+3*IFERROR(_xlfn.UNICODE(LEFT((DevMonth[#Data]&amp;" "),1)),0)+7*IFERROR(_xlfn.UNICODE(MID((DevMonth[#Data]&amp;" "),LEN((DevMonth[#Data]&amp;"")),1)),0)+11*IFERROR(_xlfn.UNICODE(MID((DevMonth[#Data]&amp;" "),2,1)),0)+13*IFERROR(_xlfn.UNICODE(MID((DevMonth[#Data]&amp;" "),3,1)),0))*ROW(DevMonth[#Data])*COLUMN(DevMonth[#Data]))+SUMPRODUCT((LEN((BandPolicyAge[#Data]&amp;""))+3*IFERROR(_xlfn.UNICODE(LEFT((BandPolicyAge[#Data]&amp;" "),1)),0)+7*IFERROR(_xlfn.UNICODE(MID((BandPolicyAge[#Data]&amp;" "),LEN((BandPolicyAge[#Data]&amp;"")),1)),0)+11*IFERROR(_xlfn.UNICODE(MID((BandPolicyAge[#Data]&amp;" "),2,1)),0)+13*IFERROR(_xlfn.UNICODE(MID((BandPolicyAge[#Data]&amp;" "),3,1)),0))*ROW(BandPolicyAge[#Data])*COLUMN(BandPolicyAge[#Data]))+SUMPRODUCT((LEN((AnParam[#Data]&amp;""))+3*IFERROR(_xlfn.UNICODE(LEFT((AnParam[#Data]&amp;" "),1)),0)+7*IFERROR(_xlfn.UNICODE(MID((AnParam[#Data]&amp;" "),LEN((AnParam[#Data]&amp;"")),1)),0)+11*IFERROR(_xlfn.UNICODE(MID((AnParam[#Data]&amp;" "),2,1)),0)+13*IFERROR(_xlfn.UNICODE(MID((AnParam[#Data]&amp;" "),3,1)),0))*ROW(AnParam[#Data])*COLUMN(AnParam[#Data]))+SUMPRODUCT((LEN((tblThreshold[#Data]&amp;""))+3*IFERROR(_xlfn.UNICODE(LEFT((tblThreshold[#Data]&amp;" "),1)),0)+7*IFERROR(_xlfn.UNICODE(MID((tblThreshold[#Data]&amp;" "),LEN((tblThreshold[#Data]&amp;"")),1)),0)+11*IFERROR(_xlfn.UNICODE(MID((tblThreshold[#Data]&amp;" "),2,1)),0)+13*IFERROR(_xlfn.UNICODE(MID((tblThreshold[#Data]&amp;" "),3,1)),0))*ROW(tblThreshold[#Data])*COLUMN(tblThreshold[#Data]))+SUMPRODUCT((LEN((tblUIText[Key]&amp;""))+3*IFERROR(_xlfn.UNICODE(LEFT((tblUIText[Key]&amp;" "),1)),0)+7*IFERROR(_xlfn.UNICODE(MID((tblUIText[Key]&amp;" "),LEN((tblUIText[Key]&amp;"")),1)),0)+11*IFERROR(_xlfn.UNICODE(MID((tblUIText[Key]&amp;" "),2,1)),0)+13*IFERROR(_xlfn.UNICODE(MID((tblUIText[Key]&amp;" "),3,1)),0))*ROW(tblUIText[Key]))+SUMPRODUCT((LEN((tblUIText[TR]&amp;""))+3*IFERROR(_xlfn.UNICODE(LEFT((tblUIText[TR]&amp;" "),1)),0)+7*IFERROR(_xlfn.UNICODE(MID((tblUIText[TR]&amp;" "),LEN((tblUIText[TR]&amp;"")),1)),0)+11*IFERROR(_xlfn.UNICODE(MID((tblUIText[TR]&amp;" "),2,1)),0)+13*IFERROR(_xlfn.UNICODE(MID((tblUIText[TR]&amp;" "),3,1)),0))*ROW(tblUIText[TR]))+SUMPRODUCT((LEN((tblUIText[EN]&amp;""))+3*IFERROR(_xlfn.UNICODE(LEFT((tblUIText[EN]&amp;" "),1)),0)+7*IFERROR(_xlfn.UNICODE(MID((tblUIText[EN]&amp;" "),LEN((tblUIText[EN]&amp;"")),1)),0)+11*IFERROR(_xlfn.UNICODE(MID((tblUIText[EN]&amp;" "),2,1)),0)+13*IFERROR(_xlfn.UNICODE(MID((tblUIText[EN]&amp;" "),3,1)),0))*ROW(tblUIText[EN]))</f>
        <v>3241481547</v>
      </c>
      <c r="L1" s="120">
        <v>46300.682141203702</v>
      </c>
    </row>
    <row r="2" spans="1:12" ht="89.25">
      <c r="A2" s="115" t="str">
        <f>_xlfn.XLOOKUP("RD_NOTE",tblUIText[Key],tblUIText[Text],"RD_NOTE")</f>
        <v>Yönetici tarafından bakımı yapılan eşleme ve bant tabloları; her değişiklik ActivityLog'a yazılır. Eşlenmemiş satırlar için Data Model ölçülerine bakın.
Mapping and band tables maintained by the Administrator; every change is written to the ActivityLog. Unmapped lines are measured in the Data Model.</v>
      </c>
      <c r="J2" s="118" t="s">
        <v>18650</v>
      </c>
      <c r="K2" s="118">
        <v>3241481547</v>
      </c>
      <c r="L2" s="118" t="s">
        <v>22878</v>
      </c>
    </row>
    <row r="3" spans="1:12" ht="38.25">
      <c r="A3" s="85" t="str">
        <f>IF(rdChecksum=rdChecksumAtRefresh,_xlfn.XLOOKUP("AN_LBL_REFSYNC",tblUIText[Key],tblUIText[TR],"AN_LBL_REFSYNC")&amp;": "&amp;IF(ISNUMBER(rdRefreshedOn),TEXT(rdRefreshedOn,"yyyy-mm-dd hh:mm"),rdRefreshedOn&amp;"")&amp;" ("&amp;rdRefreshedBy&amp;") / "&amp;_xlfn.XLOOKUP("AN_LBL_REFSYNC",tblUIText[Key],tblUIText[EN],"AN_LBL_REFSYNC")&amp;": "&amp;IF(ISNUMBER(rdRefreshedOn),TEXT(rdRefreshedOn,"yyyy-mm-dd hh:mm"),rdRefreshedOn&amp;""),_xlfn.XLOOKUP("RD_STALE",tblUIText[Key],tblUIText[TR],"")&amp;" / "&amp;_xlfn.XLOOKUP("RD_STALE",tblUIText[Key],tblUIText[EN],""))</f>
        <v>Referans verisi güncel; son yenileme: 2026-10-05 16:22 (release build) / Reference data in sync; last refreshed: 2026-10-05 16:22</v>
      </c>
    </row>
    <row r="4" spans="1:12" ht="76.5">
      <c r="A4" s="85" t="str">
        <f>_xlfn.XLOOKUP("RD_COVERAGE",tblUIText[Key],tblUIText[Text],"RD_COVERAGE")</f>
        <v>Kapsama: eşlenmemiş ödeme satırları Data Model'deki 'Unmapped Lines ...' ölçüleriyle izlenir (0 olmalı)
Coverage: unmapped payment lines are tracked by the 'Unmapped Lines ...' measures in the Data Model (must be 0)</v>
      </c>
    </row>
    <row r="15" spans="1:12" ht="51">
      <c r="A15" s="116" t="str">
        <f>_xlfn.XLOOKUP("RD_FIX",tblUIText[Key],tblUIText[Text],"RD_FIX")</f>
        <v>Eksik kodu ilgili tabloya ekleyin (Yönetici); sonra Yenile.
Add the missing code to the table below (Administrator), then Refresh.</v>
      </c>
    </row>
    <row r="22" spans="1:7" ht="30">
      <c r="A22" s="117" t="s">
        <v>16542</v>
      </c>
      <c r="B22" s="58"/>
      <c r="C22" s="58"/>
      <c r="D22" s="117"/>
      <c r="E22" s="58"/>
      <c r="F22" s="58"/>
    </row>
    <row r="23" spans="1:7">
      <c r="A23" s="50" t="s">
        <v>16543</v>
      </c>
      <c r="B23" s="50" t="s">
        <v>16544</v>
      </c>
      <c r="C23" s="50" t="s">
        <v>16545</v>
      </c>
      <c r="D23" s="50" t="s">
        <v>16546</v>
      </c>
      <c r="E23" s="50" t="s">
        <v>16547</v>
      </c>
    </row>
    <row r="24" spans="1:7">
      <c r="A24" s="398" t="s">
        <v>113</v>
      </c>
      <c r="B24" s="354" t="s">
        <v>16548</v>
      </c>
      <c r="C24" s="354" t="s">
        <v>113</v>
      </c>
      <c r="D24" s="398">
        <v>1</v>
      </c>
      <c r="E24" s="354" t="s">
        <v>16549</v>
      </c>
    </row>
    <row r="25" spans="1:7">
      <c r="A25" s="398" t="s">
        <v>114</v>
      </c>
      <c r="B25" s="354" t="s">
        <v>16550</v>
      </c>
      <c r="C25" s="354" t="s">
        <v>114</v>
      </c>
      <c r="D25" s="398">
        <v>2</v>
      </c>
      <c r="E25" s="354" t="s">
        <v>16551</v>
      </c>
    </row>
    <row r="26" spans="1:7">
      <c r="A26" s="398" t="s">
        <v>112</v>
      </c>
      <c r="B26" s="354" t="s">
        <v>19830</v>
      </c>
      <c r="C26" s="354" t="s">
        <v>112</v>
      </c>
      <c r="D26" s="398">
        <v>3</v>
      </c>
      <c r="E26" s="354" t="s">
        <v>16552</v>
      </c>
    </row>
    <row r="27" spans="1:7">
      <c r="A27" s="398" t="s">
        <v>18300</v>
      </c>
      <c r="B27" s="354" t="s">
        <v>18297</v>
      </c>
      <c r="C27" s="354" t="s">
        <v>18298</v>
      </c>
      <c r="D27" s="398">
        <v>4</v>
      </c>
      <c r="E27" s="354" t="s">
        <v>18299</v>
      </c>
    </row>
    <row r="29" spans="1:7" ht="30">
      <c r="A29" s="117" t="s">
        <v>16553</v>
      </c>
      <c r="B29" s="58"/>
      <c r="C29" s="58"/>
      <c r="D29" s="117"/>
      <c r="E29" s="58"/>
      <c r="F29" s="58"/>
      <c r="G29" s="58"/>
    </row>
    <row r="30" spans="1:7">
      <c r="A30" s="50" t="s">
        <v>16554</v>
      </c>
      <c r="B30" s="50" t="s">
        <v>16555</v>
      </c>
      <c r="C30" s="50" t="s">
        <v>16556</v>
      </c>
      <c r="D30" s="50" t="s">
        <v>16557</v>
      </c>
      <c r="E30" s="50" t="s">
        <v>16543</v>
      </c>
      <c r="F30" s="50" t="s">
        <v>16558</v>
      </c>
      <c r="G30" s="50" t="s">
        <v>16559</v>
      </c>
    </row>
    <row r="31" spans="1:7">
      <c r="A31" s="398" t="s">
        <v>16315</v>
      </c>
      <c r="B31" s="354" t="s">
        <v>16560</v>
      </c>
      <c r="C31" s="354" t="s">
        <v>16561</v>
      </c>
      <c r="D31" s="398" t="s">
        <v>16562</v>
      </c>
      <c r="E31" s="354" t="s">
        <v>112</v>
      </c>
      <c r="F31" s="354" t="s">
        <v>16563</v>
      </c>
      <c r="G31" s="354" t="s">
        <v>16564</v>
      </c>
    </row>
    <row r="32" spans="1:7">
      <c r="A32" s="398" t="s">
        <v>16324</v>
      </c>
      <c r="B32" s="354" t="s">
        <v>16560</v>
      </c>
      <c r="C32" s="354" t="s">
        <v>16561</v>
      </c>
      <c r="D32" s="398" t="s">
        <v>16562</v>
      </c>
      <c r="E32" s="354" t="s">
        <v>112</v>
      </c>
      <c r="F32" s="354" t="s">
        <v>16565</v>
      </c>
      <c r="G32" s="354" t="s">
        <v>16566</v>
      </c>
    </row>
    <row r="33" spans="1:7">
      <c r="A33" s="398" t="s">
        <v>16331</v>
      </c>
      <c r="B33" s="354" t="s">
        <v>16560</v>
      </c>
      <c r="C33" s="354" t="s">
        <v>16561</v>
      </c>
      <c r="D33" s="398" t="s">
        <v>16562</v>
      </c>
      <c r="E33" s="354" t="s">
        <v>112</v>
      </c>
      <c r="F33" s="354" t="s">
        <v>16567</v>
      </c>
      <c r="G33" s="354" t="s">
        <v>16568</v>
      </c>
    </row>
    <row r="34" spans="1:7">
      <c r="A34" s="398" t="s">
        <v>16336</v>
      </c>
      <c r="B34" s="354" t="s">
        <v>16560</v>
      </c>
      <c r="C34" s="354" t="s">
        <v>16561</v>
      </c>
      <c r="D34" s="398" t="s">
        <v>16562</v>
      </c>
      <c r="E34" s="354" t="s">
        <v>112</v>
      </c>
      <c r="F34" s="354" t="s">
        <v>16569</v>
      </c>
      <c r="G34" s="354" t="s">
        <v>16570</v>
      </c>
    </row>
    <row r="35" spans="1:7">
      <c r="A35" s="398" t="s">
        <v>16327</v>
      </c>
      <c r="B35" s="354" t="s">
        <v>16560</v>
      </c>
      <c r="C35" s="354" t="s">
        <v>16561</v>
      </c>
      <c r="D35" s="398" t="s">
        <v>16562</v>
      </c>
      <c r="E35" s="354" t="s">
        <v>112</v>
      </c>
      <c r="F35" s="354" t="s">
        <v>16571</v>
      </c>
      <c r="G35" s="354" t="s">
        <v>16572</v>
      </c>
    </row>
    <row r="36" spans="1:7">
      <c r="A36" s="398" t="s">
        <v>16313</v>
      </c>
      <c r="B36" s="354" t="s">
        <v>16560</v>
      </c>
      <c r="C36" s="354" t="s">
        <v>16561</v>
      </c>
      <c r="D36" s="398" t="s">
        <v>16562</v>
      </c>
      <c r="E36" s="354" t="s">
        <v>112</v>
      </c>
      <c r="F36" s="354" t="s">
        <v>16573</v>
      </c>
      <c r="G36" s="354" t="s">
        <v>16574</v>
      </c>
    </row>
    <row r="37" spans="1:7">
      <c r="A37" s="398" t="s">
        <v>16325</v>
      </c>
      <c r="B37" s="354" t="s">
        <v>16560</v>
      </c>
      <c r="C37" s="354" t="s">
        <v>16561</v>
      </c>
      <c r="D37" s="398" t="s">
        <v>16562</v>
      </c>
      <c r="E37" s="354" t="s">
        <v>112</v>
      </c>
      <c r="F37" s="354" t="s">
        <v>16575</v>
      </c>
      <c r="G37" s="354" t="s">
        <v>16576</v>
      </c>
    </row>
    <row r="38" spans="1:7">
      <c r="A38" s="398" t="s">
        <v>16326</v>
      </c>
      <c r="B38" s="354" t="s">
        <v>16560</v>
      </c>
      <c r="C38" s="354" t="s">
        <v>16561</v>
      </c>
      <c r="D38" s="398" t="s">
        <v>16562</v>
      </c>
      <c r="E38" s="354" t="s">
        <v>112</v>
      </c>
      <c r="F38" s="354" t="s">
        <v>16577</v>
      </c>
      <c r="G38" s="354" t="s">
        <v>16578</v>
      </c>
    </row>
    <row r="39" spans="1:7">
      <c r="A39" s="398" t="s">
        <v>16308</v>
      </c>
      <c r="B39" s="354" t="s">
        <v>16560</v>
      </c>
      <c r="C39" s="354" t="s">
        <v>16561</v>
      </c>
      <c r="D39" s="398" t="s">
        <v>16562</v>
      </c>
      <c r="E39" s="354" t="s">
        <v>112</v>
      </c>
      <c r="F39" s="354" t="s">
        <v>16579</v>
      </c>
      <c r="G39" s="354" t="s">
        <v>16580</v>
      </c>
    </row>
    <row r="40" spans="1:7">
      <c r="A40" s="398" t="s">
        <v>16317</v>
      </c>
      <c r="B40" s="354" t="s">
        <v>16560</v>
      </c>
      <c r="C40" s="354" t="s">
        <v>16561</v>
      </c>
      <c r="D40" s="398" t="s">
        <v>16562</v>
      </c>
      <c r="E40" s="354" t="s">
        <v>112</v>
      </c>
      <c r="F40" s="354" t="s">
        <v>16581</v>
      </c>
      <c r="G40" s="354" t="s">
        <v>16582</v>
      </c>
    </row>
    <row r="41" spans="1:7">
      <c r="A41" s="398" t="s">
        <v>16323</v>
      </c>
      <c r="B41" s="354" t="s">
        <v>16560</v>
      </c>
      <c r="C41" s="354" t="s">
        <v>16561</v>
      </c>
      <c r="D41" s="398" t="s">
        <v>16562</v>
      </c>
      <c r="E41" s="354" t="s">
        <v>112</v>
      </c>
      <c r="F41" s="354" t="s">
        <v>16583</v>
      </c>
      <c r="G41" s="354" t="s">
        <v>16584</v>
      </c>
    </row>
    <row r="42" spans="1:7">
      <c r="A42" s="398" t="s">
        <v>16311</v>
      </c>
      <c r="B42" s="354" t="s">
        <v>16560</v>
      </c>
      <c r="C42" s="354" t="s">
        <v>16561</v>
      </c>
      <c r="D42" s="398" t="s">
        <v>16562</v>
      </c>
      <c r="E42" s="354" t="s">
        <v>112</v>
      </c>
      <c r="F42" s="354" t="s">
        <v>16585</v>
      </c>
      <c r="G42" s="354" t="s">
        <v>16586</v>
      </c>
    </row>
    <row r="43" spans="1:7">
      <c r="A43" s="398" t="s">
        <v>16337</v>
      </c>
      <c r="B43" s="354" t="s">
        <v>16560</v>
      </c>
      <c r="C43" s="354" t="s">
        <v>16561</v>
      </c>
      <c r="D43" s="398" t="s">
        <v>16562</v>
      </c>
      <c r="E43" s="354" t="s">
        <v>112</v>
      </c>
      <c r="F43" s="354" t="s">
        <v>16587</v>
      </c>
      <c r="G43" s="354" t="s">
        <v>16588</v>
      </c>
    </row>
    <row r="44" spans="1:7">
      <c r="A44" s="398" t="s">
        <v>16295</v>
      </c>
      <c r="B44" s="354" t="s">
        <v>16278</v>
      </c>
      <c r="C44" s="354" t="s">
        <v>16589</v>
      </c>
      <c r="D44" s="398" t="s">
        <v>16590</v>
      </c>
      <c r="E44" s="354" t="s">
        <v>113</v>
      </c>
      <c r="F44" s="354" t="s">
        <v>16591</v>
      </c>
      <c r="G44" s="354" t="s">
        <v>16592</v>
      </c>
    </row>
    <row r="45" spans="1:7">
      <c r="A45" s="398" t="s">
        <v>16290</v>
      </c>
      <c r="B45" s="354" t="s">
        <v>16294</v>
      </c>
      <c r="C45" s="354" t="s">
        <v>16593</v>
      </c>
      <c r="D45" s="398" t="s">
        <v>16594</v>
      </c>
      <c r="E45" s="354" t="s">
        <v>113</v>
      </c>
      <c r="F45" s="354" t="s">
        <v>16595</v>
      </c>
      <c r="G45" s="354" t="s">
        <v>16596</v>
      </c>
    </row>
    <row r="46" spans="1:7">
      <c r="A46" s="398" t="s">
        <v>16293</v>
      </c>
      <c r="B46" s="354" t="s">
        <v>16289</v>
      </c>
      <c r="C46" s="354" t="s">
        <v>16597</v>
      </c>
      <c r="D46" s="398" t="s">
        <v>16598</v>
      </c>
      <c r="E46" s="354" t="s">
        <v>113</v>
      </c>
      <c r="F46" s="354" t="s">
        <v>16599</v>
      </c>
      <c r="G46" s="354" t="s">
        <v>16600</v>
      </c>
    </row>
    <row r="47" spans="1:7">
      <c r="A47" s="398" t="s">
        <v>16276</v>
      </c>
      <c r="B47" s="354" t="s">
        <v>16601</v>
      </c>
      <c r="C47" s="354" t="s">
        <v>16602</v>
      </c>
      <c r="D47" s="398" t="s">
        <v>16603</v>
      </c>
      <c r="E47" s="354" t="s">
        <v>113</v>
      </c>
      <c r="F47" s="354" t="s">
        <v>16604</v>
      </c>
      <c r="G47" s="354" t="s">
        <v>16605</v>
      </c>
    </row>
    <row r="48" spans="1:7">
      <c r="A48" s="398" t="s">
        <v>16285</v>
      </c>
      <c r="B48" s="354" t="s">
        <v>16560</v>
      </c>
      <c r="C48" s="354" t="s">
        <v>16561</v>
      </c>
      <c r="D48" s="398" t="s">
        <v>16562</v>
      </c>
      <c r="E48" s="354" t="s">
        <v>113</v>
      </c>
      <c r="F48" s="354" t="s">
        <v>16606</v>
      </c>
      <c r="G48" s="354" t="s">
        <v>16607</v>
      </c>
    </row>
    <row r="49" spans="1:9">
      <c r="A49" s="398" t="s">
        <v>16282</v>
      </c>
      <c r="B49" s="354" t="s">
        <v>16560</v>
      </c>
      <c r="C49" s="354" t="s">
        <v>16561</v>
      </c>
      <c r="D49" s="398" t="s">
        <v>16562</v>
      </c>
      <c r="E49" s="354" t="s">
        <v>113</v>
      </c>
      <c r="F49" s="354" t="s">
        <v>16608</v>
      </c>
      <c r="G49" s="354" t="s">
        <v>16609</v>
      </c>
    </row>
    <row r="50" spans="1:9">
      <c r="A50" s="398" t="s">
        <v>16300</v>
      </c>
      <c r="B50" s="354" t="s">
        <v>16610</v>
      </c>
      <c r="C50" s="354" t="s">
        <v>16611</v>
      </c>
      <c r="D50" s="398" t="s">
        <v>16612</v>
      </c>
      <c r="E50" s="354" t="s">
        <v>114</v>
      </c>
      <c r="F50" s="354" t="s">
        <v>16613</v>
      </c>
      <c r="G50" s="354" t="s">
        <v>16614</v>
      </c>
    </row>
    <row r="51" spans="1:9">
      <c r="A51" s="398" t="s">
        <v>16297</v>
      </c>
      <c r="B51" s="354" t="s">
        <v>16615</v>
      </c>
      <c r="C51" s="354" t="s">
        <v>16616</v>
      </c>
      <c r="D51" s="398" t="s">
        <v>16617</v>
      </c>
      <c r="E51" s="354" t="s">
        <v>114</v>
      </c>
      <c r="F51" s="354" t="s">
        <v>16618</v>
      </c>
      <c r="G51" s="354" t="s">
        <v>16619</v>
      </c>
    </row>
    <row r="52" spans="1:9">
      <c r="A52" s="398" t="s">
        <v>16302</v>
      </c>
      <c r="B52" s="354" t="s">
        <v>16620</v>
      </c>
      <c r="C52" s="354" t="s">
        <v>16621</v>
      </c>
      <c r="D52" s="398" t="s">
        <v>16622</v>
      </c>
      <c r="E52" s="354" t="s">
        <v>114</v>
      </c>
      <c r="F52" s="354" t="s">
        <v>16623</v>
      </c>
      <c r="G52" s="354" t="s">
        <v>16624</v>
      </c>
    </row>
    <row r="53" spans="1:9">
      <c r="A53" s="398" t="s">
        <v>16303</v>
      </c>
      <c r="B53" s="354" t="s">
        <v>16625</v>
      </c>
      <c r="C53" s="354" t="s">
        <v>16626</v>
      </c>
      <c r="D53" s="398" t="s">
        <v>16627</v>
      </c>
      <c r="E53" s="354" t="s">
        <v>114</v>
      </c>
      <c r="F53" s="354" t="s">
        <v>16628</v>
      </c>
      <c r="G53" s="354" t="s">
        <v>16629</v>
      </c>
    </row>
    <row r="54" spans="1:9">
      <c r="A54" s="398" t="s">
        <v>16306</v>
      </c>
      <c r="B54" s="354" t="s">
        <v>16278</v>
      </c>
      <c r="C54" s="354" t="s">
        <v>16589</v>
      </c>
      <c r="D54" s="398" t="s">
        <v>16590</v>
      </c>
      <c r="E54" s="354" t="s">
        <v>114</v>
      </c>
      <c r="F54" s="354" t="s">
        <v>16630</v>
      </c>
      <c r="G54" s="354" t="s">
        <v>16631</v>
      </c>
    </row>
    <row r="55" spans="1:9">
      <c r="A55" s="398" t="s">
        <v>16319</v>
      </c>
      <c r="B55" s="354" t="s">
        <v>16632</v>
      </c>
      <c r="C55" s="354" t="s">
        <v>16633</v>
      </c>
      <c r="D55" s="398" t="s">
        <v>16634</v>
      </c>
      <c r="E55" s="354" t="s">
        <v>112</v>
      </c>
      <c r="F55" s="354" t="s">
        <v>16635</v>
      </c>
      <c r="G55" s="354" t="s">
        <v>16636</v>
      </c>
    </row>
    <row r="56" spans="1:9">
      <c r="A56" s="398" t="s">
        <v>16330</v>
      </c>
      <c r="B56" s="354" t="s">
        <v>16637</v>
      </c>
      <c r="C56" s="354" t="s">
        <v>16638</v>
      </c>
      <c r="D56" s="398" t="s">
        <v>16639</v>
      </c>
      <c r="E56" s="354" t="s">
        <v>112</v>
      </c>
      <c r="F56" s="354" t="s">
        <v>16640</v>
      </c>
      <c r="G56" s="354" t="s">
        <v>16641</v>
      </c>
    </row>
    <row r="59" spans="1:9" ht="60">
      <c r="A59" s="117" t="s">
        <v>16642</v>
      </c>
      <c r="B59" s="58"/>
      <c r="C59" s="58"/>
      <c r="D59" s="117"/>
      <c r="E59" s="58"/>
      <c r="F59" s="58"/>
      <c r="G59" s="58"/>
      <c r="H59" s="58"/>
      <c r="I59" s="58"/>
    </row>
    <row r="60" spans="1:9">
      <c r="A60" s="50" t="s">
        <v>570</v>
      </c>
      <c r="B60" s="50" t="s">
        <v>445</v>
      </c>
      <c r="C60" s="50" t="s">
        <v>418</v>
      </c>
      <c r="D60" s="50" t="s">
        <v>16643</v>
      </c>
      <c r="E60" s="50" t="s">
        <v>336</v>
      </c>
      <c r="F60" s="50" t="s">
        <v>331</v>
      </c>
      <c r="G60" s="50" t="s">
        <v>16644</v>
      </c>
      <c r="H60" s="50" t="s">
        <v>16543</v>
      </c>
      <c r="I60" s="50" t="s">
        <v>16645</v>
      </c>
    </row>
    <row r="61" spans="1:9">
      <c r="A61" s="398" t="s">
        <v>16375</v>
      </c>
      <c r="B61" s="354" t="s">
        <v>16371</v>
      </c>
      <c r="C61" s="354" t="s">
        <v>16369</v>
      </c>
      <c r="D61" s="398" t="s">
        <v>16371</v>
      </c>
      <c r="E61" s="354" t="s">
        <v>16368</v>
      </c>
      <c r="F61" s="354" t="s">
        <v>16367</v>
      </c>
      <c r="G61" s="354" t="s">
        <v>113</v>
      </c>
      <c r="H61" s="354" t="s">
        <v>113</v>
      </c>
      <c r="I61" s="390" t="str">
        <f>DimBranch[[#This Row],[ParentBranchCode]]&amp;"|"&amp;DimBranch[[#This Row],[BranchCode]]&amp;"|"&amp;DimBranch[[#This Row],[SubBranchCode]]</f>
        <v>UB78|BR168|SB272</v>
      </c>
    </row>
    <row r="62" spans="1:9">
      <c r="A62" s="398" t="s">
        <v>16362</v>
      </c>
      <c r="B62" s="354" t="s">
        <v>16358</v>
      </c>
      <c r="C62" s="354" t="s">
        <v>16356</v>
      </c>
      <c r="D62" s="398" t="s">
        <v>16358</v>
      </c>
      <c r="E62" s="354" t="s">
        <v>16355</v>
      </c>
      <c r="F62" s="354" t="s">
        <v>16354</v>
      </c>
      <c r="G62" s="354" t="s">
        <v>113</v>
      </c>
      <c r="H62" s="354" t="s">
        <v>113</v>
      </c>
      <c r="I62" s="390" t="str">
        <f>DimBranch[[#This Row],[ParentBranchCode]]&amp;"|"&amp;DimBranch[[#This Row],[BranchCode]]&amp;"|"&amp;DimBranch[[#This Row],[SubBranchCode]]</f>
        <v>UB64|BR604|SB495</v>
      </c>
    </row>
    <row r="63" spans="1:9">
      <c r="A63" s="398" t="s">
        <v>16388</v>
      </c>
      <c r="B63" s="354" t="s">
        <v>16386</v>
      </c>
      <c r="C63" s="354" t="s">
        <v>16384</v>
      </c>
      <c r="D63" s="398" t="s">
        <v>16386</v>
      </c>
      <c r="E63" s="354" t="s">
        <v>16401</v>
      </c>
      <c r="F63" s="354" t="s">
        <v>302</v>
      </c>
      <c r="G63" s="354" t="s">
        <v>113</v>
      </c>
      <c r="H63" s="354" t="s">
        <v>113</v>
      </c>
      <c r="I63" s="390" t="str">
        <f>DimBranch[[#This Row],[ParentBranchCode]]&amp;"|"&amp;DimBranch[[#This Row],[BranchCode]]&amp;"|"&amp;DimBranch[[#This Row],[SubBranchCode]]</f>
        <v>UB47|BR677|SB873</v>
      </c>
    </row>
    <row r="64" spans="1:9">
      <c r="A64" s="398" t="s">
        <v>16388</v>
      </c>
      <c r="B64" s="354" t="s">
        <v>16386</v>
      </c>
      <c r="C64" s="354" t="s">
        <v>16384</v>
      </c>
      <c r="D64" s="398" t="s">
        <v>16386</v>
      </c>
      <c r="E64" s="354" t="s">
        <v>16355</v>
      </c>
      <c r="F64" s="354" t="s">
        <v>16354</v>
      </c>
      <c r="G64" s="354" t="s">
        <v>113</v>
      </c>
      <c r="H64" s="354" t="s">
        <v>113</v>
      </c>
      <c r="I64" s="390" t="str">
        <f>DimBranch[[#This Row],[ParentBranchCode]]&amp;"|"&amp;DimBranch[[#This Row],[BranchCode]]&amp;"|"&amp;DimBranch[[#This Row],[SubBranchCode]]</f>
        <v>UB47|BR677|SB495</v>
      </c>
    </row>
    <row r="65" spans="1:9">
      <c r="A65" s="398" t="s">
        <v>16381</v>
      </c>
      <c r="B65" s="354" t="s">
        <v>16378</v>
      </c>
      <c r="C65" s="354" t="s">
        <v>16376</v>
      </c>
      <c r="D65" s="398" t="s">
        <v>16378</v>
      </c>
      <c r="E65" s="354" t="s">
        <v>16355</v>
      </c>
      <c r="F65" s="354" t="s">
        <v>16354</v>
      </c>
      <c r="G65" s="354" t="s">
        <v>113</v>
      </c>
      <c r="H65" s="354" t="s">
        <v>113</v>
      </c>
      <c r="I65" s="390" t="str">
        <f>DimBranch[[#This Row],[ParentBranchCode]]&amp;"|"&amp;DimBranch[[#This Row],[BranchCode]]&amp;"|"&amp;DimBranch[[#This Row],[SubBranchCode]]</f>
        <v>UB60|BR600|SB495</v>
      </c>
    </row>
    <row r="66" spans="1:9">
      <c r="A66" s="398" t="s">
        <v>16459</v>
      </c>
      <c r="B66" s="354" t="s">
        <v>16458</v>
      </c>
      <c r="C66" s="354" t="s">
        <v>16457</v>
      </c>
      <c r="D66" s="398" t="s">
        <v>16458</v>
      </c>
      <c r="E66" s="354" t="s">
        <v>16401</v>
      </c>
      <c r="F66" s="354" t="s">
        <v>302</v>
      </c>
      <c r="G66" s="354" t="s">
        <v>16646</v>
      </c>
      <c r="H66" s="354" t="s">
        <v>112</v>
      </c>
      <c r="I66" s="390" t="str">
        <f>DimBranch[[#This Row],[ParentBranchCode]]&amp;"|"&amp;DimBranch[[#This Row],[BranchCode]]&amp;"|"&amp;DimBranch[[#This Row],[SubBranchCode]]</f>
        <v>UB98|BR278|SB873</v>
      </c>
    </row>
    <row r="67" spans="1:9">
      <c r="A67" s="398" t="s">
        <v>16459</v>
      </c>
      <c r="B67" s="354" t="s">
        <v>16458</v>
      </c>
      <c r="C67" s="354" t="s">
        <v>16457</v>
      </c>
      <c r="D67" s="398" t="s">
        <v>16458</v>
      </c>
      <c r="E67" s="354" t="s">
        <v>16355</v>
      </c>
      <c r="F67" s="354" t="s">
        <v>16354</v>
      </c>
      <c r="G67" s="354" t="s">
        <v>16646</v>
      </c>
      <c r="H67" s="354" t="s">
        <v>112</v>
      </c>
      <c r="I67" s="390" t="str">
        <f>DimBranch[[#This Row],[ParentBranchCode]]&amp;"|"&amp;DimBranch[[#This Row],[BranchCode]]&amp;"|"&amp;DimBranch[[#This Row],[SubBranchCode]]</f>
        <v>UB98|BR278|SB495</v>
      </c>
    </row>
    <row r="68" spans="1:9">
      <c r="A68" s="398" t="s">
        <v>16435</v>
      </c>
      <c r="B68" s="354" t="s">
        <v>16434</v>
      </c>
      <c r="C68" s="354" t="s">
        <v>16433</v>
      </c>
      <c r="D68" s="398" t="s">
        <v>16434</v>
      </c>
      <c r="E68" s="354" t="s">
        <v>16485</v>
      </c>
      <c r="F68" s="354" t="s">
        <v>16484</v>
      </c>
      <c r="G68" s="354" t="s">
        <v>16434</v>
      </c>
      <c r="H68" s="354" t="s">
        <v>112</v>
      </c>
      <c r="I68" s="390" t="str">
        <f>DimBranch[[#This Row],[ParentBranchCode]]&amp;"|"&amp;DimBranch[[#This Row],[BranchCode]]&amp;"|"&amp;DimBranch[[#This Row],[SubBranchCode]]</f>
        <v>UB19|BR289|SB651</v>
      </c>
    </row>
    <row r="69" spans="1:9">
      <c r="A69" s="398" t="s">
        <v>16435</v>
      </c>
      <c r="B69" s="354" t="s">
        <v>16434</v>
      </c>
      <c r="C69" s="354" t="s">
        <v>16433</v>
      </c>
      <c r="D69" s="398" t="s">
        <v>16434</v>
      </c>
      <c r="E69" s="354" t="s">
        <v>16432</v>
      </c>
      <c r="F69" s="354" t="s">
        <v>16431</v>
      </c>
      <c r="G69" s="354" t="s">
        <v>16434</v>
      </c>
      <c r="H69" s="354" t="s">
        <v>112</v>
      </c>
      <c r="I69" s="390" t="str">
        <f>DimBranch[[#This Row],[ParentBranchCode]]&amp;"|"&amp;DimBranch[[#This Row],[BranchCode]]&amp;"|"&amp;DimBranch[[#This Row],[SubBranchCode]]</f>
        <v>UB19|BR289|SB853</v>
      </c>
    </row>
    <row r="70" spans="1:9">
      <c r="A70" s="398" t="s">
        <v>16435</v>
      </c>
      <c r="B70" s="354" t="s">
        <v>16434</v>
      </c>
      <c r="C70" s="354" t="s">
        <v>16433</v>
      </c>
      <c r="D70" s="398" t="s">
        <v>16434</v>
      </c>
      <c r="E70" s="354" t="s">
        <v>16437</v>
      </c>
      <c r="F70" s="354" t="s">
        <v>16436</v>
      </c>
      <c r="G70" s="354" t="s">
        <v>16434</v>
      </c>
      <c r="H70" s="354" t="s">
        <v>112</v>
      </c>
      <c r="I70" s="390" t="str">
        <f>DimBranch[[#This Row],[ParentBranchCode]]&amp;"|"&amp;DimBranch[[#This Row],[BranchCode]]&amp;"|"&amp;DimBranch[[#This Row],[SubBranchCode]]</f>
        <v>UB19|BR289|SB260</v>
      </c>
    </row>
    <row r="71" spans="1:9">
      <c r="A71" s="398" t="s">
        <v>16430</v>
      </c>
      <c r="B71" s="354" t="s">
        <v>16429</v>
      </c>
      <c r="C71" s="354" t="s">
        <v>16428</v>
      </c>
      <c r="D71" s="398" t="s">
        <v>16429</v>
      </c>
      <c r="E71" s="354" t="s">
        <v>16427</v>
      </c>
      <c r="F71" s="354" t="s">
        <v>16426</v>
      </c>
      <c r="G71" s="354" t="s">
        <v>16647</v>
      </c>
      <c r="H71" s="354" t="s">
        <v>112</v>
      </c>
      <c r="I71" s="390" t="str">
        <f>DimBranch[[#This Row],[ParentBranchCode]]&amp;"|"&amp;DimBranch[[#This Row],[BranchCode]]&amp;"|"&amp;DimBranch[[#This Row],[SubBranchCode]]</f>
        <v>UB34|BR214|SB882</v>
      </c>
    </row>
    <row r="72" spans="1:9">
      <c r="A72" s="398" t="s">
        <v>16430</v>
      </c>
      <c r="B72" s="354" t="s">
        <v>16429</v>
      </c>
      <c r="C72" s="354" t="s">
        <v>16428</v>
      </c>
      <c r="D72" s="398" t="s">
        <v>16429</v>
      </c>
      <c r="E72" s="354" t="s">
        <v>16449</v>
      </c>
      <c r="F72" s="354" t="s">
        <v>16448</v>
      </c>
      <c r="G72" s="354" t="s">
        <v>16647</v>
      </c>
      <c r="H72" s="354" t="s">
        <v>112</v>
      </c>
      <c r="I72" s="390" t="str">
        <f>DimBranch[[#This Row],[ParentBranchCode]]&amp;"|"&amp;DimBranch[[#This Row],[BranchCode]]&amp;"|"&amp;DimBranch[[#This Row],[SubBranchCode]]</f>
        <v>UB34|BR214|SB345</v>
      </c>
    </row>
    <row r="73" spans="1:9">
      <c r="A73" s="398" t="s">
        <v>16442</v>
      </c>
      <c r="B73" s="354" t="s">
        <v>16441</v>
      </c>
      <c r="C73" s="354" t="s">
        <v>16440</v>
      </c>
      <c r="D73" s="398" t="s">
        <v>16441</v>
      </c>
      <c r="E73" s="354" t="s">
        <v>16439</v>
      </c>
      <c r="F73" s="354" t="s">
        <v>16438</v>
      </c>
      <c r="G73" s="354" t="s">
        <v>16441</v>
      </c>
      <c r="H73" s="354" t="s">
        <v>112</v>
      </c>
      <c r="I73" s="390" t="str">
        <f>DimBranch[[#This Row],[ParentBranchCode]]&amp;"|"&amp;DimBranch[[#This Row],[BranchCode]]&amp;"|"&amp;DimBranch[[#This Row],[SubBranchCode]]</f>
        <v>UB29|BR929|SB578</v>
      </c>
    </row>
    <row r="74" spans="1:9">
      <c r="A74" s="398" t="s">
        <v>16442</v>
      </c>
      <c r="B74" s="354" t="s">
        <v>16441</v>
      </c>
      <c r="C74" s="354" t="s">
        <v>16440</v>
      </c>
      <c r="D74" s="398" t="s">
        <v>16441</v>
      </c>
      <c r="E74" s="354" t="s">
        <v>16461</v>
      </c>
      <c r="F74" s="354" t="s">
        <v>16460</v>
      </c>
      <c r="G74" s="354" t="s">
        <v>16441</v>
      </c>
      <c r="H74" s="354" t="s">
        <v>112</v>
      </c>
      <c r="I74" s="390" t="str">
        <f>DimBranch[[#This Row],[ParentBranchCode]]&amp;"|"&amp;DimBranch[[#This Row],[BranchCode]]&amp;"|"&amp;DimBranch[[#This Row],[SubBranchCode]]</f>
        <v>UB29|BR929|SB650</v>
      </c>
    </row>
    <row r="75" spans="1:9">
      <c r="A75" s="398" t="s">
        <v>16475</v>
      </c>
      <c r="B75" s="354" t="s">
        <v>16474</v>
      </c>
      <c r="C75" s="354" t="s">
        <v>16473</v>
      </c>
      <c r="D75" s="398" t="s">
        <v>16474</v>
      </c>
      <c r="E75" s="354" t="s">
        <v>16472</v>
      </c>
      <c r="F75" s="354" t="s">
        <v>16471</v>
      </c>
      <c r="G75" s="354" t="s">
        <v>16648</v>
      </c>
      <c r="H75" s="354" t="s">
        <v>112</v>
      </c>
      <c r="I75" s="390" t="str">
        <f>DimBranch[[#This Row],[ParentBranchCode]]&amp;"|"&amp;DimBranch[[#This Row],[BranchCode]]&amp;"|"&amp;DimBranch[[#This Row],[SubBranchCode]]</f>
        <v>UB71|BR611|SB736</v>
      </c>
    </row>
    <row r="76" spans="1:9">
      <c r="A76" s="398" t="s">
        <v>16475</v>
      </c>
      <c r="B76" s="354" t="s">
        <v>16474</v>
      </c>
      <c r="C76" s="354" t="s">
        <v>16473</v>
      </c>
      <c r="D76" s="398" t="s">
        <v>16474</v>
      </c>
      <c r="E76" s="354" t="s">
        <v>16481</v>
      </c>
      <c r="F76" s="354" t="s">
        <v>16480</v>
      </c>
      <c r="G76" s="354" t="s">
        <v>16648</v>
      </c>
      <c r="H76" s="354" t="s">
        <v>112</v>
      </c>
      <c r="I76" s="390" t="str">
        <f>DimBranch[[#This Row],[ParentBranchCode]]&amp;"|"&amp;DimBranch[[#This Row],[BranchCode]]&amp;"|"&amp;DimBranch[[#This Row],[SubBranchCode]]</f>
        <v>UB71|BR611|SB305</v>
      </c>
    </row>
    <row r="77" spans="1:9">
      <c r="A77" s="398" t="s">
        <v>16475</v>
      </c>
      <c r="B77" s="354" t="s">
        <v>16474</v>
      </c>
      <c r="C77" s="354" t="s">
        <v>16473</v>
      </c>
      <c r="D77" s="398" t="s">
        <v>16474</v>
      </c>
      <c r="E77" s="354" t="s">
        <v>16479</v>
      </c>
      <c r="F77" s="354" t="s">
        <v>16478</v>
      </c>
      <c r="G77" s="354" t="s">
        <v>16648</v>
      </c>
      <c r="H77" s="354" t="s">
        <v>112</v>
      </c>
      <c r="I77" s="390" t="str">
        <f>DimBranch[[#This Row],[ParentBranchCode]]&amp;"|"&amp;DimBranch[[#This Row],[BranchCode]]&amp;"|"&amp;DimBranch[[#This Row],[SubBranchCode]]</f>
        <v>UB71|BR611|SB878</v>
      </c>
    </row>
    <row r="78" spans="1:9">
      <c r="A78" s="398" t="s">
        <v>16447</v>
      </c>
      <c r="B78" s="354" t="s">
        <v>16446</v>
      </c>
      <c r="C78" s="354" t="s">
        <v>16445</v>
      </c>
      <c r="D78" s="398" t="s">
        <v>16446</v>
      </c>
      <c r="E78" s="354" t="s">
        <v>16444</v>
      </c>
      <c r="F78" s="354" t="s">
        <v>16443</v>
      </c>
      <c r="G78" s="354" t="s">
        <v>16649</v>
      </c>
      <c r="H78" s="354" t="s">
        <v>112</v>
      </c>
      <c r="I78" s="390" t="str">
        <f>DimBranch[[#This Row],[ParentBranchCode]]&amp;"|"&amp;DimBranch[[#This Row],[BranchCode]]&amp;"|"&amp;DimBranch[[#This Row],[SubBranchCode]]</f>
        <v>UB50|BR590|SB525</v>
      </c>
    </row>
    <row r="79" spans="1:9">
      <c r="A79" s="398" t="s">
        <v>16447</v>
      </c>
      <c r="B79" s="354" t="s">
        <v>16446</v>
      </c>
      <c r="C79" s="354" t="s">
        <v>16445</v>
      </c>
      <c r="D79" s="398" t="s">
        <v>16446</v>
      </c>
      <c r="E79" s="354" t="s">
        <v>16477</v>
      </c>
      <c r="F79" s="354" t="s">
        <v>16476</v>
      </c>
      <c r="G79" s="354" t="s">
        <v>16649</v>
      </c>
      <c r="H79" s="354" t="s">
        <v>112</v>
      </c>
      <c r="I79" s="390" t="str">
        <f>DimBranch[[#This Row],[ParentBranchCode]]&amp;"|"&amp;DimBranch[[#This Row],[BranchCode]]&amp;"|"&amp;DimBranch[[#This Row],[SubBranchCode]]</f>
        <v>UB50|BR590|SB982</v>
      </c>
    </row>
    <row r="80" spans="1:9">
      <c r="A80" s="398" t="s">
        <v>16447</v>
      </c>
      <c r="B80" s="354" t="s">
        <v>16446</v>
      </c>
      <c r="C80" s="354" t="s">
        <v>16445</v>
      </c>
      <c r="D80" s="398" t="s">
        <v>16446</v>
      </c>
      <c r="E80" s="354" t="s">
        <v>16456</v>
      </c>
      <c r="F80" s="354" t="s">
        <v>16455</v>
      </c>
      <c r="G80" s="354" t="s">
        <v>16649</v>
      </c>
      <c r="H80" s="354" t="s">
        <v>112</v>
      </c>
      <c r="I80" s="390" t="str">
        <f>DimBranch[[#This Row],[ParentBranchCode]]&amp;"|"&amp;DimBranch[[#This Row],[BranchCode]]&amp;"|"&amp;DimBranch[[#This Row],[SubBranchCode]]</f>
        <v>UB50|BR590|SB711</v>
      </c>
    </row>
    <row r="81" spans="1:9">
      <c r="A81" s="398" t="s">
        <v>16454</v>
      </c>
      <c r="B81" s="354" t="s">
        <v>16453</v>
      </c>
      <c r="C81" s="354" t="s">
        <v>16452</v>
      </c>
      <c r="D81" s="398" t="s">
        <v>16453</v>
      </c>
      <c r="E81" s="354" t="s">
        <v>16463</v>
      </c>
      <c r="F81" s="354" t="s">
        <v>16462</v>
      </c>
      <c r="G81" s="354" t="s">
        <v>16650</v>
      </c>
      <c r="H81" s="354" t="s">
        <v>112</v>
      </c>
      <c r="I81" s="390" t="str">
        <f>DimBranch[[#This Row],[ParentBranchCode]]&amp;"|"&amp;DimBranch[[#This Row],[BranchCode]]&amp;"|"&amp;DimBranch[[#This Row],[SubBranchCode]]</f>
        <v>UB43|BR763|SB448</v>
      </c>
    </row>
    <row r="82" spans="1:9">
      <c r="A82" s="398" t="s">
        <v>16454</v>
      </c>
      <c r="B82" s="354" t="s">
        <v>16453</v>
      </c>
      <c r="C82" s="354" t="s">
        <v>16452</v>
      </c>
      <c r="D82" s="398" t="s">
        <v>16453</v>
      </c>
      <c r="E82" s="354" t="s">
        <v>16451</v>
      </c>
      <c r="F82" s="354" t="s">
        <v>16450</v>
      </c>
      <c r="G82" s="354" t="s">
        <v>16650</v>
      </c>
      <c r="H82" s="354" t="s">
        <v>112</v>
      </c>
      <c r="I82" s="390" t="str">
        <f>DimBranch[[#This Row],[ParentBranchCode]]&amp;"|"&amp;DimBranch[[#This Row],[BranchCode]]&amp;"|"&amp;DimBranch[[#This Row],[SubBranchCode]]</f>
        <v>UB43|BR763|SB638</v>
      </c>
    </row>
    <row r="83" spans="1:9">
      <c r="A83" s="398" t="s">
        <v>16468</v>
      </c>
      <c r="B83" s="354" t="s">
        <v>16467</v>
      </c>
      <c r="C83" s="354" t="s">
        <v>16466</v>
      </c>
      <c r="D83" s="398" t="s">
        <v>16467</v>
      </c>
      <c r="E83" s="354" t="s">
        <v>16465</v>
      </c>
      <c r="F83" s="354" t="s">
        <v>16464</v>
      </c>
      <c r="G83" s="354" t="s">
        <v>16650</v>
      </c>
      <c r="H83" s="354" t="s">
        <v>112</v>
      </c>
      <c r="I83" s="390" t="str">
        <f>DimBranch[[#This Row],[ParentBranchCode]]&amp;"|"&amp;DimBranch[[#This Row],[BranchCode]]&amp;"|"&amp;DimBranch[[#This Row],[SubBranchCode]]</f>
        <v>UB73|BR883|SB177</v>
      </c>
    </row>
    <row r="84" spans="1:9">
      <c r="A84" s="398" t="s">
        <v>16468</v>
      </c>
      <c r="B84" s="354" t="s">
        <v>16467</v>
      </c>
      <c r="C84" s="354" t="s">
        <v>16466</v>
      </c>
      <c r="D84" s="398" t="s">
        <v>16467</v>
      </c>
      <c r="E84" s="354" t="s">
        <v>16483</v>
      </c>
      <c r="F84" s="354" t="s">
        <v>16482</v>
      </c>
      <c r="G84" s="354" t="s">
        <v>16650</v>
      </c>
      <c r="H84" s="354" t="s">
        <v>112</v>
      </c>
      <c r="I84" s="390" t="str">
        <f>DimBranch[[#This Row],[ParentBranchCode]]&amp;"|"&amp;DimBranch[[#This Row],[BranchCode]]&amp;"|"&amp;DimBranch[[#This Row],[SubBranchCode]]</f>
        <v>UB73|BR883|SB487</v>
      </c>
    </row>
    <row r="85" spans="1:9">
      <c r="A85" s="398" t="s">
        <v>16468</v>
      </c>
      <c r="B85" s="354" t="s">
        <v>16467</v>
      </c>
      <c r="C85" s="354" t="s">
        <v>16466</v>
      </c>
      <c r="D85" s="398" t="s">
        <v>16467</v>
      </c>
      <c r="E85" s="354" t="s">
        <v>16470</v>
      </c>
      <c r="F85" s="354" t="s">
        <v>16469</v>
      </c>
      <c r="G85" s="354" t="s">
        <v>16650</v>
      </c>
      <c r="H85" s="354" t="s">
        <v>112</v>
      </c>
      <c r="I85" s="390" t="str">
        <f>DimBranch[[#This Row],[ParentBranchCode]]&amp;"|"&amp;DimBranch[[#This Row],[BranchCode]]&amp;"|"&amp;DimBranch[[#This Row],[SubBranchCode]]</f>
        <v>UB73|BR883|SB605</v>
      </c>
    </row>
    <row r="86" spans="1:9">
      <c r="A86" s="398" t="s">
        <v>16423</v>
      </c>
      <c r="B86" s="354" t="s">
        <v>16422</v>
      </c>
      <c r="C86" s="354" t="s">
        <v>16421</v>
      </c>
      <c r="D86" s="398" t="s">
        <v>16422</v>
      </c>
      <c r="E86" s="354" t="s">
        <v>16420</v>
      </c>
      <c r="F86" s="354" t="s">
        <v>16419</v>
      </c>
      <c r="G86" s="354" t="s">
        <v>114</v>
      </c>
      <c r="H86" s="354" t="s">
        <v>114</v>
      </c>
      <c r="I86" s="390" t="str">
        <f>DimBranch[[#This Row],[ParentBranchCode]]&amp;"|"&amp;DimBranch[[#This Row],[BranchCode]]&amp;"|"&amp;DimBranch[[#This Row],[SubBranchCode]]</f>
        <v>UB99|BR459|SB957</v>
      </c>
    </row>
    <row r="87" spans="1:9">
      <c r="A87" s="398" t="s">
        <v>16418</v>
      </c>
      <c r="B87" s="354" t="s">
        <v>16417</v>
      </c>
      <c r="C87" s="354" t="s">
        <v>16416</v>
      </c>
      <c r="D87" s="398" t="s">
        <v>16417</v>
      </c>
      <c r="E87" s="354" t="s">
        <v>16415</v>
      </c>
      <c r="F87" s="354" t="s">
        <v>16414</v>
      </c>
      <c r="G87" s="354" t="s">
        <v>114</v>
      </c>
      <c r="H87" s="354" t="s">
        <v>114</v>
      </c>
      <c r="I87" s="390" t="str">
        <f>DimBranch[[#This Row],[ParentBranchCode]]&amp;"|"&amp;DimBranch[[#This Row],[BranchCode]]&amp;"|"&amp;DimBranch[[#This Row],[SubBranchCode]]</f>
        <v>UB45|BR315|SB614</v>
      </c>
    </row>
    <row r="88" spans="1:9">
      <c r="A88" s="398" t="s">
        <v>16418</v>
      </c>
      <c r="B88" s="354" t="s">
        <v>16417</v>
      </c>
      <c r="C88" s="354" t="s">
        <v>16416</v>
      </c>
      <c r="D88" s="398" t="s">
        <v>16417</v>
      </c>
      <c r="E88" s="354" t="s">
        <v>16425</v>
      </c>
      <c r="F88" s="354" t="s">
        <v>16424</v>
      </c>
      <c r="G88" s="354" t="s">
        <v>114</v>
      </c>
      <c r="H88" s="354" t="s">
        <v>114</v>
      </c>
      <c r="I88" s="390" t="str">
        <f>DimBranch[[#This Row],[ParentBranchCode]]&amp;"|"&amp;DimBranch[[#This Row],[BranchCode]]&amp;"|"&amp;DimBranch[[#This Row],[SubBranchCode]]</f>
        <v>UB45|BR315|SB117</v>
      </c>
    </row>
    <row r="91" spans="1:9" ht="15">
      <c r="A91" s="117" t="s">
        <v>16651</v>
      </c>
      <c r="B91" s="58"/>
      <c r="C91" s="58"/>
      <c r="D91" s="117"/>
      <c r="E91" s="58"/>
      <c r="F91" s="58"/>
    </row>
    <row r="92" spans="1:9">
      <c r="A92" s="50" t="s">
        <v>326</v>
      </c>
      <c r="B92" s="50" t="s">
        <v>401</v>
      </c>
      <c r="C92" s="50" t="s">
        <v>499</v>
      </c>
    </row>
    <row r="93" spans="1:9">
      <c r="A93" s="398" t="s">
        <v>16328</v>
      </c>
      <c r="B93" s="354" t="s">
        <v>16329</v>
      </c>
      <c r="C93" s="354" t="s">
        <v>16652</v>
      </c>
    </row>
    <row r="94" spans="1:9">
      <c r="A94" s="398" t="s">
        <v>16304</v>
      </c>
      <c r="B94" s="354" t="s">
        <v>16305</v>
      </c>
      <c r="C94" s="354" t="s">
        <v>16653</v>
      </c>
    </row>
    <row r="95" spans="1:9">
      <c r="A95" s="398" t="s">
        <v>16279</v>
      </c>
      <c r="B95" s="354" t="s">
        <v>16280</v>
      </c>
      <c r="C95" s="354" t="s">
        <v>16654</v>
      </c>
    </row>
    <row r="96" spans="1:9">
      <c r="A96" s="398" t="s">
        <v>16291</v>
      </c>
      <c r="B96" s="354" t="s">
        <v>16292</v>
      </c>
      <c r="C96" s="354" t="s">
        <v>16655</v>
      </c>
    </row>
    <row r="97" spans="1:6">
      <c r="A97" s="398" t="s">
        <v>16307</v>
      </c>
      <c r="B97" s="354" t="s">
        <v>16309</v>
      </c>
      <c r="C97" s="354" t="s">
        <v>16656</v>
      </c>
    </row>
    <row r="98" spans="1:6">
      <c r="A98" s="398" t="s">
        <v>16334</v>
      </c>
      <c r="B98" s="354" t="s">
        <v>16335</v>
      </c>
      <c r="C98" s="354" t="s">
        <v>16657</v>
      </c>
    </row>
    <row r="99" spans="1:6">
      <c r="A99" s="398" t="s">
        <v>16287</v>
      </c>
      <c r="B99" s="354" t="s">
        <v>16288</v>
      </c>
      <c r="C99" s="354" t="s">
        <v>16658</v>
      </c>
    </row>
    <row r="100" spans="1:6">
      <c r="A100" s="398" t="s">
        <v>16296</v>
      </c>
      <c r="B100" s="354" t="s">
        <v>16298</v>
      </c>
      <c r="C100" s="354" t="s">
        <v>16659</v>
      </c>
    </row>
    <row r="101" spans="1:6">
      <c r="A101" s="398" t="s">
        <v>16332</v>
      </c>
      <c r="B101" s="354" t="s">
        <v>16333</v>
      </c>
      <c r="C101" s="354" t="s">
        <v>16660</v>
      </c>
    </row>
    <row r="102" spans="1:6">
      <c r="A102" s="398" t="s">
        <v>16299</v>
      </c>
      <c r="B102" s="354" t="s">
        <v>16301</v>
      </c>
      <c r="C102" s="354" t="s">
        <v>16661</v>
      </c>
    </row>
    <row r="103" spans="1:6">
      <c r="A103" s="398" t="s">
        <v>16321</v>
      </c>
      <c r="B103" s="354" t="s">
        <v>16322</v>
      </c>
      <c r="C103" s="354" t="s">
        <v>16662</v>
      </c>
    </row>
    <row r="104" spans="1:6">
      <c r="A104" s="398" t="s">
        <v>16314</v>
      </c>
      <c r="B104" s="354" t="s">
        <v>16316</v>
      </c>
      <c r="C104" s="354" t="s">
        <v>16663</v>
      </c>
    </row>
    <row r="105" spans="1:6">
      <c r="A105" s="398" t="s">
        <v>16318</v>
      </c>
      <c r="B105" s="354" t="s">
        <v>16320</v>
      </c>
      <c r="C105" s="354" t="s">
        <v>16664</v>
      </c>
    </row>
    <row r="106" spans="1:6">
      <c r="A106" s="398" t="s">
        <v>16310</v>
      </c>
      <c r="B106" s="354" t="s">
        <v>16312</v>
      </c>
      <c r="C106" s="354" t="s">
        <v>16665</v>
      </c>
    </row>
    <row r="107" spans="1:6">
      <c r="A107" s="398" t="s">
        <v>16284</v>
      </c>
      <c r="B107" s="354" t="s">
        <v>16286</v>
      </c>
      <c r="C107" s="354" t="s">
        <v>16666</v>
      </c>
    </row>
    <row r="108" spans="1:6">
      <c r="A108" s="398" t="s">
        <v>16275</v>
      </c>
      <c r="B108" s="354" t="s">
        <v>16277</v>
      </c>
      <c r="C108" s="354" t="s">
        <v>16667</v>
      </c>
    </row>
    <row r="109" spans="1:6">
      <c r="A109" s="398" t="s">
        <v>16281</v>
      </c>
      <c r="B109" s="354" t="s">
        <v>16283</v>
      </c>
      <c r="C109" s="354" t="s">
        <v>16668</v>
      </c>
    </row>
    <row r="112" spans="1:6" ht="15">
      <c r="A112" s="117" t="s">
        <v>16669</v>
      </c>
      <c r="B112" s="58"/>
      <c r="C112" s="58"/>
      <c r="D112" s="117"/>
      <c r="E112" s="58"/>
      <c r="F112" s="58"/>
    </row>
    <row r="113" spans="1:6">
      <c r="A113" s="50" t="s">
        <v>448</v>
      </c>
      <c r="B113" s="50" t="s">
        <v>16670</v>
      </c>
      <c r="C113" s="50" t="s">
        <v>16671</v>
      </c>
      <c r="D113" s="50" t="s">
        <v>16672</v>
      </c>
    </row>
    <row r="114" spans="1:6">
      <c r="A114" s="398" t="s">
        <v>16379</v>
      </c>
      <c r="B114" s="354" t="s">
        <v>16673</v>
      </c>
      <c r="C114" s="354" t="s">
        <v>16674</v>
      </c>
      <c r="D114" s="398" t="s">
        <v>16675</v>
      </c>
    </row>
    <row r="115" spans="1:6">
      <c r="A115" s="398" t="s">
        <v>16364</v>
      </c>
      <c r="B115" s="354" t="s">
        <v>16676</v>
      </c>
      <c r="C115" s="354" t="s">
        <v>16676</v>
      </c>
      <c r="D115" s="398" t="s">
        <v>16675</v>
      </c>
    </row>
    <row r="116" spans="1:6">
      <c r="A116" s="398" t="s">
        <v>16387</v>
      </c>
      <c r="B116" s="354" t="s">
        <v>16677</v>
      </c>
      <c r="C116" s="354" t="s">
        <v>16367</v>
      </c>
      <c r="D116" s="398" t="s">
        <v>16678</v>
      </c>
    </row>
    <row r="117" spans="1:6">
      <c r="A117" s="398" t="s">
        <v>16372</v>
      </c>
      <c r="B117" s="354" t="s">
        <v>16679</v>
      </c>
      <c r="C117" s="354" t="s">
        <v>16680</v>
      </c>
      <c r="D117" s="398" t="s">
        <v>16680</v>
      </c>
    </row>
    <row r="118" spans="1:6">
      <c r="A118" s="398" t="s">
        <v>16359</v>
      </c>
      <c r="B118" s="354" t="s">
        <v>16681</v>
      </c>
      <c r="C118" s="354" t="s">
        <v>16682</v>
      </c>
      <c r="D118" s="398" t="s">
        <v>16680</v>
      </c>
    </row>
    <row r="121" spans="1:6" ht="15">
      <c r="A121" s="117" t="s">
        <v>16683</v>
      </c>
      <c r="B121" s="58"/>
      <c r="C121" s="58"/>
      <c r="D121" s="117"/>
      <c r="E121" s="58"/>
      <c r="F121" s="58"/>
    </row>
    <row r="122" spans="1:6">
      <c r="A122" s="50" t="s">
        <v>427</v>
      </c>
      <c r="B122" s="50" t="s">
        <v>375</v>
      </c>
      <c r="C122" s="50" t="s">
        <v>16684</v>
      </c>
    </row>
    <row r="123" spans="1:6">
      <c r="A123" s="398" t="s">
        <v>16357</v>
      </c>
      <c r="B123" s="354" t="s">
        <v>16685</v>
      </c>
      <c r="C123" s="354" t="s">
        <v>16686</v>
      </c>
    </row>
    <row r="124" spans="1:6">
      <c r="A124" s="398" t="s">
        <v>16398</v>
      </c>
      <c r="B124" s="354" t="s">
        <v>16687</v>
      </c>
      <c r="C124" s="354" t="s">
        <v>16686</v>
      </c>
    </row>
    <row r="125" spans="1:6">
      <c r="A125" s="398" t="s">
        <v>16409</v>
      </c>
      <c r="B125" s="354" t="s">
        <v>16688</v>
      </c>
      <c r="C125" s="354" t="s">
        <v>16674</v>
      </c>
    </row>
    <row r="126" spans="1:6">
      <c r="A126" s="398" t="s">
        <v>16382</v>
      </c>
      <c r="B126" s="354" t="s">
        <v>16689</v>
      </c>
      <c r="C126" s="354" t="s">
        <v>16686</v>
      </c>
    </row>
    <row r="127" spans="1:6">
      <c r="A127" s="398" t="s">
        <v>16389</v>
      </c>
      <c r="B127" s="354" t="s">
        <v>16690</v>
      </c>
      <c r="C127" s="354" t="s">
        <v>16686</v>
      </c>
    </row>
    <row r="128" spans="1:6">
      <c r="A128" s="398" t="s">
        <v>16413</v>
      </c>
      <c r="B128" s="354" t="s">
        <v>16691</v>
      </c>
      <c r="C128" s="354" t="s">
        <v>16674</v>
      </c>
    </row>
    <row r="129" spans="1:6">
      <c r="A129" s="398" t="s">
        <v>16385</v>
      </c>
      <c r="B129" s="354" t="s">
        <v>16692</v>
      </c>
      <c r="C129" s="354" t="s">
        <v>16674</v>
      </c>
    </row>
    <row r="130" spans="1:6">
      <c r="A130" s="398" t="s">
        <v>16370</v>
      </c>
      <c r="B130" s="354" t="s">
        <v>16693</v>
      </c>
      <c r="C130" s="354" t="s">
        <v>16674</v>
      </c>
    </row>
    <row r="131" spans="1:6">
      <c r="A131" s="398" t="s">
        <v>16411</v>
      </c>
      <c r="B131" s="354" t="s">
        <v>16694</v>
      </c>
      <c r="C131" s="354" t="s">
        <v>16686</v>
      </c>
    </row>
    <row r="132" spans="1:6">
      <c r="A132" s="398" t="s">
        <v>16392</v>
      </c>
      <c r="B132" s="354" t="s">
        <v>16695</v>
      </c>
      <c r="C132" s="354" t="s">
        <v>16674</v>
      </c>
    </row>
    <row r="133" spans="1:6">
      <c r="A133" s="398" t="s">
        <v>16363</v>
      </c>
      <c r="B133" s="354" t="s">
        <v>16696</v>
      </c>
      <c r="C133" s="354" t="s">
        <v>16674</v>
      </c>
    </row>
    <row r="134" spans="1:6">
      <c r="A134" s="398" t="s">
        <v>16377</v>
      </c>
      <c r="B134" s="354" t="s">
        <v>16697</v>
      </c>
      <c r="C134" s="354" t="s">
        <v>16674</v>
      </c>
    </row>
    <row r="137" spans="1:6" ht="15">
      <c r="A137" s="117" t="s">
        <v>16698</v>
      </c>
      <c r="B137" s="58"/>
      <c r="C137" s="58"/>
      <c r="D137" s="117"/>
      <c r="E137" s="58"/>
      <c r="F137" s="58"/>
    </row>
    <row r="138" spans="1:6">
      <c r="A138" s="50" t="s">
        <v>16699</v>
      </c>
      <c r="B138" s="50" t="s">
        <v>16700</v>
      </c>
      <c r="C138" s="50" t="s">
        <v>16701</v>
      </c>
    </row>
    <row r="139" spans="1:6">
      <c r="A139" s="398" t="s">
        <v>16395</v>
      </c>
      <c r="B139" s="354">
        <v>1</v>
      </c>
      <c r="C139" s="354" t="s">
        <v>16702</v>
      </c>
    </row>
    <row r="140" spans="1:6">
      <c r="A140" s="398" t="s">
        <v>16703</v>
      </c>
      <c r="B140" s="354">
        <v>2</v>
      </c>
      <c r="C140" s="354" t="s">
        <v>16704</v>
      </c>
    </row>
    <row r="141" spans="1:6">
      <c r="A141" s="398" t="s">
        <v>16705</v>
      </c>
      <c r="B141" s="354">
        <v>3</v>
      </c>
      <c r="C141" s="354" t="s">
        <v>16706</v>
      </c>
    </row>
    <row r="142" spans="1:6">
      <c r="A142" s="398" t="s">
        <v>16707</v>
      </c>
      <c r="B142" s="354">
        <v>4</v>
      </c>
      <c r="C142" s="354" t="s">
        <v>16708</v>
      </c>
    </row>
    <row r="143" spans="1:6">
      <c r="A143" s="398" t="s">
        <v>16709</v>
      </c>
      <c r="B143" s="354">
        <v>5</v>
      </c>
      <c r="C143" s="354" t="s">
        <v>16710</v>
      </c>
    </row>
    <row r="144" spans="1:6">
      <c r="A144" s="398" t="s">
        <v>16410</v>
      </c>
      <c r="B144" s="354">
        <v>6</v>
      </c>
      <c r="C144" s="354" t="s">
        <v>16711</v>
      </c>
    </row>
    <row r="145" spans="1:3">
      <c r="A145" s="398" t="s">
        <v>16383</v>
      </c>
      <c r="B145" s="354">
        <v>7</v>
      </c>
      <c r="C145" s="354" t="s">
        <v>16702</v>
      </c>
    </row>
    <row r="146" spans="1:3">
      <c r="A146" s="398" t="s">
        <v>16712</v>
      </c>
      <c r="B146" s="354">
        <v>8</v>
      </c>
      <c r="C146" s="354" t="s">
        <v>16710</v>
      </c>
    </row>
    <row r="147" spans="1:3">
      <c r="A147" s="398" t="s">
        <v>16713</v>
      </c>
      <c r="B147" s="354">
        <v>9</v>
      </c>
      <c r="C147" s="354" t="s">
        <v>16706</v>
      </c>
    </row>
    <row r="148" spans="1:3">
      <c r="A148" s="398" t="s">
        <v>16714</v>
      </c>
      <c r="B148" s="354">
        <v>10</v>
      </c>
      <c r="C148" s="354" t="s">
        <v>16715</v>
      </c>
    </row>
    <row r="149" spans="1:3">
      <c r="A149" s="398" t="s">
        <v>16716</v>
      </c>
      <c r="B149" s="354">
        <v>11</v>
      </c>
      <c r="C149" s="354" t="s">
        <v>16715</v>
      </c>
    </row>
    <row r="150" spans="1:3">
      <c r="A150" s="398" t="s">
        <v>16717</v>
      </c>
      <c r="B150" s="354">
        <v>12</v>
      </c>
      <c r="C150" s="354" t="s">
        <v>16708</v>
      </c>
    </row>
    <row r="151" spans="1:3">
      <c r="A151" s="398" t="s">
        <v>16718</v>
      </c>
      <c r="B151" s="354">
        <v>13</v>
      </c>
      <c r="C151" s="354" t="s">
        <v>16708</v>
      </c>
    </row>
    <row r="152" spans="1:3">
      <c r="A152" s="398" t="s">
        <v>16719</v>
      </c>
      <c r="B152" s="354">
        <v>14</v>
      </c>
      <c r="C152" s="354" t="s">
        <v>16710</v>
      </c>
    </row>
    <row r="153" spans="1:3">
      <c r="A153" s="398" t="s">
        <v>16720</v>
      </c>
      <c r="B153" s="354">
        <v>15</v>
      </c>
      <c r="C153" s="354" t="s">
        <v>16702</v>
      </c>
    </row>
    <row r="154" spans="1:3">
      <c r="A154" s="398" t="s">
        <v>16373</v>
      </c>
      <c r="B154" s="354">
        <v>16</v>
      </c>
      <c r="C154" s="354" t="s">
        <v>16715</v>
      </c>
    </row>
    <row r="155" spans="1:3">
      <c r="A155" s="398" t="s">
        <v>16721</v>
      </c>
      <c r="B155" s="354">
        <v>17</v>
      </c>
      <c r="C155" s="354" t="s">
        <v>16715</v>
      </c>
    </row>
    <row r="156" spans="1:3">
      <c r="A156" s="398" t="s">
        <v>16722</v>
      </c>
      <c r="B156" s="354">
        <v>18</v>
      </c>
      <c r="C156" s="354" t="s">
        <v>16711</v>
      </c>
    </row>
    <row r="157" spans="1:3">
      <c r="A157" s="398" t="s">
        <v>16723</v>
      </c>
      <c r="B157" s="354">
        <v>19</v>
      </c>
      <c r="C157" s="354" t="s">
        <v>16710</v>
      </c>
    </row>
    <row r="158" spans="1:3">
      <c r="A158" s="398" t="s">
        <v>16391</v>
      </c>
      <c r="B158" s="354">
        <v>20</v>
      </c>
      <c r="C158" s="354" t="s">
        <v>16706</v>
      </c>
    </row>
    <row r="159" spans="1:3">
      <c r="A159" s="398" t="s">
        <v>16394</v>
      </c>
      <c r="B159" s="354">
        <v>21</v>
      </c>
      <c r="C159" s="354" t="s">
        <v>16704</v>
      </c>
    </row>
    <row r="160" spans="1:3">
      <c r="A160" s="398" t="s">
        <v>16724</v>
      </c>
      <c r="B160" s="354">
        <v>22</v>
      </c>
      <c r="C160" s="354" t="s">
        <v>16715</v>
      </c>
    </row>
    <row r="161" spans="1:3">
      <c r="A161" s="398" t="s">
        <v>16725</v>
      </c>
      <c r="B161" s="354">
        <v>23</v>
      </c>
      <c r="C161" s="354" t="s">
        <v>16708</v>
      </c>
    </row>
    <row r="162" spans="1:3">
      <c r="A162" s="398" t="s">
        <v>16726</v>
      </c>
      <c r="B162" s="354">
        <v>24</v>
      </c>
      <c r="C162" s="354" t="s">
        <v>16708</v>
      </c>
    </row>
    <row r="163" spans="1:3">
      <c r="A163" s="398" t="s">
        <v>16393</v>
      </c>
      <c r="B163" s="354">
        <v>25</v>
      </c>
      <c r="C163" s="354" t="s">
        <v>16708</v>
      </c>
    </row>
    <row r="164" spans="1:3">
      <c r="A164" s="398" t="s">
        <v>16390</v>
      </c>
      <c r="B164" s="354">
        <v>26</v>
      </c>
      <c r="C164" s="354" t="s">
        <v>16711</v>
      </c>
    </row>
    <row r="165" spans="1:3">
      <c r="A165" s="398" t="s">
        <v>16403</v>
      </c>
      <c r="B165" s="354">
        <v>27</v>
      </c>
      <c r="C165" s="354" t="s">
        <v>16704</v>
      </c>
    </row>
    <row r="166" spans="1:3">
      <c r="A166" s="398" t="s">
        <v>16727</v>
      </c>
      <c r="B166" s="354">
        <v>28</v>
      </c>
      <c r="C166" s="354" t="s">
        <v>16710</v>
      </c>
    </row>
    <row r="167" spans="1:3">
      <c r="A167" s="398" t="s">
        <v>16728</v>
      </c>
      <c r="B167" s="354">
        <v>29</v>
      </c>
      <c r="C167" s="354" t="s">
        <v>16710</v>
      </c>
    </row>
    <row r="168" spans="1:3">
      <c r="A168" s="398" t="s">
        <v>16729</v>
      </c>
      <c r="B168" s="354">
        <v>30</v>
      </c>
      <c r="C168" s="354" t="s">
        <v>16708</v>
      </c>
    </row>
    <row r="169" spans="1:3">
      <c r="A169" s="398" t="s">
        <v>16730</v>
      </c>
      <c r="B169" s="354">
        <v>31</v>
      </c>
      <c r="C169" s="354" t="s">
        <v>16702</v>
      </c>
    </row>
    <row r="170" spans="1:3">
      <c r="A170" s="398" t="s">
        <v>16731</v>
      </c>
      <c r="B170" s="354">
        <v>32</v>
      </c>
      <c r="C170" s="354" t="s">
        <v>16702</v>
      </c>
    </row>
    <row r="171" spans="1:3">
      <c r="A171" s="398" t="s">
        <v>16408</v>
      </c>
      <c r="B171" s="354">
        <v>33</v>
      </c>
      <c r="C171" s="354" t="s">
        <v>16702</v>
      </c>
    </row>
    <row r="172" spans="1:3">
      <c r="A172" s="398" t="s">
        <v>16365</v>
      </c>
      <c r="B172" s="354">
        <v>34</v>
      </c>
      <c r="C172" s="354" t="s">
        <v>16715</v>
      </c>
    </row>
    <row r="173" spans="1:3">
      <c r="A173" s="398" t="s">
        <v>16405</v>
      </c>
      <c r="B173" s="354">
        <v>35</v>
      </c>
      <c r="C173" s="354" t="s">
        <v>16706</v>
      </c>
    </row>
    <row r="174" spans="1:3">
      <c r="A174" s="398" t="s">
        <v>16732</v>
      </c>
      <c r="B174" s="354">
        <v>36</v>
      </c>
      <c r="C174" s="354" t="s">
        <v>16708</v>
      </c>
    </row>
    <row r="175" spans="1:3">
      <c r="A175" s="398" t="s">
        <v>16733</v>
      </c>
      <c r="B175" s="354">
        <v>37</v>
      </c>
      <c r="C175" s="354" t="s">
        <v>16710</v>
      </c>
    </row>
    <row r="176" spans="1:3">
      <c r="A176" s="398" t="s">
        <v>16400</v>
      </c>
      <c r="B176" s="354">
        <v>38</v>
      </c>
      <c r="C176" s="354" t="s">
        <v>16711</v>
      </c>
    </row>
    <row r="177" spans="1:3">
      <c r="A177" s="398" t="s">
        <v>16734</v>
      </c>
      <c r="B177" s="354">
        <v>39</v>
      </c>
      <c r="C177" s="354" t="s">
        <v>16715</v>
      </c>
    </row>
    <row r="178" spans="1:3">
      <c r="A178" s="398" t="s">
        <v>16735</v>
      </c>
      <c r="B178" s="354">
        <v>40</v>
      </c>
      <c r="C178" s="354" t="s">
        <v>16711</v>
      </c>
    </row>
    <row r="179" spans="1:3">
      <c r="A179" s="398" t="s">
        <v>16399</v>
      </c>
      <c r="B179" s="354">
        <v>41</v>
      </c>
      <c r="C179" s="354" t="s">
        <v>16715</v>
      </c>
    </row>
    <row r="180" spans="1:3">
      <c r="A180" s="398" t="s">
        <v>16397</v>
      </c>
      <c r="B180" s="354">
        <v>42</v>
      </c>
      <c r="C180" s="354" t="s">
        <v>16711</v>
      </c>
    </row>
    <row r="181" spans="1:3">
      <c r="A181" s="398" t="s">
        <v>16736</v>
      </c>
      <c r="B181" s="354">
        <v>43</v>
      </c>
      <c r="C181" s="354" t="s">
        <v>16706</v>
      </c>
    </row>
    <row r="182" spans="1:3">
      <c r="A182" s="398" t="s">
        <v>16406</v>
      </c>
      <c r="B182" s="354">
        <v>44</v>
      </c>
      <c r="C182" s="354" t="s">
        <v>16708</v>
      </c>
    </row>
    <row r="183" spans="1:3">
      <c r="A183" s="398" t="s">
        <v>16737</v>
      </c>
      <c r="B183" s="354">
        <v>45</v>
      </c>
      <c r="C183" s="354" t="s">
        <v>16706</v>
      </c>
    </row>
    <row r="184" spans="1:3">
      <c r="A184" s="398" t="s">
        <v>16738</v>
      </c>
      <c r="B184" s="354">
        <v>46</v>
      </c>
      <c r="C184" s="354" t="s">
        <v>16702</v>
      </c>
    </row>
    <row r="185" spans="1:3">
      <c r="A185" s="398" t="s">
        <v>16739</v>
      </c>
      <c r="B185" s="354">
        <v>47</v>
      </c>
      <c r="C185" s="354" t="s">
        <v>16704</v>
      </c>
    </row>
    <row r="186" spans="1:3">
      <c r="A186" s="398" t="s">
        <v>16740</v>
      </c>
      <c r="B186" s="354">
        <v>48</v>
      </c>
      <c r="C186" s="354" t="s">
        <v>16706</v>
      </c>
    </row>
    <row r="187" spans="1:3">
      <c r="A187" s="398" t="s">
        <v>16741</v>
      </c>
      <c r="B187" s="354">
        <v>49</v>
      </c>
      <c r="C187" s="354" t="s">
        <v>16708</v>
      </c>
    </row>
    <row r="188" spans="1:3">
      <c r="A188" s="398" t="s">
        <v>16742</v>
      </c>
      <c r="B188" s="354">
        <v>50</v>
      </c>
      <c r="C188" s="354" t="s">
        <v>16711</v>
      </c>
    </row>
    <row r="189" spans="1:3">
      <c r="A189" s="398" t="s">
        <v>16743</v>
      </c>
      <c r="B189" s="354">
        <v>51</v>
      </c>
      <c r="C189" s="354" t="s">
        <v>16711</v>
      </c>
    </row>
    <row r="190" spans="1:3">
      <c r="A190" s="398" t="s">
        <v>16744</v>
      </c>
      <c r="B190" s="354">
        <v>52</v>
      </c>
      <c r="C190" s="354" t="s">
        <v>16710</v>
      </c>
    </row>
    <row r="191" spans="1:3">
      <c r="A191" s="398" t="s">
        <v>16745</v>
      </c>
      <c r="B191" s="354">
        <v>53</v>
      </c>
      <c r="C191" s="354" t="s">
        <v>16710</v>
      </c>
    </row>
    <row r="192" spans="1:3">
      <c r="A192" s="398" t="s">
        <v>16746</v>
      </c>
      <c r="B192" s="354">
        <v>54</v>
      </c>
      <c r="C192" s="354" t="s">
        <v>16715</v>
      </c>
    </row>
    <row r="193" spans="1:3">
      <c r="A193" s="398" t="s">
        <v>16407</v>
      </c>
      <c r="B193" s="354">
        <v>55</v>
      </c>
      <c r="C193" s="354" t="s">
        <v>16710</v>
      </c>
    </row>
    <row r="194" spans="1:3">
      <c r="A194" s="398" t="s">
        <v>16747</v>
      </c>
      <c r="B194" s="354">
        <v>56</v>
      </c>
      <c r="C194" s="354" t="s">
        <v>16704</v>
      </c>
    </row>
    <row r="195" spans="1:3">
      <c r="A195" s="398" t="s">
        <v>16748</v>
      </c>
      <c r="B195" s="354">
        <v>57</v>
      </c>
      <c r="C195" s="354" t="s">
        <v>16710</v>
      </c>
    </row>
    <row r="196" spans="1:3">
      <c r="A196" s="398" t="s">
        <v>16749</v>
      </c>
      <c r="B196" s="354">
        <v>58</v>
      </c>
      <c r="C196" s="354" t="s">
        <v>16711</v>
      </c>
    </row>
    <row r="197" spans="1:3">
      <c r="A197" s="398" t="s">
        <v>16750</v>
      </c>
      <c r="B197" s="354">
        <v>59</v>
      </c>
      <c r="C197" s="354" t="s">
        <v>16715</v>
      </c>
    </row>
    <row r="198" spans="1:3">
      <c r="A198" s="398" t="s">
        <v>16751</v>
      </c>
      <c r="B198" s="354">
        <v>60</v>
      </c>
      <c r="C198" s="354" t="s">
        <v>16710</v>
      </c>
    </row>
    <row r="199" spans="1:3">
      <c r="A199" s="398" t="s">
        <v>16360</v>
      </c>
      <c r="B199" s="354">
        <v>61</v>
      </c>
      <c r="C199" s="354" t="s">
        <v>16710</v>
      </c>
    </row>
    <row r="200" spans="1:3">
      <c r="A200" s="398" t="s">
        <v>16752</v>
      </c>
      <c r="B200" s="354">
        <v>62</v>
      </c>
      <c r="C200" s="354" t="s">
        <v>16708</v>
      </c>
    </row>
    <row r="201" spans="1:3">
      <c r="A201" s="398" t="s">
        <v>16380</v>
      </c>
      <c r="B201" s="354">
        <v>63</v>
      </c>
      <c r="C201" s="354" t="s">
        <v>16704</v>
      </c>
    </row>
    <row r="202" spans="1:3">
      <c r="A202" s="398" t="s">
        <v>16753</v>
      </c>
      <c r="B202" s="354">
        <v>64</v>
      </c>
      <c r="C202" s="354" t="s">
        <v>16706</v>
      </c>
    </row>
    <row r="203" spans="1:3">
      <c r="A203" s="398" t="s">
        <v>16412</v>
      </c>
      <c r="B203" s="354">
        <v>65</v>
      </c>
      <c r="C203" s="354" t="s">
        <v>16708</v>
      </c>
    </row>
    <row r="204" spans="1:3">
      <c r="A204" s="398" t="s">
        <v>16754</v>
      </c>
      <c r="B204" s="354">
        <v>66</v>
      </c>
      <c r="C204" s="354" t="s">
        <v>16711</v>
      </c>
    </row>
    <row r="205" spans="1:3">
      <c r="A205" s="398" t="s">
        <v>16755</v>
      </c>
      <c r="B205" s="354">
        <v>67</v>
      </c>
      <c r="C205" s="354" t="s">
        <v>16710</v>
      </c>
    </row>
    <row r="206" spans="1:3">
      <c r="A206" s="398" t="s">
        <v>16756</v>
      </c>
      <c r="B206" s="354">
        <v>68</v>
      </c>
      <c r="C206" s="354" t="s">
        <v>16711</v>
      </c>
    </row>
    <row r="207" spans="1:3">
      <c r="A207" s="398" t="s">
        <v>16757</v>
      </c>
      <c r="B207" s="354">
        <v>69</v>
      </c>
      <c r="C207" s="354" t="s">
        <v>16710</v>
      </c>
    </row>
    <row r="208" spans="1:3">
      <c r="A208" s="398" t="s">
        <v>16758</v>
      </c>
      <c r="B208" s="354">
        <v>70</v>
      </c>
      <c r="C208" s="354" t="s">
        <v>16711</v>
      </c>
    </row>
    <row r="209" spans="1:6">
      <c r="A209" s="398" t="s">
        <v>16759</v>
      </c>
      <c r="B209" s="354">
        <v>71</v>
      </c>
      <c r="C209" s="354" t="s">
        <v>16711</v>
      </c>
    </row>
    <row r="210" spans="1:6">
      <c r="A210" s="398" t="s">
        <v>16760</v>
      </c>
      <c r="B210" s="354">
        <v>72</v>
      </c>
      <c r="C210" s="354" t="s">
        <v>16704</v>
      </c>
    </row>
    <row r="211" spans="1:6">
      <c r="A211" s="398" t="s">
        <v>16761</v>
      </c>
      <c r="B211" s="354">
        <v>73</v>
      </c>
      <c r="C211" s="354" t="s">
        <v>16704</v>
      </c>
    </row>
    <row r="212" spans="1:6">
      <c r="A212" s="398" t="s">
        <v>16762</v>
      </c>
      <c r="B212" s="354">
        <v>74</v>
      </c>
      <c r="C212" s="354" t="s">
        <v>16710</v>
      </c>
    </row>
    <row r="213" spans="1:6">
      <c r="A213" s="398" t="s">
        <v>16763</v>
      </c>
      <c r="B213" s="354">
        <v>75</v>
      </c>
      <c r="C213" s="354" t="s">
        <v>16708</v>
      </c>
    </row>
    <row r="214" spans="1:6">
      <c r="A214" s="398" t="s">
        <v>16764</v>
      </c>
      <c r="B214" s="354">
        <v>76</v>
      </c>
      <c r="C214" s="354" t="s">
        <v>16708</v>
      </c>
    </row>
    <row r="215" spans="1:6">
      <c r="A215" s="398" t="s">
        <v>16765</v>
      </c>
      <c r="B215" s="354">
        <v>77</v>
      </c>
      <c r="C215" s="354" t="s">
        <v>16715</v>
      </c>
    </row>
    <row r="216" spans="1:6">
      <c r="A216" s="398" t="s">
        <v>16766</v>
      </c>
      <c r="B216" s="354">
        <v>78</v>
      </c>
      <c r="C216" s="354" t="s">
        <v>16710</v>
      </c>
    </row>
    <row r="217" spans="1:6">
      <c r="A217" s="398" t="s">
        <v>16767</v>
      </c>
      <c r="B217" s="354">
        <v>79</v>
      </c>
      <c r="C217" s="354" t="s">
        <v>16704</v>
      </c>
    </row>
    <row r="218" spans="1:6">
      <c r="A218" s="398" t="s">
        <v>16768</v>
      </c>
      <c r="B218" s="354">
        <v>80</v>
      </c>
      <c r="C218" s="354" t="s">
        <v>16702</v>
      </c>
    </row>
    <row r="219" spans="1:6">
      <c r="A219" s="398" t="s">
        <v>16769</v>
      </c>
      <c r="B219" s="354">
        <v>81</v>
      </c>
      <c r="C219" s="354" t="s">
        <v>16710</v>
      </c>
    </row>
    <row r="222" spans="1:6" ht="15">
      <c r="A222" s="117" t="s">
        <v>16770</v>
      </c>
      <c r="B222" s="58"/>
      <c r="C222" s="58"/>
      <c r="D222" s="117"/>
      <c r="E222" s="58"/>
      <c r="F222" s="58"/>
    </row>
    <row r="223" spans="1:6">
      <c r="A223" s="50" t="s">
        <v>127</v>
      </c>
      <c r="B223" s="50" t="s">
        <v>16771</v>
      </c>
      <c r="C223" s="50" t="s">
        <v>16772</v>
      </c>
      <c r="D223" s="50" t="s">
        <v>16546</v>
      </c>
      <c r="E223" s="50" t="s">
        <v>16773</v>
      </c>
    </row>
    <row r="224" spans="1:6">
      <c r="A224" s="398" t="s">
        <v>269</v>
      </c>
      <c r="B224" s="354" t="s">
        <v>16774</v>
      </c>
      <c r="C224" s="354" t="s">
        <v>16775</v>
      </c>
      <c r="D224" s="398">
        <v>1</v>
      </c>
      <c r="E224" s="354" t="s">
        <v>94</v>
      </c>
    </row>
    <row r="225" spans="1:6">
      <c r="A225" s="398" t="s">
        <v>631</v>
      </c>
      <c r="B225" s="354" t="s">
        <v>16776</v>
      </c>
      <c r="C225" s="354" t="s">
        <v>16777</v>
      </c>
      <c r="D225" s="398">
        <v>2</v>
      </c>
      <c r="E225" s="354" t="s">
        <v>95</v>
      </c>
    </row>
    <row r="226" spans="1:6">
      <c r="A226" s="398" t="s">
        <v>625</v>
      </c>
      <c r="B226" s="354" t="s">
        <v>637</v>
      </c>
      <c r="C226" s="354" t="s">
        <v>637</v>
      </c>
      <c r="D226" s="398">
        <v>3</v>
      </c>
      <c r="E226" s="354" t="s">
        <v>95</v>
      </c>
    </row>
    <row r="227" spans="1:6">
      <c r="A227" s="398" t="s">
        <v>628</v>
      </c>
      <c r="B227" s="354" t="s">
        <v>16778</v>
      </c>
      <c r="C227" s="354" t="s">
        <v>16779</v>
      </c>
      <c r="D227" s="398">
        <v>4</v>
      </c>
      <c r="E227" s="354" t="s">
        <v>95</v>
      </c>
    </row>
    <row r="228" spans="1:6">
      <c r="A228" s="398" t="s">
        <v>621</v>
      </c>
      <c r="B228" s="354" t="s">
        <v>16780</v>
      </c>
      <c r="C228" s="354" t="s">
        <v>16781</v>
      </c>
      <c r="D228" s="398">
        <v>5</v>
      </c>
      <c r="E228" s="354" t="s">
        <v>95</v>
      </c>
    </row>
    <row r="231" spans="1:6" ht="30">
      <c r="A231" s="117" t="s">
        <v>16782</v>
      </c>
      <c r="B231" s="58"/>
      <c r="C231" s="58"/>
      <c r="D231" s="117"/>
      <c r="E231" s="58"/>
      <c r="F231" s="58"/>
    </row>
    <row r="232" spans="1:6">
      <c r="A232" s="50" t="s">
        <v>16783</v>
      </c>
      <c r="B232" s="50" t="s">
        <v>16546</v>
      </c>
      <c r="C232" s="50" t="s">
        <v>16784</v>
      </c>
      <c r="D232" s="50" t="s">
        <v>16785</v>
      </c>
    </row>
    <row r="233" spans="1:6">
      <c r="A233" s="398" t="s">
        <v>16404</v>
      </c>
      <c r="B233" s="354">
        <v>1</v>
      </c>
      <c r="C233" s="354">
        <v>0</v>
      </c>
      <c r="D233" s="398">
        <v>24</v>
      </c>
    </row>
    <row r="234" spans="1:6">
      <c r="A234" s="398" t="s">
        <v>16374</v>
      </c>
      <c r="B234" s="354">
        <v>2</v>
      </c>
      <c r="C234" s="354">
        <v>25</v>
      </c>
      <c r="D234" s="398">
        <v>34</v>
      </c>
    </row>
    <row r="235" spans="1:6">
      <c r="A235" s="398" t="s">
        <v>16366</v>
      </c>
      <c r="B235" s="354">
        <v>3</v>
      </c>
      <c r="C235" s="354">
        <v>35</v>
      </c>
      <c r="D235" s="398">
        <v>44</v>
      </c>
    </row>
    <row r="236" spans="1:6">
      <c r="A236" s="398" t="s">
        <v>16402</v>
      </c>
      <c r="B236" s="354">
        <v>4</v>
      </c>
      <c r="C236" s="354">
        <v>45</v>
      </c>
      <c r="D236" s="398">
        <v>54</v>
      </c>
    </row>
    <row r="237" spans="1:6">
      <c r="A237" s="398" t="s">
        <v>16396</v>
      </c>
      <c r="B237" s="354">
        <v>5</v>
      </c>
      <c r="C237" s="354">
        <v>55</v>
      </c>
      <c r="D237" s="398">
        <v>64</v>
      </c>
    </row>
    <row r="238" spans="1:6">
      <c r="A238" s="398" t="s">
        <v>16361</v>
      </c>
      <c r="B238" s="354">
        <v>6</v>
      </c>
      <c r="C238" s="354">
        <v>65</v>
      </c>
      <c r="D238" s="398">
        <v>120</v>
      </c>
    </row>
    <row r="241" spans="1:6" ht="15">
      <c r="A241" s="117" t="s">
        <v>16786</v>
      </c>
      <c r="B241" s="58"/>
      <c r="C241" s="58"/>
      <c r="D241" s="117"/>
      <c r="E241" s="58"/>
      <c r="F241" s="58"/>
    </row>
    <row r="242" spans="1:6">
      <c r="A242" s="50" t="s">
        <v>16787</v>
      </c>
      <c r="B242" s="50" t="s">
        <v>16546</v>
      </c>
      <c r="C242" s="50" t="s">
        <v>16788</v>
      </c>
      <c r="D242" s="50" t="s">
        <v>16789</v>
      </c>
    </row>
    <row r="243" spans="1:6">
      <c r="A243" s="398" t="s">
        <v>16790</v>
      </c>
      <c r="B243" s="354">
        <v>1</v>
      </c>
      <c r="C243" s="354">
        <v>0</v>
      </c>
      <c r="D243" s="398">
        <v>7</v>
      </c>
    </row>
    <row r="244" spans="1:6">
      <c r="A244" s="398" t="s">
        <v>16791</v>
      </c>
      <c r="B244" s="354">
        <v>2</v>
      </c>
      <c r="C244" s="354">
        <v>8</v>
      </c>
      <c r="D244" s="398">
        <v>14</v>
      </c>
    </row>
    <row r="245" spans="1:6">
      <c r="A245" s="398" t="s">
        <v>16792</v>
      </c>
      <c r="B245" s="354">
        <v>3</v>
      </c>
      <c r="C245" s="354">
        <v>15</v>
      </c>
      <c r="D245" s="398">
        <v>30</v>
      </c>
    </row>
    <row r="246" spans="1:6">
      <c r="A246" s="398" t="s">
        <v>16793</v>
      </c>
      <c r="B246" s="354">
        <v>4</v>
      </c>
      <c r="C246" s="354">
        <v>31</v>
      </c>
      <c r="D246" s="398">
        <v>60</v>
      </c>
    </row>
    <row r="247" spans="1:6">
      <c r="A247" s="398" t="s">
        <v>16794</v>
      </c>
      <c r="B247" s="354">
        <v>5</v>
      </c>
      <c r="C247" s="354">
        <v>61</v>
      </c>
      <c r="D247" s="398">
        <v>90</v>
      </c>
    </row>
    <row r="248" spans="1:6">
      <c r="A248" s="398" t="s">
        <v>16795</v>
      </c>
      <c r="B248" s="354">
        <v>6</v>
      </c>
      <c r="C248" s="354">
        <v>91</v>
      </c>
      <c r="D248" s="398">
        <v>180</v>
      </c>
    </row>
    <row r="249" spans="1:6">
      <c r="A249" s="398" t="s">
        <v>16796</v>
      </c>
      <c r="B249" s="354">
        <v>7</v>
      </c>
      <c r="C249" s="354">
        <v>181</v>
      </c>
      <c r="D249" s="398">
        <v>365</v>
      </c>
    </row>
    <row r="250" spans="1:6">
      <c r="A250" s="398" t="s">
        <v>16797</v>
      </c>
      <c r="B250" s="354">
        <v>8</v>
      </c>
      <c r="C250" s="354">
        <v>366</v>
      </c>
      <c r="D250" s="398">
        <v>99999</v>
      </c>
    </row>
    <row r="251" spans="1:6">
      <c r="A251" s="398" t="s">
        <v>16798</v>
      </c>
      <c r="B251" s="354">
        <v>9</v>
      </c>
      <c r="C251" s="354">
        <v>-99999</v>
      </c>
      <c r="D251" s="398">
        <v>-1</v>
      </c>
    </row>
    <row r="254" spans="1:6" ht="15">
      <c r="A254" s="117" t="s">
        <v>16799</v>
      </c>
      <c r="B254" s="58"/>
      <c r="C254" s="58"/>
      <c r="D254" s="117"/>
      <c r="E254" s="58"/>
      <c r="F254" s="58"/>
    </row>
    <row r="255" spans="1:6">
      <c r="A255" s="50" t="s">
        <v>16800</v>
      </c>
      <c r="B255" s="50" t="s">
        <v>16546</v>
      </c>
      <c r="C255" s="50" t="s">
        <v>16801</v>
      </c>
      <c r="D255" s="50" t="s">
        <v>16802</v>
      </c>
    </row>
    <row r="256" spans="1:6">
      <c r="A256" s="398" t="s">
        <v>16803</v>
      </c>
      <c r="B256" s="354">
        <v>1</v>
      </c>
      <c r="C256" s="354">
        <v>0</v>
      </c>
      <c r="D256" s="398">
        <v>999.99990000000003</v>
      </c>
    </row>
    <row r="257" spans="1:6">
      <c r="A257" s="398" t="s">
        <v>16804</v>
      </c>
      <c r="B257" s="354">
        <v>2</v>
      </c>
      <c r="C257" s="354">
        <v>1000</v>
      </c>
      <c r="D257" s="398">
        <v>4999.9998999999998</v>
      </c>
    </row>
    <row r="258" spans="1:6">
      <c r="A258" s="398" t="s">
        <v>16805</v>
      </c>
      <c r="B258" s="354">
        <v>3</v>
      </c>
      <c r="C258" s="354">
        <v>5000</v>
      </c>
      <c r="D258" s="398">
        <v>9999.9999000000007</v>
      </c>
    </row>
    <row r="259" spans="1:6">
      <c r="A259" s="398" t="s">
        <v>16806</v>
      </c>
      <c r="B259" s="354">
        <v>4</v>
      </c>
      <c r="C259" s="354">
        <v>10000</v>
      </c>
      <c r="D259" s="398">
        <v>49999.999900000003</v>
      </c>
    </row>
    <row r="260" spans="1:6">
      <c r="A260" s="398" t="s">
        <v>16807</v>
      </c>
      <c r="B260" s="354">
        <v>5</v>
      </c>
      <c r="C260" s="354">
        <v>50000</v>
      </c>
      <c r="D260" s="398">
        <v>99999.999899999995</v>
      </c>
    </row>
    <row r="261" spans="1:6">
      <c r="A261" s="398" t="s">
        <v>16808</v>
      </c>
      <c r="B261" s="354">
        <v>6</v>
      </c>
      <c r="C261" s="354">
        <v>100000</v>
      </c>
      <c r="D261" s="398">
        <v>499999.9999</v>
      </c>
    </row>
    <row r="262" spans="1:6">
      <c r="A262" s="398" t="s">
        <v>16809</v>
      </c>
      <c r="B262" s="354">
        <v>7</v>
      </c>
      <c r="C262" s="354">
        <v>500000</v>
      </c>
      <c r="D262" s="398">
        <v>999999.99990000005</v>
      </c>
    </row>
    <row r="263" spans="1:6">
      <c r="A263" s="398" t="s">
        <v>16810</v>
      </c>
      <c r="B263" s="354">
        <v>8</v>
      </c>
      <c r="C263" s="354">
        <v>1000000</v>
      </c>
      <c r="D263" s="398">
        <v>4999999.9999000002</v>
      </c>
    </row>
    <row r="264" spans="1:6">
      <c r="A264" s="398" t="s">
        <v>16811</v>
      </c>
      <c r="B264" s="354">
        <v>9</v>
      </c>
      <c r="C264" s="354">
        <v>5000000</v>
      </c>
      <c r="D264" s="398">
        <v>1000000000000</v>
      </c>
    </row>
    <row r="265" spans="1:6">
      <c r="A265" s="398" t="s">
        <v>16812</v>
      </c>
      <c r="B265" s="354">
        <v>0</v>
      </c>
      <c r="C265" s="354">
        <v>-1000000000000</v>
      </c>
      <c r="D265" s="398">
        <v>-1E-4</v>
      </c>
    </row>
    <row r="268" spans="1:6" ht="15">
      <c r="A268" s="117" t="s">
        <v>16813</v>
      </c>
      <c r="B268" s="58"/>
      <c r="C268" s="58"/>
      <c r="D268" s="117"/>
      <c r="E268" s="58"/>
      <c r="F268" s="58"/>
    </row>
    <row r="269" spans="1:6">
      <c r="A269" s="50" t="s">
        <v>16814</v>
      </c>
      <c r="B269" s="50" t="s">
        <v>16815</v>
      </c>
      <c r="C269" s="50" t="s">
        <v>16546</v>
      </c>
    </row>
    <row r="270" spans="1:6">
      <c r="A270" s="398">
        <v>0</v>
      </c>
      <c r="B270" s="354" t="s">
        <v>16816</v>
      </c>
      <c r="C270" s="354">
        <v>0</v>
      </c>
    </row>
    <row r="271" spans="1:6">
      <c r="A271" s="398">
        <v>1</v>
      </c>
      <c r="B271" s="354" t="s">
        <v>16817</v>
      </c>
      <c r="C271" s="354">
        <v>1</v>
      </c>
    </row>
    <row r="272" spans="1:6">
      <c r="A272" s="398">
        <v>2</v>
      </c>
      <c r="B272" s="354" t="s">
        <v>16818</v>
      </c>
      <c r="C272" s="354">
        <v>2</v>
      </c>
    </row>
    <row r="273" spans="1:3">
      <c r="A273" s="398">
        <v>3</v>
      </c>
      <c r="B273" s="354" t="s">
        <v>16819</v>
      </c>
      <c r="C273" s="354">
        <v>3</v>
      </c>
    </row>
    <row r="274" spans="1:3">
      <c r="A274" s="398">
        <v>4</v>
      </c>
      <c r="B274" s="354" t="s">
        <v>16820</v>
      </c>
      <c r="C274" s="354">
        <v>4</v>
      </c>
    </row>
    <row r="275" spans="1:3">
      <c r="A275" s="398">
        <v>5</v>
      </c>
      <c r="B275" s="354" t="s">
        <v>16821</v>
      </c>
      <c r="C275" s="354">
        <v>5</v>
      </c>
    </row>
    <row r="276" spans="1:3">
      <c r="A276" s="398">
        <v>6</v>
      </c>
      <c r="B276" s="354" t="s">
        <v>16822</v>
      </c>
      <c r="C276" s="354">
        <v>6</v>
      </c>
    </row>
    <row r="277" spans="1:3">
      <c r="A277" s="398">
        <v>7</v>
      </c>
      <c r="B277" s="354" t="s">
        <v>16823</v>
      </c>
      <c r="C277" s="354">
        <v>7</v>
      </c>
    </row>
    <row r="278" spans="1:3">
      <c r="A278" s="398">
        <v>8</v>
      </c>
      <c r="B278" s="354" t="s">
        <v>16824</v>
      </c>
      <c r="C278" s="354">
        <v>8</v>
      </c>
    </row>
    <row r="279" spans="1:3">
      <c r="A279" s="398">
        <v>9</v>
      </c>
      <c r="B279" s="354" t="s">
        <v>16825</v>
      </c>
      <c r="C279" s="354">
        <v>9</v>
      </c>
    </row>
    <row r="280" spans="1:3">
      <c r="A280" s="398">
        <v>10</v>
      </c>
      <c r="B280" s="354" t="s">
        <v>16826</v>
      </c>
      <c r="C280" s="354">
        <v>10</v>
      </c>
    </row>
    <row r="281" spans="1:3">
      <c r="A281" s="398">
        <v>11</v>
      </c>
      <c r="B281" s="354" t="s">
        <v>16827</v>
      </c>
      <c r="C281" s="354">
        <v>11</v>
      </c>
    </row>
    <row r="282" spans="1:3">
      <c r="A282" s="398">
        <v>12</v>
      </c>
      <c r="B282" s="354" t="s">
        <v>16828</v>
      </c>
      <c r="C282" s="354">
        <v>12</v>
      </c>
    </row>
    <row r="283" spans="1:3">
      <c r="A283" s="398">
        <v>13</v>
      </c>
      <c r="B283" s="354" t="s">
        <v>16829</v>
      </c>
      <c r="C283" s="354">
        <v>13</v>
      </c>
    </row>
    <row r="284" spans="1:3">
      <c r="A284" s="398">
        <v>14</v>
      </c>
      <c r="B284" s="354" t="s">
        <v>16830</v>
      </c>
      <c r="C284" s="354">
        <v>14</v>
      </c>
    </row>
    <row r="285" spans="1:3">
      <c r="A285" s="398">
        <v>15</v>
      </c>
      <c r="B285" s="354" t="s">
        <v>16831</v>
      </c>
      <c r="C285" s="354">
        <v>15</v>
      </c>
    </row>
    <row r="286" spans="1:3">
      <c r="A286" s="398">
        <v>16</v>
      </c>
      <c r="B286" s="354" t="s">
        <v>16832</v>
      </c>
      <c r="C286" s="354">
        <v>16</v>
      </c>
    </row>
    <row r="287" spans="1:3">
      <c r="A287" s="398">
        <v>17</v>
      </c>
      <c r="B287" s="354" t="s">
        <v>16833</v>
      </c>
      <c r="C287" s="354">
        <v>17</v>
      </c>
    </row>
    <row r="288" spans="1:3">
      <c r="A288" s="398">
        <v>18</v>
      </c>
      <c r="B288" s="354" t="s">
        <v>16834</v>
      </c>
      <c r="C288" s="354">
        <v>18</v>
      </c>
    </row>
    <row r="289" spans="1:3">
      <c r="A289" s="398">
        <v>19</v>
      </c>
      <c r="B289" s="354" t="s">
        <v>16835</v>
      </c>
      <c r="C289" s="354">
        <v>19</v>
      </c>
    </row>
    <row r="290" spans="1:3">
      <c r="A290" s="398">
        <v>20</v>
      </c>
      <c r="B290" s="354" t="s">
        <v>16836</v>
      </c>
      <c r="C290" s="354">
        <v>20</v>
      </c>
    </row>
    <row r="291" spans="1:3">
      <c r="A291" s="398">
        <v>21</v>
      </c>
      <c r="B291" s="354" t="s">
        <v>16837</v>
      </c>
      <c r="C291" s="354">
        <v>21</v>
      </c>
    </row>
    <row r="292" spans="1:3">
      <c r="A292" s="398">
        <v>22</v>
      </c>
      <c r="B292" s="354" t="s">
        <v>16838</v>
      </c>
      <c r="C292" s="354">
        <v>22</v>
      </c>
    </row>
    <row r="293" spans="1:3">
      <c r="A293" s="398">
        <v>23</v>
      </c>
      <c r="B293" s="354" t="s">
        <v>16839</v>
      </c>
      <c r="C293" s="354">
        <v>23</v>
      </c>
    </row>
    <row r="294" spans="1:3">
      <c r="A294" s="398">
        <v>24</v>
      </c>
      <c r="B294" s="354" t="s">
        <v>16840</v>
      </c>
      <c r="C294" s="354">
        <v>24</v>
      </c>
    </row>
    <row r="295" spans="1:3">
      <c r="A295" s="398">
        <v>25</v>
      </c>
      <c r="B295" s="354" t="s">
        <v>16841</v>
      </c>
      <c r="C295" s="354">
        <v>25</v>
      </c>
    </row>
    <row r="296" spans="1:3">
      <c r="A296" s="398">
        <v>26</v>
      </c>
      <c r="B296" s="354" t="s">
        <v>16842</v>
      </c>
      <c r="C296" s="354">
        <v>26</v>
      </c>
    </row>
    <row r="297" spans="1:3">
      <c r="A297" s="398">
        <v>27</v>
      </c>
      <c r="B297" s="354" t="s">
        <v>16843</v>
      </c>
      <c r="C297" s="354">
        <v>27</v>
      </c>
    </row>
    <row r="298" spans="1:3">
      <c r="A298" s="398">
        <v>28</v>
      </c>
      <c r="B298" s="354" t="s">
        <v>16844</v>
      </c>
      <c r="C298" s="354">
        <v>28</v>
      </c>
    </row>
    <row r="299" spans="1:3">
      <c r="A299" s="398">
        <v>29</v>
      </c>
      <c r="B299" s="354" t="s">
        <v>16845</v>
      </c>
      <c r="C299" s="354">
        <v>29</v>
      </c>
    </row>
    <row r="300" spans="1:3">
      <c r="A300" s="398">
        <v>30</v>
      </c>
      <c r="B300" s="354" t="s">
        <v>16846</v>
      </c>
      <c r="C300" s="354">
        <v>30</v>
      </c>
    </row>
    <row r="301" spans="1:3">
      <c r="A301" s="398">
        <v>31</v>
      </c>
      <c r="B301" s="354" t="s">
        <v>16847</v>
      </c>
      <c r="C301" s="354">
        <v>31</v>
      </c>
    </row>
    <row r="302" spans="1:3">
      <c r="A302" s="398">
        <v>32</v>
      </c>
      <c r="B302" s="354" t="s">
        <v>16848</v>
      </c>
      <c r="C302" s="354">
        <v>32</v>
      </c>
    </row>
    <row r="303" spans="1:3">
      <c r="A303" s="398">
        <v>33</v>
      </c>
      <c r="B303" s="354" t="s">
        <v>16849</v>
      </c>
      <c r="C303" s="354">
        <v>33</v>
      </c>
    </row>
    <row r="304" spans="1:3">
      <c r="A304" s="398">
        <v>34</v>
      </c>
      <c r="B304" s="354" t="s">
        <v>16850</v>
      </c>
      <c r="C304" s="354">
        <v>34</v>
      </c>
    </row>
    <row r="305" spans="1:3">
      <c r="A305" s="398">
        <v>35</v>
      </c>
      <c r="B305" s="354" t="s">
        <v>16851</v>
      </c>
      <c r="C305" s="354">
        <v>35</v>
      </c>
    </row>
    <row r="306" spans="1:3">
      <c r="A306" s="398">
        <v>36</v>
      </c>
      <c r="B306" s="354" t="s">
        <v>16852</v>
      </c>
      <c r="C306" s="354">
        <v>36</v>
      </c>
    </row>
    <row r="307" spans="1:3">
      <c r="A307" s="398">
        <v>37</v>
      </c>
      <c r="B307" s="354" t="s">
        <v>16853</v>
      </c>
      <c r="C307" s="354">
        <v>37</v>
      </c>
    </row>
    <row r="308" spans="1:3">
      <c r="A308" s="398">
        <v>38</v>
      </c>
      <c r="B308" s="354" t="s">
        <v>16854</v>
      </c>
      <c r="C308" s="354">
        <v>38</v>
      </c>
    </row>
    <row r="309" spans="1:3">
      <c r="A309" s="398">
        <v>39</v>
      </c>
      <c r="B309" s="354" t="s">
        <v>16855</v>
      </c>
      <c r="C309" s="354">
        <v>39</v>
      </c>
    </row>
    <row r="310" spans="1:3">
      <c r="A310" s="398">
        <v>40</v>
      </c>
      <c r="B310" s="354" t="s">
        <v>16856</v>
      </c>
      <c r="C310" s="354">
        <v>40</v>
      </c>
    </row>
    <row r="311" spans="1:3">
      <c r="A311" s="398">
        <v>41</v>
      </c>
      <c r="B311" s="354" t="s">
        <v>16857</v>
      </c>
      <c r="C311" s="354">
        <v>41</v>
      </c>
    </row>
    <row r="312" spans="1:3">
      <c r="A312" s="398">
        <v>42</v>
      </c>
      <c r="B312" s="354" t="s">
        <v>16858</v>
      </c>
      <c r="C312" s="354">
        <v>42</v>
      </c>
    </row>
    <row r="313" spans="1:3">
      <c r="A313" s="398">
        <v>43</v>
      </c>
      <c r="B313" s="354" t="s">
        <v>16859</v>
      </c>
      <c r="C313" s="354">
        <v>43</v>
      </c>
    </row>
    <row r="314" spans="1:3">
      <c r="A314" s="398">
        <v>44</v>
      </c>
      <c r="B314" s="354" t="s">
        <v>16860</v>
      </c>
      <c r="C314" s="354">
        <v>44</v>
      </c>
    </row>
    <row r="315" spans="1:3">
      <c r="A315" s="398">
        <v>45</v>
      </c>
      <c r="B315" s="354" t="s">
        <v>16861</v>
      </c>
      <c r="C315" s="354">
        <v>45</v>
      </c>
    </row>
    <row r="316" spans="1:3">
      <c r="A316" s="398">
        <v>46</v>
      </c>
      <c r="B316" s="354" t="s">
        <v>16862</v>
      </c>
      <c r="C316" s="354">
        <v>46</v>
      </c>
    </row>
    <row r="317" spans="1:3">
      <c r="A317" s="398">
        <v>47</v>
      </c>
      <c r="B317" s="354" t="s">
        <v>16863</v>
      </c>
      <c r="C317" s="354">
        <v>47</v>
      </c>
    </row>
    <row r="318" spans="1:3">
      <c r="A318" s="398">
        <v>48</v>
      </c>
      <c r="B318" s="354" t="s">
        <v>16864</v>
      </c>
      <c r="C318" s="354">
        <v>48</v>
      </c>
    </row>
    <row r="319" spans="1:3">
      <c r="A319" s="398">
        <v>49</v>
      </c>
      <c r="B319" s="354" t="s">
        <v>16865</v>
      </c>
      <c r="C319" s="354">
        <v>49</v>
      </c>
    </row>
    <row r="320" spans="1:3">
      <c r="A320" s="398">
        <v>50</v>
      </c>
      <c r="B320" s="354" t="s">
        <v>16866</v>
      </c>
      <c r="C320" s="354">
        <v>50</v>
      </c>
    </row>
    <row r="321" spans="1:6">
      <c r="A321" s="398">
        <v>51</v>
      </c>
      <c r="B321" s="354" t="s">
        <v>16867</v>
      </c>
      <c r="C321" s="354">
        <v>51</v>
      </c>
    </row>
    <row r="322" spans="1:6">
      <c r="A322" s="398">
        <v>52</v>
      </c>
      <c r="B322" s="354" t="s">
        <v>16868</v>
      </c>
      <c r="C322" s="354">
        <v>52</v>
      </c>
    </row>
    <row r="323" spans="1:6">
      <c r="A323" s="398">
        <v>53</v>
      </c>
      <c r="B323" s="354" t="s">
        <v>16869</v>
      </c>
      <c r="C323" s="354">
        <v>53</v>
      </c>
    </row>
    <row r="324" spans="1:6">
      <c r="A324" s="398">
        <v>54</v>
      </c>
      <c r="B324" s="354" t="s">
        <v>16870</v>
      </c>
      <c r="C324" s="354">
        <v>54</v>
      </c>
    </row>
    <row r="325" spans="1:6">
      <c r="A325" s="398">
        <v>55</v>
      </c>
      <c r="B325" s="354" t="s">
        <v>16871</v>
      </c>
      <c r="C325" s="354">
        <v>55</v>
      </c>
    </row>
    <row r="326" spans="1:6">
      <c r="A326" s="398">
        <v>56</v>
      </c>
      <c r="B326" s="354" t="s">
        <v>16872</v>
      </c>
      <c r="C326" s="354">
        <v>56</v>
      </c>
    </row>
    <row r="327" spans="1:6">
      <c r="A327" s="398">
        <v>57</v>
      </c>
      <c r="B327" s="354" t="s">
        <v>16873</v>
      </c>
      <c r="C327" s="354">
        <v>57</v>
      </c>
    </row>
    <row r="328" spans="1:6">
      <c r="A328" s="398">
        <v>58</v>
      </c>
      <c r="B328" s="354" t="s">
        <v>16874</v>
      </c>
      <c r="C328" s="354">
        <v>58</v>
      </c>
    </row>
    <row r="329" spans="1:6">
      <c r="A329" s="398">
        <v>59</v>
      </c>
      <c r="B329" s="354" t="s">
        <v>16875</v>
      </c>
      <c r="C329" s="354">
        <v>59</v>
      </c>
    </row>
    <row r="330" spans="1:6">
      <c r="A330" s="398">
        <v>60</v>
      </c>
      <c r="B330" s="354" t="s">
        <v>16876</v>
      </c>
      <c r="C330" s="354">
        <v>60</v>
      </c>
    </row>
    <row r="333" spans="1:6" ht="15">
      <c r="A333" s="117" t="s">
        <v>16877</v>
      </c>
      <c r="B333" s="58"/>
      <c r="C333" s="58"/>
      <c r="D333" s="117"/>
      <c r="E333" s="58"/>
      <c r="F333" s="58"/>
    </row>
    <row r="334" spans="1:6">
      <c r="A334" s="50" t="s">
        <v>16878</v>
      </c>
      <c r="B334" s="50" t="s">
        <v>16546</v>
      </c>
      <c r="C334" s="50" t="s">
        <v>16879</v>
      </c>
      <c r="D334" s="50" t="s">
        <v>16880</v>
      </c>
    </row>
    <row r="335" spans="1:6">
      <c r="A335" s="398" t="s">
        <v>16881</v>
      </c>
      <c r="B335" s="354">
        <v>1</v>
      </c>
      <c r="C335" s="354">
        <v>0</v>
      </c>
      <c r="D335" s="398">
        <v>3</v>
      </c>
    </row>
    <row r="336" spans="1:6">
      <c r="A336" s="398" t="s">
        <v>16882</v>
      </c>
      <c r="B336" s="354">
        <v>2</v>
      </c>
      <c r="C336" s="354">
        <v>4</v>
      </c>
      <c r="D336" s="398">
        <v>6</v>
      </c>
    </row>
    <row r="337" spans="1:6">
      <c r="A337" s="398" t="s">
        <v>16883</v>
      </c>
      <c r="B337" s="354">
        <v>3</v>
      </c>
      <c r="C337" s="354">
        <v>7</v>
      </c>
      <c r="D337" s="398">
        <v>12</v>
      </c>
    </row>
    <row r="338" spans="1:6">
      <c r="A338" s="398" t="s">
        <v>16884</v>
      </c>
      <c r="B338" s="354">
        <v>4</v>
      </c>
      <c r="C338" s="354">
        <v>13</v>
      </c>
      <c r="D338" s="398">
        <v>24</v>
      </c>
    </row>
    <row r="339" spans="1:6">
      <c r="A339" s="398" t="s">
        <v>16885</v>
      </c>
      <c r="B339" s="354">
        <v>5</v>
      </c>
      <c r="C339" s="354">
        <v>25</v>
      </c>
      <c r="D339" s="398">
        <v>60</v>
      </c>
    </row>
    <row r="340" spans="1:6">
      <c r="A340" s="398" t="s">
        <v>16886</v>
      </c>
      <c r="B340" s="354">
        <v>6</v>
      </c>
      <c r="C340" s="354">
        <v>61</v>
      </c>
      <c r="D340" s="398">
        <v>9999</v>
      </c>
    </row>
    <row r="341" spans="1:6">
      <c r="A341" s="398" t="s">
        <v>16887</v>
      </c>
      <c r="B341" s="354">
        <v>0</v>
      </c>
      <c r="C341" s="354">
        <v>-9999</v>
      </c>
      <c r="D341" s="398">
        <v>-1</v>
      </c>
    </row>
    <row r="344" spans="1:6" ht="30">
      <c r="A344" s="117" t="s">
        <v>16888</v>
      </c>
      <c r="B344" s="58"/>
      <c r="C344" s="58"/>
      <c r="D344" s="117"/>
      <c r="E344" s="58"/>
      <c r="F344" s="58"/>
    </row>
    <row r="345" spans="1:6">
      <c r="A345" s="50" t="s">
        <v>16889</v>
      </c>
      <c r="B345" s="50" t="s">
        <v>93</v>
      </c>
      <c r="C345" s="50" t="s">
        <v>16890</v>
      </c>
      <c r="D345" s="50" t="s">
        <v>239</v>
      </c>
      <c r="E345" s="50" t="s">
        <v>4004</v>
      </c>
    </row>
    <row r="346" spans="1:6" ht="25.5">
      <c r="A346" s="398" t="s">
        <v>16891</v>
      </c>
      <c r="B346" s="354">
        <v>10</v>
      </c>
      <c r="C346" s="354" t="s">
        <v>16892</v>
      </c>
      <c r="D346" s="398" t="s">
        <v>16893</v>
      </c>
      <c r="E346" s="354" t="s">
        <v>16894</v>
      </c>
    </row>
    <row r="347" spans="1:6" ht="25.5">
      <c r="A347" s="398" t="s">
        <v>16895</v>
      </c>
      <c r="B347" s="354">
        <v>24</v>
      </c>
      <c r="C347" s="354" t="s">
        <v>16896</v>
      </c>
      <c r="D347" s="398" t="s">
        <v>16897</v>
      </c>
      <c r="E347" s="354" t="s">
        <v>16898</v>
      </c>
    </row>
    <row r="348" spans="1:6" ht="25.5">
      <c r="A348" s="398" t="s">
        <v>16901</v>
      </c>
      <c r="B348" s="354">
        <v>30</v>
      </c>
      <c r="C348" s="354" t="s">
        <v>16902</v>
      </c>
      <c r="D348" s="398" t="s">
        <v>16903</v>
      </c>
      <c r="E348" s="354" t="s">
        <v>16894</v>
      </c>
    </row>
    <row r="349" spans="1:6" ht="25.5">
      <c r="A349" s="398" t="s">
        <v>16904</v>
      </c>
      <c r="B349" s="354">
        <v>12</v>
      </c>
      <c r="C349" s="354" t="s">
        <v>16896</v>
      </c>
      <c r="D349" s="398" t="s">
        <v>16905</v>
      </c>
      <c r="E349" s="354" t="s">
        <v>16894</v>
      </c>
    </row>
    <row r="350" spans="1:6">
      <c r="A350" s="398" t="s">
        <v>16906</v>
      </c>
      <c r="B350" s="354">
        <v>24</v>
      </c>
      <c r="C350" s="354" t="s">
        <v>16896</v>
      </c>
      <c r="D350" s="398" t="s">
        <v>16907</v>
      </c>
      <c r="E350" s="354" t="s">
        <v>16894</v>
      </c>
    </row>
    <row r="351" spans="1:6">
      <c r="A351" s="398" t="s">
        <v>16908</v>
      </c>
      <c r="B351" s="354">
        <v>3</v>
      </c>
      <c r="C351" s="354" t="s">
        <v>16896</v>
      </c>
      <c r="D351" s="398" t="s">
        <v>16909</v>
      </c>
      <c r="E351" s="354" t="s">
        <v>16894</v>
      </c>
    </row>
    <row r="352" spans="1:6">
      <c r="A352" s="398" t="s">
        <v>16910</v>
      </c>
      <c r="B352" s="354">
        <v>12</v>
      </c>
      <c r="C352" s="354" t="s">
        <v>16896</v>
      </c>
      <c r="D352" s="398" t="s">
        <v>16911</v>
      </c>
      <c r="E352" s="354" t="s">
        <v>16894</v>
      </c>
    </row>
    <row r="353" spans="1:5" ht="25.5">
      <c r="A353" s="398" t="s">
        <v>16912</v>
      </c>
      <c r="B353" s="354">
        <v>0.67449999999999999</v>
      </c>
      <c r="C353" s="354" t="s">
        <v>16913</v>
      </c>
      <c r="D353" s="398" t="s">
        <v>16914</v>
      </c>
      <c r="E353" s="354" t="s">
        <v>16894</v>
      </c>
    </row>
    <row r="354" spans="1:5" ht="25.5">
      <c r="A354" s="398" t="s">
        <v>16915</v>
      </c>
      <c r="B354" s="354">
        <v>5000000</v>
      </c>
      <c r="C354" s="354" t="s">
        <v>269</v>
      </c>
      <c r="D354" s="398" t="s">
        <v>16916</v>
      </c>
      <c r="E354" s="354" t="s">
        <v>16898</v>
      </c>
    </row>
    <row r="355" spans="1:5" ht="25.5">
      <c r="A355" s="398" t="s">
        <v>18302</v>
      </c>
      <c r="B355" s="354">
        <v>100</v>
      </c>
      <c r="C355" s="354" t="s">
        <v>16902</v>
      </c>
      <c r="D355" s="398" t="s">
        <v>18301</v>
      </c>
      <c r="E355" s="354" t="s">
        <v>16894</v>
      </c>
    </row>
    <row r="356" spans="1:5" ht="38.25">
      <c r="A356" s="398" t="s">
        <v>18561</v>
      </c>
      <c r="B356" s="354">
        <v>10</v>
      </c>
      <c r="C356" s="354" t="s">
        <v>16899</v>
      </c>
      <c r="D356" s="398" t="s">
        <v>18560</v>
      </c>
      <c r="E356" s="354" t="s">
        <v>16900</v>
      </c>
    </row>
    <row r="357" spans="1:5" ht="38.25">
      <c r="A357" s="398" t="s">
        <v>18563</v>
      </c>
      <c r="B357" s="354">
        <v>90</v>
      </c>
      <c r="C357" s="354" t="s">
        <v>16899</v>
      </c>
      <c r="D357" s="398" t="s">
        <v>18562</v>
      </c>
      <c r="E357" s="354" t="s">
        <v>16900</v>
      </c>
    </row>
    <row r="358" spans="1:5" ht="38.25">
      <c r="A358" s="398" t="s">
        <v>18565</v>
      </c>
      <c r="B358" s="354">
        <v>10</v>
      </c>
      <c r="C358" s="354" t="s">
        <v>16899</v>
      </c>
      <c r="D358" s="398" t="s">
        <v>18564</v>
      </c>
      <c r="E358" s="354" t="s">
        <v>16900</v>
      </c>
    </row>
    <row r="359" spans="1:5" ht="38.25">
      <c r="A359" s="398" t="s">
        <v>18567</v>
      </c>
      <c r="B359" s="354">
        <v>90</v>
      </c>
      <c r="C359" s="354" t="s">
        <v>16899</v>
      </c>
      <c r="D359" s="398" t="s">
        <v>18566</v>
      </c>
      <c r="E359" s="354" t="s">
        <v>16900</v>
      </c>
    </row>
    <row r="360" spans="1:5" ht="38.25">
      <c r="A360" s="398" t="s">
        <v>18569</v>
      </c>
      <c r="B360" s="354">
        <v>10</v>
      </c>
      <c r="C360" s="354" t="s">
        <v>16899</v>
      </c>
      <c r="D360" s="398" t="s">
        <v>18568</v>
      </c>
      <c r="E360" s="354" t="s">
        <v>16900</v>
      </c>
    </row>
    <row r="361" spans="1:5" ht="38.25">
      <c r="A361" s="398" t="s">
        <v>18571</v>
      </c>
      <c r="B361" s="354">
        <v>90</v>
      </c>
      <c r="C361" s="354" t="s">
        <v>16899</v>
      </c>
      <c r="D361" s="398" t="s">
        <v>18570</v>
      </c>
      <c r="E361" s="354" t="s">
        <v>16900</v>
      </c>
    </row>
    <row r="362" spans="1:5" ht="38.25">
      <c r="A362" s="398" t="s">
        <v>18573</v>
      </c>
      <c r="B362" s="354">
        <v>10</v>
      </c>
      <c r="C362" s="354" t="s">
        <v>16899</v>
      </c>
      <c r="D362" s="398" t="s">
        <v>18572</v>
      </c>
      <c r="E362" s="354" t="s">
        <v>16900</v>
      </c>
    </row>
    <row r="363" spans="1:5" ht="38.25">
      <c r="A363" s="398" t="s">
        <v>18575</v>
      </c>
      <c r="B363" s="354">
        <v>90</v>
      </c>
      <c r="C363" s="354" t="s">
        <v>16899</v>
      </c>
      <c r="D363" s="398" t="s">
        <v>18574</v>
      </c>
      <c r="E363" s="354" t="s">
        <v>16900</v>
      </c>
    </row>
    <row r="364" spans="1:5" ht="38.25">
      <c r="A364" s="398" t="s">
        <v>19047</v>
      </c>
      <c r="B364" s="354">
        <v>36</v>
      </c>
      <c r="C364" s="354" t="s">
        <v>16896</v>
      </c>
      <c r="D364" s="398" t="s">
        <v>19046</v>
      </c>
      <c r="E364" s="354" t="s">
        <v>16894</v>
      </c>
    </row>
    <row r="365" spans="1:5">
      <c r="A365" s="398" t="s">
        <v>19049</v>
      </c>
      <c r="B365" s="354">
        <v>3</v>
      </c>
      <c r="C365" s="354" t="s">
        <v>16896</v>
      </c>
      <c r="D365" s="398" t="s">
        <v>19048</v>
      </c>
      <c r="E365" s="354" t="s">
        <v>16894</v>
      </c>
    </row>
    <row r="366" spans="1:5" ht="25.5">
      <c r="A366" s="398" t="s">
        <v>19051</v>
      </c>
      <c r="B366" s="354">
        <v>0.95</v>
      </c>
      <c r="C366" s="354" t="s">
        <v>17120</v>
      </c>
      <c r="D366" s="398" t="s">
        <v>19050</v>
      </c>
      <c r="E366" s="354" t="s">
        <v>16894</v>
      </c>
    </row>
    <row r="367" spans="1:5" ht="38.25">
      <c r="A367" s="398" t="s">
        <v>19053</v>
      </c>
      <c r="B367" s="354">
        <v>3</v>
      </c>
      <c r="C367" s="354" t="s">
        <v>16892</v>
      </c>
      <c r="D367" s="398" t="s">
        <v>19052</v>
      </c>
      <c r="E367" s="354" t="s">
        <v>16898</v>
      </c>
    </row>
    <row r="368" spans="1:5" ht="25.5">
      <c r="A368" s="398" t="s">
        <v>19055</v>
      </c>
      <c r="B368" s="354">
        <v>18</v>
      </c>
      <c r="C368" s="354" t="s">
        <v>16896</v>
      </c>
      <c r="D368" s="398" t="s">
        <v>19054</v>
      </c>
      <c r="E368" s="354" t="s">
        <v>16898</v>
      </c>
    </row>
    <row r="369" spans="1:5" ht="38.25">
      <c r="A369" s="398" t="s">
        <v>19057</v>
      </c>
      <c r="B369" s="354">
        <v>2.5</v>
      </c>
      <c r="C369" s="354" t="s">
        <v>19056</v>
      </c>
      <c r="D369" s="398" t="s">
        <v>19932</v>
      </c>
      <c r="E369" s="354" t="s">
        <v>16894</v>
      </c>
    </row>
    <row r="370" spans="1:5" ht="25.5">
      <c r="A370" s="398" t="s">
        <v>19934</v>
      </c>
      <c r="B370" s="354">
        <v>-0.5</v>
      </c>
      <c r="C370" s="354" t="s">
        <v>17120</v>
      </c>
      <c r="D370" s="398" t="s">
        <v>19933</v>
      </c>
      <c r="E370" s="354" t="s">
        <v>16894</v>
      </c>
    </row>
    <row r="371" spans="1:5" ht="25.5">
      <c r="A371" s="398" t="s">
        <v>19936</v>
      </c>
      <c r="B371" s="354">
        <v>1</v>
      </c>
      <c r="C371" s="354" t="s">
        <v>17120</v>
      </c>
      <c r="D371" s="398" t="s">
        <v>19935</v>
      </c>
      <c r="E371" s="354" t="s">
        <v>16894</v>
      </c>
    </row>
    <row r="372" spans="1:5" ht="51">
      <c r="A372" s="398" t="s">
        <v>19938</v>
      </c>
      <c r="B372" s="354">
        <v>0.01</v>
      </c>
      <c r="C372" s="354" t="s">
        <v>17120</v>
      </c>
      <c r="D372" s="398" t="s">
        <v>19937</v>
      </c>
      <c r="E372" s="354" t="s">
        <v>16894</v>
      </c>
    </row>
    <row r="373" spans="1:5" ht="38.25">
      <c r="A373" s="398" t="s">
        <v>19940</v>
      </c>
      <c r="B373" s="354">
        <v>12</v>
      </c>
      <c r="C373" s="354" t="s">
        <v>16896</v>
      </c>
      <c r="D373" s="398" t="s">
        <v>19939</v>
      </c>
      <c r="E373" s="354" t="s">
        <v>16894</v>
      </c>
    </row>
    <row r="374" spans="1:5" ht="25.5">
      <c r="A374" s="398" t="s">
        <v>19942</v>
      </c>
      <c r="B374" s="354">
        <v>36</v>
      </c>
      <c r="C374" s="354" t="s">
        <v>16896</v>
      </c>
      <c r="D374" s="398" t="s">
        <v>19941</v>
      </c>
      <c r="E374" s="354" t="s">
        <v>16894</v>
      </c>
    </row>
    <row r="375" spans="1:5" ht="38.25">
      <c r="A375" s="398" t="s">
        <v>19944</v>
      </c>
      <c r="B375" s="354">
        <v>0.5</v>
      </c>
      <c r="C375" s="354" t="s">
        <v>17012</v>
      </c>
      <c r="D375" s="398" t="s">
        <v>19943</v>
      </c>
      <c r="E375" s="354" t="s">
        <v>16898</v>
      </c>
    </row>
    <row r="376" spans="1:5" ht="25.5">
      <c r="A376" s="398" t="s">
        <v>19946</v>
      </c>
      <c r="B376" s="354">
        <v>0.05</v>
      </c>
      <c r="C376" s="354" t="s">
        <v>17120</v>
      </c>
      <c r="D376" s="398" t="s">
        <v>19945</v>
      </c>
      <c r="E376" s="354" t="s">
        <v>16898</v>
      </c>
    </row>
    <row r="377" spans="1:5" ht="38.25">
      <c r="A377" s="398" t="s">
        <v>19948</v>
      </c>
      <c r="B377" s="354">
        <v>0.1</v>
      </c>
      <c r="C377" s="354" t="s">
        <v>17120</v>
      </c>
      <c r="D377" s="398" t="s">
        <v>19947</v>
      </c>
      <c r="E377" s="354" t="s">
        <v>16898</v>
      </c>
    </row>
    <row r="378" spans="1:5" ht="25.5">
      <c r="A378" s="398" t="s">
        <v>20281</v>
      </c>
      <c r="B378" s="354">
        <v>200</v>
      </c>
      <c r="C378" s="354" t="s">
        <v>20279</v>
      </c>
      <c r="D378" s="398" t="s">
        <v>20280</v>
      </c>
      <c r="E378" s="354" t="s">
        <v>16894</v>
      </c>
    </row>
    <row r="379" spans="1:5" ht="25.5">
      <c r="A379" s="398" t="s">
        <v>20283</v>
      </c>
      <c r="B379" s="354">
        <v>0.05</v>
      </c>
      <c r="C379" s="354" t="s">
        <v>17120</v>
      </c>
      <c r="D379" s="398" t="s">
        <v>20282</v>
      </c>
      <c r="E379" s="354" t="s">
        <v>16894</v>
      </c>
    </row>
    <row r="380" spans="1:5">
      <c r="A380" s="398" t="s">
        <v>20285</v>
      </c>
      <c r="B380" s="354">
        <v>15</v>
      </c>
      <c r="C380" s="354" t="s">
        <v>20279</v>
      </c>
      <c r="D380" s="398" t="s">
        <v>20284</v>
      </c>
      <c r="E380" s="354" t="s">
        <v>16894</v>
      </c>
    </row>
    <row r="381" spans="1:5" ht="25.5">
      <c r="A381" s="398" t="s">
        <v>20287</v>
      </c>
      <c r="B381" s="354">
        <v>30</v>
      </c>
      <c r="C381" s="354" t="s">
        <v>20279</v>
      </c>
      <c r="D381" s="398" t="s">
        <v>20286</v>
      </c>
      <c r="E381" s="354" t="s">
        <v>16894</v>
      </c>
    </row>
    <row r="382" spans="1:5" ht="25.5">
      <c r="A382" s="398" t="s">
        <v>20289</v>
      </c>
      <c r="B382" s="354">
        <v>0.99</v>
      </c>
      <c r="C382" s="354" t="s">
        <v>17012</v>
      </c>
      <c r="D382" s="398" t="s">
        <v>20288</v>
      </c>
      <c r="E382" s="354" t="s">
        <v>16894</v>
      </c>
    </row>
    <row r="383" spans="1:5" ht="38.25">
      <c r="A383" s="398" t="s">
        <v>20915</v>
      </c>
      <c r="B383" s="354">
        <v>3</v>
      </c>
      <c r="C383" s="354" t="s">
        <v>20913</v>
      </c>
      <c r="D383" s="398" t="s">
        <v>20914</v>
      </c>
      <c r="E383" s="354" t="s">
        <v>16894</v>
      </c>
    </row>
    <row r="384" spans="1:5" ht="38.25">
      <c r="A384" s="398" t="s">
        <v>20918</v>
      </c>
      <c r="B384" s="354">
        <v>0.5</v>
      </c>
      <c r="C384" s="354" t="s">
        <v>20916</v>
      </c>
      <c r="D384" s="398" t="s">
        <v>20917</v>
      </c>
      <c r="E384" s="354" t="s">
        <v>16898</v>
      </c>
    </row>
    <row r="385" spans="1:5" ht="38.25">
      <c r="A385" s="398" t="s">
        <v>20920</v>
      </c>
      <c r="B385" s="354">
        <v>24</v>
      </c>
      <c r="C385" s="354" t="s">
        <v>16896</v>
      </c>
      <c r="D385" s="398" t="s">
        <v>20919</v>
      </c>
      <c r="E385" s="354" t="s">
        <v>16898</v>
      </c>
    </row>
    <row r="386" spans="1:5" ht="25.5">
      <c r="A386" s="398" t="s">
        <v>20923</v>
      </c>
      <c r="B386" s="354">
        <v>10</v>
      </c>
      <c r="C386" s="354" t="s">
        <v>20921</v>
      </c>
      <c r="D386" s="398" t="s">
        <v>20922</v>
      </c>
      <c r="E386" s="354" t="s">
        <v>16894</v>
      </c>
    </row>
    <row r="387" spans="1:5" ht="38.25">
      <c r="A387" s="398" t="s">
        <v>21729</v>
      </c>
      <c r="B387" s="354">
        <v>12</v>
      </c>
      <c r="C387" s="354" t="s">
        <v>21727</v>
      </c>
      <c r="D387" s="398" t="s">
        <v>21728</v>
      </c>
      <c r="E387" s="354" t="s">
        <v>16894</v>
      </c>
    </row>
    <row r="388" spans="1:5" ht="25.5">
      <c r="A388" s="398" t="s">
        <v>21731</v>
      </c>
      <c r="B388" s="354">
        <v>0.9</v>
      </c>
      <c r="C388" s="354" t="s">
        <v>17120</v>
      </c>
      <c r="D388" s="398" t="s">
        <v>21730</v>
      </c>
      <c r="E388" s="354" t="s">
        <v>16898</v>
      </c>
    </row>
    <row r="389" spans="1:5" ht="25.5">
      <c r="A389" s="398" t="s">
        <v>21733</v>
      </c>
      <c r="B389" s="354">
        <v>10</v>
      </c>
      <c r="C389" s="354" t="s">
        <v>20279</v>
      </c>
      <c r="D389" s="398" t="s">
        <v>21732</v>
      </c>
      <c r="E389" s="354" t="s">
        <v>16898</v>
      </c>
    </row>
    <row r="390" spans="1:5" ht="25.5">
      <c r="A390" s="398" t="s">
        <v>21736</v>
      </c>
      <c r="B390" s="354">
        <v>12</v>
      </c>
      <c r="C390" s="354" t="s">
        <v>21734</v>
      </c>
      <c r="D390" s="398" t="s">
        <v>21735</v>
      </c>
      <c r="E390" s="354" t="s">
        <v>16898</v>
      </c>
    </row>
  </sheetData>
  <sheetProtection algorithmName="SHA-512" hashValue="Kl8K68PhuFMyRI3H5AW2vc++ecw/vbLWI1FBkctagd8iUQtAryv4RNWtc+lIx7BEkmyT7jgCloRJk31XSstAzA==" saltValue="z/l9yFwFxw8ov2jpGO9smA==" spinCount="100000" sheet="1" scenarios="1" formatColumns="0" sort="0" autoFilter="0"/>
  <conditionalFormatting sqref="A3">
    <cfRule type="expression" dxfId="20" priority="1" stopIfTrue="1">
      <formula>$K$1&lt;&gt;$K$2</formula>
    </cfRule>
  </conditionalFormatting>
  <pageMargins left="0.7" right="0.7" top="0.75" bottom="0.75" header="0.3" footer="0.3"/>
  <drawing r:id="rId1"/>
  <tableParts count="14">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F1A9C-6FFC-466B-852C-8CE2201B9D27}">
  <sheetPr codeName="Sheet56">
    <tabColor rgb="FFFFC000"/>
  </sheetPr>
  <dimension ref="A1:P21"/>
  <sheetViews>
    <sheetView workbookViewId="0"/>
  </sheetViews>
  <sheetFormatPr defaultRowHeight="12.75"/>
  <cols>
    <col min="1" max="1" width="48.7109375" style="52" customWidth="1"/>
    <col min="2" max="2" width="10.7109375" customWidth="1"/>
    <col min="3" max="3" width="11.42578125" bestFit="1" customWidth="1"/>
    <col min="4" max="4" width="11.85546875" bestFit="1" customWidth="1"/>
    <col min="5" max="5" width="10.7109375" customWidth="1"/>
    <col min="6" max="6" width="48.7109375" style="52" customWidth="1"/>
    <col min="7" max="7" width="14" bestFit="1" customWidth="1"/>
    <col min="8" max="8" width="12.5703125" bestFit="1" customWidth="1"/>
    <col min="9" max="9" width="13" bestFit="1" customWidth="1"/>
    <col min="10" max="10" width="10.7109375" customWidth="1"/>
    <col min="11" max="12" width="48.7109375" style="52" customWidth="1"/>
    <col min="13" max="13" width="10.7109375" customWidth="1"/>
    <col min="14" max="14" width="14.28515625" bestFit="1" customWidth="1"/>
    <col min="15" max="15" width="14.5703125" bestFit="1" customWidth="1"/>
    <col min="16" max="24" width="10.7109375" customWidth="1"/>
  </cols>
  <sheetData>
    <row r="1" spans="1:16" ht="40.5">
      <c r="A1" s="114" t="str">
        <f>_xlfn.XLOOKUP("TH_TITLE",tblUIText[Key],tblUIText[Text],"TH_TITLE")</f>
        <v>Eşik kaydı
Threshold register</v>
      </c>
    </row>
    <row r="2" spans="1:16" ht="102">
      <c r="A2" s="115" t="str">
        <f>_xlfn.XLOOKUP("TH_NOTE",tblUIText[Key],tblUIText[Text],"TH_NOTE")</f>
        <v>Durumlar: OK / WATCH / ALERT / INSUFFICIENT DATA (yetersiz veri). DRAFT satırlar onaylı değildir; son veri doğrulamasında ayarlanır. Her eşik için gerekçe, sahip ve onay yazılır.
Statuses: OK / WATCH / ALERT / INSUFFICIENT DATA. DRAFT rows are not approved and are tuned on the final validation data. Every threshold carries a rationale, an owner and an approval.</v>
      </c>
    </row>
    <row r="4" spans="1:16">
      <c r="A4" s="50" t="s">
        <v>16917</v>
      </c>
      <c r="B4" s="50" t="s">
        <v>16918</v>
      </c>
      <c r="C4" s="50" t="s">
        <v>16543</v>
      </c>
      <c r="D4" s="50" t="s">
        <v>3263</v>
      </c>
      <c r="E4" s="50" t="s">
        <v>16919</v>
      </c>
      <c r="F4" s="50" t="s">
        <v>15</v>
      </c>
      <c r="G4" s="50" t="s">
        <v>16920</v>
      </c>
      <c r="H4" s="50" t="s">
        <v>16921</v>
      </c>
      <c r="I4" s="50" t="s">
        <v>16922</v>
      </c>
      <c r="J4" s="50" t="s">
        <v>16923</v>
      </c>
      <c r="K4" s="50" t="s">
        <v>16924</v>
      </c>
      <c r="L4" s="50" t="s">
        <v>240</v>
      </c>
      <c r="M4" s="50" t="s">
        <v>4004</v>
      </c>
      <c r="N4" s="50" t="s">
        <v>16925</v>
      </c>
      <c r="O4" s="50" t="s">
        <v>16926</v>
      </c>
      <c r="P4" s="50" t="s">
        <v>148</v>
      </c>
    </row>
    <row r="5" spans="1:16" ht="51">
      <c r="A5" s="398" t="s">
        <v>16927</v>
      </c>
      <c r="B5" s="354" t="s">
        <v>16928</v>
      </c>
      <c r="C5" s="354" t="s">
        <v>3465</v>
      </c>
      <c r="D5" s="354"/>
      <c r="E5" s="354" t="s">
        <v>19950</v>
      </c>
      <c r="F5" s="398" t="s">
        <v>19949</v>
      </c>
      <c r="G5" s="354"/>
      <c r="H5" s="354"/>
      <c r="I5" s="354">
        <v>12</v>
      </c>
      <c r="J5" s="354">
        <v>30</v>
      </c>
      <c r="K5" s="398" t="s">
        <v>16956</v>
      </c>
      <c r="L5" s="398" t="s">
        <v>19951</v>
      </c>
      <c r="M5" s="354" t="s">
        <v>16898</v>
      </c>
      <c r="N5" s="354"/>
      <c r="O5" s="354"/>
      <c r="P5" s="354" t="s">
        <v>16930</v>
      </c>
    </row>
    <row r="6" spans="1:16" ht="38.25">
      <c r="A6" s="398" t="s">
        <v>16931</v>
      </c>
      <c r="B6" s="354" t="s">
        <v>16932</v>
      </c>
      <c r="C6" s="354" t="s">
        <v>3465</v>
      </c>
      <c r="D6" s="354"/>
      <c r="E6" s="354" t="s">
        <v>19953</v>
      </c>
      <c r="F6" s="398" t="s">
        <v>19952</v>
      </c>
      <c r="G6" s="354">
        <v>2.5</v>
      </c>
      <c r="H6" s="354">
        <v>3.5</v>
      </c>
      <c r="I6" s="354">
        <v>12</v>
      </c>
      <c r="J6" s="354">
        <v>30</v>
      </c>
      <c r="K6" s="398" t="s">
        <v>16929</v>
      </c>
      <c r="L6" s="398" t="s">
        <v>19954</v>
      </c>
      <c r="M6" s="354" t="s">
        <v>16898</v>
      </c>
      <c r="N6" s="354"/>
      <c r="O6" s="354"/>
      <c r="P6" s="354" t="s">
        <v>16930</v>
      </c>
    </row>
    <row r="7" spans="1:16" ht="38.25">
      <c r="A7" s="398" t="s">
        <v>16933</v>
      </c>
      <c r="B7" s="354" t="s">
        <v>16934</v>
      </c>
      <c r="C7" s="354" t="s">
        <v>3465</v>
      </c>
      <c r="D7" s="354"/>
      <c r="E7" s="354" t="s">
        <v>19953</v>
      </c>
      <c r="F7" s="398" t="s">
        <v>19952</v>
      </c>
      <c r="G7" s="354">
        <v>2.5</v>
      </c>
      <c r="H7" s="354">
        <v>3.5</v>
      </c>
      <c r="I7" s="354">
        <v>12</v>
      </c>
      <c r="J7" s="354">
        <v>100</v>
      </c>
      <c r="K7" s="398" t="s">
        <v>16929</v>
      </c>
      <c r="L7" s="398" t="s">
        <v>19955</v>
      </c>
      <c r="M7" s="354" t="s">
        <v>16898</v>
      </c>
      <c r="N7" s="354"/>
      <c r="O7" s="354"/>
      <c r="P7" s="354" t="s">
        <v>16930</v>
      </c>
    </row>
    <row r="8" spans="1:16" ht="25.5">
      <c r="A8" s="398" t="s">
        <v>16938</v>
      </c>
      <c r="B8" s="354" t="s">
        <v>16939</v>
      </c>
      <c r="C8" s="354" t="s">
        <v>3465</v>
      </c>
      <c r="D8" s="354"/>
      <c r="E8" s="354" t="s">
        <v>16935</v>
      </c>
      <c r="F8" s="398" t="s">
        <v>18304</v>
      </c>
      <c r="G8" s="354" t="s">
        <v>16940</v>
      </c>
      <c r="H8" s="354" t="s">
        <v>16941</v>
      </c>
      <c r="I8" s="354">
        <v>12</v>
      </c>
      <c r="J8" s="354">
        <v>30</v>
      </c>
      <c r="K8" s="398" t="s">
        <v>16937</v>
      </c>
      <c r="L8" s="398" t="s">
        <v>16942</v>
      </c>
      <c r="M8" s="354" t="s">
        <v>16898</v>
      </c>
      <c r="N8" s="354"/>
      <c r="O8" s="354"/>
      <c r="P8" s="354" t="s">
        <v>16930</v>
      </c>
    </row>
    <row r="9" spans="1:16" ht="25.5">
      <c r="A9" s="398" t="s">
        <v>16943</v>
      </c>
      <c r="B9" s="354" t="s">
        <v>16944</v>
      </c>
      <c r="C9" s="354" t="s">
        <v>3465</v>
      </c>
      <c r="D9" s="354"/>
      <c r="E9" s="354" t="s">
        <v>16945</v>
      </c>
      <c r="F9" s="398" t="s">
        <v>16946</v>
      </c>
      <c r="G9" s="354">
        <v>0.2</v>
      </c>
      <c r="H9" s="354">
        <v>0.35</v>
      </c>
      <c r="I9" s="354">
        <v>6</v>
      </c>
      <c r="J9" s="354">
        <v>30</v>
      </c>
      <c r="K9" s="398" t="s">
        <v>16937</v>
      </c>
      <c r="L9" s="398" t="s">
        <v>16947</v>
      </c>
      <c r="M9" s="354" t="s">
        <v>16898</v>
      </c>
      <c r="N9" s="354"/>
      <c r="O9" s="354"/>
      <c r="P9" s="354" t="s">
        <v>16930</v>
      </c>
    </row>
    <row r="10" spans="1:16">
      <c r="A10" s="398" t="s">
        <v>16948</v>
      </c>
      <c r="B10" s="354" t="s">
        <v>16949</v>
      </c>
      <c r="C10" s="354" t="s">
        <v>3465</v>
      </c>
      <c r="D10" s="354"/>
      <c r="E10" s="354" t="s">
        <v>16950</v>
      </c>
      <c r="F10" s="398" t="s">
        <v>16951</v>
      </c>
      <c r="G10" s="354">
        <v>1.5</v>
      </c>
      <c r="H10" s="354">
        <v>2</v>
      </c>
      <c r="I10" s="354">
        <v>6</v>
      </c>
      <c r="J10" s="354">
        <v>100</v>
      </c>
      <c r="K10" s="398" t="s">
        <v>16937</v>
      </c>
      <c r="L10" s="398" t="s">
        <v>16952</v>
      </c>
      <c r="M10" s="354" t="s">
        <v>16898</v>
      </c>
      <c r="N10" s="354"/>
      <c r="O10" s="354"/>
      <c r="P10" s="354" t="s">
        <v>16930</v>
      </c>
    </row>
    <row r="11" spans="1:16" ht="25.5">
      <c r="A11" s="398" t="s">
        <v>16953</v>
      </c>
      <c r="B11" s="354" t="s">
        <v>16954</v>
      </c>
      <c r="C11" s="354" t="s">
        <v>3465</v>
      </c>
      <c r="D11" s="354"/>
      <c r="E11" s="354" t="s">
        <v>16945</v>
      </c>
      <c r="F11" s="398" t="s">
        <v>16955</v>
      </c>
      <c r="G11" s="354">
        <v>2500</v>
      </c>
      <c r="H11" s="354">
        <v>4000</v>
      </c>
      <c r="I11" s="354">
        <v>6</v>
      </c>
      <c r="J11" s="354">
        <v>100</v>
      </c>
      <c r="K11" s="398" t="s">
        <v>16956</v>
      </c>
      <c r="L11" s="398" t="s">
        <v>16957</v>
      </c>
      <c r="M11" s="354" t="s">
        <v>16898</v>
      </c>
      <c r="N11" s="354"/>
      <c r="O11" s="354"/>
      <c r="P11" s="354" t="s">
        <v>16930</v>
      </c>
    </row>
    <row r="12" spans="1:16" ht="76.5">
      <c r="A12" s="398" t="s">
        <v>16958</v>
      </c>
      <c r="B12" s="354" t="s">
        <v>16959</v>
      </c>
      <c r="C12" s="354" t="s">
        <v>3465</v>
      </c>
      <c r="D12" s="354"/>
      <c r="E12" s="354" t="s">
        <v>16960</v>
      </c>
      <c r="F12" s="398" t="s">
        <v>20983</v>
      </c>
      <c r="G12" s="354">
        <v>8</v>
      </c>
      <c r="H12" s="354">
        <v>3</v>
      </c>
      <c r="I12" s="354">
        <v>12</v>
      </c>
      <c r="J12" s="354">
        <v>30</v>
      </c>
      <c r="K12" s="398" t="s">
        <v>20984</v>
      </c>
      <c r="L12" s="398" t="s">
        <v>20982</v>
      </c>
      <c r="M12" s="354" t="s">
        <v>16898</v>
      </c>
      <c r="N12" s="354"/>
      <c r="O12" s="354"/>
      <c r="P12" s="354" t="s">
        <v>16930</v>
      </c>
    </row>
    <row r="13" spans="1:16" ht="76.5">
      <c r="A13" s="398" t="s">
        <v>16961</v>
      </c>
      <c r="B13" s="354" t="s">
        <v>16962</v>
      </c>
      <c r="C13" s="354" t="s">
        <v>3465</v>
      </c>
      <c r="D13" s="354"/>
      <c r="E13" s="354" t="s">
        <v>16960</v>
      </c>
      <c r="F13" s="398" t="s">
        <v>20986</v>
      </c>
      <c r="G13" s="354">
        <v>4</v>
      </c>
      <c r="H13" s="354">
        <v>5</v>
      </c>
      <c r="I13" s="354">
        <v>23</v>
      </c>
      <c r="J13" s="354">
        <v>30</v>
      </c>
      <c r="K13" s="398" t="s">
        <v>20987</v>
      </c>
      <c r="L13" s="398" t="s">
        <v>20985</v>
      </c>
      <c r="M13" s="354" t="s">
        <v>16898</v>
      </c>
      <c r="N13" s="354"/>
      <c r="O13" s="354"/>
      <c r="P13" s="354" t="s">
        <v>16930</v>
      </c>
    </row>
    <row r="14" spans="1:16" ht="76.5">
      <c r="A14" s="398" t="s">
        <v>16963</v>
      </c>
      <c r="B14" s="354" t="s">
        <v>16964</v>
      </c>
      <c r="C14" s="354" t="s">
        <v>3465</v>
      </c>
      <c r="D14" s="354"/>
      <c r="E14" s="354" t="s">
        <v>16945</v>
      </c>
      <c r="F14" s="398" t="s">
        <v>20989</v>
      </c>
      <c r="G14" s="354">
        <v>1.2E-2</v>
      </c>
      <c r="H14" s="354">
        <v>1.4999999999999999E-2</v>
      </c>
      <c r="I14" s="354">
        <v>0</v>
      </c>
      <c r="J14" s="354">
        <v>300</v>
      </c>
      <c r="K14" s="398" t="s">
        <v>16956</v>
      </c>
      <c r="L14" s="398" t="s">
        <v>20988</v>
      </c>
      <c r="M14" s="354" t="s">
        <v>16898</v>
      </c>
      <c r="N14" s="354"/>
      <c r="O14" s="354"/>
      <c r="P14" s="354" t="s">
        <v>16930</v>
      </c>
    </row>
    <row r="15" spans="1:16" ht="38.25">
      <c r="A15" s="398" t="s">
        <v>16965</v>
      </c>
      <c r="B15" s="354" t="s">
        <v>16966</v>
      </c>
      <c r="C15" s="354" t="s">
        <v>3465</v>
      </c>
      <c r="D15" s="354"/>
      <c r="E15" s="354" t="s">
        <v>16945</v>
      </c>
      <c r="F15" s="398" t="s">
        <v>20991</v>
      </c>
      <c r="G15" s="354">
        <v>0.1</v>
      </c>
      <c r="H15" s="354">
        <v>0.25</v>
      </c>
      <c r="I15" s="354">
        <v>12</v>
      </c>
      <c r="J15" s="354">
        <v>100</v>
      </c>
      <c r="K15" s="398" t="s">
        <v>16956</v>
      </c>
      <c r="L15" s="398" t="s">
        <v>20990</v>
      </c>
      <c r="M15" s="354" t="s">
        <v>16898</v>
      </c>
      <c r="N15" s="354"/>
      <c r="O15" s="354"/>
      <c r="P15" s="354" t="s">
        <v>16930</v>
      </c>
    </row>
    <row r="16" spans="1:16" ht="38.25">
      <c r="A16" s="398" t="s">
        <v>19957</v>
      </c>
      <c r="B16" s="354" t="s">
        <v>16978</v>
      </c>
      <c r="C16" s="354" t="s">
        <v>3465</v>
      </c>
      <c r="D16" s="354"/>
      <c r="E16" s="354" t="s">
        <v>19953</v>
      </c>
      <c r="F16" s="398" t="s">
        <v>19952</v>
      </c>
      <c r="G16" s="354">
        <v>2.5</v>
      </c>
      <c r="H16" s="354">
        <v>3.5</v>
      </c>
      <c r="I16" s="354">
        <v>12</v>
      </c>
      <c r="J16" s="354">
        <v>30</v>
      </c>
      <c r="K16" s="398" t="s">
        <v>16929</v>
      </c>
      <c r="L16" s="398" t="s">
        <v>19956</v>
      </c>
      <c r="M16" s="354" t="s">
        <v>16898</v>
      </c>
      <c r="N16" s="354"/>
      <c r="O16" s="354"/>
      <c r="P16" s="354" t="s">
        <v>16930</v>
      </c>
    </row>
    <row r="17" spans="1:16" ht="51">
      <c r="A17" s="398" t="s">
        <v>20994</v>
      </c>
      <c r="B17" s="354" t="s">
        <v>17201</v>
      </c>
      <c r="C17" s="354" t="s">
        <v>3465</v>
      </c>
      <c r="D17" s="354"/>
      <c r="E17" s="354" t="s">
        <v>19953</v>
      </c>
      <c r="F17" s="398" t="s">
        <v>20993</v>
      </c>
      <c r="G17" s="354">
        <v>2.5</v>
      </c>
      <c r="H17" s="354">
        <v>3.5</v>
      </c>
      <c r="I17" s="354">
        <v>12</v>
      </c>
      <c r="J17" s="354">
        <v>30</v>
      </c>
      <c r="K17" s="398" t="s">
        <v>16929</v>
      </c>
      <c r="L17" s="398" t="s">
        <v>20992</v>
      </c>
      <c r="M17" s="354" t="s">
        <v>16898</v>
      </c>
      <c r="N17" s="354"/>
      <c r="O17" s="354"/>
      <c r="P17" s="354" t="s">
        <v>16930</v>
      </c>
    </row>
    <row r="18" spans="1:16" ht="51">
      <c r="A18" s="398" t="s">
        <v>20997</v>
      </c>
      <c r="B18" s="354" t="s">
        <v>17201</v>
      </c>
      <c r="C18" s="354" t="s">
        <v>3465</v>
      </c>
      <c r="D18" s="354"/>
      <c r="E18" s="354" t="s">
        <v>19953</v>
      </c>
      <c r="F18" s="398" t="s">
        <v>20996</v>
      </c>
      <c r="G18" s="354">
        <v>2.5</v>
      </c>
      <c r="H18" s="354">
        <v>3.5</v>
      </c>
      <c r="I18" s="354">
        <v>12</v>
      </c>
      <c r="J18" s="354">
        <v>30</v>
      </c>
      <c r="K18" s="398" t="s">
        <v>16929</v>
      </c>
      <c r="L18" s="398" t="s">
        <v>20995</v>
      </c>
      <c r="M18" s="354" t="s">
        <v>16898</v>
      </c>
      <c r="N18" s="354"/>
      <c r="O18" s="354"/>
      <c r="P18" s="354" t="s">
        <v>16930</v>
      </c>
    </row>
    <row r="19" spans="1:16" ht="63.75">
      <c r="A19" s="398" t="s">
        <v>21000</v>
      </c>
      <c r="B19" s="354" t="s">
        <v>17201</v>
      </c>
      <c r="C19" s="354" t="s">
        <v>3465</v>
      </c>
      <c r="D19" s="354"/>
      <c r="E19" s="354" t="s">
        <v>19953</v>
      </c>
      <c r="F19" s="398" t="s">
        <v>20999</v>
      </c>
      <c r="G19" s="354">
        <v>2.5</v>
      </c>
      <c r="H19" s="354">
        <v>3.5</v>
      </c>
      <c r="I19" s="354">
        <v>12</v>
      </c>
      <c r="J19" s="354">
        <v>30</v>
      </c>
      <c r="K19" s="398" t="s">
        <v>16929</v>
      </c>
      <c r="L19" s="398" t="s">
        <v>20998</v>
      </c>
      <c r="M19" s="354" t="s">
        <v>16898</v>
      </c>
      <c r="N19" s="354"/>
      <c r="O19" s="354"/>
      <c r="P19" s="354" t="s">
        <v>16930</v>
      </c>
    </row>
    <row r="20" spans="1:16" ht="63.75">
      <c r="A20" s="398" t="s">
        <v>20954</v>
      </c>
      <c r="B20" s="354" t="s">
        <v>17212</v>
      </c>
      <c r="C20" s="354" t="s">
        <v>3465</v>
      </c>
      <c r="D20" s="354"/>
      <c r="E20" s="354" t="s">
        <v>21003</v>
      </c>
      <c r="F20" s="398" t="s">
        <v>21002</v>
      </c>
      <c r="G20" s="354">
        <v>2.5</v>
      </c>
      <c r="H20" s="354">
        <v>3.5</v>
      </c>
      <c r="I20" s="354">
        <v>12</v>
      </c>
      <c r="J20" s="354">
        <v>30</v>
      </c>
      <c r="K20" s="398" t="s">
        <v>16929</v>
      </c>
      <c r="L20" s="398" t="s">
        <v>21001</v>
      </c>
      <c r="M20" s="354" t="s">
        <v>16898</v>
      </c>
      <c r="N20" s="354"/>
      <c r="O20" s="354"/>
      <c r="P20" s="354" t="s">
        <v>16930</v>
      </c>
    </row>
    <row r="21" spans="1:16" ht="63.75">
      <c r="A21" s="398" t="s">
        <v>20971</v>
      </c>
      <c r="B21" s="354" t="s">
        <v>20965</v>
      </c>
      <c r="C21" s="354" t="s">
        <v>3465</v>
      </c>
      <c r="D21" s="354"/>
      <c r="E21" s="354" t="s">
        <v>21003</v>
      </c>
      <c r="F21" s="398" t="s">
        <v>21005</v>
      </c>
      <c r="G21" s="354">
        <v>2.5</v>
      </c>
      <c r="H21" s="354">
        <v>3.5</v>
      </c>
      <c r="I21" s="354">
        <v>12</v>
      </c>
      <c r="J21" s="354">
        <v>30</v>
      </c>
      <c r="K21" s="398" t="s">
        <v>16929</v>
      </c>
      <c r="L21" s="398" t="s">
        <v>21004</v>
      </c>
      <c r="M21" s="354" t="s">
        <v>16898</v>
      </c>
      <c r="N21" s="354"/>
      <c r="O21" s="354"/>
      <c r="P21" s="354" t="s">
        <v>16930</v>
      </c>
    </row>
  </sheetData>
  <sheetProtection algorithmName="SHA-512" hashValue="aqDiycPfVJnjDJ8Scu7qtdjtNqFvFc62lgO/F8F+0EeLylsmIKomLeB7vJYualcBAnGd2Hs2SdavFsqKntcL2w==" saltValue="NFJ0AQNwrRkKooyRIhFIMA==" spinCount="100000" sheet="1" scenarios="1" formatColumns="0" sort="0" autoFilter="0"/>
  <pageMargins left="0.7" right="0.7" top="0.75" bottom="0.75" header="0.3" footer="0.3"/>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FCE19-496A-4D4D-9991-956B7E539806}">
  <sheetPr codeName="Sheet57">
    <tabColor rgb="FFFFC000"/>
  </sheetPr>
  <dimension ref="A1:S74"/>
  <sheetViews>
    <sheetView workbookViewId="0"/>
  </sheetViews>
  <sheetFormatPr defaultRowHeight="12.75"/>
  <cols>
    <col min="1" max="1" width="48.7109375" style="52" customWidth="1"/>
    <col min="2" max="2" width="12.42578125" bestFit="1" customWidth="1"/>
    <col min="3" max="3" width="38.85546875" bestFit="1" customWidth="1"/>
    <col min="4" max="4" width="32.5703125" bestFit="1" customWidth="1"/>
    <col min="5" max="5" width="48.7109375" style="52" customWidth="1"/>
    <col min="6" max="7" width="48.7109375" customWidth="1"/>
    <col min="8" max="8" width="18.140625" bestFit="1" customWidth="1"/>
    <col min="9" max="9" width="14.7109375" bestFit="1" customWidth="1"/>
    <col min="10" max="10" width="16.28515625" bestFit="1" customWidth="1"/>
    <col min="11" max="11" width="14.28515625" bestFit="1" customWidth="1"/>
    <col min="12" max="12" width="15.7109375" bestFit="1" customWidth="1"/>
    <col min="13" max="13" width="48.7109375" style="52" customWidth="1"/>
    <col min="14" max="14" width="27.7109375" bestFit="1" customWidth="1"/>
    <col min="15" max="15" width="27.5703125" bestFit="1" customWidth="1"/>
    <col min="16" max="16" width="9.28515625" bestFit="1" customWidth="1"/>
    <col min="17" max="17" width="10.140625" bestFit="1" customWidth="1"/>
    <col min="18" max="18" width="15.5703125" bestFit="1" customWidth="1"/>
    <col min="19" max="19" width="48.7109375" customWidth="1"/>
    <col min="20" max="24" width="10.7109375" customWidth="1"/>
  </cols>
  <sheetData>
    <row r="1" spans="1:19" ht="40.5">
      <c r="A1" s="114" t="str">
        <f>_xlfn.XLOOKUP("KC_TITLE",tblUIText[Key],tblUIText[Text],"KC_TITLE")</f>
        <v>KPI kataloğu
KPI catalog</v>
      </c>
    </row>
    <row r="2" spans="1:19" ht="102">
      <c r="A2" s="115" t="str">
        <f>_xlfn.XLOOKUP("KC_NOTE",tblUIText[Key],tblUIText[Text],"KC_NOTE")</f>
        <v>Her göstergenin tanımı, kullandığı alanlar, geçerli olduğu segmentler ve veri bağımlılığı. DAX alanı ölçü yazıldıkça doldurulur. Ödenen veriyle desteklenmeyen göstergeler 'NOT AVAILABLE' olarak işaretlidir.
Definition, fields, segment applicability and data dependency of every indicator. The measure column is filled as measures are built. Indicators that paid data cannot support are marked NOT AVAILABLE.</v>
      </c>
    </row>
    <row r="4" spans="1:19">
      <c r="A4" s="50" t="s">
        <v>16918</v>
      </c>
      <c r="B4" s="50" t="s">
        <v>16967</v>
      </c>
      <c r="C4" s="50" t="s">
        <v>16968</v>
      </c>
      <c r="D4" s="50" t="s">
        <v>16969</v>
      </c>
      <c r="E4" s="50" t="s">
        <v>16970</v>
      </c>
      <c r="F4" s="50" t="s">
        <v>2504</v>
      </c>
      <c r="G4" s="50" t="s">
        <v>16971</v>
      </c>
      <c r="H4" s="50" t="s">
        <v>16972</v>
      </c>
      <c r="I4" s="50" t="s">
        <v>16890</v>
      </c>
      <c r="J4" s="50" t="s">
        <v>16973</v>
      </c>
      <c r="K4" s="50" t="s">
        <v>16974</v>
      </c>
      <c r="L4" s="50" t="s">
        <v>16975</v>
      </c>
      <c r="M4" s="50" t="s">
        <v>16976</v>
      </c>
      <c r="N4" s="50" t="s">
        <v>16977</v>
      </c>
      <c r="O4" s="50" t="s">
        <v>16923</v>
      </c>
      <c r="P4" s="50" t="s">
        <v>4004</v>
      </c>
      <c r="Q4" s="50" t="s">
        <v>128</v>
      </c>
      <c r="R4" s="50" t="s">
        <v>148</v>
      </c>
      <c r="S4" s="50" t="s">
        <v>3104</v>
      </c>
    </row>
    <row r="5" spans="1:19">
      <c r="A5" s="354" t="s">
        <v>16978</v>
      </c>
      <c r="B5" s="354" t="s">
        <v>16979</v>
      </c>
      <c r="C5" s="354" t="s">
        <v>16980</v>
      </c>
      <c r="D5" s="354" t="s">
        <v>16981</v>
      </c>
      <c r="E5" s="354" t="s">
        <v>16982</v>
      </c>
      <c r="F5" s="354" t="s">
        <v>16983</v>
      </c>
      <c r="G5" s="354" t="s">
        <v>2454</v>
      </c>
      <c r="H5" s="354" t="s">
        <v>16984</v>
      </c>
      <c r="I5" s="354" t="s">
        <v>269</v>
      </c>
      <c r="J5" s="354" t="s">
        <v>16928</v>
      </c>
      <c r="K5" s="354"/>
      <c r="L5" s="354"/>
      <c r="M5" s="354" t="s">
        <v>16985</v>
      </c>
      <c r="N5" s="354" t="s">
        <v>16986</v>
      </c>
      <c r="O5" s="354"/>
      <c r="P5" s="354" t="s">
        <v>16894</v>
      </c>
      <c r="Q5" s="354" t="s">
        <v>16987</v>
      </c>
      <c r="R5" s="354" t="s">
        <v>16988</v>
      </c>
      <c r="S5" s="354" t="s">
        <v>18305</v>
      </c>
    </row>
    <row r="6" spans="1:19">
      <c r="A6" s="354" t="s">
        <v>16989</v>
      </c>
      <c r="B6" s="354" t="s">
        <v>16979</v>
      </c>
      <c r="C6" s="354" t="s">
        <v>16990</v>
      </c>
      <c r="D6" s="354" t="s">
        <v>16991</v>
      </c>
      <c r="E6" s="354" t="s">
        <v>16992</v>
      </c>
      <c r="F6" s="354" t="s">
        <v>16993</v>
      </c>
      <c r="G6" s="354" t="s">
        <v>16994</v>
      </c>
      <c r="H6" s="354" t="s">
        <v>16984</v>
      </c>
      <c r="I6" s="354" t="s">
        <v>16995</v>
      </c>
      <c r="J6" s="354"/>
      <c r="K6" s="354"/>
      <c r="L6" s="354"/>
      <c r="M6" s="354" t="s">
        <v>16996</v>
      </c>
      <c r="N6" s="354" t="s">
        <v>16986</v>
      </c>
      <c r="O6" s="354"/>
      <c r="P6" s="354" t="s">
        <v>16894</v>
      </c>
      <c r="Q6" s="354" t="s">
        <v>16987</v>
      </c>
      <c r="R6" s="354" t="s">
        <v>16988</v>
      </c>
      <c r="S6" s="354" t="s">
        <v>18306</v>
      </c>
    </row>
    <row r="7" spans="1:19">
      <c r="A7" s="354" t="s">
        <v>16997</v>
      </c>
      <c r="B7" s="354" t="s">
        <v>16979</v>
      </c>
      <c r="C7" s="354" t="s">
        <v>16998</v>
      </c>
      <c r="D7" s="354" t="s">
        <v>16999</v>
      </c>
      <c r="E7" s="354" t="s">
        <v>17000</v>
      </c>
      <c r="F7" s="354" t="s">
        <v>18307</v>
      </c>
      <c r="G7" s="354" t="s">
        <v>2456</v>
      </c>
      <c r="H7" s="354" t="s">
        <v>16984</v>
      </c>
      <c r="I7" s="354" t="s">
        <v>269</v>
      </c>
      <c r="J7" s="354"/>
      <c r="K7" s="354"/>
      <c r="L7" s="354"/>
      <c r="M7" s="354" t="s">
        <v>16985</v>
      </c>
      <c r="N7" s="354" t="s">
        <v>16986</v>
      </c>
      <c r="O7" s="354"/>
      <c r="P7" s="354" t="s">
        <v>16894</v>
      </c>
      <c r="Q7" s="354" t="s">
        <v>16987</v>
      </c>
      <c r="R7" s="354" t="s">
        <v>16988</v>
      </c>
      <c r="S7" s="354" t="s">
        <v>18308</v>
      </c>
    </row>
    <row r="8" spans="1:19">
      <c r="A8" s="354" t="s">
        <v>17002</v>
      </c>
      <c r="B8" s="354" t="s">
        <v>16979</v>
      </c>
      <c r="C8" s="354" t="s">
        <v>17003</v>
      </c>
      <c r="D8" s="354" t="s">
        <v>17004</v>
      </c>
      <c r="E8" s="354" t="s">
        <v>17005</v>
      </c>
      <c r="F8" s="354" t="s">
        <v>18309</v>
      </c>
      <c r="G8" s="354" t="s">
        <v>17006</v>
      </c>
      <c r="H8" s="354" t="s">
        <v>17007</v>
      </c>
      <c r="I8" s="354" t="s">
        <v>269</v>
      </c>
      <c r="J8" s="354"/>
      <c r="K8" s="354"/>
      <c r="L8" s="354"/>
      <c r="M8" s="354" t="s">
        <v>18311</v>
      </c>
      <c r="N8" s="354" t="s">
        <v>16986</v>
      </c>
      <c r="O8" s="354"/>
      <c r="P8" s="354" t="s">
        <v>16894</v>
      </c>
      <c r="Q8" s="354" t="s">
        <v>16987</v>
      </c>
      <c r="R8" s="354" t="s">
        <v>16988</v>
      </c>
      <c r="S8" s="354" t="s">
        <v>18310</v>
      </c>
    </row>
    <row r="9" spans="1:19">
      <c r="A9" s="354" t="s">
        <v>17008</v>
      </c>
      <c r="B9" s="354" t="s">
        <v>16979</v>
      </c>
      <c r="C9" s="354" t="s">
        <v>17009</v>
      </c>
      <c r="D9" s="354" t="s">
        <v>17010</v>
      </c>
      <c r="E9" s="354" t="s">
        <v>17011</v>
      </c>
      <c r="F9" s="354" t="s">
        <v>18313</v>
      </c>
      <c r="G9" s="354" t="s">
        <v>18312</v>
      </c>
      <c r="H9" s="354" t="s">
        <v>17007</v>
      </c>
      <c r="I9" s="354" t="s">
        <v>17012</v>
      </c>
      <c r="J9" s="354"/>
      <c r="K9" s="354"/>
      <c r="L9" s="354"/>
      <c r="M9" s="354" t="s">
        <v>16985</v>
      </c>
      <c r="N9" s="354" t="s">
        <v>16986</v>
      </c>
      <c r="O9" s="354"/>
      <c r="P9" s="354" t="s">
        <v>16894</v>
      </c>
      <c r="Q9" s="354" t="s">
        <v>16987</v>
      </c>
      <c r="R9" s="354" t="s">
        <v>16988</v>
      </c>
      <c r="S9" s="354" t="s">
        <v>18314</v>
      </c>
    </row>
    <row r="10" spans="1:19">
      <c r="A10" s="354" t="s">
        <v>17013</v>
      </c>
      <c r="B10" s="354" t="s">
        <v>16979</v>
      </c>
      <c r="C10" s="354" t="s">
        <v>17014</v>
      </c>
      <c r="D10" s="354" t="s">
        <v>17015</v>
      </c>
      <c r="E10" s="354" t="s">
        <v>17016</v>
      </c>
      <c r="F10" s="354" t="s">
        <v>18316</v>
      </c>
      <c r="G10" s="354" t="s">
        <v>18315</v>
      </c>
      <c r="H10" s="354" t="s">
        <v>16984</v>
      </c>
      <c r="I10" s="354" t="s">
        <v>269</v>
      </c>
      <c r="J10" s="354"/>
      <c r="K10" s="354"/>
      <c r="L10" s="354"/>
      <c r="M10" s="354" t="s">
        <v>18318</v>
      </c>
      <c r="N10" s="354" t="s">
        <v>16986</v>
      </c>
      <c r="O10" s="354"/>
      <c r="P10" s="354" t="s">
        <v>16894</v>
      </c>
      <c r="Q10" s="354" t="s">
        <v>16987</v>
      </c>
      <c r="R10" s="354" t="s">
        <v>16988</v>
      </c>
      <c r="S10" s="354" t="s">
        <v>18317</v>
      </c>
    </row>
    <row r="11" spans="1:19">
      <c r="A11" s="354" t="s">
        <v>17017</v>
      </c>
      <c r="B11" s="354" t="s">
        <v>17018</v>
      </c>
      <c r="C11" s="354" t="s">
        <v>17019</v>
      </c>
      <c r="D11" s="354" t="s">
        <v>17020</v>
      </c>
      <c r="E11" s="354" t="s">
        <v>17021</v>
      </c>
      <c r="F11" s="354" t="s">
        <v>211</v>
      </c>
      <c r="G11" s="354" t="s">
        <v>2412</v>
      </c>
      <c r="H11" s="354" t="s">
        <v>16984</v>
      </c>
      <c r="I11" s="354" t="s">
        <v>16892</v>
      </c>
      <c r="J11" s="354"/>
      <c r="K11" s="354"/>
      <c r="L11" s="354"/>
      <c r="M11" s="354" t="s">
        <v>17022</v>
      </c>
      <c r="N11" s="354" t="s">
        <v>16986</v>
      </c>
      <c r="O11" s="354"/>
      <c r="P11" s="354" t="s">
        <v>16894</v>
      </c>
      <c r="Q11" s="354" t="s">
        <v>16987</v>
      </c>
      <c r="R11" s="354" t="s">
        <v>16988</v>
      </c>
      <c r="S11" s="354" t="s">
        <v>18319</v>
      </c>
    </row>
    <row r="12" spans="1:19">
      <c r="A12" s="354" t="s">
        <v>17023</v>
      </c>
      <c r="B12" s="354" t="s">
        <v>17018</v>
      </c>
      <c r="C12" s="354" t="s">
        <v>17024</v>
      </c>
      <c r="D12" s="354" t="s">
        <v>17025</v>
      </c>
      <c r="E12" s="354" t="s">
        <v>17026</v>
      </c>
      <c r="F12" s="354" t="s">
        <v>17025</v>
      </c>
      <c r="G12" s="354" t="s">
        <v>2446</v>
      </c>
      <c r="H12" s="354" t="s">
        <v>16984</v>
      </c>
      <c r="I12" s="354" t="s">
        <v>16892</v>
      </c>
      <c r="J12" s="354"/>
      <c r="K12" s="354"/>
      <c r="L12" s="354"/>
      <c r="M12" s="354" t="s">
        <v>16985</v>
      </c>
      <c r="N12" s="354" t="s">
        <v>16986</v>
      </c>
      <c r="O12" s="354"/>
      <c r="P12" s="354" t="s">
        <v>16894</v>
      </c>
      <c r="Q12" s="354" t="s">
        <v>16987</v>
      </c>
      <c r="R12" s="354" t="s">
        <v>16988</v>
      </c>
      <c r="S12" s="354" t="s">
        <v>18320</v>
      </c>
    </row>
    <row r="13" spans="1:19">
      <c r="A13" s="354" t="s">
        <v>17027</v>
      </c>
      <c r="B13" s="354" t="s">
        <v>17018</v>
      </c>
      <c r="C13" s="354" t="s">
        <v>17028</v>
      </c>
      <c r="D13" s="354" t="s">
        <v>17029</v>
      </c>
      <c r="E13" s="354" t="s">
        <v>17030</v>
      </c>
      <c r="F13" s="354" t="s">
        <v>18321</v>
      </c>
      <c r="G13" s="354" t="s">
        <v>17031</v>
      </c>
      <c r="H13" s="354" t="s">
        <v>16984</v>
      </c>
      <c r="I13" s="354" t="s">
        <v>16892</v>
      </c>
      <c r="J13" s="354"/>
      <c r="K13" s="354"/>
      <c r="L13" s="354"/>
      <c r="M13" s="354" t="s">
        <v>18323</v>
      </c>
      <c r="N13" s="354" t="s">
        <v>16986</v>
      </c>
      <c r="O13" s="354"/>
      <c r="P13" s="354" t="s">
        <v>16894</v>
      </c>
      <c r="Q13" s="354" t="s">
        <v>16987</v>
      </c>
      <c r="R13" s="354" t="s">
        <v>16988</v>
      </c>
      <c r="S13" s="354" t="s">
        <v>18322</v>
      </c>
    </row>
    <row r="14" spans="1:19">
      <c r="A14" s="354" t="s">
        <v>17032</v>
      </c>
      <c r="B14" s="354" t="s">
        <v>17018</v>
      </c>
      <c r="C14" s="354" t="s">
        <v>17033</v>
      </c>
      <c r="D14" s="354" t="s">
        <v>17034</v>
      </c>
      <c r="E14" s="354" t="s">
        <v>17035</v>
      </c>
      <c r="F14" s="354" t="s">
        <v>18324</v>
      </c>
      <c r="G14" s="354" t="s">
        <v>2446</v>
      </c>
      <c r="H14" s="354" t="s">
        <v>16984</v>
      </c>
      <c r="I14" s="354" t="s">
        <v>16892</v>
      </c>
      <c r="J14" s="354"/>
      <c r="K14" s="354"/>
      <c r="L14" s="354"/>
      <c r="M14" s="354" t="s">
        <v>16985</v>
      </c>
      <c r="N14" s="354" t="s">
        <v>16986</v>
      </c>
      <c r="O14" s="354"/>
      <c r="P14" s="354" t="s">
        <v>16894</v>
      </c>
      <c r="Q14" s="354" t="s">
        <v>16987</v>
      </c>
      <c r="R14" s="354" t="s">
        <v>16988</v>
      </c>
      <c r="S14" s="354" t="s">
        <v>18325</v>
      </c>
    </row>
    <row r="15" spans="1:19">
      <c r="A15" s="354" t="s">
        <v>17036</v>
      </c>
      <c r="B15" s="354" t="s">
        <v>17018</v>
      </c>
      <c r="C15" s="354" t="s">
        <v>17037</v>
      </c>
      <c r="D15" s="354" t="s">
        <v>17038</v>
      </c>
      <c r="E15" s="354" t="s">
        <v>17039</v>
      </c>
      <c r="F15" s="354" t="s">
        <v>18327</v>
      </c>
      <c r="G15" s="354" t="s">
        <v>18326</v>
      </c>
      <c r="H15" s="354" t="s">
        <v>16984</v>
      </c>
      <c r="I15" s="354" t="s">
        <v>16892</v>
      </c>
      <c r="J15" s="354"/>
      <c r="K15" s="354"/>
      <c r="L15" s="354"/>
      <c r="M15" s="354" t="s">
        <v>18329</v>
      </c>
      <c r="N15" s="354" t="s">
        <v>16986</v>
      </c>
      <c r="O15" s="354"/>
      <c r="P15" s="354" t="s">
        <v>16894</v>
      </c>
      <c r="Q15" s="354" t="s">
        <v>16987</v>
      </c>
      <c r="R15" s="354" t="s">
        <v>16988</v>
      </c>
      <c r="S15" s="354" t="s">
        <v>18328</v>
      </c>
    </row>
    <row r="16" spans="1:19">
      <c r="A16" s="354" t="s">
        <v>17040</v>
      </c>
      <c r="B16" s="354" t="s">
        <v>17018</v>
      </c>
      <c r="C16" s="354" t="s">
        <v>17041</v>
      </c>
      <c r="D16" s="354" t="s">
        <v>17042</v>
      </c>
      <c r="E16" s="354" t="s">
        <v>17043</v>
      </c>
      <c r="F16" s="354"/>
      <c r="G16" s="354"/>
      <c r="H16" s="354" t="s">
        <v>16984</v>
      </c>
      <c r="I16" s="354" t="s">
        <v>16892</v>
      </c>
      <c r="J16" s="354"/>
      <c r="K16" s="354"/>
      <c r="L16" s="354"/>
      <c r="M16" s="354" t="s">
        <v>17044</v>
      </c>
      <c r="N16" s="354" t="s">
        <v>17045</v>
      </c>
      <c r="O16" s="354"/>
      <c r="P16" s="354" t="s">
        <v>16894</v>
      </c>
      <c r="Q16" s="354" t="s">
        <v>16987</v>
      </c>
      <c r="R16" s="354" t="s">
        <v>17046</v>
      </c>
      <c r="S16" s="354"/>
    </row>
    <row r="17" spans="1:19">
      <c r="A17" s="354" t="s">
        <v>16932</v>
      </c>
      <c r="B17" s="354" t="s">
        <v>2618</v>
      </c>
      <c r="C17" s="354" t="s">
        <v>17047</v>
      </c>
      <c r="D17" s="354" t="s">
        <v>17048</v>
      </c>
      <c r="E17" s="354" t="s">
        <v>17049</v>
      </c>
      <c r="F17" s="354" t="s">
        <v>18330</v>
      </c>
      <c r="G17" s="354" t="s">
        <v>17050</v>
      </c>
      <c r="H17" s="354" t="s">
        <v>16984</v>
      </c>
      <c r="I17" s="354" t="s">
        <v>269</v>
      </c>
      <c r="J17" s="354" t="s">
        <v>16932</v>
      </c>
      <c r="K17" s="354"/>
      <c r="L17" s="354"/>
      <c r="M17" s="354" t="s">
        <v>18332</v>
      </c>
      <c r="N17" s="354" t="s">
        <v>16986</v>
      </c>
      <c r="O17" s="354" t="s">
        <v>17051</v>
      </c>
      <c r="P17" s="354" t="s">
        <v>16894</v>
      </c>
      <c r="Q17" s="354" t="s">
        <v>16987</v>
      </c>
      <c r="R17" s="354" t="s">
        <v>16988</v>
      </c>
      <c r="S17" s="354" t="s">
        <v>18331</v>
      </c>
    </row>
    <row r="18" spans="1:19">
      <c r="A18" s="354" t="s">
        <v>17052</v>
      </c>
      <c r="B18" s="354" t="s">
        <v>2618</v>
      </c>
      <c r="C18" s="354" t="s">
        <v>17053</v>
      </c>
      <c r="D18" s="354" t="s">
        <v>17054</v>
      </c>
      <c r="E18" s="354" t="s">
        <v>17055</v>
      </c>
      <c r="F18" s="354" t="s">
        <v>18333</v>
      </c>
      <c r="G18" s="354" t="s">
        <v>17050</v>
      </c>
      <c r="H18" s="354" t="s">
        <v>16984</v>
      </c>
      <c r="I18" s="354" t="s">
        <v>269</v>
      </c>
      <c r="J18" s="354"/>
      <c r="K18" s="354"/>
      <c r="L18" s="354"/>
      <c r="M18" s="354" t="s">
        <v>18332</v>
      </c>
      <c r="N18" s="354" t="s">
        <v>16986</v>
      </c>
      <c r="O18" s="354" t="s">
        <v>17051</v>
      </c>
      <c r="P18" s="354" t="s">
        <v>16894</v>
      </c>
      <c r="Q18" s="354" t="s">
        <v>16987</v>
      </c>
      <c r="R18" s="354" t="s">
        <v>16988</v>
      </c>
      <c r="S18" s="354" t="s">
        <v>18334</v>
      </c>
    </row>
    <row r="19" spans="1:19">
      <c r="A19" s="354" t="s">
        <v>16934</v>
      </c>
      <c r="B19" s="354" t="s">
        <v>2618</v>
      </c>
      <c r="C19" s="354" t="s">
        <v>17056</v>
      </c>
      <c r="D19" s="354" t="s">
        <v>17057</v>
      </c>
      <c r="E19" s="354" t="s">
        <v>17058</v>
      </c>
      <c r="F19" s="354" t="s">
        <v>18335</v>
      </c>
      <c r="G19" s="354" t="s">
        <v>17050</v>
      </c>
      <c r="H19" s="354" t="s">
        <v>16984</v>
      </c>
      <c r="I19" s="354" t="s">
        <v>269</v>
      </c>
      <c r="J19" s="354"/>
      <c r="K19" s="354"/>
      <c r="L19" s="354"/>
      <c r="M19" s="354" t="s">
        <v>18332</v>
      </c>
      <c r="N19" s="354" t="s">
        <v>16986</v>
      </c>
      <c r="O19" s="354" t="s">
        <v>17059</v>
      </c>
      <c r="P19" s="354" t="s">
        <v>16894</v>
      </c>
      <c r="Q19" s="354" t="s">
        <v>16987</v>
      </c>
      <c r="R19" s="354" t="s">
        <v>16988</v>
      </c>
      <c r="S19" s="354" t="s">
        <v>18336</v>
      </c>
    </row>
    <row r="20" spans="1:19">
      <c r="A20" s="354" t="s">
        <v>17060</v>
      </c>
      <c r="B20" s="354" t="s">
        <v>17061</v>
      </c>
      <c r="C20" s="354" t="s">
        <v>17062</v>
      </c>
      <c r="D20" s="354" t="s">
        <v>17063</v>
      </c>
      <c r="E20" s="354" t="s">
        <v>17064</v>
      </c>
      <c r="F20" s="354" t="s">
        <v>18337</v>
      </c>
      <c r="G20" s="354" t="s">
        <v>17065</v>
      </c>
      <c r="H20" s="354" t="s">
        <v>16984</v>
      </c>
      <c r="I20" s="354" t="s">
        <v>16899</v>
      </c>
      <c r="J20" s="354"/>
      <c r="K20" s="354"/>
      <c r="L20" s="354"/>
      <c r="M20" s="354" t="s">
        <v>18580</v>
      </c>
      <c r="N20" s="354" t="s">
        <v>16986</v>
      </c>
      <c r="O20" s="354" t="s">
        <v>17066</v>
      </c>
      <c r="P20" s="354" t="s">
        <v>16894</v>
      </c>
      <c r="Q20" s="354" t="s">
        <v>16987</v>
      </c>
      <c r="R20" s="354" t="s">
        <v>16988</v>
      </c>
      <c r="S20" s="354" t="s">
        <v>18579</v>
      </c>
    </row>
    <row r="21" spans="1:19">
      <c r="A21" s="354" t="s">
        <v>17067</v>
      </c>
      <c r="B21" s="354" t="s">
        <v>17061</v>
      </c>
      <c r="C21" s="354" t="s">
        <v>17068</v>
      </c>
      <c r="D21" s="354" t="s">
        <v>17069</v>
      </c>
      <c r="E21" s="354" t="s">
        <v>17070</v>
      </c>
      <c r="F21" s="354" t="s">
        <v>18339</v>
      </c>
      <c r="G21" s="354" t="s">
        <v>18338</v>
      </c>
      <c r="H21" s="354" t="s">
        <v>16984</v>
      </c>
      <c r="I21" s="354" t="s">
        <v>16899</v>
      </c>
      <c r="J21" s="354"/>
      <c r="K21" s="354"/>
      <c r="L21" s="354"/>
      <c r="M21" s="354" t="s">
        <v>18580</v>
      </c>
      <c r="N21" s="354" t="s">
        <v>16986</v>
      </c>
      <c r="O21" s="354" t="s">
        <v>17066</v>
      </c>
      <c r="P21" s="354" t="s">
        <v>16894</v>
      </c>
      <c r="Q21" s="354" t="s">
        <v>16987</v>
      </c>
      <c r="R21" s="354" t="s">
        <v>16988</v>
      </c>
      <c r="S21" s="354" t="s">
        <v>18581</v>
      </c>
    </row>
    <row r="22" spans="1:19">
      <c r="A22" s="354" t="s">
        <v>17071</v>
      </c>
      <c r="B22" s="354" t="s">
        <v>17061</v>
      </c>
      <c r="C22" s="354" t="s">
        <v>17072</v>
      </c>
      <c r="D22" s="354" t="s">
        <v>17073</v>
      </c>
      <c r="E22" s="354" t="s">
        <v>17074</v>
      </c>
      <c r="F22" s="354" t="s">
        <v>18341</v>
      </c>
      <c r="G22" s="354" t="s">
        <v>18340</v>
      </c>
      <c r="H22" s="354" t="s">
        <v>16984</v>
      </c>
      <c r="I22" s="354" t="s">
        <v>16899</v>
      </c>
      <c r="J22" s="354"/>
      <c r="K22" s="354"/>
      <c r="L22" s="354"/>
      <c r="M22" s="354" t="s">
        <v>18580</v>
      </c>
      <c r="N22" s="354" t="s">
        <v>16986</v>
      </c>
      <c r="O22" s="354" t="s">
        <v>17066</v>
      </c>
      <c r="P22" s="354" t="s">
        <v>16894</v>
      </c>
      <c r="Q22" s="354" t="s">
        <v>16987</v>
      </c>
      <c r="R22" s="354" t="s">
        <v>16988</v>
      </c>
      <c r="S22" s="354" t="s">
        <v>18582</v>
      </c>
    </row>
    <row r="23" spans="1:19">
      <c r="A23" s="354" t="s">
        <v>17075</v>
      </c>
      <c r="B23" s="354" t="s">
        <v>17061</v>
      </c>
      <c r="C23" s="354" t="s">
        <v>17076</v>
      </c>
      <c r="D23" s="354" t="s">
        <v>17077</v>
      </c>
      <c r="E23" s="354" t="s">
        <v>17078</v>
      </c>
      <c r="F23" s="354" t="s">
        <v>18342</v>
      </c>
      <c r="G23" s="354" t="s">
        <v>17079</v>
      </c>
      <c r="H23" s="354" t="s">
        <v>16984</v>
      </c>
      <c r="I23" s="354" t="s">
        <v>16899</v>
      </c>
      <c r="J23" s="354"/>
      <c r="K23" s="354"/>
      <c r="L23" s="354"/>
      <c r="M23" s="354" t="s">
        <v>18580</v>
      </c>
      <c r="N23" s="354" t="s">
        <v>16986</v>
      </c>
      <c r="O23" s="354" t="s">
        <v>17066</v>
      </c>
      <c r="P23" s="354" t="s">
        <v>16894</v>
      </c>
      <c r="Q23" s="354" t="s">
        <v>16987</v>
      </c>
      <c r="R23" s="354" t="s">
        <v>16988</v>
      </c>
      <c r="S23" s="354" t="s">
        <v>18583</v>
      </c>
    </row>
    <row r="24" spans="1:19">
      <c r="A24" s="354" t="s">
        <v>17080</v>
      </c>
      <c r="B24" s="354" t="s">
        <v>17061</v>
      </c>
      <c r="C24" s="354" t="s">
        <v>17081</v>
      </c>
      <c r="D24" s="354" t="s">
        <v>17082</v>
      </c>
      <c r="E24" s="354" t="s">
        <v>17083</v>
      </c>
      <c r="F24" s="354" t="s">
        <v>18344</v>
      </c>
      <c r="G24" s="354" t="s">
        <v>18343</v>
      </c>
      <c r="H24" s="354" t="s">
        <v>16984</v>
      </c>
      <c r="I24" s="354" t="s">
        <v>16899</v>
      </c>
      <c r="J24" s="354"/>
      <c r="K24" s="354"/>
      <c r="L24" s="354"/>
      <c r="M24" s="354" t="s">
        <v>18580</v>
      </c>
      <c r="N24" s="354" t="s">
        <v>16986</v>
      </c>
      <c r="O24" s="354" t="s">
        <v>17066</v>
      </c>
      <c r="P24" s="354" t="s">
        <v>16894</v>
      </c>
      <c r="Q24" s="354" t="s">
        <v>16987</v>
      </c>
      <c r="R24" s="354" t="s">
        <v>16988</v>
      </c>
      <c r="S24" s="354" t="s">
        <v>18584</v>
      </c>
    </row>
    <row r="25" spans="1:19">
      <c r="A25" s="354" t="s">
        <v>16939</v>
      </c>
      <c r="B25" s="354" t="s">
        <v>17061</v>
      </c>
      <c r="C25" s="354" t="s">
        <v>17084</v>
      </c>
      <c r="D25" s="354" t="s">
        <v>17085</v>
      </c>
      <c r="E25" s="354" t="s">
        <v>17086</v>
      </c>
      <c r="F25" s="354" t="s">
        <v>18345</v>
      </c>
      <c r="G25" s="354" t="s">
        <v>17087</v>
      </c>
      <c r="H25" s="354" t="s">
        <v>16984</v>
      </c>
      <c r="I25" s="354" t="s">
        <v>16899</v>
      </c>
      <c r="J25" s="354" t="s">
        <v>16939</v>
      </c>
      <c r="K25" s="354"/>
      <c r="L25" s="354"/>
      <c r="M25" s="354" t="s">
        <v>18580</v>
      </c>
      <c r="N25" s="354" t="s">
        <v>16986</v>
      </c>
      <c r="O25" s="354" t="s">
        <v>17066</v>
      </c>
      <c r="P25" s="354" t="s">
        <v>16894</v>
      </c>
      <c r="Q25" s="354" t="s">
        <v>16987</v>
      </c>
      <c r="R25" s="354" t="s">
        <v>16988</v>
      </c>
      <c r="S25" s="354" t="s">
        <v>18585</v>
      </c>
    </row>
    <row r="26" spans="1:19">
      <c r="A26" s="354" t="s">
        <v>16944</v>
      </c>
      <c r="B26" s="354" t="s">
        <v>17061</v>
      </c>
      <c r="C26" s="354" t="s">
        <v>17088</v>
      </c>
      <c r="D26" s="354" t="s">
        <v>17089</v>
      </c>
      <c r="E26" s="354" t="s">
        <v>17090</v>
      </c>
      <c r="F26" s="354" t="s">
        <v>18586</v>
      </c>
      <c r="G26" s="354" t="s">
        <v>18346</v>
      </c>
      <c r="H26" s="354" t="s">
        <v>16984</v>
      </c>
      <c r="I26" s="354" t="s">
        <v>17012</v>
      </c>
      <c r="J26" s="354" t="s">
        <v>16944</v>
      </c>
      <c r="K26" s="354"/>
      <c r="L26" s="354"/>
      <c r="M26" s="354" t="s">
        <v>18588</v>
      </c>
      <c r="N26" s="354" t="s">
        <v>16986</v>
      </c>
      <c r="O26" s="354" t="s">
        <v>17051</v>
      </c>
      <c r="P26" s="354" t="s">
        <v>16894</v>
      </c>
      <c r="Q26" s="354" t="s">
        <v>16987</v>
      </c>
      <c r="R26" s="354" t="s">
        <v>16988</v>
      </c>
      <c r="S26" s="354" t="s">
        <v>18587</v>
      </c>
    </row>
    <row r="27" spans="1:19">
      <c r="A27" s="354" t="s">
        <v>16928</v>
      </c>
      <c r="B27" s="354" t="s">
        <v>17091</v>
      </c>
      <c r="C27" s="354" t="s">
        <v>17092</v>
      </c>
      <c r="D27" s="354" t="s">
        <v>17093</v>
      </c>
      <c r="E27" s="354" t="s">
        <v>17094</v>
      </c>
      <c r="F27" s="354" t="s">
        <v>19061</v>
      </c>
      <c r="G27" s="354" t="s">
        <v>19058</v>
      </c>
      <c r="H27" s="354" t="s">
        <v>16984</v>
      </c>
      <c r="I27" s="354" t="s">
        <v>269</v>
      </c>
      <c r="J27" s="354" t="s">
        <v>16928</v>
      </c>
      <c r="K27" s="354"/>
      <c r="L27" s="354"/>
      <c r="M27" s="354" t="s">
        <v>19060</v>
      </c>
      <c r="N27" s="354" t="s">
        <v>16986</v>
      </c>
      <c r="O27" s="354"/>
      <c r="P27" s="354" t="s">
        <v>16894</v>
      </c>
      <c r="Q27" s="354" t="s">
        <v>16987</v>
      </c>
      <c r="R27" s="354" t="s">
        <v>16988</v>
      </c>
      <c r="S27" s="354" t="s">
        <v>19059</v>
      </c>
    </row>
    <row r="28" spans="1:19">
      <c r="A28" s="354" t="s">
        <v>17095</v>
      </c>
      <c r="B28" s="354" t="s">
        <v>17091</v>
      </c>
      <c r="C28" s="354" t="s">
        <v>17096</v>
      </c>
      <c r="D28" s="354" t="s">
        <v>17097</v>
      </c>
      <c r="E28" s="354" t="s">
        <v>17098</v>
      </c>
      <c r="F28" s="354" t="s">
        <v>19064</v>
      </c>
      <c r="G28" s="354" t="s">
        <v>19058</v>
      </c>
      <c r="H28" s="354" t="s">
        <v>16984</v>
      </c>
      <c r="I28" s="354" t="s">
        <v>269</v>
      </c>
      <c r="J28" s="354"/>
      <c r="K28" s="354"/>
      <c r="L28" s="354"/>
      <c r="M28" s="354" t="s">
        <v>19063</v>
      </c>
      <c r="N28" s="354" t="s">
        <v>16986</v>
      </c>
      <c r="O28" s="354" t="s">
        <v>17099</v>
      </c>
      <c r="P28" s="354" t="s">
        <v>16894</v>
      </c>
      <c r="Q28" s="354" t="s">
        <v>16987</v>
      </c>
      <c r="R28" s="354" t="s">
        <v>16988</v>
      </c>
      <c r="S28" s="354" t="s">
        <v>19062</v>
      </c>
    </row>
    <row r="29" spans="1:19">
      <c r="A29" s="354" t="s">
        <v>17100</v>
      </c>
      <c r="B29" s="354" t="s">
        <v>17091</v>
      </c>
      <c r="C29" s="354" t="s">
        <v>17101</v>
      </c>
      <c r="D29" s="354" t="s">
        <v>17102</v>
      </c>
      <c r="E29" s="354" t="s">
        <v>17103</v>
      </c>
      <c r="F29" s="354" t="s">
        <v>19067</v>
      </c>
      <c r="G29" s="354" t="s">
        <v>19058</v>
      </c>
      <c r="H29" s="354" t="s">
        <v>16984</v>
      </c>
      <c r="I29" s="354" t="s">
        <v>269</v>
      </c>
      <c r="J29" s="354"/>
      <c r="K29" s="354"/>
      <c r="L29" s="354"/>
      <c r="M29" s="354" t="s">
        <v>19066</v>
      </c>
      <c r="N29" s="354" t="s">
        <v>16986</v>
      </c>
      <c r="O29" s="354"/>
      <c r="P29" s="354" t="s">
        <v>16894</v>
      </c>
      <c r="Q29" s="354" t="s">
        <v>16987</v>
      </c>
      <c r="R29" s="354" t="s">
        <v>16988</v>
      </c>
      <c r="S29" s="354" t="s">
        <v>19065</v>
      </c>
    </row>
    <row r="30" spans="1:19">
      <c r="A30" s="354" t="s">
        <v>17104</v>
      </c>
      <c r="B30" s="354" t="s">
        <v>17091</v>
      </c>
      <c r="C30" s="354" t="s">
        <v>17105</v>
      </c>
      <c r="D30" s="354" t="s">
        <v>17106</v>
      </c>
      <c r="E30" s="354" t="s">
        <v>17107</v>
      </c>
      <c r="F30" s="354" t="s">
        <v>19071</v>
      </c>
      <c r="G30" s="354" t="s">
        <v>19068</v>
      </c>
      <c r="H30" s="354" t="s">
        <v>16984</v>
      </c>
      <c r="I30" s="354" t="s">
        <v>269</v>
      </c>
      <c r="J30" s="354"/>
      <c r="K30" s="354"/>
      <c r="L30" s="354"/>
      <c r="M30" s="354" t="s">
        <v>19070</v>
      </c>
      <c r="N30" s="354" t="s">
        <v>16986</v>
      </c>
      <c r="O30" s="354" t="s">
        <v>17108</v>
      </c>
      <c r="P30" s="354" t="s">
        <v>16894</v>
      </c>
      <c r="Q30" s="354" t="s">
        <v>16987</v>
      </c>
      <c r="R30" s="354" t="s">
        <v>16988</v>
      </c>
      <c r="S30" s="354" t="s">
        <v>19069</v>
      </c>
    </row>
    <row r="31" spans="1:19">
      <c r="A31" s="354" t="s">
        <v>17109</v>
      </c>
      <c r="B31" s="354" t="s">
        <v>17091</v>
      </c>
      <c r="C31" s="354" t="s">
        <v>17110</v>
      </c>
      <c r="D31" s="354" t="s">
        <v>17111</v>
      </c>
      <c r="E31" s="354" t="s">
        <v>17112</v>
      </c>
      <c r="F31" s="354" t="s">
        <v>19638</v>
      </c>
      <c r="G31" s="354" t="s">
        <v>19635</v>
      </c>
      <c r="H31" s="354" t="s">
        <v>16984</v>
      </c>
      <c r="I31" s="354" t="s">
        <v>17113</v>
      </c>
      <c r="J31" s="354"/>
      <c r="K31" s="354"/>
      <c r="L31" s="354"/>
      <c r="M31" s="354" t="s">
        <v>19637</v>
      </c>
      <c r="N31" s="354" t="s">
        <v>16986</v>
      </c>
      <c r="O31" s="354" t="s">
        <v>17114</v>
      </c>
      <c r="P31" s="354" t="s">
        <v>16894</v>
      </c>
      <c r="Q31" s="354" t="s">
        <v>16987</v>
      </c>
      <c r="R31" s="354" t="s">
        <v>16988</v>
      </c>
      <c r="S31" s="354" t="s">
        <v>19636</v>
      </c>
    </row>
    <row r="32" spans="1:19">
      <c r="A32" s="354" t="s">
        <v>16949</v>
      </c>
      <c r="B32" s="354" t="s">
        <v>17115</v>
      </c>
      <c r="C32" s="354" t="s">
        <v>17116</v>
      </c>
      <c r="D32" s="354" t="s">
        <v>17117</v>
      </c>
      <c r="E32" s="354" t="s">
        <v>17118</v>
      </c>
      <c r="F32" s="354"/>
      <c r="G32" s="354" t="s">
        <v>17119</v>
      </c>
      <c r="H32" s="354" t="s">
        <v>16984</v>
      </c>
      <c r="I32" s="354" t="s">
        <v>17120</v>
      </c>
      <c r="J32" s="354"/>
      <c r="K32" s="354"/>
      <c r="L32" s="354"/>
      <c r="M32" s="354"/>
      <c r="N32" s="354" t="s">
        <v>16986</v>
      </c>
      <c r="O32" s="354"/>
      <c r="P32" s="354" t="s">
        <v>16894</v>
      </c>
      <c r="Q32" s="354" t="s">
        <v>16987</v>
      </c>
      <c r="R32" s="354" t="s">
        <v>17001</v>
      </c>
      <c r="S32" s="354"/>
    </row>
    <row r="33" spans="1:19">
      <c r="A33" s="354" t="s">
        <v>17121</v>
      </c>
      <c r="B33" s="354" t="s">
        <v>17115</v>
      </c>
      <c r="C33" s="354" t="s">
        <v>17122</v>
      </c>
      <c r="D33" s="354" t="s">
        <v>17123</v>
      </c>
      <c r="E33" s="354" t="s">
        <v>17124</v>
      </c>
      <c r="F33" s="354"/>
      <c r="G33" s="354" t="s">
        <v>17125</v>
      </c>
      <c r="H33" s="354" t="s">
        <v>16984</v>
      </c>
      <c r="I33" s="354" t="s">
        <v>17120</v>
      </c>
      <c r="J33" s="354"/>
      <c r="K33" s="354"/>
      <c r="L33" s="354"/>
      <c r="M33" s="354" t="s">
        <v>17126</v>
      </c>
      <c r="N33" s="354" t="s">
        <v>16986</v>
      </c>
      <c r="O33" s="354"/>
      <c r="P33" s="354" t="s">
        <v>16894</v>
      </c>
      <c r="Q33" s="354" t="s">
        <v>16987</v>
      </c>
      <c r="R33" s="354" t="s">
        <v>17001</v>
      </c>
      <c r="S33" s="354"/>
    </row>
    <row r="34" spans="1:19">
      <c r="A34" s="354" t="s">
        <v>16954</v>
      </c>
      <c r="B34" s="354" t="s">
        <v>17127</v>
      </c>
      <c r="C34" s="354" t="s">
        <v>17128</v>
      </c>
      <c r="D34" s="354" t="s">
        <v>17129</v>
      </c>
      <c r="E34" s="354" t="s">
        <v>17130</v>
      </c>
      <c r="F34" s="354"/>
      <c r="G34" s="354" t="s">
        <v>17131</v>
      </c>
      <c r="H34" s="354" t="s">
        <v>16984</v>
      </c>
      <c r="I34" s="354" t="s">
        <v>17113</v>
      </c>
      <c r="J34" s="354" t="s">
        <v>16954</v>
      </c>
      <c r="K34" s="354"/>
      <c r="L34" s="354"/>
      <c r="M34" s="354"/>
      <c r="N34" s="354" t="s">
        <v>16986</v>
      </c>
      <c r="O34" s="354"/>
      <c r="P34" s="354" t="s">
        <v>16894</v>
      </c>
      <c r="Q34" s="354" t="s">
        <v>16987</v>
      </c>
      <c r="R34" s="354" t="s">
        <v>17001</v>
      </c>
      <c r="S34" s="354"/>
    </row>
    <row r="35" spans="1:19">
      <c r="A35" s="354" t="s">
        <v>17132</v>
      </c>
      <c r="B35" s="354" t="s">
        <v>17127</v>
      </c>
      <c r="C35" s="354" t="s">
        <v>17133</v>
      </c>
      <c r="D35" s="354" t="s">
        <v>17134</v>
      </c>
      <c r="E35" s="354" t="s">
        <v>17135</v>
      </c>
      <c r="F35" s="354" t="s">
        <v>20479</v>
      </c>
      <c r="G35" s="354" t="s">
        <v>20470</v>
      </c>
      <c r="H35" s="354" t="s">
        <v>16984</v>
      </c>
      <c r="I35" s="354" t="s">
        <v>17120</v>
      </c>
      <c r="J35" s="354"/>
      <c r="K35" s="354"/>
      <c r="L35" s="354"/>
      <c r="M35" s="354" t="s">
        <v>20476</v>
      </c>
      <c r="N35" s="354" t="s">
        <v>16986</v>
      </c>
      <c r="O35" s="354"/>
      <c r="P35" s="354" t="s">
        <v>16894</v>
      </c>
      <c r="Q35" s="354" t="s">
        <v>16987</v>
      </c>
      <c r="R35" s="354" t="s">
        <v>16988</v>
      </c>
      <c r="S35" s="354" t="s">
        <v>20478</v>
      </c>
    </row>
    <row r="36" spans="1:19">
      <c r="A36" s="354" t="s">
        <v>17136</v>
      </c>
      <c r="B36" s="354" t="s">
        <v>17137</v>
      </c>
      <c r="C36" s="354" t="s">
        <v>17138</v>
      </c>
      <c r="D36" s="354" t="s">
        <v>17139</v>
      </c>
      <c r="E36" s="354" t="s">
        <v>17140</v>
      </c>
      <c r="F36" s="354" t="s">
        <v>19642</v>
      </c>
      <c r="G36" s="354" t="s">
        <v>19639</v>
      </c>
      <c r="H36" s="354" t="s">
        <v>16984</v>
      </c>
      <c r="I36" s="354" t="s">
        <v>269</v>
      </c>
      <c r="J36" s="354"/>
      <c r="K36" s="354"/>
      <c r="L36" s="354"/>
      <c r="M36" s="354" t="s">
        <v>19641</v>
      </c>
      <c r="N36" s="354" t="s">
        <v>16986</v>
      </c>
      <c r="O36" s="354"/>
      <c r="P36" s="354" t="s">
        <v>16894</v>
      </c>
      <c r="Q36" s="354" t="s">
        <v>16987</v>
      </c>
      <c r="R36" s="354" t="s">
        <v>16988</v>
      </c>
      <c r="S36" s="354" t="s">
        <v>19640</v>
      </c>
    </row>
    <row r="37" spans="1:19">
      <c r="A37" s="354" t="s">
        <v>17141</v>
      </c>
      <c r="B37" s="354" t="s">
        <v>17137</v>
      </c>
      <c r="C37" s="354" t="s">
        <v>17142</v>
      </c>
      <c r="D37" s="354" t="s">
        <v>17143</v>
      </c>
      <c r="E37" s="354" t="s">
        <v>17144</v>
      </c>
      <c r="F37" s="354" t="s">
        <v>19645</v>
      </c>
      <c r="G37" s="354" t="s">
        <v>19639</v>
      </c>
      <c r="H37" s="354" t="s">
        <v>16984</v>
      </c>
      <c r="I37" s="354" t="s">
        <v>269</v>
      </c>
      <c r="J37" s="354"/>
      <c r="K37" s="354"/>
      <c r="L37" s="354"/>
      <c r="M37" s="354" t="s">
        <v>19644</v>
      </c>
      <c r="N37" s="354" t="s">
        <v>16986</v>
      </c>
      <c r="O37" s="354" t="s">
        <v>17099</v>
      </c>
      <c r="P37" s="354" t="s">
        <v>16894</v>
      </c>
      <c r="Q37" s="354" t="s">
        <v>16987</v>
      </c>
      <c r="R37" s="354" t="s">
        <v>16988</v>
      </c>
      <c r="S37" s="354" t="s">
        <v>19643</v>
      </c>
    </row>
    <row r="38" spans="1:19">
      <c r="A38" s="354" t="s">
        <v>17145</v>
      </c>
      <c r="B38" s="354" t="s">
        <v>17146</v>
      </c>
      <c r="C38" s="354" t="s">
        <v>17147</v>
      </c>
      <c r="D38" s="354" t="s">
        <v>17148</v>
      </c>
      <c r="E38" s="354" t="s">
        <v>17149</v>
      </c>
      <c r="F38" s="354" t="s">
        <v>19693</v>
      </c>
      <c r="G38" s="354" t="s">
        <v>19690</v>
      </c>
      <c r="H38" s="354" t="s">
        <v>16984</v>
      </c>
      <c r="I38" s="354" t="s">
        <v>269</v>
      </c>
      <c r="J38" s="354"/>
      <c r="K38" s="354"/>
      <c r="L38" s="354"/>
      <c r="M38" s="354" t="s">
        <v>19692</v>
      </c>
      <c r="N38" s="354" t="s">
        <v>16986</v>
      </c>
      <c r="O38" s="354"/>
      <c r="P38" s="354" t="s">
        <v>16894</v>
      </c>
      <c r="Q38" s="354" t="s">
        <v>16987</v>
      </c>
      <c r="R38" s="354" t="s">
        <v>16988</v>
      </c>
      <c r="S38" s="354" t="s">
        <v>19691</v>
      </c>
    </row>
    <row r="39" spans="1:19">
      <c r="A39" s="354" t="s">
        <v>17150</v>
      </c>
      <c r="B39" s="354" t="s">
        <v>17146</v>
      </c>
      <c r="C39" s="354" t="s">
        <v>17151</v>
      </c>
      <c r="D39" s="354" t="s">
        <v>17152</v>
      </c>
      <c r="E39" s="354" t="s">
        <v>17153</v>
      </c>
      <c r="F39" s="354" t="s">
        <v>19696</v>
      </c>
      <c r="G39" s="354" t="s">
        <v>19690</v>
      </c>
      <c r="H39" s="354" t="s">
        <v>16984</v>
      </c>
      <c r="I39" s="354" t="s">
        <v>269</v>
      </c>
      <c r="J39" s="354"/>
      <c r="K39" s="354"/>
      <c r="L39" s="354"/>
      <c r="M39" s="354" t="s">
        <v>19695</v>
      </c>
      <c r="N39" s="354" t="s">
        <v>16986</v>
      </c>
      <c r="O39" s="354"/>
      <c r="P39" s="354" t="s">
        <v>16894</v>
      </c>
      <c r="Q39" s="354" t="s">
        <v>16987</v>
      </c>
      <c r="R39" s="354" t="s">
        <v>16988</v>
      </c>
      <c r="S39" s="354" t="s">
        <v>19694</v>
      </c>
    </row>
    <row r="40" spans="1:19">
      <c r="A40" s="354" t="s">
        <v>17154</v>
      </c>
      <c r="B40" s="354" t="s">
        <v>17146</v>
      </c>
      <c r="C40" s="354" t="s">
        <v>17155</v>
      </c>
      <c r="D40" s="354" t="s">
        <v>17156</v>
      </c>
      <c r="E40" s="354" t="s">
        <v>17157</v>
      </c>
      <c r="F40" s="354" t="s">
        <v>19700</v>
      </c>
      <c r="G40" s="354" t="s">
        <v>19690</v>
      </c>
      <c r="H40" s="354" t="s">
        <v>16984</v>
      </c>
      <c r="I40" s="354" t="s">
        <v>17012</v>
      </c>
      <c r="J40" s="354"/>
      <c r="K40" s="354"/>
      <c r="L40" s="354"/>
      <c r="M40" s="354" t="s">
        <v>19699</v>
      </c>
      <c r="N40" s="354" t="s">
        <v>16986</v>
      </c>
      <c r="O40" s="354" t="s">
        <v>19697</v>
      </c>
      <c r="P40" s="354" t="s">
        <v>16894</v>
      </c>
      <c r="Q40" s="354" t="s">
        <v>16987</v>
      </c>
      <c r="R40" s="354" t="s">
        <v>16988</v>
      </c>
      <c r="S40" s="354" t="s">
        <v>19698</v>
      </c>
    </row>
    <row r="41" spans="1:19">
      <c r="A41" s="354" t="s">
        <v>17158</v>
      </c>
      <c r="B41" s="354" t="s">
        <v>17146</v>
      </c>
      <c r="C41" s="354" t="s">
        <v>17159</v>
      </c>
      <c r="D41" s="354" t="s">
        <v>17160</v>
      </c>
      <c r="E41" s="354" t="s">
        <v>17161</v>
      </c>
      <c r="F41" s="354" t="s">
        <v>19703</v>
      </c>
      <c r="G41" s="354" t="s">
        <v>19690</v>
      </c>
      <c r="H41" s="354" t="s">
        <v>16984</v>
      </c>
      <c r="I41" s="354" t="s">
        <v>269</v>
      </c>
      <c r="J41" s="354"/>
      <c r="K41" s="354"/>
      <c r="L41" s="354"/>
      <c r="M41" s="354" t="s">
        <v>19702</v>
      </c>
      <c r="N41" s="354" t="s">
        <v>16986</v>
      </c>
      <c r="O41" s="354" t="s">
        <v>17162</v>
      </c>
      <c r="P41" s="354" t="s">
        <v>16894</v>
      </c>
      <c r="Q41" s="354" t="s">
        <v>16987</v>
      </c>
      <c r="R41" s="354" t="s">
        <v>16988</v>
      </c>
      <c r="S41" s="354" t="s">
        <v>19701</v>
      </c>
    </row>
    <row r="42" spans="1:19">
      <c r="A42" s="354" t="s">
        <v>17163</v>
      </c>
      <c r="B42" s="354" t="s">
        <v>2618</v>
      </c>
      <c r="C42" s="354" t="s">
        <v>17164</v>
      </c>
      <c r="D42" s="354" t="s">
        <v>17165</v>
      </c>
      <c r="E42" s="354" t="s">
        <v>17166</v>
      </c>
      <c r="F42" s="354" t="s">
        <v>20474</v>
      </c>
      <c r="G42" s="354" t="s">
        <v>20470</v>
      </c>
      <c r="H42" s="354" t="s">
        <v>16984</v>
      </c>
      <c r="I42" s="354" t="s">
        <v>17113</v>
      </c>
      <c r="J42" s="354" t="s">
        <v>17163</v>
      </c>
      <c r="K42" s="354"/>
      <c r="L42" s="354"/>
      <c r="M42" s="354" t="s">
        <v>20473</v>
      </c>
      <c r="N42" s="354" t="s">
        <v>16986</v>
      </c>
      <c r="O42" s="354" t="s">
        <v>20471</v>
      </c>
      <c r="P42" s="354" t="s">
        <v>16894</v>
      </c>
      <c r="Q42" s="354" t="s">
        <v>16987</v>
      </c>
      <c r="R42" s="354" t="s">
        <v>16988</v>
      </c>
      <c r="S42" s="354" t="s">
        <v>20472</v>
      </c>
    </row>
    <row r="43" spans="1:19">
      <c r="A43" s="354" t="s">
        <v>17167</v>
      </c>
      <c r="B43" s="354" t="s">
        <v>2618</v>
      </c>
      <c r="C43" s="354" t="s">
        <v>17168</v>
      </c>
      <c r="D43" s="354" t="s">
        <v>17169</v>
      </c>
      <c r="E43" s="354" t="s">
        <v>17170</v>
      </c>
      <c r="F43" s="354" t="s">
        <v>20477</v>
      </c>
      <c r="G43" s="354" t="s">
        <v>20470</v>
      </c>
      <c r="H43" s="354" t="s">
        <v>16984</v>
      </c>
      <c r="I43" s="354" t="s">
        <v>17120</v>
      </c>
      <c r="J43" s="354"/>
      <c r="K43" s="354"/>
      <c r="L43" s="354"/>
      <c r="M43" s="354" t="s">
        <v>20476</v>
      </c>
      <c r="N43" s="354" t="s">
        <v>16986</v>
      </c>
      <c r="O43" s="354" t="s">
        <v>20471</v>
      </c>
      <c r="P43" s="354" t="s">
        <v>16894</v>
      </c>
      <c r="Q43" s="354" t="s">
        <v>16987</v>
      </c>
      <c r="R43" s="354" t="s">
        <v>16988</v>
      </c>
      <c r="S43" s="354" t="s">
        <v>20475</v>
      </c>
    </row>
    <row r="44" spans="1:19">
      <c r="A44" s="354" t="s">
        <v>17171</v>
      </c>
      <c r="B44" s="354" t="s">
        <v>2618</v>
      </c>
      <c r="C44" s="354" t="s">
        <v>17172</v>
      </c>
      <c r="D44" s="354" t="s">
        <v>17173</v>
      </c>
      <c r="E44" s="354" t="s">
        <v>17174</v>
      </c>
      <c r="F44" s="354" t="s">
        <v>20482</v>
      </c>
      <c r="G44" s="354" t="s">
        <v>20470</v>
      </c>
      <c r="H44" s="354" t="s">
        <v>16984</v>
      </c>
      <c r="I44" s="354" t="s">
        <v>269</v>
      </c>
      <c r="J44" s="354"/>
      <c r="K44" s="354"/>
      <c r="L44" s="354"/>
      <c r="M44" s="354" t="s">
        <v>20481</v>
      </c>
      <c r="N44" s="354" t="s">
        <v>16986</v>
      </c>
      <c r="O44" s="354" t="s">
        <v>20471</v>
      </c>
      <c r="P44" s="354" t="s">
        <v>16894</v>
      </c>
      <c r="Q44" s="354" t="s">
        <v>16987</v>
      </c>
      <c r="R44" s="354" t="s">
        <v>16988</v>
      </c>
      <c r="S44" s="354" t="s">
        <v>20480</v>
      </c>
    </row>
    <row r="45" spans="1:19">
      <c r="A45" s="354" t="s">
        <v>17175</v>
      </c>
      <c r="B45" s="354" t="s">
        <v>17176</v>
      </c>
      <c r="C45" s="354" t="s">
        <v>17177</v>
      </c>
      <c r="D45" s="354" t="s">
        <v>17178</v>
      </c>
      <c r="E45" s="354" t="s">
        <v>17179</v>
      </c>
      <c r="F45" s="354" t="s">
        <v>20486</v>
      </c>
      <c r="G45" s="354" t="s">
        <v>17180</v>
      </c>
      <c r="H45" s="354" t="s">
        <v>17007</v>
      </c>
      <c r="I45" s="354" t="s">
        <v>17012</v>
      </c>
      <c r="J45" s="354"/>
      <c r="K45" s="354"/>
      <c r="L45" s="354"/>
      <c r="M45" s="354" t="s">
        <v>20485</v>
      </c>
      <c r="N45" s="354" t="s">
        <v>16986</v>
      </c>
      <c r="O45" s="354" t="s">
        <v>20483</v>
      </c>
      <c r="P45" s="354" t="s">
        <v>16894</v>
      </c>
      <c r="Q45" s="354" t="s">
        <v>16987</v>
      </c>
      <c r="R45" s="354" t="s">
        <v>16988</v>
      </c>
      <c r="S45" s="354" t="s">
        <v>20484</v>
      </c>
    </row>
    <row r="46" spans="1:19">
      <c r="A46" s="354" t="s">
        <v>17181</v>
      </c>
      <c r="B46" s="354" t="s">
        <v>17176</v>
      </c>
      <c r="C46" s="354" t="s">
        <v>17182</v>
      </c>
      <c r="D46" s="354" t="s">
        <v>17183</v>
      </c>
      <c r="E46" s="354" t="s">
        <v>17184</v>
      </c>
      <c r="F46" s="354" t="s">
        <v>20489</v>
      </c>
      <c r="G46" s="354" t="s">
        <v>17185</v>
      </c>
      <c r="H46" s="354" t="s">
        <v>17007</v>
      </c>
      <c r="I46" s="354" t="s">
        <v>17012</v>
      </c>
      <c r="J46" s="354"/>
      <c r="K46" s="354"/>
      <c r="L46" s="354"/>
      <c r="M46" s="354" t="s">
        <v>20488</v>
      </c>
      <c r="N46" s="354" t="s">
        <v>16986</v>
      </c>
      <c r="O46" s="354" t="s">
        <v>20483</v>
      </c>
      <c r="P46" s="354" t="s">
        <v>16894</v>
      </c>
      <c r="Q46" s="354" t="s">
        <v>16987</v>
      </c>
      <c r="R46" s="354" t="s">
        <v>16988</v>
      </c>
      <c r="S46" s="354" t="s">
        <v>20487</v>
      </c>
    </row>
    <row r="47" spans="1:19">
      <c r="A47" s="354" t="s">
        <v>17186</v>
      </c>
      <c r="B47" s="354" t="s">
        <v>17176</v>
      </c>
      <c r="C47" s="354" t="s">
        <v>17187</v>
      </c>
      <c r="D47" s="354" t="s">
        <v>17188</v>
      </c>
      <c r="E47" s="354" t="s">
        <v>17189</v>
      </c>
      <c r="F47" s="354" t="s">
        <v>20493</v>
      </c>
      <c r="G47" s="354" t="s">
        <v>20490</v>
      </c>
      <c r="H47" s="354" t="s">
        <v>17007</v>
      </c>
      <c r="I47" s="354" t="s">
        <v>17012</v>
      </c>
      <c r="J47" s="354"/>
      <c r="K47" s="354"/>
      <c r="L47" s="354"/>
      <c r="M47" s="354" t="s">
        <v>20492</v>
      </c>
      <c r="N47" s="354" t="s">
        <v>16986</v>
      </c>
      <c r="O47" s="354" t="s">
        <v>20483</v>
      </c>
      <c r="P47" s="354" t="s">
        <v>16894</v>
      </c>
      <c r="Q47" s="354" t="s">
        <v>16987</v>
      </c>
      <c r="R47" s="354" t="s">
        <v>16988</v>
      </c>
      <c r="S47" s="354" t="s">
        <v>20491</v>
      </c>
    </row>
    <row r="48" spans="1:19">
      <c r="A48" s="354" t="s">
        <v>17190</v>
      </c>
      <c r="B48" s="354" t="s">
        <v>113</v>
      </c>
      <c r="C48" s="354" t="s">
        <v>17191</v>
      </c>
      <c r="D48" s="354" t="s">
        <v>17192</v>
      </c>
      <c r="E48" s="354" t="s">
        <v>17193</v>
      </c>
      <c r="F48" s="354"/>
      <c r="G48" s="354" t="s">
        <v>17194</v>
      </c>
      <c r="H48" s="354" t="s">
        <v>113</v>
      </c>
      <c r="I48" s="354" t="s">
        <v>17120</v>
      </c>
      <c r="J48" s="354"/>
      <c r="K48" s="354"/>
      <c r="L48" s="354"/>
      <c r="M48" s="354"/>
      <c r="N48" s="354" t="s">
        <v>16986</v>
      </c>
      <c r="O48" s="354" t="s">
        <v>17051</v>
      </c>
      <c r="P48" s="354" t="s">
        <v>16894</v>
      </c>
      <c r="Q48" s="354" t="s">
        <v>16987</v>
      </c>
      <c r="R48" s="354" t="s">
        <v>17001</v>
      </c>
      <c r="S48" s="354"/>
    </row>
    <row r="49" spans="1:19">
      <c r="A49" s="354" t="s">
        <v>17195</v>
      </c>
      <c r="B49" s="354" t="s">
        <v>17196</v>
      </c>
      <c r="C49" s="354" t="s">
        <v>17197</v>
      </c>
      <c r="D49" s="354" t="s">
        <v>17198</v>
      </c>
      <c r="E49" s="354" t="s">
        <v>17199</v>
      </c>
      <c r="F49" s="354"/>
      <c r="G49" s="354" t="s">
        <v>17200</v>
      </c>
      <c r="H49" s="354" t="s">
        <v>16984</v>
      </c>
      <c r="I49" s="354" t="s">
        <v>17120</v>
      </c>
      <c r="J49" s="354"/>
      <c r="K49" s="354"/>
      <c r="L49" s="354"/>
      <c r="M49" s="354"/>
      <c r="N49" s="354" t="s">
        <v>16986</v>
      </c>
      <c r="O49" s="354"/>
      <c r="P49" s="354" t="s">
        <v>16894</v>
      </c>
      <c r="Q49" s="354" t="s">
        <v>16987</v>
      </c>
      <c r="R49" s="354" t="s">
        <v>17001</v>
      </c>
      <c r="S49" s="354"/>
    </row>
    <row r="50" spans="1:19">
      <c r="A50" s="354" t="s">
        <v>17201</v>
      </c>
      <c r="B50" s="354" t="s">
        <v>17202</v>
      </c>
      <c r="C50" s="354" t="s">
        <v>17203</v>
      </c>
      <c r="D50" s="354" t="s">
        <v>17204</v>
      </c>
      <c r="E50" s="354" t="s">
        <v>20924</v>
      </c>
      <c r="F50" s="354" t="s">
        <v>20927</v>
      </c>
      <c r="G50" s="354" t="s">
        <v>20925</v>
      </c>
      <c r="H50" s="354" t="s">
        <v>16984</v>
      </c>
      <c r="I50" s="354" t="s">
        <v>17205</v>
      </c>
      <c r="J50" s="354" t="s">
        <v>20931</v>
      </c>
      <c r="K50" s="354" t="s">
        <v>20926</v>
      </c>
      <c r="L50" s="354" t="s">
        <v>20928</v>
      </c>
      <c r="M50" s="354" t="s">
        <v>20930</v>
      </c>
      <c r="N50" s="354" t="s">
        <v>16986</v>
      </c>
      <c r="O50" s="354" t="s">
        <v>20929</v>
      </c>
      <c r="P50" s="354" t="s">
        <v>16898</v>
      </c>
      <c r="Q50" s="354" t="s">
        <v>16987</v>
      </c>
      <c r="R50" s="354" t="s">
        <v>16988</v>
      </c>
      <c r="S50" s="354"/>
    </row>
    <row r="51" spans="1:19">
      <c r="A51" s="354" t="s">
        <v>16959</v>
      </c>
      <c r="B51" s="354" t="s">
        <v>17202</v>
      </c>
      <c r="C51" s="354" t="s">
        <v>17206</v>
      </c>
      <c r="D51" s="354" t="s">
        <v>17207</v>
      </c>
      <c r="E51" s="354" t="s">
        <v>20932</v>
      </c>
      <c r="F51" s="354" t="s">
        <v>20934</v>
      </c>
      <c r="G51" s="354" t="s">
        <v>2454</v>
      </c>
      <c r="H51" s="354" t="s">
        <v>16984</v>
      </c>
      <c r="I51" s="354" t="s">
        <v>20916</v>
      </c>
      <c r="J51" s="354" t="s">
        <v>16958</v>
      </c>
      <c r="K51" s="354" t="s">
        <v>20933</v>
      </c>
      <c r="L51" s="354" t="s">
        <v>20935</v>
      </c>
      <c r="M51" s="354" t="s">
        <v>20936</v>
      </c>
      <c r="N51" s="354" t="s">
        <v>16986</v>
      </c>
      <c r="O51" s="354" t="s">
        <v>20929</v>
      </c>
      <c r="P51" s="354" t="s">
        <v>16898</v>
      </c>
      <c r="Q51" s="354" t="s">
        <v>16987</v>
      </c>
      <c r="R51" s="354" t="s">
        <v>16988</v>
      </c>
      <c r="S51" s="354"/>
    </row>
    <row r="52" spans="1:19">
      <c r="A52" s="354" t="s">
        <v>16962</v>
      </c>
      <c r="B52" s="354" t="s">
        <v>17202</v>
      </c>
      <c r="C52" s="354" t="s">
        <v>17208</v>
      </c>
      <c r="D52" s="354" t="s">
        <v>17208</v>
      </c>
      <c r="E52" s="354" t="s">
        <v>20937</v>
      </c>
      <c r="F52" s="354" t="s">
        <v>20934</v>
      </c>
      <c r="G52" s="354" t="s">
        <v>2454</v>
      </c>
      <c r="H52" s="354" t="s">
        <v>16984</v>
      </c>
      <c r="I52" s="354" t="s">
        <v>20916</v>
      </c>
      <c r="J52" s="354" t="s">
        <v>16961</v>
      </c>
      <c r="K52" s="354" t="s">
        <v>20938</v>
      </c>
      <c r="L52" s="354" t="s">
        <v>20939</v>
      </c>
      <c r="M52" s="354" t="s">
        <v>20941</v>
      </c>
      <c r="N52" s="354" t="s">
        <v>16986</v>
      </c>
      <c r="O52" s="354" t="s">
        <v>20940</v>
      </c>
      <c r="P52" s="354" t="s">
        <v>16898</v>
      </c>
      <c r="Q52" s="354" t="s">
        <v>16987</v>
      </c>
      <c r="R52" s="354" t="s">
        <v>16988</v>
      </c>
      <c r="S52" s="354"/>
    </row>
    <row r="53" spans="1:19">
      <c r="A53" s="354" t="s">
        <v>16964</v>
      </c>
      <c r="B53" s="354" t="s">
        <v>17202</v>
      </c>
      <c r="C53" s="354" t="s">
        <v>17209</v>
      </c>
      <c r="D53" s="354" t="s">
        <v>17210</v>
      </c>
      <c r="E53" s="354" t="s">
        <v>20942</v>
      </c>
      <c r="F53" s="354" t="s">
        <v>20945</v>
      </c>
      <c r="G53" s="354" t="s">
        <v>20943</v>
      </c>
      <c r="H53" s="354" t="s">
        <v>16984</v>
      </c>
      <c r="I53" s="354" t="s">
        <v>20948</v>
      </c>
      <c r="J53" s="354" t="s">
        <v>16963</v>
      </c>
      <c r="K53" s="354" t="s">
        <v>20944</v>
      </c>
      <c r="L53" s="354" t="s">
        <v>20946</v>
      </c>
      <c r="M53" s="354" t="s">
        <v>20947</v>
      </c>
      <c r="N53" s="354" t="s">
        <v>16986</v>
      </c>
      <c r="O53" s="354" t="s">
        <v>17211</v>
      </c>
      <c r="P53" s="354" t="s">
        <v>16898</v>
      </c>
      <c r="Q53" s="354" t="s">
        <v>16987</v>
      </c>
      <c r="R53" s="354" t="s">
        <v>16988</v>
      </c>
      <c r="S53" s="354"/>
    </row>
    <row r="54" spans="1:19">
      <c r="A54" s="354" t="s">
        <v>17212</v>
      </c>
      <c r="B54" s="354" t="s">
        <v>17202</v>
      </c>
      <c r="C54" s="354" t="s">
        <v>17213</v>
      </c>
      <c r="D54" s="354" t="s">
        <v>17214</v>
      </c>
      <c r="E54" s="354" t="s">
        <v>20949</v>
      </c>
      <c r="F54" s="354" t="s">
        <v>20951</v>
      </c>
      <c r="G54" s="354" t="s">
        <v>20943</v>
      </c>
      <c r="H54" s="354" t="s">
        <v>16984</v>
      </c>
      <c r="I54" s="354" t="s">
        <v>17120</v>
      </c>
      <c r="J54" s="354" t="s">
        <v>20954</v>
      </c>
      <c r="K54" s="354" t="s">
        <v>20950</v>
      </c>
      <c r="L54" s="354" t="s">
        <v>20952</v>
      </c>
      <c r="M54" s="354" t="s">
        <v>20936</v>
      </c>
      <c r="N54" s="354" t="s">
        <v>16986</v>
      </c>
      <c r="O54" s="354" t="s">
        <v>20929</v>
      </c>
      <c r="P54" s="354" t="s">
        <v>16898</v>
      </c>
      <c r="Q54" s="354" t="s">
        <v>16987</v>
      </c>
      <c r="R54" s="354" t="s">
        <v>16988</v>
      </c>
      <c r="S54" s="354" t="s">
        <v>20953</v>
      </c>
    </row>
    <row r="55" spans="1:19">
      <c r="A55" s="354" t="s">
        <v>16966</v>
      </c>
      <c r="B55" s="354" t="s">
        <v>17202</v>
      </c>
      <c r="C55" s="354" t="s">
        <v>20960</v>
      </c>
      <c r="D55" s="354" t="s">
        <v>17215</v>
      </c>
      <c r="E55" s="354" t="s">
        <v>20955</v>
      </c>
      <c r="F55" s="354" t="s">
        <v>20958</v>
      </c>
      <c r="G55" s="354" t="s">
        <v>20956</v>
      </c>
      <c r="H55" s="354" t="s">
        <v>16984</v>
      </c>
      <c r="I55" s="354" t="s">
        <v>20963</v>
      </c>
      <c r="J55" s="354" t="s">
        <v>16965</v>
      </c>
      <c r="K55" s="354" t="s">
        <v>20957</v>
      </c>
      <c r="L55" s="354" t="s">
        <v>20959</v>
      </c>
      <c r="M55" s="354" t="s">
        <v>20962</v>
      </c>
      <c r="N55" s="354" t="s">
        <v>16986</v>
      </c>
      <c r="O55" s="354" t="s">
        <v>20961</v>
      </c>
      <c r="P55" s="354" t="s">
        <v>16898</v>
      </c>
      <c r="Q55" s="354" t="s">
        <v>16987</v>
      </c>
      <c r="R55" s="354" t="s">
        <v>16988</v>
      </c>
      <c r="S55" s="354"/>
    </row>
    <row r="56" spans="1:19">
      <c r="A56" s="354" t="s">
        <v>17216</v>
      </c>
      <c r="B56" s="354" t="s">
        <v>17217</v>
      </c>
      <c r="C56" s="354" t="s">
        <v>17218</v>
      </c>
      <c r="D56" s="354" t="s">
        <v>17219</v>
      </c>
      <c r="E56" s="354" t="s">
        <v>17220</v>
      </c>
      <c r="F56" s="354"/>
      <c r="G56" s="354"/>
      <c r="H56" s="354" t="s">
        <v>16984</v>
      </c>
      <c r="I56" s="354" t="s">
        <v>17221</v>
      </c>
      <c r="J56" s="354"/>
      <c r="K56" s="354"/>
      <c r="L56" s="354"/>
      <c r="M56" s="354"/>
      <c r="N56" s="354" t="s">
        <v>17222</v>
      </c>
      <c r="O56" s="354"/>
      <c r="P56" s="354" t="s">
        <v>16894</v>
      </c>
      <c r="Q56" s="354" t="s">
        <v>16987</v>
      </c>
      <c r="R56" s="354" t="s">
        <v>17046</v>
      </c>
      <c r="S56" s="354"/>
    </row>
    <row r="57" spans="1:19">
      <c r="A57" s="354" t="s">
        <v>17223</v>
      </c>
      <c r="B57" s="354" t="s">
        <v>17217</v>
      </c>
      <c r="C57" s="354" t="s">
        <v>17224</v>
      </c>
      <c r="D57" s="354" t="s">
        <v>17225</v>
      </c>
      <c r="E57" s="354" t="s">
        <v>17226</v>
      </c>
      <c r="F57" s="354"/>
      <c r="G57" s="354"/>
      <c r="H57" s="354" t="s">
        <v>16984</v>
      </c>
      <c r="I57" s="354" t="s">
        <v>17012</v>
      </c>
      <c r="J57" s="354"/>
      <c r="K57" s="354"/>
      <c r="L57" s="354"/>
      <c r="M57" s="354"/>
      <c r="N57" s="354" t="s">
        <v>17227</v>
      </c>
      <c r="O57" s="354"/>
      <c r="P57" s="354" t="s">
        <v>16894</v>
      </c>
      <c r="Q57" s="354" t="s">
        <v>16987</v>
      </c>
      <c r="R57" s="354" t="s">
        <v>17046</v>
      </c>
      <c r="S57" s="354"/>
    </row>
    <row r="58" spans="1:19">
      <c r="A58" s="354" t="s">
        <v>17228</v>
      </c>
      <c r="B58" s="354" t="s">
        <v>17217</v>
      </c>
      <c r="C58" s="354" t="s">
        <v>17229</v>
      </c>
      <c r="D58" s="354" t="s">
        <v>17230</v>
      </c>
      <c r="E58" s="354" t="s">
        <v>17231</v>
      </c>
      <c r="F58" s="354"/>
      <c r="G58" s="354"/>
      <c r="H58" s="354" t="s">
        <v>16984</v>
      </c>
      <c r="I58" s="354" t="s">
        <v>269</v>
      </c>
      <c r="J58" s="354"/>
      <c r="K58" s="354"/>
      <c r="L58" s="354"/>
      <c r="M58" s="354"/>
      <c r="N58" s="354" t="s">
        <v>17232</v>
      </c>
      <c r="O58" s="354"/>
      <c r="P58" s="354" t="s">
        <v>16894</v>
      </c>
      <c r="Q58" s="354" t="s">
        <v>16987</v>
      </c>
      <c r="R58" s="354" t="s">
        <v>17046</v>
      </c>
      <c r="S58" s="354"/>
    </row>
    <row r="59" spans="1:19">
      <c r="A59" s="354" t="s">
        <v>18348</v>
      </c>
      <c r="B59" s="354" t="s">
        <v>16979</v>
      </c>
      <c r="C59" s="354" t="s">
        <v>18352</v>
      </c>
      <c r="D59" s="354" t="s">
        <v>18350</v>
      </c>
      <c r="E59" s="354" t="s">
        <v>18347</v>
      </c>
      <c r="F59" s="354" t="s">
        <v>18351</v>
      </c>
      <c r="G59" s="354" t="s">
        <v>18349</v>
      </c>
      <c r="H59" s="354" t="s">
        <v>16984</v>
      </c>
      <c r="I59" s="354" t="s">
        <v>16995</v>
      </c>
      <c r="J59" s="354"/>
      <c r="K59" s="354"/>
      <c r="L59" s="354"/>
      <c r="M59" s="354" t="s">
        <v>16996</v>
      </c>
      <c r="N59" s="354" t="s">
        <v>16986</v>
      </c>
      <c r="O59" s="354"/>
      <c r="P59" s="354" t="s">
        <v>16894</v>
      </c>
      <c r="Q59" s="354" t="s">
        <v>16987</v>
      </c>
      <c r="R59" s="354" t="s">
        <v>16988</v>
      </c>
      <c r="S59" s="354" t="s">
        <v>18353</v>
      </c>
    </row>
    <row r="60" spans="1:19">
      <c r="A60" s="354" t="s">
        <v>18355</v>
      </c>
      <c r="B60" s="354" t="s">
        <v>16979</v>
      </c>
      <c r="C60" s="354" t="s">
        <v>18359</v>
      </c>
      <c r="D60" s="354" t="s">
        <v>18357</v>
      </c>
      <c r="E60" s="354" t="s">
        <v>18354</v>
      </c>
      <c r="F60" s="354" t="s">
        <v>18358</v>
      </c>
      <c r="G60" s="354" t="s">
        <v>18356</v>
      </c>
      <c r="H60" s="354" t="s">
        <v>16984</v>
      </c>
      <c r="I60" s="354" t="s">
        <v>16995</v>
      </c>
      <c r="J60" s="354"/>
      <c r="K60" s="354"/>
      <c r="L60" s="354"/>
      <c r="M60" s="354" t="s">
        <v>16996</v>
      </c>
      <c r="N60" s="354" t="s">
        <v>16986</v>
      </c>
      <c r="O60" s="354"/>
      <c r="P60" s="354" t="s">
        <v>16894</v>
      </c>
      <c r="Q60" s="354" t="s">
        <v>16987</v>
      </c>
      <c r="R60" s="354" t="s">
        <v>16988</v>
      </c>
      <c r="S60" s="354" t="s">
        <v>18360</v>
      </c>
    </row>
    <row r="61" spans="1:19">
      <c r="A61" s="354" t="s">
        <v>18362</v>
      </c>
      <c r="B61" s="354" t="s">
        <v>16979</v>
      </c>
      <c r="C61" s="354" t="s">
        <v>18366</v>
      </c>
      <c r="D61" s="354" t="s">
        <v>18364</v>
      </c>
      <c r="E61" s="354" t="s">
        <v>18361</v>
      </c>
      <c r="F61" s="354" t="s">
        <v>18365</v>
      </c>
      <c r="G61" s="354" t="s">
        <v>18363</v>
      </c>
      <c r="H61" s="354" t="s">
        <v>17007</v>
      </c>
      <c r="I61" s="354" t="s">
        <v>17012</v>
      </c>
      <c r="J61" s="354"/>
      <c r="K61" s="354"/>
      <c r="L61" s="354"/>
      <c r="M61" s="354" t="s">
        <v>16985</v>
      </c>
      <c r="N61" s="354" t="s">
        <v>16986</v>
      </c>
      <c r="O61" s="354"/>
      <c r="P61" s="354" t="s">
        <v>16894</v>
      </c>
      <c r="Q61" s="354" t="s">
        <v>16987</v>
      </c>
      <c r="R61" s="354" t="s">
        <v>16988</v>
      </c>
      <c r="S61" s="354" t="s">
        <v>18367</v>
      </c>
    </row>
    <row r="62" spans="1:19">
      <c r="A62" s="354" t="s">
        <v>18369</v>
      </c>
      <c r="B62" s="354" t="s">
        <v>17018</v>
      </c>
      <c r="C62" s="354" t="s">
        <v>18373</v>
      </c>
      <c r="D62" s="354" t="s">
        <v>18371</v>
      </c>
      <c r="E62" s="354" t="s">
        <v>18368</v>
      </c>
      <c r="F62" s="354" t="s">
        <v>18372</v>
      </c>
      <c r="G62" s="354" t="s">
        <v>18370</v>
      </c>
      <c r="H62" s="354" t="s">
        <v>16984</v>
      </c>
      <c r="I62" s="354" t="s">
        <v>16902</v>
      </c>
      <c r="J62" s="354"/>
      <c r="K62" s="354"/>
      <c r="L62" s="354"/>
      <c r="M62" s="354" t="s">
        <v>16985</v>
      </c>
      <c r="N62" s="354" t="s">
        <v>16986</v>
      </c>
      <c r="O62" s="354"/>
      <c r="P62" s="354" t="s">
        <v>16894</v>
      </c>
      <c r="Q62" s="354" t="s">
        <v>16987</v>
      </c>
      <c r="R62" s="354" t="s">
        <v>16988</v>
      </c>
      <c r="S62" s="354" t="s">
        <v>18374</v>
      </c>
    </row>
    <row r="63" spans="1:19">
      <c r="A63" s="354" t="s">
        <v>18376</v>
      </c>
      <c r="B63" s="354" t="s">
        <v>2618</v>
      </c>
      <c r="C63" s="354" t="s">
        <v>18379</v>
      </c>
      <c r="D63" s="354" t="s">
        <v>18377</v>
      </c>
      <c r="E63" s="354" t="s">
        <v>18375</v>
      </c>
      <c r="F63" s="354" t="s">
        <v>18378</v>
      </c>
      <c r="G63" s="354" t="s">
        <v>17050</v>
      </c>
      <c r="H63" s="354" t="s">
        <v>16984</v>
      </c>
      <c r="I63" s="354" t="s">
        <v>269</v>
      </c>
      <c r="J63" s="354"/>
      <c r="K63" s="354"/>
      <c r="L63" s="354"/>
      <c r="M63" s="354" t="s">
        <v>16985</v>
      </c>
      <c r="N63" s="354" t="s">
        <v>16986</v>
      </c>
      <c r="O63" s="354" t="s">
        <v>17051</v>
      </c>
      <c r="P63" s="354" t="s">
        <v>16894</v>
      </c>
      <c r="Q63" s="354" t="s">
        <v>16987</v>
      </c>
      <c r="R63" s="354" t="s">
        <v>16988</v>
      </c>
      <c r="S63" s="354" t="s">
        <v>18380</v>
      </c>
    </row>
    <row r="64" spans="1:19">
      <c r="A64" s="354" t="s">
        <v>18382</v>
      </c>
      <c r="B64" s="354" t="s">
        <v>2618</v>
      </c>
      <c r="C64" s="354" t="s">
        <v>18385</v>
      </c>
      <c r="D64" s="354" t="s">
        <v>18383</v>
      </c>
      <c r="E64" s="354" t="s">
        <v>18381</v>
      </c>
      <c r="F64" s="354" t="s">
        <v>18384</v>
      </c>
      <c r="G64" s="354" t="s">
        <v>2454</v>
      </c>
      <c r="H64" s="354" t="s">
        <v>16984</v>
      </c>
      <c r="I64" s="354" t="s">
        <v>269</v>
      </c>
      <c r="J64" s="354"/>
      <c r="K64" s="354"/>
      <c r="L64" s="354"/>
      <c r="M64" s="354" t="s">
        <v>16985</v>
      </c>
      <c r="N64" s="354" t="s">
        <v>16986</v>
      </c>
      <c r="O64" s="354" t="s">
        <v>17066</v>
      </c>
      <c r="P64" s="354" t="s">
        <v>16894</v>
      </c>
      <c r="Q64" s="354" t="s">
        <v>16987</v>
      </c>
      <c r="R64" s="354" t="s">
        <v>16988</v>
      </c>
      <c r="S64" s="354" t="s">
        <v>18386</v>
      </c>
    </row>
    <row r="65" spans="1:19">
      <c r="A65" s="354" t="s">
        <v>18388</v>
      </c>
      <c r="B65" s="354" t="s">
        <v>18393</v>
      </c>
      <c r="C65" s="354" t="s">
        <v>18391</v>
      </c>
      <c r="D65" s="354" t="s">
        <v>18390</v>
      </c>
      <c r="E65" s="354" t="s">
        <v>18387</v>
      </c>
      <c r="F65" s="354" t="s">
        <v>18589</v>
      </c>
      <c r="G65" s="354" t="s">
        <v>18389</v>
      </c>
      <c r="H65" s="354" t="s">
        <v>16984</v>
      </c>
      <c r="I65" s="354" t="s">
        <v>16892</v>
      </c>
      <c r="J65" s="354"/>
      <c r="K65" s="354"/>
      <c r="L65" s="354"/>
      <c r="M65" s="354" t="s">
        <v>18392</v>
      </c>
      <c r="N65" s="354" t="s">
        <v>16986</v>
      </c>
      <c r="O65" s="354"/>
      <c r="P65" s="354" t="s">
        <v>16894</v>
      </c>
      <c r="Q65" s="354" t="s">
        <v>16987</v>
      </c>
      <c r="R65" s="354" t="s">
        <v>16988</v>
      </c>
      <c r="S65" s="354" t="s">
        <v>18590</v>
      </c>
    </row>
    <row r="66" spans="1:19">
      <c r="A66" s="354" t="s">
        <v>18395</v>
      </c>
      <c r="B66" s="354" t="s">
        <v>18393</v>
      </c>
      <c r="C66" s="354" t="s">
        <v>18398</v>
      </c>
      <c r="D66" s="354" t="s">
        <v>18396</v>
      </c>
      <c r="E66" s="354" t="s">
        <v>18394</v>
      </c>
      <c r="F66" s="354" t="s">
        <v>18397</v>
      </c>
      <c r="G66" s="354" t="s">
        <v>18389</v>
      </c>
      <c r="H66" s="354" t="s">
        <v>16984</v>
      </c>
      <c r="I66" s="354" t="s">
        <v>18400</v>
      </c>
      <c r="J66" s="354"/>
      <c r="K66" s="354"/>
      <c r="L66" s="354"/>
      <c r="M66" s="354"/>
      <c r="N66" s="354" t="s">
        <v>16986</v>
      </c>
      <c r="O66" s="354"/>
      <c r="P66" s="354" t="s">
        <v>16894</v>
      </c>
      <c r="Q66" s="354" t="s">
        <v>16987</v>
      </c>
      <c r="R66" s="354" t="s">
        <v>16988</v>
      </c>
      <c r="S66" s="354" t="s">
        <v>18399</v>
      </c>
    </row>
    <row r="67" spans="1:19">
      <c r="A67" s="354" t="s">
        <v>18402</v>
      </c>
      <c r="B67" s="354" t="s">
        <v>18393</v>
      </c>
      <c r="C67" s="354" t="s">
        <v>18405</v>
      </c>
      <c r="D67" s="354" t="s">
        <v>18403</v>
      </c>
      <c r="E67" s="354" t="s">
        <v>18401</v>
      </c>
      <c r="F67" s="354" t="s">
        <v>18404</v>
      </c>
      <c r="G67" s="354" t="s">
        <v>3496</v>
      </c>
      <c r="H67" s="354" t="s">
        <v>16984</v>
      </c>
      <c r="I67" s="354" t="s">
        <v>98</v>
      </c>
      <c r="J67" s="354"/>
      <c r="K67" s="354"/>
      <c r="L67" s="354"/>
      <c r="M67" s="354"/>
      <c r="N67" s="354" t="s">
        <v>16986</v>
      </c>
      <c r="O67" s="354"/>
      <c r="P67" s="354" t="s">
        <v>16894</v>
      </c>
      <c r="Q67" s="354" t="s">
        <v>16987</v>
      </c>
      <c r="R67" s="354" t="s">
        <v>16988</v>
      </c>
      <c r="S67" s="354" t="s">
        <v>18406</v>
      </c>
    </row>
    <row r="68" spans="1:19">
      <c r="A68" s="354" t="s">
        <v>18408</v>
      </c>
      <c r="B68" s="354" t="s">
        <v>18393</v>
      </c>
      <c r="C68" s="354" t="s">
        <v>18297</v>
      </c>
      <c r="D68" s="354" t="s">
        <v>18298</v>
      </c>
      <c r="E68" s="354" t="s">
        <v>18407</v>
      </c>
      <c r="F68" s="354" t="s">
        <v>18410</v>
      </c>
      <c r="G68" s="354" t="s">
        <v>18409</v>
      </c>
      <c r="H68" s="354" t="s">
        <v>16984</v>
      </c>
      <c r="I68" s="354" t="s">
        <v>16892</v>
      </c>
      <c r="J68" s="354"/>
      <c r="K68" s="354"/>
      <c r="L68" s="354"/>
      <c r="M68" s="354" t="s">
        <v>18412</v>
      </c>
      <c r="N68" s="354" t="s">
        <v>16986</v>
      </c>
      <c r="O68" s="354"/>
      <c r="P68" s="354" t="s">
        <v>16894</v>
      </c>
      <c r="Q68" s="354" t="s">
        <v>16987</v>
      </c>
      <c r="R68" s="354" t="s">
        <v>16988</v>
      </c>
      <c r="S68" s="354" t="s">
        <v>18411</v>
      </c>
    </row>
    <row r="69" spans="1:19">
      <c r="A69" s="354" t="s">
        <v>18414</v>
      </c>
      <c r="B69" s="354" t="s">
        <v>18393</v>
      </c>
      <c r="C69" s="354" t="s">
        <v>18418</v>
      </c>
      <c r="D69" s="354" t="s">
        <v>18416</v>
      </c>
      <c r="E69" s="354" t="s">
        <v>18413</v>
      </c>
      <c r="F69" s="354" t="s">
        <v>18417</v>
      </c>
      <c r="G69" s="354" t="s">
        <v>18415</v>
      </c>
      <c r="H69" s="354" t="s">
        <v>16984</v>
      </c>
      <c r="I69" s="354" t="s">
        <v>98</v>
      </c>
      <c r="J69" s="354"/>
      <c r="K69" s="354"/>
      <c r="L69" s="354"/>
      <c r="M69" s="354"/>
      <c r="N69" s="354" t="s">
        <v>16986</v>
      </c>
      <c r="O69" s="354" t="s">
        <v>18419</v>
      </c>
      <c r="P69" s="354" t="s">
        <v>16894</v>
      </c>
      <c r="Q69" s="354" t="s">
        <v>16987</v>
      </c>
      <c r="R69" s="354" t="s">
        <v>16988</v>
      </c>
      <c r="S69" s="354" t="s">
        <v>18420</v>
      </c>
    </row>
    <row r="70" spans="1:19">
      <c r="A70" s="354" t="s">
        <v>18422</v>
      </c>
      <c r="B70" s="354" t="s">
        <v>18393</v>
      </c>
      <c r="C70" s="354" t="s">
        <v>18426</v>
      </c>
      <c r="D70" s="354" t="s">
        <v>18424</v>
      </c>
      <c r="E70" s="354" t="s">
        <v>18421</v>
      </c>
      <c r="F70" s="354" t="s">
        <v>18425</v>
      </c>
      <c r="G70" s="354" t="s">
        <v>18423</v>
      </c>
      <c r="H70" s="354" t="s">
        <v>16984</v>
      </c>
      <c r="I70" s="354" t="s">
        <v>16892</v>
      </c>
      <c r="J70" s="354"/>
      <c r="K70" s="354"/>
      <c r="L70" s="354"/>
      <c r="M70" s="354"/>
      <c r="N70" s="354" t="s">
        <v>16986</v>
      </c>
      <c r="O70" s="354"/>
      <c r="P70" s="354" t="s">
        <v>16894</v>
      </c>
      <c r="Q70" s="354" t="s">
        <v>16987</v>
      </c>
      <c r="R70" s="354" t="s">
        <v>16988</v>
      </c>
      <c r="S70" s="354" t="s">
        <v>18427</v>
      </c>
    </row>
    <row r="71" spans="1:19">
      <c r="A71" s="354" t="s">
        <v>19647</v>
      </c>
      <c r="B71" s="354" t="s">
        <v>17091</v>
      </c>
      <c r="C71" s="354" t="s">
        <v>19649</v>
      </c>
      <c r="D71" s="354" t="s">
        <v>19648</v>
      </c>
      <c r="E71" s="354" t="s">
        <v>19646</v>
      </c>
      <c r="F71" s="354" t="s">
        <v>19652</v>
      </c>
      <c r="G71" s="354" t="s">
        <v>19635</v>
      </c>
      <c r="H71" s="354" t="s">
        <v>16984</v>
      </c>
      <c r="I71" s="354" t="s">
        <v>269</v>
      </c>
      <c r="J71" s="354"/>
      <c r="K71" s="354"/>
      <c r="L71" s="354"/>
      <c r="M71" s="354" t="s">
        <v>19651</v>
      </c>
      <c r="N71" s="354" t="s">
        <v>16986</v>
      </c>
      <c r="O71" s="354" t="s">
        <v>17114</v>
      </c>
      <c r="P71" s="354"/>
      <c r="Q71" s="354" t="s">
        <v>16987</v>
      </c>
      <c r="R71" s="354" t="s">
        <v>16988</v>
      </c>
      <c r="S71" s="354" t="s">
        <v>19650</v>
      </c>
    </row>
    <row r="72" spans="1:19">
      <c r="A72" s="354" t="s">
        <v>19705</v>
      </c>
      <c r="B72" s="354" t="s">
        <v>17061</v>
      </c>
      <c r="C72" s="354" t="s">
        <v>19708</v>
      </c>
      <c r="D72" s="354" t="s">
        <v>19707</v>
      </c>
      <c r="E72" s="354" t="s">
        <v>19704</v>
      </c>
      <c r="F72" s="354" t="s">
        <v>19711</v>
      </c>
      <c r="G72" s="354" t="s">
        <v>19706</v>
      </c>
      <c r="H72" s="354" t="s">
        <v>16984</v>
      </c>
      <c r="I72" s="354" t="s">
        <v>16892</v>
      </c>
      <c r="J72" s="354"/>
      <c r="K72" s="354"/>
      <c r="L72" s="354"/>
      <c r="M72" s="354" t="s">
        <v>19710</v>
      </c>
      <c r="N72" s="354" t="s">
        <v>16986</v>
      </c>
      <c r="O72" s="354"/>
      <c r="P72" s="354"/>
      <c r="Q72" s="354" t="s">
        <v>16987</v>
      </c>
      <c r="R72" s="354" t="s">
        <v>16988</v>
      </c>
      <c r="S72" s="354" t="s">
        <v>19709</v>
      </c>
    </row>
    <row r="73" spans="1:19">
      <c r="A73" s="354" t="s">
        <v>20965</v>
      </c>
      <c r="B73" s="354" t="s">
        <v>17202</v>
      </c>
      <c r="C73" s="354" t="s">
        <v>20969</v>
      </c>
      <c r="D73" s="354" t="s">
        <v>20966</v>
      </c>
      <c r="E73" s="354" t="s">
        <v>20964</v>
      </c>
      <c r="F73" s="354" t="s">
        <v>20967</v>
      </c>
      <c r="G73" s="354" t="s">
        <v>123</v>
      </c>
      <c r="H73" s="354" t="s">
        <v>16984</v>
      </c>
      <c r="I73" s="354" t="s">
        <v>17120</v>
      </c>
      <c r="J73" s="354" t="s">
        <v>20971</v>
      </c>
      <c r="K73" s="354" t="s">
        <v>20950</v>
      </c>
      <c r="L73" s="354" t="s">
        <v>20968</v>
      </c>
      <c r="M73" s="354" t="s">
        <v>20936</v>
      </c>
      <c r="N73" s="354" t="s">
        <v>16986</v>
      </c>
      <c r="O73" s="354" t="s">
        <v>20929</v>
      </c>
      <c r="P73" s="354" t="s">
        <v>16898</v>
      </c>
      <c r="Q73" s="354" t="s">
        <v>16987</v>
      </c>
      <c r="R73" s="354" t="s">
        <v>16988</v>
      </c>
      <c r="S73" s="354" t="s">
        <v>20970</v>
      </c>
    </row>
    <row r="74" spans="1:19">
      <c r="A74" s="354" t="s">
        <v>20973</v>
      </c>
      <c r="B74" s="354" t="s">
        <v>17202</v>
      </c>
      <c r="C74" s="354" t="s">
        <v>20978</v>
      </c>
      <c r="D74" s="354" t="s">
        <v>20975</v>
      </c>
      <c r="E74" s="354" t="s">
        <v>20972</v>
      </c>
      <c r="F74" s="354" t="s">
        <v>20976</v>
      </c>
      <c r="G74" s="354" t="s">
        <v>1</v>
      </c>
      <c r="H74" s="354" t="s">
        <v>16984</v>
      </c>
      <c r="I74" s="354" t="s">
        <v>20981</v>
      </c>
      <c r="J74" s="354" t="s">
        <v>20980</v>
      </c>
      <c r="K74" s="354" t="s">
        <v>20974</v>
      </c>
      <c r="L74" s="354" t="s">
        <v>20977</v>
      </c>
      <c r="M74" s="354" t="s">
        <v>20979</v>
      </c>
      <c r="N74" s="354" t="s">
        <v>16986</v>
      </c>
      <c r="O74" s="354" t="s">
        <v>1</v>
      </c>
      <c r="P74" s="354" t="s">
        <v>16898</v>
      </c>
      <c r="Q74" s="354" t="s">
        <v>16987</v>
      </c>
      <c r="R74" s="354" t="s">
        <v>16988</v>
      </c>
      <c r="S74" s="354"/>
    </row>
  </sheetData>
  <sheetProtection algorithmName="SHA-512" hashValue="y00OE4YFBMTeu1S50/CT4TDPG6YgHnTeSFPomKLcMAMu61q45glHbcyKhtkJc9grGnZVftdAsvPe03mjMuS3Zg==" saltValue="OHzF/rFCqxM4lU+W/hTJ6w==" spinCount="100000" sheet="1" scenarios="1" formatColumns="0" sort="0" autoFilter="0"/>
  <pageMargins left="0.7" right="0.7" top="0.75" bottom="0.75" header="0.3" footer="0.3"/>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BF9CA-DBCF-4F1B-B6BE-CA3B7E2EE3C1}">
  <sheetPr codeName="Sheet92">
    <tabColor rgb="FFFFC000"/>
  </sheetPr>
  <dimension ref="A1:H16"/>
  <sheetViews>
    <sheetView showGridLines="0" workbookViewId="0"/>
  </sheetViews>
  <sheetFormatPr defaultRowHeight="12"/>
  <cols>
    <col min="1" max="1" width="6.7109375" style="122" customWidth="1"/>
    <col min="2" max="2" width="34.7109375" style="122" customWidth="1"/>
    <col min="3" max="3" width="30.7109375" style="122" customWidth="1"/>
    <col min="4" max="4" width="40.7109375" style="122" customWidth="1"/>
    <col min="5" max="5" width="34.7109375" style="122" customWidth="1"/>
    <col min="6" max="6" width="8.7109375" style="122" customWidth="1"/>
    <col min="7" max="7" width="16.7109375" style="122" customWidth="1"/>
    <col min="8" max="8" width="2.7109375" style="122" customWidth="1"/>
    <col min="9" max="16384" width="9.140625" style="122"/>
  </cols>
  <sheetData>
    <row r="1" spans="1:8" ht="18">
      <c r="A1" s="123" t="s">
        <v>22016</v>
      </c>
    </row>
    <row r="2" spans="1:8" ht="33.950000000000003" customHeight="1">
      <c r="A2" s="240" t="s">
        <v>22017</v>
      </c>
      <c r="B2" s="240"/>
      <c r="C2" s="240"/>
      <c r="D2" s="240"/>
      <c r="E2" s="240"/>
      <c r="F2" s="240"/>
      <c r="G2" s="240"/>
      <c r="H2" s="240"/>
    </row>
    <row r="4" spans="1:8">
      <c r="A4" s="208" t="s">
        <v>2822</v>
      </c>
      <c r="B4" s="208" t="s">
        <v>21402</v>
      </c>
      <c r="C4" s="208" t="s">
        <v>22018</v>
      </c>
      <c r="D4" s="208" t="s">
        <v>148</v>
      </c>
      <c r="E4" s="208" t="s">
        <v>22019</v>
      </c>
      <c r="F4" s="208" t="s">
        <v>22020</v>
      </c>
      <c r="G4" s="208" t="s">
        <v>18808</v>
      </c>
    </row>
    <row r="5" spans="1:8" ht="22.5">
      <c r="A5" s="209" t="s">
        <v>21817</v>
      </c>
      <c r="B5" s="209" t="s">
        <v>22021</v>
      </c>
      <c r="C5" s="209" t="s">
        <v>21820</v>
      </c>
      <c r="D5" s="209" t="s">
        <v>21822</v>
      </c>
      <c r="E5" s="199" t="str">
        <f>"MinLinesForQuantile = "&amp;IFERROR(_xlfn.XLOOKUP("MinLinesForQuantile",AnParam[Param],AnParam[Value])&amp;"","(missing)")</f>
        <v>MinLinesForQuantile = 30</v>
      </c>
      <c r="F5" s="210" t="str">
        <f t="shared" ref="F5:F13" si="0">HYPERLINK("#'Method_Cards'!B144","→ M9")</f>
        <v>→ M9</v>
      </c>
      <c r="G5" s="210" t="str">
        <f t="shared" ref="G5:G13" si="1">HYPERLINK("#'AN_Lags'!A1","→ AN_Lags")</f>
        <v>→ AN_Lags</v>
      </c>
    </row>
    <row r="6" spans="1:8" ht="22.5">
      <c r="A6" s="209" t="s">
        <v>21857</v>
      </c>
      <c r="B6" s="209" t="s">
        <v>22022</v>
      </c>
      <c r="C6" s="209" t="s">
        <v>21859</v>
      </c>
      <c r="D6" s="209" t="s">
        <v>21860</v>
      </c>
      <c r="E6" s="199" t="str">
        <f>"MinLinesForQuantile = "&amp;IFERROR(_xlfn.XLOOKUP("MinLinesForQuantile",AnParam[Param],AnParam[Value])&amp;"","(missing)")</f>
        <v>MinLinesForQuantile = 30</v>
      </c>
      <c r="F6" s="210" t="str">
        <f t="shared" si="0"/>
        <v>→ M9</v>
      </c>
      <c r="G6" s="210" t="str">
        <f t="shared" si="1"/>
        <v>→ AN_Lags</v>
      </c>
    </row>
    <row r="7" spans="1:8" ht="22.5">
      <c r="A7" s="209" t="s">
        <v>21880</v>
      </c>
      <c r="B7" s="209" t="s">
        <v>22023</v>
      </c>
      <c r="C7" s="209" t="s">
        <v>21882</v>
      </c>
      <c r="D7" s="209" t="s">
        <v>21883</v>
      </c>
      <c r="E7" s="199" t="str">
        <f>"MinLinesForQuantile = "&amp;IFERROR(_xlfn.XLOOKUP("MinLinesForQuantile",AnParam[Param],AnParam[Value])&amp;"","(missing)")</f>
        <v>MinLinesForQuantile = 30</v>
      </c>
      <c r="F7" s="210" t="str">
        <f t="shared" si="0"/>
        <v>→ M9</v>
      </c>
      <c r="G7" s="210" t="str">
        <f t="shared" si="1"/>
        <v>→ AN_Lags</v>
      </c>
    </row>
    <row r="8" spans="1:8">
      <c r="A8" s="209" t="s">
        <v>21903</v>
      </c>
      <c r="B8" s="209" t="s">
        <v>22024</v>
      </c>
      <c r="C8" s="209" t="s">
        <v>21905</v>
      </c>
      <c r="D8" s="209" t="s">
        <v>21906</v>
      </c>
      <c r="E8" s="199" t="str">
        <f>"MinLinesForQuantile = "&amp;IFERROR(_xlfn.XLOOKUP("MinLinesForQuantile",AnParam[Param],AnParam[Value])&amp;"","(missing)")</f>
        <v>MinLinesForQuantile = 30</v>
      </c>
      <c r="F8" s="210" t="str">
        <f t="shared" si="0"/>
        <v>→ M9</v>
      </c>
      <c r="G8" s="210" t="str">
        <f t="shared" si="1"/>
        <v>→ AN_Lags</v>
      </c>
    </row>
    <row r="9" spans="1:8" ht="22.5">
      <c r="A9" s="209" t="s">
        <v>21924</v>
      </c>
      <c r="B9" s="209" t="s">
        <v>22025</v>
      </c>
      <c r="C9" s="209" t="s">
        <v>21905</v>
      </c>
      <c r="D9" s="209" t="s">
        <v>21926</v>
      </c>
      <c r="E9" s="199" t="str">
        <f>"MinLinesForQuantile = "&amp;IFERROR(_xlfn.XLOOKUP("MinLinesForQuantile",AnParam[Param],AnParam[Value])&amp;"","(missing)")</f>
        <v>MinLinesForQuantile = 30</v>
      </c>
      <c r="F9" s="210" t="str">
        <f t="shared" si="0"/>
        <v>→ M9</v>
      </c>
      <c r="G9" s="210" t="str">
        <f t="shared" si="1"/>
        <v>→ AN_Lags</v>
      </c>
    </row>
    <row r="10" spans="1:8" ht="22.5">
      <c r="A10" s="209" t="s">
        <v>21942</v>
      </c>
      <c r="B10" s="209" t="s">
        <v>22026</v>
      </c>
      <c r="C10" s="209" t="s">
        <v>21905</v>
      </c>
      <c r="D10" s="209" t="s">
        <v>21944</v>
      </c>
      <c r="E10" s="199" t="str">
        <f>"MinLinesForQuantile = "&amp;IFERROR(_xlfn.XLOOKUP("MinLinesForQuantile",AnParam[Param],AnParam[Value])&amp;"","(missing)")</f>
        <v>MinLinesForQuantile = 30</v>
      </c>
      <c r="F10" s="210" t="str">
        <f t="shared" si="0"/>
        <v>→ M9</v>
      </c>
      <c r="G10" s="210" t="str">
        <f t="shared" si="1"/>
        <v>→ AN_Lags</v>
      </c>
    </row>
    <row r="11" spans="1:8">
      <c r="A11" s="209" t="s">
        <v>21960</v>
      </c>
      <c r="B11" s="209" t="s">
        <v>22027</v>
      </c>
      <c r="C11" s="209" t="s">
        <v>21962</v>
      </c>
      <c r="D11" s="209" t="s">
        <v>21963</v>
      </c>
      <c r="E11" s="199" t="str">
        <f>"MinLinesForQuantile = "&amp;IFERROR(_xlfn.XLOOKUP("MinLinesForQuantile",AnParam[Param],AnParam[Value])&amp;"","(missing)")</f>
        <v>MinLinesForQuantile = 30</v>
      </c>
      <c r="F11" s="210" t="str">
        <f t="shared" si="0"/>
        <v>→ M9</v>
      </c>
      <c r="G11" s="210" t="str">
        <f t="shared" si="1"/>
        <v>→ AN_Lags</v>
      </c>
    </row>
    <row r="12" spans="1:8" ht="22.5">
      <c r="A12" s="209" t="s">
        <v>21975</v>
      </c>
      <c r="B12" s="209" t="s">
        <v>22028</v>
      </c>
      <c r="C12" s="209" t="s">
        <v>21977</v>
      </c>
      <c r="D12" s="209" t="s">
        <v>21978</v>
      </c>
      <c r="E12" s="199" t="str">
        <f>"MinLinesForQuantile = "&amp;IFERROR(_xlfn.XLOOKUP("MinLinesForQuantile",AnParam[Param],AnParam[Value])&amp;"","(missing)")</f>
        <v>MinLinesForQuantile = 30</v>
      </c>
      <c r="F12" s="210" t="str">
        <f t="shared" si="0"/>
        <v>→ M9</v>
      </c>
      <c r="G12" s="210" t="str">
        <f t="shared" si="1"/>
        <v>→ AN_Lags</v>
      </c>
    </row>
    <row r="13" spans="1:8" ht="22.5">
      <c r="A13" s="209" t="s">
        <v>21995</v>
      </c>
      <c r="B13" s="209" t="s">
        <v>22029</v>
      </c>
      <c r="C13" s="209" t="s">
        <v>21997</v>
      </c>
      <c r="D13" s="209" t="s">
        <v>21998</v>
      </c>
      <c r="E13" s="199" t="str">
        <f>"MinLinesForQuantile = "&amp;IFERROR(_xlfn.XLOOKUP("MinLinesForQuantile",AnParam[Param],AnParam[Value])&amp;"","(missing)")</f>
        <v>MinLinesForQuantile = 30</v>
      </c>
      <c r="F13" s="210" t="str">
        <f t="shared" si="0"/>
        <v>→ M9</v>
      </c>
      <c r="G13" s="210" t="str">
        <f t="shared" si="1"/>
        <v>→ AN_Lags</v>
      </c>
    </row>
    <row r="15" spans="1:8" ht="12" customHeight="1">
      <c r="A15" s="322" t="s">
        <v>22030</v>
      </c>
      <c r="B15" s="322"/>
      <c r="C15" s="322"/>
      <c r="D15" s="322"/>
      <c r="E15" s="322"/>
      <c r="F15" s="322"/>
      <c r="G15" s="322"/>
    </row>
    <row r="16" spans="1:8">
      <c r="A16" s="322"/>
      <c r="B16" s="322"/>
      <c r="C16" s="322"/>
      <c r="D16" s="322"/>
      <c r="E16" s="322"/>
      <c r="F16" s="322"/>
      <c r="G16" s="322"/>
    </row>
  </sheetData>
  <sheetProtection algorithmName="SHA-512" hashValue="HKi3tWHVmk1oUPF26p9QDI09v4aDSukxOYrWRvloAjbP9vqNew14LkEE9KGLwdrnYhbl6qWiK7lrFomy16SZLA==" saltValue="abT7MrIjJAhwQZ53bCcbAg==" spinCount="100000" sheet="1" scenarios="1" formatColumns="0" sort="0" autoFilter="0"/>
  <mergeCells count="2">
    <mergeCell ref="A2:H2"/>
    <mergeCell ref="A15:G16"/>
  </mergeCells>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D2962-926B-4A2E-BF99-4C0D103EDCD6}">
  <sheetPr codeName="Sheet93">
    <tabColor rgb="FFFFC000"/>
    <pageSetUpPr fitToPage="1"/>
  </sheetPr>
  <dimension ref="A1:K161"/>
  <sheetViews>
    <sheetView showGridLines="0" workbookViewId="0"/>
  </sheetViews>
  <sheetFormatPr defaultRowHeight="12"/>
  <cols>
    <col min="1" max="1" width="5.7109375" style="122" customWidth="1"/>
    <col min="2" max="2" width="22.7109375" style="122" customWidth="1"/>
    <col min="3" max="11" width="12.7109375" style="122" customWidth="1"/>
    <col min="12" max="16384" width="9.140625" style="122"/>
  </cols>
  <sheetData>
    <row r="1" spans="1:11" ht="18">
      <c r="B1" s="123" t="s">
        <v>21815</v>
      </c>
    </row>
    <row r="2" spans="1:11" ht="33.950000000000003" customHeight="1">
      <c r="B2" s="240" t="s">
        <v>21816</v>
      </c>
      <c r="C2" s="240"/>
      <c r="D2" s="240"/>
      <c r="E2" s="240"/>
      <c r="F2" s="240"/>
      <c r="G2" s="240"/>
      <c r="H2" s="240"/>
      <c r="I2" s="240"/>
      <c r="J2" s="240"/>
      <c r="K2" s="240"/>
    </row>
    <row r="3" spans="1:11">
      <c r="B3" s="125" t="str">
        <f>HYPERLINK("#'Method_Index'!A1","Yöntem dizini / Method index")</f>
        <v>Yöntem dizini / Method index</v>
      </c>
    </row>
    <row r="5" spans="1:11" ht="15">
      <c r="A5" s="207" t="s">
        <v>21817</v>
      </c>
      <c r="B5" s="324" t="s">
        <v>21818</v>
      </c>
      <c r="C5" s="324"/>
      <c r="D5" s="324"/>
      <c r="E5" s="324"/>
      <c r="F5" s="324"/>
      <c r="G5" s="324"/>
      <c r="H5" s="324"/>
      <c r="I5" s="324"/>
      <c r="J5" s="324"/>
      <c r="K5" s="324"/>
    </row>
    <row r="6" spans="1:11" ht="12.95" customHeight="1">
      <c r="A6" s="134"/>
      <c r="B6" s="205" t="s">
        <v>21819</v>
      </c>
      <c r="C6" s="273" t="s">
        <v>21820</v>
      </c>
      <c r="D6" s="273"/>
      <c r="E6" s="273"/>
      <c r="F6" s="273"/>
      <c r="G6" s="273"/>
      <c r="H6" s="273"/>
      <c r="I6" s="273"/>
      <c r="J6" s="273"/>
      <c r="K6" s="273"/>
    </row>
    <row r="7" spans="1:11" ht="12.95" customHeight="1">
      <c r="A7" s="134"/>
      <c r="B7" s="205" t="s">
        <v>21821</v>
      </c>
      <c r="C7" s="273" t="s">
        <v>21822</v>
      </c>
      <c r="D7" s="273"/>
      <c r="E7" s="273"/>
      <c r="F7" s="273"/>
      <c r="G7" s="273"/>
      <c r="H7" s="273"/>
      <c r="I7" s="273"/>
      <c r="J7" s="273"/>
      <c r="K7" s="273"/>
    </row>
    <row r="8" spans="1:11" ht="12.95" customHeight="1">
      <c r="A8" s="134"/>
      <c r="B8" s="205" t="s">
        <v>21823</v>
      </c>
      <c r="C8" s="273" t="s">
        <v>21824</v>
      </c>
      <c r="D8" s="273"/>
      <c r="E8" s="273"/>
      <c r="F8" s="273"/>
      <c r="G8" s="273"/>
      <c r="H8" s="273"/>
      <c r="I8" s="273"/>
      <c r="J8" s="273"/>
      <c r="K8" s="273"/>
    </row>
    <row r="9" spans="1:11" ht="12.95" customHeight="1">
      <c r="A9" s="134"/>
      <c r="B9" s="205" t="s">
        <v>21825</v>
      </c>
      <c r="C9" s="273" t="s">
        <v>21826</v>
      </c>
      <c r="D9" s="273"/>
      <c r="E9" s="273"/>
      <c r="F9" s="273"/>
      <c r="G9" s="273"/>
      <c r="H9" s="273"/>
      <c r="I9" s="273"/>
      <c r="J9" s="273"/>
      <c r="K9" s="273"/>
    </row>
    <row r="10" spans="1:11" ht="87.95" customHeight="1">
      <c r="A10" s="134"/>
      <c r="B10" s="205" t="s">
        <v>21827</v>
      </c>
      <c r="C10" s="273" t="s">
        <v>21828</v>
      </c>
      <c r="D10" s="273"/>
      <c r="E10" s="273"/>
      <c r="F10" s="273"/>
      <c r="G10" s="273"/>
      <c r="H10" s="273"/>
      <c r="I10" s="273"/>
      <c r="J10" s="273"/>
      <c r="K10" s="273"/>
    </row>
    <row r="11" spans="1:11">
      <c r="A11" s="134"/>
      <c r="B11" s="126" t="s">
        <v>3948</v>
      </c>
      <c r="C11" s="206" t="s">
        <v>21829</v>
      </c>
      <c r="D11" s="206"/>
      <c r="E11" s="206"/>
      <c r="F11" s="206" t="s">
        <v>21830</v>
      </c>
      <c r="G11" s="206"/>
      <c r="H11" s="206" t="s">
        <v>21831</v>
      </c>
      <c r="I11" s="206"/>
      <c r="J11" s="206" t="s">
        <v>21832</v>
      </c>
      <c r="K11" s="206"/>
    </row>
    <row r="12" spans="1:11">
      <c r="A12" s="134"/>
      <c r="C12" s="245" t="s">
        <v>21833</v>
      </c>
      <c r="D12" s="245"/>
      <c r="E12" s="245"/>
      <c r="F12" s="245" t="s">
        <v>21834</v>
      </c>
      <c r="G12" s="245"/>
      <c r="H12" s="292" t="str">
        <f>IFERROR(_xlfn.XLOOKUP("TriangleMaxDev",AnParam[Param],AnParam[Value])&amp;"","(missing)")</f>
        <v>18</v>
      </c>
      <c r="I12" s="317"/>
      <c r="J12" s="323" t="str">
        <f>IFERROR(HYPERLINK("#'RefData'!B"&amp;(MATCH("TriangleMaxDev",AnParam[Param],0)+345),"→ RefData"),"-")</f>
        <v>→ RefData</v>
      </c>
      <c r="K12" s="245"/>
    </row>
    <row r="13" spans="1:11">
      <c r="A13" s="134"/>
      <c r="C13" s="245" t="s">
        <v>21835</v>
      </c>
      <c r="D13" s="245"/>
      <c r="E13" s="245"/>
      <c r="F13" s="245" t="s">
        <v>21836</v>
      </c>
      <c r="G13" s="245"/>
      <c r="H13" s="292" t="str">
        <f>IFERROR(_xlfn.XLOOKUP("MinLinkRatios",AnParam[Param],AnParam[Value])&amp;"","(missing)")</f>
        <v>3</v>
      </c>
      <c r="I13" s="317"/>
      <c r="J13" s="323" t="str">
        <f>IFERROR(HYPERLINK("#'RefData'!B"&amp;(MATCH("MinLinkRatios",AnParam[Param],0)+345),"→ RefData"),"-")</f>
        <v>→ RefData</v>
      </c>
      <c r="K13" s="245"/>
    </row>
    <row r="14" spans="1:11">
      <c r="A14" s="134"/>
      <c r="C14" s="245" t="s">
        <v>21837</v>
      </c>
      <c r="D14" s="245"/>
      <c r="E14" s="245"/>
      <c r="F14" s="245" t="s">
        <v>21838</v>
      </c>
      <c r="G14" s="245"/>
      <c r="H14" s="292" t="str">
        <f>IFERROR(_xlfn.XLOOKUP("TriStabilityCV",AnParam[Param],AnParam[Value])&amp;"","(missing)")</f>
        <v>0.5</v>
      </c>
      <c r="I14" s="317"/>
      <c r="J14" s="323" t="str">
        <f>IFERROR(HYPERLINK("#'RefData'!B"&amp;(MATCH("TriStabilityCV",AnParam[Param],0)+345),"→ RefData"),"-")</f>
        <v>→ RefData</v>
      </c>
      <c r="K14" s="245"/>
    </row>
    <row r="15" spans="1:11">
      <c r="A15" s="134"/>
      <c r="C15" s="245" t="s">
        <v>21839</v>
      </c>
      <c r="D15" s="245"/>
      <c r="E15" s="245"/>
      <c r="F15" s="245" t="s">
        <v>21840</v>
      </c>
      <c r="G15" s="245"/>
      <c r="H15" s="292" t="str">
        <f>IFERROR(_xlfn.XLOOKUP("TriMinDevShare",AnParam[Param],AnParam[Value])&amp;"","(missing)")</f>
        <v>0.05</v>
      </c>
      <c r="I15" s="317"/>
      <c r="J15" s="323" t="str">
        <f>IFERROR(HYPERLINK("#'RefData'!B"&amp;(MATCH("TriMinDevShare",AnParam[Param],0)+345),"→ RefData"),"-")</f>
        <v>→ RefData</v>
      </c>
      <c r="K15" s="245"/>
    </row>
    <row r="16" spans="1:11">
      <c r="A16" s="134"/>
      <c r="C16" s="245" t="s">
        <v>21841</v>
      </c>
      <c r="D16" s="245"/>
      <c r="E16" s="245"/>
      <c r="F16" s="245" t="s">
        <v>21842</v>
      </c>
      <c r="G16" s="245"/>
      <c r="H16" s="292" t="str">
        <f>IFERROR(_xlfn.XLOOKUP("TriAEMinShare",AnParam[Param],AnParam[Value])&amp;"","(missing)")</f>
        <v>0.1</v>
      </c>
      <c r="I16" s="317"/>
      <c r="J16" s="323" t="str">
        <f>IFERROR(HYPERLINK("#'RefData'!B"&amp;(MATCH("TriAEMinShare",AnParam[Param],0)+345),"→ RefData"),"-")</f>
        <v>→ RefData</v>
      </c>
      <c r="K16" s="245"/>
    </row>
    <row r="17" spans="1:11">
      <c r="A17" s="134"/>
      <c r="C17" s="245" t="s">
        <v>21843</v>
      </c>
      <c r="D17" s="245"/>
      <c r="E17" s="245"/>
      <c r="F17" s="245" t="s">
        <v>21844</v>
      </c>
      <c r="G17" s="245"/>
      <c r="H17" s="292" t="str">
        <f>IFERROR(_xlfn.XLOOKUP("MackMinLossMonths",AnParam[Param],AnParam[Value])&amp;"","(missing)")</f>
        <v>12</v>
      </c>
      <c r="I17" s="317"/>
      <c r="J17" s="323" t="str">
        <f>IFERROR(HYPERLINK("#'RefData'!B"&amp;(MATCH("MackMinLossMonths",AnParam[Param],0)+345),"→ RefData"),"-")</f>
        <v>→ RefData</v>
      </c>
      <c r="K17" s="245"/>
    </row>
    <row r="18" spans="1:11">
      <c r="A18" s="134"/>
      <c r="C18" s="245" t="s">
        <v>21845</v>
      </c>
      <c r="D18" s="245"/>
      <c r="E18" s="245"/>
      <c r="F18" s="326" t="s">
        <v>21846</v>
      </c>
      <c r="G18" s="245"/>
      <c r="H18" s="292" t="str">
        <f>IFERROR(AN_Triangle!$X$8&amp;"","-")</f>
        <v>1</v>
      </c>
      <c r="I18" s="317"/>
      <c r="J18" s="327" t="str">
        <f>HYPERLINK("#'AN_Triangle'!X8","→ AN_Triangle!X8")</f>
        <v>→ AN_Triangle!X8</v>
      </c>
      <c r="K18" s="245"/>
    </row>
    <row r="19" spans="1:11" ht="24.95" customHeight="1">
      <c r="A19" s="134"/>
      <c r="B19" s="205" t="s">
        <v>21847</v>
      </c>
      <c r="C19" s="273" t="s">
        <v>21848</v>
      </c>
      <c r="D19" s="273"/>
      <c r="E19" s="273"/>
      <c r="F19" s="273"/>
      <c r="G19" s="273"/>
      <c r="H19" s="273"/>
      <c r="I19" s="273"/>
      <c r="J19" s="273"/>
      <c r="K19" s="273"/>
    </row>
    <row r="20" spans="1:11" ht="50.1" customHeight="1">
      <c r="A20" s="134"/>
      <c r="B20" s="205" t="s">
        <v>21849</v>
      </c>
      <c r="C20" s="273" t="s">
        <v>21850</v>
      </c>
      <c r="D20" s="273"/>
      <c r="E20" s="273"/>
      <c r="F20" s="273"/>
      <c r="G20" s="273"/>
      <c r="H20" s="273"/>
      <c r="I20" s="273"/>
      <c r="J20" s="273"/>
      <c r="K20" s="273"/>
    </row>
    <row r="21" spans="1:11" ht="38.1" customHeight="1">
      <c r="A21" s="134"/>
      <c r="B21" s="205" t="s">
        <v>21851</v>
      </c>
      <c r="C21" s="273" t="s">
        <v>21852</v>
      </c>
      <c r="D21" s="273"/>
      <c r="E21" s="273"/>
      <c r="F21" s="273"/>
      <c r="G21" s="273"/>
      <c r="H21" s="273"/>
      <c r="I21" s="273"/>
      <c r="J21" s="273"/>
      <c r="K21" s="273"/>
    </row>
    <row r="22" spans="1:11">
      <c r="A22" s="134"/>
      <c r="C22" s="325" t="s">
        <v>21853</v>
      </c>
      <c r="D22" s="246"/>
      <c r="E22" s="246"/>
      <c r="F22" s="246"/>
      <c r="G22" s="246"/>
      <c r="H22" s="292" t="str" cm="1">
        <f t="array" ref="H22">IF(AN_Dispersion!$AB$8,anPct(AN_Dispersion!$CS$6,1),AN_Dispersion!$AB$2)</f>
        <v>INSUFFICIENT DATA: 0 loss months that are not PARTIAL (at least 12) or a missing factor</v>
      </c>
      <c r="I22" s="315"/>
      <c r="J22" s="315"/>
      <c r="K22" s="315"/>
    </row>
    <row r="23" spans="1:11">
      <c r="A23" s="134"/>
      <c r="C23" s="325" t="s">
        <v>21854</v>
      </c>
      <c r="D23" s="246"/>
      <c r="E23" s="246"/>
      <c r="F23" s="246"/>
      <c r="G23" s="246"/>
      <c r="H23" s="292" t="str" cm="1">
        <f t="array" ref="H23">IF(AN_Dispersion!$AB$8,anNum(AN_Dispersion!$CS$3/1000000,1)&amp;" / "&amp;anNum(AN_Dispersion!$CS$5/1000000,1),"-")</f>
        <v>-</v>
      </c>
      <c r="I23" s="315"/>
      <c r="J23" s="315"/>
      <c r="K23" s="315"/>
    </row>
    <row r="24" spans="1:11" ht="50.1" customHeight="1">
      <c r="A24" s="134"/>
      <c r="B24" s="205" t="s">
        <v>21855</v>
      </c>
      <c r="C24" s="239" t="s">
        <v>21856</v>
      </c>
      <c r="D24" s="239"/>
      <c r="E24" s="239"/>
      <c r="F24" s="239"/>
      <c r="G24" s="239"/>
      <c r="H24" s="239"/>
      <c r="I24" s="239"/>
      <c r="J24" s="239"/>
      <c r="K24" s="239"/>
    </row>
    <row r="25" spans="1:11">
      <c r="A25" s="134"/>
    </row>
    <row r="26" spans="1:11" ht="15">
      <c r="A26" s="207" t="s">
        <v>21857</v>
      </c>
      <c r="B26" s="324" t="s">
        <v>21858</v>
      </c>
      <c r="C26" s="324"/>
      <c r="D26" s="324"/>
      <c r="E26" s="324"/>
      <c r="F26" s="324"/>
      <c r="G26" s="324"/>
      <c r="H26" s="324"/>
      <c r="I26" s="324"/>
      <c r="J26" s="324"/>
      <c r="K26" s="324"/>
    </row>
    <row r="27" spans="1:11" ht="12.95" customHeight="1">
      <c r="A27" s="134"/>
      <c r="B27" s="205" t="s">
        <v>21819</v>
      </c>
      <c r="C27" s="273" t="s">
        <v>21859</v>
      </c>
      <c r="D27" s="273"/>
      <c r="E27" s="273"/>
      <c r="F27" s="273"/>
      <c r="G27" s="273"/>
      <c r="H27" s="273"/>
      <c r="I27" s="273"/>
      <c r="J27" s="273"/>
      <c r="K27" s="273"/>
    </row>
    <row r="28" spans="1:11" ht="12.95" customHeight="1">
      <c r="A28" s="134"/>
      <c r="B28" s="205" t="s">
        <v>21821</v>
      </c>
      <c r="C28" s="273" t="s">
        <v>21860</v>
      </c>
      <c r="D28" s="273"/>
      <c r="E28" s="273"/>
      <c r="F28" s="273"/>
      <c r="G28" s="273"/>
      <c r="H28" s="273"/>
      <c r="I28" s="273"/>
      <c r="J28" s="273"/>
      <c r="K28" s="273"/>
    </row>
    <row r="29" spans="1:11" ht="12.95" customHeight="1">
      <c r="A29" s="134"/>
      <c r="B29" s="205" t="s">
        <v>21823</v>
      </c>
      <c r="C29" s="273" t="s">
        <v>21861</v>
      </c>
      <c r="D29" s="273"/>
      <c r="E29" s="273"/>
      <c r="F29" s="273"/>
      <c r="G29" s="273"/>
      <c r="H29" s="273"/>
      <c r="I29" s="273"/>
      <c r="J29" s="273"/>
      <c r="K29" s="273"/>
    </row>
    <row r="30" spans="1:11" ht="12.95" customHeight="1">
      <c r="A30" s="134"/>
      <c r="B30" s="205" t="s">
        <v>21825</v>
      </c>
      <c r="C30" s="273" t="s">
        <v>21862</v>
      </c>
      <c r="D30" s="273"/>
      <c r="E30" s="273"/>
      <c r="F30" s="273"/>
      <c r="G30" s="273"/>
      <c r="H30" s="273"/>
      <c r="I30" s="273"/>
      <c r="J30" s="273"/>
      <c r="K30" s="273"/>
    </row>
    <row r="31" spans="1:11" ht="62.1" customHeight="1">
      <c r="A31" s="134"/>
      <c r="B31" s="205" t="s">
        <v>21827</v>
      </c>
      <c r="C31" s="273" t="s">
        <v>21863</v>
      </c>
      <c r="D31" s="273"/>
      <c r="E31" s="273"/>
      <c r="F31" s="273"/>
      <c r="G31" s="273"/>
      <c r="H31" s="273"/>
      <c r="I31" s="273"/>
      <c r="J31" s="273"/>
      <c r="K31" s="273"/>
    </row>
    <row r="32" spans="1:11">
      <c r="A32" s="134"/>
      <c r="B32" s="126" t="s">
        <v>3948</v>
      </c>
      <c r="C32" s="206" t="s">
        <v>21829</v>
      </c>
      <c r="D32" s="206"/>
      <c r="E32" s="206"/>
      <c r="F32" s="206" t="s">
        <v>21830</v>
      </c>
      <c r="G32" s="206"/>
      <c r="H32" s="206" t="s">
        <v>21831</v>
      </c>
      <c r="I32" s="206"/>
      <c r="J32" s="206" t="s">
        <v>21832</v>
      </c>
      <c r="K32" s="206"/>
    </row>
    <row r="33" spans="1:11">
      <c r="A33" s="134"/>
      <c r="C33" s="245" t="s">
        <v>21864</v>
      </c>
      <c r="D33" s="245"/>
      <c r="E33" s="245"/>
      <c r="F33" s="245" t="s">
        <v>21865</v>
      </c>
      <c r="G33" s="245"/>
      <c r="H33" s="292" t="str">
        <f>IFERROR(_xlfn.XLOOKUP("ForecastHorizonMonths",AnParam[Param],AnParam[Value])&amp;"","(missing)")</f>
        <v>3</v>
      </c>
      <c r="I33" s="317"/>
      <c r="J33" s="323" t="str">
        <f>IFERROR(HYPERLINK("#'RefData'!B"&amp;(MATCH("ForecastHorizonMonths",AnParam[Param],0)+345),"→ RefData"),"-")</f>
        <v>→ RefData</v>
      </c>
      <c r="K33" s="245"/>
    </row>
    <row r="34" spans="1:11">
      <c r="A34" s="134"/>
      <c r="C34" s="245" t="s">
        <v>21866</v>
      </c>
      <c r="D34" s="245"/>
      <c r="E34" s="245"/>
      <c r="F34" s="245" t="s">
        <v>21867</v>
      </c>
      <c r="G34" s="245"/>
      <c r="H34" s="292" t="str">
        <f>IFERROR(_xlfn.XLOOKUP("ForecastConfidence",AnParam[Param],AnParam[Value])&amp;"","(missing)")</f>
        <v>0.95</v>
      </c>
      <c r="I34" s="317"/>
      <c r="J34" s="323" t="str">
        <f>IFERROR(HYPERLINK("#'RefData'!B"&amp;(MATCH("ForecastConfidence",AnParam[Param],0)+345),"→ RefData"),"-")</f>
        <v>→ RefData</v>
      </c>
      <c r="K34" s="245"/>
    </row>
    <row r="35" spans="1:11">
      <c r="A35" s="134"/>
      <c r="C35" s="245" t="s">
        <v>21868</v>
      </c>
      <c r="D35" s="245"/>
      <c r="E35" s="245"/>
      <c r="F35" s="245" t="s">
        <v>21869</v>
      </c>
      <c r="G35" s="245"/>
      <c r="H35" s="292" t="str">
        <f>IFERROR(_xlfn.XLOOKUP("MinMonthsForForecast",AnParam[Param],AnParam[Value])&amp;"","(missing)")</f>
        <v>24</v>
      </c>
      <c r="I35" s="317"/>
      <c r="J35" s="323" t="str">
        <f>IFERROR(HYPERLINK("#'RefData'!B"&amp;(MATCH("MinMonthsForForecast",AnParam[Param],0)+345),"→ RefData"),"-")</f>
        <v>→ RefData</v>
      </c>
      <c r="K35" s="245"/>
    </row>
    <row r="36" spans="1:11">
      <c r="A36" s="134"/>
      <c r="C36" s="245" t="s">
        <v>21870</v>
      </c>
      <c r="D36" s="245"/>
      <c r="E36" s="245"/>
      <c r="F36" s="245" t="s">
        <v>21871</v>
      </c>
      <c r="G36" s="245"/>
      <c r="H36" s="292" t="str">
        <f>IFERROR(_xlfn.XLOOKUP("ForecastConfidentMonths",AnParam[Param],AnParam[Value])&amp;"","(missing)")</f>
        <v>36</v>
      </c>
      <c r="I36" s="317"/>
      <c r="J36" s="323" t="str">
        <f>IFERROR(HYPERLINK("#'RefData'!B"&amp;(MATCH("ForecastConfidentMonths",AnParam[Param],0)+345),"→ RefData"),"-")</f>
        <v>→ RefData</v>
      </c>
      <c r="K36" s="245"/>
    </row>
    <row r="37" spans="1:11">
      <c r="A37" s="134"/>
      <c r="C37" s="245" t="s">
        <v>21872</v>
      </c>
      <c r="D37" s="245"/>
      <c r="E37" s="245"/>
      <c r="F37" s="245" t="s">
        <v>21873</v>
      </c>
      <c r="G37" s="245"/>
      <c r="H37" s="292" t="str">
        <f>IFERROR(_xlfn.XLOOKUP("BacktestOrigins",AnParam[Param],AnParam[Value])&amp;"","(missing)")</f>
        <v>12</v>
      </c>
      <c r="I37" s="317"/>
      <c r="J37" s="323" t="str">
        <f>IFERROR(HYPERLINK("#'RefData'!B"&amp;(MATCH("BacktestOrigins",AnParam[Param],0)+345),"→ RefData"),"-")</f>
        <v>→ RefData</v>
      </c>
      <c r="K37" s="245"/>
    </row>
    <row r="38" spans="1:11" ht="12.95" customHeight="1">
      <c r="A38" s="134"/>
      <c r="B38" s="205" t="s">
        <v>21847</v>
      </c>
      <c r="C38" s="273" t="s">
        <v>21874</v>
      </c>
      <c r="D38" s="273"/>
      <c r="E38" s="273"/>
      <c r="F38" s="273"/>
      <c r="G38" s="273"/>
      <c r="H38" s="273"/>
      <c r="I38" s="273"/>
      <c r="J38" s="273"/>
      <c r="K38" s="273"/>
    </row>
    <row r="39" spans="1:11" ht="38.1" customHeight="1">
      <c r="A39" s="134"/>
      <c r="B39" s="205" t="s">
        <v>21849</v>
      </c>
      <c r="C39" s="273" t="s">
        <v>21875</v>
      </c>
      <c r="D39" s="273"/>
      <c r="E39" s="273"/>
      <c r="F39" s="273"/>
      <c r="G39" s="273"/>
      <c r="H39" s="273"/>
      <c r="I39" s="273"/>
      <c r="J39" s="273"/>
      <c r="K39" s="273"/>
    </row>
    <row r="40" spans="1:11" ht="24.95" customHeight="1">
      <c r="A40" s="134"/>
      <c r="B40" s="205" t="s">
        <v>21851</v>
      </c>
      <c r="C40" s="273" t="s">
        <v>21876</v>
      </c>
      <c r="D40" s="273"/>
      <c r="E40" s="273"/>
      <c r="F40" s="273"/>
      <c r="G40" s="273"/>
      <c r="H40" s="273"/>
      <c r="I40" s="273"/>
      <c r="J40" s="273"/>
      <c r="K40" s="273"/>
    </row>
    <row r="41" spans="1:11">
      <c r="A41" s="134"/>
      <c r="C41" s="325" t="s">
        <v>21877</v>
      </c>
      <c r="D41" s="246"/>
      <c r="E41" s="246"/>
      <c r="F41" s="246"/>
      <c r="G41" s="246"/>
      <c r="H41" s="292" t="str" cm="1">
        <f t="array" ref="H41">IF(AN_Backtest!$AB$11&lt;1,AN_Backtest!$AB$2,AN_Backtest!$AB$3&amp;": "&amp;anPct(INDEX(_xlfn.ANCHORARRAY(AN_Backtest!$CY$4),1),1)&amp;" / "&amp;anPct(INDEX(_xlfn.ANCHORARRAY(AN_Backtest!$CY$6),1),1))</f>
        <v>INSUFFICIENT DATA: 0 months of data; the test needs at least 24 training months + 3 horizon months</v>
      </c>
      <c r="I41" s="315"/>
      <c r="J41" s="315"/>
      <c r="K41" s="315"/>
    </row>
    <row r="42" spans="1:11">
      <c r="A42" s="134"/>
      <c r="C42" s="325" t="s">
        <v>21878</v>
      </c>
      <c r="D42" s="246"/>
      <c r="E42" s="246"/>
      <c r="F42" s="246"/>
      <c r="G42" s="246"/>
      <c r="H42" s="292" t="str" cm="1">
        <f t="array" ref="H42">IF(AN_Backtest!$AB$11&lt;1,"-",anPct(INDEX(_xlfn.ANCHORARRAY(AN_Backtest!$CY$8),1),0)&amp;" ("&amp;anPct(AN_Backtest!$AB$8,0)&amp;")")</f>
        <v>-</v>
      </c>
      <c r="I42" s="315"/>
      <c r="J42" s="315"/>
      <c r="K42" s="315"/>
    </row>
    <row r="43" spans="1:11" ht="50.1" customHeight="1">
      <c r="A43" s="134"/>
      <c r="B43" s="205" t="s">
        <v>21855</v>
      </c>
      <c r="C43" s="239" t="s">
        <v>21879</v>
      </c>
      <c r="D43" s="239"/>
      <c r="E43" s="239"/>
      <c r="F43" s="239"/>
      <c r="G43" s="239"/>
      <c r="H43" s="239"/>
      <c r="I43" s="239"/>
      <c r="J43" s="239"/>
      <c r="K43" s="239"/>
    </row>
    <row r="44" spans="1:11">
      <c r="A44" s="134"/>
    </row>
    <row r="45" spans="1:11" ht="15">
      <c r="A45" s="207" t="s">
        <v>21880</v>
      </c>
      <c r="B45" s="324" t="s">
        <v>21881</v>
      </c>
      <c r="C45" s="324"/>
      <c r="D45" s="324"/>
      <c r="E45" s="324"/>
      <c r="F45" s="324"/>
      <c r="G45" s="324"/>
      <c r="H45" s="324"/>
      <c r="I45" s="324"/>
      <c r="J45" s="324"/>
      <c r="K45" s="324"/>
    </row>
    <row r="46" spans="1:11" ht="12.95" customHeight="1">
      <c r="A46" s="134"/>
      <c r="B46" s="205" t="s">
        <v>21819</v>
      </c>
      <c r="C46" s="273" t="s">
        <v>21882</v>
      </c>
      <c r="D46" s="273"/>
      <c r="E46" s="273"/>
      <c r="F46" s="273"/>
      <c r="G46" s="273"/>
      <c r="H46" s="273"/>
      <c r="I46" s="273"/>
      <c r="J46" s="273"/>
      <c r="K46" s="273"/>
    </row>
    <row r="47" spans="1:11" ht="12.95" customHeight="1">
      <c r="A47" s="134"/>
      <c r="B47" s="205" t="s">
        <v>21821</v>
      </c>
      <c r="C47" s="273" t="s">
        <v>21883</v>
      </c>
      <c r="D47" s="273"/>
      <c r="E47" s="273"/>
      <c r="F47" s="273"/>
      <c r="G47" s="273"/>
      <c r="H47" s="273"/>
      <c r="I47" s="273"/>
      <c r="J47" s="273"/>
      <c r="K47" s="273"/>
    </row>
    <row r="48" spans="1:11" ht="12.95" customHeight="1">
      <c r="A48" s="134"/>
      <c r="B48" s="205" t="s">
        <v>21823</v>
      </c>
      <c r="C48" s="273" t="s">
        <v>21884</v>
      </c>
      <c r="D48" s="273"/>
      <c r="E48" s="273"/>
      <c r="F48" s="273"/>
      <c r="G48" s="273"/>
      <c r="H48" s="273"/>
      <c r="I48" s="273"/>
      <c r="J48" s="273"/>
      <c r="K48" s="273"/>
    </row>
    <row r="49" spans="1:11" ht="12.95" customHeight="1">
      <c r="A49" s="134"/>
      <c r="B49" s="205" t="s">
        <v>21825</v>
      </c>
      <c r="C49" s="273" t="s">
        <v>21885</v>
      </c>
      <c r="D49" s="273"/>
      <c r="E49" s="273"/>
      <c r="F49" s="273"/>
      <c r="G49" s="273"/>
      <c r="H49" s="273"/>
      <c r="I49" s="273"/>
      <c r="J49" s="273"/>
      <c r="K49" s="273"/>
    </row>
    <row r="50" spans="1:11" ht="62.1" customHeight="1">
      <c r="A50" s="134"/>
      <c r="B50" s="205" t="s">
        <v>21827</v>
      </c>
      <c r="C50" s="273" t="s">
        <v>21886</v>
      </c>
      <c r="D50" s="273"/>
      <c r="E50" s="273"/>
      <c r="F50" s="273"/>
      <c r="G50" s="273"/>
      <c r="H50" s="273"/>
      <c r="I50" s="273"/>
      <c r="J50" s="273"/>
      <c r="K50" s="273"/>
    </row>
    <row r="51" spans="1:11">
      <c r="A51" s="134"/>
      <c r="B51" s="126" t="s">
        <v>3948</v>
      </c>
      <c r="C51" s="206" t="s">
        <v>21829</v>
      </c>
      <c r="D51" s="206"/>
      <c r="E51" s="206"/>
      <c r="F51" s="206" t="s">
        <v>21830</v>
      </c>
      <c r="G51" s="206"/>
      <c r="H51" s="206" t="s">
        <v>21831</v>
      </c>
      <c r="I51" s="206"/>
      <c r="J51" s="206" t="s">
        <v>21832</v>
      </c>
      <c r="K51" s="206"/>
    </row>
    <row r="52" spans="1:11">
      <c r="A52" s="134"/>
      <c r="C52" s="245" t="s">
        <v>21887</v>
      </c>
      <c r="D52" s="245"/>
      <c r="E52" s="245"/>
      <c r="F52" s="245" t="s">
        <v>21888</v>
      </c>
      <c r="G52" s="245"/>
      <c r="H52" s="292" t="str">
        <f>IFERROR(_xlfn.XLOOKUP("TH12",tblThreshold[ThresholdID],tblThreshold[WatchLevel])&amp;"","(missing)")</f>
        <v>2.5</v>
      </c>
      <c r="I52" s="317"/>
      <c r="J52" s="323" t="str">
        <f>IFERROR(HYPERLINK("#'Threshold_Register'!G"&amp;(MATCH("TH12",tblThreshold[ThresholdID],0)+4),"→ Threshold_Register"),"-")</f>
        <v>→ Threshold_Register</v>
      </c>
      <c r="K52" s="245"/>
    </row>
    <row r="53" spans="1:11">
      <c r="A53" s="134"/>
      <c r="C53" s="245" t="s">
        <v>21889</v>
      </c>
      <c r="D53" s="245"/>
      <c r="E53" s="245"/>
      <c r="F53" s="245" t="s">
        <v>21890</v>
      </c>
      <c r="G53" s="245"/>
      <c r="H53" s="292" t="str">
        <f>IFERROR(_xlfn.XLOOKUP("TH12",tblThreshold[ThresholdID],tblThreshold[AlertLevel])&amp;"","(missing)")</f>
        <v>3.5</v>
      </c>
      <c r="I53" s="317"/>
      <c r="J53" s="323" t="str">
        <f>IFERROR(HYPERLINK("#'Threshold_Register'!H"&amp;(MATCH("TH12",tblThreshold[ThresholdID],0)+4),"→ Threshold_Register"),"-")</f>
        <v>→ Threshold_Register</v>
      </c>
      <c r="K53" s="245"/>
    </row>
    <row r="54" spans="1:11">
      <c r="A54" s="134"/>
      <c r="C54" s="245" t="s">
        <v>21891</v>
      </c>
      <c r="D54" s="245"/>
      <c r="E54" s="245"/>
      <c r="F54" s="245" t="s">
        <v>21892</v>
      </c>
      <c r="G54" s="245"/>
      <c r="H54" s="292" t="str">
        <f>IFERROR(_xlfn.XLOOKUP("TH02",tblThreshold[ThresholdID],tblThreshold[WatchLevel])&amp;"","(missing)")</f>
        <v>2.5</v>
      </c>
      <c r="I54" s="317"/>
      <c r="J54" s="323" t="str">
        <f>IFERROR(HYPERLINK("#'Threshold_Register'!G"&amp;(MATCH("TH02",tblThreshold[ThresholdID],0)+4),"→ Threshold_Register"),"-")</f>
        <v>→ Threshold_Register</v>
      </c>
      <c r="K54" s="245"/>
    </row>
    <row r="55" spans="1:11">
      <c r="A55" s="134"/>
      <c r="C55" s="245" t="s">
        <v>21893</v>
      </c>
      <c r="D55" s="245"/>
      <c r="E55" s="245"/>
      <c r="F55" s="245" t="s">
        <v>21894</v>
      </c>
      <c r="G55" s="245"/>
      <c r="H55" s="292" t="str">
        <f>IFERROR(_xlfn.XLOOKUP("TH03",tblThreshold[ThresholdID],tblThreshold[MinN])&amp;"","(missing)")</f>
        <v>100</v>
      </c>
      <c r="I55" s="317"/>
      <c r="J55" s="323" t="str">
        <f>IFERROR(HYPERLINK("#'Threshold_Register'!J"&amp;(MATCH("TH03",tblThreshold[ThresholdID],0)+4),"→ Threshold_Register"),"-")</f>
        <v>→ Threshold_Register</v>
      </c>
      <c r="K55" s="245"/>
    </row>
    <row r="56" spans="1:11">
      <c r="A56" s="134"/>
      <c r="C56" s="245" t="s">
        <v>21895</v>
      </c>
      <c r="D56" s="245"/>
      <c r="E56" s="245"/>
      <c r="F56" s="245" t="s">
        <v>21896</v>
      </c>
      <c r="G56" s="245"/>
      <c r="H56" s="292" t="str">
        <f>IFERROR(_xlfn.XLOOKUP("TH13",tblThreshold[ThresholdID],tblThreshold[MinMonths])&amp;"","(missing)")</f>
        <v>12</v>
      </c>
      <c r="I56" s="317"/>
      <c r="J56" s="323" t="str">
        <f>IFERROR(HYPERLINK("#'Threshold_Register'!I"&amp;(MATCH("TH13",tblThreshold[ThresholdID],0)+4),"→ Threshold_Register"),"-")</f>
        <v>→ Threshold_Register</v>
      </c>
      <c r="K56" s="245"/>
    </row>
    <row r="57" spans="1:11">
      <c r="A57" s="134"/>
      <c r="C57" s="245" t="s">
        <v>21897</v>
      </c>
      <c r="D57" s="245"/>
      <c r="E57" s="245"/>
      <c r="F57" s="245" t="s">
        <v>21898</v>
      </c>
      <c r="G57" s="245"/>
      <c r="H57" s="292" t="str">
        <f>IFERROR(_xlfn.XLOOKUP("TrendBandWidth",AnParam[Param],AnParam[Value])&amp;"","(missing)")</f>
        <v>2.5</v>
      </c>
      <c r="I57" s="317"/>
      <c r="J57" s="323" t="str">
        <f>IFERROR(HYPERLINK("#'RefData'!B"&amp;(MATCH("TrendBandWidth",AnParam[Param],0)+345),"→ RefData"),"-")</f>
        <v>→ RefData</v>
      </c>
      <c r="K57" s="245"/>
    </row>
    <row r="58" spans="1:11" ht="12.95" customHeight="1">
      <c r="A58" s="134"/>
      <c r="B58" s="205" t="s">
        <v>21847</v>
      </c>
      <c r="C58" s="273" t="s">
        <v>21899</v>
      </c>
      <c r="D58" s="273"/>
      <c r="E58" s="273"/>
      <c r="F58" s="273"/>
      <c r="G58" s="273"/>
      <c r="H58" s="273"/>
      <c r="I58" s="273"/>
      <c r="J58" s="273"/>
      <c r="K58" s="273"/>
    </row>
    <row r="59" spans="1:11" ht="24.95" customHeight="1">
      <c r="A59" s="134"/>
      <c r="B59" s="205" t="s">
        <v>21849</v>
      </c>
      <c r="C59" s="273" t="s">
        <v>21900</v>
      </c>
      <c r="D59" s="273"/>
      <c r="E59" s="273"/>
      <c r="F59" s="273"/>
      <c r="G59" s="273"/>
      <c r="H59" s="273"/>
      <c r="I59" s="273"/>
      <c r="J59" s="273"/>
      <c r="K59" s="273"/>
    </row>
    <row r="60" spans="1:11" ht="24.95" customHeight="1">
      <c r="A60" s="134"/>
      <c r="B60" s="205" t="s">
        <v>21851</v>
      </c>
      <c r="C60" s="273" t="s">
        <v>21901</v>
      </c>
      <c r="D60" s="273"/>
      <c r="E60" s="273"/>
      <c r="F60" s="273"/>
      <c r="G60" s="273"/>
      <c r="H60" s="273"/>
      <c r="I60" s="273"/>
      <c r="J60" s="273"/>
      <c r="K60" s="273"/>
    </row>
    <row r="61" spans="1:11" ht="24.95" customHeight="1">
      <c r="A61" s="134"/>
      <c r="B61" s="205" t="s">
        <v>21855</v>
      </c>
      <c r="C61" s="239" t="s">
        <v>21902</v>
      </c>
      <c r="D61" s="239"/>
      <c r="E61" s="239"/>
      <c r="F61" s="239"/>
      <c r="G61" s="239"/>
      <c r="H61" s="239"/>
      <c r="I61" s="239"/>
      <c r="J61" s="239"/>
      <c r="K61" s="239"/>
    </row>
    <row r="62" spans="1:11">
      <c r="A62" s="134"/>
    </row>
    <row r="63" spans="1:11" ht="15">
      <c r="A63" s="207" t="s">
        <v>21903</v>
      </c>
      <c r="B63" s="324" t="s">
        <v>21904</v>
      </c>
      <c r="C63" s="324"/>
      <c r="D63" s="324"/>
      <c r="E63" s="324"/>
      <c r="F63" s="324"/>
      <c r="G63" s="324"/>
      <c r="H63" s="324"/>
      <c r="I63" s="324"/>
      <c r="J63" s="324"/>
      <c r="K63" s="324"/>
    </row>
    <row r="64" spans="1:11" ht="12.95" customHeight="1">
      <c r="A64" s="134"/>
      <c r="B64" s="205" t="s">
        <v>21819</v>
      </c>
      <c r="C64" s="273" t="s">
        <v>21905</v>
      </c>
      <c r="D64" s="273"/>
      <c r="E64" s="273"/>
      <c r="F64" s="273"/>
      <c r="G64" s="273"/>
      <c r="H64" s="273"/>
      <c r="I64" s="273"/>
      <c r="J64" s="273"/>
      <c r="K64" s="273"/>
    </row>
    <row r="65" spans="1:11" ht="12.95" customHeight="1">
      <c r="A65" s="134"/>
      <c r="B65" s="205" t="s">
        <v>21821</v>
      </c>
      <c r="C65" s="273" t="s">
        <v>21906</v>
      </c>
      <c r="D65" s="273"/>
      <c r="E65" s="273"/>
      <c r="F65" s="273"/>
      <c r="G65" s="273"/>
      <c r="H65" s="273"/>
      <c r="I65" s="273"/>
      <c r="J65" s="273"/>
      <c r="K65" s="273"/>
    </row>
    <row r="66" spans="1:11" ht="12.95" customHeight="1">
      <c r="A66" s="134"/>
      <c r="B66" s="205" t="s">
        <v>21823</v>
      </c>
      <c r="C66" s="273" t="s">
        <v>21907</v>
      </c>
      <c r="D66" s="273"/>
      <c r="E66" s="273"/>
      <c r="F66" s="273"/>
      <c r="G66" s="273"/>
      <c r="H66" s="273"/>
      <c r="I66" s="273"/>
      <c r="J66" s="273"/>
      <c r="K66" s="273"/>
    </row>
    <row r="67" spans="1:11" ht="12.95" customHeight="1">
      <c r="A67" s="134"/>
      <c r="B67" s="205" t="s">
        <v>21825</v>
      </c>
      <c r="C67" s="273" t="s">
        <v>21908</v>
      </c>
      <c r="D67" s="273"/>
      <c r="E67" s="273"/>
      <c r="F67" s="273"/>
      <c r="G67" s="273"/>
      <c r="H67" s="273"/>
      <c r="I67" s="273"/>
      <c r="J67" s="273"/>
      <c r="K67" s="273"/>
    </row>
    <row r="68" spans="1:11" ht="38.1" customHeight="1">
      <c r="A68" s="134"/>
      <c r="B68" s="205" t="s">
        <v>21827</v>
      </c>
      <c r="C68" s="273" t="s">
        <v>21909</v>
      </c>
      <c r="D68" s="273"/>
      <c r="E68" s="273"/>
      <c r="F68" s="273"/>
      <c r="G68" s="273"/>
      <c r="H68" s="273"/>
      <c r="I68" s="273"/>
      <c r="J68" s="273"/>
      <c r="K68" s="273"/>
    </row>
    <row r="69" spans="1:11">
      <c r="A69" s="134"/>
      <c r="B69" s="126" t="s">
        <v>3948</v>
      </c>
      <c r="C69" s="206" t="s">
        <v>21829</v>
      </c>
      <c r="D69" s="206"/>
      <c r="E69" s="206"/>
      <c r="F69" s="206" t="s">
        <v>21830</v>
      </c>
      <c r="G69" s="206"/>
      <c r="H69" s="206" t="s">
        <v>21831</v>
      </c>
      <c r="I69" s="206"/>
      <c r="J69" s="206" t="s">
        <v>21832</v>
      </c>
      <c r="K69" s="206"/>
    </row>
    <row r="70" spans="1:11">
      <c r="A70" s="134"/>
      <c r="C70" s="245" t="s">
        <v>21910</v>
      </c>
      <c r="D70" s="245"/>
      <c r="E70" s="245"/>
      <c r="F70" s="245" t="s">
        <v>21911</v>
      </c>
      <c r="G70" s="245"/>
      <c r="H70" s="292" t="str">
        <f>IFERROR(_xlfn.XLOOKUP("TH08",tblThreshold[ThresholdID],tblThreshold[AlertLevel])&amp;"","(missing)")</f>
        <v>3</v>
      </c>
      <c r="I70" s="317"/>
      <c r="J70" s="323" t="str">
        <f>IFERROR(HYPERLINK("#'Threshold_Register'!H"&amp;(MATCH("TH08",tblThreshold[ThresholdID],0)+4),"→ Threshold_Register"),"-")</f>
        <v>→ Threshold_Register</v>
      </c>
      <c r="K70" s="245"/>
    </row>
    <row r="71" spans="1:11">
      <c r="A71" s="134"/>
      <c r="C71" s="245" t="s">
        <v>21912</v>
      </c>
      <c r="D71" s="245"/>
      <c r="E71" s="245"/>
      <c r="F71" s="245" t="s">
        <v>21913</v>
      </c>
      <c r="G71" s="245"/>
      <c r="H71" s="292" t="str">
        <f>IFERROR(_xlfn.XLOOKUP("TH09",tblThreshold[ThresholdID],tblThreshold[WatchLevel])&amp;"","(missing)")</f>
        <v>4</v>
      </c>
      <c r="I71" s="317"/>
      <c r="J71" s="323" t="str">
        <f>IFERROR(HYPERLINK("#'Threshold_Register'!G"&amp;(MATCH("TH09",tblThreshold[ThresholdID],0)+4),"→ Threshold_Register"),"-")</f>
        <v>→ Threshold_Register</v>
      </c>
      <c r="K71" s="245"/>
    </row>
    <row r="72" spans="1:11">
      <c r="A72" s="134"/>
      <c r="C72" s="245" t="s">
        <v>21914</v>
      </c>
      <c r="D72" s="245"/>
      <c r="E72" s="245"/>
      <c r="F72" s="245" t="s">
        <v>21915</v>
      </c>
      <c r="G72" s="245"/>
      <c r="H72" s="292" t="str">
        <f>IFERROR(_xlfn.XLOOKUP("TH09",tblThreshold[ThresholdID],tblThreshold[AlertLevel])&amp;"","(missing)")</f>
        <v>5</v>
      </c>
      <c r="I72" s="317"/>
      <c r="J72" s="323" t="str">
        <f>IFERROR(HYPERLINK("#'Threshold_Register'!H"&amp;(MATCH("TH09",tblThreshold[ThresholdID],0)+4),"→ Threshold_Register"),"-")</f>
        <v>→ Threshold_Register</v>
      </c>
      <c r="K72" s="245"/>
    </row>
    <row r="73" spans="1:11">
      <c r="A73" s="134"/>
      <c r="C73" s="245" t="s">
        <v>21916</v>
      </c>
      <c r="D73" s="245"/>
      <c r="E73" s="245"/>
      <c r="F73" s="245" t="s">
        <v>21917</v>
      </c>
      <c r="G73" s="245"/>
      <c r="H73" s="292" t="str">
        <f>IFERROR(_xlfn.XLOOKUP("CusumK",AnParam[Param],AnParam[Value])&amp;"","(missing)")</f>
        <v>0.5</v>
      </c>
      <c r="I73" s="317"/>
      <c r="J73" s="323" t="str">
        <f>IFERROR(HYPERLINK("#'RefData'!B"&amp;(MATCH("CusumK",AnParam[Param],0)+345),"→ RefData"),"-")</f>
        <v>→ RefData</v>
      </c>
      <c r="K73" s="245"/>
    </row>
    <row r="74" spans="1:11">
      <c r="A74" s="134"/>
      <c r="C74" s="245" t="s">
        <v>21918</v>
      </c>
      <c r="D74" s="245"/>
      <c r="E74" s="245"/>
      <c r="F74" s="245" t="s">
        <v>21919</v>
      </c>
      <c r="G74" s="245"/>
      <c r="H74" s="292" t="str">
        <f>IFERROR(_xlfn.XLOOKUP("AnomalyHistoryMonths",AnParam[Param],AnParam[Value])&amp;"","(missing)")</f>
        <v>24</v>
      </c>
      <c r="I74" s="317"/>
      <c r="J74" s="323" t="str">
        <f>IFERROR(HYPERLINK("#'RefData'!B"&amp;(MATCH("AnomalyHistoryMonths",AnParam[Param],0)+345),"→ RefData"),"-")</f>
        <v>→ RefData</v>
      </c>
      <c r="K74" s="245"/>
    </row>
    <row r="75" spans="1:11" ht="12.95" customHeight="1">
      <c r="A75" s="134"/>
      <c r="B75" s="205" t="s">
        <v>21847</v>
      </c>
      <c r="C75" s="273" t="s">
        <v>21920</v>
      </c>
      <c r="D75" s="273"/>
      <c r="E75" s="273"/>
      <c r="F75" s="273"/>
      <c r="G75" s="273"/>
      <c r="H75" s="273"/>
      <c r="I75" s="273"/>
      <c r="J75" s="273"/>
      <c r="K75" s="273"/>
    </row>
    <row r="76" spans="1:11" ht="12.95" customHeight="1">
      <c r="A76" s="134"/>
      <c r="B76" s="205" t="s">
        <v>21849</v>
      </c>
      <c r="C76" s="273" t="s">
        <v>21921</v>
      </c>
      <c r="D76" s="273"/>
      <c r="E76" s="273"/>
      <c r="F76" s="273"/>
      <c r="G76" s="273"/>
      <c r="H76" s="273"/>
      <c r="I76" s="273"/>
      <c r="J76" s="273"/>
      <c r="K76" s="273"/>
    </row>
    <row r="77" spans="1:11" ht="24.95" customHeight="1">
      <c r="A77" s="134"/>
      <c r="B77" s="205" t="s">
        <v>21851</v>
      </c>
      <c r="C77" s="273" t="s">
        <v>21922</v>
      </c>
      <c r="D77" s="273"/>
      <c r="E77" s="273"/>
      <c r="F77" s="273"/>
      <c r="G77" s="273"/>
      <c r="H77" s="273"/>
      <c r="I77" s="273"/>
      <c r="J77" s="273"/>
      <c r="K77" s="273"/>
    </row>
    <row r="78" spans="1:11" ht="24.95" customHeight="1">
      <c r="A78" s="134"/>
      <c r="B78" s="205" t="s">
        <v>21855</v>
      </c>
      <c r="C78" s="239" t="s">
        <v>21923</v>
      </c>
      <c r="D78" s="239"/>
      <c r="E78" s="239"/>
      <c r="F78" s="239"/>
      <c r="G78" s="239"/>
      <c r="H78" s="239"/>
      <c r="I78" s="239"/>
      <c r="J78" s="239"/>
      <c r="K78" s="239"/>
    </row>
    <row r="79" spans="1:11">
      <c r="A79" s="134"/>
    </row>
    <row r="80" spans="1:11" ht="15">
      <c r="A80" s="207" t="s">
        <v>21924</v>
      </c>
      <c r="B80" s="324" t="s">
        <v>21925</v>
      </c>
      <c r="C80" s="324"/>
      <c r="D80" s="324"/>
      <c r="E80" s="324"/>
      <c r="F80" s="324"/>
      <c r="G80" s="324"/>
      <c r="H80" s="324"/>
      <c r="I80" s="324"/>
      <c r="J80" s="324"/>
      <c r="K80" s="324"/>
    </row>
    <row r="81" spans="1:11" ht="12.95" customHeight="1">
      <c r="A81" s="134"/>
      <c r="B81" s="205" t="s">
        <v>21819</v>
      </c>
      <c r="C81" s="273" t="s">
        <v>21905</v>
      </c>
      <c r="D81" s="273"/>
      <c r="E81" s="273"/>
      <c r="F81" s="273"/>
      <c r="G81" s="273"/>
      <c r="H81" s="273"/>
      <c r="I81" s="273"/>
      <c r="J81" s="273"/>
      <c r="K81" s="273"/>
    </row>
    <row r="82" spans="1:11" ht="12.95" customHeight="1">
      <c r="A82" s="134"/>
      <c r="B82" s="205" t="s">
        <v>21821</v>
      </c>
      <c r="C82" s="273" t="s">
        <v>21926</v>
      </c>
      <c r="D82" s="273"/>
      <c r="E82" s="273"/>
      <c r="F82" s="273"/>
      <c r="G82" s="273"/>
      <c r="H82" s="273"/>
      <c r="I82" s="273"/>
      <c r="J82" s="273"/>
      <c r="K82" s="273"/>
    </row>
    <row r="83" spans="1:11" ht="12.95" customHeight="1">
      <c r="A83" s="134"/>
      <c r="B83" s="205" t="s">
        <v>21823</v>
      </c>
      <c r="C83" s="273" t="s">
        <v>21927</v>
      </c>
      <c r="D83" s="273"/>
      <c r="E83" s="273"/>
      <c r="F83" s="273"/>
      <c r="G83" s="273"/>
      <c r="H83" s="273"/>
      <c r="I83" s="273"/>
      <c r="J83" s="273"/>
      <c r="K83" s="273"/>
    </row>
    <row r="84" spans="1:11" ht="12.95" customHeight="1">
      <c r="A84" s="134"/>
      <c r="B84" s="205" t="s">
        <v>21825</v>
      </c>
      <c r="C84" s="273" t="s">
        <v>21928</v>
      </c>
      <c r="D84" s="273"/>
      <c r="E84" s="273"/>
      <c r="F84" s="273"/>
      <c r="G84" s="273"/>
      <c r="H84" s="273"/>
      <c r="I84" s="273"/>
      <c r="J84" s="273"/>
      <c r="K84" s="273"/>
    </row>
    <row r="85" spans="1:11" ht="38.1" customHeight="1">
      <c r="A85" s="134"/>
      <c r="B85" s="205" t="s">
        <v>21827</v>
      </c>
      <c r="C85" s="273" t="s">
        <v>21929</v>
      </c>
      <c r="D85" s="273"/>
      <c r="E85" s="273"/>
      <c r="F85" s="273"/>
      <c r="G85" s="273"/>
      <c r="H85" s="273"/>
      <c r="I85" s="273"/>
      <c r="J85" s="273"/>
      <c r="K85" s="273"/>
    </row>
    <row r="86" spans="1:11">
      <c r="A86" s="134"/>
      <c r="B86" s="126" t="s">
        <v>3948</v>
      </c>
      <c r="C86" s="206" t="s">
        <v>21829</v>
      </c>
      <c r="D86" s="206"/>
      <c r="E86" s="206"/>
      <c r="F86" s="206" t="s">
        <v>21830</v>
      </c>
      <c r="G86" s="206"/>
      <c r="H86" s="206" t="s">
        <v>21831</v>
      </c>
      <c r="I86" s="206"/>
      <c r="J86" s="206" t="s">
        <v>21832</v>
      </c>
      <c r="K86" s="206"/>
    </row>
    <row r="87" spans="1:11">
      <c r="A87" s="134"/>
      <c r="C87" s="245" t="s">
        <v>21930</v>
      </c>
      <c r="D87" s="245"/>
      <c r="E87" s="245"/>
      <c r="F87" s="245" t="s">
        <v>21931</v>
      </c>
      <c r="G87" s="245"/>
      <c r="H87" s="292" t="str">
        <f>IFERROR(_xlfn.XLOOKUP("TH10",tblThreshold[ThresholdID],tblThreshold[WatchLevel])&amp;"","(missing)")</f>
        <v>0.012</v>
      </c>
      <c r="I87" s="317"/>
      <c r="J87" s="323" t="str">
        <f>IFERROR(HYPERLINK("#'Threshold_Register'!G"&amp;(MATCH("TH10",tblThreshold[ThresholdID],0)+4),"→ Threshold_Register"),"-")</f>
        <v>→ Threshold_Register</v>
      </c>
      <c r="K87" s="245"/>
    </row>
    <row r="88" spans="1:11">
      <c r="A88" s="134"/>
      <c r="C88" s="245" t="s">
        <v>21932</v>
      </c>
      <c r="D88" s="245"/>
      <c r="E88" s="245"/>
      <c r="F88" s="245" t="s">
        <v>21933</v>
      </c>
      <c r="G88" s="245"/>
      <c r="H88" s="292" t="str">
        <f>IFERROR(_xlfn.XLOOKUP("TH10",tblThreshold[ThresholdID],tblThreshold[AlertLevel])&amp;"","(missing)")</f>
        <v>0.015</v>
      </c>
      <c r="I88" s="317"/>
      <c r="J88" s="323" t="str">
        <f>IFERROR(HYPERLINK("#'Threshold_Register'!H"&amp;(MATCH("TH10",tblThreshold[ThresholdID],0)+4),"→ Threshold_Register"),"-")</f>
        <v>→ Threshold_Register</v>
      </c>
      <c r="K88" s="245"/>
    </row>
    <row r="89" spans="1:11">
      <c r="A89" s="134"/>
      <c r="C89" s="245" t="s">
        <v>21934</v>
      </c>
      <c r="D89" s="245"/>
      <c r="E89" s="245"/>
      <c r="F89" s="245" t="s">
        <v>21935</v>
      </c>
      <c r="G89" s="245"/>
      <c r="H89" s="292" t="str">
        <f>IFERROR(_xlfn.XLOOKUP("TH10",tblThreshold[ThresholdID],tblThreshold[MinN])&amp;"","(missing)")</f>
        <v>300</v>
      </c>
      <c r="I89" s="317"/>
      <c r="J89" s="323" t="str">
        <f>IFERROR(HYPERLINK("#'Threshold_Register'!J"&amp;(MATCH("TH10",tblThreshold[ThresholdID],0)+4),"→ Threshold_Register"),"-")</f>
        <v>→ Threshold_Register</v>
      </c>
      <c r="K89" s="245"/>
    </row>
    <row r="90" spans="1:11">
      <c r="A90" s="134"/>
      <c r="C90" s="245" t="s">
        <v>21936</v>
      </c>
      <c r="D90" s="245"/>
      <c r="E90" s="245"/>
      <c r="F90" s="245" t="s">
        <v>21937</v>
      </c>
      <c r="G90" s="245"/>
      <c r="H90" s="292" t="str">
        <f>IFERROR(_xlfn.XLOOKUP("TH10",tblThreshold[ThresholdID],tblThreshold[Status])&amp;"","(missing)")</f>
        <v>DRAFT</v>
      </c>
      <c r="I90" s="317"/>
      <c r="J90" s="323" t="str">
        <f>IFERROR(HYPERLINK("#'Threshold_Register'!P"&amp;(MATCH("TH10",tblThreshold[ThresholdID],0)+4),"→ Threshold_Register"),"-")</f>
        <v>→ Threshold_Register</v>
      </c>
      <c r="K90" s="245"/>
    </row>
    <row r="91" spans="1:11" ht="12.95" customHeight="1">
      <c r="A91" s="134"/>
      <c r="B91" s="205" t="s">
        <v>21847</v>
      </c>
      <c r="C91" s="273" t="s">
        <v>21938</v>
      </c>
      <c r="D91" s="273"/>
      <c r="E91" s="273"/>
      <c r="F91" s="273"/>
      <c r="G91" s="273"/>
      <c r="H91" s="273"/>
      <c r="I91" s="273"/>
      <c r="J91" s="273"/>
      <c r="K91" s="273"/>
    </row>
    <row r="92" spans="1:11" ht="24.95" customHeight="1">
      <c r="A92" s="134"/>
      <c r="B92" s="205" t="s">
        <v>21849</v>
      </c>
      <c r="C92" s="273" t="s">
        <v>21939</v>
      </c>
      <c r="D92" s="273"/>
      <c r="E92" s="273"/>
      <c r="F92" s="273"/>
      <c r="G92" s="273"/>
      <c r="H92" s="273"/>
      <c r="I92" s="273"/>
      <c r="J92" s="273"/>
      <c r="K92" s="273"/>
    </row>
    <row r="93" spans="1:11" ht="12.95" customHeight="1">
      <c r="A93" s="134"/>
      <c r="B93" s="205" t="s">
        <v>21851</v>
      </c>
      <c r="C93" s="273" t="s">
        <v>21940</v>
      </c>
      <c r="D93" s="273"/>
      <c r="E93" s="273"/>
      <c r="F93" s="273"/>
      <c r="G93" s="273"/>
      <c r="H93" s="273"/>
      <c r="I93" s="273"/>
      <c r="J93" s="273"/>
      <c r="K93" s="273"/>
    </row>
    <row r="94" spans="1:11" ht="38.1" customHeight="1">
      <c r="A94" s="134"/>
      <c r="B94" s="205" t="s">
        <v>21855</v>
      </c>
      <c r="C94" s="239" t="s">
        <v>21941</v>
      </c>
      <c r="D94" s="239"/>
      <c r="E94" s="239"/>
      <c r="F94" s="239"/>
      <c r="G94" s="239"/>
      <c r="H94" s="239"/>
      <c r="I94" s="239"/>
      <c r="J94" s="239"/>
      <c r="K94" s="239"/>
    </row>
    <row r="95" spans="1:11">
      <c r="A95" s="134"/>
    </row>
    <row r="96" spans="1:11" ht="15">
      <c r="A96" s="207" t="s">
        <v>21942</v>
      </c>
      <c r="B96" s="324" t="s">
        <v>21943</v>
      </c>
      <c r="C96" s="324"/>
      <c r="D96" s="324"/>
      <c r="E96" s="324"/>
      <c r="F96" s="324"/>
      <c r="G96" s="324"/>
      <c r="H96" s="324"/>
      <c r="I96" s="324"/>
      <c r="J96" s="324"/>
      <c r="K96" s="324"/>
    </row>
    <row r="97" spans="1:11" ht="12.95" customHeight="1">
      <c r="A97" s="134"/>
      <c r="B97" s="205" t="s">
        <v>21819</v>
      </c>
      <c r="C97" s="273" t="s">
        <v>21905</v>
      </c>
      <c r="D97" s="273"/>
      <c r="E97" s="273"/>
      <c r="F97" s="273"/>
      <c r="G97" s="273"/>
      <c r="H97" s="273"/>
      <c r="I97" s="273"/>
      <c r="J97" s="273"/>
      <c r="K97" s="273"/>
    </row>
    <row r="98" spans="1:11" ht="12.95" customHeight="1">
      <c r="A98" s="134"/>
      <c r="B98" s="205" t="s">
        <v>21821</v>
      </c>
      <c r="C98" s="273" t="s">
        <v>21944</v>
      </c>
      <c r="D98" s="273"/>
      <c r="E98" s="273"/>
      <c r="F98" s="273"/>
      <c r="G98" s="273"/>
      <c r="H98" s="273"/>
      <c r="I98" s="273"/>
      <c r="J98" s="273"/>
      <c r="K98" s="273"/>
    </row>
    <row r="99" spans="1:11" ht="12.95" customHeight="1">
      <c r="A99" s="134"/>
      <c r="B99" s="205" t="s">
        <v>21823</v>
      </c>
      <c r="C99" s="273" t="s">
        <v>21945</v>
      </c>
      <c r="D99" s="273"/>
      <c r="E99" s="273"/>
      <c r="F99" s="273"/>
      <c r="G99" s="273"/>
      <c r="H99" s="273"/>
      <c r="I99" s="273"/>
      <c r="J99" s="273"/>
      <c r="K99" s="273"/>
    </row>
    <row r="100" spans="1:11" ht="12.95" customHeight="1">
      <c r="A100" s="134"/>
      <c r="B100" s="205" t="s">
        <v>21825</v>
      </c>
      <c r="C100" s="273" t="s">
        <v>21946</v>
      </c>
      <c r="D100" s="273"/>
      <c r="E100" s="273"/>
      <c r="F100" s="273"/>
      <c r="G100" s="273"/>
      <c r="H100" s="273"/>
      <c r="I100" s="273"/>
      <c r="J100" s="273"/>
      <c r="K100" s="273"/>
    </row>
    <row r="101" spans="1:11" ht="24.95" customHeight="1">
      <c r="A101" s="134"/>
      <c r="B101" s="205" t="s">
        <v>21827</v>
      </c>
      <c r="C101" s="273" t="s">
        <v>21947</v>
      </c>
      <c r="D101" s="273"/>
      <c r="E101" s="273"/>
      <c r="F101" s="273"/>
      <c r="G101" s="273"/>
      <c r="H101" s="273"/>
      <c r="I101" s="273"/>
      <c r="J101" s="273"/>
      <c r="K101" s="273"/>
    </row>
    <row r="102" spans="1:11">
      <c r="A102" s="134"/>
      <c r="B102" s="126" t="s">
        <v>3948</v>
      </c>
      <c r="C102" s="206" t="s">
        <v>21829</v>
      </c>
      <c r="D102" s="206"/>
      <c r="E102" s="206"/>
      <c r="F102" s="206" t="s">
        <v>21830</v>
      </c>
      <c r="G102" s="206"/>
      <c r="H102" s="206" t="s">
        <v>21831</v>
      </c>
      <c r="I102" s="206"/>
      <c r="J102" s="206" t="s">
        <v>21832</v>
      </c>
      <c r="K102" s="206"/>
    </row>
    <row r="103" spans="1:11">
      <c r="A103" s="134"/>
      <c r="C103" s="245" t="s">
        <v>21948</v>
      </c>
      <c r="D103" s="245"/>
      <c r="E103" s="245"/>
      <c r="F103" s="245" t="s">
        <v>21949</v>
      </c>
      <c r="G103" s="245"/>
      <c r="H103" s="292" t="str">
        <f>IFERROR(_xlfn.XLOOKUP("TH11",tblThreshold[ThresholdID],tblThreshold[WatchLevel])&amp;"","(missing)")</f>
        <v>0.1</v>
      </c>
      <c r="I103" s="317"/>
      <c r="J103" s="323" t="str">
        <f>IFERROR(HYPERLINK("#'Threshold_Register'!G"&amp;(MATCH("TH11",tblThreshold[ThresholdID],0)+4),"→ Threshold_Register"),"-")</f>
        <v>→ Threshold_Register</v>
      </c>
      <c r="K103" s="245"/>
    </row>
    <row r="104" spans="1:11">
      <c r="A104" s="134"/>
      <c r="C104" s="245" t="s">
        <v>21950</v>
      </c>
      <c r="D104" s="245"/>
      <c r="E104" s="245"/>
      <c r="F104" s="245" t="s">
        <v>21951</v>
      </c>
      <c r="G104" s="245"/>
      <c r="H104" s="292" t="str">
        <f>IFERROR(_xlfn.XLOOKUP("TH11",tblThreshold[ThresholdID],tblThreshold[AlertLevel])&amp;"","(missing)")</f>
        <v>0.25</v>
      </c>
      <c r="I104" s="317"/>
      <c r="J104" s="323" t="str">
        <f>IFERROR(HYPERLINK("#'Threshold_Register'!H"&amp;(MATCH("TH11",tblThreshold[ThresholdID],0)+4),"→ Threshold_Register"),"-")</f>
        <v>→ Threshold_Register</v>
      </c>
      <c r="K104" s="245"/>
    </row>
    <row r="105" spans="1:11">
      <c r="A105" s="134"/>
      <c r="C105" s="245" t="s">
        <v>21952</v>
      </c>
      <c r="D105" s="245"/>
      <c r="E105" s="245"/>
      <c r="F105" s="245" t="s">
        <v>21953</v>
      </c>
      <c r="G105" s="245"/>
      <c r="H105" s="292" t="str">
        <f>IFERROR(_xlfn.XLOOKUP("TH11",tblThreshold[ThresholdID],tblThreshold[MinN])&amp;"","(missing)")</f>
        <v>100</v>
      </c>
      <c r="I105" s="317"/>
      <c r="J105" s="323" t="str">
        <f>IFERROR(HYPERLINK("#'Threshold_Register'!J"&amp;(MATCH("TH11",tblThreshold[ThresholdID],0)+4),"→ Threshold_Register"),"-")</f>
        <v>→ Threshold_Register</v>
      </c>
      <c r="K105" s="245"/>
    </row>
    <row r="106" spans="1:11">
      <c r="A106" s="134"/>
      <c r="C106" s="245" t="s">
        <v>21954</v>
      </c>
      <c r="D106" s="245"/>
      <c r="E106" s="245"/>
      <c r="F106" s="245" t="s">
        <v>21955</v>
      </c>
      <c r="G106" s="245"/>
      <c r="H106" s="292" t="str">
        <f>IFERROR(_xlfn.XLOOKUP("TH11",tblThreshold[ThresholdID],tblThreshold[Status])&amp;"","(missing)")</f>
        <v>DRAFT</v>
      </c>
      <c r="I106" s="317"/>
      <c r="J106" s="323" t="str">
        <f>IFERROR(HYPERLINK("#'Threshold_Register'!P"&amp;(MATCH("TH11",tblThreshold[ThresholdID],0)+4),"→ Threshold_Register"),"-")</f>
        <v>→ Threshold_Register</v>
      </c>
      <c r="K106" s="245"/>
    </row>
    <row r="107" spans="1:11" ht="12.95" customHeight="1">
      <c r="A107" s="134"/>
      <c r="B107" s="205" t="s">
        <v>21847</v>
      </c>
      <c r="C107" s="273" t="s">
        <v>21956</v>
      </c>
      <c r="D107" s="273"/>
      <c r="E107" s="273"/>
      <c r="F107" s="273"/>
      <c r="G107" s="273"/>
      <c r="H107" s="273"/>
      <c r="I107" s="273"/>
      <c r="J107" s="273"/>
      <c r="K107" s="273"/>
    </row>
    <row r="108" spans="1:11" ht="12.95" customHeight="1">
      <c r="A108" s="134"/>
      <c r="B108" s="205" t="s">
        <v>21849</v>
      </c>
      <c r="C108" s="273" t="s">
        <v>21957</v>
      </c>
      <c r="D108" s="273"/>
      <c r="E108" s="273"/>
      <c r="F108" s="273"/>
      <c r="G108" s="273"/>
      <c r="H108" s="273"/>
      <c r="I108" s="273"/>
      <c r="J108" s="273"/>
      <c r="K108" s="273"/>
    </row>
    <row r="109" spans="1:11" ht="12.95" customHeight="1">
      <c r="A109" s="134"/>
      <c r="B109" s="205" t="s">
        <v>21851</v>
      </c>
      <c r="C109" s="273" t="s">
        <v>21958</v>
      </c>
      <c r="D109" s="273"/>
      <c r="E109" s="273"/>
      <c r="F109" s="273"/>
      <c r="G109" s="273"/>
      <c r="H109" s="273"/>
      <c r="I109" s="273"/>
      <c r="J109" s="273"/>
      <c r="K109" s="273"/>
    </row>
    <row r="110" spans="1:11" ht="24.95" customHeight="1">
      <c r="A110" s="134"/>
      <c r="B110" s="205" t="s">
        <v>21855</v>
      </c>
      <c r="C110" s="239" t="s">
        <v>21959</v>
      </c>
      <c r="D110" s="239"/>
      <c r="E110" s="239"/>
      <c r="F110" s="239"/>
      <c r="G110" s="239"/>
      <c r="H110" s="239"/>
      <c r="I110" s="239"/>
      <c r="J110" s="239"/>
      <c r="K110" s="239"/>
    </row>
    <row r="111" spans="1:11">
      <c r="A111" s="134"/>
    </row>
    <row r="112" spans="1:11" ht="15">
      <c r="A112" s="207" t="s">
        <v>21960</v>
      </c>
      <c r="B112" s="324" t="s">
        <v>21961</v>
      </c>
      <c r="C112" s="324"/>
      <c r="D112" s="324"/>
      <c r="E112" s="324"/>
      <c r="F112" s="324"/>
      <c r="G112" s="324"/>
      <c r="H112" s="324"/>
      <c r="I112" s="324"/>
      <c r="J112" s="324"/>
      <c r="K112" s="324"/>
    </row>
    <row r="113" spans="1:11" ht="12.95" customHeight="1">
      <c r="A113" s="134"/>
      <c r="B113" s="205" t="s">
        <v>21819</v>
      </c>
      <c r="C113" s="273" t="s">
        <v>21962</v>
      </c>
      <c r="D113" s="273"/>
      <c r="E113" s="273"/>
      <c r="F113" s="273"/>
      <c r="G113" s="273"/>
      <c r="H113" s="273"/>
      <c r="I113" s="273"/>
      <c r="J113" s="273"/>
      <c r="K113" s="273"/>
    </row>
    <row r="114" spans="1:11" ht="12.95" customHeight="1">
      <c r="A114" s="134"/>
      <c r="B114" s="205" t="s">
        <v>21821</v>
      </c>
      <c r="C114" s="273" t="s">
        <v>21963</v>
      </c>
      <c r="D114" s="273"/>
      <c r="E114" s="273"/>
      <c r="F114" s="273"/>
      <c r="G114" s="273"/>
      <c r="H114" s="273"/>
      <c r="I114" s="273"/>
      <c r="J114" s="273"/>
      <c r="K114" s="273"/>
    </row>
    <row r="115" spans="1:11" ht="12.95" customHeight="1">
      <c r="A115" s="134"/>
      <c r="B115" s="205" t="s">
        <v>21823</v>
      </c>
      <c r="C115" s="273" t="s">
        <v>21964</v>
      </c>
      <c r="D115" s="273"/>
      <c r="E115" s="273"/>
      <c r="F115" s="273"/>
      <c r="G115" s="273"/>
      <c r="H115" s="273"/>
      <c r="I115" s="273"/>
      <c r="J115" s="273"/>
      <c r="K115" s="273"/>
    </row>
    <row r="116" spans="1:11" ht="12.95" customHeight="1">
      <c r="A116" s="134"/>
      <c r="B116" s="205" t="s">
        <v>21825</v>
      </c>
      <c r="C116" s="273" t="s">
        <v>21965</v>
      </c>
      <c r="D116" s="273"/>
      <c r="E116" s="273"/>
      <c r="F116" s="273"/>
      <c r="G116" s="273"/>
      <c r="H116" s="273"/>
      <c r="I116" s="273"/>
      <c r="J116" s="273"/>
      <c r="K116" s="273"/>
    </row>
    <row r="117" spans="1:11" ht="24.95" customHeight="1">
      <c r="A117" s="134"/>
      <c r="B117" s="205" t="s">
        <v>21827</v>
      </c>
      <c r="C117" s="273" t="s">
        <v>21966</v>
      </c>
      <c r="D117" s="273"/>
      <c r="E117" s="273"/>
      <c r="F117" s="273"/>
      <c r="G117" s="273"/>
      <c r="H117" s="273"/>
      <c r="I117" s="273"/>
      <c r="J117" s="273"/>
      <c r="K117" s="273"/>
    </row>
    <row r="118" spans="1:11">
      <c r="A118" s="134"/>
      <c r="B118" s="126" t="s">
        <v>3948</v>
      </c>
      <c r="C118" s="206" t="s">
        <v>21829</v>
      </c>
      <c r="D118" s="206"/>
      <c r="E118" s="206"/>
      <c r="F118" s="206" t="s">
        <v>21830</v>
      </c>
      <c r="G118" s="206"/>
      <c r="H118" s="206" t="s">
        <v>21831</v>
      </c>
      <c r="I118" s="206"/>
      <c r="J118" s="206" t="s">
        <v>21832</v>
      </c>
      <c r="K118" s="206"/>
    </row>
    <row r="119" spans="1:11">
      <c r="A119" s="134"/>
      <c r="C119" s="245" t="s">
        <v>21967</v>
      </c>
      <c r="D119" s="245"/>
      <c r="E119" s="245"/>
      <c r="F119" s="245" t="s">
        <v>21968</v>
      </c>
      <c r="G119" s="245"/>
      <c r="H119" s="292" t="str">
        <f>IFERROR(_xlfn.XLOOKUP("MinCasesForTail",AnParam[Param],AnParam[Value])&amp;"","(missing)")</f>
        <v>200</v>
      </c>
      <c r="I119" s="317"/>
      <c r="J119" s="323" t="str">
        <f>IFERROR(HYPERLINK("#'RefData'!B"&amp;(MATCH("MinCasesForTail",AnParam[Param],0)+345),"→ RefData"),"-")</f>
        <v>→ RefData</v>
      </c>
      <c r="K119" s="245"/>
    </row>
    <row r="120" spans="1:11">
      <c r="A120" s="134"/>
      <c r="C120" s="245" t="s">
        <v>21969</v>
      </c>
      <c r="D120" s="245"/>
      <c r="E120" s="245"/>
      <c r="F120" s="245" t="s">
        <v>21970</v>
      </c>
      <c r="G120" s="245"/>
      <c r="H120" s="292" t="str">
        <f>IFERROR(_xlfn.XLOOKUP("TopN",AnParam[Param],AnParam[Value])&amp;"","(missing)")</f>
        <v>10</v>
      </c>
      <c r="I120" s="317"/>
      <c r="J120" s="323" t="str">
        <f>IFERROR(HYPERLINK("#'RefData'!B"&amp;(MATCH("TopN",AnParam[Param],0)+345),"→ RefData"),"-")</f>
        <v>→ RefData</v>
      </c>
      <c r="K120" s="245"/>
    </row>
    <row r="121" spans="1:11" ht="12.95" customHeight="1">
      <c r="A121" s="134"/>
      <c r="B121" s="205" t="s">
        <v>21847</v>
      </c>
      <c r="C121" s="273" t="s">
        <v>21971</v>
      </c>
      <c r="D121" s="273"/>
      <c r="E121" s="273"/>
      <c r="F121" s="273"/>
      <c r="G121" s="273"/>
      <c r="H121" s="273"/>
      <c r="I121" s="273"/>
      <c r="J121" s="273"/>
      <c r="K121" s="273"/>
    </row>
    <row r="122" spans="1:11" ht="24.95" customHeight="1">
      <c r="A122" s="134"/>
      <c r="B122" s="205" t="s">
        <v>21849</v>
      </c>
      <c r="C122" s="273" t="s">
        <v>21972</v>
      </c>
      <c r="D122" s="273"/>
      <c r="E122" s="273"/>
      <c r="F122" s="273"/>
      <c r="G122" s="273"/>
      <c r="H122" s="273"/>
      <c r="I122" s="273"/>
      <c r="J122" s="273"/>
      <c r="K122" s="273"/>
    </row>
    <row r="123" spans="1:11" ht="12.95" customHeight="1">
      <c r="A123" s="134"/>
      <c r="B123" s="205" t="s">
        <v>21851</v>
      </c>
      <c r="C123" s="273" t="s">
        <v>21973</v>
      </c>
      <c r="D123" s="273"/>
      <c r="E123" s="273"/>
      <c r="F123" s="273"/>
      <c r="G123" s="273"/>
      <c r="H123" s="273"/>
      <c r="I123" s="273"/>
      <c r="J123" s="273"/>
      <c r="K123" s="273"/>
    </row>
    <row r="124" spans="1:11" ht="24.95" customHeight="1">
      <c r="A124" s="134"/>
      <c r="B124" s="205" t="s">
        <v>21855</v>
      </c>
      <c r="C124" s="239" t="s">
        <v>21974</v>
      </c>
      <c r="D124" s="239"/>
      <c r="E124" s="239"/>
      <c r="F124" s="239"/>
      <c r="G124" s="239"/>
      <c r="H124" s="239"/>
      <c r="I124" s="239"/>
      <c r="J124" s="239"/>
      <c r="K124" s="239"/>
    </row>
    <row r="125" spans="1:11">
      <c r="A125" s="134"/>
    </row>
    <row r="126" spans="1:11" ht="15">
      <c r="A126" s="207" t="s">
        <v>21975</v>
      </c>
      <c r="B126" s="324" t="s">
        <v>21976</v>
      </c>
      <c r="C126" s="324"/>
      <c r="D126" s="324"/>
      <c r="E126" s="324"/>
      <c r="F126" s="324"/>
      <c r="G126" s="324"/>
      <c r="H126" s="324"/>
      <c r="I126" s="324"/>
      <c r="J126" s="324"/>
      <c r="K126" s="324"/>
    </row>
    <row r="127" spans="1:11" ht="12.95" customHeight="1">
      <c r="A127" s="134"/>
      <c r="B127" s="205" t="s">
        <v>21819</v>
      </c>
      <c r="C127" s="273" t="s">
        <v>21977</v>
      </c>
      <c r="D127" s="273"/>
      <c r="E127" s="273"/>
      <c r="F127" s="273"/>
      <c r="G127" s="273"/>
      <c r="H127" s="273"/>
      <c r="I127" s="273"/>
      <c r="J127" s="273"/>
      <c r="K127" s="273"/>
    </row>
    <row r="128" spans="1:11" ht="12.95" customHeight="1">
      <c r="A128" s="134"/>
      <c r="B128" s="205" t="s">
        <v>21821</v>
      </c>
      <c r="C128" s="273" t="s">
        <v>21978</v>
      </c>
      <c r="D128" s="273"/>
      <c r="E128" s="273"/>
      <c r="F128" s="273"/>
      <c r="G128" s="273"/>
      <c r="H128" s="273"/>
      <c r="I128" s="273"/>
      <c r="J128" s="273"/>
      <c r="K128" s="273"/>
    </row>
    <row r="129" spans="1:11" ht="12.95" customHeight="1">
      <c r="A129" s="134"/>
      <c r="B129" s="205" t="s">
        <v>21823</v>
      </c>
      <c r="C129" s="273" t="s">
        <v>21979</v>
      </c>
      <c r="D129" s="273"/>
      <c r="E129" s="273"/>
      <c r="F129" s="273"/>
      <c r="G129" s="273"/>
      <c r="H129" s="273"/>
      <c r="I129" s="273"/>
      <c r="J129" s="273"/>
      <c r="K129" s="273"/>
    </row>
    <row r="130" spans="1:11" ht="12.95" customHeight="1">
      <c r="A130" s="134"/>
      <c r="B130" s="205" t="s">
        <v>21825</v>
      </c>
      <c r="C130" s="273" t="s">
        <v>21980</v>
      </c>
      <c r="D130" s="273"/>
      <c r="E130" s="273"/>
      <c r="F130" s="273"/>
      <c r="G130" s="273"/>
      <c r="H130" s="273"/>
      <c r="I130" s="273"/>
      <c r="J130" s="273"/>
      <c r="K130" s="273"/>
    </row>
    <row r="131" spans="1:11" ht="75" customHeight="1">
      <c r="A131" s="134"/>
      <c r="B131" s="205" t="s">
        <v>21827</v>
      </c>
      <c r="C131" s="273" t="s">
        <v>21981</v>
      </c>
      <c r="D131" s="273"/>
      <c r="E131" s="273"/>
      <c r="F131" s="273"/>
      <c r="G131" s="273"/>
      <c r="H131" s="273"/>
      <c r="I131" s="273"/>
      <c r="J131" s="273"/>
      <c r="K131" s="273"/>
    </row>
    <row r="132" spans="1:11">
      <c r="A132" s="134"/>
      <c r="B132" s="126" t="s">
        <v>3948</v>
      </c>
      <c r="C132" s="206" t="s">
        <v>21829</v>
      </c>
      <c r="D132" s="206"/>
      <c r="E132" s="206"/>
      <c r="F132" s="206" t="s">
        <v>21830</v>
      </c>
      <c r="G132" s="206"/>
      <c r="H132" s="206" t="s">
        <v>21831</v>
      </c>
      <c r="I132" s="206"/>
      <c r="J132" s="206" t="s">
        <v>21832</v>
      </c>
      <c r="K132" s="206"/>
    </row>
    <row r="133" spans="1:11">
      <c r="A133" s="134"/>
      <c r="C133" s="245" t="s">
        <v>21982</v>
      </c>
      <c r="D133" s="245"/>
      <c r="E133" s="245"/>
      <c r="F133" s="245" t="s">
        <v>21983</v>
      </c>
      <c r="G133" s="245"/>
      <c r="H133" s="292" t="str">
        <f>IFERROR(_xlfn.XLOOKUP("TailShare",AnParam[Param],AnParam[Value])&amp;"","(missing)")</f>
        <v>0.05</v>
      </c>
      <c r="I133" s="317"/>
      <c r="J133" s="323" t="str">
        <f>IFERROR(HYPERLINK("#'RefData'!B"&amp;(MATCH("TailShare",AnParam[Param],0)+345),"→ RefData"),"-")</f>
        <v>→ RefData</v>
      </c>
      <c r="K133" s="245"/>
    </row>
    <row r="134" spans="1:11">
      <c r="A134" s="134"/>
      <c r="C134" s="245" t="s">
        <v>21984</v>
      </c>
      <c r="D134" s="245"/>
      <c r="E134" s="245"/>
      <c r="F134" s="245" t="s">
        <v>21968</v>
      </c>
      <c r="G134" s="245"/>
      <c r="H134" s="292" t="str">
        <f>IFERROR(_xlfn.XLOOKUP("MinCasesForTail",AnParam[Param],AnParam[Value])&amp;"","(missing)")</f>
        <v>200</v>
      </c>
      <c r="I134" s="317"/>
      <c r="J134" s="323" t="str">
        <f>IFERROR(HYPERLINK("#'RefData'!B"&amp;(MATCH("MinCasesForTail",AnParam[Param],0)+345),"→ RefData"),"-")</f>
        <v>→ RefData</v>
      </c>
      <c r="K134" s="245"/>
    </row>
    <row r="135" spans="1:11">
      <c r="A135" s="134"/>
      <c r="C135" s="245" t="s">
        <v>21985</v>
      </c>
      <c r="D135" s="245"/>
      <c r="E135" s="245"/>
      <c r="F135" s="245" t="s">
        <v>21986</v>
      </c>
      <c r="G135" s="245"/>
      <c r="H135" s="292" t="str">
        <f>IFERROR(_xlfn.XLOOKUP("TailFitQuantile",AnParam[Param],AnParam[Value])&amp;"","(missing)")</f>
        <v>0.9</v>
      </c>
      <c r="I135" s="317"/>
      <c r="J135" s="323" t="str">
        <f>IFERROR(HYPERLINK("#'RefData'!B"&amp;(MATCH("TailFitQuantile",AnParam[Param],0)+345),"→ RefData"),"-")</f>
        <v>→ RefData</v>
      </c>
      <c r="K135" s="245"/>
    </row>
    <row r="136" spans="1:11">
      <c r="A136" s="134"/>
      <c r="C136" s="245" t="s">
        <v>21987</v>
      </c>
      <c r="D136" s="245"/>
      <c r="E136" s="245"/>
      <c r="F136" s="245" t="s">
        <v>21988</v>
      </c>
      <c r="G136" s="245"/>
      <c r="H136" s="292" t="str">
        <f>IFERROR(_xlfn.XLOOKUP("TailMinK",AnParam[Param],AnParam[Value])&amp;"","(missing)")</f>
        <v>10</v>
      </c>
      <c r="I136" s="317"/>
      <c r="J136" s="323" t="str">
        <f>IFERROR(HYPERLINK("#'RefData'!B"&amp;(MATCH("TailMinK",AnParam[Param],0)+345),"→ RefData"),"-")</f>
        <v>→ RefData</v>
      </c>
      <c r="K136" s="245"/>
    </row>
    <row r="137" spans="1:11" ht="12.95" customHeight="1">
      <c r="A137" s="134"/>
      <c r="B137" s="205" t="s">
        <v>21847</v>
      </c>
      <c r="C137" s="273" t="s">
        <v>21989</v>
      </c>
      <c r="D137" s="273"/>
      <c r="E137" s="273"/>
      <c r="F137" s="273"/>
      <c r="G137" s="273"/>
      <c r="H137" s="273"/>
      <c r="I137" s="273"/>
      <c r="J137" s="273"/>
      <c r="K137" s="273"/>
    </row>
    <row r="138" spans="1:11" ht="24.95" customHeight="1">
      <c r="A138" s="134"/>
      <c r="B138" s="205" t="s">
        <v>21849</v>
      </c>
      <c r="C138" s="273" t="s">
        <v>21990</v>
      </c>
      <c r="D138" s="273"/>
      <c r="E138" s="273"/>
      <c r="F138" s="273"/>
      <c r="G138" s="273"/>
      <c r="H138" s="273"/>
      <c r="I138" s="273"/>
      <c r="J138" s="273"/>
      <c r="K138" s="273"/>
    </row>
    <row r="139" spans="1:11" ht="24.95" customHeight="1">
      <c r="A139" s="134"/>
      <c r="B139" s="205" t="s">
        <v>21851</v>
      </c>
      <c r="C139" s="273" t="s">
        <v>21991</v>
      </c>
      <c r="D139" s="273"/>
      <c r="E139" s="273"/>
      <c r="F139" s="273"/>
      <c r="G139" s="273"/>
      <c r="H139" s="273"/>
      <c r="I139" s="273"/>
      <c r="J139" s="273"/>
      <c r="K139" s="273"/>
    </row>
    <row r="140" spans="1:11">
      <c r="A140" s="134"/>
      <c r="C140" s="325" t="s">
        <v>21992</v>
      </c>
      <c r="D140" s="246"/>
      <c r="E140" s="246"/>
      <c r="F140" s="246"/>
      <c r="G140" s="246"/>
      <c r="H140" s="292" t="str" cm="1">
        <f t="array" ref="H140">IF(AN_TailFit!$AB$11,AN_TailFit!$AB$3&amp;": "&amp;anNum(AN_TailFit!$BA$4,3)&amp;" / "&amp;anNum(AN_TailFit!$BA$5,3)&amp;" / "&amp;anNum(AN_TailFit!$BA$7,3),AN_TailFit!$AB$2)</f>
        <v>INSUFFICIENT DATA: 0 cases (at least 200) or 0 cases above the threshold (at least 10)</v>
      </c>
      <c r="I140" s="315"/>
      <c r="J140" s="315"/>
      <c r="K140" s="315"/>
    </row>
    <row r="141" spans="1:11">
      <c r="A141" s="134"/>
      <c r="C141" s="325" t="s">
        <v>21993</v>
      </c>
      <c r="D141" s="246"/>
      <c r="E141" s="246"/>
      <c r="F141" s="246"/>
      <c r="G141" s="246"/>
      <c r="H141" s="292" t="str" cm="1">
        <f t="array" ref="H141">IFERROR(anNum(AN_TailFit!$BA$10,3),"-")&amp;" / "&amp;IFERROR(anNum(AN_TailFit!$BA$11,3),"- (other segment)")</f>
        <v xml:space="preserve"> / </v>
      </c>
      <c r="I141" s="315"/>
      <c r="J141" s="315"/>
      <c r="K141" s="315"/>
    </row>
    <row r="142" spans="1:11" ht="111.95" customHeight="1">
      <c r="A142" s="134"/>
      <c r="B142" s="205" t="s">
        <v>21855</v>
      </c>
      <c r="C142" s="239" t="s">
        <v>21994</v>
      </c>
      <c r="D142" s="239"/>
      <c r="E142" s="239"/>
      <c r="F142" s="239"/>
      <c r="G142" s="239"/>
      <c r="H142" s="239"/>
      <c r="I142" s="239"/>
      <c r="J142" s="239"/>
      <c r="K142" s="239"/>
    </row>
    <row r="143" spans="1:11">
      <c r="A143" s="134"/>
    </row>
    <row r="144" spans="1:11" ht="15">
      <c r="A144" s="207" t="s">
        <v>21995</v>
      </c>
      <c r="B144" s="324" t="s">
        <v>21996</v>
      </c>
      <c r="C144" s="324"/>
      <c r="D144" s="324"/>
      <c r="E144" s="324"/>
      <c r="F144" s="324"/>
      <c r="G144" s="324"/>
      <c r="H144" s="324"/>
      <c r="I144" s="324"/>
      <c r="J144" s="324"/>
      <c r="K144" s="324"/>
    </row>
    <row r="145" spans="1:11" ht="12.95" customHeight="1">
      <c r="A145" s="134"/>
      <c r="B145" s="205" t="s">
        <v>21819</v>
      </c>
      <c r="C145" s="273" t="s">
        <v>21997</v>
      </c>
      <c r="D145" s="273"/>
      <c r="E145" s="273"/>
      <c r="F145" s="273"/>
      <c r="G145" s="273"/>
      <c r="H145" s="273"/>
      <c r="I145" s="273"/>
      <c r="J145" s="273"/>
      <c r="K145" s="273"/>
    </row>
    <row r="146" spans="1:11" ht="12.95" customHeight="1">
      <c r="A146" s="134"/>
      <c r="B146" s="205" t="s">
        <v>21821</v>
      </c>
      <c r="C146" s="273" t="s">
        <v>21998</v>
      </c>
      <c r="D146" s="273"/>
      <c r="E146" s="273"/>
      <c r="F146" s="273"/>
      <c r="G146" s="273"/>
      <c r="H146" s="273"/>
      <c r="I146" s="273"/>
      <c r="J146" s="273"/>
      <c r="K146" s="273"/>
    </row>
    <row r="147" spans="1:11" ht="12.95" customHeight="1">
      <c r="A147" s="134"/>
      <c r="B147" s="205" t="s">
        <v>21823</v>
      </c>
      <c r="C147" s="273" t="s">
        <v>21999</v>
      </c>
      <c r="D147" s="273"/>
      <c r="E147" s="273"/>
      <c r="F147" s="273"/>
      <c r="G147" s="273"/>
      <c r="H147" s="273"/>
      <c r="I147" s="273"/>
      <c r="J147" s="273"/>
      <c r="K147" s="273"/>
    </row>
    <row r="148" spans="1:11" ht="12.95" customHeight="1">
      <c r="A148" s="134"/>
      <c r="B148" s="205" t="s">
        <v>21825</v>
      </c>
      <c r="C148" s="273" t="s">
        <v>22000</v>
      </c>
      <c r="D148" s="273"/>
      <c r="E148" s="273"/>
      <c r="F148" s="273"/>
      <c r="G148" s="273"/>
      <c r="H148" s="273"/>
      <c r="I148" s="273"/>
      <c r="J148" s="273"/>
      <c r="K148" s="273"/>
    </row>
    <row r="149" spans="1:11" ht="62.1" customHeight="1">
      <c r="A149" s="134"/>
      <c r="B149" s="205" t="s">
        <v>21827</v>
      </c>
      <c r="C149" s="273" t="s">
        <v>22001</v>
      </c>
      <c r="D149" s="273"/>
      <c r="E149" s="273"/>
      <c r="F149" s="273"/>
      <c r="G149" s="273"/>
      <c r="H149" s="273"/>
      <c r="I149" s="273"/>
      <c r="J149" s="273"/>
      <c r="K149" s="273"/>
    </row>
    <row r="150" spans="1:11">
      <c r="A150" s="134"/>
      <c r="B150" s="126" t="s">
        <v>3948</v>
      </c>
      <c r="C150" s="206" t="s">
        <v>21829</v>
      </c>
      <c r="D150" s="206"/>
      <c r="E150" s="206"/>
      <c r="F150" s="206" t="s">
        <v>21830</v>
      </c>
      <c r="G150" s="206"/>
      <c r="H150" s="206" t="s">
        <v>21831</v>
      </c>
      <c r="I150" s="206"/>
      <c r="J150" s="206" t="s">
        <v>21832</v>
      </c>
      <c r="K150" s="206"/>
    </row>
    <row r="151" spans="1:11">
      <c r="A151" s="134"/>
      <c r="C151" s="245" t="s">
        <v>22002</v>
      </c>
      <c r="D151" s="245"/>
      <c r="E151" s="245"/>
      <c r="F151" s="245" t="s">
        <v>22003</v>
      </c>
      <c r="G151" s="245"/>
      <c r="H151" s="292" t="str">
        <f>IFERROR(_xlfn.XLOOKUP("MinLinesForQuantile",AnParam[Param],AnParam[Value])&amp;"","(missing)")</f>
        <v>30</v>
      </c>
      <c r="I151" s="317"/>
      <c r="J151" s="323" t="str">
        <f>IFERROR(HYPERLINK("#'RefData'!B"&amp;(MATCH("MinLinesForQuantile",AnParam[Param],0)+345),"→ RefData"),"-")</f>
        <v>→ RefData</v>
      </c>
      <c r="K151" s="245"/>
    </row>
    <row r="152" spans="1:11">
      <c r="A152" s="134"/>
      <c r="C152" s="245" t="s">
        <v>22004</v>
      </c>
      <c r="D152" s="245"/>
      <c r="E152" s="245"/>
      <c r="F152" s="245" t="s">
        <v>22005</v>
      </c>
      <c r="G152" s="245"/>
      <c r="H152" s="292" t="str">
        <f>IFERROR(_xlfn.XLOOKUP("MinLinesForP99",AnParam[Param],AnParam[Value])&amp;"","(missing)")</f>
        <v>100</v>
      </c>
      <c r="I152" s="317"/>
      <c r="J152" s="323" t="str">
        <f>IFERROR(HYPERLINK("#'RefData'!B"&amp;(MATCH("MinLinesForP99",AnParam[Param],0)+345),"→ RefData"),"-")</f>
        <v>→ RefData</v>
      </c>
      <c r="K152" s="245"/>
    </row>
    <row r="153" spans="1:11">
      <c r="A153" s="134"/>
      <c r="C153" s="245" t="s">
        <v>22006</v>
      </c>
      <c r="D153" s="245"/>
      <c r="E153" s="245"/>
      <c r="F153" s="245" t="s">
        <v>22007</v>
      </c>
      <c r="G153" s="245"/>
      <c r="H153" s="292" t="str">
        <f>IFERROR(_xlfn.XLOOKUP("LagCensorMonths",tblParameters[Parameter],tblParameters[Value])&amp;"","(missing)")</f>
        <v>3</v>
      </c>
      <c r="I153" s="317"/>
      <c r="J153" s="323" t="str">
        <f>IFERROR(HYPERLINK("#'Parameters'!C"&amp;(MATCH("LagCensorMonths",tblParameters[Parameter],0)+4),"→ Parameters"),"-")</f>
        <v>→ Parameters</v>
      </c>
      <c r="K153" s="245"/>
    </row>
    <row r="154" spans="1:11">
      <c r="A154" s="134"/>
      <c r="C154" s="245" t="s">
        <v>22008</v>
      </c>
      <c r="D154" s="245"/>
      <c r="E154" s="245"/>
      <c r="F154" s="245" t="s">
        <v>22009</v>
      </c>
      <c r="G154" s="245"/>
      <c r="H154" s="292" t="str">
        <f>IFERROR(_xlfn.XLOOKUP("SlaDaysEndToEnd_Life",AnParam[Param],AnParam[Value])&amp;"","(missing)")</f>
        <v>90</v>
      </c>
      <c r="I154" s="317"/>
      <c r="J154" s="323" t="str">
        <f>IFERROR(HYPERLINK("#'RefData'!B"&amp;(MATCH("SlaDaysEndToEnd_Life",AnParam[Param],0)+345),"→ RefData"),"-")</f>
        <v>→ RefData</v>
      </c>
      <c r="K154" s="245"/>
    </row>
    <row r="155" spans="1:11">
      <c r="A155" s="134"/>
      <c r="C155" s="245" t="s">
        <v>22010</v>
      </c>
      <c r="D155" s="245"/>
      <c r="E155" s="245"/>
      <c r="F155" s="245" t="s">
        <v>22011</v>
      </c>
      <c r="G155" s="245"/>
      <c r="H155" s="292" t="str">
        <f>IFERROR(_xlfn.XLOOKUP("SlaDaysDecisionToPayment_Life",AnParam[Param],AnParam[Value])&amp;"","(missing)")</f>
        <v>10</v>
      </c>
      <c r="I155" s="317"/>
      <c r="J155" s="323" t="str">
        <f>IFERROR(HYPERLINK("#'RefData'!B"&amp;(MATCH("SlaDaysDecisionToPayment_Life",AnParam[Param],0)+345),"→ RefData"),"-")</f>
        <v>→ RefData</v>
      </c>
      <c r="K155" s="245"/>
    </row>
    <row r="156" spans="1:11" ht="12.95" customHeight="1">
      <c r="A156" s="134"/>
      <c r="B156" s="205" t="s">
        <v>21847</v>
      </c>
      <c r="C156" s="273" t="s">
        <v>22012</v>
      </c>
      <c r="D156" s="273"/>
      <c r="E156" s="273"/>
      <c r="F156" s="273"/>
      <c r="G156" s="273"/>
      <c r="H156" s="273"/>
      <c r="I156" s="273"/>
      <c r="J156" s="273"/>
      <c r="K156" s="273"/>
    </row>
    <row r="157" spans="1:11" ht="24.95" customHeight="1">
      <c r="A157" s="134"/>
      <c r="B157" s="205" t="s">
        <v>21849</v>
      </c>
      <c r="C157" s="273" t="s">
        <v>22013</v>
      </c>
      <c r="D157" s="273"/>
      <c r="E157" s="273"/>
      <c r="F157" s="273"/>
      <c r="G157" s="273"/>
      <c r="H157" s="273"/>
      <c r="I157" s="273"/>
      <c r="J157" s="273"/>
      <c r="K157" s="273"/>
    </row>
    <row r="158" spans="1:11" ht="12.95" customHeight="1">
      <c r="A158" s="134"/>
      <c r="B158" s="205" t="s">
        <v>21851</v>
      </c>
      <c r="C158" s="273" t="s">
        <v>22014</v>
      </c>
      <c r="D158" s="273"/>
      <c r="E158" s="273"/>
      <c r="F158" s="273"/>
      <c r="G158" s="273"/>
      <c r="H158" s="273"/>
      <c r="I158" s="273"/>
      <c r="J158" s="273"/>
      <c r="K158" s="273"/>
    </row>
    <row r="159" spans="1:11" ht="24.95" customHeight="1">
      <c r="A159" s="134"/>
      <c r="B159" s="205" t="s">
        <v>21855</v>
      </c>
      <c r="C159" s="239" t="s">
        <v>22015</v>
      </c>
      <c r="D159" s="239"/>
      <c r="E159" s="239"/>
      <c r="F159" s="239"/>
      <c r="G159" s="239"/>
      <c r="H159" s="239"/>
      <c r="I159" s="239"/>
      <c r="J159" s="239"/>
      <c r="K159" s="239"/>
    </row>
    <row r="160" spans="1:11">
      <c r="A160" s="134"/>
    </row>
    <row r="161" spans="1:1">
      <c r="A161" s="134"/>
    </row>
  </sheetData>
  <sheetProtection algorithmName="SHA-512" hashValue="VKEZvU0r2efRkSxEzYp9bfnGeWLDDsgLe4aXowDBshUpu2Kve3K2+D3s/myZ7LYhWuYR+6kiTWcqs8uVx7puSA==" saltValue="0bhDUMyNL+z0/5W3ApMf5A==" spinCount="100000" sheet="1" scenarios="1" formatColumns="0" sort="0" autoFilter="0"/>
  <mergeCells count="271">
    <mergeCell ref="B2:K2"/>
    <mergeCell ref="B5:K5"/>
    <mergeCell ref="C6:K6"/>
    <mergeCell ref="C7:K7"/>
    <mergeCell ref="C8:K8"/>
    <mergeCell ref="C9:K9"/>
    <mergeCell ref="C14:E14"/>
    <mergeCell ref="F14:G14"/>
    <mergeCell ref="H14:I14"/>
    <mergeCell ref="J14:K14"/>
    <mergeCell ref="C15:E15"/>
    <mergeCell ref="F15:G15"/>
    <mergeCell ref="H15:I15"/>
    <mergeCell ref="J15:K15"/>
    <mergeCell ref="C10:K10"/>
    <mergeCell ref="C12:E12"/>
    <mergeCell ref="F12:G12"/>
    <mergeCell ref="H12:I12"/>
    <mergeCell ref="J12:K12"/>
    <mergeCell ref="C13:E13"/>
    <mergeCell ref="F13:G13"/>
    <mergeCell ref="H13:I13"/>
    <mergeCell ref="J13:K13"/>
    <mergeCell ref="C18:E18"/>
    <mergeCell ref="F18:G18"/>
    <mergeCell ref="H18:I18"/>
    <mergeCell ref="J18:K18"/>
    <mergeCell ref="C19:K19"/>
    <mergeCell ref="C20:K20"/>
    <mergeCell ref="C16:E16"/>
    <mergeCell ref="F16:G16"/>
    <mergeCell ref="H16:I16"/>
    <mergeCell ref="J16:K16"/>
    <mergeCell ref="C17:E17"/>
    <mergeCell ref="F17:G17"/>
    <mergeCell ref="H17:I17"/>
    <mergeCell ref="J17:K17"/>
    <mergeCell ref="B26:K26"/>
    <mergeCell ref="C27:K27"/>
    <mergeCell ref="C28:K28"/>
    <mergeCell ref="C29:K29"/>
    <mergeCell ref="C30:K30"/>
    <mergeCell ref="C31:K31"/>
    <mergeCell ref="C21:K21"/>
    <mergeCell ref="C22:G22"/>
    <mergeCell ref="H22:K22"/>
    <mergeCell ref="C23:G23"/>
    <mergeCell ref="H23:K23"/>
    <mergeCell ref="C24:K24"/>
    <mergeCell ref="C35:E35"/>
    <mergeCell ref="F35:G35"/>
    <mergeCell ref="H35:I35"/>
    <mergeCell ref="J35:K35"/>
    <mergeCell ref="C36:E36"/>
    <mergeCell ref="F36:G36"/>
    <mergeCell ref="H36:I36"/>
    <mergeCell ref="J36:K36"/>
    <mergeCell ref="C33:E33"/>
    <mergeCell ref="F33:G33"/>
    <mergeCell ref="H33:I33"/>
    <mergeCell ref="J33:K33"/>
    <mergeCell ref="C34:E34"/>
    <mergeCell ref="F34:G34"/>
    <mergeCell ref="H34:I34"/>
    <mergeCell ref="J34:K34"/>
    <mergeCell ref="C40:K40"/>
    <mergeCell ref="C41:G41"/>
    <mergeCell ref="H41:K41"/>
    <mergeCell ref="C42:G42"/>
    <mergeCell ref="H42:K42"/>
    <mergeCell ref="C43:K43"/>
    <mergeCell ref="C37:E37"/>
    <mergeCell ref="F37:G37"/>
    <mergeCell ref="H37:I37"/>
    <mergeCell ref="J37:K37"/>
    <mergeCell ref="C38:K38"/>
    <mergeCell ref="C39:K39"/>
    <mergeCell ref="C52:E52"/>
    <mergeCell ref="F52:G52"/>
    <mergeCell ref="H52:I52"/>
    <mergeCell ref="J52:K52"/>
    <mergeCell ref="C53:E53"/>
    <mergeCell ref="F53:G53"/>
    <mergeCell ref="H53:I53"/>
    <mergeCell ref="J53:K53"/>
    <mergeCell ref="B45:K45"/>
    <mergeCell ref="C46:K46"/>
    <mergeCell ref="C47:K47"/>
    <mergeCell ref="C48:K48"/>
    <mergeCell ref="C49:K49"/>
    <mergeCell ref="C50:K50"/>
    <mergeCell ref="C56:E56"/>
    <mergeCell ref="F56:G56"/>
    <mergeCell ref="H56:I56"/>
    <mergeCell ref="J56:K56"/>
    <mergeCell ref="C57:E57"/>
    <mergeCell ref="F57:G57"/>
    <mergeCell ref="H57:I57"/>
    <mergeCell ref="J57:K57"/>
    <mergeCell ref="C54:E54"/>
    <mergeCell ref="F54:G54"/>
    <mergeCell ref="H54:I54"/>
    <mergeCell ref="J54:K54"/>
    <mergeCell ref="C55:E55"/>
    <mergeCell ref="F55:G55"/>
    <mergeCell ref="H55:I55"/>
    <mergeCell ref="J55:K55"/>
    <mergeCell ref="C65:K65"/>
    <mergeCell ref="C66:K66"/>
    <mergeCell ref="C67:K67"/>
    <mergeCell ref="C68:K68"/>
    <mergeCell ref="C70:E70"/>
    <mergeCell ref="F70:G70"/>
    <mergeCell ref="H70:I70"/>
    <mergeCell ref="J70:K70"/>
    <mergeCell ref="C58:K58"/>
    <mergeCell ref="C59:K59"/>
    <mergeCell ref="C60:K60"/>
    <mergeCell ref="C61:K61"/>
    <mergeCell ref="B63:K63"/>
    <mergeCell ref="C64:K64"/>
    <mergeCell ref="C73:E73"/>
    <mergeCell ref="F73:G73"/>
    <mergeCell ref="H73:I73"/>
    <mergeCell ref="J73:K73"/>
    <mergeCell ref="C74:E74"/>
    <mergeCell ref="F74:G74"/>
    <mergeCell ref="H74:I74"/>
    <mergeCell ref="J74:K74"/>
    <mergeCell ref="C71:E71"/>
    <mergeCell ref="F71:G71"/>
    <mergeCell ref="H71:I71"/>
    <mergeCell ref="J71:K71"/>
    <mergeCell ref="C72:E72"/>
    <mergeCell ref="F72:G72"/>
    <mergeCell ref="H72:I72"/>
    <mergeCell ref="J72:K72"/>
    <mergeCell ref="C82:K82"/>
    <mergeCell ref="C83:K83"/>
    <mergeCell ref="C84:K84"/>
    <mergeCell ref="C85:K85"/>
    <mergeCell ref="C87:E87"/>
    <mergeCell ref="F87:G87"/>
    <mergeCell ref="H87:I87"/>
    <mergeCell ref="J87:K87"/>
    <mergeCell ref="C75:K75"/>
    <mergeCell ref="C76:K76"/>
    <mergeCell ref="C77:K77"/>
    <mergeCell ref="C78:K78"/>
    <mergeCell ref="B80:K80"/>
    <mergeCell ref="C81:K81"/>
    <mergeCell ref="C90:E90"/>
    <mergeCell ref="F90:G90"/>
    <mergeCell ref="H90:I90"/>
    <mergeCell ref="J90:K90"/>
    <mergeCell ref="C91:K91"/>
    <mergeCell ref="C92:K92"/>
    <mergeCell ref="C88:E88"/>
    <mergeCell ref="F88:G88"/>
    <mergeCell ref="H88:I88"/>
    <mergeCell ref="J88:K88"/>
    <mergeCell ref="C89:E89"/>
    <mergeCell ref="F89:G89"/>
    <mergeCell ref="H89:I89"/>
    <mergeCell ref="J89:K89"/>
    <mergeCell ref="C100:K100"/>
    <mergeCell ref="C101:K101"/>
    <mergeCell ref="C103:E103"/>
    <mergeCell ref="F103:G103"/>
    <mergeCell ref="H103:I103"/>
    <mergeCell ref="J103:K103"/>
    <mergeCell ref="C93:K93"/>
    <mergeCell ref="C94:K94"/>
    <mergeCell ref="B96:K96"/>
    <mergeCell ref="C97:K97"/>
    <mergeCell ref="C98:K98"/>
    <mergeCell ref="C99:K99"/>
    <mergeCell ref="C106:E106"/>
    <mergeCell ref="F106:G106"/>
    <mergeCell ref="H106:I106"/>
    <mergeCell ref="J106:K106"/>
    <mergeCell ref="C107:K107"/>
    <mergeCell ref="C108:K108"/>
    <mergeCell ref="C104:E104"/>
    <mergeCell ref="F104:G104"/>
    <mergeCell ref="H104:I104"/>
    <mergeCell ref="J104:K104"/>
    <mergeCell ref="C105:E105"/>
    <mergeCell ref="F105:G105"/>
    <mergeCell ref="H105:I105"/>
    <mergeCell ref="J105:K105"/>
    <mergeCell ref="C116:K116"/>
    <mergeCell ref="C117:K117"/>
    <mergeCell ref="C119:E119"/>
    <mergeCell ref="F119:G119"/>
    <mergeCell ref="H119:I119"/>
    <mergeCell ref="J119:K119"/>
    <mergeCell ref="C109:K109"/>
    <mergeCell ref="C110:K110"/>
    <mergeCell ref="B112:K112"/>
    <mergeCell ref="C113:K113"/>
    <mergeCell ref="C114:K114"/>
    <mergeCell ref="C115:K115"/>
    <mergeCell ref="C123:K123"/>
    <mergeCell ref="C124:K124"/>
    <mergeCell ref="B126:K126"/>
    <mergeCell ref="C127:K127"/>
    <mergeCell ref="C128:K128"/>
    <mergeCell ref="C129:K129"/>
    <mergeCell ref="C120:E120"/>
    <mergeCell ref="F120:G120"/>
    <mergeCell ref="H120:I120"/>
    <mergeCell ref="J120:K120"/>
    <mergeCell ref="C121:K121"/>
    <mergeCell ref="C122:K122"/>
    <mergeCell ref="C134:E134"/>
    <mergeCell ref="F134:G134"/>
    <mergeCell ref="H134:I134"/>
    <mergeCell ref="J134:K134"/>
    <mergeCell ref="C135:E135"/>
    <mergeCell ref="F135:G135"/>
    <mergeCell ref="H135:I135"/>
    <mergeCell ref="J135:K135"/>
    <mergeCell ref="C130:K130"/>
    <mergeCell ref="C131:K131"/>
    <mergeCell ref="C133:E133"/>
    <mergeCell ref="F133:G133"/>
    <mergeCell ref="H133:I133"/>
    <mergeCell ref="J133:K133"/>
    <mergeCell ref="C139:K139"/>
    <mergeCell ref="C140:G140"/>
    <mergeCell ref="H140:K140"/>
    <mergeCell ref="C141:G141"/>
    <mergeCell ref="H141:K141"/>
    <mergeCell ref="C142:K142"/>
    <mergeCell ref="C136:E136"/>
    <mergeCell ref="F136:G136"/>
    <mergeCell ref="H136:I136"/>
    <mergeCell ref="J136:K136"/>
    <mergeCell ref="C137:K137"/>
    <mergeCell ref="C138:K138"/>
    <mergeCell ref="C151:E151"/>
    <mergeCell ref="F151:G151"/>
    <mergeCell ref="H151:I151"/>
    <mergeCell ref="J151:K151"/>
    <mergeCell ref="C152:E152"/>
    <mergeCell ref="F152:G152"/>
    <mergeCell ref="H152:I152"/>
    <mergeCell ref="J152:K152"/>
    <mergeCell ref="B144:K144"/>
    <mergeCell ref="C145:K145"/>
    <mergeCell ref="C146:K146"/>
    <mergeCell ref="C147:K147"/>
    <mergeCell ref="C148:K148"/>
    <mergeCell ref="C149:K149"/>
    <mergeCell ref="C158:K158"/>
    <mergeCell ref="C159:K159"/>
    <mergeCell ref="C155:E155"/>
    <mergeCell ref="F155:G155"/>
    <mergeCell ref="H155:I155"/>
    <mergeCell ref="J155:K155"/>
    <mergeCell ref="C156:K156"/>
    <mergeCell ref="C157:K157"/>
    <mergeCell ref="C153:E153"/>
    <mergeCell ref="F153:G153"/>
    <mergeCell ref="H153:I153"/>
    <mergeCell ref="J153:K153"/>
    <mergeCell ref="C154:E154"/>
    <mergeCell ref="F154:G154"/>
    <mergeCell ref="H154:I154"/>
    <mergeCell ref="J154:K154"/>
  </mergeCells>
  <pageMargins left="0.7" right="0.7" top="0.75" bottom="0.75" header="0.3" footer="0.3"/>
  <pageSetup paperSize="9" scale="62" fitToHeight="0" orientation="portrait" r:id="rId1"/>
  <headerFooter>
    <oddFooter>&amp;C&amp;P /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B2CA-0674-4CFA-8D9E-E1E99E95647D}">
  <sheetPr codeName="Sheet94">
    <tabColor rgb="FFFFC000"/>
    <pageSetUpPr fitToPage="1"/>
  </sheetPr>
  <dimension ref="A1:I65"/>
  <sheetViews>
    <sheetView showGridLines="0" workbookViewId="0"/>
  </sheetViews>
  <sheetFormatPr defaultRowHeight="12"/>
  <cols>
    <col min="1" max="1" width="18.7109375" style="122" customWidth="1"/>
    <col min="2" max="2" width="13.7109375" style="122" customWidth="1"/>
    <col min="3" max="3" width="60.7109375" style="122" customWidth="1"/>
    <col min="4" max="4" width="24.7109375" style="122" customWidth="1"/>
    <col min="5" max="5" width="12.7109375" style="122" customWidth="1"/>
    <col min="6" max="6" width="28.7109375" style="122" customWidth="1"/>
    <col min="7" max="7" width="24.7109375" style="122" customWidth="1"/>
    <col min="8" max="8" width="4.7109375" style="122" customWidth="1"/>
    <col min="9" max="16384" width="9.140625" style="122"/>
  </cols>
  <sheetData>
    <row r="1" spans="1:9" ht="18">
      <c r="A1" s="123" t="s">
        <v>22031</v>
      </c>
    </row>
    <row r="2" spans="1:9" ht="33.950000000000003" customHeight="1">
      <c r="A2" s="240" t="s">
        <v>22032</v>
      </c>
      <c r="B2" s="240"/>
      <c r="C2" s="240"/>
      <c r="D2" s="240"/>
      <c r="E2" s="240"/>
      <c r="F2" s="240"/>
      <c r="G2" s="240"/>
      <c r="H2" s="240"/>
      <c r="I2" s="240"/>
    </row>
    <row r="4" spans="1:9">
      <c r="A4" s="208" t="s">
        <v>22033</v>
      </c>
      <c r="B4" s="208" t="s">
        <v>302</v>
      </c>
      <c r="C4" s="208" t="s">
        <v>9</v>
      </c>
      <c r="D4" s="208" t="s">
        <v>18814</v>
      </c>
      <c r="E4" s="208" t="s">
        <v>3108</v>
      </c>
      <c r="F4" s="208" t="s">
        <v>4004</v>
      </c>
      <c r="G4" s="208" t="s">
        <v>22034</v>
      </c>
      <c r="H4" s="208" t="s">
        <v>18821</v>
      </c>
    </row>
    <row r="5" spans="1:9">
      <c r="A5" s="209" t="s">
        <v>3464</v>
      </c>
      <c r="B5" s="209" t="s">
        <v>2705</v>
      </c>
      <c r="C5" s="209" t="s">
        <v>22035</v>
      </c>
      <c r="D5" s="199" t="str" cm="1">
        <f t="array" ref="D5">_xlfn.LET(_xlpm.m,_xlfn.MAP(tblSheetPolicy[SheetName],_xlfn.LAMBDA(_xlpm.pt,COUNTIF(tblSheetMap[[#This Row],[Sheet]],_xlpm.pt))),IFERROR(SUBSTITUTE(INDEX(tblSheetPolicy[VisibleTo],_xlfn.XMATCH(1,_xlpm.m)),"*","Herkes / Everyone"),"(no policy row)"))</f>
        <v>Herkes / Everyone</v>
      </c>
      <c r="E5" s="199" t="str" cm="1">
        <f t="array" ref="E5">_xlfn.LET(_xlpm.m,_xlfn.MAP(tblSheetPolicy[SheetName],_xlfn.LAMBDA(_xlpm.pt,COUNTIF(tblSheetMap[[#This Row],[Sheet]],_xlpm.pt))),IFERROR(INDEX(tblSheetPolicy[Visibility],_xlfn.XMATCH(1,_xlpm.m)),"-"))</f>
        <v>VERYHIDDEN</v>
      </c>
      <c r="F5" s="209" t="s">
        <v>22036</v>
      </c>
      <c r="G5" s="209" t="s">
        <v>22037</v>
      </c>
      <c r="H5" s="211" t="str">
        <f>IF(ISNUMBER(FIND("*",tblSheetMap[[#This Row],[Sheet]])),"",HYPERLINK("#'"&amp;tblSheetMap[[#This Row],[Sheet]]&amp;"'!A1","→"))</f>
        <v>→</v>
      </c>
    </row>
    <row r="6" spans="1:9" ht="22.5">
      <c r="A6" s="209" t="s">
        <v>3112</v>
      </c>
      <c r="B6" s="209" t="s">
        <v>2705</v>
      </c>
      <c r="C6" s="209" t="s">
        <v>22038</v>
      </c>
      <c r="D6" s="199" t="str" cm="1">
        <f t="array" ref="D6">_xlfn.LET(_xlpm.m,_xlfn.MAP(tblSheetPolicy[SheetName],_xlfn.LAMBDA(_xlpm.pt,COUNTIF(tblSheetMap[[#This Row],[Sheet]],_xlpm.pt))),IFERROR(SUBSTITUTE(INDEX(tblSheetPolicy[VisibleTo],_xlfn.XMATCH(1,_xlpm.m)),"*","Herkes / Everyone"),"(no policy row)"))</f>
        <v>Herkes / Everyone</v>
      </c>
      <c r="E6" s="199" t="str" cm="1">
        <f t="array" ref="E6">_xlfn.LET(_xlpm.m,_xlfn.MAP(tblSheetPolicy[SheetName],_xlfn.LAMBDA(_xlpm.pt,COUNTIF(tblSheetMap[[#This Row],[Sheet]],_xlpm.pt))),IFERROR(INDEX(tblSheetPolicy[Visibility],_xlfn.XMATCH(1,_xlpm.m)),"-"))</f>
        <v>VISIBLE</v>
      </c>
      <c r="F6" s="209" t="s">
        <v>22036</v>
      </c>
      <c r="G6" s="209" t="s">
        <v>22039</v>
      </c>
      <c r="H6" s="211" t="str">
        <f>IF(ISNUMBER(FIND("*",tblSheetMap[[#This Row],[Sheet]])),"",HYPERLINK("#'"&amp;tblSheetMap[[#This Row],[Sheet]]&amp;"'!A1","→"))</f>
        <v>→</v>
      </c>
    </row>
    <row r="7" spans="1:9" ht="22.5">
      <c r="A7" s="209" t="s">
        <v>3113</v>
      </c>
      <c r="B7" s="209" t="s">
        <v>22040</v>
      </c>
      <c r="C7" s="209" t="s">
        <v>22041</v>
      </c>
      <c r="D7" s="199" t="str" cm="1">
        <f t="array" ref="D7">_xlfn.LET(_xlpm.m,_xlfn.MAP(tblSheetPolicy[SheetName],_xlfn.LAMBDA(_xlpm.pt,COUNTIF(tblSheetMap[[#This Row],[Sheet]],_xlpm.pt))),IFERROR(SUBSTITUTE(INDEX(tblSheetPolicy[VisibleTo],_xlfn.XMATCH(1,_xlpm.m)),"*","Herkes / Everyone"),"(no policy row)"))</f>
        <v>Herkes / Everyone</v>
      </c>
      <c r="E7" s="199" t="str" cm="1">
        <f t="array" ref="E7">_xlfn.LET(_xlpm.m,_xlfn.MAP(tblSheetPolicy[SheetName],_xlfn.LAMBDA(_xlpm.pt,COUNTIF(tblSheetMap[[#This Row],[Sheet]],_xlpm.pt))),IFERROR(INDEX(tblSheetPolicy[Visibility],_xlfn.XMATCH(1,_xlpm.m)),"-"))</f>
        <v>VISIBLE</v>
      </c>
      <c r="F7" s="209" t="s">
        <v>22042</v>
      </c>
      <c r="G7" s="209" t="s">
        <v>22037</v>
      </c>
      <c r="H7" s="211" t="str">
        <f>IF(ISNUMBER(FIND("*",tblSheetMap[[#This Row],[Sheet]])),"",HYPERLINK("#'"&amp;tblSheetMap[[#This Row],[Sheet]]&amp;"'!A1","→"))</f>
        <v>→</v>
      </c>
    </row>
    <row r="8" spans="1:9" ht="22.5">
      <c r="A8" s="209" t="s">
        <v>12</v>
      </c>
      <c r="B8" s="209" t="s">
        <v>22043</v>
      </c>
      <c r="C8" s="209" t="s">
        <v>22044</v>
      </c>
      <c r="D8" s="199" t="str" cm="1">
        <f t="array" ref="D8">_xlfn.LET(_xlpm.m,_xlfn.MAP(tblSheetPolicy[SheetName],_xlfn.LAMBDA(_xlpm.pt,COUNTIF(tblSheetMap[[#This Row],[Sheet]],_xlpm.pt))),IFERROR(SUBSTITUTE(INDEX(tblSheetPolicy[VisibleTo],_xlfn.XMATCH(1,_xlpm.m)),"*","Herkes / Everyone"),"(no policy row)"))</f>
        <v>Herkes / Everyone</v>
      </c>
      <c r="E8" s="199" t="str" cm="1">
        <f t="array" ref="E8">_xlfn.LET(_xlpm.m,_xlfn.MAP(tblSheetPolicy[SheetName],_xlfn.LAMBDA(_xlpm.pt,COUNTIF(tblSheetMap[[#This Row],[Sheet]],_xlpm.pt))),IFERROR(INDEX(tblSheetPolicy[Visibility],_xlfn.XMATCH(1,_xlpm.m)),"-"))</f>
        <v>VISIBLE</v>
      </c>
      <c r="F8" s="209" t="s">
        <v>22045</v>
      </c>
      <c r="G8" s="209" t="s">
        <v>22046</v>
      </c>
      <c r="H8" s="211" t="str">
        <f>IF(ISNUMBER(FIND("*",tblSheetMap[[#This Row],[Sheet]])),"",HYPERLINK("#'"&amp;tblSheetMap[[#This Row],[Sheet]]&amp;"'!A1","→"))</f>
        <v>→</v>
      </c>
    </row>
    <row r="9" spans="1:9">
      <c r="A9" s="209" t="s">
        <v>14</v>
      </c>
      <c r="B9" s="209" t="s">
        <v>22047</v>
      </c>
      <c r="C9" s="209" t="s">
        <v>22048</v>
      </c>
      <c r="D9" s="199" t="str" cm="1">
        <f t="array" ref="D9">_xlfn.LET(_xlpm.m,_xlfn.MAP(tblSheetPolicy[SheetName],_xlfn.LAMBDA(_xlpm.pt,COUNTIF(tblSheetMap[[#This Row],[Sheet]],_xlpm.pt))),IFERROR(SUBSTITUTE(INDEX(tblSheetPolicy[VisibleTo],_xlfn.XMATCH(1,_xlpm.m)),"*","Herkes / Everyone"),"(no policy row)"))</f>
        <v>Herkes / Everyone</v>
      </c>
      <c r="E9" s="199" t="str" cm="1">
        <f t="array" ref="E9">_xlfn.LET(_xlpm.m,_xlfn.MAP(tblSheetPolicy[SheetName],_xlfn.LAMBDA(_xlpm.pt,COUNTIF(tblSheetMap[[#This Row],[Sheet]],_xlpm.pt))),IFERROR(INDEX(tblSheetPolicy[Visibility],_xlfn.XMATCH(1,_xlpm.m)),"-"))</f>
        <v>VISIBLE</v>
      </c>
      <c r="F9" s="209" t="s">
        <v>22036</v>
      </c>
      <c r="G9" s="209" t="s">
        <v>22049</v>
      </c>
      <c r="H9" s="211" t="str">
        <f>IF(ISNUMBER(FIND("*",tblSheetMap[[#This Row],[Sheet]])),"",HYPERLINK("#'"&amp;tblSheetMap[[#This Row],[Sheet]]&amp;"'!A1","→"))</f>
        <v>→</v>
      </c>
    </row>
    <row r="10" spans="1:9">
      <c r="A10" s="209" t="s">
        <v>3115</v>
      </c>
      <c r="B10" s="209" t="s">
        <v>22047</v>
      </c>
      <c r="C10" s="209" t="s">
        <v>22050</v>
      </c>
      <c r="D10" s="199" t="str" cm="1">
        <f t="array" ref="D10">_xlfn.LET(_xlpm.m,_xlfn.MAP(tblSheetPolicy[SheetName],_xlfn.LAMBDA(_xlpm.pt,COUNTIF(tblSheetMap[[#This Row],[Sheet]],_xlpm.pt))),IFERROR(SUBSTITUTE(INDEX(tblSheetPolicy[VisibleTo],_xlfn.XMATCH(1,_xlpm.m)),"*","Herkes / Everyone"),"(no policy row)"))</f>
        <v>Herkes / Everyone</v>
      </c>
      <c r="E10" s="199" t="str" cm="1">
        <f t="array" ref="E10">_xlfn.LET(_xlpm.m,_xlfn.MAP(tblSheetPolicy[SheetName],_xlfn.LAMBDA(_xlpm.pt,COUNTIF(tblSheetMap[[#This Row],[Sheet]],_xlpm.pt))),IFERROR(INDEX(tblSheetPolicy[Visibility],_xlfn.XMATCH(1,_xlpm.m)),"-"))</f>
        <v>VISIBLE</v>
      </c>
      <c r="F10" s="209" t="s">
        <v>22036</v>
      </c>
      <c r="G10" s="209" t="s">
        <v>22049</v>
      </c>
      <c r="H10" s="211" t="str">
        <f>IF(ISNUMBER(FIND("*",tblSheetMap[[#This Row],[Sheet]])),"",HYPERLINK("#'"&amp;tblSheetMap[[#This Row],[Sheet]]&amp;"'!A1","→"))</f>
        <v>→</v>
      </c>
    </row>
    <row r="11" spans="1:9" ht="22.5">
      <c r="A11" s="209" t="s">
        <v>22051</v>
      </c>
      <c r="B11" s="209" t="s">
        <v>16894</v>
      </c>
      <c r="C11" s="209" t="s">
        <v>22052</v>
      </c>
      <c r="D11" s="199" t="str" cm="1">
        <f t="array" ref="D11">_xlfn.LET(_xlpm.m,_xlfn.MAP(tblSheetPolicy[SheetName],_xlfn.LAMBDA(_xlpm.pt,COUNTIF(tblSheetMap[[#This Row],[Sheet]],_xlpm.pt))),IFERROR(SUBSTITUTE(INDEX(tblSheetPolicy[VisibleTo],_xlfn.XMATCH(1,_xlpm.m)),"*","Herkes / Everyone"),"(no policy row)"))</f>
        <v>Herkes / Everyone</v>
      </c>
      <c r="E11" s="199" t="str" cm="1">
        <f t="array" ref="E11">_xlfn.LET(_xlpm.m,_xlfn.MAP(tblSheetPolicy[SheetName],_xlfn.LAMBDA(_xlpm.pt,COUNTIF(tblSheetMap[[#This Row],[Sheet]],_xlpm.pt))),IFERROR(INDEX(tblSheetPolicy[Visibility],_xlfn.XMATCH(1,_xlpm.m)),"-"))</f>
        <v>VISIBLE</v>
      </c>
      <c r="F11" s="209" t="s">
        <v>22036</v>
      </c>
      <c r="G11" s="209" t="s">
        <v>22053</v>
      </c>
      <c r="H11" s="211" t="str">
        <f>IF(ISNUMBER(FIND("*",tblSheetMap[[#This Row],[Sheet]])),"",HYPERLINK("#'"&amp;tblSheetMap[[#This Row],[Sheet]]&amp;"'!A1","→"))</f>
        <v>→</v>
      </c>
    </row>
    <row r="12" spans="1:9">
      <c r="A12" s="209" t="s">
        <v>22054</v>
      </c>
      <c r="B12" s="209" t="s">
        <v>16894</v>
      </c>
      <c r="C12" s="209" t="s">
        <v>22055</v>
      </c>
      <c r="D12" s="199" t="str" cm="1">
        <f t="array" ref="D12">_xlfn.LET(_xlpm.m,_xlfn.MAP(tblSheetPolicy[SheetName],_xlfn.LAMBDA(_xlpm.pt,COUNTIF(tblSheetMap[[#This Row],[Sheet]],_xlpm.pt))),IFERROR(SUBSTITUTE(INDEX(tblSheetPolicy[VisibleTo],_xlfn.XMATCH(1,_xlpm.m)),"*","Herkes / Everyone"),"(no policy row)"))</f>
        <v>Herkes / Everyone</v>
      </c>
      <c r="E12" s="199" t="str" cm="1">
        <f t="array" ref="E12">_xlfn.LET(_xlpm.m,_xlfn.MAP(tblSheetPolicy[SheetName],_xlfn.LAMBDA(_xlpm.pt,COUNTIF(tblSheetMap[[#This Row],[Sheet]],_xlpm.pt))),IFERROR(INDEX(tblSheetPolicy[Visibility],_xlfn.XMATCH(1,_xlpm.m)),"-"))</f>
        <v>VISIBLE</v>
      </c>
      <c r="F12" s="209" t="s">
        <v>22036</v>
      </c>
      <c r="G12" s="209" t="s">
        <v>22053</v>
      </c>
      <c r="H12" s="211" t="str">
        <f>IF(ISNUMBER(FIND("*",tblSheetMap[[#This Row],[Sheet]])),"",HYPERLINK("#'"&amp;tblSheetMap[[#This Row],[Sheet]]&amp;"'!A1","→"))</f>
        <v>→</v>
      </c>
    </row>
    <row r="13" spans="1:9">
      <c r="A13" s="209" t="s">
        <v>22056</v>
      </c>
      <c r="B13" s="209" t="s">
        <v>16894</v>
      </c>
      <c r="C13" s="209" t="s">
        <v>22057</v>
      </c>
      <c r="D13" s="199" t="str" cm="1">
        <f t="array" ref="D13">_xlfn.LET(_xlpm.m,_xlfn.MAP(tblSheetPolicy[SheetName],_xlfn.LAMBDA(_xlpm.pt,COUNTIF(tblSheetMap[[#This Row],[Sheet]],_xlpm.pt))),IFERROR(SUBSTITUTE(INDEX(tblSheetPolicy[VisibleTo],_xlfn.XMATCH(1,_xlpm.m)),"*","Herkes / Everyone"),"(no policy row)"))</f>
        <v>Herkes / Everyone</v>
      </c>
      <c r="E13" s="199" t="str" cm="1">
        <f t="array" ref="E13">_xlfn.LET(_xlpm.m,_xlfn.MAP(tblSheetPolicy[SheetName],_xlfn.LAMBDA(_xlpm.pt,COUNTIF(tblSheetMap[[#This Row],[Sheet]],_xlpm.pt))),IFERROR(INDEX(tblSheetPolicy[Visibility],_xlfn.XMATCH(1,_xlpm.m)),"-"))</f>
        <v>VISIBLE</v>
      </c>
      <c r="F13" s="209" t="s">
        <v>22036</v>
      </c>
      <c r="G13" s="209" t="s">
        <v>22053</v>
      </c>
      <c r="H13" s="211" t="str">
        <f>IF(ISNUMBER(FIND("*",tblSheetMap[[#This Row],[Sheet]])),"",HYPERLINK("#'"&amp;tblSheetMap[[#This Row],[Sheet]]&amp;"'!A1","→"))</f>
        <v>→</v>
      </c>
    </row>
    <row r="14" spans="1:9">
      <c r="A14" s="209" t="s">
        <v>22058</v>
      </c>
      <c r="B14" s="209" t="s">
        <v>16894</v>
      </c>
      <c r="C14" s="209" t="s">
        <v>22059</v>
      </c>
      <c r="D14" s="199" t="str" cm="1">
        <f t="array" ref="D14">_xlfn.LET(_xlpm.m,_xlfn.MAP(tblSheetPolicy[SheetName],_xlfn.LAMBDA(_xlpm.pt,COUNTIF(tblSheetMap[[#This Row],[Sheet]],_xlpm.pt))),IFERROR(SUBSTITUTE(INDEX(tblSheetPolicy[VisibleTo],_xlfn.XMATCH(1,_xlpm.m)),"*","Herkes / Everyone"),"(no policy row)"))</f>
        <v>Herkes / Everyone</v>
      </c>
      <c r="E14" s="199" t="str" cm="1">
        <f t="array" ref="E14">_xlfn.LET(_xlpm.m,_xlfn.MAP(tblSheetPolicy[SheetName],_xlfn.LAMBDA(_xlpm.pt,COUNTIF(tblSheetMap[[#This Row],[Sheet]],_xlpm.pt))),IFERROR(INDEX(tblSheetPolicy[Visibility],_xlfn.XMATCH(1,_xlpm.m)),"-"))</f>
        <v>VISIBLE</v>
      </c>
      <c r="F14" s="209" t="s">
        <v>22036</v>
      </c>
      <c r="G14" s="209" t="s">
        <v>22053</v>
      </c>
      <c r="H14" s="211" t="str">
        <f>IF(ISNUMBER(FIND("*",tblSheetMap[[#This Row],[Sheet]])),"",HYPERLINK("#'"&amp;tblSheetMap[[#This Row],[Sheet]]&amp;"'!A1","→"))</f>
        <v>→</v>
      </c>
    </row>
    <row r="15" spans="1:9" ht="22.5">
      <c r="A15" s="209" t="s">
        <v>22060</v>
      </c>
      <c r="B15" s="209" t="s">
        <v>16894</v>
      </c>
      <c r="C15" s="209" t="s">
        <v>22061</v>
      </c>
      <c r="D15" s="199" t="str" cm="1">
        <f t="array" ref="D15">_xlfn.LET(_xlpm.m,_xlfn.MAP(tblSheetPolicy[SheetName],_xlfn.LAMBDA(_xlpm.pt,COUNTIF(tblSheetMap[[#This Row],[Sheet]],_xlpm.pt))),IFERROR(SUBSTITUTE(INDEX(tblSheetPolicy[VisibleTo],_xlfn.XMATCH(1,_xlpm.m)),"*","Herkes / Everyone"),"(no policy row)"))</f>
        <v>Herkes / Everyone</v>
      </c>
      <c r="E15" s="199" t="str" cm="1">
        <f t="array" ref="E15">_xlfn.LET(_xlpm.m,_xlfn.MAP(tblSheetPolicy[SheetName],_xlfn.LAMBDA(_xlpm.pt,COUNTIF(tblSheetMap[[#This Row],[Sheet]],_xlpm.pt))),IFERROR(INDEX(tblSheetPolicy[Visibility],_xlfn.XMATCH(1,_xlpm.m)),"-"))</f>
        <v>VISIBLE</v>
      </c>
      <c r="F15" s="209" t="s">
        <v>22036</v>
      </c>
      <c r="G15" s="209" t="s">
        <v>22053</v>
      </c>
      <c r="H15" s="211" t="str">
        <f>IF(ISNUMBER(FIND("*",tblSheetMap[[#This Row],[Sheet]])),"",HYPERLINK("#'"&amp;tblSheetMap[[#This Row],[Sheet]]&amp;"'!A1","→"))</f>
        <v>→</v>
      </c>
    </row>
    <row r="16" spans="1:9" ht="22.5">
      <c r="A16" s="209" t="s">
        <v>22062</v>
      </c>
      <c r="B16" s="209" t="s">
        <v>16894</v>
      </c>
      <c r="C16" s="209" t="s">
        <v>22063</v>
      </c>
      <c r="D16" s="199" t="str" cm="1">
        <f t="array" ref="D16">_xlfn.LET(_xlpm.m,_xlfn.MAP(tblSheetPolicy[SheetName],_xlfn.LAMBDA(_xlpm.pt,COUNTIF(tblSheetMap[[#This Row],[Sheet]],_xlpm.pt))),IFERROR(SUBSTITUTE(INDEX(tblSheetPolicy[VisibleTo],_xlfn.XMATCH(1,_xlpm.m)),"*","Herkes / Everyone"),"(no policy row)"))</f>
        <v>Herkes / Everyone</v>
      </c>
      <c r="E16" s="199" t="str" cm="1">
        <f t="array" ref="E16">_xlfn.LET(_xlpm.m,_xlfn.MAP(tblSheetPolicy[SheetName],_xlfn.LAMBDA(_xlpm.pt,COUNTIF(tblSheetMap[[#This Row],[Sheet]],_xlpm.pt))),IFERROR(INDEX(tblSheetPolicy[Visibility],_xlfn.XMATCH(1,_xlpm.m)),"-"))</f>
        <v>VISIBLE</v>
      </c>
      <c r="F16" s="209" t="s">
        <v>22036</v>
      </c>
      <c r="G16" s="209" t="s">
        <v>22053</v>
      </c>
      <c r="H16" s="211" t="str">
        <f>IF(ISNUMBER(FIND("*",tblSheetMap[[#This Row],[Sheet]])),"",HYPERLINK("#'"&amp;tblSheetMap[[#This Row],[Sheet]]&amp;"'!A1","→"))</f>
        <v>→</v>
      </c>
    </row>
    <row r="17" spans="1:8">
      <c r="A17" s="209" t="s">
        <v>22064</v>
      </c>
      <c r="B17" s="209" t="s">
        <v>16894</v>
      </c>
      <c r="C17" s="209" t="s">
        <v>22065</v>
      </c>
      <c r="D17" s="199" t="str" cm="1">
        <f t="array" ref="D17">_xlfn.LET(_xlpm.m,_xlfn.MAP(tblSheetPolicy[SheetName],_xlfn.LAMBDA(_xlpm.pt,COUNTIF(tblSheetMap[[#This Row],[Sheet]],_xlpm.pt))),IFERROR(SUBSTITUTE(INDEX(tblSheetPolicy[VisibleTo],_xlfn.XMATCH(1,_xlpm.m)),"*","Herkes / Everyone"),"(no policy row)"))</f>
        <v>Herkes / Everyone</v>
      </c>
      <c r="E17" s="199" t="str" cm="1">
        <f t="array" ref="E17">_xlfn.LET(_xlpm.m,_xlfn.MAP(tblSheetPolicy[SheetName],_xlfn.LAMBDA(_xlpm.pt,COUNTIF(tblSheetMap[[#This Row],[Sheet]],_xlpm.pt))),IFERROR(INDEX(tblSheetPolicy[Visibility],_xlfn.XMATCH(1,_xlpm.m)),"-"))</f>
        <v>VISIBLE</v>
      </c>
      <c r="F17" s="209" t="s">
        <v>22036</v>
      </c>
      <c r="G17" s="209" t="s">
        <v>22053</v>
      </c>
      <c r="H17" s="211" t="str">
        <f>IF(ISNUMBER(FIND("*",tblSheetMap[[#This Row],[Sheet]])),"",HYPERLINK("#'"&amp;tblSheetMap[[#This Row],[Sheet]]&amp;"'!A1","→"))</f>
        <v>→</v>
      </c>
    </row>
    <row r="18" spans="1:8" ht="22.5">
      <c r="A18" s="209" t="s">
        <v>21962</v>
      </c>
      <c r="B18" s="209" t="s">
        <v>16894</v>
      </c>
      <c r="C18" s="209" t="s">
        <v>22066</v>
      </c>
      <c r="D18" s="199" t="str" cm="1">
        <f t="array" ref="D18">_xlfn.LET(_xlpm.m,_xlfn.MAP(tblSheetPolicy[SheetName],_xlfn.LAMBDA(_xlpm.pt,COUNTIF(tblSheetMap[[#This Row],[Sheet]],_xlpm.pt))),IFERROR(SUBSTITUTE(INDEX(tblSheetPolicy[VisibleTo],_xlfn.XMATCH(1,_xlpm.m)),"*","Herkes / Everyone"),"(no policy row)"))</f>
        <v>Herkes / Everyone</v>
      </c>
      <c r="E18" s="199" t="str" cm="1">
        <f t="array" ref="E18">_xlfn.LET(_xlpm.m,_xlfn.MAP(tblSheetPolicy[SheetName],_xlfn.LAMBDA(_xlpm.pt,COUNTIF(tblSheetMap[[#This Row],[Sheet]],_xlpm.pt))),IFERROR(INDEX(tblSheetPolicy[Visibility],_xlfn.XMATCH(1,_xlpm.m)),"-"))</f>
        <v>VISIBLE</v>
      </c>
      <c r="F18" s="209" t="s">
        <v>22036</v>
      </c>
      <c r="G18" s="209" t="s">
        <v>22053</v>
      </c>
      <c r="H18" s="211" t="str">
        <f>IF(ISNUMBER(FIND("*",tblSheetMap[[#This Row],[Sheet]])),"",HYPERLINK("#'"&amp;tblSheetMap[[#This Row],[Sheet]]&amp;"'!A1","→"))</f>
        <v>→</v>
      </c>
    </row>
    <row r="19" spans="1:8">
      <c r="A19" s="209" t="s">
        <v>22067</v>
      </c>
      <c r="B19" s="209" t="s">
        <v>16894</v>
      </c>
      <c r="C19" s="209" t="s">
        <v>22068</v>
      </c>
      <c r="D19" s="199" t="str" cm="1">
        <f t="array" ref="D19">_xlfn.LET(_xlpm.m,_xlfn.MAP(tblSheetPolicy[SheetName],_xlfn.LAMBDA(_xlpm.pt,COUNTIF(tblSheetMap[[#This Row],[Sheet]],_xlpm.pt))),IFERROR(SUBSTITUTE(INDEX(tblSheetPolicy[VisibleTo],_xlfn.XMATCH(1,_xlpm.m)),"*","Herkes / Everyone"),"(no policy row)"))</f>
        <v>Herkes / Everyone</v>
      </c>
      <c r="E19" s="199" t="str" cm="1">
        <f t="array" ref="E19">_xlfn.LET(_xlpm.m,_xlfn.MAP(tblSheetPolicy[SheetName],_xlfn.LAMBDA(_xlpm.pt,COUNTIF(tblSheetMap[[#This Row],[Sheet]],_xlpm.pt))),IFERROR(INDEX(tblSheetPolicy[Visibility],_xlfn.XMATCH(1,_xlpm.m)),"-"))</f>
        <v>VISIBLE</v>
      </c>
      <c r="F19" s="209" t="s">
        <v>22036</v>
      </c>
      <c r="G19" s="209" t="s">
        <v>22053</v>
      </c>
      <c r="H19" s="211" t="str">
        <f>IF(ISNUMBER(FIND("*",tblSheetMap[[#This Row],[Sheet]])),"",HYPERLINK("#'"&amp;tblSheetMap[[#This Row],[Sheet]]&amp;"'!A1","→"))</f>
        <v>→</v>
      </c>
    </row>
    <row r="20" spans="1:8" ht="22.5">
      <c r="A20" s="209" t="s">
        <v>21905</v>
      </c>
      <c r="B20" s="209" t="s">
        <v>16894</v>
      </c>
      <c r="C20" s="209" t="s">
        <v>22069</v>
      </c>
      <c r="D20" s="199" t="str" cm="1">
        <f t="array" ref="D20">_xlfn.LET(_xlpm.m,_xlfn.MAP(tblSheetPolicy[SheetName],_xlfn.LAMBDA(_xlpm.pt,COUNTIF(tblSheetMap[[#This Row],[Sheet]],_xlpm.pt))),IFERROR(SUBSTITUTE(INDEX(tblSheetPolicy[VisibleTo],_xlfn.XMATCH(1,_xlpm.m)),"*","Herkes / Everyone"),"(no policy row)"))</f>
        <v>Herkes / Everyone</v>
      </c>
      <c r="E20" s="199" t="str" cm="1">
        <f t="array" ref="E20">_xlfn.LET(_xlpm.m,_xlfn.MAP(tblSheetPolicy[SheetName],_xlfn.LAMBDA(_xlpm.pt,COUNTIF(tblSheetMap[[#This Row],[Sheet]],_xlpm.pt))),IFERROR(INDEX(tblSheetPolicy[Visibility],_xlfn.XMATCH(1,_xlpm.m)),"-"))</f>
        <v>VISIBLE</v>
      </c>
      <c r="F20" s="209" t="s">
        <v>22036</v>
      </c>
      <c r="G20" s="209" t="s">
        <v>22053</v>
      </c>
      <c r="H20" s="211" t="str">
        <f>IF(ISNUMBER(FIND("*",tblSheetMap[[#This Row],[Sheet]])),"",HYPERLINK("#'"&amp;tblSheetMap[[#This Row],[Sheet]]&amp;"'!A1","→"))</f>
        <v>→</v>
      </c>
    </row>
    <row r="21" spans="1:8" ht="22.5">
      <c r="A21" s="209" t="s">
        <v>22070</v>
      </c>
      <c r="B21" s="209" t="s">
        <v>16894</v>
      </c>
      <c r="C21" s="209" t="s">
        <v>22071</v>
      </c>
      <c r="D21" s="199" t="str" cm="1">
        <f t="array" ref="D21">_xlfn.LET(_xlpm.m,_xlfn.MAP(tblSheetPolicy[SheetName],_xlfn.LAMBDA(_xlpm.pt,COUNTIF(tblSheetMap[[#This Row],[Sheet]],_xlpm.pt))),IFERROR(SUBSTITUTE(INDEX(tblSheetPolicy[VisibleTo],_xlfn.XMATCH(1,_xlpm.m)),"*","Herkes / Everyone"),"(no policy row)"))</f>
        <v>Herkes / Everyone</v>
      </c>
      <c r="E21" s="199" t="str" cm="1">
        <f t="array" ref="E21">_xlfn.LET(_xlpm.m,_xlfn.MAP(tblSheetPolicy[SheetName],_xlfn.LAMBDA(_xlpm.pt,COUNTIF(tblSheetMap[[#This Row],[Sheet]],_xlpm.pt))),IFERROR(INDEX(tblSheetPolicy[Visibility],_xlfn.XMATCH(1,_xlpm.m)),"-"))</f>
        <v>VISIBLE</v>
      </c>
      <c r="F21" s="209" t="s">
        <v>22036</v>
      </c>
      <c r="G21" s="209" t="s">
        <v>22053</v>
      </c>
      <c r="H21" s="211" t="str">
        <f>IF(ISNUMBER(FIND("*",tblSheetMap[[#This Row],[Sheet]])),"",HYPERLINK("#'"&amp;tblSheetMap[[#This Row],[Sheet]]&amp;"'!A1","→"))</f>
        <v>→</v>
      </c>
    </row>
    <row r="22" spans="1:8" ht="22.5">
      <c r="A22" s="209" t="s">
        <v>22072</v>
      </c>
      <c r="B22" s="209" t="s">
        <v>16894</v>
      </c>
      <c r="C22" s="209" t="s">
        <v>22073</v>
      </c>
      <c r="D22" s="199" t="str" cm="1">
        <f t="array" ref="D22">_xlfn.LET(_xlpm.m,_xlfn.MAP(tblSheetPolicy[SheetName],_xlfn.LAMBDA(_xlpm.pt,COUNTIF(tblSheetMap[[#This Row],[Sheet]],_xlpm.pt))),IFERROR(SUBSTITUTE(INDEX(tblSheetPolicy[VisibleTo],_xlfn.XMATCH(1,_xlpm.m)),"*","Herkes / Everyone"),"(no policy row)"))</f>
        <v>Herkes / Everyone</v>
      </c>
      <c r="E22" s="199" t="str" cm="1">
        <f t="array" ref="E22">_xlfn.LET(_xlpm.m,_xlfn.MAP(tblSheetPolicy[SheetName],_xlfn.LAMBDA(_xlpm.pt,COUNTIF(tblSheetMap[[#This Row],[Sheet]],_xlpm.pt))),IFERROR(INDEX(tblSheetPolicy[Visibility],_xlfn.XMATCH(1,_xlpm.m)),"-"))</f>
        <v>VISIBLE</v>
      </c>
      <c r="F22" s="209" t="s">
        <v>22036</v>
      </c>
      <c r="G22" s="209" t="s">
        <v>22053</v>
      </c>
      <c r="H22" s="211" t="str">
        <f>IF(ISNUMBER(FIND("*",tblSheetMap[[#This Row],[Sheet]])),"",HYPERLINK("#'"&amp;tblSheetMap[[#This Row],[Sheet]]&amp;"'!A1","→"))</f>
        <v>→</v>
      </c>
    </row>
    <row r="23" spans="1:8" ht="22.5">
      <c r="A23" s="209" t="s">
        <v>22074</v>
      </c>
      <c r="B23" s="209" t="s">
        <v>16894</v>
      </c>
      <c r="C23" s="209" t="s">
        <v>22075</v>
      </c>
      <c r="D23" s="199" t="str" cm="1">
        <f t="array" ref="D23">_xlfn.LET(_xlpm.m,_xlfn.MAP(tblSheetPolicy[SheetName],_xlfn.LAMBDA(_xlpm.pt,COUNTIF(tblSheetMap[[#This Row],[Sheet]],_xlpm.pt))),IFERROR(SUBSTITUTE(INDEX(tblSheetPolicy[VisibleTo],_xlfn.XMATCH(1,_xlpm.m)),"*","Herkes / Everyone"),"(no policy row)"))</f>
        <v>Herkes / Everyone</v>
      </c>
      <c r="E23" s="199" t="str" cm="1">
        <f t="array" ref="E23">_xlfn.LET(_xlpm.m,_xlfn.MAP(tblSheetPolicy[SheetName],_xlfn.LAMBDA(_xlpm.pt,COUNTIF(tblSheetMap[[#This Row],[Sheet]],_xlpm.pt))),IFERROR(INDEX(tblSheetPolicy[Visibility],_xlfn.XMATCH(1,_xlpm.m)),"-"))</f>
        <v>VISIBLE</v>
      </c>
      <c r="F23" s="209" t="s">
        <v>22036</v>
      </c>
      <c r="G23" s="209" t="s">
        <v>22076</v>
      </c>
      <c r="H23" s="211" t="str">
        <f>IF(ISNUMBER(FIND("*",tblSheetMap[[#This Row],[Sheet]])),"",HYPERLINK("#'"&amp;tblSheetMap[[#This Row],[Sheet]]&amp;"'!A1","→"))</f>
        <v>→</v>
      </c>
    </row>
    <row r="24" spans="1:8" ht="22.5">
      <c r="A24" s="209" t="s">
        <v>22077</v>
      </c>
      <c r="B24" s="209" t="s">
        <v>16894</v>
      </c>
      <c r="C24" s="209" t="s">
        <v>22078</v>
      </c>
      <c r="D24" s="199" t="str" cm="1">
        <f t="array" ref="D24">_xlfn.LET(_xlpm.m,_xlfn.MAP(tblSheetPolicy[SheetName],_xlfn.LAMBDA(_xlpm.pt,COUNTIF(tblSheetMap[[#This Row],[Sheet]],_xlpm.pt))),IFERROR(SUBSTITUTE(INDEX(tblSheetPolicy[VisibleTo],_xlfn.XMATCH(1,_xlpm.m)),"*","Herkes / Everyone"),"(no policy row)"))</f>
        <v>Herkes / Everyone</v>
      </c>
      <c r="E24" s="199" t="str" cm="1">
        <f t="array" ref="E24">_xlfn.LET(_xlpm.m,_xlfn.MAP(tblSheetPolicy[SheetName],_xlfn.LAMBDA(_xlpm.pt,COUNTIF(tblSheetMap[[#This Row],[Sheet]],_xlpm.pt))),IFERROR(INDEX(tblSheetPolicy[Visibility],_xlfn.XMATCH(1,_xlpm.m)),"-"))</f>
        <v>VISIBLE</v>
      </c>
      <c r="F24" s="209" t="s">
        <v>22036</v>
      </c>
      <c r="G24" s="209" t="s">
        <v>22053</v>
      </c>
      <c r="H24" s="211" t="str">
        <f>IF(ISNUMBER(FIND("*",tblSheetMap[[#This Row],[Sheet]])),"",HYPERLINK("#'"&amp;tblSheetMap[[#This Row],[Sheet]]&amp;"'!A1","→"))</f>
        <v>→</v>
      </c>
    </row>
    <row r="25" spans="1:8" ht="22.5">
      <c r="A25" s="209" t="s">
        <v>21435</v>
      </c>
      <c r="B25" s="209" t="s">
        <v>16894</v>
      </c>
      <c r="C25" s="209" t="s">
        <v>22079</v>
      </c>
      <c r="D25" s="199" t="str" cm="1">
        <f t="array" ref="D25">_xlfn.LET(_xlpm.m,_xlfn.MAP(tblSheetPolicy[SheetName],_xlfn.LAMBDA(_xlpm.pt,COUNTIF(tblSheetMap[[#This Row],[Sheet]],_xlpm.pt))),IFERROR(SUBSTITUTE(INDEX(tblSheetPolicy[VisibleTo],_xlfn.XMATCH(1,_xlpm.m)),"*","Herkes / Everyone"),"(no policy row)"))</f>
        <v>Analyst,Preparer,Reviewer</v>
      </c>
      <c r="E25" s="199" t="str" cm="1">
        <f t="array" ref="E25">_xlfn.LET(_xlpm.m,_xlfn.MAP(tblSheetPolicy[SheetName],_xlfn.LAMBDA(_xlpm.pt,COUNTIF(tblSheetMap[[#This Row],[Sheet]],_xlpm.pt))),IFERROR(INDEX(tblSheetPolicy[Visibility],_xlfn.XMATCH(1,_xlpm.m)),"-"))</f>
        <v>VISIBLE</v>
      </c>
      <c r="F25" s="209" t="s">
        <v>22036</v>
      </c>
      <c r="G25" s="209" t="s">
        <v>22080</v>
      </c>
      <c r="H25" s="211" t="str">
        <f>IF(ISNUMBER(FIND("*",tblSheetMap[[#This Row],[Sheet]])),"",HYPERLINK("#'"&amp;tblSheetMap[[#This Row],[Sheet]]&amp;"'!A1","→"))</f>
        <v>→</v>
      </c>
    </row>
    <row r="26" spans="1:8">
      <c r="A26" s="209" t="s">
        <v>3117</v>
      </c>
      <c r="B26" s="209" t="s">
        <v>22043</v>
      </c>
      <c r="C26" s="209" t="s">
        <v>22081</v>
      </c>
      <c r="D26" s="199" t="str" cm="1">
        <f t="array" ref="D26">_xlfn.LET(_xlpm.m,_xlfn.MAP(tblSheetPolicy[SheetName],_xlfn.LAMBDA(_xlpm.pt,COUNTIF(tblSheetMap[[#This Row],[Sheet]],_xlpm.pt))),IFERROR(SUBSTITUTE(INDEX(tblSheetPolicy[VisibleTo],_xlfn.XMATCH(1,_xlpm.m)),"*","Herkes / Everyone"),"(no policy row)"))</f>
        <v>Analyst,Preparer,Reviewer</v>
      </c>
      <c r="E26" s="199" t="str" cm="1">
        <f t="array" ref="E26">_xlfn.LET(_xlpm.m,_xlfn.MAP(tblSheetPolicy[SheetName],_xlfn.LAMBDA(_xlpm.pt,COUNTIF(tblSheetMap[[#This Row],[Sheet]],_xlpm.pt))),IFERROR(INDEX(tblSheetPolicy[Visibility],_xlfn.XMATCH(1,_xlpm.m)),"-"))</f>
        <v>VISIBLE</v>
      </c>
      <c r="F26" s="209" t="s">
        <v>22036</v>
      </c>
      <c r="G26" s="209" t="s">
        <v>22082</v>
      </c>
      <c r="H26" s="211" t="str">
        <f>IF(ISNUMBER(FIND("*",tblSheetMap[[#This Row],[Sheet]])),"",HYPERLINK("#'"&amp;tblSheetMap[[#This Row],[Sheet]]&amp;"'!A1","→"))</f>
        <v>→</v>
      </c>
    </row>
    <row r="27" spans="1:8" ht="22.5">
      <c r="A27" s="209" t="s">
        <v>13</v>
      </c>
      <c r="B27" s="209" t="s">
        <v>22043</v>
      </c>
      <c r="C27" s="209" t="s">
        <v>22083</v>
      </c>
      <c r="D27" s="199" t="str" cm="1">
        <f t="array" ref="D27">_xlfn.LET(_xlpm.m,_xlfn.MAP(tblSheetPolicy[SheetName],_xlfn.LAMBDA(_xlpm.pt,COUNTIF(tblSheetMap[[#This Row],[Sheet]],_xlpm.pt))),IFERROR(SUBSTITUTE(INDEX(tblSheetPolicy[VisibleTo],_xlfn.XMATCH(1,_xlpm.m)),"*","Herkes / Everyone"),"(no policy row)"))</f>
        <v>Herkes / Everyone</v>
      </c>
      <c r="E27" s="199" t="str" cm="1">
        <f t="array" ref="E27">_xlfn.LET(_xlpm.m,_xlfn.MAP(tblSheetPolicy[SheetName],_xlfn.LAMBDA(_xlpm.pt,COUNTIF(tblSheetMap[[#This Row],[Sheet]],_xlpm.pt))),IFERROR(INDEX(tblSheetPolicy[Visibility],_xlfn.XMATCH(1,_xlpm.m)),"-"))</f>
        <v>VISIBLE</v>
      </c>
      <c r="F27" s="209" t="s">
        <v>22036</v>
      </c>
      <c r="G27" s="209" t="s">
        <v>22046</v>
      </c>
      <c r="H27" s="211" t="str">
        <f>IF(ISNUMBER(FIND("*",tblSheetMap[[#This Row],[Sheet]])),"",HYPERLINK("#'"&amp;tblSheetMap[[#This Row],[Sheet]]&amp;"'!A1","→"))</f>
        <v>→</v>
      </c>
    </row>
    <row r="28" spans="1:8" ht="22.5">
      <c r="A28" s="209" t="s">
        <v>15</v>
      </c>
      <c r="B28" s="209" t="s">
        <v>22084</v>
      </c>
      <c r="C28" s="209" t="s">
        <v>22085</v>
      </c>
      <c r="D28" s="199" t="str" cm="1">
        <f t="array" ref="D28">_xlfn.LET(_xlpm.m,_xlfn.MAP(tblSheetPolicy[SheetName],_xlfn.LAMBDA(_xlpm.pt,COUNTIF(tblSheetMap[[#This Row],[Sheet]],_xlpm.pt))),IFERROR(SUBSTITUTE(INDEX(tblSheetPolicy[VisibleTo],_xlfn.XMATCH(1,_xlpm.m)),"*","Herkes / Everyone"),"(no policy row)"))</f>
        <v>Herkes / Everyone</v>
      </c>
      <c r="E28" s="199" t="str" cm="1">
        <f t="array" ref="E28">_xlfn.LET(_xlpm.m,_xlfn.MAP(tblSheetPolicy[SheetName],_xlfn.LAMBDA(_xlpm.pt,COUNTIF(tblSheetMap[[#This Row],[Sheet]],_xlpm.pt))),IFERROR(INDEX(tblSheetPolicy[Visibility],_xlfn.XMATCH(1,_xlpm.m)),"-"))</f>
        <v>VISIBLE</v>
      </c>
      <c r="F28" s="209" t="s">
        <v>3481</v>
      </c>
      <c r="G28" s="209" t="s">
        <v>22086</v>
      </c>
      <c r="H28" s="211" t="str">
        <f>IF(ISNUMBER(FIND("*",tblSheetMap[[#This Row],[Sheet]])),"",HYPERLINK("#'"&amp;tblSheetMap[[#This Row],[Sheet]]&amp;"'!A1","→"))</f>
        <v>→</v>
      </c>
    </row>
    <row r="29" spans="1:8">
      <c r="A29" s="209" t="s">
        <v>6</v>
      </c>
      <c r="B29" s="209" t="s">
        <v>22084</v>
      </c>
      <c r="C29" s="209" t="s">
        <v>22087</v>
      </c>
      <c r="D29" s="199" t="str" cm="1">
        <f t="array" ref="D29">_xlfn.LET(_xlpm.m,_xlfn.MAP(tblSheetPolicy[SheetName],_xlfn.LAMBDA(_xlpm.pt,COUNTIF(tblSheetMap[[#This Row],[Sheet]],_xlpm.pt))),IFERROR(SUBSTITUTE(INDEX(tblSheetPolicy[VisibleTo],_xlfn.XMATCH(1,_xlpm.m)),"*","Herkes / Everyone"),"(no policy row)"))</f>
        <v>Herkes / Everyone</v>
      </c>
      <c r="E29" s="199" t="str" cm="1">
        <f t="array" ref="E29">_xlfn.LET(_xlpm.m,_xlfn.MAP(tblSheetPolicy[SheetName],_xlfn.LAMBDA(_xlpm.pt,COUNTIF(tblSheetMap[[#This Row],[Sheet]],_xlpm.pt))),IFERROR(INDEX(tblSheetPolicy[Visibility],_xlfn.XMATCH(1,_xlpm.m)),"-"))</f>
        <v>VISIBLE</v>
      </c>
      <c r="F29" s="209" t="s">
        <v>3481</v>
      </c>
      <c r="G29" s="209" t="s">
        <v>22086</v>
      </c>
      <c r="H29" s="211" t="str">
        <f>IF(ISNUMBER(FIND("*",tblSheetMap[[#This Row],[Sheet]])),"",HYPERLINK("#'"&amp;tblSheetMap[[#This Row],[Sheet]]&amp;"'!A1","→"))</f>
        <v>→</v>
      </c>
    </row>
    <row r="30" spans="1:8" ht="22.5">
      <c r="A30" s="209" t="s">
        <v>4</v>
      </c>
      <c r="B30" s="209" t="s">
        <v>22084</v>
      </c>
      <c r="C30" s="209" t="s">
        <v>22088</v>
      </c>
      <c r="D30" s="199" t="str" cm="1">
        <f t="array" ref="D30">_xlfn.LET(_xlpm.m,_xlfn.MAP(tblSheetPolicy[SheetName],_xlfn.LAMBDA(_xlpm.pt,COUNTIF(tblSheetMap[[#This Row],[Sheet]],_xlpm.pt))),IFERROR(SUBSTITUTE(INDEX(tblSheetPolicy[VisibleTo],_xlfn.XMATCH(1,_xlpm.m)),"*","Herkes / Everyone"),"(no policy row)"))</f>
        <v>Herkes / Everyone</v>
      </c>
      <c r="E30" s="199" t="str" cm="1">
        <f t="array" ref="E30">_xlfn.LET(_xlpm.m,_xlfn.MAP(tblSheetPolicy[SheetName],_xlfn.LAMBDA(_xlpm.pt,COUNTIF(tblSheetMap[[#This Row],[Sheet]],_xlpm.pt))),IFERROR(INDEX(tblSheetPolicy[Visibility],_xlfn.XMATCH(1,_xlpm.m)),"-"))</f>
        <v>VISIBLE</v>
      </c>
      <c r="F30" s="209" t="s">
        <v>22089</v>
      </c>
      <c r="G30" s="209" t="s">
        <v>22086</v>
      </c>
      <c r="H30" s="211" t="str">
        <f>IF(ISNUMBER(FIND("*",tblSheetMap[[#This Row],[Sheet]])),"",HYPERLINK("#'"&amp;tblSheetMap[[#This Row],[Sheet]]&amp;"'!A1","→"))</f>
        <v>→</v>
      </c>
    </row>
    <row r="31" spans="1:8" ht="22.5">
      <c r="A31" s="209" t="s">
        <v>17235</v>
      </c>
      <c r="B31" s="209" t="s">
        <v>22084</v>
      </c>
      <c r="C31" s="209" t="s">
        <v>22090</v>
      </c>
      <c r="D31" s="199" t="str" cm="1">
        <f t="array" ref="D31">_xlfn.LET(_xlpm.m,_xlfn.MAP(tblSheetPolicy[SheetName],_xlfn.LAMBDA(_xlpm.pt,COUNTIF(tblSheetMap[[#This Row],[Sheet]],_xlpm.pt))),IFERROR(SUBSTITUTE(INDEX(tblSheetPolicy[VisibleTo],_xlfn.XMATCH(1,_xlpm.m)),"*","Herkes / Everyone"),"(no policy row)"))</f>
        <v>Analyst,Preparer,Reviewer,Administrator</v>
      </c>
      <c r="E31" s="199" t="str" cm="1">
        <f t="array" ref="E31">_xlfn.LET(_xlpm.m,_xlfn.MAP(tblSheetPolicy[SheetName],_xlfn.LAMBDA(_xlpm.pt,COUNTIF(tblSheetMap[[#This Row],[Sheet]],_xlpm.pt))),IFERROR(INDEX(tblSheetPolicy[Visibility],_xlfn.XMATCH(1,_xlpm.m)),"-"))</f>
        <v>VISIBLE</v>
      </c>
      <c r="F31" s="209" t="s">
        <v>3481</v>
      </c>
      <c r="G31" s="209" t="s">
        <v>22091</v>
      </c>
      <c r="H31" s="211" t="str">
        <f>IF(ISNUMBER(FIND("*",tblSheetMap[[#This Row],[Sheet]])),"",HYPERLINK("#'"&amp;tblSheetMap[[#This Row],[Sheet]]&amp;"'!A1","→"))</f>
        <v>→</v>
      </c>
    </row>
    <row r="32" spans="1:8" ht="22.5">
      <c r="A32" s="209" t="s">
        <v>17237</v>
      </c>
      <c r="B32" s="209" t="s">
        <v>22084</v>
      </c>
      <c r="C32" s="209" t="s">
        <v>22092</v>
      </c>
      <c r="D32" s="199" t="str" cm="1">
        <f t="array" ref="D32">_xlfn.LET(_xlpm.m,_xlfn.MAP(tblSheetPolicy[SheetName],_xlfn.LAMBDA(_xlpm.pt,COUNTIF(tblSheetMap[[#This Row],[Sheet]],_xlpm.pt))),IFERROR(SUBSTITUTE(INDEX(tblSheetPolicy[VisibleTo],_xlfn.XMATCH(1,_xlpm.m)),"*","Herkes / Everyone"),"(no policy row)"))</f>
        <v>Herkes / Everyone</v>
      </c>
      <c r="E32" s="199" t="str" cm="1">
        <f t="array" ref="E32">_xlfn.LET(_xlpm.m,_xlfn.MAP(tblSheetPolicy[SheetName],_xlfn.LAMBDA(_xlpm.pt,COUNTIF(tblSheetMap[[#This Row],[Sheet]],_xlpm.pt))),IFERROR(INDEX(tblSheetPolicy[Visibility],_xlfn.XMATCH(1,_xlpm.m)),"-"))</f>
        <v>VISIBLE</v>
      </c>
      <c r="F32" s="209" t="s">
        <v>3481</v>
      </c>
      <c r="G32" s="209" t="s">
        <v>22091</v>
      </c>
      <c r="H32" s="211" t="str">
        <f>IF(ISNUMBER(FIND("*",tblSheetMap[[#This Row],[Sheet]])),"",HYPERLINK("#'"&amp;tblSheetMap[[#This Row],[Sheet]]&amp;"'!A1","→"))</f>
        <v>→</v>
      </c>
    </row>
    <row r="33" spans="1:8">
      <c r="A33" s="209" t="s">
        <v>17239</v>
      </c>
      <c r="B33" s="209" t="s">
        <v>22040</v>
      </c>
      <c r="C33" s="209" t="s">
        <v>22093</v>
      </c>
      <c r="D33" s="199" t="str" cm="1">
        <f t="array" ref="D33">_xlfn.LET(_xlpm.m,_xlfn.MAP(tblSheetPolicy[SheetName],_xlfn.LAMBDA(_xlpm.pt,COUNTIF(tblSheetMap[[#This Row],[Sheet]],_xlpm.pt))),IFERROR(SUBSTITUTE(INDEX(tblSheetPolicy[VisibleTo],_xlfn.XMATCH(1,_xlpm.m)),"*","Herkes / Everyone"),"(no policy row)"))</f>
        <v>Herkes / Everyone</v>
      </c>
      <c r="E33" s="199" t="str" cm="1">
        <f t="array" ref="E33">_xlfn.LET(_xlpm.m,_xlfn.MAP(tblSheetPolicy[SheetName],_xlfn.LAMBDA(_xlpm.pt,COUNTIF(tblSheetMap[[#This Row],[Sheet]],_xlpm.pt))),IFERROR(INDEX(tblSheetPolicy[Visibility],_xlfn.XMATCH(1,_xlpm.m)),"-"))</f>
        <v>VISIBLE</v>
      </c>
      <c r="F33" s="209" t="s">
        <v>3481</v>
      </c>
      <c r="G33" s="209" t="s">
        <v>22037</v>
      </c>
      <c r="H33" s="211" t="str">
        <f>IF(ISNUMBER(FIND("*",tblSheetMap[[#This Row],[Sheet]])),"",HYPERLINK("#'"&amp;tblSheetMap[[#This Row],[Sheet]]&amp;"'!A1","→"))</f>
        <v>→</v>
      </c>
    </row>
    <row r="34" spans="1:8" ht="22.5">
      <c r="A34" s="209" t="s">
        <v>21751</v>
      </c>
      <c r="B34" s="209" t="s">
        <v>22040</v>
      </c>
      <c r="C34" s="209" t="s">
        <v>22094</v>
      </c>
      <c r="D34" s="199" t="str" cm="1">
        <f t="array" ref="D34">_xlfn.LET(_xlpm.m,_xlfn.MAP(tblSheetPolicy[SheetName],_xlfn.LAMBDA(_xlpm.pt,COUNTIF(tblSheetMap[[#This Row],[Sheet]],_xlpm.pt))),IFERROR(SUBSTITUTE(INDEX(tblSheetPolicy[VisibleTo],_xlfn.XMATCH(1,_xlpm.m)),"*","Herkes / Everyone"),"(no policy row)"))</f>
        <v>Herkes / Everyone</v>
      </c>
      <c r="E34" s="199" t="str" cm="1">
        <f t="array" ref="E34">_xlfn.LET(_xlpm.m,_xlfn.MAP(tblSheetPolicy[SheetName],_xlfn.LAMBDA(_xlpm.pt,COUNTIF(tblSheetMap[[#This Row],[Sheet]],_xlpm.pt))),IFERROR(INDEX(tblSheetPolicy[Visibility],_xlfn.XMATCH(1,_xlpm.m)),"-"))</f>
        <v>VISIBLE</v>
      </c>
      <c r="F34" s="209" t="s">
        <v>22036</v>
      </c>
      <c r="G34" s="209" t="s">
        <v>22095</v>
      </c>
      <c r="H34" s="211" t="str">
        <f>IF(ISNUMBER(FIND("*",tblSheetMap[[#This Row],[Sheet]])),"",HYPERLINK("#'"&amp;tblSheetMap[[#This Row],[Sheet]]&amp;"'!A1","→"))</f>
        <v>→</v>
      </c>
    </row>
    <row r="35" spans="1:8" ht="22.5">
      <c r="A35" s="209" t="s">
        <v>21752</v>
      </c>
      <c r="B35" s="209" t="s">
        <v>22040</v>
      </c>
      <c r="C35" s="209" t="s">
        <v>22096</v>
      </c>
      <c r="D35" s="199" t="str" cm="1">
        <f t="array" ref="D35">_xlfn.LET(_xlpm.m,_xlfn.MAP(tblSheetPolicy[SheetName],_xlfn.LAMBDA(_xlpm.pt,COUNTIF(tblSheetMap[[#This Row],[Sheet]],_xlpm.pt))),IFERROR(SUBSTITUTE(INDEX(tblSheetPolicy[VisibleTo],_xlfn.XMATCH(1,_xlpm.m)),"*","Herkes / Everyone"),"(no policy row)"))</f>
        <v>Herkes / Everyone</v>
      </c>
      <c r="E35" s="199" t="str" cm="1">
        <f t="array" ref="E35">_xlfn.LET(_xlpm.m,_xlfn.MAP(tblSheetPolicy[SheetName],_xlfn.LAMBDA(_xlpm.pt,COUNTIF(tblSheetMap[[#This Row],[Sheet]],_xlpm.pt))),IFERROR(INDEX(tblSheetPolicy[Visibility],_xlfn.XMATCH(1,_xlpm.m)),"-"))</f>
        <v>VISIBLE</v>
      </c>
      <c r="F35" s="209" t="s">
        <v>22036</v>
      </c>
      <c r="G35" s="209" t="s">
        <v>22095</v>
      </c>
      <c r="H35" s="211" t="str">
        <f>IF(ISNUMBER(FIND("*",tblSheetMap[[#This Row],[Sheet]])),"",HYPERLINK("#'"&amp;tblSheetMap[[#This Row],[Sheet]]&amp;"'!A1","→"))</f>
        <v>→</v>
      </c>
    </row>
    <row r="36" spans="1:8" ht="22.5">
      <c r="A36" s="209" t="s">
        <v>21753</v>
      </c>
      <c r="B36" s="209" t="s">
        <v>22040</v>
      </c>
      <c r="C36" s="209" t="s">
        <v>22097</v>
      </c>
      <c r="D36" s="199" t="str" cm="1">
        <f t="array" ref="D36">_xlfn.LET(_xlpm.m,_xlfn.MAP(tblSheetPolicy[SheetName],_xlfn.LAMBDA(_xlpm.pt,COUNTIF(tblSheetMap[[#This Row],[Sheet]],_xlpm.pt))),IFERROR(SUBSTITUTE(INDEX(tblSheetPolicy[VisibleTo],_xlfn.XMATCH(1,_xlpm.m)),"*","Herkes / Everyone"),"(no policy row)"))</f>
        <v>Herkes / Everyone</v>
      </c>
      <c r="E36" s="199" t="str" cm="1">
        <f t="array" ref="E36">_xlfn.LET(_xlpm.m,_xlfn.MAP(tblSheetPolicy[SheetName],_xlfn.LAMBDA(_xlpm.pt,COUNTIF(tblSheetMap[[#This Row],[Sheet]],_xlpm.pt))),IFERROR(INDEX(tblSheetPolicy[Visibility],_xlfn.XMATCH(1,_xlpm.m)),"-"))</f>
        <v>VISIBLE</v>
      </c>
      <c r="F36" s="209" t="s">
        <v>22036</v>
      </c>
      <c r="G36" s="209" t="s">
        <v>22098</v>
      </c>
      <c r="H36" s="211" t="str">
        <f>IF(ISNUMBER(FIND("*",tblSheetMap[[#This Row],[Sheet]])),"",HYPERLINK("#'"&amp;tblSheetMap[[#This Row],[Sheet]]&amp;"'!A1","→"))</f>
        <v>→</v>
      </c>
    </row>
    <row r="37" spans="1:8" ht="22.5">
      <c r="A37" s="209" t="s">
        <v>5</v>
      </c>
      <c r="B37" s="209" t="s">
        <v>22084</v>
      </c>
      <c r="C37" s="209" t="s">
        <v>22099</v>
      </c>
      <c r="D37" s="199" t="str" cm="1">
        <f t="array" ref="D37">_xlfn.LET(_xlpm.m,_xlfn.MAP(tblSheetPolicy[SheetName],_xlfn.LAMBDA(_xlpm.pt,COUNTIF(tblSheetMap[[#This Row],[Sheet]],_xlpm.pt))),IFERROR(SUBSTITUTE(INDEX(tblSheetPolicy[VisibleTo],_xlfn.XMATCH(1,_xlpm.m)),"*","Herkes / Everyone"),"(no policy row)"))</f>
        <v>Herkes / Everyone</v>
      </c>
      <c r="E37" s="199" t="str" cm="1">
        <f t="array" ref="E37">_xlfn.LET(_xlpm.m,_xlfn.MAP(tblSheetPolicy[SheetName],_xlfn.LAMBDA(_xlpm.pt,COUNTIF(tblSheetMap[[#This Row],[Sheet]],_xlpm.pt))),IFERROR(INDEX(tblSheetPolicy[Visibility],_xlfn.XMATCH(1,_xlpm.m)),"-"))</f>
        <v>VISIBLE</v>
      </c>
      <c r="F37" s="209" t="s">
        <v>3481</v>
      </c>
      <c r="G37" s="209" t="s">
        <v>22100</v>
      </c>
      <c r="H37" s="211" t="str">
        <f>IF(ISNUMBER(FIND("*",tblSheetMap[[#This Row],[Sheet]])),"",HYPERLINK("#'"&amp;tblSheetMap[[#This Row],[Sheet]]&amp;"'!A1","→"))</f>
        <v>→</v>
      </c>
    </row>
    <row r="38" spans="1:8">
      <c r="A38" s="209" t="s">
        <v>7</v>
      </c>
      <c r="B38" s="209" t="s">
        <v>22043</v>
      </c>
      <c r="C38" s="209" t="s">
        <v>22101</v>
      </c>
      <c r="D38" s="199" t="str" cm="1">
        <f t="array" ref="D38">_xlfn.LET(_xlpm.m,_xlfn.MAP(tblSheetPolicy[SheetName],_xlfn.LAMBDA(_xlpm.pt,COUNTIF(tblSheetMap[[#This Row],[Sheet]],_xlpm.pt))),IFERROR(SUBSTITUTE(INDEX(tblSheetPolicy[VisibleTo],_xlfn.XMATCH(1,_xlpm.m)),"*","Herkes / Everyone"),"(no policy row)"))</f>
        <v>Herkes / Everyone</v>
      </c>
      <c r="E38" s="199" t="str" cm="1">
        <f t="array" ref="E38">_xlfn.LET(_xlpm.m,_xlfn.MAP(tblSheetPolicy[SheetName],_xlfn.LAMBDA(_xlpm.pt,COUNTIF(tblSheetMap[[#This Row],[Sheet]],_xlpm.pt))),IFERROR(INDEX(tblSheetPolicy[Visibility],_xlfn.XMATCH(1,_xlpm.m)),"-"))</f>
        <v>VISIBLE</v>
      </c>
      <c r="F38" s="209" t="s">
        <v>3412</v>
      </c>
      <c r="G38" s="209" t="s">
        <v>22046</v>
      </c>
      <c r="H38" s="211" t="str">
        <f>IF(ISNUMBER(FIND("*",tblSheetMap[[#This Row],[Sheet]])),"",HYPERLINK("#'"&amp;tblSheetMap[[#This Row],[Sheet]]&amp;"'!A1","→"))</f>
        <v>→</v>
      </c>
    </row>
    <row r="39" spans="1:8" ht="22.5">
      <c r="A39" s="209" t="s">
        <v>16</v>
      </c>
      <c r="B39" s="209" t="s">
        <v>22043</v>
      </c>
      <c r="C39" s="209" t="s">
        <v>22102</v>
      </c>
      <c r="D39" s="199" t="str" cm="1">
        <f t="array" ref="D39">_xlfn.LET(_xlpm.m,_xlfn.MAP(tblSheetPolicy[SheetName],_xlfn.LAMBDA(_xlpm.pt,COUNTIF(tblSheetMap[[#This Row],[Sheet]],_xlpm.pt))),IFERROR(SUBSTITUTE(INDEX(tblSheetPolicy[VisibleTo],_xlfn.XMATCH(1,_xlpm.m)),"*","Herkes / Everyone"),"(no policy row)"))</f>
        <v>Herkes / Everyone</v>
      </c>
      <c r="E39" s="199" t="str" cm="1">
        <f t="array" ref="E39">_xlfn.LET(_xlpm.m,_xlfn.MAP(tblSheetPolicy[SheetName],_xlfn.LAMBDA(_xlpm.pt,COUNTIF(tblSheetMap[[#This Row],[Sheet]],_xlpm.pt))),IFERROR(INDEX(tblSheetPolicy[Visibility],_xlfn.XMATCH(1,_xlpm.m)),"-"))</f>
        <v>VISIBLE</v>
      </c>
      <c r="F39" s="209" t="s">
        <v>22103</v>
      </c>
      <c r="G39" s="209" t="s">
        <v>22046</v>
      </c>
      <c r="H39" s="211" t="str">
        <f>IF(ISNUMBER(FIND("*",tblSheetMap[[#This Row],[Sheet]])),"",HYPERLINK("#'"&amp;tblSheetMap[[#This Row],[Sheet]]&amp;"'!A1","→"))</f>
        <v>→</v>
      </c>
    </row>
    <row r="40" spans="1:8">
      <c r="A40" s="209" t="s">
        <v>3119</v>
      </c>
      <c r="B40" s="209" t="s">
        <v>22043</v>
      </c>
      <c r="C40" s="209" t="s">
        <v>22104</v>
      </c>
      <c r="D40" s="199" t="str" cm="1">
        <f t="array" ref="D40">_xlfn.LET(_xlpm.m,_xlfn.MAP(tblSheetPolicy[SheetName],_xlfn.LAMBDA(_xlpm.pt,COUNTIF(tblSheetMap[[#This Row],[Sheet]],_xlpm.pt))),IFERROR(SUBSTITUTE(INDEX(tblSheetPolicy[VisibleTo],_xlfn.XMATCH(1,_xlpm.m)),"*","Herkes / Everyone"),"(no policy row)"))</f>
        <v>Herkes / Everyone</v>
      </c>
      <c r="E40" s="199" t="str" cm="1">
        <f t="array" ref="E40">_xlfn.LET(_xlpm.m,_xlfn.MAP(tblSheetPolicy[SheetName],_xlfn.LAMBDA(_xlpm.pt,COUNTIF(tblSheetMap[[#This Row],[Sheet]],_xlpm.pt))),IFERROR(INDEX(tblSheetPolicy[Visibility],_xlfn.XMATCH(1,_xlpm.m)),"-"))</f>
        <v>VISIBLE</v>
      </c>
      <c r="F40" s="209" t="s">
        <v>22105</v>
      </c>
      <c r="G40" s="209" t="s">
        <v>22106</v>
      </c>
      <c r="H40" s="211" t="str">
        <f>IF(ISNUMBER(FIND("*",tblSheetMap[[#This Row],[Sheet]])),"",HYPERLINK("#'"&amp;tblSheetMap[[#This Row],[Sheet]]&amp;"'!A1","→"))</f>
        <v>→</v>
      </c>
    </row>
    <row r="41" spans="1:8">
      <c r="A41" s="209" t="s">
        <v>3121</v>
      </c>
      <c r="B41" s="209" t="s">
        <v>22040</v>
      </c>
      <c r="C41" s="209" t="s">
        <v>22107</v>
      </c>
      <c r="D41" s="199" t="str" cm="1">
        <f t="array" ref="D41">_xlfn.LET(_xlpm.m,_xlfn.MAP(tblSheetPolicy[SheetName],_xlfn.LAMBDA(_xlpm.pt,COUNTIF(tblSheetMap[[#This Row],[Sheet]],_xlpm.pt))),IFERROR(SUBSTITUTE(INDEX(tblSheetPolicy[VisibleTo],_xlfn.XMATCH(1,_xlpm.m)),"*","Herkes / Everyone"),"(no policy row)"))</f>
        <v>Herkes / Everyone</v>
      </c>
      <c r="E41" s="199" t="str" cm="1">
        <f t="array" ref="E41">_xlfn.LET(_xlpm.m,_xlfn.MAP(tblSheetPolicy[SheetName],_xlfn.LAMBDA(_xlpm.pt,COUNTIF(tblSheetMap[[#This Row],[Sheet]],_xlpm.pt))),IFERROR(INDEX(tblSheetPolicy[Visibility],_xlfn.XMATCH(1,_xlpm.m)),"-"))</f>
        <v>VISIBLE</v>
      </c>
      <c r="F41" s="209" t="s">
        <v>3481</v>
      </c>
      <c r="G41" s="209" t="s">
        <v>22086</v>
      </c>
      <c r="H41" s="211" t="str">
        <f>IF(ISNUMBER(FIND("*",tblSheetMap[[#This Row],[Sheet]])),"",HYPERLINK("#'"&amp;tblSheetMap[[#This Row],[Sheet]]&amp;"'!A1","→"))</f>
        <v>→</v>
      </c>
    </row>
    <row r="42" spans="1:8" ht="22.5">
      <c r="A42" s="209" t="s">
        <v>3122</v>
      </c>
      <c r="B42" s="209" t="s">
        <v>22040</v>
      </c>
      <c r="C42" s="209" t="s">
        <v>22108</v>
      </c>
      <c r="D42" s="199" t="str" cm="1">
        <f t="array" ref="D42">_xlfn.LET(_xlpm.m,_xlfn.MAP(tblSheetPolicy[SheetName],_xlfn.LAMBDA(_xlpm.pt,COUNTIF(tblSheetMap[[#This Row],[Sheet]],_xlpm.pt))),IFERROR(SUBSTITUTE(INDEX(tblSheetPolicy[VisibleTo],_xlfn.XMATCH(1,_xlpm.m)),"*","Herkes / Everyone"),"(no policy row)"))</f>
        <v>Herkes / Everyone</v>
      </c>
      <c r="E42" s="199" t="str" cm="1">
        <f t="array" ref="E42">_xlfn.LET(_xlpm.m,_xlfn.MAP(tblSheetPolicy[SheetName],_xlfn.LAMBDA(_xlpm.pt,COUNTIF(tblSheetMap[[#This Row],[Sheet]],_xlpm.pt))),IFERROR(INDEX(tblSheetPolicy[Visibility],_xlfn.XMATCH(1,_xlpm.m)),"-"))</f>
        <v>VISIBLE</v>
      </c>
      <c r="F42" s="209" t="s">
        <v>22109</v>
      </c>
      <c r="G42" s="209" t="s">
        <v>22037</v>
      </c>
      <c r="H42" s="211" t="str">
        <f>IF(ISNUMBER(FIND("*",tblSheetMap[[#This Row],[Sheet]])),"",HYPERLINK("#'"&amp;tblSheetMap[[#This Row],[Sheet]]&amp;"'!A1","→"))</f>
        <v>→</v>
      </c>
    </row>
    <row r="43" spans="1:8">
      <c r="A43" s="209" t="s">
        <v>3123</v>
      </c>
      <c r="B43" s="209" t="s">
        <v>22040</v>
      </c>
      <c r="C43" s="209" t="s">
        <v>22110</v>
      </c>
      <c r="D43" s="199" t="str" cm="1">
        <f t="array" ref="D43">_xlfn.LET(_xlpm.m,_xlfn.MAP(tblSheetPolicy[SheetName],_xlfn.LAMBDA(_xlpm.pt,COUNTIF(tblSheetMap[[#This Row],[Sheet]],_xlpm.pt))),IFERROR(SUBSTITUTE(INDEX(tblSheetPolicy[VisibleTo],_xlfn.XMATCH(1,_xlpm.m)),"*","Herkes / Everyone"),"(no policy row)"))</f>
        <v>Herkes / Everyone</v>
      </c>
      <c r="E43" s="199" t="str" cm="1">
        <f t="array" ref="E43">_xlfn.LET(_xlpm.m,_xlfn.MAP(tblSheetPolicy[SheetName],_xlfn.LAMBDA(_xlpm.pt,COUNTIF(tblSheetMap[[#This Row],[Sheet]],_xlpm.pt))),IFERROR(INDEX(tblSheetPolicy[Visibility],_xlfn.XMATCH(1,_xlpm.m)),"-"))</f>
        <v>VISIBLE</v>
      </c>
      <c r="F43" s="209" t="s">
        <v>22036</v>
      </c>
      <c r="G43" s="209" t="s">
        <v>22037</v>
      </c>
      <c r="H43" s="211" t="str">
        <f>IF(ISNUMBER(FIND("*",tblSheetMap[[#This Row],[Sheet]])),"",HYPERLINK("#'"&amp;tblSheetMap[[#This Row],[Sheet]]&amp;"'!A1","→"))</f>
        <v>→</v>
      </c>
    </row>
    <row r="44" spans="1:8">
      <c r="A44" s="209" t="s">
        <v>3482</v>
      </c>
      <c r="B44" s="209" t="s">
        <v>22040</v>
      </c>
      <c r="C44" s="209" t="s">
        <v>22111</v>
      </c>
      <c r="D44" s="199" t="str" cm="1">
        <f t="array" ref="D44">_xlfn.LET(_xlpm.m,_xlfn.MAP(tblSheetPolicy[SheetName],_xlfn.LAMBDA(_xlpm.pt,COUNTIF(tblSheetMap[[#This Row],[Sheet]],_xlpm.pt))),IFERROR(SUBSTITUTE(INDEX(tblSheetPolicy[VisibleTo],_xlfn.XMATCH(1,_xlpm.m)),"*","Herkes / Everyone"),"(no policy row)"))</f>
        <v>Administrator</v>
      </c>
      <c r="E44" s="199" t="str" cm="1">
        <f t="array" ref="E44">_xlfn.LET(_xlpm.m,_xlfn.MAP(tblSheetPolicy[SheetName],_xlfn.LAMBDA(_xlpm.pt,COUNTIF(tblSheetMap[[#This Row],[Sheet]],_xlpm.pt))),IFERROR(INDEX(tblSheetPolicy[Visibility],_xlfn.XMATCH(1,_xlpm.m)),"-"))</f>
        <v>VISIBLE</v>
      </c>
      <c r="F44" s="209" t="s">
        <v>22036</v>
      </c>
      <c r="G44" s="209" t="s">
        <v>22037</v>
      </c>
      <c r="H44" s="211" t="str">
        <f>IF(ISNUMBER(FIND("*",tblSheetMap[[#This Row],[Sheet]])),"",HYPERLINK("#'"&amp;tblSheetMap[[#This Row],[Sheet]]&amp;"'!A1","→"))</f>
        <v>→</v>
      </c>
    </row>
    <row r="45" spans="1:8">
      <c r="A45" s="209" t="s">
        <v>10</v>
      </c>
      <c r="B45" s="209" t="s">
        <v>22040</v>
      </c>
      <c r="C45" s="209" t="s">
        <v>22112</v>
      </c>
      <c r="D45" s="199" t="str" cm="1">
        <f t="array" ref="D45">_xlfn.LET(_xlpm.m,_xlfn.MAP(tblSheetPolicy[SheetName],_xlfn.LAMBDA(_xlpm.pt,COUNTIF(tblSheetMap[[#This Row],[Sheet]],_xlpm.pt))),IFERROR(SUBSTITUTE(INDEX(tblSheetPolicy[VisibleTo],_xlfn.XMATCH(1,_xlpm.m)),"*","Herkes / Everyone"),"(no policy row)"))</f>
        <v>Herkes / Everyone</v>
      </c>
      <c r="E45" s="199" t="str" cm="1">
        <f t="array" ref="E45">_xlfn.LET(_xlpm.m,_xlfn.MAP(tblSheetPolicy[SheetName],_xlfn.LAMBDA(_xlpm.pt,COUNTIF(tblSheetMap[[#This Row],[Sheet]],_xlpm.pt))),IFERROR(INDEX(tblSheetPolicy[Visibility],_xlfn.XMATCH(1,_xlpm.m)),"-"))</f>
        <v>VISIBLE</v>
      </c>
      <c r="F45" s="209" t="s">
        <v>22036</v>
      </c>
      <c r="G45" s="209" t="s">
        <v>22037</v>
      </c>
      <c r="H45" s="211" t="str">
        <f>IF(ISNUMBER(FIND("*",tblSheetMap[[#This Row],[Sheet]])),"",HYPERLINK("#'"&amp;tblSheetMap[[#This Row],[Sheet]]&amp;"'!A1","→"))</f>
        <v>→</v>
      </c>
    </row>
    <row r="46" spans="1:8">
      <c r="A46" s="209" t="s">
        <v>11</v>
      </c>
      <c r="B46" s="209" t="s">
        <v>22040</v>
      </c>
      <c r="C46" s="209" t="s">
        <v>22113</v>
      </c>
      <c r="D46" s="199" t="str" cm="1">
        <f t="array" ref="D46">_xlfn.LET(_xlpm.m,_xlfn.MAP(tblSheetPolicy[SheetName],_xlfn.LAMBDA(_xlpm.pt,COUNTIF(tblSheetMap[[#This Row],[Sheet]],_xlpm.pt))),IFERROR(SUBSTITUTE(INDEX(tblSheetPolicy[VisibleTo],_xlfn.XMATCH(1,_xlpm.m)),"*","Herkes / Everyone"),"(no policy row)"))</f>
        <v>Herkes / Everyone</v>
      </c>
      <c r="E46" s="199" t="str" cm="1">
        <f t="array" ref="E46">_xlfn.LET(_xlpm.m,_xlfn.MAP(tblSheetPolicy[SheetName],_xlfn.LAMBDA(_xlpm.pt,COUNTIF(tblSheetMap[[#This Row],[Sheet]],_xlpm.pt))),IFERROR(INDEX(tblSheetPolicy[Visibility],_xlfn.XMATCH(1,_xlpm.m)),"-"))</f>
        <v>VISIBLE</v>
      </c>
      <c r="F46" s="209" t="s">
        <v>22114</v>
      </c>
      <c r="G46" s="209" t="s">
        <v>22115</v>
      </c>
      <c r="H46" s="211" t="str">
        <f>IF(ISNUMBER(FIND("*",tblSheetMap[[#This Row],[Sheet]])),"",HYPERLINK("#'"&amp;tblSheetMap[[#This Row],[Sheet]]&amp;"'!A1","→"))</f>
        <v>→</v>
      </c>
    </row>
    <row r="47" spans="1:8">
      <c r="A47" s="209" t="s">
        <v>17</v>
      </c>
      <c r="B47" s="209" t="s">
        <v>22040</v>
      </c>
      <c r="C47" s="209" t="s">
        <v>22116</v>
      </c>
      <c r="D47" s="199" t="str" cm="1">
        <f t="array" ref="D47">_xlfn.LET(_xlpm.m,_xlfn.MAP(tblSheetPolicy[SheetName],_xlfn.LAMBDA(_xlpm.pt,COUNTIF(tblSheetMap[[#This Row],[Sheet]],_xlpm.pt))),IFERROR(SUBSTITUTE(INDEX(tblSheetPolicy[VisibleTo],_xlfn.XMATCH(1,_xlpm.m)),"*","Herkes / Everyone"),"(no policy row)"))</f>
        <v>Herkes / Everyone</v>
      </c>
      <c r="E47" s="199" t="str" cm="1">
        <f t="array" ref="E47">_xlfn.LET(_xlpm.m,_xlfn.MAP(tblSheetPolicy[SheetName],_xlfn.LAMBDA(_xlpm.pt,COUNTIF(tblSheetMap[[#This Row],[Sheet]],_xlpm.pt))),IFERROR(INDEX(tblSheetPolicy[Visibility],_xlfn.XMATCH(1,_xlpm.m)),"-"))</f>
        <v>VISIBLE</v>
      </c>
      <c r="F47" s="209" t="s">
        <v>22036</v>
      </c>
      <c r="G47" s="209" t="s">
        <v>22037</v>
      </c>
      <c r="H47" s="211" t="str">
        <f>IF(ISNUMBER(FIND("*",tblSheetMap[[#This Row],[Sheet]])),"",HYPERLINK("#'"&amp;tblSheetMap[[#This Row],[Sheet]]&amp;"'!A1","→"))</f>
        <v>→</v>
      </c>
    </row>
    <row r="48" spans="1:8">
      <c r="A48" s="209" t="s">
        <v>18</v>
      </c>
      <c r="B48" s="209" t="s">
        <v>22040</v>
      </c>
      <c r="C48" s="209" t="s">
        <v>22117</v>
      </c>
      <c r="D48" s="199" t="str" cm="1">
        <f t="array" ref="D48">_xlfn.LET(_xlpm.m,_xlfn.MAP(tblSheetPolicy[SheetName],_xlfn.LAMBDA(_xlpm.pt,COUNTIF(tblSheetMap[[#This Row],[Sheet]],_xlpm.pt))),IFERROR(SUBSTITUTE(INDEX(tblSheetPolicy[VisibleTo],_xlfn.XMATCH(1,_xlpm.m)),"*","Herkes / Everyone"),"(no policy row)"))</f>
        <v>Herkes / Everyone</v>
      </c>
      <c r="E48" s="199" t="str" cm="1">
        <f t="array" ref="E48">_xlfn.LET(_xlpm.m,_xlfn.MAP(tblSheetPolicy[SheetName],_xlfn.LAMBDA(_xlpm.pt,COUNTIF(tblSheetMap[[#This Row],[Sheet]],_xlpm.pt))),IFERROR(INDEX(tblSheetPolicy[Visibility],_xlfn.XMATCH(1,_xlpm.m)),"-"))</f>
        <v>VISIBLE</v>
      </c>
      <c r="F48" s="209" t="s">
        <v>22036</v>
      </c>
      <c r="G48" s="209" t="s">
        <v>22037</v>
      </c>
      <c r="H48" s="211" t="str">
        <f>IF(ISNUMBER(FIND("*",tblSheetMap[[#This Row],[Sheet]])),"",HYPERLINK("#'"&amp;tblSheetMap[[#This Row],[Sheet]]&amp;"'!A1","→"))</f>
        <v>→</v>
      </c>
    </row>
    <row r="49" spans="1:8" ht="22.5">
      <c r="A49" s="209" t="s">
        <v>19</v>
      </c>
      <c r="B49" s="209" t="s">
        <v>22040</v>
      </c>
      <c r="C49" s="209" t="s">
        <v>22118</v>
      </c>
      <c r="D49" s="199" t="str" cm="1">
        <f t="array" ref="D49">_xlfn.LET(_xlpm.m,_xlfn.MAP(tblSheetPolicy[SheetName],_xlfn.LAMBDA(_xlpm.pt,COUNTIF(tblSheetMap[[#This Row],[Sheet]],_xlpm.pt))),IFERROR(SUBSTITUTE(INDEX(tblSheetPolicy[VisibleTo],_xlfn.XMATCH(1,_xlpm.m)),"*","Herkes / Everyone"),"(no policy row)"))</f>
        <v>Herkes / Everyone</v>
      </c>
      <c r="E49" s="199" t="str" cm="1">
        <f t="array" ref="E49">_xlfn.LET(_xlpm.m,_xlfn.MAP(tblSheetPolicy[SheetName],_xlfn.LAMBDA(_xlpm.pt,COUNTIF(tblSheetMap[[#This Row],[Sheet]],_xlpm.pt))),IFERROR(INDEX(tblSheetPolicy[Visibility],_xlfn.XMATCH(1,_xlpm.m)),"-"))</f>
        <v>VISIBLE</v>
      </c>
      <c r="F49" s="209" t="s">
        <v>22036</v>
      </c>
      <c r="G49" s="209" t="s">
        <v>22037</v>
      </c>
      <c r="H49" s="211" t="str">
        <f>IF(ISNUMBER(FIND("*",tblSheetMap[[#This Row],[Sheet]])),"",HYPERLINK("#'"&amp;tblSheetMap[[#This Row],[Sheet]]&amp;"'!A1","→"))</f>
        <v>→</v>
      </c>
    </row>
    <row r="50" spans="1:8" ht="22.5">
      <c r="A50" s="209" t="s">
        <v>3124</v>
      </c>
      <c r="B50" s="209" t="s">
        <v>22084</v>
      </c>
      <c r="C50" s="209" t="s">
        <v>22119</v>
      </c>
      <c r="D50" s="199" t="str" cm="1">
        <f t="array" ref="D50">_xlfn.LET(_xlpm.m,_xlfn.MAP(tblSheetPolicy[SheetName],_xlfn.LAMBDA(_xlpm.pt,COUNTIF(tblSheetMap[[#This Row],[Sheet]],_xlpm.pt))),IFERROR(SUBSTITUTE(INDEX(tblSheetPolicy[VisibleTo],_xlfn.XMATCH(1,_xlpm.m)),"*","Herkes / Everyone"),"(no policy row)"))</f>
        <v>Administrator</v>
      </c>
      <c r="E50" s="199" t="str" cm="1">
        <f t="array" ref="E50">_xlfn.LET(_xlpm.m,_xlfn.MAP(tblSheetPolicy[SheetName],_xlfn.LAMBDA(_xlpm.pt,COUNTIF(tblSheetMap[[#This Row],[Sheet]],_xlpm.pt))),IFERROR(INDEX(tblSheetPolicy[Visibility],_xlfn.XMATCH(1,_xlpm.m)),"-"))</f>
        <v>VISIBLE</v>
      </c>
      <c r="F50" s="209" t="s">
        <v>3481</v>
      </c>
      <c r="G50" s="209" t="s">
        <v>22086</v>
      </c>
      <c r="H50" s="211" t="str">
        <f>IF(ISNUMBER(FIND("*",tblSheetMap[[#This Row],[Sheet]])),"",HYPERLINK("#'"&amp;tblSheetMap[[#This Row],[Sheet]]&amp;"'!A1","→"))</f>
        <v>→</v>
      </c>
    </row>
    <row r="51" spans="1:8">
      <c r="A51" s="209" t="s">
        <v>3125</v>
      </c>
      <c r="B51" s="209" t="s">
        <v>22120</v>
      </c>
      <c r="C51" s="209" t="s">
        <v>22121</v>
      </c>
      <c r="D51" s="199" t="str" cm="1">
        <f t="array" ref="D51">_xlfn.LET(_xlpm.m,_xlfn.MAP(tblSheetPolicy[SheetName],_xlfn.LAMBDA(_xlpm.pt,COUNTIF(tblSheetMap[[#This Row],[Sheet]],_xlpm.pt))),IFERROR(SUBSTITUTE(INDEX(tblSheetPolicy[VisibleTo],_xlfn.XMATCH(1,_xlpm.m)),"*","Herkes / Everyone"),"(no policy row)"))</f>
        <v>Herkes / Everyone</v>
      </c>
      <c r="E51" s="199" t="str" cm="1">
        <f t="array" ref="E51">_xlfn.LET(_xlpm.m,_xlfn.MAP(tblSheetPolicy[SheetName],_xlfn.LAMBDA(_xlpm.pt,COUNTIF(tblSheetMap[[#This Row],[Sheet]],_xlpm.pt))),IFERROR(INDEX(tblSheetPolicy[Visibility],_xlfn.XMATCH(1,_xlpm.m)),"-"))</f>
        <v>HIDDEN</v>
      </c>
      <c r="F51" s="209" t="s">
        <v>22105</v>
      </c>
      <c r="G51" s="209" t="s">
        <v>22122</v>
      </c>
      <c r="H51" s="211" t="str">
        <f>IF(ISNUMBER(FIND("*",tblSheetMap[[#This Row],[Sheet]])),"",HYPERLINK("#'"&amp;tblSheetMap[[#This Row],[Sheet]]&amp;"'!A1","→"))</f>
        <v>→</v>
      </c>
    </row>
    <row r="52" spans="1:8">
      <c r="A52" s="209" t="s">
        <v>2594</v>
      </c>
      <c r="B52" s="209" t="s">
        <v>22123</v>
      </c>
      <c r="C52" s="209" t="s">
        <v>22124</v>
      </c>
      <c r="D52" s="199" t="str" cm="1">
        <f t="array" ref="D52">_xlfn.LET(_xlpm.m,_xlfn.MAP(tblSheetPolicy[SheetName],_xlfn.LAMBDA(_xlpm.pt,COUNTIF(tblSheetMap[[#This Row],[Sheet]],_xlpm.pt))),IFERROR(SUBSTITUTE(INDEX(tblSheetPolicy[VisibleTo],_xlfn.XMATCH(1,_xlpm.m)),"*","Herkes / Everyone"),"(no policy row)"))</f>
        <v>Herkes / Everyone</v>
      </c>
      <c r="E52" s="199" t="str" cm="1">
        <f t="array" ref="E52">_xlfn.LET(_xlpm.m,_xlfn.MAP(tblSheetPolicy[SheetName],_xlfn.LAMBDA(_xlpm.pt,COUNTIF(tblSheetMap[[#This Row],[Sheet]],_xlpm.pt))),IFERROR(INDEX(tblSheetPolicy[Visibility],_xlfn.XMATCH(1,_xlpm.m)),"-"))</f>
        <v>HIDDEN</v>
      </c>
      <c r="F52" s="209" t="s">
        <v>22125</v>
      </c>
      <c r="G52" s="209" t="s">
        <v>22126</v>
      </c>
      <c r="H52" s="211" t="str">
        <f>IF(ISNUMBER(FIND("*",tblSheetMap[[#This Row],[Sheet]])),"",HYPERLINK("#'"&amp;tblSheetMap[[#This Row],[Sheet]]&amp;"'!A1","→"))</f>
        <v>→</v>
      </c>
    </row>
    <row r="53" spans="1:8" ht="22.5">
      <c r="A53" s="209" t="s">
        <v>2595</v>
      </c>
      <c r="B53" s="209" t="s">
        <v>22123</v>
      </c>
      <c r="C53" s="209" t="s">
        <v>22127</v>
      </c>
      <c r="D53" s="199" t="str" cm="1">
        <f t="array" ref="D53">_xlfn.LET(_xlpm.m,_xlfn.MAP(tblSheetPolicy[SheetName],_xlfn.LAMBDA(_xlpm.pt,COUNTIF(tblSheetMap[[#This Row],[Sheet]],_xlpm.pt))),IFERROR(SUBSTITUTE(INDEX(tblSheetPolicy[VisibleTo],_xlfn.XMATCH(1,_xlpm.m)),"*","Herkes / Everyone"),"(no policy row)"))</f>
        <v>Herkes / Everyone</v>
      </c>
      <c r="E53" s="199" t="str" cm="1">
        <f t="array" ref="E53">_xlfn.LET(_xlpm.m,_xlfn.MAP(tblSheetPolicy[SheetName],_xlfn.LAMBDA(_xlpm.pt,COUNTIF(tblSheetMap[[#This Row],[Sheet]],_xlpm.pt))),IFERROR(INDEX(tblSheetPolicy[Visibility],_xlfn.XMATCH(1,_xlpm.m)),"-"))</f>
        <v>HIDDEN</v>
      </c>
      <c r="F53" s="209" t="s">
        <v>22125</v>
      </c>
      <c r="G53" s="209" t="s">
        <v>22126</v>
      </c>
      <c r="H53" s="211" t="str">
        <f>IF(ISNUMBER(FIND("*",tblSheetMap[[#This Row],[Sheet]])),"",HYPERLINK("#'"&amp;tblSheetMap[[#This Row],[Sheet]]&amp;"'!A1","→"))</f>
        <v>→</v>
      </c>
    </row>
    <row r="54" spans="1:8">
      <c r="A54" s="209" t="s">
        <v>2596</v>
      </c>
      <c r="B54" s="209" t="s">
        <v>22123</v>
      </c>
      <c r="C54" s="209" t="s">
        <v>22128</v>
      </c>
      <c r="D54" s="199" t="str" cm="1">
        <f t="array" ref="D54">_xlfn.LET(_xlpm.m,_xlfn.MAP(tblSheetPolicy[SheetName],_xlfn.LAMBDA(_xlpm.pt,COUNTIF(tblSheetMap[[#This Row],[Sheet]],_xlpm.pt))),IFERROR(SUBSTITUTE(INDEX(tblSheetPolicy[VisibleTo],_xlfn.XMATCH(1,_xlpm.m)),"*","Herkes / Everyone"),"(no policy row)"))</f>
        <v>Herkes / Everyone</v>
      </c>
      <c r="E54" s="199" t="str" cm="1">
        <f t="array" ref="E54">_xlfn.LET(_xlpm.m,_xlfn.MAP(tblSheetPolicy[SheetName],_xlfn.LAMBDA(_xlpm.pt,COUNTIF(tblSheetMap[[#This Row],[Sheet]],_xlpm.pt))),IFERROR(INDEX(tblSheetPolicy[Visibility],_xlfn.XMATCH(1,_xlpm.m)),"-"))</f>
        <v>HIDDEN</v>
      </c>
      <c r="F54" s="209" t="s">
        <v>22125</v>
      </c>
      <c r="G54" s="209" t="s">
        <v>22126</v>
      </c>
      <c r="H54" s="211" t="str">
        <f>IF(ISNUMBER(FIND("*",tblSheetMap[[#This Row],[Sheet]])),"",HYPERLINK("#'"&amp;tblSheetMap[[#This Row],[Sheet]]&amp;"'!A1","→"))</f>
        <v>→</v>
      </c>
    </row>
    <row r="55" spans="1:8" ht="22.5">
      <c r="A55" s="209" t="s">
        <v>2597</v>
      </c>
      <c r="B55" s="209" t="s">
        <v>22123</v>
      </c>
      <c r="C55" s="209" t="s">
        <v>22129</v>
      </c>
      <c r="D55" s="199" t="str" cm="1">
        <f t="array" ref="D55">_xlfn.LET(_xlpm.m,_xlfn.MAP(tblSheetPolicy[SheetName],_xlfn.LAMBDA(_xlpm.pt,COUNTIF(tblSheetMap[[#This Row],[Sheet]],_xlpm.pt))),IFERROR(SUBSTITUTE(INDEX(tblSheetPolicy[VisibleTo],_xlfn.XMATCH(1,_xlpm.m)),"*","Herkes / Everyone"),"(no policy row)"))</f>
        <v>Herkes / Everyone</v>
      </c>
      <c r="E55" s="199" t="str" cm="1">
        <f t="array" ref="E55">_xlfn.LET(_xlpm.m,_xlfn.MAP(tblSheetPolicy[SheetName],_xlfn.LAMBDA(_xlpm.pt,COUNTIF(tblSheetMap[[#This Row],[Sheet]],_xlpm.pt))),IFERROR(INDEX(tblSheetPolicy[Visibility],_xlfn.XMATCH(1,_xlpm.m)),"-"))</f>
        <v>HIDDEN</v>
      </c>
      <c r="F55" s="209" t="s">
        <v>22125</v>
      </c>
      <c r="G55" s="209" t="s">
        <v>22126</v>
      </c>
      <c r="H55" s="211" t="str">
        <f>IF(ISNUMBER(FIND("*",tblSheetMap[[#This Row],[Sheet]])),"",HYPERLINK("#'"&amp;tblSheetMap[[#This Row],[Sheet]]&amp;"'!A1","→"))</f>
        <v>→</v>
      </c>
    </row>
    <row r="56" spans="1:8" ht="22.5">
      <c r="A56" s="209" t="s">
        <v>20585</v>
      </c>
      <c r="B56" s="209" t="s">
        <v>22123</v>
      </c>
      <c r="C56" s="209" t="s">
        <v>22130</v>
      </c>
      <c r="D56" s="199" t="str" cm="1">
        <f t="array" ref="D56">_xlfn.LET(_xlpm.m,_xlfn.MAP(tblSheetPolicy[SheetName],_xlfn.LAMBDA(_xlpm.pt,COUNTIF(tblSheetMap[[#This Row],[Sheet]],_xlpm.pt))),IFERROR(SUBSTITUTE(INDEX(tblSheetPolicy[VisibleTo],_xlfn.XMATCH(1,_xlpm.m)),"*","Herkes / Everyone"),"(no policy row)"))</f>
        <v>Herkes / Everyone</v>
      </c>
      <c r="E56" s="199" t="str" cm="1">
        <f t="array" ref="E56">_xlfn.LET(_xlpm.m,_xlfn.MAP(tblSheetPolicy[SheetName],_xlfn.LAMBDA(_xlpm.pt,COUNTIF(tblSheetMap[[#This Row],[Sheet]],_xlpm.pt))),IFERROR(INDEX(tblSheetPolicy[Visibility],_xlfn.XMATCH(1,_xlpm.m)),"-"))</f>
        <v>HIDDEN</v>
      </c>
      <c r="F56" s="209" t="s">
        <v>22131</v>
      </c>
      <c r="G56" s="209" t="s">
        <v>22132</v>
      </c>
      <c r="H56" s="211" t="str">
        <f>IF(ISNUMBER(FIND("*",tblSheetMap[[#This Row],[Sheet]])),"",HYPERLINK("#'"&amp;tblSheetMap[[#This Row],[Sheet]]&amp;"'!A1","→"))</f>
        <v>→</v>
      </c>
    </row>
    <row r="57" spans="1:8">
      <c r="A57" s="209" t="s">
        <v>2598</v>
      </c>
      <c r="B57" s="209" t="s">
        <v>22123</v>
      </c>
      <c r="C57" s="209" t="s">
        <v>22133</v>
      </c>
      <c r="D57" s="199" t="str" cm="1">
        <f t="array" ref="D57">_xlfn.LET(_xlpm.m,_xlfn.MAP(tblSheetPolicy[SheetName],_xlfn.LAMBDA(_xlpm.pt,COUNTIF(tblSheetMap[[#This Row],[Sheet]],_xlpm.pt))),IFERROR(SUBSTITUTE(INDEX(tblSheetPolicy[VisibleTo],_xlfn.XMATCH(1,_xlpm.m)),"*","Herkes / Everyone"),"(no policy row)"))</f>
        <v>Herkes / Everyone</v>
      </c>
      <c r="E57" s="199" t="str" cm="1">
        <f t="array" ref="E57">_xlfn.LET(_xlpm.m,_xlfn.MAP(tblSheetPolicy[SheetName],_xlfn.LAMBDA(_xlpm.pt,COUNTIF(tblSheetMap[[#This Row],[Sheet]],_xlpm.pt))),IFERROR(INDEX(tblSheetPolicy[Visibility],_xlfn.XMATCH(1,_xlpm.m)),"-"))</f>
        <v>HIDDEN</v>
      </c>
      <c r="F57" s="209" t="s">
        <v>22125</v>
      </c>
      <c r="G57" s="209" t="s">
        <v>22126</v>
      </c>
      <c r="H57" s="211" t="str">
        <f>IF(ISNUMBER(FIND("*",tblSheetMap[[#This Row],[Sheet]])),"",HYPERLINK("#'"&amp;tblSheetMap[[#This Row],[Sheet]]&amp;"'!A1","→"))</f>
        <v>→</v>
      </c>
    </row>
    <row r="58" spans="1:8">
      <c r="A58" s="209" t="s">
        <v>3018</v>
      </c>
      <c r="B58" s="209" t="s">
        <v>22123</v>
      </c>
      <c r="C58" s="209" t="s">
        <v>22134</v>
      </c>
      <c r="D58" s="199" t="str" cm="1">
        <f t="array" ref="D58">_xlfn.LET(_xlpm.m,_xlfn.MAP(tblSheetPolicy[SheetName],_xlfn.LAMBDA(_xlpm.pt,COUNTIF(tblSheetMap[[#This Row],[Sheet]],_xlpm.pt))),IFERROR(SUBSTITUTE(INDEX(tblSheetPolicy[VisibleTo],_xlfn.XMATCH(1,_xlpm.m)),"*","Herkes / Everyone"),"(no policy row)"))</f>
        <v>Herkes / Everyone</v>
      </c>
      <c r="E58" s="199" t="str" cm="1">
        <f t="array" ref="E58">_xlfn.LET(_xlpm.m,_xlfn.MAP(tblSheetPolicy[SheetName],_xlfn.LAMBDA(_xlpm.pt,COUNTIF(tblSheetMap[[#This Row],[Sheet]],_xlpm.pt))),IFERROR(INDEX(tblSheetPolicy[Visibility],_xlfn.XMATCH(1,_xlpm.m)),"-"))</f>
        <v>HIDDEN</v>
      </c>
      <c r="F58" s="209" t="s">
        <v>22125</v>
      </c>
      <c r="G58" s="209" t="s">
        <v>22135</v>
      </c>
      <c r="H58" s="211" t="str">
        <f>IF(ISNUMBER(FIND("*",tblSheetMap[[#This Row],[Sheet]])),"",HYPERLINK("#'"&amp;tblSheetMap[[#This Row],[Sheet]]&amp;"'!A1","→"))</f>
        <v>→</v>
      </c>
    </row>
    <row r="59" spans="1:8">
      <c r="A59" s="209" t="s">
        <v>3021</v>
      </c>
      <c r="B59" s="209" t="s">
        <v>22123</v>
      </c>
      <c r="C59" s="209" t="s">
        <v>22136</v>
      </c>
      <c r="D59" s="199" t="str" cm="1">
        <f t="array" ref="D59">_xlfn.LET(_xlpm.m,_xlfn.MAP(tblSheetPolicy[SheetName],_xlfn.LAMBDA(_xlpm.pt,COUNTIF(tblSheetMap[[#This Row],[Sheet]],_xlpm.pt))),IFERROR(SUBSTITUTE(INDEX(tblSheetPolicy[VisibleTo],_xlfn.XMATCH(1,_xlpm.m)),"*","Herkes / Everyone"),"(no policy row)"))</f>
        <v>Herkes / Everyone</v>
      </c>
      <c r="E59" s="199" t="str" cm="1">
        <f t="array" ref="E59">_xlfn.LET(_xlpm.m,_xlfn.MAP(tblSheetPolicy[SheetName],_xlfn.LAMBDA(_xlpm.pt,COUNTIF(tblSheetMap[[#This Row],[Sheet]],_xlpm.pt))),IFERROR(INDEX(tblSheetPolicy[Visibility],_xlfn.XMATCH(1,_xlpm.m)),"-"))</f>
        <v>HIDDEN</v>
      </c>
      <c r="F59" s="209" t="s">
        <v>22125</v>
      </c>
      <c r="G59" s="209" t="s">
        <v>22126</v>
      </c>
      <c r="H59" s="211" t="str">
        <f>IF(ISNUMBER(FIND("*",tblSheetMap[[#This Row],[Sheet]])),"",HYPERLINK("#'"&amp;tblSheetMap[[#This Row],[Sheet]]&amp;"'!A1","→"))</f>
        <v>→</v>
      </c>
    </row>
    <row r="60" spans="1:8">
      <c r="A60" s="209" t="s">
        <v>4198</v>
      </c>
      <c r="B60" s="209" t="s">
        <v>22123</v>
      </c>
      <c r="C60" s="209" t="s">
        <v>22137</v>
      </c>
      <c r="D60" s="199" t="str" cm="1">
        <f t="array" ref="D60">_xlfn.LET(_xlpm.m,_xlfn.MAP(tblSheetPolicy[SheetName],_xlfn.LAMBDA(_xlpm.pt,COUNTIF(tblSheetMap[[#This Row],[Sheet]],_xlpm.pt))),IFERROR(SUBSTITUTE(INDEX(tblSheetPolicy[VisibleTo],_xlfn.XMATCH(1,_xlpm.m)),"*","Herkes / Everyone"),"(no policy row)"))</f>
        <v>Herkes / Everyone</v>
      </c>
      <c r="E60" s="199" t="str" cm="1">
        <f t="array" ref="E60">_xlfn.LET(_xlpm.m,_xlfn.MAP(tblSheetPolicy[SheetName],_xlfn.LAMBDA(_xlpm.pt,COUNTIF(tblSheetMap[[#This Row],[Sheet]],_xlpm.pt))),IFERROR(INDEX(tblSheetPolicy[Visibility],_xlfn.XMATCH(1,_xlpm.m)),"-"))</f>
        <v>HIDDEN</v>
      </c>
      <c r="F60" s="209" t="s">
        <v>22125</v>
      </c>
      <c r="G60" s="209" t="s">
        <v>22138</v>
      </c>
      <c r="H60" s="211" t="str">
        <f>IF(ISNUMBER(FIND("*",tblSheetMap[[#This Row],[Sheet]])),"",HYPERLINK("#'"&amp;tblSheetMap[[#This Row],[Sheet]]&amp;"'!A1","→"))</f>
        <v>→</v>
      </c>
    </row>
    <row r="61" spans="1:8">
      <c r="A61" s="209" t="s">
        <v>3128</v>
      </c>
      <c r="B61" s="209" t="s">
        <v>22047</v>
      </c>
      <c r="C61" s="209" t="s">
        <v>22139</v>
      </c>
      <c r="D61" s="199" t="str" cm="1">
        <f t="array" ref="D61">_xlfn.LET(_xlpm.m,_xlfn.MAP(tblSheetPolicy[SheetName],_xlfn.LAMBDA(_xlpm.pt,COUNTIF(tblSheetMap[[#This Row],[Sheet]],_xlpm.pt))),IFERROR(SUBSTITUTE(INDEX(tblSheetPolicy[VisibleTo],_xlfn.XMATCH(1,_xlpm.m)),"*","Herkes / Everyone"),"(no policy row)"))</f>
        <v>Herkes / Everyone</v>
      </c>
      <c r="E61" s="199" t="str" cm="1">
        <f t="array" ref="E61">_xlfn.LET(_xlpm.m,_xlfn.MAP(tblSheetPolicy[SheetName],_xlfn.LAMBDA(_xlpm.pt,COUNTIF(tblSheetMap[[#This Row],[Sheet]],_xlpm.pt))),IFERROR(INDEX(tblSheetPolicy[Visibility],_xlfn.XMATCH(1,_xlpm.m)),"-"))</f>
        <v>HIDDEN</v>
      </c>
      <c r="F61" s="209" t="s">
        <v>22036</v>
      </c>
      <c r="G61" s="209" t="s">
        <v>22049</v>
      </c>
      <c r="H61" s="211" t="str">
        <f>IF(ISNUMBER(FIND("*",tblSheetMap[[#This Row],[Sheet]])),"",HYPERLINK("#'"&amp;tblSheetMap[[#This Row],[Sheet]]&amp;"'!A1","→"))</f>
        <v>→</v>
      </c>
    </row>
    <row r="62" spans="1:8">
      <c r="A62" s="209" t="s">
        <v>3130</v>
      </c>
      <c r="B62" s="209" t="s">
        <v>22120</v>
      </c>
      <c r="C62" s="209" t="s">
        <v>22140</v>
      </c>
      <c r="D62" s="199" t="str" cm="1">
        <f t="array" ref="D62">_xlfn.LET(_xlpm.m,_xlfn.MAP(tblSheetPolicy[SheetName],_xlfn.LAMBDA(_xlpm.pt,COUNTIF(tblSheetMap[[#This Row],[Sheet]],_xlpm.pt))),IFERROR(SUBSTITUTE(INDEX(tblSheetPolicy[VisibleTo],_xlfn.XMATCH(1,_xlpm.m)),"*","Herkes / Everyone"),"(no policy row)"))</f>
        <v>Herkes / Everyone</v>
      </c>
      <c r="E62" s="199" t="str" cm="1">
        <f t="array" ref="E62">_xlfn.LET(_xlpm.m,_xlfn.MAP(tblSheetPolicy[SheetName],_xlfn.LAMBDA(_xlpm.pt,COUNTIF(tblSheetMap[[#This Row],[Sheet]],_xlpm.pt))),IFERROR(INDEX(tblSheetPolicy[Visibility],_xlfn.XMATCH(1,_xlpm.m)),"-"))</f>
        <v>VERYHIDDEN</v>
      </c>
      <c r="F62" s="209" t="s">
        <v>22141</v>
      </c>
      <c r="G62" s="209" t="s">
        <v>22106</v>
      </c>
      <c r="H62" s="211" t="str">
        <f>IF(ISNUMBER(FIND("*",tblSheetMap[[#This Row],[Sheet]])),"",HYPERLINK("#'"&amp;tblSheetMap[[#This Row],[Sheet]]&amp;"'!A1","→"))</f>
        <v>→</v>
      </c>
    </row>
    <row r="63" spans="1:8">
      <c r="A63" s="209" t="s">
        <v>3485</v>
      </c>
      <c r="B63" s="209" t="s">
        <v>22120</v>
      </c>
      <c r="C63" s="209" t="s">
        <v>22142</v>
      </c>
      <c r="D63" s="199" t="str" cm="1">
        <f t="array" ref="D63">_xlfn.LET(_xlpm.m,_xlfn.MAP(tblSheetPolicy[SheetName],_xlfn.LAMBDA(_xlpm.pt,COUNTIF(tblSheetMap[[#This Row],[Sheet]],_xlpm.pt))),IFERROR(SUBSTITUTE(INDEX(tblSheetPolicy[VisibleTo],_xlfn.XMATCH(1,_xlpm.m)),"*","Herkes / Everyone"),"(no policy row)"))</f>
        <v>Herkes / Everyone</v>
      </c>
      <c r="E63" s="199" t="str" cm="1">
        <f t="array" ref="E63">_xlfn.LET(_xlpm.m,_xlfn.MAP(tblSheetPolicy[SheetName],_xlfn.LAMBDA(_xlpm.pt,COUNTIF(tblSheetMap[[#This Row],[Sheet]],_xlpm.pt))),IFERROR(INDEX(tblSheetPolicy[Visibility],_xlfn.XMATCH(1,_xlpm.m)),"-"))</f>
        <v>VERYHIDDEN</v>
      </c>
      <c r="F63" s="209" t="s">
        <v>22143</v>
      </c>
      <c r="G63" s="209" t="s">
        <v>22106</v>
      </c>
      <c r="H63" s="211" t="str">
        <f>IF(ISNUMBER(FIND("*",tblSheetMap[[#This Row],[Sheet]])),"",HYPERLINK("#'"&amp;tblSheetMap[[#This Row],[Sheet]]&amp;"'!A1","→"))</f>
        <v>→</v>
      </c>
    </row>
    <row r="64" spans="1:8">
      <c r="A64" s="209" t="s">
        <v>19073</v>
      </c>
      <c r="B64" s="209" t="s">
        <v>16894</v>
      </c>
      <c r="C64" s="209" t="s">
        <v>22144</v>
      </c>
      <c r="D64" s="199" t="str" cm="1">
        <f t="array" ref="D64">_xlfn.LET(_xlpm.m,_xlfn.MAP(tblSheetPolicy[SheetName],_xlfn.LAMBDA(_xlpm.pt,COUNTIF(tblSheetMap[[#This Row],[Sheet]],_xlpm.pt))),IFERROR(SUBSTITUTE(INDEX(tblSheetPolicy[VisibleTo],_xlfn.XMATCH(1,_xlpm.m)),"*","Herkes / Everyone"),"(no policy row)"))</f>
        <v>Herkes / Everyone</v>
      </c>
      <c r="E64" s="199" t="str" cm="1">
        <f t="array" ref="E64">_xlfn.LET(_xlpm.m,_xlfn.MAP(tblSheetPolicy[SheetName],_xlfn.LAMBDA(_xlpm.pt,COUNTIF(tblSheetMap[[#This Row],[Sheet]],_xlpm.pt))),IFERROR(INDEX(tblSheetPolicy[Visibility],_xlfn.XMATCH(1,_xlpm.m)),"-"))</f>
        <v>HIDDEN</v>
      </c>
      <c r="F64" s="209" t="s">
        <v>22036</v>
      </c>
      <c r="G64" s="209" t="s">
        <v>22049</v>
      </c>
      <c r="H64" s="211" t="str">
        <f>IF(ISNUMBER(FIND("*",tblSheetMap[[#This Row],[Sheet]])),"",HYPERLINK("#'"&amp;tblSheetMap[[#This Row],[Sheet]]&amp;"'!A1","→"))</f>
        <v>→</v>
      </c>
    </row>
    <row r="65" spans="1:8">
      <c r="A65" s="209" t="s">
        <v>2623</v>
      </c>
      <c r="B65" s="209" t="s">
        <v>22120</v>
      </c>
      <c r="C65" s="209" t="s">
        <v>22145</v>
      </c>
      <c r="D65" s="199" t="str" cm="1">
        <f t="array" ref="D65">_xlfn.LET(_xlpm.m,_xlfn.MAP(tblSheetPolicy[SheetName],_xlfn.LAMBDA(_xlpm.pt,COUNTIF(tblSheetMap[[#This Row],[Sheet]],_xlpm.pt))),IFERROR(SUBSTITUTE(INDEX(tblSheetPolicy[VisibleTo],_xlfn.XMATCH(1,_xlpm.m)),"*","Herkes / Everyone"),"(no policy row)"))</f>
        <v>Herkes / Everyone</v>
      </c>
      <c r="E65" s="199" t="str" cm="1">
        <f t="array" ref="E65">_xlfn.LET(_xlpm.m,_xlfn.MAP(tblSheetPolicy[SheetName],_xlfn.LAMBDA(_xlpm.pt,COUNTIF(tblSheetMap[[#This Row],[Sheet]],_xlpm.pt))),IFERROR(INDEX(tblSheetPolicy[Visibility],_xlfn.XMATCH(1,_xlpm.m)),"-"))</f>
        <v>VERYHIDDEN</v>
      </c>
      <c r="F65" s="209" t="s">
        <v>22105</v>
      </c>
      <c r="G65" s="209" t="s">
        <v>22106</v>
      </c>
      <c r="H65" s="211" t="str">
        <f>IF(ISNUMBER(FIND("*",tblSheetMap[[#This Row],[Sheet]])),"",HYPERLINK("#'"&amp;tblSheetMap[[#This Row],[Sheet]]&amp;"'!A1","→"))</f>
        <v/>
      </c>
    </row>
  </sheetData>
  <sheetProtection algorithmName="SHA-512" hashValue="H7FqD7FFhFJ452RKG+TsTpQwciqHlbBfp7qFRT7gc5k2SZo0ti9snJiF5H+id0M6wixy2u7Djfto4YJ9tJE9JA==" saltValue="2z8tSmJvmhQsxUmTJfS5Ww==" spinCount="100000" sheet="1" scenarios="1" formatColumns="0" sort="0" autoFilter="0"/>
  <mergeCells count="1">
    <mergeCell ref="A2:I2"/>
  </mergeCells>
  <pageMargins left="0.7" right="0.7" top="0.75" bottom="0.75" header="0.3" footer="0.3"/>
  <pageSetup paperSize="9" scale="71" fitToHeight="0" orientation="landscape"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FFC000"/>
  </sheetPr>
  <dimension ref="A1:H6804"/>
  <sheetViews>
    <sheetView showGridLines="0" workbookViewId="0">
      <pane ySplit="4" topLeftCell="A5" activePane="bottomLeft" state="frozen"/>
      <selection pane="bottomLeft"/>
    </sheetView>
  </sheetViews>
  <sheetFormatPr defaultRowHeight="12.75"/>
  <cols>
    <col min="1" max="1" width="22" customWidth="1"/>
    <col min="2" max="2" width="14" customWidth="1"/>
    <col min="3" max="3" width="44" customWidth="1"/>
    <col min="4" max="4" width="3" customWidth="1"/>
    <col min="5" max="7" width="14" customWidth="1"/>
    <col min="8" max="8" width="34" customWidth="1"/>
  </cols>
  <sheetData>
    <row r="1" spans="1:8" ht="20.25">
      <c r="A1" s="9" t="s">
        <v>615</v>
      </c>
      <c r="B1" s="1"/>
      <c r="C1" s="1"/>
      <c r="D1" s="1"/>
      <c r="E1" s="1"/>
      <c r="F1" s="1"/>
      <c r="G1" s="1"/>
      <c r="H1" s="1"/>
    </row>
    <row r="2" spans="1:8">
      <c r="A2" s="10" t="s">
        <v>4293</v>
      </c>
      <c r="B2" s="1"/>
      <c r="C2" s="1"/>
      <c r="D2" s="1"/>
      <c r="E2" s="1"/>
      <c r="F2" s="1"/>
      <c r="G2" s="1"/>
      <c r="H2" s="1"/>
    </row>
    <row r="3" spans="1:8">
      <c r="A3" s="1"/>
      <c r="B3" s="1"/>
      <c r="C3" s="1"/>
      <c r="D3" s="1"/>
      <c r="E3" s="1"/>
      <c r="F3" s="1"/>
      <c r="G3" s="1"/>
      <c r="H3" s="1"/>
    </row>
    <row r="4" spans="1:8">
      <c r="A4" s="5" t="s">
        <v>616</v>
      </c>
      <c r="B4" s="5" t="s">
        <v>127</v>
      </c>
      <c r="C4" s="5" t="s">
        <v>303</v>
      </c>
      <c r="D4" s="1"/>
      <c r="E4" s="5" t="s">
        <v>617</v>
      </c>
      <c r="F4" s="5" t="s">
        <v>127</v>
      </c>
      <c r="G4" s="5" t="s">
        <v>618</v>
      </c>
      <c r="H4" s="5" t="s">
        <v>619</v>
      </c>
    </row>
    <row r="5" spans="1:8">
      <c r="A5" s="344" t="s">
        <v>269</v>
      </c>
      <c r="B5" s="344" t="s">
        <v>269</v>
      </c>
      <c r="C5" s="344" t="s">
        <v>620</v>
      </c>
      <c r="D5" s="1"/>
      <c r="E5" s="357">
        <v>43801</v>
      </c>
      <c r="F5" s="344" t="s">
        <v>621</v>
      </c>
      <c r="G5" s="358">
        <v>5.7320000000000002</v>
      </c>
      <c r="H5" s="344" t="s">
        <v>622</v>
      </c>
    </row>
    <row r="6" spans="1:8">
      <c r="A6" s="344" t="s">
        <v>623</v>
      </c>
      <c r="B6" s="344" t="s">
        <v>269</v>
      </c>
      <c r="C6" s="344" t="s">
        <v>624</v>
      </c>
      <c r="D6" s="1"/>
      <c r="E6" s="357">
        <v>43801</v>
      </c>
      <c r="F6" s="344" t="s">
        <v>625</v>
      </c>
      <c r="G6" s="358">
        <v>6.3246000000000002</v>
      </c>
      <c r="H6" s="344" t="s">
        <v>622</v>
      </c>
    </row>
    <row r="7" spans="1:8">
      <c r="A7" s="344" t="s">
        <v>626</v>
      </c>
      <c r="B7" s="344" t="s">
        <v>269</v>
      </c>
      <c r="C7" s="344" t="s">
        <v>627</v>
      </c>
      <c r="D7" s="1"/>
      <c r="E7" s="357">
        <v>43801</v>
      </c>
      <c r="F7" s="344" t="s">
        <v>628</v>
      </c>
      <c r="G7" s="358">
        <v>7.4027000000000003</v>
      </c>
      <c r="H7" s="344" t="s">
        <v>622</v>
      </c>
    </row>
    <row r="8" spans="1:8">
      <c r="A8" s="344" t="s">
        <v>629</v>
      </c>
      <c r="B8" s="344" t="s">
        <v>269</v>
      </c>
      <c r="C8" s="344" t="s">
        <v>630</v>
      </c>
      <c r="D8" s="1"/>
      <c r="E8" s="357">
        <v>43801</v>
      </c>
      <c r="F8" s="344" t="s">
        <v>631</v>
      </c>
      <c r="G8" s="358">
        <v>5.7426000000000004</v>
      </c>
      <c r="H8" s="344" t="s">
        <v>622</v>
      </c>
    </row>
    <row r="9" spans="1:8">
      <c r="A9" s="344" t="s">
        <v>632</v>
      </c>
      <c r="B9" s="344" t="s">
        <v>269</v>
      </c>
      <c r="C9" s="344"/>
      <c r="D9" s="1"/>
      <c r="E9" s="357">
        <v>43802</v>
      </c>
      <c r="F9" s="344" t="s">
        <v>621</v>
      </c>
      <c r="G9" s="358">
        <v>5.7797999999999998</v>
      </c>
      <c r="H9" s="344" t="s">
        <v>633</v>
      </c>
    </row>
    <row r="10" spans="1:8">
      <c r="A10" s="344" t="s">
        <v>631</v>
      </c>
      <c r="B10" s="344" t="s">
        <v>631</v>
      </c>
      <c r="C10" s="344" t="s">
        <v>620</v>
      </c>
      <c r="D10" s="1"/>
      <c r="E10" s="357">
        <v>43802</v>
      </c>
      <c r="F10" s="344" t="s">
        <v>625</v>
      </c>
      <c r="G10" s="358">
        <v>6.3552</v>
      </c>
      <c r="H10" s="344" t="s">
        <v>633</v>
      </c>
    </row>
    <row r="11" spans="1:8">
      <c r="A11" s="344" t="s">
        <v>634</v>
      </c>
      <c r="B11" s="344" t="s">
        <v>631</v>
      </c>
      <c r="C11" s="344"/>
      <c r="D11" s="1"/>
      <c r="E11" s="357">
        <v>43802</v>
      </c>
      <c r="F11" s="344" t="s">
        <v>628</v>
      </c>
      <c r="G11" s="358">
        <v>7.4320000000000004</v>
      </c>
      <c r="H11" s="344" t="s">
        <v>633</v>
      </c>
    </row>
    <row r="12" spans="1:8">
      <c r="A12" s="344" t="s">
        <v>625</v>
      </c>
      <c r="B12" s="344" t="s">
        <v>625</v>
      </c>
      <c r="C12" s="344" t="s">
        <v>620</v>
      </c>
      <c r="D12" s="1"/>
      <c r="E12" s="357">
        <v>43802</v>
      </c>
      <c r="F12" s="344" t="s">
        <v>631</v>
      </c>
      <c r="G12" s="358">
        <v>5.7365000000000004</v>
      </c>
      <c r="H12" s="344" t="s">
        <v>633</v>
      </c>
    </row>
    <row r="13" spans="1:8">
      <c r="A13" s="344" t="s">
        <v>635</v>
      </c>
      <c r="B13" s="344" t="s">
        <v>625</v>
      </c>
      <c r="C13" s="344"/>
      <c r="D13" s="1"/>
      <c r="E13" s="357">
        <v>43803</v>
      </c>
      <c r="F13" s="344" t="s">
        <v>621</v>
      </c>
      <c r="G13" s="358">
        <v>5.7942999999999998</v>
      </c>
      <c r="H13" s="344" t="s">
        <v>636</v>
      </c>
    </row>
    <row r="14" spans="1:8">
      <c r="A14" s="344" t="s">
        <v>637</v>
      </c>
      <c r="B14" s="344" t="s">
        <v>625</v>
      </c>
      <c r="C14" s="344"/>
      <c r="D14" s="1"/>
      <c r="E14" s="357">
        <v>43803</v>
      </c>
      <c r="F14" s="344" t="s">
        <v>625</v>
      </c>
      <c r="G14" s="358">
        <v>6.3529</v>
      </c>
      <c r="H14" s="344" t="s">
        <v>636</v>
      </c>
    </row>
    <row r="15" spans="1:8">
      <c r="A15" s="344" t="s">
        <v>628</v>
      </c>
      <c r="B15" s="344" t="s">
        <v>628</v>
      </c>
      <c r="C15" s="344" t="s">
        <v>620</v>
      </c>
      <c r="D15" s="1"/>
      <c r="E15" s="357">
        <v>43803</v>
      </c>
      <c r="F15" s="344" t="s">
        <v>628</v>
      </c>
      <c r="G15" s="358">
        <v>7.4631999999999996</v>
      </c>
      <c r="H15" s="344" t="s">
        <v>636</v>
      </c>
    </row>
    <row r="16" spans="1:8">
      <c r="A16" s="344" t="s">
        <v>638</v>
      </c>
      <c r="B16" s="344" t="s">
        <v>628</v>
      </c>
      <c r="C16" s="344"/>
      <c r="D16" s="1"/>
      <c r="E16" s="357">
        <v>43803</v>
      </c>
      <c r="F16" s="344" t="s">
        <v>631</v>
      </c>
      <c r="G16" s="358">
        <v>5.7359999999999998</v>
      </c>
      <c r="H16" s="344" t="s">
        <v>636</v>
      </c>
    </row>
    <row r="17" spans="1:8">
      <c r="A17" s="344" t="s">
        <v>621</v>
      </c>
      <c r="B17" s="344" t="s">
        <v>621</v>
      </c>
      <c r="C17" s="344" t="s">
        <v>620</v>
      </c>
      <c r="D17" s="1"/>
      <c r="E17" s="357">
        <v>43804</v>
      </c>
      <c r="F17" s="344" t="s">
        <v>621</v>
      </c>
      <c r="G17" s="358">
        <v>5.8018999999999998</v>
      </c>
      <c r="H17" s="344" t="s">
        <v>639</v>
      </c>
    </row>
    <row r="18" spans="1:8">
      <c r="A18" s="1"/>
      <c r="B18" s="1"/>
      <c r="C18" s="1"/>
      <c r="D18" s="1"/>
      <c r="E18" s="357">
        <v>43804</v>
      </c>
      <c r="F18" s="344" t="s">
        <v>625</v>
      </c>
      <c r="G18" s="358">
        <v>6.3738000000000001</v>
      </c>
      <c r="H18" s="344" t="s">
        <v>639</v>
      </c>
    </row>
    <row r="19" spans="1:8">
      <c r="A19" s="1"/>
      <c r="B19" s="1"/>
      <c r="C19" s="1"/>
      <c r="D19" s="1"/>
      <c r="E19" s="357">
        <v>43804</v>
      </c>
      <c r="F19" s="344" t="s">
        <v>628</v>
      </c>
      <c r="G19" s="358">
        <v>7.5361000000000002</v>
      </c>
      <c r="H19" s="344" t="s">
        <v>639</v>
      </c>
    </row>
    <row r="20" spans="1:8">
      <c r="A20" s="1"/>
      <c r="B20" s="1"/>
      <c r="C20" s="1"/>
      <c r="D20" s="1"/>
      <c r="E20" s="357">
        <v>43804</v>
      </c>
      <c r="F20" s="344" t="s">
        <v>631</v>
      </c>
      <c r="G20" s="358">
        <v>5.7488000000000001</v>
      </c>
      <c r="H20" s="344" t="s">
        <v>639</v>
      </c>
    </row>
    <row r="21" spans="1:8">
      <c r="A21" s="1"/>
      <c r="B21" s="1"/>
      <c r="C21" s="1"/>
      <c r="D21" s="1"/>
      <c r="E21" s="357">
        <v>43805</v>
      </c>
      <c r="F21" s="344" t="s">
        <v>621</v>
      </c>
      <c r="G21" s="358">
        <v>5.8048999999999999</v>
      </c>
      <c r="H21" s="344" t="s">
        <v>640</v>
      </c>
    </row>
    <row r="22" spans="1:8">
      <c r="A22" s="1"/>
      <c r="B22" s="1"/>
      <c r="C22" s="1"/>
      <c r="D22" s="1"/>
      <c r="E22" s="357">
        <v>43805</v>
      </c>
      <c r="F22" s="344" t="s">
        <v>625</v>
      </c>
      <c r="G22" s="358">
        <v>6.3804999999999996</v>
      </c>
      <c r="H22" s="344" t="s">
        <v>640</v>
      </c>
    </row>
    <row r="23" spans="1:8">
      <c r="A23" s="1"/>
      <c r="B23" s="1"/>
      <c r="C23" s="1"/>
      <c r="D23" s="1"/>
      <c r="E23" s="357">
        <v>43805</v>
      </c>
      <c r="F23" s="344" t="s">
        <v>628</v>
      </c>
      <c r="G23" s="358">
        <v>7.5396999999999998</v>
      </c>
      <c r="H23" s="344" t="s">
        <v>640</v>
      </c>
    </row>
    <row r="24" spans="1:8">
      <c r="A24" s="1"/>
      <c r="B24" s="1"/>
      <c r="C24" s="1"/>
      <c r="D24" s="1"/>
      <c r="E24" s="357">
        <v>43805</v>
      </c>
      <c r="F24" s="344" t="s">
        <v>631</v>
      </c>
      <c r="G24" s="358">
        <v>5.7478999999999996</v>
      </c>
      <c r="H24" s="344" t="s">
        <v>640</v>
      </c>
    </row>
    <row r="25" spans="1:8">
      <c r="A25" s="1"/>
      <c r="B25" s="1"/>
      <c r="C25" s="1"/>
      <c r="D25" s="1"/>
      <c r="E25" s="357">
        <v>43808</v>
      </c>
      <c r="F25" s="344" t="s">
        <v>621</v>
      </c>
      <c r="G25" s="358">
        <v>5.8343999999999996</v>
      </c>
      <c r="H25" s="344" t="s">
        <v>641</v>
      </c>
    </row>
    <row r="26" spans="1:8">
      <c r="A26" s="1"/>
      <c r="B26" s="1"/>
      <c r="C26" s="1"/>
      <c r="D26" s="1"/>
      <c r="E26" s="357">
        <v>43808</v>
      </c>
      <c r="F26" s="344" t="s">
        <v>625</v>
      </c>
      <c r="G26" s="358">
        <v>6.4082999999999997</v>
      </c>
      <c r="H26" s="344" t="s">
        <v>641</v>
      </c>
    </row>
    <row r="27" spans="1:8">
      <c r="A27" s="1"/>
      <c r="B27" s="1"/>
      <c r="C27" s="1"/>
      <c r="D27" s="1"/>
      <c r="E27" s="357">
        <v>43808</v>
      </c>
      <c r="F27" s="344" t="s">
        <v>628</v>
      </c>
      <c r="G27" s="358">
        <v>7.6108000000000002</v>
      </c>
      <c r="H27" s="344" t="s">
        <v>641</v>
      </c>
    </row>
    <row r="28" spans="1:8">
      <c r="A28" s="1"/>
      <c r="B28" s="1"/>
      <c r="C28" s="1"/>
      <c r="D28" s="1"/>
      <c r="E28" s="357">
        <v>43808</v>
      </c>
      <c r="F28" s="344" t="s">
        <v>631</v>
      </c>
      <c r="G28" s="358">
        <v>5.7904999999999998</v>
      </c>
      <c r="H28" s="344" t="s">
        <v>641</v>
      </c>
    </row>
    <row r="29" spans="1:8">
      <c r="A29" s="1"/>
      <c r="B29" s="1"/>
      <c r="C29" s="1"/>
      <c r="D29" s="1"/>
      <c r="E29" s="357">
        <v>43809</v>
      </c>
      <c r="F29" s="344" t="s">
        <v>621</v>
      </c>
      <c r="G29" s="358">
        <v>5.8639000000000001</v>
      </c>
      <c r="H29" s="344" t="s">
        <v>642</v>
      </c>
    </row>
    <row r="30" spans="1:8">
      <c r="A30" s="1"/>
      <c r="B30" s="1"/>
      <c r="C30" s="1"/>
      <c r="D30" s="1"/>
      <c r="E30" s="357">
        <v>43809</v>
      </c>
      <c r="F30" s="344" t="s">
        <v>625</v>
      </c>
      <c r="G30" s="358">
        <v>6.4218000000000002</v>
      </c>
      <c r="H30" s="344" t="s">
        <v>642</v>
      </c>
    </row>
    <row r="31" spans="1:8">
      <c r="A31" s="1"/>
      <c r="B31" s="1"/>
      <c r="C31" s="1"/>
      <c r="D31" s="1"/>
      <c r="E31" s="357">
        <v>43809</v>
      </c>
      <c r="F31" s="344" t="s">
        <v>628</v>
      </c>
      <c r="G31" s="358">
        <v>7.6191000000000004</v>
      </c>
      <c r="H31" s="344" t="s">
        <v>642</v>
      </c>
    </row>
    <row r="32" spans="1:8">
      <c r="A32" s="1"/>
      <c r="B32" s="1"/>
      <c r="C32" s="1"/>
      <c r="D32" s="1"/>
      <c r="E32" s="357">
        <v>43809</v>
      </c>
      <c r="F32" s="344" t="s">
        <v>631</v>
      </c>
      <c r="G32" s="358">
        <v>5.7987000000000002</v>
      </c>
      <c r="H32" s="344" t="s">
        <v>642</v>
      </c>
    </row>
    <row r="33" spans="1:8">
      <c r="A33" s="1"/>
      <c r="B33" s="1"/>
      <c r="C33" s="1"/>
      <c r="D33" s="1"/>
      <c r="E33" s="357">
        <v>43810</v>
      </c>
      <c r="F33" s="344" t="s">
        <v>621</v>
      </c>
      <c r="G33" s="358">
        <v>5.8735999999999997</v>
      </c>
      <c r="H33" s="344" t="s">
        <v>643</v>
      </c>
    </row>
    <row r="34" spans="1:8">
      <c r="A34" s="1"/>
      <c r="B34" s="1"/>
      <c r="C34" s="1"/>
      <c r="D34" s="1"/>
      <c r="E34" s="357">
        <v>43810</v>
      </c>
      <c r="F34" s="344" t="s">
        <v>625</v>
      </c>
      <c r="G34" s="358">
        <v>6.4267000000000003</v>
      </c>
      <c r="H34" s="344" t="s">
        <v>643</v>
      </c>
    </row>
    <row r="35" spans="1:8">
      <c r="A35" s="1"/>
      <c r="B35" s="1"/>
      <c r="C35" s="1"/>
      <c r="D35" s="1"/>
      <c r="E35" s="357">
        <v>43810</v>
      </c>
      <c r="F35" s="344" t="s">
        <v>628</v>
      </c>
      <c r="G35" s="358">
        <v>7.6047000000000002</v>
      </c>
      <c r="H35" s="344" t="s">
        <v>643</v>
      </c>
    </row>
    <row r="36" spans="1:8">
      <c r="A36" s="1"/>
      <c r="B36" s="1"/>
      <c r="C36" s="1"/>
      <c r="D36" s="1"/>
      <c r="E36" s="357">
        <v>43810</v>
      </c>
      <c r="F36" s="344" t="s">
        <v>631</v>
      </c>
      <c r="G36" s="358">
        <v>5.7981999999999996</v>
      </c>
      <c r="H36" s="344" t="s">
        <v>643</v>
      </c>
    </row>
    <row r="37" spans="1:8">
      <c r="A37" s="1"/>
      <c r="B37" s="1"/>
      <c r="C37" s="1"/>
      <c r="D37" s="1"/>
      <c r="E37" s="357">
        <v>43811</v>
      </c>
      <c r="F37" s="344" t="s">
        <v>621</v>
      </c>
      <c r="G37" s="358">
        <v>5.8776000000000002</v>
      </c>
      <c r="H37" s="344" t="s">
        <v>644</v>
      </c>
    </row>
    <row r="38" spans="1:8">
      <c r="A38" s="1"/>
      <c r="B38" s="1"/>
      <c r="C38" s="1"/>
      <c r="D38" s="1"/>
      <c r="E38" s="357">
        <v>43811</v>
      </c>
      <c r="F38" s="344" t="s">
        <v>625</v>
      </c>
      <c r="G38" s="358">
        <v>6.4433999999999996</v>
      </c>
      <c r="H38" s="344" t="s">
        <v>644</v>
      </c>
    </row>
    <row r="39" spans="1:8">
      <c r="A39" s="1"/>
      <c r="B39" s="1"/>
      <c r="C39" s="1"/>
      <c r="D39" s="1"/>
      <c r="E39" s="357">
        <v>43811</v>
      </c>
      <c r="F39" s="344" t="s">
        <v>628</v>
      </c>
      <c r="G39" s="358">
        <v>7.6268000000000002</v>
      </c>
      <c r="H39" s="344" t="s">
        <v>644</v>
      </c>
    </row>
    <row r="40" spans="1:8">
      <c r="A40" s="1"/>
      <c r="B40" s="1"/>
      <c r="C40" s="1"/>
      <c r="D40" s="1"/>
      <c r="E40" s="357">
        <v>43811</v>
      </c>
      <c r="F40" s="344" t="s">
        <v>631</v>
      </c>
      <c r="G40" s="358">
        <v>5.7874999999999996</v>
      </c>
      <c r="H40" s="344" t="s">
        <v>644</v>
      </c>
    </row>
    <row r="41" spans="1:8">
      <c r="A41" s="1"/>
      <c r="B41" s="1"/>
      <c r="C41" s="1"/>
      <c r="D41" s="1"/>
      <c r="E41" s="357">
        <v>43812</v>
      </c>
      <c r="F41" s="344" t="s">
        <v>621</v>
      </c>
      <c r="G41" s="358">
        <v>5.8577000000000004</v>
      </c>
      <c r="H41" s="344" t="s">
        <v>645</v>
      </c>
    </row>
    <row r="42" spans="1:8">
      <c r="A42" s="1"/>
      <c r="B42" s="1"/>
      <c r="C42" s="1"/>
      <c r="D42" s="1"/>
      <c r="E42" s="357">
        <v>43812</v>
      </c>
      <c r="F42" s="344" t="s">
        <v>625</v>
      </c>
      <c r="G42" s="358">
        <v>6.4503000000000004</v>
      </c>
      <c r="H42" s="344" t="s">
        <v>645</v>
      </c>
    </row>
    <row r="43" spans="1:8">
      <c r="A43" s="1"/>
      <c r="B43" s="1"/>
      <c r="C43" s="1"/>
      <c r="D43" s="1"/>
      <c r="E43" s="357">
        <v>43812</v>
      </c>
      <c r="F43" s="344" t="s">
        <v>628</v>
      </c>
      <c r="G43" s="358">
        <v>7.7283999999999997</v>
      </c>
      <c r="H43" s="344" t="s">
        <v>645</v>
      </c>
    </row>
    <row r="44" spans="1:8">
      <c r="A44" s="1"/>
      <c r="B44" s="1"/>
      <c r="C44" s="1"/>
      <c r="D44" s="1"/>
      <c r="E44" s="357">
        <v>43812</v>
      </c>
      <c r="F44" s="344" t="s">
        <v>631</v>
      </c>
      <c r="G44" s="358">
        <v>5.7725999999999997</v>
      </c>
      <c r="H44" s="344" t="s">
        <v>645</v>
      </c>
    </row>
    <row r="45" spans="1:8">
      <c r="A45" s="1"/>
      <c r="B45" s="1"/>
      <c r="C45" s="1"/>
      <c r="D45" s="1"/>
      <c r="E45" s="357">
        <v>43815</v>
      </c>
      <c r="F45" s="344" t="s">
        <v>621</v>
      </c>
      <c r="G45" s="358">
        <v>5.9188999999999998</v>
      </c>
      <c r="H45" s="344" t="s">
        <v>646</v>
      </c>
    </row>
    <row r="46" spans="1:8">
      <c r="A46" s="1"/>
      <c r="B46" s="1"/>
      <c r="C46" s="1"/>
      <c r="D46" s="1"/>
      <c r="E46" s="357">
        <v>43815</v>
      </c>
      <c r="F46" s="344" t="s">
        <v>625</v>
      </c>
      <c r="G46" s="358">
        <v>6.4992999999999999</v>
      </c>
      <c r="H46" s="344" t="s">
        <v>646</v>
      </c>
    </row>
    <row r="47" spans="1:8">
      <c r="A47" s="1"/>
      <c r="B47" s="1"/>
      <c r="C47" s="1"/>
      <c r="D47" s="1"/>
      <c r="E47" s="357">
        <v>43815</v>
      </c>
      <c r="F47" s="344" t="s">
        <v>628</v>
      </c>
      <c r="G47" s="358">
        <v>7.7897999999999996</v>
      </c>
      <c r="H47" s="344" t="s">
        <v>646</v>
      </c>
    </row>
    <row r="48" spans="1:8">
      <c r="A48" s="1"/>
      <c r="B48" s="1"/>
      <c r="C48" s="1"/>
      <c r="D48" s="1"/>
      <c r="E48" s="357">
        <v>43815</v>
      </c>
      <c r="F48" s="344" t="s">
        <v>631</v>
      </c>
      <c r="G48" s="358">
        <v>5.8343999999999996</v>
      </c>
      <c r="H48" s="344" t="s">
        <v>646</v>
      </c>
    </row>
    <row r="49" spans="1:8">
      <c r="A49" s="1"/>
      <c r="B49" s="1"/>
      <c r="C49" s="1"/>
      <c r="D49" s="1"/>
      <c r="E49" s="357">
        <v>43816</v>
      </c>
      <c r="F49" s="344" t="s">
        <v>621</v>
      </c>
      <c r="G49" s="358">
        <v>5.9440999999999997</v>
      </c>
      <c r="H49" s="344" t="s">
        <v>647</v>
      </c>
    </row>
    <row r="50" spans="1:8">
      <c r="A50" s="1"/>
      <c r="B50" s="1"/>
      <c r="C50" s="1"/>
      <c r="D50" s="1"/>
      <c r="E50" s="357">
        <v>43816</v>
      </c>
      <c r="F50" s="344" t="s">
        <v>625</v>
      </c>
      <c r="G50" s="358">
        <v>6.5289999999999999</v>
      </c>
      <c r="H50" s="344" t="s">
        <v>647</v>
      </c>
    </row>
    <row r="51" spans="1:8">
      <c r="A51" s="1"/>
      <c r="B51" s="1"/>
      <c r="C51" s="1"/>
      <c r="D51" s="1"/>
      <c r="E51" s="357">
        <v>43816</v>
      </c>
      <c r="F51" s="344" t="s">
        <v>628</v>
      </c>
      <c r="G51" s="358">
        <v>7.7291999999999996</v>
      </c>
      <c r="H51" s="344" t="s">
        <v>647</v>
      </c>
    </row>
    <row r="52" spans="1:8">
      <c r="A52" s="1"/>
      <c r="B52" s="1"/>
      <c r="C52" s="1"/>
      <c r="D52" s="1"/>
      <c r="E52" s="357">
        <v>43816</v>
      </c>
      <c r="F52" s="344" t="s">
        <v>631</v>
      </c>
      <c r="G52" s="358">
        <v>5.8558000000000003</v>
      </c>
      <c r="H52" s="344" t="s">
        <v>647</v>
      </c>
    </row>
    <row r="53" spans="1:8">
      <c r="A53" s="1"/>
      <c r="B53" s="1"/>
      <c r="C53" s="1"/>
      <c r="D53" s="1"/>
      <c r="E53" s="357">
        <v>43817</v>
      </c>
      <c r="F53" s="344" t="s">
        <v>621</v>
      </c>
      <c r="G53" s="358">
        <v>6.0007999999999999</v>
      </c>
      <c r="H53" s="344" t="s">
        <v>648</v>
      </c>
    </row>
    <row r="54" spans="1:8">
      <c r="A54" s="1"/>
      <c r="B54" s="1"/>
      <c r="C54" s="1"/>
      <c r="D54" s="1"/>
      <c r="E54" s="357">
        <v>43817</v>
      </c>
      <c r="F54" s="344" t="s">
        <v>625</v>
      </c>
      <c r="G54" s="358">
        <v>6.5670999999999999</v>
      </c>
      <c r="H54" s="344" t="s">
        <v>648</v>
      </c>
    </row>
    <row r="55" spans="1:8">
      <c r="A55" s="1"/>
      <c r="B55" s="1"/>
      <c r="C55" s="1"/>
      <c r="D55" s="1"/>
      <c r="E55" s="357">
        <v>43817</v>
      </c>
      <c r="F55" s="344" t="s">
        <v>628</v>
      </c>
      <c r="G55" s="358">
        <v>7.7169999999999996</v>
      </c>
      <c r="H55" s="344" t="s">
        <v>648</v>
      </c>
    </row>
    <row r="56" spans="1:8">
      <c r="A56" s="1"/>
      <c r="B56" s="1"/>
      <c r="C56" s="1"/>
      <c r="D56" s="1"/>
      <c r="E56" s="357">
        <v>43817</v>
      </c>
      <c r="F56" s="344" t="s">
        <v>631</v>
      </c>
      <c r="G56" s="358">
        <v>5.8990999999999998</v>
      </c>
      <c r="H56" s="344" t="s">
        <v>648</v>
      </c>
    </row>
    <row r="57" spans="1:8">
      <c r="A57" s="1"/>
      <c r="B57" s="1"/>
      <c r="C57" s="1"/>
      <c r="D57" s="1"/>
      <c r="E57" s="357">
        <v>43818</v>
      </c>
      <c r="F57" s="344" t="s">
        <v>621</v>
      </c>
      <c r="G57" s="358">
        <v>6.0294999999999996</v>
      </c>
      <c r="H57" s="344" t="s">
        <v>649</v>
      </c>
    </row>
    <row r="58" spans="1:8">
      <c r="A58" s="1"/>
      <c r="B58" s="1"/>
      <c r="C58" s="1"/>
      <c r="D58" s="1"/>
      <c r="E58" s="357">
        <v>43818</v>
      </c>
      <c r="F58" s="344" t="s">
        <v>625</v>
      </c>
      <c r="G58" s="358">
        <v>6.5963000000000003</v>
      </c>
      <c r="H58" s="344" t="s">
        <v>649</v>
      </c>
    </row>
    <row r="59" spans="1:8">
      <c r="A59" s="1"/>
      <c r="B59" s="1"/>
      <c r="C59" s="1"/>
      <c r="D59" s="1"/>
      <c r="E59" s="357">
        <v>43818</v>
      </c>
      <c r="F59" s="344" t="s">
        <v>628</v>
      </c>
      <c r="G59" s="358">
        <v>7.7465000000000002</v>
      </c>
      <c r="H59" s="344" t="s">
        <v>649</v>
      </c>
    </row>
    <row r="60" spans="1:8">
      <c r="A60" s="1"/>
      <c r="B60" s="1"/>
      <c r="C60" s="1"/>
      <c r="D60" s="1"/>
      <c r="E60" s="357">
        <v>43818</v>
      </c>
      <c r="F60" s="344" t="s">
        <v>631</v>
      </c>
      <c r="G60" s="358">
        <v>5.9252000000000002</v>
      </c>
      <c r="H60" s="344" t="s">
        <v>649</v>
      </c>
    </row>
    <row r="61" spans="1:8">
      <c r="A61" s="1"/>
      <c r="B61" s="1"/>
      <c r="C61" s="1"/>
      <c r="D61" s="1"/>
      <c r="E61" s="357">
        <v>43819</v>
      </c>
      <c r="F61" s="344" t="s">
        <v>621</v>
      </c>
      <c r="G61" s="358">
        <v>6.0186999999999999</v>
      </c>
      <c r="H61" s="344" t="s">
        <v>650</v>
      </c>
    </row>
    <row r="62" spans="1:8">
      <c r="A62" s="1"/>
      <c r="B62" s="1"/>
      <c r="C62" s="1"/>
      <c r="D62" s="1"/>
      <c r="E62" s="357">
        <v>43819</v>
      </c>
      <c r="F62" s="344" t="s">
        <v>625</v>
      </c>
      <c r="G62" s="358">
        <v>6.5704000000000002</v>
      </c>
      <c r="H62" s="344" t="s">
        <v>650</v>
      </c>
    </row>
    <row r="63" spans="1:8">
      <c r="A63" s="1"/>
      <c r="B63" s="1"/>
      <c r="C63" s="1"/>
      <c r="D63" s="1"/>
      <c r="E63" s="357">
        <v>43819</v>
      </c>
      <c r="F63" s="344" t="s">
        <v>628</v>
      </c>
      <c r="G63" s="358">
        <v>7.6901999999999999</v>
      </c>
      <c r="H63" s="344" t="s">
        <v>650</v>
      </c>
    </row>
    <row r="64" spans="1:8">
      <c r="A64" s="1"/>
      <c r="B64" s="1"/>
      <c r="C64" s="1"/>
      <c r="D64" s="1"/>
      <c r="E64" s="357">
        <v>43819</v>
      </c>
      <c r="F64" s="344" t="s">
        <v>631</v>
      </c>
      <c r="G64" s="358">
        <v>5.9115000000000002</v>
      </c>
      <c r="H64" s="344" t="s">
        <v>650</v>
      </c>
    </row>
    <row r="65" spans="1:8">
      <c r="A65" s="1"/>
      <c r="B65" s="1"/>
      <c r="C65" s="1"/>
      <c r="D65" s="1"/>
      <c r="E65" s="357">
        <v>43822</v>
      </c>
      <c r="F65" s="344" t="s">
        <v>621</v>
      </c>
      <c r="G65" s="358">
        <v>6.0305</v>
      </c>
      <c r="H65" s="344" t="s">
        <v>651</v>
      </c>
    </row>
    <row r="66" spans="1:8">
      <c r="A66" s="1"/>
      <c r="B66" s="1"/>
      <c r="C66" s="1"/>
      <c r="D66" s="1"/>
      <c r="E66" s="357">
        <v>43822</v>
      </c>
      <c r="F66" s="344" t="s">
        <v>625</v>
      </c>
      <c r="G66" s="358">
        <v>6.5713999999999997</v>
      </c>
      <c r="H66" s="344" t="s">
        <v>651</v>
      </c>
    </row>
    <row r="67" spans="1:8">
      <c r="A67" s="1"/>
      <c r="B67" s="1"/>
      <c r="C67" s="1"/>
      <c r="D67" s="1"/>
      <c r="E67" s="357">
        <v>43822</v>
      </c>
      <c r="F67" s="344" t="s">
        <v>628</v>
      </c>
      <c r="G67" s="358">
        <v>7.6978999999999997</v>
      </c>
      <c r="H67" s="344" t="s">
        <v>651</v>
      </c>
    </row>
    <row r="68" spans="1:8">
      <c r="A68" s="1"/>
      <c r="B68" s="1"/>
      <c r="C68" s="1"/>
      <c r="D68" s="1"/>
      <c r="E68" s="357">
        <v>43822</v>
      </c>
      <c r="F68" s="344" t="s">
        <v>631</v>
      </c>
      <c r="G68" s="358">
        <v>5.9291</v>
      </c>
      <c r="H68" s="344" t="s">
        <v>651</v>
      </c>
    </row>
    <row r="69" spans="1:8">
      <c r="A69" s="1"/>
      <c r="B69" s="1"/>
      <c r="C69" s="1"/>
      <c r="D69" s="1"/>
      <c r="E69" s="357">
        <v>43823</v>
      </c>
      <c r="F69" s="344" t="s">
        <v>621</v>
      </c>
      <c r="G69" s="358">
        <v>6.0282999999999998</v>
      </c>
      <c r="H69" s="344" t="s">
        <v>652</v>
      </c>
    </row>
    <row r="70" spans="1:8">
      <c r="A70" s="1"/>
      <c r="B70" s="1"/>
      <c r="C70" s="1"/>
      <c r="D70" s="1"/>
      <c r="E70" s="357">
        <v>43823</v>
      </c>
      <c r="F70" s="344" t="s">
        <v>625</v>
      </c>
      <c r="G70" s="358">
        <v>6.5773000000000001</v>
      </c>
      <c r="H70" s="344" t="s">
        <v>652</v>
      </c>
    </row>
    <row r="71" spans="1:8">
      <c r="A71" s="1"/>
      <c r="B71" s="1"/>
      <c r="C71" s="1"/>
      <c r="D71" s="1"/>
      <c r="E71" s="357">
        <v>43823</v>
      </c>
      <c r="F71" s="344" t="s">
        <v>628</v>
      </c>
      <c r="G71" s="358">
        <v>7.6664000000000003</v>
      </c>
      <c r="H71" s="344" t="s">
        <v>652</v>
      </c>
    </row>
    <row r="72" spans="1:8">
      <c r="A72" s="1"/>
      <c r="B72" s="1"/>
      <c r="C72" s="1"/>
      <c r="D72" s="1"/>
      <c r="E72" s="357">
        <v>43823</v>
      </c>
      <c r="F72" s="344" t="s">
        <v>631</v>
      </c>
      <c r="G72" s="358">
        <v>5.9363999999999999</v>
      </c>
      <c r="H72" s="344" t="s">
        <v>652</v>
      </c>
    </row>
    <row r="73" spans="1:8">
      <c r="A73" s="1"/>
      <c r="B73" s="1"/>
      <c r="C73" s="1"/>
      <c r="D73" s="1"/>
      <c r="E73" s="357">
        <v>43824</v>
      </c>
      <c r="F73" s="344" t="s">
        <v>621</v>
      </c>
      <c r="G73" s="358">
        <v>6.0298999999999996</v>
      </c>
      <c r="H73" s="344" t="s">
        <v>653</v>
      </c>
    </row>
    <row r="74" spans="1:8">
      <c r="A74" s="1"/>
      <c r="B74" s="1"/>
      <c r="C74" s="1"/>
      <c r="D74" s="1"/>
      <c r="E74" s="357">
        <v>43824</v>
      </c>
      <c r="F74" s="344" t="s">
        <v>625</v>
      </c>
      <c r="G74" s="358">
        <v>6.5754999999999999</v>
      </c>
      <c r="H74" s="344" t="s">
        <v>653</v>
      </c>
    </row>
    <row r="75" spans="1:8">
      <c r="A75" s="1"/>
      <c r="B75" s="1"/>
      <c r="C75" s="1"/>
      <c r="D75" s="1"/>
      <c r="E75" s="357">
        <v>43824</v>
      </c>
      <c r="F75" s="344" t="s">
        <v>628</v>
      </c>
      <c r="G75" s="358">
        <v>7.6772999999999998</v>
      </c>
      <c r="H75" s="344" t="s">
        <v>653</v>
      </c>
    </row>
    <row r="76" spans="1:8">
      <c r="A76" s="1"/>
      <c r="B76" s="1"/>
      <c r="C76" s="1"/>
      <c r="D76" s="1"/>
      <c r="E76" s="357">
        <v>43824</v>
      </c>
      <c r="F76" s="344" t="s">
        <v>631</v>
      </c>
      <c r="G76" s="358">
        <v>5.9292999999999996</v>
      </c>
      <c r="H76" s="344" t="s">
        <v>653</v>
      </c>
    </row>
    <row r="77" spans="1:8">
      <c r="A77" s="1"/>
      <c r="B77" s="1"/>
      <c r="C77" s="1"/>
      <c r="D77" s="1"/>
      <c r="E77" s="357">
        <v>43825</v>
      </c>
      <c r="F77" s="344" t="s">
        <v>621</v>
      </c>
      <c r="G77" s="358">
        <v>6.0312000000000001</v>
      </c>
      <c r="H77" s="344" t="s">
        <v>654</v>
      </c>
    </row>
    <row r="78" spans="1:8">
      <c r="A78" s="1"/>
      <c r="B78" s="1"/>
      <c r="C78" s="1"/>
      <c r="D78" s="1"/>
      <c r="E78" s="357">
        <v>43825</v>
      </c>
      <c r="F78" s="344" t="s">
        <v>625</v>
      </c>
      <c r="G78" s="358">
        <v>6.5758999999999999</v>
      </c>
      <c r="H78" s="344" t="s">
        <v>654</v>
      </c>
    </row>
    <row r="79" spans="1:8">
      <c r="A79" s="1"/>
      <c r="B79" s="1"/>
      <c r="C79" s="1"/>
      <c r="D79" s="1"/>
      <c r="E79" s="357">
        <v>43825</v>
      </c>
      <c r="F79" s="344" t="s">
        <v>628</v>
      </c>
      <c r="G79" s="358">
        <v>7.6853999999999996</v>
      </c>
      <c r="H79" s="344" t="s">
        <v>654</v>
      </c>
    </row>
    <row r="80" spans="1:8">
      <c r="A80" s="1"/>
      <c r="B80" s="1"/>
      <c r="C80" s="1"/>
      <c r="D80" s="1"/>
      <c r="E80" s="357">
        <v>43825</v>
      </c>
      <c r="F80" s="344" t="s">
        <v>631</v>
      </c>
      <c r="G80" s="358">
        <v>5.9302000000000001</v>
      </c>
      <c r="H80" s="344" t="s">
        <v>654</v>
      </c>
    </row>
    <row r="81" spans="1:8">
      <c r="A81" s="1"/>
      <c r="B81" s="1"/>
      <c r="C81" s="1"/>
      <c r="D81" s="1"/>
      <c r="E81" s="357">
        <v>43826</v>
      </c>
      <c r="F81" s="344" t="s">
        <v>621</v>
      </c>
      <c r="G81" s="358">
        <v>6.0580999999999996</v>
      </c>
      <c r="H81" s="344" t="s">
        <v>655</v>
      </c>
    </row>
    <row r="82" spans="1:8">
      <c r="A82" s="1"/>
      <c r="B82" s="1"/>
      <c r="C82" s="1"/>
      <c r="D82" s="1"/>
      <c r="E82" s="357">
        <v>43826</v>
      </c>
      <c r="F82" s="344" t="s">
        <v>625</v>
      </c>
      <c r="G82" s="358">
        <v>6.6116999999999999</v>
      </c>
      <c r="H82" s="344" t="s">
        <v>655</v>
      </c>
    </row>
    <row r="83" spans="1:8">
      <c r="A83" s="1"/>
      <c r="B83" s="1"/>
      <c r="C83" s="1"/>
      <c r="D83" s="1"/>
      <c r="E83" s="357">
        <v>43826</v>
      </c>
      <c r="F83" s="344" t="s">
        <v>628</v>
      </c>
      <c r="G83" s="358">
        <v>7.7374999999999998</v>
      </c>
      <c r="H83" s="344" t="s">
        <v>655</v>
      </c>
    </row>
    <row r="84" spans="1:8">
      <c r="A84" s="1"/>
      <c r="B84" s="1"/>
      <c r="C84" s="1"/>
      <c r="D84" s="1"/>
      <c r="E84" s="357">
        <v>43826</v>
      </c>
      <c r="F84" s="344" t="s">
        <v>631</v>
      </c>
      <c r="G84" s="358">
        <v>5.9370000000000003</v>
      </c>
      <c r="H84" s="344" t="s">
        <v>655</v>
      </c>
    </row>
    <row r="85" spans="1:8">
      <c r="A85" s="1"/>
      <c r="B85" s="1"/>
      <c r="C85" s="1"/>
      <c r="D85" s="1"/>
      <c r="E85" s="357">
        <v>43829</v>
      </c>
      <c r="F85" s="344" t="s">
        <v>621</v>
      </c>
      <c r="G85" s="358">
        <v>6.0932000000000004</v>
      </c>
      <c r="H85" s="344" t="s">
        <v>656</v>
      </c>
    </row>
    <row r="86" spans="1:8">
      <c r="A86" s="1"/>
      <c r="B86" s="1"/>
      <c r="C86" s="1"/>
      <c r="D86" s="1"/>
      <c r="E86" s="357">
        <v>43829</v>
      </c>
      <c r="F86" s="344" t="s">
        <v>625</v>
      </c>
      <c r="G86" s="358">
        <v>6.6505999999999998</v>
      </c>
      <c r="H86" s="344" t="s">
        <v>656</v>
      </c>
    </row>
    <row r="87" spans="1:8">
      <c r="A87" s="1"/>
      <c r="B87" s="1"/>
      <c r="C87" s="1"/>
      <c r="D87" s="1"/>
      <c r="E87" s="357">
        <v>43829</v>
      </c>
      <c r="F87" s="344" t="s">
        <v>628</v>
      </c>
      <c r="G87" s="358">
        <v>7.7765000000000004</v>
      </c>
      <c r="H87" s="344" t="s">
        <v>656</v>
      </c>
    </row>
    <row r="88" spans="1:8">
      <c r="A88" s="1"/>
      <c r="B88" s="1"/>
      <c r="C88" s="1"/>
      <c r="D88" s="1"/>
      <c r="E88" s="357">
        <v>43829</v>
      </c>
      <c r="F88" s="344" t="s">
        <v>631</v>
      </c>
      <c r="G88" s="358">
        <v>5.9401999999999999</v>
      </c>
      <c r="H88" s="344" t="s">
        <v>656</v>
      </c>
    </row>
    <row r="89" spans="1:8">
      <c r="A89" s="1"/>
      <c r="B89" s="1"/>
      <c r="C89" s="1"/>
      <c r="D89" s="1"/>
      <c r="E89" s="357">
        <v>43830</v>
      </c>
      <c r="F89" s="344" t="s">
        <v>621</v>
      </c>
      <c r="G89" s="358">
        <v>6.1228999999999996</v>
      </c>
      <c r="H89" s="344" t="s">
        <v>657</v>
      </c>
    </row>
    <row r="90" spans="1:8">
      <c r="A90" s="1"/>
      <c r="B90" s="1"/>
      <c r="C90" s="1"/>
      <c r="D90" s="1"/>
      <c r="E90" s="357">
        <v>43830</v>
      </c>
      <c r="F90" s="344" t="s">
        <v>625</v>
      </c>
      <c r="G90" s="358">
        <v>6.6620999999999997</v>
      </c>
      <c r="H90" s="344" t="s">
        <v>657</v>
      </c>
    </row>
    <row r="91" spans="1:8">
      <c r="A91" s="1"/>
      <c r="B91" s="1"/>
      <c r="C91" s="1"/>
      <c r="D91" s="1"/>
      <c r="E91" s="357">
        <v>43830</v>
      </c>
      <c r="F91" s="344" t="s">
        <v>628</v>
      </c>
      <c r="G91" s="358">
        <v>7.8013000000000003</v>
      </c>
      <c r="H91" s="344" t="s">
        <v>657</v>
      </c>
    </row>
    <row r="92" spans="1:8">
      <c r="A92" s="1"/>
      <c r="B92" s="1"/>
      <c r="C92" s="1"/>
      <c r="D92" s="1"/>
      <c r="E92" s="357">
        <v>43830</v>
      </c>
      <c r="F92" s="344" t="s">
        <v>631</v>
      </c>
      <c r="G92" s="358">
        <v>5.94</v>
      </c>
      <c r="H92" s="344" t="s">
        <v>657</v>
      </c>
    </row>
    <row r="93" spans="1:8">
      <c r="A93" s="1"/>
      <c r="B93" s="1"/>
      <c r="C93" s="1"/>
      <c r="D93" s="1"/>
      <c r="E93" s="357">
        <v>43832</v>
      </c>
      <c r="F93" s="344" t="s">
        <v>621</v>
      </c>
      <c r="G93" s="358">
        <v>6.1180000000000003</v>
      </c>
      <c r="H93" s="344" t="s">
        <v>658</v>
      </c>
    </row>
    <row r="94" spans="1:8">
      <c r="A94" s="1"/>
      <c r="B94" s="1"/>
      <c r="C94" s="1"/>
      <c r="D94" s="1"/>
      <c r="E94" s="357">
        <v>43832</v>
      </c>
      <c r="F94" s="344" t="s">
        <v>625</v>
      </c>
      <c r="G94" s="358">
        <v>6.6630000000000003</v>
      </c>
      <c r="H94" s="344" t="s">
        <v>658</v>
      </c>
    </row>
    <row r="95" spans="1:8">
      <c r="A95" s="1"/>
      <c r="B95" s="1"/>
      <c r="C95" s="1"/>
      <c r="D95" s="1"/>
      <c r="E95" s="357">
        <v>43832</v>
      </c>
      <c r="F95" s="344" t="s">
        <v>628</v>
      </c>
      <c r="G95" s="358">
        <v>7.8464</v>
      </c>
      <c r="H95" s="344" t="s">
        <v>658</v>
      </c>
    </row>
    <row r="96" spans="1:8">
      <c r="A96" s="1"/>
      <c r="B96" s="1"/>
      <c r="C96" s="1"/>
      <c r="D96" s="1"/>
      <c r="E96" s="357">
        <v>43832</v>
      </c>
      <c r="F96" s="344" t="s">
        <v>631</v>
      </c>
      <c r="G96" s="358">
        <v>5.9478</v>
      </c>
      <c r="H96" s="344" t="s">
        <v>658</v>
      </c>
    </row>
    <row r="97" spans="1:8">
      <c r="A97" s="1"/>
      <c r="B97" s="1"/>
      <c r="C97" s="1"/>
      <c r="D97" s="1"/>
      <c r="E97" s="357">
        <v>43833</v>
      </c>
      <c r="F97" s="344" t="s">
        <v>621</v>
      </c>
      <c r="G97" s="358">
        <v>6.1178999999999997</v>
      </c>
      <c r="H97" s="344" t="s">
        <v>659</v>
      </c>
    </row>
    <row r="98" spans="1:8">
      <c r="A98" s="1"/>
      <c r="B98" s="1"/>
      <c r="C98" s="1"/>
      <c r="D98" s="1"/>
      <c r="E98" s="357">
        <v>43833</v>
      </c>
      <c r="F98" s="344" t="s">
        <v>625</v>
      </c>
      <c r="G98" s="358">
        <v>6.6463999999999999</v>
      </c>
      <c r="H98" s="344" t="s">
        <v>659</v>
      </c>
    </row>
    <row r="99" spans="1:8">
      <c r="A99" s="1"/>
      <c r="B99" s="1"/>
      <c r="C99" s="1"/>
      <c r="D99" s="1"/>
      <c r="E99" s="357">
        <v>43833</v>
      </c>
      <c r="F99" s="344" t="s">
        <v>628</v>
      </c>
      <c r="G99" s="358">
        <v>7.79</v>
      </c>
      <c r="H99" s="344" t="s">
        <v>659</v>
      </c>
    </row>
    <row r="100" spans="1:8">
      <c r="A100" s="1"/>
      <c r="B100" s="1"/>
      <c r="C100" s="1"/>
      <c r="D100" s="1"/>
      <c r="E100" s="357">
        <v>43833</v>
      </c>
      <c r="F100" s="344" t="s">
        <v>631</v>
      </c>
      <c r="G100" s="358">
        <v>5.9626999999999999</v>
      </c>
      <c r="H100" s="344" t="s">
        <v>659</v>
      </c>
    </row>
    <row r="101" spans="1:8">
      <c r="A101" s="1"/>
      <c r="B101" s="1"/>
      <c r="C101" s="1"/>
      <c r="D101" s="1"/>
      <c r="E101" s="357">
        <v>43836</v>
      </c>
      <c r="F101" s="344" t="s">
        <v>621</v>
      </c>
      <c r="G101" s="358">
        <v>6.1363000000000003</v>
      </c>
      <c r="H101" s="344" t="s">
        <v>660</v>
      </c>
    </row>
    <row r="102" spans="1:8">
      <c r="A102" s="1"/>
      <c r="B102" s="1"/>
      <c r="C102" s="1"/>
      <c r="D102" s="1"/>
      <c r="E102" s="357">
        <v>43836</v>
      </c>
      <c r="F102" s="344" t="s">
        <v>625</v>
      </c>
      <c r="G102" s="358">
        <v>6.6718000000000002</v>
      </c>
      <c r="H102" s="344" t="s">
        <v>660</v>
      </c>
    </row>
    <row r="103" spans="1:8">
      <c r="A103" s="1"/>
      <c r="B103" s="1"/>
      <c r="C103" s="1"/>
      <c r="D103" s="1"/>
      <c r="E103" s="357">
        <v>43836</v>
      </c>
      <c r="F103" s="344" t="s">
        <v>628</v>
      </c>
      <c r="G103" s="358">
        <v>7.8133999999999997</v>
      </c>
      <c r="H103" s="344" t="s">
        <v>660</v>
      </c>
    </row>
    <row r="104" spans="1:8">
      <c r="A104" s="1"/>
      <c r="B104" s="1"/>
      <c r="C104" s="1"/>
      <c r="D104" s="1"/>
      <c r="E104" s="357">
        <v>43836</v>
      </c>
      <c r="F104" s="344" t="s">
        <v>631</v>
      </c>
      <c r="G104" s="358">
        <v>5.9657999999999998</v>
      </c>
      <c r="H104" s="344" t="s">
        <v>660</v>
      </c>
    </row>
    <row r="105" spans="1:8">
      <c r="A105" s="1"/>
      <c r="B105" s="1"/>
      <c r="C105" s="1"/>
      <c r="D105" s="1"/>
      <c r="E105" s="357">
        <v>43837</v>
      </c>
      <c r="F105" s="344" t="s">
        <v>621</v>
      </c>
      <c r="G105" s="358">
        <v>6.1276999999999999</v>
      </c>
      <c r="H105" s="344" t="s">
        <v>661</v>
      </c>
    </row>
    <row r="106" spans="1:8">
      <c r="A106" s="1"/>
      <c r="B106" s="1"/>
      <c r="C106" s="1"/>
      <c r="D106" s="1"/>
      <c r="E106" s="357">
        <v>43837</v>
      </c>
      <c r="F106" s="344" t="s">
        <v>625</v>
      </c>
      <c r="G106" s="358">
        <v>6.6627999999999998</v>
      </c>
      <c r="H106" s="344" t="s">
        <v>661</v>
      </c>
    </row>
    <row r="107" spans="1:8">
      <c r="A107" s="1"/>
      <c r="B107" s="1"/>
      <c r="C107" s="1"/>
      <c r="D107" s="1"/>
      <c r="E107" s="357">
        <v>43837</v>
      </c>
      <c r="F107" s="344" t="s">
        <v>628</v>
      </c>
      <c r="G107" s="358">
        <v>7.8303000000000003</v>
      </c>
      <c r="H107" s="344" t="s">
        <v>661</v>
      </c>
    </row>
    <row r="108" spans="1:8">
      <c r="A108" s="1"/>
      <c r="B108" s="1"/>
      <c r="C108" s="1"/>
      <c r="D108" s="1"/>
      <c r="E108" s="357">
        <v>43837</v>
      </c>
      <c r="F108" s="344" t="s">
        <v>631</v>
      </c>
      <c r="G108" s="358">
        <v>5.9593999999999996</v>
      </c>
      <c r="H108" s="344" t="s">
        <v>661</v>
      </c>
    </row>
    <row r="109" spans="1:8">
      <c r="A109" s="1"/>
      <c r="B109" s="1"/>
      <c r="C109" s="1"/>
      <c r="D109" s="1"/>
      <c r="E109" s="357">
        <v>43838</v>
      </c>
      <c r="F109" s="344" t="s">
        <v>621</v>
      </c>
      <c r="G109" s="358">
        <v>6.1189</v>
      </c>
      <c r="H109" s="344" t="s">
        <v>662</v>
      </c>
    </row>
    <row r="110" spans="1:8">
      <c r="A110" s="1"/>
      <c r="B110" s="1"/>
      <c r="C110" s="1"/>
      <c r="D110" s="1"/>
      <c r="E110" s="357">
        <v>43838</v>
      </c>
      <c r="F110" s="344" t="s">
        <v>625</v>
      </c>
      <c r="G110" s="358">
        <v>6.6355000000000004</v>
      </c>
      <c r="H110" s="344" t="s">
        <v>662</v>
      </c>
    </row>
    <row r="111" spans="1:8">
      <c r="A111" s="1"/>
      <c r="B111" s="1"/>
      <c r="C111" s="1"/>
      <c r="D111" s="1"/>
      <c r="E111" s="357">
        <v>43838</v>
      </c>
      <c r="F111" s="344" t="s">
        <v>628</v>
      </c>
      <c r="G111" s="358">
        <v>7.8106</v>
      </c>
      <c r="H111" s="344" t="s">
        <v>662</v>
      </c>
    </row>
    <row r="112" spans="1:8">
      <c r="A112" s="1"/>
      <c r="B112" s="1"/>
      <c r="C112" s="1"/>
      <c r="D112" s="1"/>
      <c r="E112" s="357">
        <v>43838</v>
      </c>
      <c r="F112" s="344" t="s">
        <v>631</v>
      </c>
      <c r="G112" s="358">
        <v>5.9570999999999996</v>
      </c>
      <c r="H112" s="344" t="s">
        <v>662</v>
      </c>
    </row>
    <row r="113" spans="1:8">
      <c r="A113" s="1"/>
      <c r="B113" s="1"/>
      <c r="C113" s="1"/>
      <c r="D113" s="1"/>
      <c r="E113" s="357">
        <v>43839</v>
      </c>
      <c r="F113" s="344" t="s">
        <v>621</v>
      </c>
      <c r="G113" s="358">
        <v>6.0232999999999999</v>
      </c>
      <c r="H113" s="344" t="s">
        <v>663</v>
      </c>
    </row>
    <row r="114" spans="1:8">
      <c r="A114" s="1"/>
      <c r="B114" s="1"/>
      <c r="C114" s="1"/>
      <c r="D114" s="1"/>
      <c r="E114" s="357">
        <v>43839</v>
      </c>
      <c r="F114" s="344" t="s">
        <v>625</v>
      </c>
      <c r="G114" s="358">
        <v>6.5335999999999999</v>
      </c>
      <c r="H114" s="344" t="s">
        <v>663</v>
      </c>
    </row>
    <row r="115" spans="1:8">
      <c r="A115" s="1"/>
      <c r="B115" s="1"/>
      <c r="C115" s="1"/>
      <c r="D115" s="1"/>
      <c r="E115" s="357">
        <v>43839</v>
      </c>
      <c r="F115" s="344" t="s">
        <v>628</v>
      </c>
      <c r="G115" s="358">
        <v>7.6718999999999999</v>
      </c>
      <c r="H115" s="344" t="s">
        <v>663</v>
      </c>
    </row>
    <row r="116" spans="1:8">
      <c r="A116" s="1"/>
      <c r="B116" s="1"/>
      <c r="C116" s="1"/>
      <c r="D116" s="1"/>
      <c r="E116" s="357">
        <v>43839</v>
      </c>
      <c r="F116" s="344" t="s">
        <v>631</v>
      </c>
      <c r="G116" s="358">
        <v>5.8810000000000002</v>
      </c>
      <c r="H116" s="344" t="s">
        <v>663</v>
      </c>
    </row>
    <row r="117" spans="1:8">
      <c r="A117" s="1"/>
      <c r="B117" s="1"/>
      <c r="C117" s="1"/>
      <c r="D117" s="1"/>
      <c r="E117" s="357">
        <v>43840</v>
      </c>
      <c r="F117" s="344" t="s">
        <v>621</v>
      </c>
      <c r="G117" s="358">
        <v>6.0118999999999998</v>
      </c>
      <c r="H117" s="344" t="s">
        <v>664</v>
      </c>
    </row>
    <row r="118" spans="1:8">
      <c r="A118" s="1"/>
      <c r="B118" s="1"/>
      <c r="C118" s="1"/>
      <c r="D118" s="1"/>
      <c r="E118" s="357">
        <v>43840</v>
      </c>
      <c r="F118" s="344" t="s">
        <v>625</v>
      </c>
      <c r="G118" s="358">
        <v>6.5170000000000003</v>
      </c>
      <c r="H118" s="344" t="s">
        <v>664</v>
      </c>
    </row>
    <row r="119" spans="1:8">
      <c r="A119" s="1"/>
      <c r="B119" s="1"/>
      <c r="C119" s="1"/>
      <c r="D119" s="1"/>
      <c r="E119" s="357">
        <v>43840</v>
      </c>
      <c r="F119" s="344" t="s">
        <v>628</v>
      </c>
      <c r="G119" s="358">
        <v>7.6595000000000004</v>
      </c>
      <c r="H119" s="344" t="s">
        <v>664</v>
      </c>
    </row>
    <row r="120" spans="1:8">
      <c r="A120" s="1"/>
      <c r="B120" s="1"/>
      <c r="C120" s="1"/>
      <c r="D120" s="1"/>
      <c r="E120" s="357">
        <v>43840</v>
      </c>
      <c r="F120" s="344" t="s">
        <v>631</v>
      </c>
      <c r="G120" s="358">
        <v>5.8712999999999997</v>
      </c>
      <c r="H120" s="344" t="s">
        <v>664</v>
      </c>
    </row>
    <row r="121" spans="1:8">
      <c r="A121" s="1"/>
      <c r="B121" s="1"/>
      <c r="C121" s="1"/>
      <c r="D121" s="1"/>
      <c r="E121" s="357">
        <v>43843</v>
      </c>
      <c r="F121" s="344" t="s">
        <v>621</v>
      </c>
      <c r="G121" s="358">
        <v>6.0023999999999997</v>
      </c>
      <c r="H121" s="344" t="s">
        <v>665</v>
      </c>
    </row>
    <row r="122" spans="1:8">
      <c r="A122" s="1"/>
      <c r="B122" s="1"/>
      <c r="C122" s="1"/>
      <c r="D122" s="1"/>
      <c r="E122" s="357">
        <v>43843</v>
      </c>
      <c r="F122" s="344" t="s">
        <v>625</v>
      </c>
      <c r="G122" s="358">
        <v>6.5095999999999998</v>
      </c>
      <c r="H122" s="344" t="s">
        <v>665</v>
      </c>
    </row>
    <row r="123" spans="1:8">
      <c r="A123" s="1"/>
      <c r="B123" s="1"/>
      <c r="C123" s="1"/>
      <c r="D123" s="1"/>
      <c r="E123" s="357">
        <v>43843</v>
      </c>
      <c r="F123" s="344" t="s">
        <v>628</v>
      </c>
      <c r="G123" s="358">
        <v>7.5913000000000004</v>
      </c>
      <c r="H123" s="344" t="s">
        <v>665</v>
      </c>
    </row>
    <row r="124" spans="1:8">
      <c r="A124" s="1"/>
      <c r="B124" s="1"/>
      <c r="C124" s="1"/>
      <c r="D124" s="1"/>
      <c r="E124" s="357">
        <v>43843</v>
      </c>
      <c r="F124" s="344" t="s">
        <v>631</v>
      </c>
      <c r="G124" s="358">
        <v>5.8529</v>
      </c>
      <c r="H124" s="344" t="s">
        <v>665</v>
      </c>
    </row>
    <row r="125" spans="1:8">
      <c r="A125" s="1"/>
      <c r="B125" s="1"/>
      <c r="C125" s="1"/>
      <c r="D125" s="1"/>
      <c r="E125" s="357">
        <v>43844</v>
      </c>
      <c r="F125" s="344" t="s">
        <v>621</v>
      </c>
      <c r="G125" s="358">
        <v>6.0532000000000004</v>
      </c>
      <c r="H125" s="344" t="s">
        <v>666</v>
      </c>
    </row>
    <row r="126" spans="1:8">
      <c r="A126" s="1"/>
      <c r="B126" s="1"/>
      <c r="C126" s="1"/>
      <c r="D126" s="1"/>
      <c r="E126" s="357">
        <v>43844</v>
      </c>
      <c r="F126" s="344" t="s">
        <v>625</v>
      </c>
      <c r="G126" s="358">
        <v>6.5495000000000001</v>
      </c>
      <c r="H126" s="344" t="s">
        <v>666</v>
      </c>
    </row>
    <row r="127" spans="1:8">
      <c r="A127" s="1"/>
      <c r="B127" s="1"/>
      <c r="C127" s="1"/>
      <c r="D127" s="1"/>
      <c r="E127" s="357">
        <v>43844</v>
      </c>
      <c r="F127" s="344" t="s">
        <v>628</v>
      </c>
      <c r="G127" s="358">
        <v>7.6222000000000003</v>
      </c>
      <c r="H127" s="344" t="s">
        <v>666</v>
      </c>
    </row>
    <row r="128" spans="1:8">
      <c r="A128" s="1"/>
      <c r="B128" s="1"/>
      <c r="C128" s="1"/>
      <c r="D128" s="1"/>
      <c r="E128" s="357">
        <v>43844</v>
      </c>
      <c r="F128" s="344" t="s">
        <v>631</v>
      </c>
      <c r="G128" s="358">
        <v>5.8811</v>
      </c>
      <c r="H128" s="344" t="s">
        <v>666</v>
      </c>
    </row>
    <row r="129" spans="1:8">
      <c r="A129" s="1"/>
      <c r="B129" s="1"/>
      <c r="C129" s="1"/>
      <c r="D129" s="1"/>
      <c r="E129" s="357">
        <v>43845</v>
      </c>
      <c r="F129" s="344" t="s">
        <v>621</v>
      </c>
      <c r="G129" s="358">
        <v>6.0727000000000002</v>
      </c>
      <c r="H129" s="344" t="s">
        <v>667</v>
      </c>
    </row>
    <row r="130" spans="1:8">
      <c r="A130" s="1"/>
      <c r="B130" s="1"/>
      <c r="C130" s="1"/>
      <c r="D130" s="1"/>
      <c r="E130" s="357">
        <v>43845</v>
      </c>
      <c r="F130" s="344" t="s">
        <v>625</v>
      </c>
      <c r="G130" s="358">
        <v>6.5503999999999998</v>
      </c>
      <c r="H130" s="344" t="s">
        <v>667</v>
      </c>
    </row>
    <row r="131" spans="1:8">
      <c r="A131" s="1"/>
      <c r="B131" s="1"/>
      <c r="C131" s="1"/>
      <c r="D131" s="1"/>
      <c r="E131" s="357">
        <v>43845</v>
      </c>
      <c r="F131" s="344" t="s">
        <v>628</v>
      </c>
      <c r="G131" s="358">
        <v>7.6428000000000003</v>
      </c>
      <c r="H131" s="344" t="s">
        <v>667</v>
      </c>
    </row>
    <row r="132" spans="1:8">
      <c r="A132" s="1"/>
      <c r="B132" s="1"/>
      <c r="C132" s="1"/>
      <c r="D132" s="1"/>
      <c r="E132" s="357">
        <v>43845</v>
      </c>
      <c r="F132" s="344" t="s">
        <v>631</v>
      </c>
      <c r="G132" s="358">
        <v>5.8826999999999998</v>
      </c>
      <c r="H132" s="344" t="s">
        <v>667</v>
      </c>
    </row>
    <row r="133" spans="1:8">
      <c r="A133" s="1"/>
      <c r="B133" s="1"/>
      <c r="C133" s="1"/>
      <c r="D133" s="1"/>
      <c r="E133" s="357">
        <v>43846</v>
      </c>
      <c r="F133" s="344" t="s">
        <v>621</v>
      </c>
      <c r="G133" s="358">
        <v>6.0765000000000002</v>
      </c>
      <c r="H133" s="344" t="s">
        <v>668</v>
      </c>
    </row>
    <row r="134" spans="1:8">
      <c r="A134" s="1"/>
      <c r="B134" s="1"/>
      <c r="C134" s="1"/>
      <c r="D134" s="1"/>
      <c r="E134" s="357">
        <v>43846</v>
      </c>
      <c r="F134" s="344" t="s">
        <v>625</v>
      </c>
      <c r="G134" s="358">
        <v>6.5457999999999998</v>
      </c>
      <c r="H134" s="344" t="s">
        <v>668</v>
      </c>
    </row>
    <row r="135" spans="1:8">
      <c r="A135" s="1"/>
      <c r="B135" s="1"/>
      <c r="C135" s="1"/>
      <c r="D135" s="1"/>
      <c r="E135" s="357">
        <v>43846</v>
      </c>
      <c r="F135" s="344" t="s">
        <v>628</v>
      </c>
      <c r="G135" s="358">
        <v>7.6458000000000004</v>
      </c>
      <c r="H135" s="344" t="s">
        <v>668</v>
      </c>
    </row>
    <row r="136" spans="1:8">
      <c r="A136" s="1"/>
      <c r="B136" s="1"/>
      <c r="C136" s="1"/>
      <c r="D136" s="1"/>
      <c r="E136" s="357">
        <v>43846</v>
      </c>
      <c r="F136" s="344" t="s">
        <v>631</v>
      </c>
      <c r="G136" s="358">
        <v>5.8684000000000003</v>
      </c>
      <c r="H136" s="344" t="s">
        <v>668</v>
      </c>
    </row>
    <row r="137" spans="1:8">
      <c r="A137" s="1"/>
      <c r="B137" s="1"/>
      <c r="C137" s="1"/>
      <c r="D137" s="1"/>
      <c r="E137" s="357">
        <v>43847</v>
      </c>
      <c r="F137" s="344" t="s">
        <v>621</v>
      </c>
      <c r="G137" s="358">
        <v>6.0502000000000002</v>
      </c>
      <c r="H137" s="344" t="s">
        <v>669</v>
      </c>
    </row>
    <row r="138" spans="1:8">
      <c r="A138" s="1"/>
      <c r="B138" s="1"/>
      <c r="C138" s="1"/>
      <c r="D138" s="1"/>
      <c r="E138" s="357">
        <v>43847</v>
      </c>
      <c r="F138" s="344" t="s">
        <v>625</v>
      </c>
      <c r="G138" s="358">
        <v>6.5171999999999999</v>
      </c>
      <c r="H138" s="344" t="s">
        <v>669</v>
      </c>
    </row>
    <row r="139" spans="1:8">
      <c r="A139" s="1"/>
      <c r="B139" s="1"/>
      <c r="C139" s="1"/>
      <c r="D139" s="1"/>
      <c r="E139" s="357">
        <v>43847</v>
      </c>
      <c r="F139" s="344" t="s">
        <v>628</v>
      </c>
      <c r="G139" s="358">
        <v>7.6395999999999997</v>
      </c>
      <c r="H139" s="344" t="s">
        <v>669</v>
      </c>
    </row>
    <row r="140" spans="1:8">
      <c r="A140" s="1"/>
      <c r="B140" s="1"/>
      <c r="C140" s="1"/>
      <c r="D140" s="1"/>
      <c r="E140" s="357">
        <v>43847</v>
      </c>
      <c r="F140" s="344" t="s">
        <v>631</v>
      </c>
      <c r="G140" s="358">
        <v>5.8563999999999998</v>
      </c>
      <c r="H140" s="344" t="s">
        <v>669</v>
      </c>
    </row>
    <row r="141" spans="1:8">
      <c r="A141" s="1"/>
      <c r="B141" s="1"/>
      <c r="C141" s="1"/>
      <c r="D141" s="1"/>
      <c r="E141" s="357">
        <v>43850</v>
      </c>
      <c r="F141" s="344" t="s">
        <v>621</v>
      </c>
      <c r="G141" s="358">
        <v>6.0751999999999997</v>
      </c>
      <c r="H141" s="344" t="s">
        <v>670</v>
      </c>
    </row>
    <row r="142" spans="1:8">
      <c r="A142" s="1"/>
      <c r="B142" s="1"/>
      <c r="C142" s="1"/>
      <c r="D142" s="1"/>
      <c r="E142" s="357">
        <v>43850</v>
      </c>
      <c r="F142" s="344" t="s">
        <v>625</v>
      </c>
      <c r="G142" s="358">
        <v>6.5411999999999999</v>
      </c>
      <c r="H142" s="344" t="s">
        <v>670</v>
      </c>
    </row>
    <row r="143" spans="1:8">
      <c r="A143" s="1"/>
      <c r="B143" s="1"/>
      <c r="C143" s="1"/>
      <c r="D143" s="1"/>
      <c r="E143" s="357">
        <v>43850</v>
      </c>
      <c r="F143" s="344" t="s">
        <v>628</v>
      </c>
      <c r="G143" s="358">
        <v>7.6458000000000004</v>
      </c>
      <c r="H143" s="344" t="s">
        <v>670</v>
      </c>
    </row>
    <row r="144" spans="1:8">
      <c r="A144" s="1"/>
      <c r="B144" s="1"/>
      <c r="C144" s="1"/>
      <c r="D144" s="1"/>
      <c r="E144" s="357">
        <v>43850</v>
      </c>
      <c r="F144" s="344" t="s">
        <v>631</v>
      </c>
      <c r="G144" s="358">
        <v>5.8978999999999999</v>
      </c>
      <c r="H144" s="344" t="s">
        <v>670</v>
      </c>
    </row>
    <row r="145" spans="1:8">
      <c r="A145" s="1"/>
      <c r="B145" s="1"/>
      <c r="C145" s="1"/>
      <c r="D145" s="1"/>
      <c r="E145" s="357">
        <v>43851</v>
      </c>
      <c r="F145" s="344" t="s">
        <v>621</v>
      </c>
      <c r="G145" s="358">
        <v>6.1021000000000001</v>
      </c>
      <c r="H145" s="344" t="s">
        <v>671</v>
      </c>
    </row>
    <row r="146" spans="1:8">
      <c r="A146" s="1"/>
      <c r="B146" s="1"/>
      <c r="C146" s="1"/>
      <c r="D146" s="1"/>
      <c r="E146" s="357">
        <v>43851</v>
      </c>
      <c r="F146" s="344" t="s">
        <v>625</v>
      </c>
      <c r="G146" s="358">
        <v>6.5679999999999996</v>
      </c>
      <c r="H146" s="344" t="s">
        <v>671</v>
      </c>
    </row>
    <row r="147" spans="1:8">
      <c r="A147" s="1"/>
      <c r="B147" s="1"/>
      <c r="C147" s="1"/>
      <c r="D147" s="1"/>
      <c r="E147" s="357">
        <v>43851</v>
      </c>
      <c r="F147" s="344" t="s">
        <v>628</v>
      </c>
      <c r="G147" s="358">
        <v>7.6976000000000004</v>
      </c>
      <c r="H147" s="344" t="s">
        <v>671</v>
      </c>
    </row>
    <row r="148" spans="1:8">
      <c r="A148" s="1"/>
      <c r="B148" s="1"/>
      <c r="C148" s="1"/>
      <c r="D148" s="1"/>
      <c r="E148" s="357">
        <v>43851</v>
      </c>
      <c r="F148" s="344" t="s">
        <v>631</v>
      </c>
      <c r="G148" s="358">
        <v>5.9191000000000003</v>
      </c>
      <c r="H148" s="344" t="s">
        <v>671</v>
      </c>
    </row>
    <row r="149" spans="1:8">
      <c r="A149" s="1"/>
      <c r="B149" s="1"/>
      <c r="C149" s="1"/>
      <c r="D149" s="1"/>
      <c r="E149" s="357">
        <v>43852</v>
      </c>
      <c r="F149" s="344" t="s">
        <v>621</v>
      </c>
      <c r="G149" s="358">
        <v>6.0899000000000001</v>
      </c>
      <c r="H149" s="344" t="s">
        <v>672</v>
      </c>
    </row>
    <row r="150" spans="1:8">
      <c r="A150" s="1"/>
      <c r="B150" s="1"/>
      <c r="C150" s="1"/>
      <c r="D150" s="1"/>
      <c r="E150" s="357">
        <v>43852</v>
      </c>
      <c r="F150" s="344" t="s">
        <v>625</v>
      </c>
      <c r="G150" s="358">
        <v>6.5723000000000003</v>
      </c>
      <c r="H150" s="344" t="s">
        <v>672</v>
      </c>
    </row>
    <row r="151" spans="1:8">
      <c r="A151" s="1"/>
      <c r="B151" s="1"/>
      <c r="C151" s="1"/>
      <c r="D151" s="1"/>
      <c r="E151" s="357">
        <v>43852</v>
      </c>
      <c r="F151" s="344" t="s">
        <v>628</v>
      </c>
      <c r="G151" s="358">
        <v>7.7333999999999996</v>
      </c>
      <c r="H151" s="344" t="s">
        <v>672</v>
      </c>
    </row>
    <row r="152" spans="1:8">
      <c r="A152" s="1"/>
      <c r="B152" s="1"/>
      <c r="C152" s="1"/>
      <c r="D152" s="1"/>
      <c r="E152" s="357">
        <v>43852</v>
      </c>
      <c r="F152" s="344" t="s">
        <v>631</v>
      </c>
      <c r="G152" s="358">
        <v>5.9292999999999996</v>
      </c>
      <c r="H152" s="344" t="s">
        <v>672</v>
      </c>
    </row>
    <row r="153" spans="1:8">
      <c r="A153" s="1"/>
      <c r="B153" s="1"/>
      <c r="C153" s="1"/>
      <c r="D153" s="1"/>
      <c r="E153" s="357">
        <v>43853</v>
      </c>
      <c r="F153" s="344" t="s">
        <v>621</v>
      </c>
      <c r="G153" s="358">
        <v>6.0928000000000004</v>
      </c>
      <c r="H153" s="344" t="s">
        <v>673</v>
      </c>
    </row>
    <row r="154" spans="1:8">
      <c r="A154" s="1"/>
      <c r="B154" s="1"/>
      <c r="C154" s="1"/>
      <c r="D154" s="1"/>
      <c r="E154" s="357">
        <v>43853</v>
      </c>
      <c r="F154" s="344" t="s">
        <v>625</v>
      </c>
      <c r="G154" s="358">
        <v>6.5585000000000004</v>
      </c>
      <c r="H154" s="344" t="s">
        <v>673</v>
      </c>
    </row>
    <row r="155" spans="1:8">
      <c r="A155" s="1"/>
      <c r="B155" s="1"/>
      <c r="C155" s="1"/>
      <c r="D155" s="1"/>
      <c r="E155" s="357">
        <v>43853</v>
      </c>
      <c r="F155" s="344" t="s">
        <v>628</v>
      </c>
      <c r="G155" s="358">
        <v>7.7552000000000003</v>
      </c>
      <c r="H155" s="344" t="s">
        <v>673</v>
      </c>
    </row>
    <row r="156" spans="1:8">
      <c r="A156" s="1"/>
      <c r="B156" s="1"/>
      <c r="C156" s="1"/>
      <c r="D156" s="1"/>
      <c r="E156" s="357">
        <v>43853</v>
      </c>
      <c r="F156" s="344" t="s">
        <v>631</v>
      </c>
      <c r="G156" s="358">
        <v>5.9151999999999996</v>
      </c>
      <c r="H156" s="344" t="s">
        <v>673</v>
      </c>
    </row>
    <row r="157" spans="1:8">
      <c r="A157" s="1"/>
      <c r="B157" s="1"/>
      <c r="C157" s="1"/>
      <c r="D157" s="1"/>
      <c r="E157" s="357">
        <v>43854</v>
      </c>
      <c r="F157" s="344" t="s">
        <v>621</v>
      </c>
      <c r="G157" s="358">
        <v>6.0960999999999999</v>
      </c>
      <c r="H157" s="344" t="s">
        <v>674</v>
      </c>
    </row>
    <row r="158" spans="1:8">
      <c r="A158" s="1"/>
      <c r="B158" s="1"/>
      <c r="C158" s="1"/>
      <c r="D158" s="1"/>
      <c r="E158" s="357">
        <v>43854</v>
      </c>
      <c r="F158" s="344" t="s">
        <v>625</v>
      </c>
      <c r="G158" s="358">
        <v>6.5472999999999999</v>
      </c>
      <c r="H158" s="344" t="s">
        <v>674</v>
      </c>
    </row>
    <row r="159" spans="1:8">
      <c r="A159" s="1"/>
      <c r="B159" s="1"/>
      <c r="C159" s="1"/>
      <c r="D159" s="1"/>
      <c r="E159" s="357">
        <v>43854</v>
      </c>
      <c r="F159" s="344" t="s">
        <v>628</v>
      </c>
      <c r="G159" s="358">
        <v>7.7615999999999996</v>
      </c>
      <c r="H159" s="344" t="s">
        <v>674</v>
      </c>
    </row>
    <row r="160" spans="1:8">
      <c r="A160" s="1"/>
      <c r="B160" s="1"/>
      <c r="C160" s="1"/>
      <c r="D160" s="1"/>
      <c r="E160" s="357">
        <v>43854</v>
      </c>
      <c r="F160" s="344" t="s">
        <v>631</v>
      </c>
      <c r="G160" s="358">
        <v>5.9287999999999998</v>
      </c>
      <c r="H160" s="344" t="s">
        <v>674</v>
      </c>
    </row>
    <row r="161" spans="1:8">
      <c r="A161" s="1"/>
      <c r="B161" s="1"/>
      <c r="C161" s="1"/>
      <c r="D161" s="1"/>
      <c r="E161" s="357">
        <v>43857</v>
      </c>
      <c r="F161" s="344" t="s">
        <v>621</v>
      </c>
      <c r="G161" s="358">
        <v>6.1048</v>
      </c>
      <c r="H161" s="344" t="s">
        <v>675</v>
      </c>
    </row>
    <row r="162" spans="1:8">
      <c r="A162" s="1"/>
      <c r="B162" s="1"/>
      <c r="C162" s="1"/>
      <c r="D162" s="1"/>
      <c r="E162" s="357">
        <v>43857</v>
      </c>
      <c r="F162" s="344" t="s">
        <v>625</v>
      </c>
      <c r="G162" s="358">
        <v>6.5471000000000004</v>
      </c>
      <c r="H162" s="344" t="s">
        <v>675</v>
      </c>
    </row>
    <row r="163" spans="1:8">
      <c r="A163" s="1"/>
      <c r="B163" s="1"/>
      <c r="C163" s="1"/>
      <c r="D163" s="1"/>
      <c r="E163" s="357">
        <v>43857</v>
      </c>
      <c r="F163" s="344" t="s">
        <v>628</v>
      </c>
      <c r="G163" s="358">
        <v>7.7541000000000002</v>
      </c>
      <c r="H163" s="344" t="s">
        <v>675</v>
      </c>
    </row>
    <row r="164" spans="1:8">
      <c r="A164" s="1"/>
      <c r="B164" s="1"/>
      <c r="C164" s="1"/>
      <c r="D164" s="1"/>
      <c r="E164" s="357">
        <v>43857</v>
      </c>
      <c r="F164" s="344" t="s">
        <v>631</v>
      </c>
      <c r="G164" s="358">
        <v>5.9371</v>
      </c>
      <c r="H164" s="344" t="s">
        <v>675</v>
      </c>
    </row>
    <row r="165" spans="1:8">
      <c r="A165" s="1"/>
      <c r="B165" s="1"/>
      <c r="C165" s="1"/>
      <c r="D165" s="1"/>
      <c r="E165" s="357">
        <v>43858</v>
      </c>
      <c r="F165" s="344" t="s">
        <v>621</v>
      </c>
      <c r="G165" s="358">
        <v>6.1026999999999996</v>
      </c>
      <c r="H165" s="344" t="s">
        <v>676</v>
      </c>
    </row>
    <row r="166" spans="1:8">
      <c r="A166" s="1"/>
      <c r="B166" s="1"/>
      <c r="C166" s="1"/>
      <c r="D166" s="1"/>
      <c r="E166" s="357">
        <v>43858</v>
      </c>
      <c r="F166" s="344" t="s">
        <v>625</v>
      </c>
      <c r="G166" s="358">
        <v>6.5369000000000002</v>
      </c>
      <c r="H166" s="344" t="s">
        <v>676</v>
      </c>
    </row>
    <row r="167" spans="1:8">
      <c r="A167" s="1"/>
      <c r="B167" s="1"/>
      <c r="C167" s="1"/>
      <c r="D167" s="1"/>
      <c r="E167" s="357">
        <v>43858</v>
      </c>
      <c r="F167" s="344" t="s">
        <v>628</v>
      </c>
      <c r="G167" s="358">
        <v>7.7133000000000003</v>
      </c>
      <c r="H167" s="344" t="s">
        <v>676</v>
      </c>
    </row>
    <row r="168" spans="1:8">
      <c r="A168" s="1"/>
      <c r="B168" s="1"/>
      <c r="C168" s="1"/>
      <c r="D168" s="1"/>
      <c r="E168" s="357">
        <v>43858</v>
      </c>
      <c r="F168" s="344" t="s">
        <v>631</v>
      </c>
      <c r="G168" s="358">
        <v>5.9333999999999998</v>
      </c>
      <c r="H168" s="344" t="s">
        <v>676</v>
      </c>
    </row>
    <row r="169" spans="1:8">
      <c r="A169" s="1"/>
      <c r="B169" s="1"/>
      <c r="C169" s="1"/>
      <c r="D169" s="1"/>
      <c r="E169" s="357">
        <v>43859</v>
      </c>
      <c r="F169" s="344" t="s">
        <v>621</v>
      </c>
      <c r="G169" s="358">
        <v>6.0827</v>
      </c>
      <c r="H169" s="344" t="s">
        <v>677</v>
      </c>
    </row>
    <row r="170" spans="1:8">
      <c r="A170" s="1"/>
      <c r="B170" s="1"/>
      <c r="C170" s="1"/>
      <c r="D170" s="1"/>
      <c r="E170" s="357">
        <v>43859</v>
      </c>
      <c r="F170" s="344" t="s">
        <v>625</v>
      </c>
      <c r="G170" s="358">
        <v>6.5370999999999997</v>
      </c>
      <c r="H170" s="344" t="s">
        <v>677</v>
      </c>
    </row>
    <row r="171" spans="1:8">
      <c r="A171" s="1"/>
      <c r="B171" s="1"/>
      <c r="C171" s="1"/>
      <c r="D171" s="1"/>
      <c r="E171" s="357">
        <v>43859</v>
      </c>
      <c r="F171" s="344" t="s">
        <v>628</v>
      </c>
      <c r="G171" s="358">
        <v>7.7190000000000003</v>
      </c>
      <c r="H171" s="344" t="s">
        <v>677</v>
      </c>
    </row>
    <row r="172" spans="1:8">
      <c r="A172" s="1"/>
      <c r="B172" s="1"/>
      <c r="C172" s="1"/>
      <c r="D172" s="1"/>
      <c r="E172" s="357">
        <v>43859</v>
      </c>
      <c r="F172" s="344" t="s">
        <v>631</v>
      </c>
      <c r="G172" s="358">
        <v>5.9405000000000001</v>
      </c>
      <c r="H172" s="344" t="s">
        <v>677</v>
      </c>
    </row>
    <row r="173" spans="1:8">
      <c r="A173" s="1"/>
      <c r="B173" s="1"/>
      <c r="C173" s="1"/>
      <c r="D173" s="1"/>
      <c r="E173" s="357">
        <v>43860</v>
      </c>
      <c r="F173" s="344" t="s">
        <v>621</v>
      </c>
      <c r="G173" s="358">
        <v>6.1334</v>
      </c>
      <c r="H173" s="344" t="s">
        <v>678</v>
      </c>
    </row>
    <row r="174" spans="1:8">
      <c r="A174" s="1"/>
      <c r="B174" s="1"/>
      <c r="C174" s="1"/>
      <c r="D174" s="1"/>
      <c r="E174" s="357">
        <v>43860</v>
      </c>
      <c r="F174" s="344" t="s">
        <v>625</v>
      </c>
      <c r="G174" s="358">
        <v>6.5781999999999998</v>
      </c>
      <c r="H174" s="344" t="s">
        <v>678</v>
      </c>
    </row>
    <row r="175" spans="1:8">
      <c r="A175" s="1"/>
      <c r="B175" s="1"/>
      <c r="C175" s="1"/>
      <c r="D175" s="1"/>
      <c r="E175" s="357">
        <v>43860</v>
      </c>
      <c r="F175" s="344" t="s">
        <v>628</v>
      </c>
      <c r="G175" s="358">
        <v>7.7598000000000003</v>
      </c>
      <c r="H175" s="344" t="s">
        <v>678</v>
      </c>
    </row>
    <row r="176" spans="1:8">
      <c r="A176" s="1"/>
      <c r="B176" s="1"/>
      <c r="C176" s="1"/>
      <c r="D176" s="1"/>
      <c r="E176" s="357">
        <v>43860</v>
      </c>
      <c r="F176" s="344" t="s">
        <v>631</v>
      </c>
      <c r="G176" s="358">
        <v>5.9715999999999996</v>
      </c>
      <c r="H176" s="344" t="s">
        <v>678</v>
      </c>
    </row>
    <row r="177" spans="1:8">
      <c r="A177" s="1"/>
      <c r="B177" s="1"/>
      <c r="C177" s="1"/>
      <c r="D177" s="1"/>
      <c r="E177" s="357">
        <v>43861</v>
      </c>
      <c r="F177" s="344" t="s">
        <v>621</v>
      </c>
      <c r="G177" s="358">
        <v>6.1425999999999998</v>
      </c>
      <c r="H177" s="344" t="s">
        <v>679</v>
      </c>
    </row>
    <row r="178" spans="1:8">
      <c r="A178" s="1"/>
      <c r="B178" s="1"/>
      <c r="C178" s="1"/>
      <c r="D178" s="1"/>
      <c r="E178" s="357">
        <v>43861</v>
      </c>
      <c r="F178" s="344" t="s">
        <v>625</v>
      </c>
      <c r="G178" s="358">
        <v>6.5864000000000003</v>
      </c>
      <c r="H178" s="344" t="s">
        <v>679</v>
      </c>
    </row>
    <row r="179" spans="1:8">
      <c r="A179" s="1"/>
      <c r="B179" s="1"/>
      <c r="C179" s="1"/>
      <c r="D179" s="1"/>
      <c r="E179" s="357">
        <v>43861</v>
      </c>
      <c r="F179" s="344" t="s">
        <v>628</v>
      </c>
      <c r="G179" s="358">
        <v>7.8223000000000003</v>
      </c>
      <c r="H179" s="344" t="s">
        <v>679</v>
      </c>
    </row>
    <row r="180" spans="1:8">
      <c r="A180" s="1"/>
      <c r="B180" s="1"/>
      <c r="C180" s="1"/>
      <c r="D180" s="1"/>
      <c r="E180" s="357">
        <v>43861</v>
      </c>
      <c r="F180" s="344" t="s">
        <v>631</v>
      </c>
      <c r="G180" s="358">
        <v>5.9725999999999999</v>
      </c>
      <c r="H180" s="344" t="s">
        <v>679</v>
      </c>
    </row>
    <row r="181" spans="1:8">
      <c r="A181" s="1"/>
      <c r="B181" s="1"/>
      <c r="C181" s="1"/>
      <c r="D181" s="1"/>
      <c r="E181" s="357">
        <v>43864</v>
      </c>
      <c r="F181" s="344" t="s">
        <v>621</v>
      </c>
      <c r="G181" s="358">
        <v>6.1813000000000002</v>
      </c>
      <c r="H181" s="344" t="s">
        <v>680</v>
      </c>
    </row>
    <row r="182" spans="1:8">
      <c r="A182" s="1"/>
      <c r="B182" s="1"/>
      <c r="C182" s="1"/>
      <c r="D182" s="1"/>
      <c r="E182" s="357">
        <v>43864</v>
      </c>
      <c r="F182" s="344" t="s">
        <v>625</v>
      </c>
      <c r="G182" s="358">
        <v>6.6154000000000002</v>
      </c>
      <c r="H182" s="344" t="s">
        <v>680</v>
      </c>
    </row>
    <row r="183" spans="1:8">
      <c r="A183" s="1"/>
      <c r="B183" s="1"/>
      <c r="C183" s="1"/>
      <c r="D183" s="1"/>
      <c r="E183" s="357">
        <v>43864</v>
      </c>
      <c r="F183" s="344" t="s">
        <v>628</v>
      </c>
      <c r="G183" s="358">
        <v>7.8163999999999998</v>
      </c>
      <c r="H183" s="344" t="s">
        <v>680</v>
      </c>
    </row>
    <row r="184" spans="1:8">
      <c r="A184" s="1"/>
      <c r="B184" s="1"/>
      <c r="C184" s="1"/>
      <c r="D184" s="1"/>
      <c r="E184" s="357">
        <v>43864</v>
      </c>
      <c r="F184" s="344" t="s">
        <v>631</v>
      </c>
      <c r="G184" s="358">
        <v>5.9755000000000003</v>
      </c>
      <c r="H184" s="344" t="s">
        <v>680</v>
      </c>
    </row>
    <row r="185" spans="1:8">
      <c r="A185" s="1"/>
      <c r="B185" s="1"/>
      <c r="C185" s="1"/>
      <c r="D185" s="1"/>
      <c r="E185" s="357">
        <v>43865</v>
      </c>
      <c r="F185" s="344" t="s">
        <v>621</v>
      </c>
      <c r="G185" s="358">
        <v>6.1524999999999999</v>
      </c>
      <c r="H185" s="344" t="s">
        <v>681</v>
      </c>
    </row>
    <row r="186" spans="1:8">
      <c r="A186" s="1"/>
      <c r="B186" s="1"/>
      <c r="C186" s="1"/>
      <c r="D186" s="1"/>
      <c r="E186" s="357">
        <v>43865</v>
      </c>
      <c r="F186" s="344" t="s">
        <v>625</v>
      </c>
      <c r="G186" s="358">
        <v>6.6017000000000001</v>
      </c>
      <c r="H186" s="344" t="s">
        <v>681</v>
      </c>
    </row>
    <row r="187" spans="1:8">
      <c r="A187" s="1"/>
      <c r="B187" s="1"/>
      <c r="C187" s="1"/>
      <c r="D187" s="1"/>
      <c r="E187" s="357">
        <v>43865</v>
      </c>
      <c r="F187" s="344" t="s">
        <v>628</v>
      </c>
      <c r="G187" s="358">
        <v>7.7461000000000002</v>
      </c>
      <c r="H187" s="344" t="s">
        <v>681</v>
      </c>
    </row>
    <row r="188" spans="1:8">
      <c r="A188" s="1"/>
      <c r="B188" s="1"/>
      <c r="C188" s="1"/>
      <c r="D188" s="1"/>
      <c r="E188" s="357">
        <v>43865</v>
      </c>
      <c r="F188" s="344" t="s">
        <v>631</v>
      </c>
      <c r="G188" s="358">
        <v>5.9714</v>
      </c>
      <c r="H188" s="344" t="s">
        <v>681</v>
      </c>
    </row>
    <row r="189" spans="1:8">
      <c r="A189" s="1"/>
      <c r="B189" s="1"/>
      <c r="C189" s="1"/>
      <c r="D189" s="1"/>
      <c r="E189" s="357">
        <v>43866</v>
      </c>
      <c r="F189" s="344" t="s">
        <v>621</v>
      </c>
      <c r="G189" s="358">
        <v>6.1414999999999997</v>
      </c>
      <c r="H189" s="344" t="s">
        <v>682</v>
      </c>
    </row>
    <row r="190" spans="1:8">
      <c r="A190" s="1"/>
      <c r="B190" s="1"/>
      <c r="C190" s="1"/>
      <c r="D190" s="1"/>
      <c r="E190" s="357">
        <v>43866</v>
      </c>
      <c r="F190" s="344" t="s">
        <v>625</v>
      </c>
      <c r="G190" s="358">
        <v>6.5918000000000001</v>
      </c>
      <c r="H190" s="344" t="s">
        <v>682</v>
      </c>
    </row>
    <row r="191" spans="1:8">
      <c r="A191" s="1"/>
      <c r="B191" s="1"/>
      <c r="C191" s="1"/>
      <c r="D191" s="1"/>
      <c r="E191" s="357">
        <v>43866</v>
      </c>
      <c r="F191" s="344" t="s">
        <v>628</v>
      </c>
      <c r="G191" s="358">
        <v>7.7834000000000003</v>
      </c>
      <c r="H191" s="344" t="s">
        <v>682</v>
      </c>
    </row>
    <row r="192" spans="1:8">
      <c r="A192" s="1"/>
      <c r="B192" s="1"/>
      <c r="C192" s="1"/>
      <c r="D192" s="1"/>
      <c r="E192" s="357">
        <v>43866</v>
      </c>
      <c r="F192" s="344" t="s">
        <v>631</v>
      </c>
      <c r="G192" s="358">
        <v>5.976</v>
      </c>
      <c r="H192" s="344" t="s">
        <v>682</v>
      </c>
    </row>
    <row r="193" spans="1:8">
      <c r="A193" s="1"/>
      <c r="B193" s="1"/>
      <c r="C193" s="1"/>
      <c r="D193" s="1"/>
      <c r="E193" s="357">
        <v>43867</v>
      </c>
      <c r="F193" s="344" t="s">
        <v>621</v>
      </c>
      <c r="G193" s="358">
        <v>6.1219000000000001</v>
      </c>
      <c r="H193" s="344" t="s">
        <v>683</v>
      </c>
    </row>
    <row r="194" spans="1:8">
      <c r="A194" s="1"/>
      <c r="B194" s="1"/>
      <c r="C194" s="1"/>
      <c r="D194" s="1"/>
      <c r="E194" s="357">
        <v>43867</v>
      </c>
      <c r="F194" s="344" t="s">
        <v>625</v>
      </c>
      <c r="G194" s="358">
        <v>6.5761000000000003</v>
      </c>
      <c r="H194" s="344" t="s">
        <v>683</v>
      </c>
    </row>
    <row r="195" spans="1:8">
      <c r="A195" s="1"/>
      <c r="B195" s="1"/>
      <c r="C195" s="1"/>
      <c r="D195" s="1"/>
      <c r="E195" s="357">
        <v>43867</v>
      </c>
      <c r="F195" s="344" t="s">
        <v>628</v>
      </c>
      <c r="G195" s="358">
        <v>7.7438000000000002</v>
      </c>
      <c r="H195" s="344" t="s">
        <v>683</v>
      </c>
    </row>
    <row r="196" spans="1:8">
      <c r="A196" s="1"/>
      <c r="B196" s="1"/>
      <c r="C196" s="1"/>
      <c r="D196" s="1"/>
      <c r="E196" s="357">
        <v>43867</v>
      </c>
      <c r="F196" s="344" t="s">
        <v>631</v>
      </c>
      <c r="G196" s="358">
        <v>5.9782999999999999</v>
      </c>
      <c r="H196" s="344" t="s">
        <v>683</v>
      </c>
    </row>
    <row r="197" spans="1:8">
      <c r="A197" s="1"/>
      <c r="B197" s="1"/>
      <c r="C197" s="1"/>
      <c r="D197" s="1"/>
      <c r="E197" s="357">
        <v>43868</v>
      </c>
      <c r="F197" s="344" t="s">
        <v>621</v>
      </c>
      <c r="G197" s="358">
        <v>6.1112000000000002</v>
      </c>
      <c r="H197" s="344" t="s">
        <v>684</v>
      </c>
    </row>
    <row r="198" spans="1:8">
      <c r="A198" s="1"/>
      <c r="B198" s="1"/>
      <c r="C198" s="1"/>
      <c r="D198" s="1"/>
      <c r="E198" s="357">
        <v>43868</v>
      </c>
      <c r="F198" s="344" t="s">
        <v>625</v>
      </c>
      <c r="G198" s="358">
        <v>6.5518000000000001</v>
      </c>
      <c r="H198" s="344" t="s">
        <v>684</v>
      </c>
    </row>
    <row r="199" spans="1:8">
      <c r="A199" s="1"/>
      <c r="B199" s="1"/>
      <c r="C199" s="1"/>
      <c r="D199" s="1"/>
      <c r="E199" s="357">
        <v>43868</v>
      </c>
      <c r="F199" s="344" t="s">
        <v>628</v>
      </c>
      <c r="G199" s="358">
        <v>7.7172000000000001</v>
      </c>
      <c r="H199" s="344" t="s">
        <v>684</v>
      </c>
    </row>
    <row r="200" spans="1:8">
      <c r="A200" s="1"/>
      <c r="B200" s="1"/>
      <c r="C200" s="1"/>
      <c r="D200" s="1"/>
      <c r="E200" s="357">
        <v>43868</v>
      </c>
      <c r="F200" s="344" t="s">
        <v>631</v>
      </c>
      <c r="G200" s="358">
        <v>5.9775999999999998</v>
      </c>
      <c r="H200" s="344" t="s">
        <v>684</v>
      </c>
    </row>
    <row r="201" spans="1:8">
      <c r="A201" s="1"/>
      <c r="B201" s="1"/>
      <c r="C201" s="1"/>
      <c r="D201" s="1"/>
      <c r="E201" s="357">
        <v>43871</v>
      </c>
      <c r="F201" s="344" t="s">
        <v>621</v>
      </c>
      <c r="G201" s="358">
        <v>6.1181000000000001</v>
      </c>
      <c r="H201" s="344" t="s">
        <v>685</v>
      </c>
    </row>
    <row r="202" spans="1:8">
      <c r="A202" s="1"/>
      <c r="B202" s="1"/>
      <c r="C202" s="1"/>
      <c r="D202" s="1"/>
      <c r="E202" s="357">
        <v>43871</v>
      </c>
      <c r="F202" s="344" t="s">
        <v>625</v>
      </c>
      <c r="G202" s="358">
        <v>6.5644</v>
      </c>
      <c r="H202" s="344" t="s">
        <v>685</v>
      </c>
    </row>
    <row r="203" spans="1:8">
      <c r="A203" s="1"/>
      <c r="B203" s="1"/>
      <c r="C203" s="1"/>
      <c r="D203" s="1"/>
      <c r="E203" s="357">
        <v>43871</v>
      </c>
      <c r="F203" s="344" t="s">
        <v>628</v>
      </c>
      <c r="G203" s="358">
        <v>7.7230999999999996</v>
      </c>
      <c r="H203" s="344" t="s">
        <v>685</v>
      </c>
    </row>
    <row r="204" spans="1:8">
      <c r="A204" s="1"/>
      <c r="B204" s="1"/>
      <c r="C204" s="1"/>
      <c r="D204" s="1"/>
      <c r="E204" s="357">
        <v>43871</v>
      </c>
      <c r="F204" s="344" t="s">
        <v>631</v>
      </c>
      <c r="G204" s="358">
        <v>5.9950999999999999</v>
      </c>
      <c r="H204" s="344" t="s">
        <v>685</v>
      </c>
    </row>
    <row r="205" spans="1:8">
      <c r="A205" s="1"/>
      <c r="B205" s="1"/>
      <c r="C205" s="1"/>
      <c r="D205" s="1"/>
      <c r="E205" s="357">
        <v>43872</v>
      </c>
      <c r="F205" s="344" t="s">
        <v>621</v>
      </c>
      <c r="G205" s="358">
        <v>6.1504000000000003</v>
      </c>
      <c r="H205" s="344" t="s">
        <v>686</v>
      </c>
    </row>
    <row r="206" spans="1:8">
      <c r="A206" s="1"/>
      <c r="B206" s="1"/>
      <c r="C206" s="1"/>
      <c r="D206" s="1"/>
      <c r="E206" s="357">
        <v>43872</v>
      </c>
      <c r="F206" s="344" t="s">
        <v>625</v>
      </c>
      <c r="G206" s="358">
        <v>6.5777000000000001</v>
      </c>
      <c r="H206" s="344" t="s">
        <v>686</v>
      </c>
    </row>
    <row r="207" spans="1:8">
      <c r="A207" s="1"/>
      <c r="B207" s="1"/>
      <c r="C207" s="1"/>
      <c r="D207" s="1"/>
      <c r="E207" s="357">
        <v>43872</v>
      </c>
      <c r="F207" s="344" t="s">
        <v>628</v>
      </c>
      <c r="G207" s="358">
        <v>7.7740999999999998</v>
      </c>
      <c r="H207" s="344" t="s">
        <v>686</v>
      </c>
    </row>
    <row r="208" spans="1:8">
      <c r="A208" s="1"/>
      <c r="B208" s="1"/>
      <c r="C208" s="1"/>
      <c r="D208" s="1"/>
      <c r="E208" s="357">
        <v>43872</v>
      </c>
      <c r="F208" s="344" t="s">
        <v>631</v>
      </c>
      <c r="G208" s="358">
        <v>6.0270999999999999</v>
      </c>
      <c r="H208" s="344" t="s">
        <v>686</v>
      </c>
    </row>
    <row r="209" spans="1:8">
      <c r="A209" s="1"/>
      <c r="B209" s="1"/>
      <c r="C209" s="1"/>
      <c r="D209" s="1"/>
      <c r="E209" s="357">
        <v>43873</v>
      </c>
      <c r="F209" s="344" t="s">
        <v>621</v>
      </c>
      <c r="G209" s="358">
        <v>6.1593</v>
      </c>
      <c r="H209" s="344" t="s">
        <v>687</v>
      </c>
    </row>
    <row r="210" spans="1:8">
      <c r="A210" s="1"/>
      <c r="B210" s="1"/>
      <c r="C210" s="1"/>
      <c r="D210" s="1"/>
      <c r="E210" s="357">
        <v>43873</v>
      </c>
      <c r="F210" s="344" t="s">
        <v>625</v>
      </c>
      <c r="G210" s="358">
        <v>6.5728999999999997</v>
      </c>
      <c r="H210" s="344" t="s">
        <v>687</v>
      </c>
    </row>
    <row r="211" spans="1:8">
      <c r="A211" s="1"/>
      <c r="B211" s="1"/>
      <c r="C211" s="1"/>
      <c r="D211" s="1"/>
      <c r="E211" s="357">
        <v>43873</v>
      </c>
      <c r="F211" s="344" t="s">
        <v>628</v>
      </c>
      <c r="G211" s="358">
        <v>7.7979000000000003</v>
      </c>
      <c r="H211" s="344" t="s">
        <v>687</v>
      </c>
    </row>
    <row r="212" spans="1:8">
      <c r="A212" s="1"/>
      <c r="B212" s="1"/>
      <c r="C212" s="1"/>
      <c r="D212" s="1"/>
      <c r="E212" s="357">
        <v>43873</v>
      </c>
      <c r="F212" s="344" t="s">
        <v>631</v>
      </c>
      <c r="G212" s="358">
        <v>6.0214999999999996</v>
      </c>
      <c r="H212" s="344" t="s">
        <v>687</v>
      </c>
    </row>
    <row r="213" spans="1:8">
      <c r="A213" s="1"/>
      <c r="B213" s="1"/>
      <c r="C213" s="1"/>
      <c r="D213" s="1"/>
      <c r="E213" s="357">
        <v>43874</v>
      </c>
      <c r="F213" s="344" t="s">
        <v>621</v>
      </c>
      <c r="G213" s="358">
        <v>6.1719999999999997</v>
      </c>
      <c r="H213" s="344" t="s">
        <v>688</v>
      </c>
    </row>
    <row r="214" spans="1:8">
      <c r="A214" s="1"/>
      <c r="B214" s="1"/>
      <c r="C214" s="1"/>
      <c r="D214" s="1"/>
      <c r="E214" s="357">
        <v>43874</v>
      </c>
      <c r="F214" s="344" t="s">
        <v>625</v>
      </c>
      <c r="G214" s="358">
        <v>6.5754000000000001</v>
      </c>
      <c r="H214" s="344" t="s">
        <v>688</v>
      </c>
    </row>
    <row r="215" spans="1:8">
      <c r="A215" s="1"/>
      <c r="B215" s="1"/>
      <c r="C215" s="1"/>
      <c r="D215" s="1"/>
      <c r="E215" s="357">
        <v>43874</v>
      </c>
      <c r="F215" s="344" t="s">
        <v>628</v>
      </c>
      <c r="G215" s="358">
        <v>7.8297999999999996</v>
      </c>
      <c r="H215" s="344" t="s">
        <v>688</v>
      </c>
    </row>
    <row r="216" spans="1:8">
      <c r="A216" s="1"/>
      <c r="B216" s="1"/>
      <c r="C216" s="1"/>
      <c r="D216" s="1"/>
      <c r="E216" s="357">
        <v>43874</v>
      </c>
      <c r="F216" s="344" t="s">
        <v>631</v>
      </c>
      <c r="G216" s="358">
        <v>6.0458999999999996</v>
      </c>
      <c r="H216" s="344" t="s">
        <v>688</v>
      </c>
    </row>
    <row r="217" spans="1:8">
      <c r="A217" s="1"/>
      <c r="B217" s="1"/>
      <c r="C217" s="1"/>
      <c r="D217" s="1"/>
      <c r="E217" s="357">
        <v>43875</v>
      </c>
      <c r="F217" s="344" t="s">
        <v>621</v>
      </c>
      <c r="G217" s="358">
        <v>6.1513999999999998</v>
      </c>
      <c r="H217" s="344" t="s">
        <v>689</v>
      </c>
    </row>
    <row r="218" spans="1:8">
      <c r="A218" s="1"/>
      <c r="B218" s="1"/>
      <c r="C218" s="1"/>
      <c r="D218" s="1"/>
      <c r="E218" s="357">
        <v>43875</v>
      </c>
      <c r="F218" s="344" t="s">
        <v>625</v>
      </c>
      <c r="G218" s="358">
        <v>6.5549999999999997</v>
      </c>
      <c r="H218" s="344" t="s">
        <v>689</v>
      </c>
    </row>
    <row r="219" spans="1:8">
      <c r="A219" s="1"/>
      <c r="B219" s="1"/>
      <c r="C219" s="1"/>
      <c r="D219" s="1"/>
      <c r="E219" s="357">
        <v>43875</v>
      </c>
      <c r="F219" s="344" t="s">
        <v>628</v>
      </c>
      <c r="G219" s="358">
        <v>7.8718000000000004</v>
      </c>
      <c r="H219" s="344" t="s">
        <v>689</v>
      </c>
    </row>
    <row r="220" spans="1:8">
      <c r="A220" s="1"/>
      <c r="B220" s="1"/>
      <c r="C220" s="1"/>
      <c r="D220" s="1"/>
      <c r="E220" s="357">
        <v>43875</v>
      </c>
      <c r="F220" s="344" t="s">
        <v>631</v>
      </c>
      <c r="G220" s="358">
        <v>6.0469999999999997</v>
      </c>
      <c r="H220" s="344" t="s">
        <v>689</v>
      </c>
    </row>
    <row r="221" spans="1:8">
      <c r="A221" s="1"/>
      <c r="B221" s="1"/>
      <c r="C221" s="1"/>
      <c r="D221" s="1"/>
      <c r="E221" s="357">
        <v>43878</v>
      </c>
      <c r="F221" s="344" t="s">
        <v>621</v>
      </c>
      <c r="G221" s="358">
        <v>6.1325000000000003</v>
      </c>
      <c r="H221" s="344" t="s">
        <v>690</v>
      </c>
    </row>
    <row r="222" spans="1:8">
      <c r="A222" s="1"/>
      <c r="B222" s="1"/>
      <c r="C222" s="1"/>
      <c r="D222" s="1"/>
      <c r="E222" s="357">
        <v>43878</v>
      </c>
      <c r="F222" s="344" t="s">
        <v>625</v>
      </c>
      <c r="G222" s="358">
        <v>6.5434999999999999</v>
      </c>
      <c r="H222" s="344" t="s">
        <v>690</v>
      </c>
    </row>
    <row r="223" spans="1:8">
      <c r="A223" s="1"/>
      <c r="B223" s="1"/>
      <c r="C223" s="1"/>
      <c r="D223" s="1"/>
      <c r="E223" s="357">
        <v>43878</v>
      </c>
      <c r="F223" s="344" t="s">
        <v>628</v>
      </c>
      <c r="G223" s="358">
        <v>7.8532000000000002</v>
      </c>
      <c r="H223" s="344" t="s">
        <v>690</v>
      </c>
    </row>
    <row r="224" spans="1:8">
      <c r="A224" s="1"/>
      <c r="B224" s="1"/>
      <c r="C224" s="1"/>
      <c r="D224" s="1"/>
      <c r="E224" s="357">
        <v>43878</v>
      </c>
      <c r="F224" s="344" t="s">
        <v>631</v>
      </c>
      <c r="G224" s="358">
        <v>6.0350999999999999</v>
      </c>
      <c r="H224" s="344" t="s">
        <v>690</v>
      </c>
    </row>
    <row r="225" spans="1:8">
      <c r="A225" s="1"/>
      <c r="B225" s="1"/>
      <c r="C225" s="1"/>
      <c r="D225" s="1"/>
      <c r="E225" s="357">
        <v>43879</v>
      </c>
      <c r="F225" s="344" t="s">
        <v>621</v>
      </c>
      <c r="G225" s="358">
        <v>6.1630000000000003</v>
      </c>
      <c r="H225" s="344" t="s">
        <v>691</v>
      </c>
    </row>
    <row r="226" spans="1:8">
      <c r="A226" s="1"/>
      <c r="B226" s="1"/>
      <c r="C226" s="1"/>
      <c r="D226" s="1"/>
      <c r="E226" s="357">
        <v>43879</v>
      </c>
      <c r="F226" s="344" t="s">
        <v>625</v>
      </c>
      <c r="G226" s="358">
        <v>6.5595999999999997</v>
      </c>
      <c r="H226" s="344" t="s">
        <v>691</v>
      </c>
    </row>
    <row r="227" spans="1:8">
      <c r="A227" s="1"/>
      <c r="B227" s="1"/>
      <c r="C227" s="1"/>
      <c r="D227" s="1"/>
      <c r="E227" s="357">
        <v>43879</v>
      </c>
      <c r="F227" s="344" t="s">
        <v>628</v>
      </c>
      <c r="G227" s="358">
        <v>7.8646000000000003</v>
      </c>
      <c r="H227" s="344" t="s">
        <v>691</v>
      </c>
    </row>
    <row r="228" spans="1:8">
      <c r="A228" s="1"/>
      <c r="B228" s="1"/>
      <c r="C228" s="1"/>
      <c r="D228" s="1"/>
      <c r="E228" s="357">
        <v>43879</v>
      </c>
      <c r="F228" s="344" t="s">
        <v>631</v>
      </c>
      <c r="G228" s="358">
        <v>6.0578000000000003</v>
      </c>
      <c r="H228" s="344" t="s">
        <v>691</v>
      </c>
    </row>
    <row r="229" spans="1:8">
      <c r="A229" s="1"/>
      <c r="B229" s="1"/>
      <c r="C229" s="1"/>
      <c r="D229" s="1"/>
      <c r="E229" s="357">
        <v>43880</v>
      </c>
      <c r="F229" s="344" t="s">
        <v>621</v>
      </c>
      <c r="G229" s="358">
        <v>6.1456999999999997</v>
      </c>
      <c r="H229" s="344" t="s">
        <v>692</v>
      </c>
    </row>
    <row r="230" spans="1:8">
      <c r="A230" s="1"/>
      <c r="B230" s="1"/>
      <c r="C230" s="1"/>
      <c r="D230" s="1"/>
      <c r="E230" s="357">
        <v>43880</v>
      </c>
      <c r="F230" s="344" t="s">
        <v>625</v>
      </c>
      <c r="G230" s="358">
        <v>6.5427999999999997</v>
      </c>
      <c r="H230" s="344" t="s">
        <v>692</v>
      </c>
    </row>
    <row r="231" spans="1:8">
      <c r="A231" s="1"/>
      <c r="B231" s="1"/>
      <c r="C231" s="1"/>
      <c r="D231" s="1"/>
      <c r="E231" s="357">
        <v>43880</v>
      </c>
      <c r="F231" s="344" t="s">
        <v>628</v>
      </c>
      <c r="G231" s="358">
        <v>7.8593999999999999</v>
      </c>
      <c r="H231" s="344" t="s">
        <v>692</v>
      </c>
    </row>
    <row r="232" spans="1:8">
      <c r="A232" s="1"/>
      <c r="B232" s="1"/>
      <c r="C232" s="1"/>
      <c r="D232" s="1"/>
      <c r="E232" s="357">
        <v>43880</v>
      </c>
      <c r="F232" s="344" t="s">
        <v>631</v>
      </c>
      <c r="G232" s="358">
        <v>6.0580999999999996</v>
      </c>
      <c r="H232" s="344" t="s">
        <v>692</v>
      </c>
    </row>
    <row r="233" spans="1:8">
      <c r="A233" s="1"/>
      <c r="B233" s="1"/>
      <c r="C233" s="1"/>
      <c r="D233" s="1"/>
      <c r="E233" s="357">
        <v>43881</v>
      </c>
      <c r="F233" s="344" t="s">
        <v>621</v>
      </c>
      <c r="G233" s="358">
        <v>6.1717000000000004</v>
      </c>
      <c r="H233" s="344" t="s">
        <v>693</v>
      </c>
    </row>
    <row r="234" spans="1:8">
      <c r="A234" s="1"/>
      <c r="B234" s="1"/>
      <c r="C234" s="1"/>
      <c r="D234" s="1"/>
      <c r="E234" s="357">
        <v>43881</v>
      </c>
      <c r="F234" s="344" t="s">
        <v>625</v>
      </c>
      <c r="G234" s="358">
        <v>6.5654000000000003</v>
      </c>
      <c r="H234" s="344" t="s">
        <v>693</v>
      </c>
    </row>
    <row r="235" spans="1:8">
      <c r="A235" s="1"/>
      <c r="B235" s="1"/>
      <c r="C235" s="1"/>
      <c r="D235" s="1"/>
      <c r="E235" s="357">
        <v>43881</v>
      </c>
      <c r="F235" s="344" t="s">
        <v>628</v>
      </c>
      <c r="G235" s="358">
        <v>7.8285999999999998</v>
      </c>
      <c r="H235" s="344" t="s">
        <v>693</v>
      </c>
    </row>
    <row r="236" spans="1:8">
      <c r="A236" s="1"/>
      <c r="B236" s="1"/>
      <c r="C236" s="1"/>
      <c r="D236" s="1"/>
      <c r="E236" s="357">
        <v>43881</v>
      </c>
      <c r="F236" s="344" t="s">
        <v>631</v>
      </c>
      <c r="G236" s="358">
        <v>6.0823999999999998</v>
      </c>
      <c r="H236" s="344" t="s">
        <v>693</v>
      </c>
    </row>
    <row r="237" spans="1:8">
      <c r="A237" s="1"/>
      <c r="B237" s="1"/>
      <c r="C237" s="1"/>
      <c r="D237" s="1"/>
      <c r="E237" s="357">
        <v>43882</v>
      </c>
      <c r="F237" s="344" t="s">
        <v>621</v>
      </c>
      <c r="G237" s="358">
        <v>6.1989000000000001</v>
      </c>
      <c r="H237" s="344" t="s">
        <v>694</v>
      </c>
    </row>
    <row r="238" spans="1:8">
      <c r="A238" s="1"/>
      <c r="B238" s="1"/>
      <c r="C238" s="1"/>
      <c r="D238" s="1"/>
      <c r="E238" s="357">
        <v>43882</v>
      </c>
      <c r="F238" s="344" t="s">
        <v>625</v>
      </c>
      <c r="G238" s="358">
        <v>6.5922000000000001</v>
      </c>
      <c r="H238" s="344" t="s">
        <v>694</v>
      </c>
    </row>
    <row r="239" spans="1:8">
      <c r="A239" s="1"/>
      <c r="B239" s="1"/>
      <c r="C239" s="1"/>
      <c r="D239" s="1"/>
      <c r="E239" s="357">
        <v>43882</v>
      </c>
      <c r="F239" s="344" t="s">
        <v>628</v>
      </c>
      <c r="G239" s="358">
        <v>7.8658999999999999</v>
      </c>
      <c r="H239" s="344" t="s">
        <v>694</v>
      </c>
    </row>
    <row r="240" spans="1:8">
      <c r="A240" s="1"/>
      <c r="B240" s="1"/>
      <c r="C240" s="1"/>
      <c r="D240" s="1"/>
      <c r="E240" s="357">
        <v>43882</v>
      </c>
      <c r="F240" s="344" t="s">
        <v>631</v>
      </c>
      <c r="G240" s="358">
        <v>6.1022999999999996</v>
      </c>
      <c r="H240" s="344" t="s">
        <v>694</v>
      </c>
    </row>
    <row r="241" spans="1:8">
      <c r="A241" s="1"/>
      <c r="B241" s="1"/>
      <c r="C241" s="1"/>
      <c r="D241" s="1"/>
      <c r="E241" s="357">
        <v>43885</v>
      </c>
      <c r="F241" s="344" t="s">
        <v>621</v>
      </c>
      <c r="G241" s="358">
        <v>6.2447999999999997</v>
      </c>
      <c r="H241" s="344" t="s">
        <v>695</v>
      </c>
    </row>
    <row r="242" spans="1:8">
      <c r="A242" s="1"/>
      <c r="B242" s="1"/>
      <c r="C242" s="1"/>
      <c r="D242" s="1"/>
      <c r="E242" s="357">
        <v>43885</v>
      </c>
      <c r="F242" s="344" t="s">
        <v>625</v>
      </c>
      <c r="G242" s="358">
        <v>6.6409000000000002</v>
      </c>
      <c r="H242" s="344" t="s">
        <v>695</v>
      </c>
    </row>
    <row r="243" spans="1:8">
      <c r="A243" s="1"/>
      <c r="B243" s="1"/>
      <c r="C243" s="1"/>
      <c r="D243" s="1"/>
      <c r="E243" s="357">
        <v>43885</v>
      </c>
      <c r="F243" s="344" t="s">
        <v>628</v>
      </c>
      <c r="G243" s="358">
        <v>7.9161000000000001</v>
      </c>
      <c r="H243" s="344" t="s">
        <v>695</v>
      </c>
    </row>
    <row r="244" spans="1:8">
      <c r="A244" s="1"/>
      <c r="B244" s="1"/>
      <c r="C244" s="1"/>
      <c r="D244" s="1"/>
      <c r="E244" s="357">
        <v>43885</v>
      </c>
      <c r="F244" s="344" t="s">
        <v>631</v>
      </c>
      <c r="G244" s="358">
        <v>6.1383000000000001</v>
      </c>
      <c r="H244" s="344" t="s">
        <v>695</v>
      </c>
    </row>
    <row r="245" spans="1:8">
      <c r="A245" s="1"/>
      <c r="B245" s="1"/>
      <c r="C245" s="1"/>
      <c r="D245" s="1"/>
      <c r="E245" s="357">
        <v>43886</v>
      </c>
      <c r="F245" s="344" t="s">
        <v>621</v>
      </c>
      <c r="G245" s="358">
        <v>6.2424999999999997</v>
      </c>
      <c r="H245" s="344" t="s">
        <v>696</v>
      </c>
    </row>
    <row r="246" spans="1:8">
      <c r="A246" s="1"/>
      <c r="B246" s="1"/>
      <c r="C246" s="1"/>
      <c r="D246" s="1"/>
      <c r="E246" s="357">
        <v>43886</v>
      </c>
      <c r="F246" s="344" t="s">
        <v>625</v>
      </c>
      <c r="G246" s="358">
        <v>6.6416000000000004</v>
      </c>
      <c r="H246" s="344" t="s">
        <v>696</v>
      </c>
    </row>
    <row r="247" spans="1:8">
      <c r="A247" s="1"/>
      <c r="B247" s="1"/>
      <c r="C247" s="1"/>
      <c r="D247" s="1"/>
      <c r="E247" s="357">
        <v>43886</v>
      </c>
      <c r="F247" s="344" t="s">
        <v>628</v>
      </c>
      <c r="G247" s="358">
        <v>7.9245000000000001</v>
      </c>
      <c r="H247" s="344" t="s">
        <v>696</v>
      </c>
    </row>
    <row r="248" spans="1:8">
      <c r="A248" s="1"/>
      <c r="B248" s="1"/>
      <c r="C248" s="1"/>
      <c r="D248" s="1"/>
      <c r="E248" s="357">
        <v>43886</v>
      </c>
      <c r="F248" s="344" t="s">
        <v>631</v>
      </c>
      <c r="G248" s="358">
        <v>6.1218000000000004</v>
      </c>
      <c r="H248" s="344" t="s">
        <v>696</v>
      </c>
    </row>
    <row r="249" spans="1:8">
      <c r="A249" s="1"/>
      <c r="B249" s="1"/>
      <c r="C249" s="1"/>
      <c r="D249" s="1"/>
      <c r="E249" s="357">
        <v>43887</v>
      </c>
      <c r="F249" s="344" t="s">
        <v>621</v>
      </c>
      <c r="G249" s="358">
        <v>6.2896000000000001</v>
      </c>
      <c r="H249" s="344" t="s">
        <v>697</v>
      </c>
    </row>
    <row r="250" spans="1:8">
      <c r="A250" s="1"/>
      <c r="B250" s="1"/>
      <c r="C250" s="1"/>
      <c r="D250" s="1"/>
      <c r="E250" s="357">
        <v>43887</v>
      </c>
      <c r="F250" s="344" t="s">
        <v>625</v>
      </c>
      <c r="G250" s="358">
        <v>6.6890000000000001</v>
      </c>
      <c r="H250" s="344" t="s">
        <v>697</v>
      </c>
    </row>
    <row r="251" spans="1:8">
      <c r="A251" s="1"/>
      <c r="B251" s="1"/>
      <c r="C251" s="1"/>
      <c r="D251" s="1"/>
      <c r="E251" s="357">
        <v>43887</v>
      </c>
      <c r="F251" s="344" t="s">
        <v>628</v>
      </c>
      <c r="G251" s="358">
        <v>7.9520999999999997</v>
      </c>
      <c r="H251" s="344" t="s">
        <v>697</v>
      </c>
    </row>
    <row r="252" spans="1:8">
      <c r="A252" s="1"/>
      <c r="B252" s="1"/>
      <c r="C252" s="1"/>
      <c r="D252" s="1"/>
      <c r="E252" s="357">
        <v>43887</v>
      </c>
      <c r="F252" s="344" t="s">
        <v>631</v>
      </c>
      <c r="G252" s="358">
        <v>6.1463000000000001</v>
      </c>
      <c r="H252" s="344" t="s">
        <v>697</v>
      </c>
    </row>
    <row r="253" spans="1:8">
      <c r="A253" s="1"/>
      <c r="B253" s="1"/>
      <c r="C253" s="1"/>
      <c r="D253" s="1"/>
      <c r="E253" s="357">
        <v>43888</v>
      </c>
      <c r="F253" s="344" t="s">
        <v>621</v>
      </c>
      <c r="G253" s="358">
        <v>6.3216999999999999</v>
      </c>
      <c r="H253" s="344" t="s">
        <v>698</v>
      </c>
    </row>
    <row r="254" spans="1:8">
      <c r="A254" s="1"/>
      <c r="B254" s="1"/>
      <c r="C254" s="1"/>
      <c r="D254" s="1"/>
      <c r="E254" s="357">
        <v>43888</v>
      </c>
      <c r="F254" s="344" t="s">
        <v>625</v>
      </c>
      <c r="G254" s="358">
        <v>6.7343999999999999</v>
      </c>
      <c r="H254" s="344" t="s">
        <v>698</v>
      </c>
    </row>
    <row r="255" spans="1:8">
      <c r="A255" s="1"/>
      <c r="B255" s="1"/>
      <c r="C255" s="1"/>
      <c r="D255" s="1"/>
      <c r="E255" s="357">
        <v>43888</v>
      </c>
      <c r="F255" s="344" t="s">
        <v>628</v>
      </c>
      <c r="G255" s="358">
        <v>7.9349999999999996</v>
      </c>
      <c r="H255" s="344" t="s">
        <v>698</v>
      </c>
    </row>
    <row r="256" spans="1:8">
      <c r="A256" s="1"/>
      <c r="B256" s="1"/>
      <c r="C256" s="1"/>
      <c r="D256" s="1"/>
      <c r="E256" s="357">
        <v>43888</v>
      </c>
      <c r="F256" s="344" t="s">
        <v>631</v>
      </c>
      <c r="G256" s="358">
        <v>6.1593</v>
      </c>
      <c r="H256" s="344" t="s">
        <v>698</v>
      </c>
    </row>
    <row r="257" spans="1:8">
      <c r="A257" s="1"/>
      <c r="B257" s="1"/>
      <c r="C257" s="1"/>
      <c r="D257" s="1"/>
      <c r="E257" s="357">
        <v>43889</v>
      </c>
      <c r="F257" s="344" t="s">
        <v>621</v>
      </c>
      <c r="G257" s="358">
        <v>6.4347000000000003</v>
      </c>
      <c r="H257" s="344" t="s">
        <v>699</v>
      </c>
    </row>
    <row r="258" spans="1:8">
      <c r="A258" s="1"/>
      <c r="B258" s="1"/>
      <c r="C258" s="1"/>
      <c r="D258" s="1"/>
      <c r="E258" s="357">
        <v>43889</v>
      </c>
      <c r="F258" s="344" t="s">
        <v>625</v>
      </c>
      <c r="G258" s="358">
        <v>6.8592000000000004</v>
      </c>
      <c r="H258" s="344" t="s">
        <v>699</v>
      </c>
    </row>
    <row r="259" spans="1:8">
      <c r="A259" s="1"/>
      <c r="B259" s="1"/>
      <c r="C259" s="1"/>
      <c r="D259" s="1"/>
      <c r="E259" s="357">
        <v>43889</v>
      </c>
      <c r="F259" s="344" t="s">
        <v>628</v>
      </c>
      <c r="G259" s="358">
        <v>8.0068000000000001</v>
      </c>
      <c r="H259" s="344" t="s">
        <v>699</v>
      </c>
    </row>
    <row r="260" spans="1:8">
      <c r="A260" s="1"/>
      <c r="B260" s="1"/>
      <c r="C260" s="1"/>
      <c r="D260" s="1"/>
      <c r="E260" s="357">
        <v>43889</v>
      </c>
      <c r="F260" s="344" t="s">
        <v>631</v>
      </c>
      <c r="G260" s="358">
        <v>6.2259000000000002</v>
      </c>
      <c r="H260" s="344" t="s">
        <v>699</v>
      </c>
    </row>
    <row r="261" spans="1:8">
      <c r="A261" s="1"/>
      <c r="B261" s="1"/>
      <c r="C261" s="1"/>
      <c r="D261" s="1"/>
      <c r="E261" s="357">
        <v>43892</v>
      </c>
      <c r="F261" s="344" t="s">
        <v>621</v>
      </c>
      <c r="G261" s="358">
        <v>6.4489000000000001</v>
      </c>
      <c r="H261" s="344" t="s">
        <v>700</v>
      </c>
    </row>
    <row r="262" spans="1:8">
      <c r="A262" s="1"/>
      <c r="B262" s="1"/>
      <c r="C262" s="1"/>
      <c r="D262" s="1"/>
      <c r="E262" s="357">
        <v>43892</v>
      </c>
      <c r="F262" s="344" t="s">
        <v>625</v>
      </c>
      <c r="G262" s="358">
        <v>6.8902999999999999</v>
      </c>
      <c r="H262" s="344" t="s">
        <v>700</v>
      </c>
    </row>
    <row r="263" spans="1:8">
      <c r="A263" s="1"/>
      <c r="B263" s="1"/>
      <c r="C263" s="1"/>
      <c r="D263" s="1"/>
      <c r="E263" s="357">
        <v>43892</v>
      </c>
      <c r="F263" s="344" t="s">
        <v>628</v>
      </c>
      <c r="G263" s="358">
        <v>7.9419000000000004</v>
      </c>
      <c r="H263" s="344" t="s">
        <v>700</v>
      </c>
    </row>
    <row r="264" spans="1:8">
      <c r="A264" s="1"/>
      <c r="B264" s="1"/>
      <c r="C264" s="1"/>
      <c r="D264" s="1"/>
      <c r="E264" s="357">
        <v>43892</v>
      </c>
      <c r="F264" s="344" t="s">
        <v>631</v>
      </c>
      <c r="G264" s="358">
        <v>6.2191999999999998</v>
      </c>
      <c r="H264" s="344" t="s">
        <v>700</v>
      </c>
    </row>
    <row r="265" spans="1:8">
      <c r="A265" s="1"/>
      <c r="B265" s="1"/>
      <c r="C265" s="1"/>
      <c r="D265" s="1"/>
      <c r="E265" s="357">
        <v>43893</v>
      </c>
      <c r="F265" s="344" t="s">
        <v>621</v>
      </c>
      <c r="G265" s="358">
        <v>6.4496000000000002</v>
      </c>
      <c r="H265" s="344" t="s">
        <v>701</v>
      </c>
    </row>
    <row r="266" spans="1:8">
      <c r="A266" s="1"/>
      <c r="B266" s="1"/>
      <c r="C266" s="1"/>
      <c r="D266" s="1"/>
      <c r="E266" s="357">
        <v>43893</v>
      </c>
      <c r="F266" s="344" t="s">
        <v>625</v>
      </c>
      <c r="G266" s="358">
        <v>6.8888999999999996</v>
      </c>
      <c r="H266" s="344" t="s">
        <v>701</v>
      </c>
    </row>
    <row r="267" spans="1:8">
      <c r="A267" s="1"/>
      <c r="B267" s="1"/>
      <c r="C267" s="1"/>
      <c r="D267" s="1"/>
      <c r="E267" s="357">
        <v>43893</v>
      </c>
      <c r="F267" s="344" t="s">
        <v>628</v>
      </c>
      <c r="G267" s="358">
        <v>7.9065000000000003</v>
      </c>
      <c r="H267" s="344" t="s">
        <v>701</v>
      </c>
    </row>
    <row r="268" spans="1:8">
      <c r="A268" s="1"/>
      <c r="B268" s="1"/>
      <c r="C268" s="1"/>
      <c r="D268" s="1"/>
      <c r="E268" s="357">
        <v>43893</v>
      </c>
      <c r="F268" s="344" t="s">
        <v>631</v>
      </c>
      <c r="G268" s="358">
        <v>6.1943000000000001</v>
      </c>
      <c r="H268" s="344" t="s">
        <v>701</v>
      </c>
    </row>
    <row r="269" spans="1:8">
      <c r="A269" s="1"/>
      <c r="B269" s="1"/>
      <c r="C269" s="1"/>
      <c r="D269" s="1"/>
      <c r="E269" s="357">
        <v>43894</v>
      </c>
      <c r="F269" s="344" t="s">
        <v>621</v>
      </c>
      <c r="G269" s="358">
        <v>6.3555999999999999</v>
      </c>
      <c r="H269" s="344" t="s">
        <v>702</v>
      </c>
    </row>
    <row r="270" spans="1:8">
      <c r="A270" s="1"/>
      <c r="B270" s="1"/>
      <c r="C270" s="1"/>
      <c r="D270" s="1"/>
      <c r="E270" s="357">
        <v>43894</v>
      </c>
      <c r="F270" s="344" t="s">
        <v>625</v>
      </c>
      <c r="G270" s="358">
        <v>6.7927</v>
      </c>
      <c r="H270" s="344" t="s">
        <v>702</v>
      </c>
    </row>
    <row r="271" spans="1:8">
      <c r="A271" s="1"/>
      <c r="B271" s="1"/>
      <c r="C271" s="1"/>
      <c r="D271" s="1"/>
      <c r="E271" s="357">
        <v>43894</v>
      </c>
      <c r="F271" s="344" t="s">
        <v>628</v>
      </c>
      <c r="G271" s="358">
        <v>7.7777000000000003</v>
      </c>
      <c r="H271" s="344" t="s">
        <v>702</v>
      </c>
    </row>
    <row r="272" spans="1:8">
      <c r="A272" s="1"/>
      <c r="B272" s="1"/>
      <c r="C272" s="1"/>
      <c r="D272" s="1"/>
      <c r="E272" s="357">
        <v>43894</v>
      </c>
      <c r="F272" s="344" t="s">
        <v>631</v>
      </c>
      <c r="G272" s="358">
        <v>6.0903999999999998</v>
      </c>
      <c r="H272" s="344" t="s">
        <v>702</v>
      </c>
    </row>
    <row r="273" spans="1:8">
      <c r="A273" s="1"/>
      <c r="B273" s="1"/>
      <c r="C273" s="1"/>
      <c r="D273" s="1"/>
      <c r="E273" s="357">
        <v>43895</v>
      </c>
      <c r="F273" s="344" t="s">
        <v>621</v>
      </c>
      <c r="G273" s="358">
        <v>6.3518999999999997</v>
      </c>
      <c r="H273" s="344" t="s">
        <v>703</v>
      </c>
    </row>
    <row r="274" spans="1:8">
      <c r="A274" s="1"/>
      <c r="B274" s="1"/>
      <c r="C274" s="1"/>
      <c r="D274" s="1"/>
      <c r="E274" s="357">
        <v>43895</v>
      </c>
      <c r="F274" s="344" t="s">
        <v>625</v>
      </c>
      <c r="G274" s="358">
        <v>6.7779999999999996</v>
      </c>
      <c r="H274" s="344" t="s">
        <v>703</v>
      </c>
    </row>
    <row r="275" spans="1:8">
      <c r="A275" s="1"/>
      <c r="B275" s="1"/>
      <c r="C275" s="1"/>
      <c r="D275" s="1"/>
      <c r="E275" s="357">
        <v>43895</v>
      </c>
      <c r="F275" s="344" t="s">
        <v>628</v>
      </c>
      <c r="G275" s="358">
        <v>7.8265000000000002</v>
      </c>
      <c r="H275" s="344" t="s">
        <v>703</v>
      </c>
    </row>
    <row r="276" spans="1:8">
      <c r="A276" s="1"/>
      <c r="B276" s="1"/>
      <c r="C276" s="1"/>
      <c r="D276" s="1"/>
      <c r="E276" s="357">
        <v>43895</v>
      </c>
      <c r="F276" s="344" t="s">
        <v>631</v>
      </c>
      <c r="G276" s="358">
        <v>6.0772000000000004</v>
      </c>
      <c r="H276" s="344" t="s">
        <v>703</v>
      </c>
    </row>
    <row r="277" spans="1:8">
      <c r="A277" s="1"/>
      <c r="B277" s="1"/>
      <c r="C277" s="1"/>
      <c r="D277" s="1"/>
      <c r="E277" s="357">
        <v>43896</v>
      </c>
      <c r="F277" s="344" t="s">
        <v>621</v>
      </c>
      <c r="G277" s="358">
        <v>6.4550000000000001</v>
      </c>
      <c r="H277" s="344" t="s">
        <v>704</v>
      </c>
    </row>
    <row r="278" spans="1:8">
      <c r="A278" s="1"/>
      <c r="B278" s="1"/>
      <c r="C278" s="1"/>
      <c r="D278" s="1"/>
      <c r="E278" s="357">
        <v>43896</v>
      </c>
      <c r="F278" s="344" t="s">
        <v>625</v>
      </c>
      <c r="G278" s="358">
        <v>6.8604000000000003</v>
      </c>
      <c r="H278" s="344" t="s">
        <v>704</v>
      </c>
    </row>
    <row r="279" spans="1:8">
      <c r="A279" s="1"/>
      <c r="B279" s="1"/>
      <c r="C279" s="1"/>
      <c r="D279" s="1"/>
      <c r="E279" s="357">
        <v>43896</v>
      </c>
      <c r="F279" s="344" t="s">
        <v>628</v>
      </c>
      <c r="G279" s="358">
        <v>7.8841000000000001</v>
      </c>
      <c r="H279" s="344" t="s">
        <v>704</v>
      </c>
    </row>
    <row r="280" spans="1:8">
      <c r="A280" s="1"/>
      <c r="B280" s="1"/>
      <c r="C280" s="1"/>
      <c r="D280" s="1"/>
      <c r="E280" s="357">
        <v>43896</v>
      </c>
      <c r="F280" s="344" t="s">
        <v>631</v>
      </c>
      <c r="G280" s="358">
        <v>6.0820999999999996</v>
      </c>
      <c r="H280" s="344" t="s">
        <v>704</v>
      </c>
    </row>
    <row r="281" spans="1:8">
      <c r="A281" s="1"/>
      <c r="B281" s="1"/>
      <c r="C281" s="1"/>
      <c r="D281" s="1"/>
      <c r="E281" s="357">
        <v>43899</v>
      </c>
      <c r="F281" s="344" t="s">
        <v>621</v>
      </c>
      <c r="G281" s="358">
        <v>6.5750999999999999</v>
      </c>
      <c r="H281" s="344" t="s">
        <v>705</v>
      </c>
    </row>
    <row r="282" spans="1:8">
      <c r="A282" s="1"/>
      <c r="B282" s="1"/>
      <c r="C282" s="1"/>
      <c r="D282" s="1"/>
      <c r="E282" s="357">
        <v>43899</v>
      </c>
      <c r="F282" s="344" t="s">
        <v>625</v>
      </c>
      <c r="G282" s="358">
        <v>6.9734999999999996</v>
      </c>
      <c r="H282" s="344" t="s">
        <v>705</v>
      </c>
    </row>
    <row r="283" spans="1:8">
      <c r="A283" s="1"/>
      <c r="B283" s="1"/>
      <c r="C283" s="1"/>
      <c r="D283" s="1"/>
      <c r="E283" s="357">
        <v>43899</v>
      </c>
      <c r="F283" s="344" t="s">
        <v>628</v>
      </c>
      <c r="G283" s="358">
        <v>8.0050000000000008</v>
      </c>
      <c r="H283" s="344" t="s">
        <v>705</v>
      </c>
    </row>
    <row r="284" spans="1:8">
      <c r="A284" s="1"/>
      <c r="B284" s="1"/>
      <c r="C284" s="1"/>
      <c r="D284" s="1"/>
      <c r="E284" s="357">
        <v>43899</v>
      </c>
      <c r="F284" s="344" t="s">
        <v>631</v>
      </c>
      <c r="G284" s="358">
        <v>6.1097999999999999</v>
      </c>
      <c r="H284" s="344" t="s">
        <v>705</v>
      </c>
    </row>
    <row r="285" spans="1:8">
      <c r="A285" s="1"/>
      <c r="B285" s="1"/>
      <c r="C285" s="1"/>
      <c r="D285" s="1"/>
      <c r="E285" s="357">
        <v>43900</v>
      </c>
      <c r="F285" s="344" t="s">
        <v>621</v>
      </c>
      <c r="G285" s="358">
        <v>6.5389999999999997</v>
      </c>
      <c r="H285" s="344" t="s">
        <v>706</v>
      </c>
    </row>
    <row r="286" spans="1:8">
      <c r="A286" s="1"/>
      <c r="B286" s="1"/>
      <c r="C286" s="1"/>
      <c r="D286" s="1"/>
      <c r="E286" s="357">
        <v>43900</v>
      </c>
      <c r="F286" s="344" t="s">
        <v>625</v>
      </c>
      <c r="G286" s="358">
        <v>6.9455</v>
      </c>
      <c r="H286" s="344" t="s">
        <v>706</v>
      </c>
    </row>
    <row r="287" spans="1:8">
      <c r="A287" s="1"/>
      <c r="B287" s="1"/>
      <c r="C287" s="1"/>
      <c r="D287" s="1"/>
      <c r="E287" s="357">
        <v>43900</v>
      </c>
      <c r="F287" s="344" t="s">
        <v>628</v>
      </c>
      <c r="G287" s="358">
        <v>7.9660000000000002</v>
      </c>
      <c r="H287" s="344" t="s">
        <v>706</v>
      </c>
    </row>
    <row r="288" spans="1:8">
      <c r="A288" s="1"/>
      <c r="B288" s="1"/>
      <c r="C288" s="1"/>
      <c r="D288" s="1"/>
      <c r="E288" s="357">
        <v>43900</v>
      </c>
      <c r="F288" s="344" t="s">
        <v>631</v>
      </c>
      <c r="G288" s="358">
        <v>6.1151</v>
      </c>
      <c r="H288" s="344" t="s">
        <v>706</v>
      </c>
    </row>
    <row r="289" spans="1:8">
      <c r="A289" s="1"/>
      <c r="B289" s="1"/>
      <c r="C289" s="1"/>
      <c r="D289" s="1"/>
      <c r="E289" s="357">
        <v>43901</v>
      </c>
      <c r="F289" s="344" t="s">
        <v>621</v>
      </c>
      <c r="G289" s="358">
        <v>6.5594000000000001</v>
      </c>
      <c r="H289" s="344" t="s">
        <v>707</v>
      </c>
    </row>
    <row r="290" spans="1:8">
      <c r="A290" s="1"/>
      <c r="B290" s="1"/>
      <c r="C290" s="1"/>
      <c r="D290" s="1"/>
      <c r="E290" s="357">
        <v>43901</v>
      </c>
      <c r="F290" s="344" t="s">
        <v>625</v>
      </c>
      <c r="G290" s="358">
        <v>6.9668999999999999</v>
      </c>
      <c r="H290" s="344" t="s">
        <v>707</v>
      </c>
    </row>
    <row r="291" spans="1:8">
      <c r="A291" s="1"/>
      <c r="B291" s="1"/>
      <c r="C291" s="1"/>
      <c r="D291" s="1"/>
      <c r="E291" s="357">
        <v>43901</v>
      </c>
      <c r="F291" s="344" t="s">
        <v>628</v>
      </c>
      <c r="G291" s="358">
        <v>7.9379999999999997</v>
      </c>
      <c r="H291" s="344" t="s">
        <v>707</v>
      </c>
    </row>
    <row r="292" spans="1:8">
      <c r="A292" s="1"/>
      <c r="B292" s="1"/>
      <c r="C292" s="1"/>
      <c r="D292" s="1"/>
      <c r="E292" s="357">
        <v>43901</v>
      </c>
      <c r="F292" s="344" t="s">
        <v>631</v>
      </c>
      <c r="G292" s="358">
        <v>6.1501999999999999</v>
      </c>
      <c r="H292" s="344" t="s">
        <v>707</v>
      </c>
    </row>
    <row r="293" spans="1:8">
      <c r="A293" s="1"/>
      <c r="B293" s="1"/>
      <c r="C293" s="1"/>
      <c r="D293" s="1"/>
      <c r="E293" s="357">
        <v>43902</v>
      </c>
      <c r="F293" s="344" t="s">
        <v>621</v>
      </c>
      <c r="G293" s="358">
        <v>6.6315999999999997</v>
      </c>
      <c r="H293" s="344" t="s">
        <v>708</v>
      </c>
    </row>
    <row r="294" spans="1:8">
      <c r="A294" s="1"/>
      <c r="B294" s="1"/>
      <c r="C294" s="1"/>
      <c r="D294" s="1"/>
      <c r="E294" s="357">
        <v>43902</v>
      </c>
      <c r="F294" s="344" t="s">
        <v>625</v>
      </c>
      <c r="G294" s="358">
        <v>7.0138999999999996</v>
      </c>
      <c r="H294" s="344" t="s">
        <v>708</v>
      </c>
    </row>
    <row r="295" spans="1:8">
      <c r="A295" s="1"/>
      <c r="B295" s="1"/>
      <c r="C295" s="1"/>
      <c r="D295" s="1"/>
      <c r="E295" s="357">
        <v>43902</v>
      </c>
      <c r="F295" s="344" t="s">
        <v>628</v>
      </c>
      <c r="G295" s="358">
        <v>7.9375999999999998</v>
      </c>
      <c r="H295" s="344" t="s">
        <v>708</v>
      </c>
    </row>
    <row r="296" spans="1:8">
      <c r="A296" s="1"/>
      <c r="B296" s="1"/>
      <c r="C296" s="1"/>
      <c r="D296" s="1"/>
      <c r="E296" s="357">
        <v>43902</v>
      </c>
      <c r="F296" s="344" t="s">
        <v>631</v>
      </c>
      <c r="G296" s="358">
        <v>6.2263999999999999</v>
      </c>
      <c r="H296" s="344" t="s">
        <v>708</v>
      </c>
    </row>
    <row r="297" spans="1:8">
      <c r="A297" s="1"/>
      <c r="B297" s="1"/>
      <c r="C297" s="1"/>
      <c r="D297" s="1"/>
      <c r="E297" s="357">
        <v>43903</v>
      </c>
      <c r="F297" s="344" t="s">
        <v>621</v>
      </c>
      <c r="G297" s="358">
        <v>6.6193</v>
      </c>
      <c r="H297" s="344" t="s">
        <v>709</v>
      </c>
    </row>
    <row r="298" spans="1:8">
      <c r="A298" s="1"/>
      <c r="B298" s="1"/>
      <c r="C298" s="1"/>
      <c r="D298" s="1"/>
      <c r="E298" s="357">
        <v>43903</v>
      </c>
      <c r="F298" s="344" t="s">
        <v>625</v>
      </c>
      <c r="G298" s="358">
        <v>7.0099</v>
      </c>
      <c r="H298" s="344" t="s">
        <v>709</v>
      </c>
    </row>
    <row r="299" spans="1:8">
      <c r="A299" s="1"/>
      <c r="B299" s="1"/>
      <c r="C299" s="1"/>
      <c r="D299" s="1"/>
      <c r="E299" s="357">
        <v>43903</v>
      </c>
      <c r="F299" s="344" t="s">
        <v>628</v>
      </c>
      <c r="G299" s="358">
        <v>7.8689999999999998</v>
      </c>
      <c r="H299" s="344" t="s">
        <v>709</v>
      </c>
    </row>
    <row r="300" spans="1:8">
      <c r="A300" s="1"/>
      <c r="B300" s="1"/>
      <c r="C300" s="1"/>
      <c r="D300" s="1"/>
      <c r="E300" s="357">
        <v>43903</v>
      </c>
      <c r="F300" s="344" t="s">
        <v>631</v>
      </c>
      <c r="G300" s="358">
        <v>6.2710999999999997</v>
      </c>
      <c r="H300" s="344" t="s">
        <v>709</v>
      </c>
    </row>
    <row r="301" spans="1:8">
      <c r="A301" s="1"/>
      <c r="B301" s="1"/>
      <c r="C301" s="1"/>
      <c r="D301" s="1"/>
      <c r="E301" s="357">
        <v>43906</v>
      </c>
      <c r="F301" s="344" t="s">
        <v>621</v>
      </c>
      <c r="G301" s="358">
        <v>6.7275</v>
      </c>
      <c r="H301" s="344" t="s">
        <v>710</v>
      </c>
    </row>
    <row r="302" spans="1:8">
      <c r="A302" s="1"/>
      <c r="B302" s="1"/>
      <c r="C302" s="1"/>
      <c r="D302" s="1"/>
      <c r="E302" s="357">
        <v>43906</v>
      </c>
      <c r="F302" s="344" t="s">
        <v>625</v>
      </c>
      <c r="G302" s="358">
        <v>7.1143000000000001</v>
      </c>
      <c r="H302" s="344" t="s">
        <v>710</v>
      </c>
    </row>
    <row r="303" spans="1:8">
      <c r="A303" s="1"/>
      <c r="B303" s="1"/>
      <c r="C303" s="1"/>
      <c r="D303" s="1"/>
      <c r="E303" s="357">
        <v>43906</v>
      </c>
      <c r="F303" s="344" t="s">
        <v>628</v>
      </c>
      <c r="G303" s="358">
        <v>7.8231000000000002</v>
      </c>
      <c r="H303" s="344" t="s">
        <v>710</v>
      </c>
    </row>
    <row r="304" spans="1:8">
      <c r="A304" s="1"/>
      <c r="B304" s="1"/>
      <c r="C304" s="1"/>
      <c r="D304" s="1"/>
      <c r="E304" s="357">
        <v>43906</v>
      </c>
      <c r="F304" s="344" t="s">
        <v>631</v>
      </c>
      <c r="G304" s="358">
        <v>6.3628</v>
      </c>
      <c r="H304" s="344" t="s">
        <v>710</v>
      </c>
    </row>
    <row r="305" spans="1:8">
      <c r="A305" s="1"/>
      <c r="B305" s="1"/>
      <c r="C305" s="1"/>
      <c r="D305" s="1"/>
      <c r="E305" s="357">
        <v>43907</v>
      </c>
      <c r="F305" s="344" t="s">
        <v>621</v>
      </c>
      <c r="G305" s="358">
        <v>6.7525000000000004</v>
      </c>
      <c r="H305" s="344" t="s">
        <v>711</v>
      </c>
    </row>
    <row r="306" spans="1:8">
      <c r="A306" s="1"/>
      <c r="B306" s="1"/>
      <c r="C306" s="1"/>
      <c r="D306" s="1"/>
      <c r="E306" s="357">
        <v>43907</v>
      </c>
      <c r="F306" s="344" t="s">
        <v>625</v>
      </c>
      <c r="G306" s="358">
        <v>7.1563999999999997</v>
      </c>
      <c r="H306" s="344" t="s">
        <v>711</v>
      </c>
    </row>
    <row r="307" spans="1:8">
      <c r="A307" s="1"/>
      <c r="B307" s="1"/>
      <c r="C307" s="1"/>
      <c r="D307" s="1"/>
      <c r="E307" s="357">
        <v>43907</v>
      </c>
      <c r="F307" s="344" t="s">
        <v>628</v>
      </c>
      <c r="G307" s="358">
        <v>7.8384999999999998</v>
      </c>
      <c r="H307" s="344" t="s">
        <v>711</v>
      </c>
    </row>
    <row r="308" spans="1:8">
      <c r="A308" s="1"/>
      <c r="B308" s="1"/>
      <c r="C308" s="1"/>
      <c r="D308" s="1"/>
      <c r="E308" s="357">
        <v>43907</v>
      </c>
      <c r="F308" s="344" t="s">
        <v>631</v>
      </c>
      <c r="G308" s="358">
        <v>6.4527999999999999</v>
      </c>
      <c r="H308" s="344" t="s">
        <v>711</v>
      </c>
    </row>
    <row r="309" spans="1:8">
      <c r="A309" s="1"/>
      <c r="B309" s="1"/>
      <c r="C309" s="1"/>
      <c r="D309" s="1"/>
      <c r="E309" s="357">
        <v>43908</v>
      </c>
      <c r="F309" s="344" t="s">
        <v>621</v>
      </c>
      <c r="G309" s="358">
        <v>6.7012</v>
      </c>
      <c r="H309" s="344" t="s">
        <v>712</v>
      </c>
    </row>
    <row r="310" spans="1:8">
      <c r="A310" s="1"/>
      <c r="B310" s="1"/>
      <c r="C310" s="1"/>
      <c r="D310" s="1"/>
      <c r="E310" s="357">
        <v>43908</v>
      </c>
      <c r="F310" s="344" t="s">
        <v>625</v>
      </c>
      <c r="G310" s="358">
        <v>7.0871000000000004</v>
      </c>
      <c r="H310" s="344" t="s">
        <v>712</v>
      </c>
    </row>
    <row r="311" spans="1:8">
      <c r="A311" s="1"/>
      <c r="B311" s="1"/>
      <c r="C311" s="1"/>
      <c r="D311" s="1"/>
      <c r="E311" s="357">
        <v>43908</v>
      </c>
      <c r="F311" s="344" t="s">
        <v>628</v>
      </c>
      <c r="G311" s="358">
        <v>7.7366000000000001</v>
      </c>
      <c r="H311" s="344" t="s">
        <v>712</v>
      </c>
    </row>
    <row r="312" spans="1:8">
      <c r="A312" s="1"/>
      <c r="B312" s="1"/>
      <c r="C312" s="1"/>
      <c r="D312" s="1"/>
      <c r="E312" s="357">
        <v>43908</v>
      </c>
      <c r="F312" s="344" t="s">
        <v>631</v>
      </c>
      <c r="G312" s="358">
        <v>6.4512</v>
      </c>
      <c r="H312" s="344" t="s">
        <v>712</v>
      </c>
    </row>
    <row r="313" spans="1:8">
      <c r="A313" s="1"/>
      <c r="B313" s="1"/>
      <c r="C313" s="1"/>
      <c r="D313" s="1"/>
      <c r="E313" s="357">
        <v>43909</v>
      </c>
      <c r="F313" s="344" t="s">
        <v>621</v>
      </c>
      <c r="G313" s="358">
        <v>6.6703000000000001</v>
      </c>
      <c r="H313" s="344" t="s">
        <v>713</v>
      </c>
    </row>
    <row r="314" spans="1:8">
      <c r="A314" s="1"/>
      <c r="B314" s="1"/>
      <c r="C314" s="1"/>
      <c r="D314" s="1"/>
      <c r="E314" s="357">
        <v>43909</v>
      </c>
      <c r="F314" s="344" t="s">
        <v>625</v>
      </c>
      <c r="G314" s="358">
        <v>7.0549999999999997</v>
      </c>
      <c r="H314" s="344" t="s">
        <v>713</v>
      </c>
    </row>
    <row r="315" spans="1:8">
      <c r="A315" s="1"/>
      <c r="B315" s="1"/>
      <c r="C315" s="1"/>
      <c r="D315" s="1"/>
      <c r="E315" s="357">
        <v>43909</v>
      </c>
      <c r="F315" s="344" t="s">
        <v>628</v>
      </c>
      <c r="G315" s="358">
        <v>7.5015999999999998</v>
      </c>
      <c r="H315" s="344" t="s">
        <v>713</v>
      </c>
    </row>
    <row r="316" spans="1:8">
      <c r="A316" s="1"/>
      <c r="B316" s="1"/>
      <c r="C316" s="1"/>
      <c r="D316" s="1"/>
      <c r="E316" s="357">
        <v>43909</v>
      </c>
      <c r="F316" s="344" t="s">
        <v>631</v>
      </c>
      <c r="G316" s="358">
        <v>6.5153999999999996</v>
      </c>
      <c r="H316" s="344" t="s">
        <v>713</v>
      </c>
    </row>
    <row r="317" spans="1:8">
      <c r="A317" s="1"/>
      <c r="B317" s="1"/>
      <c r="C317" s="1"/>
      <c r="D317" s="1"/>
      <c r="E317" s="357">
        <v>43910</v>
      </c>
      <c r="F317" s="344" t="s">
        <v>621</v>
      </c>
      <c r="G317" s="358">
        <v>6.5986000000000002</v>
      </c>
      <c r="H317" s="344" t="s">
        <v>714</v>
      </c>
    </row>
    <row r="318" spans="1:8">
      <c r="A318" s="1"/>
      <c r="B318" s="1"/>
      <c r="C318" s="1"/>
      <c r="D318" s="1"/>
      <c r="E318" s="357">
        <v>43910</v>
      </c>
      <c r="F318" s="344" t="s">
        <v>625</v>
      </c>
      <c r="G318" s="358">
        <v>6.9737</v>
      </c>
      <c r="H318" s="344" t="s">
        <v>714</v>
      </c>
    </row>
    <row r="319" spans="1:8">
      <c r="A319" s="1"/>
      <c r="B319" s="1"/>
      <c r="C319" s="1"/>
      <c r="D319" s="1"/>
      <c r="E319" s="357">
        <v>43910</v>
      </c>
      <c r="F319" s="344" t="s">
        <v>628</v>
      </c>
      <c r="G319" s="358">
        <v>7.6265000000000001</v>
      </c>
      <c r="H319" s="344" t="s">
        <v>714</v>
      </c>
    </row>
    <row r="320" spans="1:8">
      <c r="A320" s="1"/>
      <c r="B320" s="1"/>
      <c r="C320" s="1"/>
      <c r="D320" s="1"/>
      <c r="E320" s="357">
        <v>43910</v>
      </c>
      <c r="F320" s="344" t="s">
        <v>631</v>
      </c>
      <c r="G320" s="358">
        <v>6.4839000000000002</v>
      </c>
      <c r="H320" s="344" t="s">
        <v>714</v>
      </c>
    </row>
    <row r="321" spans="1:8">
      <c r="A321" s="1"/>
      <c r="B321" s="1"/>
      <c r="C321" s="1"/>
      <c r="D321" s="1"/>
      <c r="E321" s="357">
        <v>43913</v>
      </c>
      <c r="F321" s="344" t="s">
        <v>621</v>
      </c>
      <c r="G321" s="358">
        <v>6.6623000000000001</v>
      </c>
      <c r="H321" s="344" t="s">
        <v>715</v>
      </c>
    </row>
    <row r="322" spans="1:8">
      <c r="A322" s="1"/>
      <c r="B322" s="1"/>
      <c r="C322" s="1"/>
      <c r="D322" s="1"/>
      <c r="E322" s="357">
        <v>43913</v>
      </c>
      <c r="F322" s="344" t="s">
        <v>625</v>
      </c>
      <c r="G322" s="358">
        <v>7.0484</v>
      </c>
      <c r="H322" s="344" t="s">
        <v>715</v>
      </c>
    </row>
    <row r="323" spans="1:8">
      <c r="A323" s="1"/>
      <c r="B323" s="1"/>
      <c r="C323" s="1"/>
      <c r="D323" s="1"/>
      <c r="E323" s="357">
        <v>43913</v>
      </c>
      <c r="F323" s="344" t="s">
        <v>628</v>
      </c>
      <c r="G323" s="358">
        <v>7.6353999999999997</v>
      </c>
      <c r="H323" s="344" t="s">
        <v>715</v>
      </c>
    </row>
    <row r="324" spans="1:8">
      <c r="A324" s="1"/>
      <c r="B324" s="1"/>
      <c r="C324" s="1"/>
      <c r="D324" s="1"/>
      <c r="E324" s="357">
        <v>43913</v>
      </c>
      <c r="F324" s="344" t="s">
        <v>631</v>
      </c>
      <c r="G324" s="358">
        <v>6.5864000000000003</v>
      </c>
      <c r="H324" s="344" t="s">
        <v>715</v>
      </c>
    </row>
    <row r="325" spans="1:8">
      <c r="A325" s="1"/>
      <c r="B325" s="1"/>
      <c r="C325" s="1"/>
      <c r="D325" s="1"/>
      <c r="E325" s="357">
        <v>43914</v>
      </c>
      <c r="F325" s="344" t="s">
        <v>621</v>
      </c>
      <c r="G325" s="358">
        <v>6.6417999999999999</v>
      </c>
      <c r="H325" s="344" t="s">
        <v>716</v>
      </c>
    </row>
    <row r="326" spans="1:8">
      <c r="A326" s="1"/>
      <c r="B326" s="1"/>
      <c r="C326" s="1"/>
      <c r="D326" s="1"/>
      <c r="E326" s="357">
        <v>43914</v>
      </c>
      <c r="F326" s="344" t="s">
        <v>625</v>
      </c>
      <c r="G326" s="358">
        <v>7.0454999999999997</v>
      </c>
      <c r="H326" s="344" t="s">
        <v>716</v>
      </c>
    </row>
    <row r="327" spans="1:8">
      <c r="A327" s="1"/>
      <c r="B327" s="1"/>
      <c r="C327" s="1"/>
      <c r="D327" s="1"/>
      <c r="E327" s="357">
        <v>43914</v>
      </c>
      <c r="F327" s="344" t="s">
        <v>628</v>
      </c>
      <c r="G327" s="358">
        <v>7.5873999999999997</v>
      </c>
      <c r="H327" s="344" t="s">
        <v>716</v>
      </c>
    </row>
    <row r="328" spans="1:8">
      <c r="A328" s="1"/>
      <c r="B328" s="1"/>
      <c r="C328" s="1"/>
      <c r="D328" s="1"/>
      <c r="E328" s="357">
        <v>43914</v>
      </c>
      <c r="F328" s="344" t="s">
        <v>631</v>
      </c>
      <c r="G328" s="358">
        <v>6.4943</v>
      </c>
      <c r="H328" s="344" t="s">
        <v>716</v>
      </c>
    </row>
    <row r="329" spans="1:8">
      <c r="A329" s="1"/>
      <c r="B329" s="1"/>
      <c r="C329" s="1"/>
      <c r="D329" s="1"/>
      <c r="E329" s="357">
        <v>43915</v>
      </c>
      <c r="F329" s="344" t="s">
        <v>621</v>
      </c>
      <c r="G329" s="358">
        <v>6.5138999999999996</v>
      </c>
      <c r="H329" s="344" t="s">
        <v>717</v>
      </c>
    </row>
    <row r="330" spans="1:8">
      <c r="A330" s="1"/>
      <c r="B330" s="1"/>
      <c r="C330" s="1"/>
      <c r="D330" s="1"/>
      <c r="E330" s="357">
        <v>43915</v>
      </c>
      <c r="F330" s="344" t="s">
        <v>625</v>
      </c>
      <c r="G330" s="358">
        <v>6.9271000000000003</v>
      </c>
      <c r="H330" s="344" t="s">
        <v>717</v>
      </c>
    </row>
    <row r="331" spans="1:8">
      <c r="A331" s="1"/>
      <c r="B331" s="1"/>
      <c r="C331" s="1"/>
      <c r="D331" s="1"/>
      <c r="E331" s="357">
        <v>43915</v>
      </c>
      <c r="F331" s="344" t="s">
        <v>628</v>
      </c>
      <c r="G331" s="358">
        <v>7.6005000000000003</v>
      </c>
      <c r="H331" s="344" t="s">
        <v>717</v>
      </c>
    </row>
    <row r="332" spans="1:8">
      <c r="A332" s="1"/>
      <c r="B332" s="1"/>
      <c r="C332" s="1"/>
      <c r="D332" s="1"/>
      <c r="E332" s="357">
        <v>43915</v>
      </c>
      <c r="F332" s="344" t="s">
        <v>631</v>
      </c>
      <c r="G332" s="358">
        <v>6.4024000000000001</v>
      </c>
      <c r="H332" s="344" t="s">
        <v>717</v>
      </c>
    </row>
    <row r="333" spans="1:8">
      <c r="A333" s="1"/>
      <c r="B333" s="1"/>
      <c r="C333" s="1"/>
      <c r="D333" s="1"/>
      <c r="E333" s="357">
        <v>43916</v>
      </c>
      <c r="F333" s="344" t="s">
        <v>621</v>
      </c>
      <c r="G333" s="358">
        <v>6.6238000000000001</v>
      </c>
      <c r="H333" s="344" t="s">
        <v>718</v>
      </c>
    </row>
    <row r="334" spans="1:8">
      <c r="A334" s="1"/>
      <c r="B334" s="1"/>
      <c r="C334" s="1"/>
      <c r="D334" s="1"/>
      <c r="E334" s="357">
        <v>43916</v>
      </c>
      <c r="F334" s="344" t="s">
        <v>625</v>
      </c>
      <c r="G334" s="358">
        <v>7.0609999999999999</v>
      </c>
      <c r="H334" s="344" t="s">
        <v>718</v>
      </c>
    </row>
    <row r="335" spans="1:8">
      <c r="A335" s="1"/>
      <c r="B335" s="1"/>
      <c r="C335" s="1"/>
      <c r="D335" s="1"/>
      <c r="E335" s="357">
        <v>43916</v>
      </c>
      <c r="F335" s="344" t="s">
        <v>628</v>
      </c>
      <c r="G335" s="358">
        <v>7.6813000000000002</v>
      </c>
      <c r="H335" s="344" t="s">
        <v>718</v>
      </c>
    </row>
    <row r="336" spans="1:8">
      <c r="A336" s="1"/>
      <c r="B336" s="1"/>
      <c r="C336" s="1"/>
      <c r="D336" s="1"/>
      <c r="E336" s="357">
        <v>43916</v>
      </c>
      <c r="F336" s="344" t="s">
        <v>631</v>
      </c>
      <c r="G336" s="358">
        <v>6.4560000000000004</v>
      </c>
      <c r="H336" s="344" t="s">
        <v>718</v>
      </c>
    </row>
    <row r="337" spans="1:8">
      <c r="A337" s="1"/>
      <c r="B337" s="1"/>
      <c r="C337" s="1"/>
      <c r="D337" s="1"/>
      <c r="E337" s="357">
        <v>43917</v>
      </c>
      <c r="F337" s="344" t="s">
        <v>621</v>
      </c>
      <c r="G337" s="358">
        <v>6.6683000000000003</v>
      </c>
      <c r="H337" s="344" t="s">
        <v>719</v>
      </c>
    </row>
    <row r="338" spans="1:8">
      <c r="A338" s="1"/>
      <c r="B338" s="1"/>
      <c r="C338" s="1"/>
      <c r="D338" s="1"/>
      <c r="E338" s="357">
        <v>43917</v>
      </c>
      <c r="F338" s="344" t="s">
        <v>625</v>
      </c>
      <c r="G338" s="358">
        <v>7.0895999999999999</v>
      </c>
      <c r="H338" s="344" t="s">
        <v>719</v>
      </c>
    </row>
    <row r="339" spans="1:8">
      <c r="A339" s="1"/>
      <c r="B339" s="1"/>
      <c r="C339" s="1"/>
      <c r="D339" s="1"/>
      <c r="E339" s="357">
        <v>43917</v>
      </c>
      <c r="F339" s="344" t="s">
        <v>628</v>
      </c>
      <c r="G339" s="358">
        <v>7.8483000000000001</v>
      </c>
      <c r="H339" s="344" t="s">
        <v>719</v>
      </c>
    </row>
    <row r="340" spans="1:8">
      <c r="A340" s="1"/>
      <c r="B340" s="1"/>
      <c r="C340" s="1"/>
      <c r="D340" s="1"/>
      <c r="E340" s="357">
        <v>43917</v>
      </c>
      <c r="F340" s="344" t="s">
        <v>631</v>
      </c>
      <c r="G340" s="358">
        <v>6.4345999999999997</v>
      </c>
      <c r="H340" s="344" t="s">
        <v>719</v>
      </c>
    </row>
    <row r="341" spans="1:8">
      <c r="A341" s="1"/>
      <c r="B341" s="1"/>
      <c r="C341" s="1"/>
      <c r="D341" s="1"/>
      <c r="E341" s="357">
        <v>43920</v>
      </c>
      <c r="F341" s="344" t="s">
        <v>621</v>
      </c>
      <c r="G341" s="358">
        <v>6.8013000000000003</v>
      </c>
      <c r="H341" s="344" t="s">
        <v>720</v>
      </c>
    </row>
    <row r="342" spans="1:8">
      <c r="A342" s="1"/>
      <c r="B342" s="1"/>
      <c r="C342" s="1"/>
      <c r="D342" s="1"/>
      <c r="E342" s="357">
        <v>43920</v>
      </c>
      <c r="F342" s="344" t="s">
        <v>625</v>
      </c>
      <c r="G342" s="358">
        <v>7.2149999999999999</v>
      </c>
      <c r="H342" s="344" t="s">
        <v>720</v>
      </c>
    </row>
    <row r="343" spans="1:8">
      <c r="A343" s="1"/>
      <c r="B343" s="1"/>
      <c r="C343" s="1"/>
      <c r="D343" s="1"/>
      <c r="E343" s="357">
        <v>43920</v>
      </c>
      <c r="F343" s="344" t="s">
        <v>628</v>
      </c>
      <c r="G343" s="358">
        <v>8.0579000000000001</v>
      </c>
      <c r="H343" s="344" t="s">
        <v>720</v>
      </c>
    </row>
    <row r="344" spans="1:8">
      <c r="A344" s="1"/>
      <c r="B344" s="1"/>
      <c r="C344" s="1"/>
      <c r="D344" s="1"/>
      <c r="E344" s="357">
        <v>43920</v>
      </c>
      <c r="F344" s="344" t="s">
        <v>631</v>
      </c>
      <c r="G344" s="358">
        <v>6.516</v>
      </c>
      <c r="H344" s="344" t="s">
        <v>720</v>
      </c>
    </row>
    <row r="345" spans="1:8">
      <c r="A345" s="1"/>
      <c r="B345" s="1"/>
      <c r="C345" s="1"/>
      <c r="D345" s="1"/>
      <c r="E345" s="357">
        <v>43921</v>
      </c>
      <c r="F345" s="344" t="s">
        <v>621</v>
      </c>
      <c r="G345" s="358">
        <v>6.7961999999999998</v>
      </c>
      <c r="H345" s="344" t="s">
        <v>721</v>
      </c>
    </row>
    <row r="346" spans="1:8">
      <c r="A346" s="1"/>
      <c r="B346" s="1"/>
      <c r="C346" s="1"/>
      <c r="D346" s="1"/>
      <c r="E346" s="357">
        <v>43921</v>
      </c>
      <c r="F346" s="344" t="s">
        <v>625</v>
      </c>
      <c r="G346" s="358">
        <v>7.2107000000000001</v>
      </c>
      <c r="H346" s="344" t="s">
        <v>721</v>
      </c>
    </row>
    <row r="347" spans="1:8">
      <c r="A347" s="1"/>
      <c r="B347" s="1"/>
      <c r="C347" s="1"/>
      <c r="D347" s="1"/>
      <c r="E347" s="357">
        <v>43921</v>
      </c>
      <c r="F347" s="344" t="s">
        <v>628</v>
      </c>
      <c r="G347" s="358">
        <v>8.0893999999999995</v>
      </c>
      <c r="H347" s="344" t="s">
        <v>721</v>
      </c>
    </row>
    <row r="348" spans="1:8">
      <c r="A348" s="1"/>
      <c r="B348" s="1"/>
      <c r="C348" s="1"/>
      <c r="D348" s="1"/>
      <c r="E348" s="357">
        <v>43921</v>
      </c>
      <c r="F348" s="344" t="s">
        <v>631</v>
      </c>
      <c r="G348" s="358">
        <v>6.5696000000000003</v>
      </c>
      <c r="H348" s="344" t="s">
        <v>721</v>
      </c>
    </row>
    <row r="349" spans="1:8">
      <c r="A349" s="1"/>
      <c r="B349" s="1"/>
      <c r="C349" s="1"/>
      <c r="D349" s="1"/>
      <c r="E349" s="357">
        <v>43922</v>
      </c>
      <c r="F349" s="344" t="s">
        <v>621</v>
      </c>
      <c r="G349" s="358">
        <v>6.8673000000000002</v>
      </c>
      <c r="H349" s="344" t="s">
        <v>722</v>
      </c>
    </row>
    <row r="350" spans="1:8">
      <c r="A350" s="1"/>
      <c r="B350" s="1"/>
      <c r="C350" s="1"/>
      <c r="D350" s="1"/>
      <c r="E350" s="357">
        <v>43922</v>
      </c>
      <c r="F350" s="344" t="s">
        <v>625</v>
      </c>
      <c r="G350" s="358">
        <v>7.2755999999999998</v>
      </c>
      <c r="H350" s="344" t="s">
        <v>722</v>
      </c>
    </row>
    <row r="351" spans="1:8">
      <c r="A351" s="1"/>
      <c r="B351" s="1"/>
      <c r="C351" s="1"/>
      <c r="D351" s="1"/>
      <c r="E351" s="357">
        <v>43922</v>
      </c>
      <c r="F351" s="344" t="s">
        <v>628</v>
      </c>
      <c r="G351" s="358">
        <v>8.2002000000000006</v>
      </c>
      <c r="H351" s="344" t="s">
        <v>722</v>
      </c>
    </row>
    <row r="352" spans="1:8">
      <c r="A352" s="1"/>
      <c r="B352" s="1"/>
      <c r="C352" s="1"/>
      <c r="D352" s="1"/>
      <c r="E352" s="357">
        <v>43922</v>
      </c>
      <c r="F352" s="344" t="s">
        <v>631</v>
      </c>
      <c r="G352" s="358">
        <v>6.6428000000000003</v>
      </c>
      <c r="H352" s="344" t="s">
        <v>722</v>
      </c>
    </row>
    <row r="353" spans="1:8">
      <c r="A353" s="1"/>
      <c r="B353" s="1"/>
      <c r="C353" s="1"/>
      <c r="D353" s="1"/>
      <c r="E353" s="357">
        <v>43923</v>
      </c>
      <c r="F353" s="344" t="s">
        <v>621</v>
      </c>
      <c r="G353" s="358">
        <v>6.8788999999999998</v>
      </c>
      <c r="H353" s="344" t="s">
        <v>723</v>
      </c>
    </row>
    <row r="354" spans="1:8">
      <c r="A354" s="1"/>
      <c r="B354" s="1"/>
      <c r="C354" s="1"/>
      <c r="D354" s="1"/>
      <c r="E354" s="357">
        <v>43923</v>
      </c>
      <c r="F354" s="344" t="s">
        <v>625</v>
      </c>
      <c r="G354" s="358">
        <v>7.2849000000000004</v>
      </c>
      <c r="H354" s="344" t="s">
        <v>723</v>
      </c>
    </row>
    <row r="355" spans="1:8">
      <c r="A355" s="1"/>
      <c r="B355" s="1"/>
      <c r="C355" s="1"/>
      <c r="D355" s="1"/>
      <c r="E355" s="357">
        <v>43923</v>
      </c>
      <c r="F355" s="344" t="s">
        <v>628</v>
      </c>
      <c r="G355" s="358">
        <v>8.2723999999999993</v>
      </c>
      <c r="H355" s="344" t="s">
        <v>723</v>
      </c>
    </row>
    <row r="356" spans="1:8">
      <c r="A356" s="1"/>
      <c r="B356" s="1"/>
      <c r="C356" s="1"/>
      <c r="D356" s="1"/>
      <c r="E356" s="357">
        <v>43923</v>
      </c>
      <c r="F356" s="344" t="s">
        <v>631</v>
      </c>
      <c r="G356" s="358">
        <v>6.6672000000000002</v>
      </c>
      <c r="H356" s="344" t="s">
        <v>723</v>
      </c>
    </row>
    <row r="357" spans="1:8">
      <c r="A357" s="1"/>
      <c r="B357" s="1"/>
      <c r="C357" s="1"/>
      <c r="D357" s="1"/>
      <c r="E357" s="357">
        <v>43924</v>
      </c>
      <c r="F357" s="344" t="s">
        <v>621</v>
      </c>
      <c r="G357" s="358">
        <v>6.8369</v>
      </c>
      <c r="H357" s="344" t="s">
        <v>724</v>
      </c>
    </row>
    <row r="358" spans="1:8">
      <c r="A358" s="1"/>
      <c r="B358" s="1"/>
      <c r="C358" s="1"/>
      <c r="D358" s="1"/>
      <c r="E358" s="357">
        <v>43924</v>
      </c>
      <c r="F358" s="344" t="s">
        <v>625</v>
      </c>
      <c r="G358" s="358">
        <v>7.2279</v>
      </c>
      <c r="H358" s="344" t="s">
        <v>724</v>
      </c>
    </row>
    <row r="359" spans="1:8">
      <c r="A359" s="1"/>
      <c r="B359" s="1"/>
      <c r="C359" s="1"/>
      <c r="D359" s="1"/>
      <c r="E359" s="357">
        <v>43924</v>
      </c>
      <c r="F359" s="344" t="s">
        <v>628</v>
      </c>
      <c r="G359" s="358">
        <v>8.2227999999999994</v>
      </c>
      <c r="H359" s="344" t="s">
        <v>724</v>
      </c>
    </row>
    <row r="360" spans="1:8">
      <c r="A360" s="1"/>
      <c r="B360" s="1"/>
      <c r="C360" s="1"/>
      <c r="D360" s="1"/>
      <c r="E360" s="357">
        <v>43924</v>
      </c>
      <c r="F360" s="344" t="s">
        <v>631</v>
      </c>
      <c r="G360" s="358">
        <v>6.6902999999999997</v>
      </c>
      <c r="H360" s="344" t="s">
        <v>724</v>
      </c>
    </row>
    <row r="361" spans="1:8">
      <c r="A361" s="1"/>
      <c r="B361" s="1"/>
      <c r="C361" s="1"/>
      <c r="D361" s="1"/>
      <c r="E361" s="357">
        <v>43927</v>
      </c>
      <c r="F361" s="344" t="s">
        <v>621</v>
      </c>
      <c r="G361" s="358">
        <v>6.8935000000000004</v>
      </c>
      <c r="H361" s="344" t="s">
        <v>725</v>
      </c>
    </row>
    <row r="362" spans="1:8">
      <c r="A362" s="1"/>
      <c r="B362" s="1"/>
      <c r="C362" s="1"/>
      <c r="D362" s="1"/>
      <c r="E362" s="357">
        <v>43927</v>
      </c>
      <c r="F362" s="344" t="s">
        <v>625</v>
      </c>
      <c r="G362" s="358">
        <v>7.2990000000000004</v>
      </c>
      <c r="H362" s="344" t="s">
        <v>725</v>
      </c>
    </row>
    <row r="363" spans="1:8">
      <c r="A363" s="1"/>
      <c r="B363" s="1"/>
      <c r="C363" s="1"/>
      <c r="D363" s="1"/>
      <c r="E363" s="357">
        <v>43927</v>
      </c>
      <c r="F363" s="344" t="s">
        <v>628</v>
      </c>
      <c r="G363" s="358">
        <v>8.2941000000000003</v>
      </c>
      <c r="H363" s="344" t="s">
        <v>725</v>
      </c>
    </row>
    <row r="364" spans="1:8">
      <c r="A364" s="1"/>
      <c r="B364" s="1"/>
      <c r="C364" s="1"/>
      <c r="D364" s="1"/>
      <c r="E364" s="357">
        <v>43927</v>
      </c>
      <c r="F364" s="344" t="s">
        <v>631</v>
      </c>
      <c r="G364" s="358">
        <v>6.7549000000000001</v>
      </c>
      <c r="H364" s="344" t="s">
        <v>725</v>
      </c>
    </row>
    <row r="365" spans="1:8">
      <c r="A365" s="1"/>
      <c r="B365" s="1"/>
      <c r="C365" s="1"/>
      <c r="D365" s="1"/>
      <c r="E365" s="357">
        <v>43928</v>
      </c>
      <c r="F365" s="344" t="s">
        <v>621</v>
      </c>
      <c r="G365" s="358">
        <v>6.9077000000000002</v>
      </c>
      <c r="H365" s="344" t="s">
        <v>726</v>
      </c>
    </row>
    <row r="366" spans="1:8">
      <c r="A366" s="1"/>
      <c r="B366" s="1"/>
      <c r="C366" s="1"/>
      <c r="D366" s="1"/>
      <c r="E366" s="357">
        <v>43928</v>
      </c>
      <c r="F366" s="344" t="s">
        <v>625</v>
      </c>
      <c r="G366" s="358">
        <v>7.3253000000000004</v>
      </c>
      <c r="H366" s="344" t="s">
        <v>726</v>
      </c>
    </row>
    <row r="367" spans="1:8">
      <c r="A367" s="1"/>
      <c r="B367" s="1"/>
      <c r="C367" s="1"/>
      <c r="D367" s="1"/>
      <c r="E367" s="357">
        <v>43928</v>
      </c>
      <c r="F367" s="344" t="s">
        <v>628</v>
      </c>
      <c r="G367" s="358">
        <v>8.2888999999999999</v>
      </c>
      <c r="H367" s="344" t="s">
        <v>726</v>
      </c>
    </row>
    <row r="368" spans="1:8">
      <c r="A368" s="1"/>
      <c r="B368" s="1"/>
      <c r="C368" s="1"/>
      <c r="D368" s="1"/>
      <c r="E368" s="357">
        <v>43928</v>
      </c>
      <c r="F368" s="344" t="s">
        <v>631</v>
      </c>
      <c r="G368" s="358">
        <v>6.7374999999999998</v>
      </c>
      <c r="H368" s="344" t="s">
        <v>726</v>
      </c>
    </row>
    <row r="369" spans="1:8">
      <c r="A369" s="1"/>
      <c r="B369" s="1"/>
      <c r="C369" s="1"/>
      <c r="D369" s="1"/>
      <c r="E369" s="357">
        <v>43929</v>
      </c>
      <c r="F369" s="344" t="s">
        <v>621</v>
      </c>
      <c r="G369" s="358">
        <v>6.9511000000000003</v>
      </c>
      <c r="H369" s="344" t="s">
        <v>727</v>
      </c>
    </row>
    <row r="370" spans="1:8">
      <c r="A370" s="1"/>
      <c r="B370" s="1"/>
      <c r="C370" s="1"/>
      <c r="D370" s="1"/>
      <c r="E370" s="357">
        <v>43929</v>
      </c>
      <c r="F370" s="344" t="s">
        <v>625</v>
      </c>
      <c r="G370" s="358">
        <v>7.3544</v>
      </c>
      <c r="H370" s="344" t="s">
        <v>727</v>
      </c>
    </row>
    <row r="371" spans="1:8">
      <c r="A371" s="1"/>
      <c r="B371" s="1"/>
      <c r="C371" s="1"/>
      <c r="D371" s="1"/>
      <c r="E371" s="357">
        <v>43929</v>
      </c>
      <c r="F371" s="344" t="s">
        <v>628</v>
      </c>
      <c r="G371" s="358">
        <v>8.3321000000000005</v>
      </c>
      <c r="H371" s="344" t="s">
        <v>727</v>
      </c>
    </row>
    <row r="372" spans="1:8">
      <c r="A372" s="1"/>
      <c r="B372" s="1"/>
      <c r="C372" s="1"/>
      <c r="D372" s="1"/>
      <c r="E372" s="357">
        <v>43929</v>
      </c>
      <c r="F372" s="344" t="s">
        <v>631</v>
      </c>
      <c r="G372" s="358">
        <v>6.7705000000000002</v>
      </c>
      <c r="H372" s="344" t="s">
        <v>727</v>
      </c>
    </row>
    <row r="373" spans="1:8">
      <c r="A373" s="1"/>
      <c r="B373" s="1"/>
      <c r="C373" s="1"/>
      <c r="D373" s="1"/>
      <c r="E373" s="357">
        <v>43930</v>
      </c>
      <c r="F373" s="344" t="s">
        <v>621</v>
      </c>
      <c r="G373" s="358">
        <v>6.9229000000000003</v>
      </c>
      <c r="H373" s="344" t="s">
        <v>728</v>
      </c>
    </row>
    <row r="374" spans="1:8">
      <c r="A374" s="1"/>
      <c r="B374" s="1"/>
      <c r="C374" s="1"/>
      <c r="D374" s="1"/>
      <c r="E374" s="357">
        <v>43930</v>
      </c>
      <c r="F374" s="344" t="s">
        <v>625</v>
      </c>
      <c r="G374" s="358">
        <v>7.3235000000000001</v>
      </c>
      <c r="H374" s="344" t="s">
        <v>728</v>
      </c>
    </row>
    <row r="375" spans="1:8">
      <c r="A375" s="1"/>
      <c r="B375" s="1"/>
      <c r="C375" s="1"/>
      <c r="D375" s="1"/>
      <c r="E375" s="357">
        <v>43930</v>
      </c>
      <c r="F375" s="344" t="s">
        <v>628</v>
      </c>
      <c r="G375" s="358">
        <v>8.3500999999999994</v>
      </c>
      <c r="H375" s="344" t="s">
        <v>728</v>
      </c>
    </row>
    <row r="376" spans="1:8">
      <c r="A376" s="1"/>
      <c r="B376" s="1"/>
      <c r="C376" s="1"/>
      <c r="D376" s="1"/>
      <c r="E376" s="357">
        <v>43930</v>
      </c>
      <c r="F376" s="344" t="s">
        <v>631</v>
      </c>
      <c r="G376" s="358">
        <v>6.7382</v>
      </c>
      <c r="H376" s="344" t="s">
        <v>728</v>
      </c>
    </row>
    <row r="377" spans="1:8">
      <c r="A377" s="1"/>
      <c r="B377" s="1"/>
      <c r="C377" s="1"/>
      <c r="D377" s="1"/>
      <c r="E377" s="357">
        <v>43931</v>
      </c>
      <c r="F377" s="344" t="s">
        <v>621</v>
      </c>
      <c r="G377" s="358">
        <v>6.9112999999999998</v>
      </c>
      <c r="H377" s="344" t="s">
        <v>729</v>
      </c>
    </row>
    <row r="378" spans="1:8">
      <c r="A378" s="1"/>
      <c r="B378" s="1"/>
      <c r="C378" s="1"/>
      <c r="D378" s="1"/>
      <c r="E378" s="357">
        <v>43931</v>
      </c>
      <c r="F378" s="344" t="s">
        <v>625</v>
      </c>
      <c r="G378" s="358">
        <v>7.3175999999999997</v>
      </c>
      <c r="H378" s="344" t="s">
        <v>729</v>
      </c>
    </row>
    <row r="379" spans="1:8">
      <c r="A379" s="1"/>
      <c r="B379" s="1"/>
      <c r="C379" s="1"/>
      <c r="D379" s="1"/>
      <c r="E379" s="357">
        <v>43931</v>
      </c>
      <c r="F379" s="344" t="s">
        <v>628</v>
      </c>
      <c r="G379" s="358">
        <v>8.3292999999999999</v>
      </c>
      <c r="H379" s="344" t="s">
        <v>729</v>
      </c>
    </row>
    <row r="380" spans="1:8">
      <c r="A380" s="1"/>
      <c r="B380" s="1"/>
      <c r="C380" s="1"/>
      <c r="D380" s="1"/>
      <c r="E380" s="357">
        <v>43931</v>
      </c>
      <c r="F380" s="344" t="s">
        <v>631</v>
      </c>
      <c r="G380" s="358">
        <v>6.6877000000000004</v>
      </c>
      <c r="H380" s="344" t="s">
        <v>729</v>
      </c>
    </row>
    <row r="381" spans="1:8">
      <c r="A381" s="1"/>
      <c r="B381" s="1"/>
      <c r="C381" s="1"/>
      <c r="D381" s="1"/>
      <c r="E381" s="357">
        <v>43934</v>
      </c>
      <c r="F381" s="344" t="s">
        <v>621</v>
      </c>
      <c r="G381" s="358">
        <v>6.9870999999999999</v>
      </c>
      <c r="H381" s="344" t="s">
        <v>730</v>
      </c>
    </row>
    <row r="382" spans="1:8">
      <c r="A382" s="1"/>
      <c r="B382" s="1"/>
      <c r="C382" s="1"/>
      <c r="D382" s="1"/>
      <c r="E382" s="357">
        <v>43934</v>
      </c>
      <c r="F382" s="344" t="s">
        <v>625</v>
      </c>
      <c r="G382" s="358">
        <v>7.3954000000000004</v>
      </c>
      <c r="H382" s="344" t="s">
        <v>730</v>
      </c>
    </row>
    <row r="383" spans="1:8">
      <c r="A383" s="1"/>
      <c r="B383" s="1"/>
      <c r="C383" s="1"/>
      <c r="D383" s="1"/>
      <c r="E383" s="357">
        <v>43934</v>
      </c>
      <c r="F383" s="344" t="s">
        <v>628</v>
      </c>
      <c r="G383" s="358">
        <v>8.4406999999999996</v>
      </c>
      <c r="H383" s="344" t="s">
        <v>730</v>
      </c>
    </row>
    <row r="384" spans="1:8">
      <c r="A384" s="1"/>
      <c r="B384" s="1"/>
      <c r="C384" s="1"/>
      <c r="D384" s="1"/>
      <c r="E384" s="357">
        <v>43934</v>
      </c>
      <c r="F384" s="344" t="s">
        <v>631</v>
      </c>
      <c r="G384" s="358">
        <v>6.7618</v>
      </c>
      <c r="H384" s="344" t="s">
        <v>730</v>
      </c>
    </row>
    <row r="385" spans="1:8">
      <c r="A385" s="1"/>
      <c r="B385" s="1"/>
      <c r="C385" s="1"/>
      <c r="D385" s="1"/>
      <c r="E385" s="357">
        <v>43935</v>
      </c>
      <c r="F385" s="344" t="s">
        <v>621</v>
      </c>
      <c r="G385" s="358">
        <v>7.0114999999999998</v>
      </c>
      <c r="H385" s="344" t="s">
        <v>731</v>
      </c>
    </row>
    <row r="386" spans="1:8">
      <c r="A386" s="1"/>
      <c r="B386" s="1"/>
      <c r="C386" s="1"/>
      <c r="D386" s="1"/>
      <c r="E386" s="357">
        <v>43935</v>
      </c>
      <c r="F386" s="344" t="s">
        <v>625</v>
      </c>
      <c r="G386" s="358">
        <v>7.4118000000000004</v>
      </c>
      <c r="H386" s="344" t="s">
        <v>731</v>
      </c>
    </row>
    <row r="387" spans="1:8">
      <c r="A387" s="1"/>
      <c r="B387" s="1"/>
      <c r="C387" s="1"/>
      <c r="D387" s="1"/>
      <c r="E387" s="357">
        <v>43935</v>
      </c>
      <c r="F387" s="344" t="s">
        <v>628</v>
      </c>
      <c r="G387" s="358">
        <v>8.4938000000000002</v>
      </c>
      <c r="H387" s="344" t="s">
        <v>731</v>
      </c>
    </row>
    <row r="388" spans="1:8">
      <c r="A388" s="1"/>
      <c r="B388" s="1"/>
      <c r="C388" s="1"/>
      <c r="D388" s="1"/>
      <c r="E388" s="357">
        <v>43935</v>
      </c>
      <c r="F388" s="344" t="s">
        <v>631</v>
      </c>
      <c r="G388" s="358">
        <v>6.7751999999999999</v>
      </c>
      <c r="H388" s="344" t="s">
        <v>731</v>
      </c>
    </row>
    <row r="389" spans="1:8">
      <c r="A389" s="1"/>
      <c r="B389" s="1"/>
      <c r="C389" s="1"/>
      <c r="D389" s="1"/>
      <c r="E389" s="357">
        <v>43936</v>
      </c>
      <c r="F389" s="344" t="s">
        <v>621</v>
      </c>
      <c r="G389" s="358">
        <v>7.0885999999999996</v>
      </c>
      <c r="H389" s="344" t="s">
        <v>732</v>
      </c>
    </row>
    <row r="390" spans="1:8">
      <c r="A390" s="1"/>
      <c r="B390" s="1"/>
      <c r="C390" s="1"/>
      <c r="D390" s="1"/>
      <c r="E390" s="357">
        <v>43936</v>
      </c>
      <c r="F390" s="344" t="s">
        <v>625</v>
      </c>
      <c r="G390" s="358">
        <v>7.4870999999999999</v>
      </c>
      <c r="H390" s="344" t="s">
        <v>732</v>
      </c>
    </row>
    <row r="391" spans="1:8">
      <c r="A391" s="1"/>
      <c r="B391" s="1"/>
      <c r="C391" s="1"/>
      <c r="D391" s="1"/>
      <c r="E391" s="357">
        <v>43936</v>
      </c>
      <c r="F391" s="344" t="s">
        <v>628</v>
      </c>
      <c r="G391" s="358">
        <v>8.5619999999999994</v>
      </c>
      <c r="H391" s="344" t="s">
        <v>732</v>
      </c>
    </row>
    <row r="392" spans="1:8">
      <c r="A392" s="1"/>
      <c r="B392" s="1"/>
      <c r="C392" s="1"/>
      <c r="D392" s="1"/>
      <c r="E392" s="357">
        <v>43936</v>
      </c>
      <c r="F392" s="344" t="s">
        <v>631</v>
      </c>
      <c r="G392" s="358">
        <v>6.8505000000000003</v>
      </c>
      <c r="H392" s="344" t="s">
        <v>732</v>
      </c>
    </row>
    <row r="393" spans="1:8">
      <c r="A393" s="1"/>
      <c r="B393" s="1"/>
      <c r="C393" s="1"/>
      <c r="D393" s="1"/>
      <c r="E393" s="357">
        <v>43937</v>
      </c>
      <c r="F393" s="344" t="s">
        <v>621</v>
      </c>
      <c r="G393" s="358">
        <v>7.1279000000000003</v>
      </c>
      <c r="H393" s="344" t="s">
        <v>733</v>
      </c>
    </row>
    <row r="394" spans="1:8">
      <c r="A394" s="1"/>
      <c r="B394" s="1"/>
      <c r="C394" s="1"/>
      <c r="D394" s="1"/>
      <c r="E394" s="357">
        <v>43937</v>
      </c>
      <c r="F394" s="344" t="s">
        <v>625</v>
      </c>
      <c r="G394" s="358">
        <v>7.5145</v>
      </c>
      <c r="H394" s="344" t="s">
        <v>733</v>
      </c>
    </row>
    <row r="395" spans="1:8">
      <c r="A395" s="1"/>
      <c r="B395" s="1"/>
      <c r="C395" s="1"/>
      <c r="D395" s="1"/>
      <c r="E395" s="357">
        <v>43937</v>
      </c>
      <c r="F395" s="344" t="s">
        <v>628</v>
      </c>
      <c r="G395" s="358">
        <v>8.6107999999999993</v>
      </c>
      <c r="H395" s="344" t="s">
        <v>733</v>
      </c>
    </row>
    <row r="396" spans="1:8">
      <c r="A396" s="1"/>
      <c r="B396" s="1"/>
      <c r="C396" s="1"/>
      <c r="D396" s="1"/>
      <c r="E396" s="357">
        <v>43937</v>
      </c>
      <c r="F396" s="344" t="s">
        <v>631</v>
      </c>
      <c r="G396" s="358">
        <v>6.9073000000000002</v>
      </c>
      <c r="H396" s="344" t="s">
        <v>733</v>
      </c>
    </row>
    <row r="397" spans="1:8">
      <c r="A397" s="1"/>
      <c r="B397" s="1"/>
      <c r="C397" s="1"/>
      <c r="D397" s="1"/>
      <c r="E397" s="357">
        <v>43938</v>
      </c>
      <c r="F397" s="344" t="s">
        <v>621</v>
      </c>
      <c r="G397" s="358">
        <v>7.1063999999999998</v>
      </c>
      <c r="H397" s="344" t="s">
        <v>734</v>
      </c>
    </row>
    <row r="398" spans="1:8">
      <c r="A398" s="1"/>
      <c r="B398" s="1"/>
      <c r="C398" s="1"/>
      <c r="D398" s="1"/>
      <c r="E398" s="357">
        <v>43938</v>
      </c>
      <c r="F398" s="344" t="s">
        <v>625</v>
      </c>
      <c r="G398" s="358">
        <v>7.4905999999999997</v>
      </c>
      <c r="H398" s="344" t="s">
        <v>734</v>
      </c>
    </row>
    <row r="399" spans="1:8">
      <c r="A399" s="1"/>
      <c r="B399" s="1"/>
      <c r="C399" s="1"/>
      <c r="D399" s="1"/>
      <c r="E399" s="357">
        <v>43938</v>
      </c>
      <c r="F399" s="344" t="s">
        <v>628</v>
      </c>
      <c r="G399" s="358">
        <v>8.5937999999999999</v>
      </c>
      <c r="H399" s="344" t="s">
        <v>734</v>
      </c>
    </row>
    <row r="400" spans="1:8">
      <c r="A400" s="1"/>
      <c r="B400" s="1"/>
      <c r="C400" s="1"/>
      <c r="D400" s="1"/>
      <c r="E400" s="357">
        <v>43938</v>
      </c>
      <c r="F400" s="344" t="s">
        <v>631</v>
      </c>
      <c r="G400" s="358">
        <v>6.9130000000000003</v>
      </c>
      <c r="H400" s="344" t="s">
        <v>734</v>
      </c>
    </row>
    <row r="401" spans="1:8">
      <c r="A401" s="1"/>
      <c r="B401" s="1"/>
      <c r="C401" s="1"/>
      <c r="D401" s="1"/>
      <c r="E401" s="357">
        <v>43941</v>
      </c>
      <c r="F401" s="344" t="s">
        <v>621</v>
      </c>
      <c r="G401" s="358">
        <v>7.1215999999999999</v>
      </c>
      <c r="H401" s="344" t="s">
        <v>735</v>
      </c>
    </row>
    <row r="402" spans="1:8">
      <c r="A402" s="1"/>
      <c r="B402" s="1"/>
      <c r="C402" s="1"/>
      <c r="D402" s="1"/>
      <c r="E402" s="357">
        <v>43941</v>
      </c>
      <c r="F402" s="344" t="s">
        <v>625</v>
      </c>
      <c r="G402" s="358">
        <v>7.5076999999999998</v>
      </c>
      <c r="H402" s="344" t="s">
        <v>735</v>
      </c>
    </row>
    <row r="403" spans="1:8">
      <c r="A403" s="1"/>
      <c r="B403" s="1"/>
      <c r="C403" s="1"/>
      <c r="D403" s="1"/>
      <c r="E403" s="357">
        <v>43941</v>
      </c>
      <c r="F403" s="344" t="s">
        <v>628</v>
      </c>
      <c r="G403" s="358">
        <v>8.5937000000000001</v>
      </c>
      <c r="H403" s="344" t="s">
        <v>735</v>
      </c>
    </row>
    <row r="404" spans="1:8">
      <c r="A404" s="1"/>
      <c r="B404" s="1"/>
      <c r="C404" s="1"/>
      <c r="D404" s="1"/>
      <c r="E404" s="357">
        <v>43941</v>
      </c>
      <c r="F404" s="344" t="s">
        <v>631</v>
      </c>
      <c r="G404" s="358">
        <v>6.9081999999999999</v>
      </c>
      <c r="H404" s="344" t="s">
        <v>735</v>
      </c>
    </row>
    <row r="405" spans="1:8">
      <c r="A405" s="1"/>
      <c r="B405" s="1"/>
      <c r="C405" s="1"/>
      <c r="D405" s="1"/>
      <c r="E405" s="357">
        <v>43942</v>
      </c>
      <c r="F405" s="344" t="s">
        <v>621</v>
      </c>
      <c r="G405" s="358">
        <v>7.1539000000000001</v>
      </c>
      <c r="H405" s="344" t="s">
        <v>736</v>
      </c>
    </row>
    <row r="406" spans="1:8">
      <c r="A406" s="1"/>
      <c r="B406" s="1"/>
      <c r="C406" s="1"/>
      <c r="D406" s="1"/>
      <c r="E406" s="357">
        <v>43942</v>
      </c>
      <c r="F406" s="344" t="s">
        <v>625</v>
      </c>
      <c r="G406" s="358">
        <v>7.5397999999999996</v>
      </c>
      <c r="H406" s="344" t="s">
        <v>736</v>
      </c>
    </row>
    <row r="407" spans="1:8">
      <c r="A407" s="1"/>
      <c r="B407" s="1"/>
      <c r="C407" s="1"/>
      <c r="D407" s="1"/>
      <c r="E407" s="357">
        <v>43942</v>
      </c>
      <c r="F407" s="344" t="s">
        <v>628</v>
      </c>
      <c r="G407" s="358">
        <v>8.5896000000000008</v>
      </c>
      <c r="H407" s="344" t="s">
        <v>736</v>
      </c>
    </row>
    <row r="408" spans="1:8">
      <c r="A408" s="1"/>
      <c r="B408" s="1"/>
      <c r="C408" s="1"/>
      <c r="D408" s="1"/>
      <c r="E408" s="357">
        <v>43942</v>
      </c>
      <c r="F408" s="344" t="s">
        <v>631</v>
      </c>
      <c r="G408" s="358">
        <v>6.9592999999999998</v>
      </c>
      <c r="H408" s="344" t="s">
        <v>736</v>
      </c>
    </row>
    <row r="409" spans="1:8">
      <c r="A409" s="1"/>
      <c r="B409" s="1"/>
      <c r="C409" s="1"/>
      <c r="D409" s="1"/>
      <c r="E409" s="357">
        <v>43943</v>
      </c>
      <c r="F409" s="344" t="s">
        <v>621</v>
      </c>
      <c r="G409" s="358">
        <v>7.1788999999999996</v>
      </c>
      <c r="H409" s="344" t="s">
        <v>737</v>
      </c>
    </row>
    <row r="410" spans="1:8">
      <c r="A410" s="1"/>
      <c r="B410" s="1"/>
      <c r="C410" s="1"/>
      <c r="D410" s="1"/>
      <c r="E410" s="357">
        <v>43943</v>
      </c>
      <c r="F410" s="344" t="s">
        <v>625</v>
      </c>
      <c r="G410" s="358">
        <v>7.5728999999999997</v>
      </c>
      <c r="H410" s="344" t="s">
        <v>737</v>
      </c>
    </row>
    <row r="411" spans="1:8">
      <c r="A411" s="1"/>
      <c r="B411" s="1"/>
      <c r="C411" s="1"/>
      <c r="D411" s="1"/>
      <c r="E411" s="357">
        <v>43943</v>
      </c>
      <c r="F411" s="344" t="s">
        <v>628</v>
      </c>
      <c r="G411" s="358">
        <v>8.5920000000000005</v>
      </c>
      <c r="H411" s="344" t="s">
        <v>737</v>
      </c>
    </row>
    <row r="412" spans="1:8">
      <c r="A412" s="1"/>
      <c r="B412" s="1"/>
      <c r="C412" s="1"/>
      <c r="D412" s="1"/>
      <c r="E412" s="357">
        <v>43943</v>
      </c>
      <c r="F412" s="344" t="s">
        <v>631</v>
      </c>
      <c r="G412" s="358">
        <v>6.9707999999999997</v>
      </c>
      <c r="H412" s="344" t="s">
        <v>737</v>
      </c>
    </row>
    <row r="413" spans="1:8">
      <c r="A413" s="1"/>
      <c r="B413" s="1"/>
      <c r="C413" s="1"/>
      <c r="D413" s="1"/>
      <c r="E413" s="357">
        <v>43945</v>
      </c>
      <c r="F413" s="344" t="s">
        <v>621</v>
      </c>
      <c r="G413" s="358">
        <v>7.1050000000000004</v>
      </c>
      <c r="H413" s="344" t="s">
        <v>738</v>
      </c>
    </row>
    <row r="414" spans="1:8">
      <c r="A414" s="1"/>
      <c r="B414" s="1"/>
      <c r="C414" s="1"/>
      <c r="D414" s="1"/>
      <c r="E414" s="357">
        <v>43945</v>
      </c>
      <c r="F414" s="344" t="s">
        <v>625</v>
      </c>
      <c r="G414" s="358">
        <v>7.4903000000000004</v>
      </c>
      <c r="H414" s="344" t="s">
        <v>738</v>
      </c>
    </row>
    <row r="415" spans="1:8">
      <c r="A415" s="1"/>
      <c r="B415" s="1"/>
      <c r="C415" s="1"/>
      <c r="D415" s="1"/>
      <c r="E415" s="357">
        <v>43945</v>
      </c>
      <c r="F415" s="344" t="s">
        <v>628</v>
      </c>
      <c r="G415" s="358">
        <v>8.5672999999999995</v>
      </c>
      <c r="H415" s="344" t="s">
        <v>738</v>
      </c>
    </row>
    <row r="416" spans="1:8">
      <c r="A416" s="1"/>
      <c r="B416" s="1"/>
      <c r="C416" s="1"/>
      <c r="D416" s="1"/>
      <c r="E416" s="357">
        <v>43945</v>
      </c>
      <c r="F416" s="344" t="s">
        <v>631</v>
      </c>
      <c r="G416" s="358">
        <v>6.9588999999999999</v>
      </c>
      <c r="H416" s="344" t="s">
        <v>738</v>
      </c>
    </row>
    <row r="417" spans="1:8">
      <c r="A417" s="1"/>
      <c r="B417" s="1"/>
      <c r="C417" s="1"/>
      <c r="D417" s="1"/>
      <c r="E417" s="357">
        <v>43948</v>
      </c>
      <c r="F417" s="344" t="s">
        <v>621</v>
      </c>
      <c r="G417" s="358">
        <v>7.1452999999999998</v>
      </c>
      <c r="H417" s="344" t="s">
        <v>739</v>
      </c>
    </row>
    <row r="418" spans="1:8">
      <c r="A418" s="1"/>
      <c r="B418" s="1"/>
      <c r="C418" s="1"/>
      <c r="D418" s="1"/>
      <c r="E418" s="357">
        <v>43948</v>
      </c>
      <c r="F418" s="344" t="s">
        <v>625</v>
      </c>
      <c r="G418" s="358">
        <v>7.5590000000000002</v>
      </c>
      <c r="H418" s="344" t="s">
        <v>739</v>
      </c>
    </row>
    <row r="419" spans="1:8">
      <c r="A419" s="1"/>
      <c r="B419" s="1"/>
      <c r="C419" s="1"/>
      <c r="D419" s="1"/>
      <c r="E419" s="357">
        <v>43948</v>
      </c>
      <c r="F419" s="344" t="s">
        <v>628</v>
      </c>
      <c r="G419" s="358">
        <v>8.6508000000000003</v>
      </c>
      <c r="H419" s="344" t="s">
        <v>739</v>
      </c>
    </row>
    <row r="420" spans="1:8">
      <c r="A420" s="1"/>
      <c r="B420" s="1"/>
      <c r="C420" s="1"/>
      <c r="D420" s="1"/>
      <c r="E420" s="357">
        <v>43948</v>
      </c>
      <c r="F420" s="344" t="s">
        <v>631</v>
      </c>
      <c r="G420" s="358">
        <v>6.9675000000000002</v>
      </c>
      <c r="H420" s="344" t="s">
        <v>739</v>
      </c>
    </row>
    <row r="421" spans="1:8">
      <c r="A421" s="1"/>
      <c r="B421" s="1"/>
      <c r="C421" s="1"/>
      <c r="D421" s="1"/>
      <c r="E421" s="357">
        <v>43949</v>
      </c>
      <c r="F421" s="344" t="s">
        <v>621</v>
      </c>
      <c r="G421" s="358">
        <v>7.1462000000000003</v>
      </c>
      <c r="H421" s="344" t="s">
        <v>740</v>
      </c>
    </row>
    <row r="422" spans="1:8">
      <c r="A422" s="1"/>
      <c r="B422" s="1"/>
      <c r="C422" s="1"/>
      <c r="D422" s="1"/>
      <c r="E422" s="357">
        <v>43949</v>
      </c>
      <c r="F422" s="344" t="s">
        <v>625</v>
      </c>
      <c r="G422" s="358">
        <v>7.5876999999999999</v>
      </c>
      <c r="H422" s="344" t="s">
        <v>740</v>
      </c>
    </row>
    <row r="423" spans="1:8">
      <c r="A423" s="1"/>
      <c r="B423" s="1"/>
      <c r="C423" s="1"/>
      <c r="D423" s="1"/>
      <c r="E423" s="357">
        <v>43949</v>
      </c>
      <c r="F423" s="344" t="s">
        <v>628</v>
      </c>
      <c r="G423" s="358">
        <v>8.6996000000000002</v>
      </c>
      <c r="H423" s="344" t="s">
        <v>740</v>
      </c>
    </row>
    <row r="424" spans="1:8">
      <c r="A424" s="1"/>
      <c r="B424" s="1"/>
      <c r="C424" s="1"/>
      <c r="D424" s="1"/>
      <c r="E424" s="357">
        <v>43949</v>
      </c>
      <c r="F424" s="344" t="s">
        <v>631</v>
      </c>
      <c r="G424" s="358">
        <v>6.9881000000000002</v>
      </c>
      <c r="H424" s="344" t="s">
        <v>740</v>
      </c>
    </row>
    <row r="425" spans="1:8">
      <c r="A425" s="1"/>
      <c r="B425" s="1"/>
      <c r="C425" s="1"/>
      <c r="D425" s="1"/>
      <c r="E425" s="357">
        <v>43950</v>
      </c>
      <c r="F425" s="344" t="s">
        <v>621</v>
      </c>
      <c r="G425" s="358">
        <v>7.1536999999999997</v>
      </c>
      <c r="H425" s="344" t="s">
        <v>741</v>
      </c>
    </row>
    <row r="426" spans="1:8">
      <c r="A426" s="1"/>
      <c r="B426" s="1"/>
      <c r="C426" s="1"/>
      <c r="D426" s="1"/>
      <c r="E426" s="357">
        <v>43950</v>
      </c>
      <c r="F426" s="344" t="s">
        <v>625</v>
      </c>
      <c r="G426" s="358">
        <v>7.5763999999999996</v>
      </c>
      <c r="H426" s="344" t="s">
        <v>741</v>
      </c>
    </row>
    <row r="427" spans="1:8">
      <c r="A427" s="1"/>
      <c r="B427" s="1"/>
      <c r="C427" s="1"/>
      <c r="D427" s="1"/>
      <c r="E427" s="357">
        <v>43950</v>
      </c>
      <c r="F427" s="344" t="s">
        <v>628</v>
      </c>
      <c r="G427" s="358">
        <v>8.6599000000000004</v>
      </c>
      <c r="H427" s="344" t="s">
        <v>741</v>
      </c>
    </row>
    <row r="428" spans="1:8">
      <c r="A428" s="1"/>
      <c r="B428" s="1"/>
      <c r="C428" s="1"/>
      <c r="D428" s="1"/>
      <c r="E428" s="357">
        <v>43950</v>
      </c>
      <c r="F428" s="344" t="s">
        <v>631</v>
      </c>
      <c r="G428" s="358">
        <v>6.9786999999999999</v>
      </c>
      <c r="H428" s="344" t="s">
        <v>741</v>
      </c>
    </row>
    <row r="429" spans="1:8">
      <c r="A429" s="1"/>
      <c r="B429" s="1"/>
      <c r="C429" s="1"/>
      <c r="D429" s="1"/>
      <c r="E429" s="357">
        <v>43951</v>
      </c>
      <c r="F429" s="344" t="s">
        <v>621</v>
      </c>
      <c r="G429" s="358">
        <v>7.1589</v>
      </c>
      <c r="H429" s="344" t="s">
        <v>742</v>
      </c>
    </row>
    <row r="430" spans="1:8">
      <c r="A430" s="1"/>
      <c r="B430" s="1"/>
      <c r="C430" s="1"/>
      <c r="D430" s="1"/>
      <c r="E430" s="357">
        <v>43951</v>
      </c>
      <c r="F430" s="344" t="s">
        <v>625</v>
      </c>
      <c r="G430" s="358">
        <v>7.5827</v>
      </c>
      <c r="H430" s="344" t="s">
        <v>742</v>
      </c>
    </row>
    <row r="431" spans="1:8">
      <c r="A431" s="1"/>
      <c r="B431" s="1"/>
      <c r="C431" s="1"/>
      <c r="D431" s="1"/>
      <c r="E431" s="357">
        <v>43951</v>
      </c>
      <c r="F431" s="344" t="s">
        <v>628</v>
      </c>
      <c r="G431" s="358">
        <v>8.6923999999999992</v>
      </c>
      <c r="H431" s="344" t="s">
        <v>742</v>
      </c>
    </row>
    <row r="432" spans="1:8">
      <c r="A432" s="1"/>
      <c r="B432" s="1"/>
      <c r="C432" s="1"/>
      <c r="D432" s="1"/>
      <c r="E432" s="357">
        <v>43951</v>
      </c>
      <c r="F432" s="344" t="s">
        <v>631</v>
      </c>
      <c r="G432" s="358">
        <v>6.9718999999999998</v>
      </c>
      <c r="H432" s="344" t="s">
        <v>742</v>
      </c>
    </row>
    <row r="433" spans="1:8">
      <c r="A433" s="1"/>
      <c r="B433" s="1"/>
      <c r="C433" s="1"/>
      <c r="D433" s="1"/>
      <c r="E433" s="357">
        <v>43955</v>
      </c>
      <c r="F433" s="344" t="s">
        <v>621</v>
      </c>
      <c r="G433" s="358">
        <v>7.2599</v>
      </c>
      <c r="H433" s="344" t="s">
        <v>743</v>
      </c>
    </row>
    <row r="434" spans="1:8">
      <c r="A434" s="1"/>
      <c r="B434" s="1"/>
      <c r="C434" s="1"/>
      <c r="D434" s="1"/>
      <c r="E434" s="357">
        <v>43955</v>
      </c>
      <c r="F434" s="344" t="s">
        <v>625</v>
      </c>
      <c r="G434" s="358">
        <v>7.6738999999999997</v>
      </c>
      <c r="H434" s="344" t="s">
        <v>743</v>
      </c>
    </row>
    <row r="435" spans="1:8">
      <c r="A435" s="1"/>
      <c r="B435" s="1"/>
      <c r="C435" s="1"/>
      <c r="D435" s="1"/>
      <c r="E435" s="357">
        <v>43955</v>
      </c>
      <c r="F435" s="344" t="s">
        <v>628</v>
      </c>
      <c r="G435" s="358">
        <v>8.7124000000000006</v>
      </c>
      <c r="H435" s="344" t="s">
        <v>743</v>
      </c>
    </row>
    <row r="436" spans="1:8">
      <c r="A436" s="1"/>
      <c r="B436" s="1"/>
      <c r="C436" s="1"/>
      <c r="D436" s="1"/>
      <c r="E436" s="357">
        <v>43955</v>
      </c>
      <c r="F436" s="344" t="s">
        <v>631</v>
      </c>
      <c r="G436" s="358">
        <v>7.0151000000000003</v>
      </c>
      <c r="H436" s="344" t="s">
        <v>743</v>
      </c>
    </row>
    <row r="437" spans="1:8">
      <c r="A437" s="1"/>
      <c r="B437" s="1"/>
      <c r="C437" s="1"/>
      <c r="D437" s="1"/>
      <c r="E437" s="357">
        <v>43956</v>
      </c>
      <c r="F437" s="344" t="s">
        <v>621</v>
      </c>
      <c r="G437" s="358">
        <v>7.2630999999999997</v>
      </c>
      <c r="H437" s="344" t="s">
        <v>744</v>
      </c>
    </row>
    <row r="438" spans="1:8">
      <c r="A438" s="1"/>
      <c r="B438" s="1"/>
      <c r="C438" s="1"/>
      <c r="D438" s="1"/>
      <c r="E438" s="357">
        <v>43956</v>
      </c>
      <c r="F438" s="344" t="s">
        <v>625</v>
      </c>
      <c r="G438" s="358">
        <v>7.6623999999999999</v>
      </c>
      <c r="H438" s="344" t="s">
        <v>744</v>
      </c>
    </row>
    <row r="439" spans="1:8">
      <c r="A439" s="1"/>
      <c r="B439" s="1"/>
      <c r="C439" s="1"/>
      <c r="D439" s="1"/>
      <c r="E439" s="357">
        <v>43956</v>
      </c>
      <c r="F439" s="344" t="s">
        <v>628</v>
      </c>
      <c r="G439" s="358">
        <v>8.7683</v>
      </c>
      <c r="H439" s="344" t="s">
        <v>744</v>
      </c>
    </row>
    <row r="440" spans="1:8">
      <c r="A440" s="1"/>
      <c r="B440" s="1"/>
      <c r="C440" s="1"/>
      <c r="D440" s="1"/>
      <c r="E440" s="357">
        <v>43956</v>
      </c>
      <c r="F440" s="344" t="s">
        <v>631</v>
      </c>
      <c r="G440" s="358">
        <v>7.0549999999999997</v>
      </c>
      <c r="H440" s="344" t="s">
        <v>744</v>
      </c>
    </row>
    <row r="441" spans="1:8">
      <c r="A441" s="1"/>
      <c r="B441" s="1"/>
      <c r="C441" s="1"/>
      <c r="D441" s="1"/>
      <c r="E441" s="357">
        <v>43957</v>
      </c>
      <c r="F441" s="344" t="s">
        <v>621</v>
      </c>
      <c r="G441" s="358">
        <v>7.3074000000000003</v>
      </c>
      <c r="H441" s="344" t="s">
        <v>745</v>
      </c>
    </row>
    <row r="442" spans="1:8">
      <c r="A442" s="1"/>
      <c r="B442" s="1"/>
      <c r="C442" s="1"/>
      <c r="D442" s="1"/>
      <c r="E442" s="357">
        <v>43957</v>
      </c>
      <c r="F442" s="344" t="s">
        <v>625</v>
      </c>
      <c r="G442" s="358">
        <v>7.7111999999999998</v>
      </c>
      <c r="H442" s="344" t="s">
        <v>745</v>
      </c>
    </row>
    <row r="443" spans="1:8">
      <c r="A443" s="1"/>
      <c r="B443" s="1"/>
      <c r="C443" s="1"/>
      <c r="D443" s="1"/>
      <c r="E443" s="357">
        <v>43957</v>
      </c>
      <c r="F443" s="344" t="s">
        <v>628</v>
      </c>
      <c r="G443" s="358">
        <v>8.8276000000000003</v>
      </c>
      <c r="H443" s="344" t="s">
        <v>745</v>
      </c>
    </row>
    <row r="444" spans="1:8">
      <c r="A444" s="1"/>
      <c r="B444" s="1"/>
      <c r="C444" s="1"/>
      <c r="D444" s="1"/>
      <c r="E444" s="357">
        <v>43957</v>
      </c>
      <c r="F444" s="344" t="s">
        <v>631</v>
      </c>
      <c r="G444" s="358">
        <v>7.1334</v>
      </c>
      <c r="H444" s="344" t="s">
        <v>745</v>
      </c>
    </row>
    <row r="445" spans="1:8">
      <c r="A445" s="1"/>
      <c r="B445" s="1"/>
      <c r="C445" s="1"/>
      <c r="D445" s="1"/>
      <c r="E445" s="357">
        <v>43958</v>
      </c>
      <c r="F445" s="344" t="s">
        <v>621</v>
      </c>
      <c r="G445" s="358">
        <v>7.3846999999999996</v>
      </c>
      <c r="H445" s="344" t="s">
        <v>746</v>
      </c>
    </row>
    <row r="446" spans="1:8">
      <c r="A446" s="1"/>
      <c r="B446" s="1"/>
      <c r="C446" s="1"/>
      <c r="D446" s="1"/>
      <c r="E446" s="357">
        <v>43958</v>
      </c>
      <c r="F446" s="344" t="s">
        <v>625</v>
      </c>
      <c r="G446" s="358">
        <v>7.7944000000000004</v>
      </c>
      <c r="H446" s="344" t="s">
        <v>746</v>
      </c>
    </row>
    <row r="447" spans="1:8">
      <c r="A447" s="1"/>
      <c r="B447" s="1"/>
      <c r="C447" s="1"/>
      <c r="D447" s="1"/>
      <c r="E447" s="357">
        <v>43958</v>
      </c>
      <c r="F447" s="344" t="s">
        <v>628</v>
      </c>
      <c r="G447" s="358">
        <v>8.9143000000000008</v>
      </c>
      <c r="H447" s="344" t="s">
        <v>746</v>
      </c>
    </row>
    <row r="448" spans="1:8">
      <c r="A448" s="1"/>
      <c r="B448" s="1"/>
      <c r="C448" s="1"/>
      <c r="D448" s="1"/>
      <c r="E448" s="357">
        <v>43958</v>
      </c>
      <c r="F448" s="344" t="s">
        <v>631</v>
      </c>
      <c r="G448" s="358">
        <v>7.2209000000000003</v>
      </c>
      <c r="H448" s="344" t="s">
        <v>746</v>
      </c>
    </row>
    <row r="449" spans="1:8">
      <c r="A449" s="1"/>
      <c r="B449" s="1"/>
      <c r="C449" s="1"/>
      <c r="D449" s="1"/>
      <c r="E449" s="357">
        <v>43959</v>
      </c>
      <c r="F449" s="344" t="s">
        <v>621</v>
      </c>
      <c r="G449" s="358">
        <v>7.2862</v>
      </c>
      <c r="H449" s="344" t="s">
        <v>747</v>
      </c>
    </row>
    <row r="450" spans="1:8">
      <c r="A450" s="1"/>
      <c r="B450" s="1"/>
      <c r="C450" s="1"/>
      <c r="D450" s="1"/>
      <c r="E450" s="357">
        <v>43959</v>
      </c>
      <c r="F450" s="344" t="s">
        <v>625</v>
      </c>
      <c r="G450" s="358">
        <v>7.6894</v>
      </c>
      <c r="H450" s="344" t="s">
        <v>747</v>
      </c>
    </row>
    <row r="451" spans="1:8">
      <c r="A451" s="1"/>
      <c r="B451" s="1"/>
      <c r="C451" s="1"/>
      <c r="D451" s="1"/>
      <c r="E451" s="357">
        <v>43959</v>
      </c>
      <c r="F451" s="344" t="s">
        <v>628</v>
      </c>
      <c r="G451" s="358">
        <v>8.7723999999999993</v>
      </c>
      <c r="H451" s="344" t="s">
        <v>747</v>
      </c>
    </row>
    <row r="452" spans="1:8">
      <c r="A452" s="1"/>
      <c r="B452" s="1"/>
      <c r="C452" s="1"/>
      <c r="D452" s="1"/>
      <c r="E452" s="357">
        <v>43959</v>
      </c>
      <c r="F452" s="344" t="s">
        <v>631</v>
      </c>
      <c r="G452" s="358">
        <v>7.0960000000000001</v>
      </c>
      <c r="H452" s="344" t="s">
        <v>747</v>
      </c>
    </row>
    <row r="453" spans="1:8">
      <c r="A453" s="1"/>
      <c r="B453" s="1"/>
      <c r="C453" s="1"/>
      <c r="D453" s="1"/>
      <c r="E453" s="357">
        <v>43962</v>
      </c>
      <c r="F453" s="344" t="s">
        <v>621</v>
      </c>
      <c r="G453" s="358">
        <v>7.2538</v>
      </c>
      <c r="H453" s="344" t="s">
        <v>748</v>
      </c>
    </row>
    <row r="454" spans="1:8">
      <c r="A454" s="1"/>
      <c r="B454" s="1"/>
      <c r="C454" s="1"/>
      <c r="D454" s="1"/>
      <c r="E454" s="357">
        <v>43962</v>
      </c>
      <c r="F454" s="344" t="s">
        <v>625</v>
      </c>
      <c r="G454" s="358">
        <v>7.6509</v>
      </c>
      <c r="H454" s="344" t="s">
        <v>748</v>
      </c>
    </row>
    <row r="455" spans="1:8">
      <c r="A455" s="1"/>
      <c r="B455" s="1"/>
      <c r="C455" s="1"/>
      <c r="D455" s="1"/>
      <c r="E455" s="357">
        <v>43962</v>
      </c>
      <c r="F455" s="344" t="s">
        <v>628</v>
      </c>
      <c r="G455" s="358">
        <v>8.7203999999999997</v>
      </c>
      <c r="H455" s="344" t="s">
        <v>748</v>
      </c>
    </row>
    <row r="456" spans="1:8">
      <c r="A456" s="1"/>
      <c r="B456" s="1"/>
      <c r="C456" s="1"/>
      <c r="D456" s="1"/>
      <c r="E456" s="357">
        <v>43962</v>
      </c>
      <c r="F456" s="344" t="s">
        <v>631</v>
      </c>
      <c r="G456" s="358">
        <v>7.0675999999999997</v>
      </c>
      <c r="H456" s="344" t="s">
        <v>748</v>
      </c>
    </row>
    <row r="457" spans="1:8">
      <c r="A457" s="1"/>
      <c r="B457" s="1"/>
      <c r="C457" s="1"/>
      <c r="D457" s="1"/>
      <c r="E457" s="357">
        <v>43963</v>
      </c>
      <c r="F457" s="344" t="s">
        <v>621</v>
      </c>
      <c r="G457" s="358">
        <v>7.2023000000000001</v>
      </c>
      <c r="H457" s="344" t="s">
        <v>749</v>
      </c>
    </row>
    <row r="458" spans="1:8">
      <c r="A458" s="1"/>
      <c r="B458" s="1"/>
      <c r="C458" s="1"/>
      <c r="D458" s="1"/>
      <c r="E458" s="357">
        <v>43963</v>
      </c>
      <c r="F458" s="344" t="s">
        <v>625</v>
      </c>
      <c r="G458" s="358">
        <v>7.5922000000000001</v>
      </c>
      <c r="H458" s="344" t="s">
        <v>749</v>
      </c>
    </row>
    <row r="459" spans="1:8">
      <c r="A459" s="1"/>
      <c r="B459" s="1"/>
      <c r="C459" s="1"/>
      <c r="D459" s="1"/>
      <c r="E459" s="357">
        <v>43963</v>
      </c>
      <c r="F459" s="344" t="s">
        <v>628</v>
      </c>
      <c r="G459" s="358">
        <v>8.6389999999999993</v>
      </c>
      <c r="H459" s="344" t="s">
        <v>749</v>
      </c>
    </row>
    <row r="460" spans="1:8">
      <c r="A460" s="1"/>
      <c r="B460" s="1"/>
      <c r="C460" s="1"/>
      <c r="D460" s="1"/>
      <c r="E460" s="357">
        <v>43963</v>
      </c>
      <c r="F460" s="344" t="s">
        <v>631</v>
      </c>
      <c r="G460" s="358">
        <v>7.0121000000000002</v>
      </c>
      <c r="H460" s="344" t="s">
        <v>749</v>
      </c>
    </row>
    <row r="461" spans="1:8">
      <c r="A461" s="1"/>
      <c r="B461" s="1"/>
      <c r="C461" s="1"/>
      <c r="D461" s="1"/>
      <c r="E461" s="357">
        <v>43964</v>
      </c>
      <c r="F461" s="344" t="s">
        <v>621</v>
      </c>
      <c r="G461" s="358">
        <v>7.1811999999999996</v>
      </c>
      <c r="H461" s="344" t="s">
        <v>750</v>
      </c>
    </row>
    <row r="462" spans="1:8">
      <c r="A462" s="1"/>
      <c r="B462" s="1"/>
      <c r="C462" s="1"/>
      <c r="D462" s="1"/>
      <c r="E462" s="357">
        <v>43964</v>
      </c>
      <c r="F462" s="344" t="s">
        <v>625</v>
      </c>
      <c r="G462" s="358">
        <v>7.5735000000000001</v>
      </c>
      <c r="H462" s="344" t="s">
        <v>750</v>
      </c>
    </row>
    <row r="463" spans="1:8">
      <c r="A463" s="1"/>
      <c r="B463" s="1"/>
      <c r="C463" s="1"/>
      <c r="D463" s="1"/>
      <c r="E463" s="357">
        <v>43964</v>
      </c>
      <c r="F463" s="344" t="s">
        <v>628</v>
      </c>
      <c r="G463" s="358">
        <v>8.5640999999999998</v>
      </c>
      <c r="H463" s="344" t="s">
        <v>750</v>
      </c>
    </row>
    <row r="464" spans="1:8">
      <c r="A464" s="1"/>
      <c r="B464" s="1"/>
      <c r="C464" s="1"/>
      <c r="D464" s="1"/>
      <c r="E464" s="357">
        <v>43964</v>
      </c>
      <c r="F464" s="344" t="s">
        <v>631</v>
      </c>
      <c r="G464" s="358">
        <v>6.9789000000000003</v>
      </c>
      <c r="H464" s="344" t="s">
        <v>750</v>
      </c>
    </row>
    <row r="465" spans="1:8">
      <c r="A465" s="1"/>
      <c r="B465" s="1"/>
      <c r="C465" s="1"/>
      <c r="D465" s="1"/>
      <c r="E465" s="357">
        <v>43965</v>
      </c>
      <c r="F465" s="344" t="s">
        <v>621</v>
      </c>
      <c r="G465" s="358">
        <v>7.1280999999999999</v>
      </c>
      <c r="H465" s="344" t="s">
        <v>751</v>
      </c>
    </row>
    <row r="466" spans="1:8">
      <c r="A466" s="1"/>
      <c r="B466" s="1"/>
      <c r="C466" s="1"/>
      <c r="D466" s="1"/>
      <c r="E466" s="357">
        <v>43965</v>
      </c>
      <c r="F466" s="344" t="s">
        <v>625</v>
      </c>
      <c r="G466" s="358">
        <v>7.5122</v>
      </c>
      <c r="H466" s="344" t="s">
        <v>751</v>
      </c>
    </row>
    <row r="467" spans="1:8">
      <c r="A467" s="1"/>
      <c r="B467" s="1"/>
      <c r="C467" s="1"/>
      <c r="D467" s="1"/>
      <c r="E467" s="357">
        <v>43965</v>
      </c>
      <c r="F467" s="344" t="s">
        <v>628</v>
      </c>
      <c r="G467" s="358">
        <v>8.4708000000000006</v>
      </c>
      <c r="H467" s="344" t="s">
        <v>751</v>
      </c>
    </row>
    <row r="468" spans="1:8">
      <c r="A468" s="1"/>
      <c r="B468" s="1"/>
      <c r="C468" s="1"/>
      <c r="D468" s="1"/>
      <c r="E468" s="357">
        <v>43965</v>
      </c>
      <c r="F468" s="344" t="s">
        <v>631</v>
      </c>
      <c r="G468" s="358">
        <v>6.9542999999999999</v>
      </c>
      <c r="H468" s="344" t="s">
        <v>751</v>
      </c>
    </row>
    <row r="469" spans="1:8">
      <c r="A469" s="1"/>
      <c r="B469" s="1"/>
      <c r="C469" s="1"/>
      <c r="D469" s="1"/>
      <c r="E469" s="357">
        <v>43966</v>
      </c>
      <c r="F469" s="344" t="s">
        <v>621</v>
      </c>
      <c r="G469" s="358">
        <v>7.0785999999999998</v>
      </c>
      <c r="H469" s="344" t="s">
        <v>752</v>
      </c>
    </row>
    <row r="470" spans="1:8">
      <c r="A470" s="1"/>
      <c r="B470" s="1"/>
      <c r="C470" s="1"/>
      <c r="D470" s="1"/>
      <c r="E470" s="357">
        <v>43966</v>
      </c>
      <c r="F470" s="344" t="s">
        <v>625</v>
      </c>
      <c r="G470" s="358">
        <v>7.4623999999999997</v>
      </c>
      <c r="H470" s="344" t="s">
        <v>752</v>
      </c>
    </row>
    <row r="471" spans="1:8">
      <c r="A471" s="1"/>
      <c r="B471" s="1"/>
      <c r="C471" s="1"/>
      <c r="D471" s="1"/>
      <c r="E471" s="357">
        <v>43966</v>
      </c>
      <c r="F471" s="344" t="s">
        <v>628</v>
      </c>
      <c r="G471" s="358">
        <v>8.4062999999999999</v>
      </c>
      <c r="H471" s="344" t="s">
        <v>752</v>
      </c>
    </row>
    <row r="472" spans="1:8">
      <c r="A472" s="1"/>
      <c r="B472" s="1"/>
      <c r="C472" s="1"/>
      <c r="D472" s="1"/>
      <c r="E472" s="357">
        <v>43966</v>
      </c>
      <c r="F472" s="344" t="s">
        <v>631</v>
      </c>
      <c r="G472" s="358">
        <v>6.9040999999999997</v>
      </c>
      <c r="H472" s="344" t="s">
        <v>752</v>
      </c>
    </row>
    <row r="473" spans="1:8">
      <c r="A473" s="1"/>
      <c r="B473" s="1"/>
      <c r="C473" s="1"/>
      <c r="D473" s="1"/>
      <c r="E473" s="357">
        <v>43969</v>
      </c>
      <c r="F473" s="344" t="s">
        <v>621</v>
      </c>
      <c r="G473" s="358">
        <v>7.0393999999999997</v>
      </c>
      <c r="H473" s="344" t="s">
        <v>753</v>
      </c>
    </row>
    <row r="474" spans="1:8">
      <c r="A474" s="1"/>
      <c r="B474" s="1"/>
      <c r="C474" s="1"/>
      <c r="D474" s="1"/>
      <c r="E474" s="357">
        <v>43969</v>
      </c>
      <c r="F474" s="344" t="s">
        <v>625</v>
      </c>
      <c r="G474" s="358">
        <v>7.4184999999999999</v>
      </c>
      <c r="H474" s="344" t="s">
        <v>753</v>
      </c>
    </row>
    <row r="475" spans="1:8">
      <c r="A475" s="1"/>
      <c r="B475" s="1"/>
      <c r="C475" s="1"/>
      <c r="D475" s="1"/>
      <c r="E475" s="357">
        <v>43969</v>
      </c>
      <c r="F475" s="344" t="s">
        <v>628</v>
      </c>
      <c r="G475" s="358">
        <v>8.2994000000000003</v>
      </c>
      <c r="H475" s="344" t="s">
        <v>753</v>
      </c>
    </row>
    <row r="476" spans="1:8">
      <c r="A476" s="1"/>
      <c r="B476" s="1"/>
      <c r="C476" s="1"/>
      <c r="D476" s="1"/>
      <c r="E476" s="357">
        <v>43969</v>
      </c>
      <c r="F476" s="344" t="s">
        <v>631</v>
      </c>
      <c r="G476" s="358">
        <v>6.8596000000000004</v>
      </c>
      <c r="H476" s="344" t="s">
        <v>753</v>
      </c>
    </row>
    <row r="477" spans="1:8">
      <c r="A477" s="1"/>
      <c r="B477" s="1"/>
      <c r="C477" s="1"/>
      <c r="D477" s="1"/>
      <c r="E477" s="357">
        <v>43971</v>
      </c>
      <c r="F477" s="344" t="s">
        <v>621</v>
      </c>
      <c r="G477" s="358">
        <v>6.9977</v>
      </c>
      <c r="H477" s="344" t="s">
        <v>754</v>
      </c>
    </row>
    <row r="478" spans="1:8">
      <c r="A478" s="1"/>
      <c r="B478" s="1"/>
      <c r="C478" s="1"/>
      <c r="D478" s="1"/>
      <c r="E478" s="357">
        <v>43971</v>
      </c>
      <c r="F478" s="344" t="s">
        <v>625</v>
      </c>
      <c r="G478" s="358">
        <v>7.4279999999999999</v>
      </c>
      <c r="H478" s="344" t="s">
        <v>754</v>
      </c>
    </row>
    <row r="479" spans="1:8">
      <c r="A479" s="1"/>
      <c r="B479" s="1"/>
      <c r="C479" s="1"/>
      <c r="D479" s="1"/>
      <c r="E479" s="357">
        <v>43971</v>
      </c>
      <c r="F479" s="344" t="s">
        <v>628</v>
      </c>
      <c r="G479" s="358">
        <v>8.2964000000000002</v>
      </c>
      <c r="H479" s="344" t="s">
        <v>754</v>
      </c>
    </row>
    <row r="480" spans="1:8">
      <c r="A480" s="1"/>
      <c r="B480" s="1"/>
      <c r="C480" s="1"/>
      <c r="D480" s="1"/>
      <c r="E480" s="357">
        <v>43971</v>
      </c>
      <c r="F480" s="344" t="s">
        <v>631</v>
      </c>
      <c r="G480" s="358">
        <v>6.7840999999999996</v>
      </c>
      <c r="H480" s="344" t="s">
        <v>754</v>
      </c>
    </row>
    <row r="481" spans="1:8">
      <c r="A481" s="1"/>
      <c r="B481" s="1"/>
      <c r="C481" s="1"/>
      <c r="D481" s="1"/>
      <c r="E481" s="357">
        <v>43972</v>
      </c>
      <c r="F481" s="344" t="s">
        <v>621</v>
      </c>
      <c r="G481" s="358">
        <v>7.0096999999999996</v>
      </c>
      <c r="H481" s="344" t="s">
        <v>755</v>
      </c>
    </row>
    <row r="482" spans="1:8">
      <c r="A482" s="1"/>
      <c r="B482" s="1"/>
      <c r="C482" s="1"/>
      <c r="D482" s="1"/>
      <c r="E482" s="357">
        <v>43972</v>
      </c>
      <c r="F482" s="344" t="s">
        <v>625</v>
      </c>
      <c r="G482" s="358">
        <v>7.4499000000000004</v>
      </c>
      <c r="H482" s="344" t="s">
        <v>755</v>
      </c>
    </row>
    <row r="483" spans="1:8">
      <c r="A483" s="1"/>
      <c r="B483" s="1"/>
      <c r="C483" s="1"/>
      <c r="D483" s="1"/>
      <c r="E483" s="357">
        <v>43972</v>
      </c>
      <c r="F483" s="344" t="s">
        <v>628</v>
      </c>
      <c r="G483" s="358">
        <v>8.2788000000000004</v>
      </c>
      <c r="H483" s="344" t="s">
        <v>755</v>
      </c>
    </row>
    <row r="484" spans="1:8">
      <c r="A484" s="1"/>
      <c r="B484" s="1"/>
      <c r="C484" s="1"/>
      <c r="D484" s="1"/>
      <c r="E484" s="357">
        <v>43972</v>
      </c>
      <c r="F484" s="344" t="s">
        <v>631</v>
      </c>
      <c r="G484" s="358">
        <v>6.7882999999999996</v>
      </c>
      <c r="H484" s="344" t="s">
        <v>755</v>
      </c>
    </row>
    <row r="485" spans="1:8">
      <c r="A485" s="1"/>
      <c r="B485" s="1"/>
      <c r="C485" s="1"/>
      <c r="D485" s="1"/>
      <c r="E485" s="357">
        <v>43973</v>
      </c>
      <c r="F485" s="344" t="s">
        <v>621</v>
      </c>
      <c r="G485" s="358">
        <v>6.9734999999999996</v>
      </c>
      <c r="H485" s="344" t="s">
        <v>756</v>
      </c>
    </row>
    <row r="486" spans="1:8">
      <c r="A486" s="1"/>
      <c r="B486" s="1"/>
      <c r="C486" s="1"/>
      <c r="D486" s="1"/>
      <c r="E486" s="357">
        <v>43973</v>
      </c>
      <c r="F486" s="344" t="s">
        <v>625</v>
      </c>
      <c r="G486" s="358">
        <v>7.4065000000000003</v>
      </c>
      <c r="H486" s="344" t="s">
        <v>756</v>
      </c>
    </row>
    <row r="487" spans="1:8">
      <c r="A487" s="1"/>
      <c r="B487" s="1"/>
      <c r="C487" s="1"/>
      <c r="D487" s="1"/>
      <c r="E487" s="357">
        <v>43973</v>
      </c>
      <c r="F487" s="344" t="s">
        <v>628</v>
      </c>
      <c r="G487" s="358">
        <v>8.2591999999999999</v>
      </c>
      <c r="H487" s="344" t="s">
        <v>756</v>
      </c>
    </row>
    <row r="488" spans="1:8">
      <c r="A488" s="1"/>
      <c r="B488" s="1"/>
      <c r="C488" s="1"/>
      <c r="D488" s="1"/>
      <c r="E488" s="357">
        <v>43973</v>
      </c>
      <c r="F488" s="344" t="s">
        <v>631</v>
      </c>
      <c r="G488" s="358">
        <v>6.7916999999999996</v>
      </c>
      <c r="H488" s="344" t="s">
        <v>756</v>
      </c>
    </row>
    <row r="489" spans="1:8">
      <c r="A489" s="1"/>
      <c r="B489" s="1"/>
      <c r="C489" s="1"/>
      <c r="D489" s="1"/>
      <c r="E489" s="357">
        <v>43978</v>
      </c>
      <c r="F489" s="344" t="s">
        <v>621</v>
      </c>
      <c r="G489" s="358">
        <v>6.9583000000000004</v>
      </c>
      <c r="H489" s="344" t="s">
        <v>757</v>
      </c>
    </row>
    <row r="490" spans="1:8">
      <c r="A490" s="1"/>
      <c r="B490" s="1"/>
      <c r="C490" s="1"/>
      <c r="D490" s="1"/>
      <c r="E490" s="357">
        <v>43978</v>
      </c>
      <c r="F490" s="344" t="s">
        <v>625</v>
      </c>
      <c r="G490" s="358">
        <v>7.4298999999999999</v>
      </c>
      <c r="H490" s="344" t="s">
        <v>757</v>
      </c>
    </row>
    <row r="491" spans="1:8">
      <c r="A491" s="1"/>
      <c r="B491" s="1"/>
      <c r="C491" s="1"/>
      <c r="D491" s="1"/>
      <c r="E491" s="357">
        <v>43978</v>
      </c>
      <c r="F491" s="344" t="s">
        <v>628</v>
      </c>
      <c r="G491" s="358">
        <v>8.3126999999999995</v>
      </c>
      <c r="H491" s="344" t="s">
        <v>757</v>
      </c>
    </row>
    <row r="492" spans="1:8">
      <c r="A492" s="1"/>
      <c r="B492" s="1"/>
      <c r="C492" s="1"/>
      <c r="D492" s="1"/>
      <c r="E492" s="357">
        <v>43978</v>
      </c>
      <c r="F492" s="344" t="s">
        <v>631</v>
      </c>
      <c r="G492" s="358">
        <v>6.7606999999999999</v>
      </c>
      <c r="H492" s="344" t="s">
        <v>757</v>
      </c>
    </row>
    <row r="493" spans="1:8">
      <c r="A493" s="1"/>
      <c r="B493" s="1"/>
      <c r="C493" s="1"/>
      <c r="D493" s="1"/>
      <c r="E493" s="357">
        <v>43979</v>
      </c>
      <c r="F493" s="344" t="s">
        <v>621</v>
      </c>
      <c r="G493" s="358">
        <v>6.9858000000000002</v>
      </c>
      <c r="H493" s="344" t="s">
        <v>758</v>
      </c>
    </row>
    <row r="494" spans="1:8">
      <c r="A494" s="1"/>
      <c r="B494" s="1"/>
      <c r="C494" s="1"/>
      <c r="D494" s="1"/>
      <c r="E494" s="357">
        <v>43979</v>
      </c>
      <c r="F494" s="344" t="s">
        <v>625</v>
      </c>
      <c r="G494" s="358">
        <v>7.4737999999999998</v>
      </c>
      <c r="H494" s="344" t="s">
        <v>758</v>
      </c>
    </row>
    <row r="495" spans="1:8">
      <c r="A495" s="1"/>
      <c r="B495" s="1"/>
      <c r="C495" s="1"/>
      <c r="D495" s="1"/>
      <c r="E495" s="357">
        <v>43979</v>
      </c>
      <c r="F495" s="344" t="s">
        <v>628</v>
      </c>
      <c r="G495" s="358">
        <v>8.3063000000000002</v>
      </c>
      <c r="H495" s="344" t="s">
        <v>758</v>
      </c>
    </row>
    <row r="496" spans="1:8">
      <c r="A496" s="1"/>
      <c r="B496" s="1"/>
      <c r="C496" s="1"/>
      <c r="D496" s="1"/>
      <c r="E496" s="357">
        <v>43979</v>
      </c>
      <c r="F496" s="344" t="s">
        <v>631</v>
      </c>
      <c r="G496" s="358">
        <v>6.7893999999999997</v>
      </c>
      <c r="H496" s="344" t="s">
        <v>758</v>
      </c>
    </row>
    <row r="497" spans="1:8">
      <c r="A497" s="1"/>
      <c r="B497" s="1"/>
      <c r="C497" s="1"/>
      <c r="D497" s="1"/>
      <c r="E497" s="357">
        <v>43980</v>
      </c>
      <c r="F497" s="344" t="s">
        <v>621</v>
      </c>
      <c r="G497" s="358">
        <v>7.0652999999999997</v>
      </c>
      <c r="H497" s="344" t="s">
        <v>759</v>
      </c>
    </row>
    <row r="498" spans="1:8">
      <c r="A498" s="1"/>
      <c r="B498" s="1"/>
      <c r="C498" s="1"/>
      <c r="D498" s="1"/>
      <c r="E498" s="357">
        <v>43980</v>
      </c>
      <c r="F498" s="344" t="s">
        <v>625</v>
      </c>
      <c r="G498" s="358">
        <v>7.577</v>
      </c>
      <c r="H498" s="344" t="s">
        <v>759</v>
      </c>
    </row>
    <row r="499" spans="1:8">
      <c r="A499" s="1"/>
      <c r="B499" s="1"/>
      <c r="C499" s="1"/>
      <c r="D499" s="1"/>
      <c r="E499" s="357">
        <v>43980</v>
      </c>
      <c r="F499" s="344" t="s">
        <v>628</v>
      </c>
      <c r="G499" s="358">
        <v>8.3838000000000008</v>
      </c>
      <c r="H499" s="344" t="s">
        <v>759</v>
      </c>
    </row>
    <row r="500" spans="1:8">
      <c r="A500" s="1"/>
      <c r="B500" s="1"/>
      <c r="C500" s="1"/>
      <c r="D500" s="1"/>
      <c r="E500" s="357">
        <v>43980</v>
      </c>
      <c r="F500" s="344" t="s">
        <v>631</v>
      </c>
      <c r="G500" s="358">
        <v>6.8137999999999996</v>
      </c>
      <c r="H500" s="344" t="s">
        <v>759</v>
      </c>
    </row>
    <row r="501" spans="1:8">
      <c r="A501" s="1"/>
      <c r="B501" s="1"/>
      <c r="C501" s="1"/>
      <c r="D501" s="1"/>
      <c r="E501" s="357">
        <v>43983</v>
      </c>
      <c r="F501" s="344" t="s">
        <v>621</v>
      </c>
      <c r="G501" s="358">
        <v>7.0704000000000002</v>
      </c>
      <c r="H501" s="344" t="s">
        <v>760</v>
      </c>
    </row>
    <row r="502" spans="1:8">
      <c r="A502" s="1"/>
      <c r="B502" s="1"/>
      <c r="C502" s="1"/>
      <c r="D502" s="1"/>
      <c r="E502" s="357">
        <v>43983</v>
      </c>
      <c r="F502" s="344" t="s">
        <v>625</v>
      </c>
      <c r="G502" s="358">
        <v>7.5724</v>
      </c>
      <c r="H502" s="344" t="s">
        <v>760</v>
      </c>
    </row>
    <row r="503" spans="1:8">
      <c r="A503" s="1"/>
      <c r="B503" s="1"/>
      <c r="C503" s="1"/>
      <c r="D503" s="1"/>
      <c r="E503" s="357">
        <v>43983</v>
      </c>
      <c r="F503" s="344" t="s">
        <v>628</v>
      </c>
      <c r="G503" s="358">
        <v>8.4223999999999997</v>
      </c>
      <c r="H503" s="344" t="s">
        <v>760</v>
      </c>
    </row>
    <row r="504" spans="1:8">
      <c r="A504" s="1"/>
      <c r="B504" s="1"/>
      <c r="C504" s="1"/>
      <c r="D504" s="1"/>
      <c r="E504" s="357">
        <v>43983</v>
      </c>
      <c r="F504" s="344" t="s">
        <v>631</v>
      </c>
      <c r="G504" s="358">
        <v>6.8059000000000003</v>
      </c>
      <c r="H504" s="344" t="s">
        <v>760</v>
      </c>
    </row>
    <row r="505" spans="1:8">
      <c r="A505" s="1"/>
      <c r="B505" s="1"/>
      <c r="C505" s="1"/>
      <c r="D505" s="1"/>
      <c r="E505" s="357">
        <v>43984</v>
      </c>
      <c r="F505" s="344" t="s">
        <v>621</v>
      </c>
      <c r="G505" s="358">
        <v>7.0411999999999999</v>
      </c>
      <c r="H505" s="344" t="s">
        <v>761</v>
      </c>
    </row>
    <row r="506" spans="1:8">
      <c r="A506" s="1"/>
      <c r="B506" s="1"/>
      <c r="C506" s="1"/>
      <c r="D506" s="1"/>
      <c r="E506" s="357">
        <v>43984</v>
      </c>
      <c r="F506" s="344" t="s">
        <v>625</v>
      </c>
      <c r="G506" s="358">
        <v>7.5654000000000003</v>
      </c>
      <c r="H506" s="344" t="s">
        <v>761</v>
      </c>
    </row>
    <row r="507" spans="1:8">
      <c r="A507" s="1"/>
      <c r="B507" s="1"/>
      <c r="C507" s="1"/>
      <c r="D507" s="1"/>
      <c r="E507" s="357">
        <v>43984</v>
      </c>
      <c r="F507" s="344" t="s">
        <v>628</v>
      </c>
      <c r="G507" s="358">
        <v>8.4923000000000002</v>
      </c>
      <c r="H507" s="344" t="s">
        <v>761</v>
      </c>
    </row>
    <row r="508" spans="1:8">
      <c r="A508" s="1"/>
      <c r="B508" s="1"/>
      <c r="C508" s="1"/>
      <c r="D508" s="1"/>
      <c r="E508" s="357">
        <v>43984</v>
      </c>
      <c r="F508" s="344" t="s">
        <v>631</v>
      </c>
      <c r="G508" s="358">
        <v>6.7816999999999998</v>
      </c>
      <c r="H508" s="344" t="s">
        <v>761</v>
      </c>
    </row>
    <row r="509" spans="1:8">
      <c r="A509" s="1"/>
      <c r="B509" s="1"/>
      <c r="C509" s="1"/>
      <c r="D509" s="1"/>
      <c r="E509" s="357">
        <v>43985</v>
      </c>
      <c r="F509" s="344" t="s">
        <v>621</v>
      </c>
      <c r="G509" s="358">
        <v>6.9739000000000004</v>
      </c>
      <c r="H509" s="344" t="s">
        <v>762</v>
      </c>
    </row>
    <row r="510" spans="1:8">
      <c r="A510" s="1"/>
      <c r="B510" s="1"/>
      <c r="C510" s="1"/>
      <c r="D510" s="1"/>
      <c r="E510" s="357">
        <v>43985</v>
      </c>
      <c r="F510" s="344" t="s">
        <v>625</v>
      </c>
      <c r="G510" s="358">
        <v>7.5438999999999998</v>
      </c>
      <c r="H510" s="344" t="s">
        <v>762</v>
      </c>
    </row>
    <row r="511" spans="1:8">
      <c r="A511" s="1"/>
      <c r="B511" s="1"/>
      <c r="C511" s="1"/>
      <c r="D511" s="1"/>
      <c r="E511" s="357">
        <v>43985</v>
      </c>
      <c r="F511" s="344" t="s">
        <v>628</v>
      </c>
      <c r="G511" s="358">
        <v>8.4541000000000004</v>
      </c>
      <c r="H511" s="344" t="s">
        <v>762</v>
      </c>
    </row>
    <row r="512" spans="1:8">
      <c r="A512" s="1"/>
      <c r="B512" s="1"/>
      <c r="C512" s="1"/>
      <c r="D512" s="1"/>
      <c r="E512" s="357">
        <v>43985</v>
      </c>
      <c r="F512" s="344" t="s">
        <v>631</v>
      </c>
      <c r="G512" s="358">
        <v>6.7308000000000003</v>
      </c>
      <c r="H512" s="344" t="s">
        <v>762</v>
      </c>
    </row>
    <row r="513" spans="1:8">
      <c r="A513" s="1"/>
      <c r="B513" s="1"/>
      <c r="C513" s="1"/>
      <c r="D513" s="1"/>
      <c r="E513" s="357">
        <v>43986</v>
      </c>
      <c r="F513" s="344" t="s">
        <v>621</v>
      </c>
      <c r="G513" s="358">
        <v>7.01</v>
      </c>
      <c r="H513" s="344" t="s">
        <v>763</v>
      </c>
    </row>
    <row r="514" spans="1:8">
      <c r="A514" s="1"/>
      <c r="B514" s="1"/>
      <c r="C514" s="1"/>
      <c r="D514" s="1"/>
      <c r="E514" s="357">
        <v>43986</v>
      </c>
      <c r="F514" s="344" t="s">
        <v>625</v>
      </c>
      <c r="G514" s="358">
        <v>7.5677000000000003</v>
      </c>
      <c r="H514" s="344" t="s">
        <v>763</v>
      </c>
    </row>
    <row r="515" spans="1:8">
      <c r="A515" s="1"/>
      <c r="B515" s="1"/>
      <c r="C515" s="1"/>
      <c r="D515" s="1"/>
      <c r="E515" s="357">
        <v>43986</v>
      </c>
      <c r="F515" s="344" t="s">
        <v>628</v>
      </c>
      <c r="G515" s="358">
        <v>8.4408999999999992</v>
      </c>
      <c r="H515" s="344" t="s">
        <v>763</v>
      </c>
    </row>
    <row r="516" spans="1:8">
      <c r="A516" s="1"/>
      <c r="B516" s="1"/>
      <c r="C516" s="1"/>
      <c r="D516" s="1"/>
      <c r="E516" s="357">
        <v>43986</v>
      </c>
      <c r="F516" s="344" t="s">
        <v>631</v>
      </c>
      <c r="G516" s="358">
        <v>6.7476000000000003</v>
      </c>
      <c r="H516" s="344" t="s">
        <v>763</v>
      </c>
    </row>
    <row r="517" spans="1:8">
      <c r="A517" s="1"/>
      <c r="B517" s="1"/>
      <c r="C517" s="1"/>
      <c r="D517" s="1"/>
      <c r="E517" s="357">
        <v>43987</v>
      </c>
      <c r="F517" s="344" t="s">
        <v>621</v>
      </c>
      <c r="G517" s="358">
        <v>7.0434999999999999</v>
      </c>
      <c r="H517" s="344" t="s">
        <v>764</v>
      </c>
    </row>
    <row r="518" spans="1:8">
      <c r="A518" s="1"/>
      <c r="B518" s="1"/>
      <c r="C518" s="1"/>
      <c r="D518" s="1"/>
      <c r="E518" s="357">
        <v>43987</v>
      </c>
      <c r="F518" s="344" t="s">
        <v>625</v>
      </c>
      <c r="G518" s="358">
        <v>7.6643999999999997</v>
      </c>
      <c r="H518" s="344" t="s">
        <v>764</v>
      </c>
    </row>
    <row r="519" spans="1:8">
      <c r="A519" s="1"/>
      <c r="B519" s="1"/>
      <c r="C519" s="1"/>
      <c r="D519" s="1"/>
      <c r="E519" s="357">
        <v>43987</v>
      </c>
      <c r="F519" s="344" t="s">
        <v>628</v>
      </c>
      <c r="G519" s="358">
        <v>8.5318000000000005</v>
      </c>
      <c r="H519" s="344" t="s">
        <v>764</v>
      </c>
    </row>
    <row r="520" spans="1:8">
      <c r="A520" s="1"/>
      <c r="B520" s="1"/>
      <c r="C520" s="1"/>
      <c r="D520" s="1"/>
      <c r="E520" s="357">
        <v>43987</v>
      </c>
      <c r="F520" s="344" t="s">
        <v>631</v>
      </c>
      <c r="G520" s="358">
        <v>6.7572999999999999</v>
      </c>
      <c r="H520" s="344" t="s">
        <v>764</v>
      </c>
    </row>
    <row r="521" spans="1:8">
      <c r="A521" s="1"/>
      <c r="B521" s="1"/>
      <c r="C521" s="1"/>
      <c r="D521" s="1"/>
      <c r="E521" s="357">
        <v>43990</v>
      </c>
      <c r="F521" s="344" t="s">
        <v>621</v>
      </c>
      <c r="G521" s="358">
        <v>7.0175000000000001</v>
      </c>
      <c r="H521" s="344" t="s">
        <v>765</v>
      </c>
    </row>
    <row r="522" spans="1:8">
      <c r="A522" s="1"/>
      <c r="B522" s="1"/>
      <c r="C522" s="1"/>
      <c r="D522" s="1"/>
      <c r="E522" s="357">
        <v>43990</v>
      </c>
      <c r="F522" s="344" t="s">
        <v>625</v>
      </c>
      <c r="G522" s="358">
        <v>7.6448</v>
      </c>
      <c r="H522" s="344" t="s">
        <v>765</v>
      </c>
    </row>
    <row r="523" spans="1:8">
      <c r="A523" s="1"/>
      <c r="B523" s="1"/>
      <c r="C523" s="1"/>
      <c r="D523" s="1"/>
      <c r="E523" s="357">
        <v>43990</v>
      </c>
      <c r="F523" s="344" t="s">
        <v>628</v>
      </c>
      <c r="G523" s="358">
        <v>8.5670999999999999</v>
      </c>
      <c r="H523" s="344" t="s">
        <v>765</v>
      </c>
    </row>
    <row r="524" spans="1:8">
      <c r="A524" s="1"/>
      <c r="B524" s="1"/>
      <c r="C524" s="1"/>
      <c r="D524" s="1"/>
      <c r="E524" s="357">
        <v>43990</v>
      </c>
      <c r="F524" s="344" t="s">
        <v>631</v>
      </c>
      <c r="G524" s="358">
        <v>6.7713999999999999</v>
      </c>
      <c r="H524" s="344" t="s">
        <v>765</v>
      </c>
    </row>
    <row r="525" spans="1:8">
      <c r="A525" s="1"/>
      <c r="B525" s="1"/>
      <c r="C525" s="1"/>
      <c r="D525" s="1"/>
      <c r="E525" s="357">
        <v>43991</v>
      </c>
      <c r="F525" s="344" t="s">
        <v>621</v>
      </c>
      <c r="G525" s="358">
        <v>7.0846999999999998</v>
      </c>
      <c r="H525" s="344" t="s">
        <v>766</v>
      </c>
    </row>
    <row r="526" spans="1:8">
      <c r="A526" s="1"/>
      <c r="B526" s="1"/>
      <c r="C526" s="1"/>
      <c r="D526" s="1"/>
      <c r="E526" s="357">
        <v>43991</v>
      </c>
      <c r="F526" s="344" t="s">
        <v>625</v>
      </c>
      <c r="G526" s="358">
        <v>7.6452999999999998</v>
      </c>
      <c r="H526" s="344" t="s">
        <v>766</v>
      </c>
    </row>
    <row r="527" spans="1:8">
      <c r="A527" s="1"/>
      <c r="B527" s="1"/>
      <c r="C527" s="1"/>
      <c r="D527" s="1"/>
      <c r="E527" s="357">
        <v>43991</v>
      </c>
      <c r="F527" s="344" t="s">
        <v>628</v>
      </c>
      <c r="G527" s="358">
        <v>8.5732999999999997</v>
      </c>
      <c r="H527" s="344" t="s">
        <v>766</v>
      </c>
    </row>
    <row r="528" spans="1:8">
      <c r="A528" s="1"/>
      <c r="B528" s="1"/>
      <c r="C528" s="1"/>
      <c r="D528" s="1"/>
      <c r="E528" s="357">
        <v>43991</v>
      </c>
      <c r="F528" s="344" t="s">
        <v>631</v>
      </c>
      <c r="G528" s="358">
        <v>6.7827999999999999</v>
      </c>
      <c r="H528" s="344" t="s">
        <v>766</v>
      </c>
    </row>
    <row r="529" spans="1:8">
      <c r="A529" s="1"/>
      <c r="B529" s="1"/>
      <c r="C529" s="1"/>
      <c r="D529" s="1"/>
      <c r="E529" s="357">
        <v>43992</v>
      </c>
      <c r="F529" s="344" t="s">
        <v>621</v>
      </c>
      <c r="G529" s="358">
        <v>7.1416000000000004</v>
      </c>
      <c r="H529" s="344" t="s">
        <v>767</v>
      </c>
    </row>
    <row r="530" spans="1:8">
      <c r="A530" s="1"/>
      <c r="B530" s="1"/>
      <c r="C530" s="1"/>
      <c r="D530" s="1"/>
      <c r="E530" s="357">
        <v>43992</v>
      </c>
      <c r="F530" s="344" t="s">
        <v>625</v>
      </c>
      <c r="G530" s="358">
        <v>7.7031999999999998</v>
      </c>
      <c r="H530" s="344" t="s">
        <v>767</v>
      </c>
    </row>
    <row r="531" spans="1:8">
      <c r="A531" s="1"/>
      <c r="B531" s="1"/>
      <c r="C531" s="1"/>
      <c r="D531" s="1"/>
      <c r="E531" s="357">
        <v>43992</v>
      </c>
      <c r="F531" s="344" t="s">
        <v>628</v>
      </c>
      <c r="G531" s="358">
        <v>8.6384000000000007</v>
      </c>
      <c r="H531" s="344" t="s">
        <v>767</v>
      </c>
    </row>
    <row r="532" spans="1:8">
      <c r="A532" s="1"/>
      <c r="B532" s="1"/>
      <c r="C532" s="1"/>
      <c r="D532" s="1"/>
      <c r="E532" s="357">
        <v>43992</v>
      </c>
      <c r="F532" s="344" t="s">
        <v>631</v>
      </c>
      <c r="G532" s="358">
        <v>6.7777000000000003</v>
      </c>
      <c r="H532" s="344" t="s">
        <v>767</v>
      </c>
    </row>
    <row r="533" spans="1:8">
      <c r="A533" s="1"/>
      <c r="B533" s="1"/>
      <c r="C533" s="1"/>
      <c r="D533" s="1"/>
      <c r="E533" s="357">
        <v>43993</v>
      </c>
      <c r="F533" s="344" t="s">
        <v>621</v>
      </c>
      <c r="G533" s="358">
        <v>7.1843000000000004</v>
      </c>
      <c r="H533" s="344" t="s">
        <v>768</v>
      </c>
    </row>
    <row r="534" spans="1:8">
      <c r="A534" s="1"/>
      <c r="B534" s="1"/>
      <c r="C534" s="1"/>
      <c r="D534" s="1"/>
      <c r="E534" s="357">
        <v>43993</v>
      </c>
      <c r="F534" s="344" t="s">
        <v>625</v>
      </c>
      <c r="G534" s="358">
        <v>7.7125000000000004</v>
      </c>
      <c r="H534" s="344" t="s">
        <v>768</v>
      </c>
    </row>
    <row r="535" spans="1:8">
      <c r="A535" s="1"/>
      <c r="B535" s="1"/>
      <c r="C535" s="1"/>
      <c r="D535" s="1"/>
      <c r="E535" s="357">
        <v>43993</v>
      </c>
      <c r="F535" s="344" t="s">
        <v>628</v>
      </c>
      <c r="G535" s="358">
        <v>8.5869999999999997</v>
      </c>
      <c r="H535" s="344" t="s">
        <v>768</v>
      </c>
    </row>
    <row r="536" spans="1:8">
      <c r="A536" s="1"/>
      <c r="B536" s="1"/>
      <c r="C536" s="1"/>
      <c r="D536" s="1"/>
      <c r="E536" s="357">
        <v>43993</v>
      </c>
      <c r="F536" s="344" t="s">
        <v>631</v>
      </c>
      <c r="G536" s="358">
        <v>6.7827000000000002</v>
      </c>
      <c r="H536" s="344" t="s">
        <v>768</v>
      </c>
    </row>
    <row r="537" spans="1:8">
      <c r="A537" s="1"/>
      <c r="B537" s="1"/>
      <c r="C537" s="1"/>
      <c r="D537" s="1"/>
      <c r="E537" s="357">
        <v>43994</v>
      </c>
      <c r="F537" s="344" t="s">
        <v>621</v>
      </c>
      <c r="G537" s="358">
        <v>7.1878000000000002</v>
      </c>
      <c r="H537" s="344" t="s">
        <v>769</v>
      </c>
    </row>
    <row r="538" spans="1:8">
      <c r="A538" s="1"/>
      <c r="B538" s="1"/>
      <c r="C538" s="1"/>
      <c r="D538" s="1"/>
      <c r="E538" s="357">
        <v>43994</v>
      </c>
      <c r="F538" s="344" t="s">
        <v>625</v>
      </c>
      <c r="G538" s="358">
        <v>7.7096999999999998</v>
      </c>
      <c r="H538" s="344" t="s">
        <v>769</v>
      </c>
    </row>
    <row r="539" spans="1:8">
      <c r="A539" s="1"/>
      <c r="B539" s="1"/>
      <c r="C539" s="1"/>
      <c r="D539" s="1"/>
      <c r="E539" s="357">
        <v>43994</v>
      </c>
      <c r="F539" s="344" t="s">
        <v>628</v>
      </c>
      <c r="G539" s="358">
        <v>8.5847999999999995</v>
      </c>
      <c r="H539" s="344" t="s">
        <v>769</v>
      </c>
    </row>
    <row r="540" spans="1:8">
      <c r="A540" s="1"/>
      <c r="B540" s="1"/>
      <c r="C540" s="1"/>
      <c r="D540" s="1"/>
      <c r="E540" s="357">
        <v>43994</v>
      </c>
      <c r="F540" s="344" t="s">
        <v>631</v>
      </c>
      <c r="G540" s="358">
        <v>6.8141999999999996</v>
      </c>
      <c r="H540" s="344" t="s">
        <v>769</v>
      </c>
    </row>
    <row r="541" spans="1:8">
      <c r="A541" s="1"/>
      <c r="B541" s="1"/>
      <c r="C541" s="1"/>
      <c r="D541" s="1"/>
      <c r="E541" s="357">
        <v>43997</v>
      </c>
      <c r="F541" s="344" t="s">
        <v>621</v>
      </c>
      <c r="G541" s="358">
        <v>7.1502999999999997</v>
      </c>
      <c r="H541" s="344" t="s">
        <v>770</v>
      </c>
    </row>
    <row r="542" spans="1:8">
      <c r="A542" s="1"/>
      <c r="B542" s="1"/>
      <c r="C542" s="1"/>
      <c r="D542" s="1"/>
      <c r="E542" s="357">
        <v>43997</v>
      </c>
      <c r="F542" s="344" t="s">
        <v>625</v>
      </c>
      <c r="G542" s="358">
        <v>7.6741000000000001</v>
      </c>
      <c r="H542" s="344" t="s">
        <v>770</v>
      </c>
    </row>
    <row r="543" spans="1:8">
      <c r="A543" s="1"/>
      <c r="B543" s="1"/>
      <c r="C543" s="1"/>
      <c r="D543" s="1"/>
      <c r="E543" s="357">
        <v>43997</v>
      </c>
      <c r="F543" s="344" t="s">
        <v>628</v>
      </c>
      <c r="G543" s="358">
        <v>8.5254999999999992</v>
      </c>
      <c r="H543" s="344" t="s">
        <v>770</v>
      </c>
    </row>
    <row r="544" spans="1:8">
      <c r="A544" s="1"/>
      <c r="B544" s="1"/>
      <c r="C544" s="1"/>
      <c r="D544" s="1"/>
      <c r="E544" s="357">
        <v>43997</v>
      </c>
      <c r="F544" s="344" t="s">
        <v>631</v>
      </c>
      <c r="G544" s="358">
        <v>6.8220000000000001</v>
      </c>
      <c r="H544" s="344" t="s">
        <v>770</v>
      </c>
    </row>
    <row r="545" spans="1:8">
      <c r="A545" s="1"/>
      <c r="B545" s="1"/>
      <c r="C545" s="1"/>
      <c r="D545" s="1"/>
      <c r="E545" s="357">
        <v>43998</v>
      </c>
      <c r="F545" s="344" t="s">
        <v>621</v>
      </c>
      <c r="G545" s="358">
        <v>7.1837999999999997</v>
      </c>
      <c r="H545" s="344" t="s">
        <v>771</v>
      </c>
    </row>
    <row r="546" spans="1:8">
      <c r="A546" s="1"/>
      <c r="B546" s="1"/>
      <c r="C546" s="1"/>
      <c r="D546" s="1"/>
      <c r="E546" s="357">
        <v>43998</v>
      </c>
      <c r="F546" s="344" t="s">
        <v>625</v>
      </c>
      <c r="G546" s="358">
        <v>7.7305999999999999</v>
      </c>
      <c r="H546" s="344" t="s">
        <v>771</v>
      </c>
    </row>
    <row r="547" spans="1:8">
      <c r="A547" s="1"/>
      <c r="B547" s="1"/>
      <c r="C547" s="1"/>
      <c r="D547" s="1"/>
      <c r="E547" s="357">
        <v>43998</v>
      </c>
      <c r="F547" s="344" t="s">
        <v>628</v>
      </c>
      <c r="G547" s="358">
        <v>8.6166999999999998</v>
      </c>
      <c r="H547" s="344" t="s">
        <v>771</v>
      </c>
    </row>
    <row r="548" spans="1:8">
      <c r="A548" s="1"/>
      <c r="B548" s="1"/>
      <c r="C548" s="1"/>
      <c r="D548" s="1"/>
      <c r="E548" s="357">
        <v>43998</v>
      </c>
      <c r="F548" s="344" t="s">
        <v>631</v>
      </c>
      <c r="G548" s="358">
        <v>6.8254000000000001</v>
      </c>
      <c r="H548" s="344" t="s">
        <v>771</v>
      </c>
    </row>
    <row r="549" spans="1:8">
      <c r="A549" s="1"/>
      <c r="B549" s="1"/>
      <c r="C549" s="1"/>
      <c r="D549" s="1"/>
      <c r="E549" s="357">
        <v>43999</v>
      </c>
      <c r="F549" s="344" t="s">
        <v>621</v>
      </c>
      <c r="G549" s="358">
        <v>7.1768999999999998</v>
      </c>
      <c r="H549" s="344" t="s">
        <v>772</v>
      </c>
    </row>
    <row r="550" spans="1:8">
      <c r="A550" s="1"/>
      <c r="B550" s="1"/>
      <c r="C550" s="1"/>
      <c r="D550" s="1"/>
      <c r="E550" s="357">
        <v>43999</v>
      </c>
      <c r="F550" s="344" t="s">
        <v>625</v>
      </c>
      <c r="G550" s="358">
        <v>7.6883999999999997</v>
      </c>
      <c r="H550" s="344" t="s">
        <v>772</v>
      </c>
    </row>
    <row r="551" spans="1:8">
      <c r="A551" s="1"/>
      <c r="B551" s="1"/>
      <c r="C551" s="1"/>
      <c r="D551" s="1"/>
      <c r="E551" s="357">
        <v>43999</v>
      </c>
      <c r="F551" s="344" t="s">
        <v>628</v>
      </c>
      <c r="G551" s="358">
        <v>8.5663999999999998</v>
      </c>
      <c r="H551" s="344" t="s">
        <v>772</v>
      </c>
    </row>
    <row r="552" spans="1:8">
      <c r="A552" s="1"/>
      <c r="B552" s="1"/>
      <c r="C552" s="1"/>
      <c r="D552" s="1"/>
      <c r="E552" s="357">
        <v>43999</v>
      </c>
      <c r="F552" s="344" t="s">
        <v>631</v>
      </c>
      <c r="G552" s="358">
        <v>6.8333000000000004</v>
      </c>
      <c r="H552" s="344" t="s">
        <v>772</v>
      </c>
    </row>
    <row r="553" spans="1:8">
      <c r="A553" s="1"/>
      <c r="B553" s="1"/>
      <c r="C553" s="1"/>
      <c r="D553" s="1"/>
      <c r="E553" s="357">
        <v>44000</v>
      </c>
      <c r="F553" s="344" t="s">
        <v>621</v>
      </c>
      <c r="G553" s="358">
        <v>7.1938000000000004</v>
      </c>
      <c r="H553" s="344" t="s">
        <v>773</v>
      </c>
    </row>
    <row r="554" spans="1:8">
      <c r="A554" s="1"/>
      <c r="B554" s="1"/>
      <c r="C554" s="1"/>
      <c r="D554" s="1"/>
      <c r="E554" s="357">
        <v>44000</v>
      </c>
      <c r="F554" s="344" t="s">
        <v>625</v>
      </c>
      <c r="G554" s="358">
        <v>7.6992000000000003</v>
      </c>
      <c r="H554" s="344" t="s">
        <v>773</v>
      </c>
    </row>
    <row r="555" spans="1:8">
      <c r="A555" s="1"/>
      <c r="B555" s="1"/>
      <c r="C555" s="1"/>
      <c r="D555" s="1"/>
      <c r="E555" s="357">
        <v>44000</v>
      </c>
      <c r="F555" s="344" t="s">
        <v>628</v>
      </c>
      <c r="G555" s="358">
        <v>8.5501000000000005</v>
      </c>
      <c r="H555" s="344" t="s">
        <v>773</v>
      </c>
    </row>
    <row r="556" spans="1:8">
      <c r="A556" s="1"/>
      <c r="B556" s="1"/>
      <c r="C556" s="1"/>
      <c r="D556" s="1"/>
      <c r="E556" s="357">
        <v>44000</v>
      </c>
      <c r="F556" s="344" t="s">
        <v>631</v>
      </c>
      <c r="G556" s="358">
        <v>6.8449999999999998</v>
      </c>
      <c r="H556" s="344" t="s">
        <v>773</v>
      </c>
    </row>
    <row r="557" spans="1:8">
      <c r="A557" s="1"/>
      <c r="B557" s="1"/>
      <c r="C557" s="1"/>
      <c r="D557" s="1"/>
      <c r="E557" s="357">
        <v>44001</v>
      </c>
      <c r="F557" s="344" t="s">
        <v>621</v>
      </c>
      <c r="G557" s="358">
        <v>7.1840000000000002</v>
      </c>
      <c r="H557" s="344" t="s">
        <v>774</v>
      </c>
    </row>
    <row r="558" spans="1:8">
      <c r="A558" s="1"/>
      <c r="B558" s="1"/>
      <c r="C558" s="1"/>
      <c r="D558" s="1"/>
      <c r="E558" s="357">
        <v>44001</v>
      </c>
      <c r="F558" s="344" t="s">
        <v>625</v>
      </c>
      <c r="G558" s="358">
        <v>7.6738999999999997</v>
      </c>
      <c r="H558" s="344" t="s">
        <v>774</v>
      </c>
    </row>
    <row r="559" spans="1:8">
      <c r="A559" s="1"/>
      <c r="B559" s="1"/>
      <c r="C559" s="1"/>
      <c r="D559" s="1"/>
      <c r="E559" s="357">
        <v>44001</v>
      </c>
      <c r="F559" s="344" t="s">
        <v>628</v>
      </c>
      <c r="G559" s="358">
        <v>8.4802</v>
      </c>
      <c r="H559" s="344" t="s">
        <v>774</v>
      </c>
    </row>
    <row r="560" spans="1:8">
      <c r="A560" s="1"/>
      <c r="B560" s="1"/>
      <c r="C560" s="1"/>
      <c r="D560" s="1"/>
      <c r="E560" s="357">
        <v>44001</v>
      </c>
      <c r="F560" s="344" t="s">
        <v>631</v>
      </c>
      <c r="G560" s="358">
        <v>6.8440000000000003</v>
      </c>
      <c r="H560" s="344" t="s">
        <v>774</v>
      </c>
    </row>
    <row r="561" spans="1:8">
      <c r="A561" s="1"/>
      <c r="B561" s="1"/>
      <c r="C561" s="1"/>
      <c r="D561" s="1"/>
      <c r="E561" s="357">
        <v>44004</v>
      </c>
      <c r="F561" s="344" t="s">
        <v>621</v>
      </c>
      <c r="G561" s="358">
        <v>7.1832000000000003</v>
      </c>
      <c r="H561" s="344" t="s">
        <v>775</v>
      </c>
    </row>
    <row r="562" spans="1:8">
      <c r="A562" s="1"/>
      <c r="B562" s="1"/>
      <c r="C562" s="1"/>
      <c r="D562" s="1"/>
      <c r="E562" s="357">
        <v>44004</v>
      </c>
      <c r="F562" s="344" t="s">
        <v>625</v>
      </c>
      <c r="G562" s="358">
        <v>7.6712999999999996</v>
      </c>
      <c r="H562" s="344" t="s">
        <v>775</v>
      </c>
    </row>
    <row r="563" spans="1:8">
      <c r="A563" s="1"/>
      <c r="B563" s="1"/>
      <c r="C563" s="1"/>
      <c r="D563" s="1"/>
      <c r="E563" s="357">
        <v>44004</v>
      </c>
      <c r="F563" s="344" t="s">
        <v>628</v>
      </c>
      <c r="G563" s="358">
        <v>8.4723000000000006</v>
      </c>
      <c r="H563" s="344" t="s">
        <v>775</v>
      </c>
    </row>
    <row r="564" spans="1:8">
      <c r="A564" s="1"/>
      <c r="B564" s="1"/>
      <c r="C564" s="1"/>
      <c r="D564" s="1"/>
      <c r="E564" s="357">
        <v>44004</v>
      </c>
      <c r="F564" s="344" t="s">
        <v>631</v>
      </c>
      <c r="G564" s="358">
        <v>6.8422000000000001</v>
      </c>
      <c r="H564" s="344" t="s">
        <v>775</v>
      </c>
    </row>
    <row r="565" spans="1:8">
      <c r="A565" s="1"/>
      <c r="B565" s="1"/>
      <c r="C565" s="1"/>
      <c r="D565" s="1"/>
      <c r="E565" s="357">
        <v>44005</v>
      </c>
      <c r="F565" s="344" t="s">
        <v>621</v>
      </c>
      <c r="G565" s="358">
        <v>7.2221000000000002</v>
      </c>
      <c r="H565" s="344" t="s">
        <v>776</v>
      </c>
    </row>
    <row r="566" spans="1:8">
      <c r="A566" s="1"/>
      <c r="B566" s="1"/>
      <c r="C566" s="1"/>
      <c r="D566" s="1"/>
      <c r="E566" s="357">
        <v>44005</v>
      </c>
      <c r="F566" s="344" t="s">
        <v>625</v>
      </c>
      <c r="G566" s="358">
        <v>7.7278000000000002</v>
      </c>
      <c r="H566" s="344" t="s">
        <v>776</v>
      </c>
    </row>
    <row r="567" spans="1:8">
      <c r="A567" s="1"/>
      <c r="B567" s="1"/>
      <c r="C567" s="1"/>
      <c r="D567" s="1"/>
      <c r="E567" s="357">
        <v>44005</v>
      </c>
      <c r="F567" s="344" t="s">
        <v>628</v>
      </c>
      <c r="G567" s="358">
        <v>8.5213000000000001</v>
      </c>
      <c r="H567" s="344" t="s">
        <v>776</v>
      </c>
    </row>
    <row r="568" spans="1:8">
      <c r="A568" s="1"/>
      <c r="B568" s="1"/>
      <c r="C568" s="1"/>
      <c r="D568" s="1"/>
      <c r="E568" s="357">
        <v>44005</v>
      </c>
      <c r="F568" s="344" t="s">
        <v>631</v>
      </c>
      <c r="G568" s="358">
        <v>6.8440000000000003</v>
      </c>
      <c r="H568" s="344" t="s">
        <v>776</v>
      </c>
    </row>
    <row r="569" spans="1:8">
      <c r="A569" s="1"/>
      <c r="B569" s="1"/>
      <c r="C569" s="1"/>
      <c r="D569" s="1"/>
      <c r="E569" s="357">
        <v>44006</v>
      </c>
      <c r="F569" s="344" t="s">
        <v>621</v>
      </c>
      <c r="G569" s="358">
        <v>7.2270000000000003</v>
      </c>
      <c r="H569" s="344" t="s">
        <v>777</v>
      </c>
    </row>
    <row r="570" spans="1:8">
      <c r="A570" s="1"/>
      <c r="B570" s="1"/>
      <c r="C570" s="1"/>
      <c r="D570" s="1"/>
      <c r="E570" s="357">
        <v>44006</v>
      </c>
      <c r="F570" s="344" t="s">
        <v>625</v>
      </c>
      <c r="G570" s="358">
        <v>7.7363</v>
      </c>
      <c r="H570" s="344" t="s">
        <v>777</v>
      </c>
    </row>
    <row r="571" spans="1:8">
      <c r="A571" s="1"/>
      <c r="B571" s="1"/>
      <c r="C571" s="1"/>
      <c r="D571" s="1"/>
      <c r="E571" s="357">
        <v>44006</v>
      </c>
      <c r="F571" s="344" t="s">
        <v>628</v>
      </c>
      <c r="G571" s="358">
        <v>8.5449999999999999</v>
      </c>
      <c r="H571" s="344" t="s">
        <v>777</v>
      </c>
    </row>
    <row r="572" spans="1:8">
      <c r="A572" s="1"/>
      <c r="B572" s="1"/>
      <c r="C572" s="1"/>
      <c r="D572" s="1"/>
      <c r="E572" s="357">
        <v>44006</v>
      </c>
      <c r="F572" s="344" t="s">
        <v>631</v>
      </c>
      <c r="G572" s="358">
        <v>6.8452000000000002</v>
      </c>
      <c r="H572" s="344" t="s">
        <v>777</v>
      </c>
    </row>
    <row r="573" spans="1:8">
      <c r="A573" s="1"/>
      <c r="B573" s="1"/>
      <c r="C573" s="1"/>
      <c r="D573" s="1"/>
      <c r="E573" s="357">
        <v>44007</v>
      </c>
      <c r="F573" s="344" t="s">
        <v>621</v>
      </c>
      <c r="G573" s="358">
        <v>7.1942000000000004</v>
      </c>
      <c r="H573" s="344" t="s">
        <v>778</v>
      </c>
    </row>
    <row r="574" spans="1:8">
      <c r="A574" s="1"/>
      <c r="B574" s="1"/>
      <c r="C574" s="1"/>
      <c r="D574" s="1"/>
      <c r="E574" s="357">
        <v>44007</v>
      </c>
      <c r="F574" s="344" t="s">
        <v>625</v>
      </c>
      <c r="G574" s="358">
        <v>7.6795999999999998</v>
      </c>
      <c r="H574" s="344" t="s">
        <v>778</v>
      </c>
    </row>
    <row r="575" spans="1:8">
      <c r="A575" s="1"/>
      <c r="B575" s="1"/>
      <c r="C575" s="1"/>
      <c r="D575" s="1"/>
      <c r="E575" s="357">
        <v>44007</v>
      </c>
      <c r="F575" s="344" t="s">
        <v>628</v>
      </c>
      <c r="G575" s="358">
        <v>8.4941999999999993</v>
      </c>
      <c r="H575" s="344" t="s">
        <v>778</v>
      </c>
    </row>
    <row r="576" spans="1:8">
      <c r="A576" s="1"/>
      <c r="B576" s="1"/>
      <c r="C576" s="1"/>
      <c r="D576" s="1"/>
      <c r="E576" s="357">
        <v>44007</v>
      </c>
      <c r="F576" s="344" t="s">
        <v>631</v>
      </c>
      <c r="G576" s="358">
        <v>6.8433999999999999</v>
      </c>
      <c r="H576" s="344" t="s">
        <v>778</v>
      </c>
    </row>
    <row r="577" spans="1:8">
      <c r="A577" s="1"/>
      <c r="B577" s="1"/>
      <c r="C577" s="1"/>
      <c r="D577" s="1"/>
      <c r="E577" s="357">
        <v>44008</v>
      </c>
      <c r="F577" s="344" t="s">
        <v>621</v>
      </c>
      <c r="G577" s="358">
        <v>7.2011000000000003</v>
      </c>
      <c r="H577" s="344" t="s">
        <v>779</v>
      </c>
    </row>
    <row r="578" spans="1:8">
      <c r="A578" s="1"/>
      <c r="B578" s="1"/>
      <c r="C578" s="1"/>
      <c r="D578" s="1"/>
      <c r="E578" s="357">
        <v>44008</v>
      </c>
      <c r="F578" s="344" t="s">
        <v>625</v>
      </c>
      <c r="G578" s="358">
        <v>7.6776</v>
      </c>
      <c r="H578" s="344" t="s">
        <v>779</v>
      </c>
    </row>
    <row r="579" spans="1:8">
      <c r="A579" s="1"/>
      <c r="B579" s="1"/>
      <c r="C579" s="1"/>
      <c r="D579" s="1"/>
      <c r="E579" s="357">
        <v>44008</v>
      </c>
      <c r="F579" s="344" t="s">
        <v>628</v>
      </c>
      <c r="G579" s="358">
        <v>8.4717000000000002</v>
      </c>
      <c r="H579" s="344" t="s">
        <v>779</v>
      </c>
    </row>
    <row r="580" spans="1:8">
      <c r="A580" s="1"/>
      <c r="B580" s="1"/>
      <c r="C580" s="1"/>
      <c r="D580" s="1"/>
      <c r="E580" s="357">
        <v>44008</v>
      </c>
      <c r="F580" s="344" t="s">
        <v>631</v>
      </c>
      <c r="G580" s="358">
        <v>6.8417000000000003</v>
      </c>
      <c r="H580" s="344" t="s">
        <v>779</v>
      </c>
    </row>
    <row r="581" spans="1:8">
      <c r="A581" s="1"/>
      <c r="B581" s="1"/>
      <c r="C581" s="1"/>
      <c r="D581" s="1"/>
      <c r="E581" s="357">
        <v>44011</v>
      </c>
      <c r="F581" s="344" t="s">
        <v>621</v>
      </c>
      <c r="G581" s="358">
        <v>7.2161</v>
      </c>
      <c r="H581" s="344" t="s">
        <v>780</v>
      </c>
    </row>
    <row r="582" spans="1:8">
      <c r="A582" s="1"/>
      <c r="B582" s="1"/>
      <c r="C582" s="1"/>
      <c r="D582" s="1"/>
      <c r="E582" s="357">
        <v>44011</v>
      </c>
      <c r="F582" s="344" t="s">
        <v>625</v>
      </c>
      <c r="G582" s="358">
        <v>7.7081999999999997</v>
      </c>
      <c r="H582" s="344" t="s">
        <v>780</v>
      </c>
    </row>
    <row r="583" spans="1:8">
      <c r="A583" s="1"/>
      <c r="B583" s="1"/>
      <c r="C583" s="1"/>
      <c r="D583" s="1"/>
      <c r="E583" s="357">
        <v>44011</v>
      </c>
      <c r="F583" s="344" t="s">
        <v>628</v>
      </c>
      <c r="G583" s="358">
        <v>8.4282000000000004</v>
      </c>
      <c r="H583" s="344" t="s">
        <v>780</v>
      </c>
    </row>
    <row r="584" spans="1:8">
      <c r="A584" s="1"/>
      <c r="B584" s="1"/>
      <c r="C584" s="1"/>
      <c r="D584" s="1"/>
      <c r="E584" s="357">
        <v>44011</v>
      </c>
      <c r="F584" s="344" t="s">
        <v>631</v>
      </c>
      <c r="G584" s="358">
        <v>6.8422000000000001</v>
      </c>
      <c r="H584" s="344" t="s">
        <v>780</v>
      </c>
    </row>
    <row r="585" spans="1:8">
      <c r="A585" s="1"/>
      <c r="B585" s="1"/>
      <c r="C585" s="1"/>
      <c r="D585" s="1"/>
      <c r="E585" s="357">
        <v>44012</v>
      </c>
      <c r="F585" s="344" t="s">
        <v>621</v>
      </c>
      <c r="G585" s="358">
        <v>7.1734</v>
      </c>
      <c r="H585" s="344" t="s">
        <v>781</v>
      </c>
    </row>
    <row r="586" spans="1:8">
      <c r="A586" s="1"/>
      <c r="B586" s="1"/>
      <c r="C586" s="1"/>
      <c r="D586" s="1"/>
      <c r="E586" s="357">
        <v>44012</v>
      </c>
      <c r="F586" s="344" t="s">
        <v>625</v>
      </c>
      <c r="G586" s="358">
        <v>7.6719999999999997</v>
      </c>
      <c r="H586" s="344" t="s">
        <v>781</v>
      </c>
    </row>
    <row r="587" spans="1:8">
      <c r="A587" s="1"/>
      <c r="B587" s="1"/>
      <c r="C587" s="1"/>
      <c r="D587" s="1"/>
      <c r="E587" s="357">
        <v>44012</v>
      </c>
      <c r="F587" s="344" t="s">
        <v>628</v>
      </c>
      <c r="G587" s="358">
        <v>8.3843999999999994</v>
      </c>
      <c r="H587" s="344" t="s">
        <v>781</v>
      </c>
    </row>
    <row r="588" spans="1:8">
      <c r="A588" s="1"/>
      <c r="B588" s="1"/>
      <c r="C588" s="1"/>
      <c r="D588" s="1"/>
      <c r="E588" s="357">
        <v>44012</v>
      </c>
      <c r="F588" s="344" t="s">
        <v>631</v>
      </c>
      <c r="G588" s="358">
        <v>6.8432000000000004</v>
      </c>
      <c r="H588" s="344" t="s">
        <v>781</v>
      </c>
    </row>
    <row r="589" spans="1:8">
      <c r="A589" s="1"/>
      <c r="B589" s="1"/>
      <c r="C589" s="1"/>
      <c r="D589" s="1"/>
      <c r="E589" s="357">
        <v>44013</v>
      </c>
      <c r="F589" s="344" t="s">
        <v>621</v>
      </c>
      <c r="G589" s="358">
        <v>7.2065000000000001</v>
      </c>
      <c r="H589" s="344" t="s">
        <v>782</v>
      </c>
    </row>
    <row r="590" spans="1:8">
      <c r="A590" s="1"/>
      <c r="B590" s="1"/>
      <c r="C590" s="1"/>
      <c r="D590" s="1"/>
      <c r="E590" s="357">
        <v>44013</v>
      </c>
      <c r="F590" s="344" t="s">
        <v>625</v>
      </c>
      <c r="G590" s="358">
        <v>7.6773999999999996</v>
      </c>
      <c r="H590" s="344" t="s">
        <v>782</v>
      </c>
    </row>
    <row r="591" spans="1:8">
      <c r="A591" s="1"/>
      <c r="B591" s="1"/>
      <c r="C591" s="1"/>
      <c r="D591" s="1"/>
      <c r="E591" s="357">
        <v>44013</v>
      </c>
      <c r="F591" s="344" t="s">
        <v>628</v>
      </c>
      <c r="G591" s="358">
        <v>8.4643999999999995</v>
      </c>
      <c r="H591" s="344" t="s">
        <v>782</v>
      </c>
    </row>
    <row r="592" spans="1:8">
      <c r="A592" s="1"/>
      <c r="B592" s="1"/>
      <c r="C592" s="1"/>
      <c r="D592" s="1"/>
      <c r="E592" s="357">
        <v>44013</v>
      </c>
      <c r="F592" s="344" t="s">
        <v>631</v>
      </c>
      <c r="G592" s="358">
        <v>6.8432000000000004</v>
      </c>
      <c r="H592" s="344" t="s">
        <v>782</v>
      </c>
    </row>
    <row r="593" spans="1:8">
      <c r="A593" s="1"/>
      <c r="B593" s="1"/>
      <c r="C593" s="1"/>
      <c r="D593" s="1"/>
      <c r="E593" s="357">
        <v>44014</v>
      </c>
      <c r="F593" s="344" t="s">
        <v>621</v>
      </c>
      <c r="G593" s="358">
        <v>7.2329999999999997</v>
      </c>
      <c r="H593" s="344" t="s">
        <v>783</v>
      </c>
    </row>
    <row r="594" spans="1:8">
      <c r="A594" s="1"/>
      <c r="B594" s="1"/>
      <c r="C594" s="1"/>
      <c r="D594" s="1"/>
      <c r="E594" s="357">
        <v>44014</v>
      </c>
      <c r="F594" s="344" t="s">
        <v>625</v>
      </c>
      <c r="G594" s="358">
        <v>7.7210999999999999</v>
      </c>
      <c r="H594" s="344" t="s">
        <v>783</v>
      </c>
    </row>
    <row r="595" spans="1:8">
      <c r="A595" s="1"/>
      <c r="B595" s="1"/>
      <c r="C595" s="1"/>
      <c r="D595" s="1"/>
      <c r="E595" s="357">
        <v>44014</v>
      </c>
      <c r="F595" s="344" t="s">
        <v>628</v>
      </c>
      <c r="G595" s="358">
        <v>8.5454000000000008</v>
      </c>
      <c r="H595" s="344" t="s">
        <v>783</v>
      </c>
    </row>
    <row r="596" spans="1:8">
      <c r="A596" s="1"/>
      <c r="B596" s="1"/>
      <c r="C596" s="1"/>
      <c r="D596" s="1"/>
      <c r="E596" s="357">
        <v>44014</v>
      </c>
      <c r="F596" s="344" t="s">
        <v>631</v>
      </c>
      <c r="G596" s="358">
        <v>6.8428000000000004</v>
      </c>
      <c r="H596" s="344" t="s">
        <v>783</v>
      </c>
    </row>
    <row r="597" spans="1:8">
      <c r="A597" s="1"/>
      <c r="B597" s="1"/>
      <c r="C597" s="1"/>
      <c r="D597" s="1"/>
      <c r="E597" s="357">
        <v>44015</v>
      </c>
      <c r="F597" s="344" t="s">
        <v>621</v>
      </c>
      <c r="G597" s="358">
        <v>7.2133000000000003</v>
      </c>
      <c r="H597" s="344" t="s">
        <v>784</v>
      </c>
    </row>
    <row r="598" spans="1:8">
      <c r="A598" s="1"/>
      <c r="B598" s="1"/>
      <c r="C598" s="1"/>
      <c r="D598" s="1"/>
      <c r="E598" s="357">
        <v>44015</v>
      </c>
      <c r="F598" s="344" t="s">
        <v>625</v>
      </c>
      <c r="G598" s="358">
        <v>7.6859000000000002</v>
      </c>
      <c r="H598" s="344" t="s">
        <v>784</v>
      </c>
    </row>
    <row r="599" spans="1:8">
      <c r="A599" s="1"/>
      <c r="B599" s="1"/>
      <c r="C599" s="1"/>
      <c r="D599" s="1"/>
      <c r="E599" s="357">
        <v>44015</v>
      </c>
      <c r="F599" s="344" t="s">
        <v>628</v>
      </c>
      <c r="G599" s="358">
        <v>8.5108999999999995</v>
      </c>
      <c r="H599" s="344" t="s">
        <v>784</v>
      </c>
    </row>
    <row r="600" spans="1:8">
      <c r="A600" s="1"/>
      <c r="B600" s="1"/>
      <c r="C600" s="1"/>
      <c r="D600" s="1"/>
      <c r="E600" s="357">
        <v>44015</v>
      </c>
      <c r="F600" s="344" t="s">
        <v>631</v>
      </c>
      <c r="G600" s="358">
        <v>6.8422000000000001</v>
      </c>
      <c r="H600" s="344" t="s">
        <v>784</v>
      </c>
    </row>
    <row r="601" spans="1:8">
      <c r="A601" s="1"/>
      <c r="B601" s="1"/>
      <c r="C601" s="1"/>
      <c r="D601" s="1"/>
      <c r="E601" s="357">
        <v>44018</v>
      </c>
      <c r="F601" s="344" t="s">
        <v>621</v>
      </c>
      <c r="G601" s="358">
        <v>7.2527999999999997</v>
      </c>
      <c r="H601" s="344" t="s">
        <v>785</v>
      </c>
    </row>
    <row r="602" spans="1:8">
      <c r="A602" s="1"/>
      <c r="B602" s="1"/>
      <c r="C602" s="1"/>
      <c r="D602" s="1"/>
      <c r="E602" s="357">
        <v>44018</v>
      </c>
      <c r="F602" s="344" t="s">
        <v>625</v>
      </c>
      <c r="G602" s="358">
        <v>7.7355999999999998</v>
      </c>
      <c r="H602" s="344" t="s">
        <v>785</v>
      </c>
    </row>
    <row r="603" spans="1:8">
      <c r="A603" s="1"/>
      <c r="B603" s="1"/>
      <c r="C603" s="1"/>
      <c r="D603" s="1"/>
      <c r="E603" s="357">
        <v>44018</v>
      </c>
      <c r="F603" s="344" t="s">
        <v>628</v>
      </c>
      <c r="G603" s="358">
        <v>8.5419999999999998</v>
      </c>
      <c r="H603" s="344" t="s">
        <v>785</v>
      </c>
    </row>
    <row r="604" spans="1:8">
      <c r="A604" s="1"/>
      <c r="B604" s="1"/>
      <c r="C604" s="1"/>
      <c r="D604" s="1"/>
      <c r="E604" s="357">
        <v>44018</v>
      </c>
      <c r="F604" s="344" t="s">
        <v>631</v>
      </c>
      <c r="G604" s="358">
        <v>6.8467000000000002</v>
      </c>
      <c r="H604" s="344" t="s">
        <v>785</v>
      </c>
    </row>
    <row r="605" spans="1:8">
      <c r="A605" s="1"/>
      <c r="B605" s="1"/>
      <c r="C605" s="1"/>
      <c r="D605" s="1"/>
      <c r="E605" s="357">
        <v>44019</v>
      </c>
      <c r="F605" s="344" t="s">
        <v>621</v>
      </c>
      <c r="G605" s="358">
        <v>7.2446999999999999</v>
      </c>
      <c r="H605" s="344" t="s">
        <v>786</v>
      </c>
    </row>
    <row r="606" spans="1:8">
      <c r="A606" s="1"/>
      <c r="B606" s="1"/>
      <c r="C606" s="1"/>
      <c r="D606" s="1"/>
      <c r="E606" s="357">
        <v>44019</v>
      </c>
      <c r="F606" s="344" t="s">
        <v>625</v>
      </c>
      <c r="G606" s="358">
        <v>7.73</v>
      </c>
      <c r="H606" s="344" t="s">
        <v>786</v>
      </c>
    </row>
    <row r="607" spans="1:8">
      <c r="A607" s="1"/>
      <c r="B607" s="1"/>
      <c r="C607" s="1"/>
      <c r="D607" s="1"/>
      <c r="E607" s="357">
        <v>44019</v>
      </c>
      <c r="F607" s="344" t="s">
        <v>628</v>
      </c>
      <c r="G607" s="358">
        <v>8.5427</v>
      </c>
      <c r="H607" s="344" t="s">
        <v>786</v>
      </c>
    </row>
    <row r="608" spans="1:8">
      <c r="A608" s="1"/>
      <c r="B608" s="1"/>
      <c r="C608" s="1"/>
      <c r="D608" s="1"/>
      <c r="E608" s="357">
        <v>44019</v>
      </c>
      <c r="F608" s="344" t="s">
        <v>631</v>
      </c>
      <c r="G608" s="358">
        <v>6.8518999999999997</v>
      </c>
      <c r="H608" s="344" t="s">
        <v>786</v>
      </c>
    </row>
    <row r="609" spans="1:8">
      <c r="A609" s="1"/>
      <c r="B609" s="1"/>
      <c r="C609" s="1"/>
      <c r="D609" s="1"/>
      <c r="E609" s="357">
        <v>44020</v>
      </c>
      <c r="F609" s="344" t="s">
        <v>621</v>
      </c>
      <c r="G609" s="358">
        <v>7.2601000000000004</v>
      </c>
      <c r="H609" s="344" t="s">
        <v>787</v>
      </c>
    </row>
    <row r="610" spans="1:8">
      <c r="A610" s="1"/>
      <c r="B610" s="1"/>
      <c r="C610" s="1"/>
      <c r="D610" s="1"/>
      <c r="E610" s="357">
        <v>44020</v>
      </c>
      <c r="F610" s="344" t="s">
        <v>625</v>
      </c>
      <c r="G610" s="358">
        <v>7.7308000000000003</v>
      </c>
      <c r="H610" s="344" t="s">
        <v>787</v>
      </c>
    </row>
    <row r="611" spans="1:8">
      <c r="A611" s="1"/>
      <c r="B611" s="1"/>
      <c r="C611" s="1"/>
      <c r="D611" s="1"/>
      <c r="E611" s="357">
        <v>44020</v>
      </c>
      <c r="F611" s="344" t="s">
        <v>628</v>
      </c>
      <c r="G611" s="358">
        <v>8.5787999999999993</v>
      </c>
      <c r="H611" s="344" t="s">
        <v>787</v>
      </c>
    </row>
    <row r="612" spans="1:8">
      <c r="A612" s="1"/>
      <c r="B612" s="1"/>
      <c r="C612" s="1"/>
      <c r="D612" s="1"/>
      <c r="E612" s="357">
        <v>44020</v>
      </c>
      <c r="F612" s="344" t="s">
        <v>631</v>
      </c>
      <c r="G612" s="358">
        <v>6.8522999999999996</v>
      </c>
      <c r="H612" s="344" t="s">
        <v>787</v>
      </c>
    </row>
    <row r="613" spans="1:8">
      <c r="A613" s="1"/>
      <c r="B613" s="1"/>
      <c r="C613" s="1"/>
      <c r="D613" s="1"/>
      <c r="E613" s="357">
        <v>44021</v>
      </c>
      <c r="F613" s="344" t="s">
        <v>621</v>
      </c>
      <c r="G613" s="358">
        <v>7.2899000000000003</v>
      </c>
      <c r="H613" s="344" t="s">
        <v>788</v>
      </c>
    </row>
    <row r="614" spans="1:8">
      <c r="A614" s="1"/>
      <c r="B614" s="1"/>
      <c r="C614" s="1"/>
      <c r="D614" s="1"/>
      <c r="E614" s="357">
        <v>44021</v>
      </c>
      <c r="F614" s="344" t="s">
        <v>625</v>
      </c>
      <c r="G614" s="358">
        <v>7.7687999999999997</v>
      </c>
      <c r="H614" s="344" t="s">
        <v>788</v>
      </c>
    </row>
    <row r="615" spans="1:8">
      <c r="A615" s="1"/>
      <c r="B615" s="1"/>
      <c r="C615" s="1"/>
      <c r="D615" s="1"/>
      <c r="E615" s="357">
        <v>44021</v>
      </c>
      <c r="F615" s="344" t="s">
        <v>628</v>
      </c>
      <c r="G615" s="358">
        <v>8.65</v>
      </c>
      <c r="H615" s="344" t="s">
        <v>788</v>
      </c>
    </row>
    <row r="616" spans="1:8">
      <c r="A616" s="1"/>
      <c r="B616" s="1"/>
      <c r="C616" s="1"/>
      <c r="D616" s="1"/>
      <c r="E616" s="357">
        <v>44021</v>
      </c>
      <c r="F616" s="344" t="s">
        <v>631</v>
      </c>
      <c r="G616" s="358">
        <v>6.8529999999999998</v>
      </c>
      <c r="H616" s="344" t="s">
        <v>788</v>
      </c>
    </row>
    <row r="617" spans="1:8">
      <c r="A617" s="1"/>
      <c r="B617" s="1"/>
      <c r="C617" s="1"/>
      <c r="D617" s="1"/>
      <c r="E617" s="357">
        <v>44022</v>
      </c>
      <c r="F617" s="344" t="s">
        <v>621</v>
      </c>
      <c r="G617" s="358">
        <v>7.2575000000000003</v>
      </c>
      <c r="H617" s="344" t="s">
        <v>789</v>
      </c>
    </row>
    <row r="618" spans="1:8">
      <c r="A618" s="1"/>
      <c r="B618" s="1"/>
      <c r="C618" s="1"/>
      <c r="D618" s="1"/>
      <c r="E618" s="357">
        <v>44022</v>
      </c>
      <c r="F618" s="344" t="s">
        <v>625</v>
      </c>
      <c r="G618" s="358">
        <v>7.7309000000000001</v>
      </c>
      <c r="H618" s="344" t="s">
        <v>789</v>
      </c>
    </row>
    <row r="619" spans="1:8">
      <c r="A619" s="1"/>
      <c r="B619" s="1"/>
      <c r="C619" s="1"/>
      <c r="D619" s="1"/>
      <c r="E619" s="357">
        <v>44022</v>
      </c>
      <c r="F619" s="344" t="s">
        <v>628</v>
      </c>
      <c r="G619" s="358">
        <v>8.6170000000000009</v>
      </c>
      <c r="H619" s="344" t="s">
        <v>789</v>
      </c>
    </row>
    <row r="620" spans="1:8">
      <c r="A620" s="1"/>
      <c r="B620" s="1"/>
      <c r="C620" s="1"/>
      <c r="D620" s="1"/>
      <c r="E620" s="357">
        <v>44022</v>
      </c>
      <c r="F620" s="344" t="s">
        <v>631</v>
      </c>
      <c r="G620" s="358">
        <v>6.8513999999999999</v>
      </c>
      <c r="H620" s="344" t="s">
        <v>789</v>
      </c>
    </row>
    <row r="621" spans="1:8">
      <c r="A621" s="1"/>
      <c r="B621" s="1"/>
      <c r="C621" s="1"/>
      <c r="D621" s="1"/>
      <c r="E621" s="357">
        <v>44025</v>
      </c>
      <c r="F621" s="344" t="s">
        <v>621</v>
      </c>
      <c r="G621" s="358">
        <v>7.2629000000000001</v>
      </c>
      <c r="H621" s="344" t="s">
        <v>790</v>
      </c>
    </row>
    <row r="622" spans="1:8">
      <c r="A622" s="1"/>
      <c r="B622" s="1"/>
      <c r="C622" s="1"/>
      <c r="D622" s="1"/>
      <c r="E622" s="357">
        <v>44025</v>
      </c>
      <c r="F622" s="344" t="s">
        <v>625</v>
      </c>
      <c r="G622" s="358">
        <v>7.76</v>
      </c>
      <c r="H622" s="344" t="s">
        <v>790</v>
      </c>
    </row>
    <row r="623" spans="1:8">
      <c r="A623" s="1"/>
      <c r="B623" s="1"/>
      <c r="C623" s="1"/>
      <c r="D623" s="1"/>
      <c r="E623" s="357">
        <v>44025</v>
      </c>
      <c r="F623" s="344" t="s">
        <v>628</v>
      </c>
      <c r="G623" s="358">
        <v>8.6319999999999997</v>
      </c>
      <c r="H623" s="344" t="s">
        <v>790</v>
      </c>
    </row>
    <row r="624" spans="1:8">
      <c r="A624" s="1"/>
      <c r="B624" s="1"/>
      <c r="C624" s="1"/>
      <c r="D624" s="1"/>
      <c r="E624" s="357">
        <v>44025</v>
      </c>
      <c r="F624" s="344" t="s">
        <v>631</v>
      </c>
      <c r="G624" s="358">
        <v>6.8528000000000002</v>
      </c>
      <c r="H624" s="344" t="s">
        <v>790</v>
      </c>
    </row>
    <row r="625" spans="1:8">
      <c r="A625" s="1"/>
      <c r="B625" s="1"/>
      <c r="C625" s="1"/>
      <c r="D625" s="1"/>
      <c r="E625" s="357">
        <v>44026</v>
      </c>
      <c r="F625" s="344" t="s">
        <v>621</v>
      </c>
      <c r="G625" s="358">
        <v>7.2727000000000004</v>
      </c>
      <c r="H625" s="344" t="s">
        <v>791</v>
      </c>
    </row>
    <row r="626" spans="1:8">
      <c r="A626" s="1"/>
      <c r="B626" s="1"/>
      <c r="C626" s="1"/>
      <c r="D626" s="1"/>
      <c r="E626" s="357">
        <v>44026</v>
      </c>
      <c r="F626" s="344" t="s">
        <v>625</v>
      </c>
      <c r="G626" s="358">
        <v>7.7815000000000003</v>
      </c>
      <c r="H626" s="344" t="s">
        <v>791</v>
      </c>
    </row>
    <row r="627" spans="1:8">
      <c r="A627" s="1"/>
      <c r="B627" s="1"/>
      <c r="C627" s="1"/>
      <c r="D627" s="1"/>
      <c r="E627" s="357">
        <v>44026</v>
      </c>
      <c r="F627" s="344" t="s">
        <v>628</v>
      </c>
      <c r="G627" s="358">
        <v>8.5690000000000008</v>
      </c>
      <c r="H627" s="344" t="s">
        <v>791</v>
      </c>
    </row>
    <row r="628" spans="1:8">
      <c r="A628" s="1"/>
      <c r="B628" s="1"/>
      <c r="C628" s="1"/>
      <c r="D628" s="1"/>
      <c r="E628" s="357">
        <v>44026</v>
      </c>
      <c r="F628" s="344" t="s">
        <v>631</v>
      </c>
      <c r="G628" s="358">
        <v>6.8524000000000003</v>
      </c>
      <c r="H628" s="344" t="s">
        <v>791</v>
      </c>
    </row>
    <row r="629" spans="1:8">
      <c r="A629" s="1"/>
      <c r="B629" s="1"/>
      <c r="C629" s="1"/>
      <c r="D629" s="1"/>
      <c r="E629" s="357">
        <v>44028</v>
      </c>
      <c r="F629" s="344" t="s">
        <v>621</v>
      </c>
      <c r="G629" s="358">
        <v>7.2245999999999997</v>
      </c>
      <c r="H629" s="344" t="s">
        <v>792</v>
      </c>
    </row>
    <row r="630" spans="1:8">
      <c r="A630" s="1"/>
      <c r="B630" s="1"/>
      <c r="C630" s="1"/>
      <c r="D630" s="1"/>
      <c r="E630" s="357">
        <v>44028</v>
      </c>
      <c r="F630" s="344" t="s">
        <v>625</v>
      </c>
      <c r="G630" s="358">
        <v>7.8021000000000003</v>
      </c>
      <c r="H630" s="344" t="s">
        <v>792</v>
      </c>
    </row>
    <row r="631" spans="1:8">
      <c r="A631" s="1"/>
      <c r="B631" s="1"/>
      <c r="C631" s="1"/>
      <c r="D631" s="1"/>
      <c r="E631" s="357">
        <v>44028</v>
      </c>
      <c r="F631" s="344" t="s">
        <v>628</v>
      </c>
      <c r="G631" s="358">
        <v>8.5696999999999992</v>
      </c>
      <c r="H631" s="344" t="s">
        <v>792</v>
      </c>
    </row>
    <row r="632" spans="1:8">
      <c r="A632" s="1"/>
      <c r="B632" s="1"/>
      <c r="C632" s="1"/>
      <c r="D632" s="1"/>
      <c r="E632" s="357">
        <v>44028</v>
      </c>
      <c r="F632" s="344" t="s">
        <v>631</v>
      </c>
      <c r="G632" s="358">
        <v>6.8449999999999998</v>
      </c>
      <c r="H632" s="344" t="s">
        <v>792</v>
      </c>
    </row>
    <row r="633" spans="1:8">
      <c r="A633" s="1"/>
      <c r="B633" s="1"/>
      <c r="C633" s="1"/>
      <c r="D633" s="1"/>
      <c r="E633" s="357">
        <v>44029</v>
      </c>
      <c r="F633" s="344" t="s">
        <v>621</v>
      </c>
      <c r="G633" s="358">
        <v>7.2412000000000001</v>
      </c>
      <c r="H633" s="344" t="s">
        <v>793</v>
      </c>
    </row>
    <row r="634" spans="1:8">
      <c r="A634" s="1"/>
      <c r="B634" s="1"/>
      <c r="C634" s="1"/>
      <c r="D634" s="1"/>
      <c r="E634" s="357">
        <v>44029</v>
      </c>
      <c r="F634" s="344" t="s">
        <v>625</v>
      </c>
      <c r="G634" s="358">
        <v>7.8083</v>
      </c>
      <c r="H634" s="344" t="s">
        <v>793</v>
      </c>
    </row>
    <row r="635" spans="1:8">
      <c r="A635" s="1"/>
      <c r="B635" s="1"/>
      <c r="C635" s="1"/>
      <c r="D635" s="1"/>
      <c r="E635" s="357">
        <v>44029</v>
      </c>
      <c r="F635" s="344" t="s">
        <v>628</v>
      </c>
      <c r="G635" s="358">
        <v>8.5748999999999995</v>
      </c>
      <c r="H635" s="344" t="s">
        <v>793</v>
      </c>
    </row>
    <row r="636" spans="1:8">
      <c r="A636" s="1"/>
      <c r="B636" s="1"/>
      <c r="C636" s="1"/>
      <c r="D636" s="1"/>
      <c r="E636" s="357">
        <v>44029</v>
      </c>
      <c r="F636" s="344" t="s">
        <v>631</v>
      </c>
      <c r="G636" s="358">
        <v>6.8438999999999997</v>
      </c>
      <c r="H636" s="344" t="s">
        <v>793</v>
      </c>
    </row>
    <row r="637" spans="1:8">
      <c r="A637" s="1"/>
      <c r="B637" s="1"/>
      <c r="C637" s="1"/>
      <c r="D637" s="1"/>
      <c r="E637" s="357">
        <v>44032</v>
      </c>
      <c r="F637" s="344" t="s">
        <v>621</v>
      </c>
      <c r="G637" s="358">
        <v>7.2716000000000003</v>
      </c>
      <c r="H637" s="344" t="s">
        <v>794</v>
      </c>
    </row>
    <row r="638" spans="1:8">
      <c r="A638" s="1"/>
      <c r="B638" s="1"/>
      <c r="C638" s="1"/>
      <c r="D638" s="1"/>
      <c r="E638" s="357">
        <v>44032</v>
      </c>
      <c r="F638" s="344" t="s">
        <v>625</v>
      </c>
      <c r="G638" s="358">
        <v>7.8391000000000002</v>
      </c>
      <c r="H638" s="344" t="s">
        <v>794</v>
      </c>
    </row>
    <row r="639" spans="1:8">
      <c r="A639" s="1"/>
      <c r="B639" s="1"/>
      <c r="C639" s="1"/>
      <c r="D639" s="1"/>
      <c r="E639" s="357">
        <v>44032</v>
      </c>
      <c r="F639" s="344" t="s">
        <v>628</v>
      </c>
      <c r="G639" s="358">
        <v>8.6016999999999992</v>
      </c>
      <c r="H639" s="344" t="s">
        <v>794</v>
      </c>
    </row>
    <row r="640" spans="1:8">
      <c r="A640" s="1"/>
      <c r="B640" s="1"/>
      <c r="C640" s="1"/>
      <c r="D640" s="1"/>
      <c r="E640" s="357">
        <v>44032</v>
      </c>
      <c r="F640" s="344" t="s">
        <v>631</v>
      </c>
      <c r="G640" s="358">
        <v>6.8437999999999999</v>
      </c>
      <c r="H640" s="344" t="s">
        <v>794</v>
      </c>
    </row>
    <row r="641" spans="1:8">
      <c r="A641" s="1"/>
      <c r="B641" s="1"/>
      <c r="C641" s="1"/>
      <c r="D641" s="1"/>
      <c r="E641" s="357">
        <v>44033</v>
      </c>
      <c r="F641" s="344" t="s">
        <v>621</v>
      </c>
      <c r="G641" s="358">
        <v>7.2763</v>
      </c>
      <c r="H641" s="344" t="s">
        <v>795</v>
      </c>
    </row>
    <row r="642" spans="1:8">
      <c r="A642" s="1"/>
      <c r="B642" s="1"/>
      <c r="C642" s="1"/>
      <c r="D642" s="1"/>
      <c r="E642" s="357">
        <v>44033</v>
      </c>
      <c r="F642" s="344" t="s">
        <v>625</v>
      </c>
      <c r="G642" s="358">
        <v>7.8296000000000001</v>
      </c>
      <c r="H642" s="344" t="s">
        <v>795</v>
      </c>
    </row>
    <row r="643" spans="1:8">
      <c r="A643" s="1"/>
      <c r="B643" s="1"/>
      <c r="C643" s="1"/>
      <c r="D643" s="1"/>
      <c r="E643" s="357">
        <v>44033</v>
      </c>
      <c r="F643" s="344" t="s">
        <v>628</v>
      </c>
      <c r="G643" s="358">
        <v>8.6694999999999993</v>
      </c>
      <c r="H643" s="344" t="s">
        <v>795</v>
      </c>
    </row>
    <row r="644" spans="1:8">
      <c r="A644" s="1"/>
      <c r="B644" s="1"/>
      <c r="C644" s="1"/>
      <c r="D644" s="1"/>
      <c r="E644" s="357">
        <v>44033</v>
      </c>
      <c r="F644" s="344" t="s">
        <v>631</v>
      </c>
      <c r="G644" s="358">
        <v>6.8429000000000002</v>
      </c>
      <c r="H644" s="344" t="s">
        <v>795</v>
      </c>
    </row>
    <row r="645" spans="1:8">
      <c r="A645" s="1"/>
      <c r="B645" s="1"/>
      <c r="C645" s="1"/>
      <c r="D645" s="1"/>
      <c r="E645" s="357">
        <v>44034</v>
      </c>
      <c r="F645" s="344" t="s">
        <v>621</v>
      </c>
      <c r="G645" s="358">
        <v>7.3120000000000003</v>
      </c>
      <c r="H645" s="344" t="s">
        <v>796</v>
      </c>
    </row>
    <row r="646" spans="1:8">
      <c r="A646" s="1"/>
      <c r="B646" s="1"/>
      <c r="C646" s="1"/>
      <c r="D646" s="1"/>
      <c r="E646" s="357">
        <v>44034</v>
      </c>
      <c r="F646" s="344" t="s">
        <v>625</v>
      </c>
      <c r="G646" s="358">
        <v>7.8929999999999998</v>
      </c>
      <c r="H646" s="344" t="s">
        <v>796</v>
      </c>
    </row>
    <row r="647" spans="1:8">
      <c r="A647" s="1"/>
      <c r="B647" s="1"/>
      <c r="C647" s="1"/>
      <c r="D647" s="1"/>
      <c r="E647" s="357">
        <v>44034</v>
      </c>
      <c r="F647" s="344" t="s">
        <v>628</v>
      </c>
      <c r="G647" s="358">
        <v>8.6579999999999995</v>
      </c>
      <c r="H647" s="344" t="s">
        <v>796</v>
      </c>
    </row>
    <row r="648" spans="1:8">
      <c r="A648" s="1"/>
      <c r="B648" s="1"/>
      <c r="C648" s="1"/>
      <c r="D648" s="1"/>
      <c r="E648" s="357">
        <v>44034</v>
      </c>
      <c r="F648" s="344" t="s">
        <v>631</v>
      </c>
      <c r="G648" s="358">
        <v>6.8372000000000002</v>
      </c>
      <c r="H648" s="344" t="s">
        <v>796</v>
      </c>
    </row>
    <row r="649" spans="1:8">
      <c r="A649" s="1"/>
      <c r="B649" s="1"/>
      <c r="C649" s="1"/>
      <c r="D649" s="1"/>
      <c r="E649" s="357">
        <v>44035</v>
      </c>
      <c r="F649" s="344" t="s">
        <v>621</v>
      </c>
      <c r="G649" s="358">
        <v>7.3517000000000001</v>
      </c>
      <c r="H649" s="344" t="s">
        <v>797</v>
      </c>
    </row>
    <row r="650" spans="1:8">
      <c r="A650" s="1"/>
      <c r="B650" s="1"/>
      <c r="C650" s="1"/>
      <c r="D650" s="1"/>
      <c r="E650" s="357">
        <v>44035</v>
      </c>
      <c r="F650" s="344" t="s">
        <v>625</v>
      </c>
      <c r="G650" s="358">
        <v>7.9191000000000003</v>
      </c>
      <c r="H650" s="344" t="s">
        <v>797</v>
      </c>
    </row>
    <row r="651" spans="1:8">
      <c r="A651" s="1"/>
      <c r="B651" s="1"/>
      <c r="C651" s="1"/>
      <c r="D651" s="1"/>
      <c r="E651" s="357">
        <v>44035</v>
      </c>
      <c r="F651" s="344" t="s">
        <v>628</v>
      </c>
      <c r="G651" s="358">
        <v>8.6796000000000006</v>
      </c>
      <c r="H651" s="344" t="s">
        <v>797</v>
      </c>
    </row>
    <row r="652" spans="1:8">
      <c r="A652" s="1"/>
      <c r="B652" s="1"/>
      <c r="C652" s="1"/>
      <c r="D652" s="1"/>
      <c r="E652" s="357">
        <v>44035</v>
      </c>
      <c r="F652" s="344" t="s">
        <v>631</v>
      </c>
      <c r="G652" s="358">
        <v>6.8348000000000004</v>
      </c>
      <c r="H652" s="344" t="s">
        <v>797</v>
      </c>
    </row>
    <row r="653" spans="1:8">
      <c r="A653" s="1"/>
      <c r="B653" s="1"/>
      <c r="C653" s="1"/>
      <c r="D653" s="1"/>
      <c r="E653" s="357">
        <v>44036</v>
      </c>
      <c r="F653" s="344" t="s">
        <v>621</v>
      </c>
      <c r="G653" s="358">
        <v>7.3741000000000003</v>
      </c>
      <c r="H653" s="344" t="s">
        <v>798</v>
      </c>
    </row>
    <row r="654" spans="1:8">
      <c r="A654" s="1"/>
      <c r="B654" s="1"/>
      <c r="C654" s="1"/>
      <c r="D654" s="1"/>
      <c r="E654" s="357">
        <v>44036</v>
      </c>
      <c r="F654" s="344" t="s">
        <v>625</v>
      </c>
      <c r="G654" s="358">
        <v>7.9298000000000002</v>
      </c>
      <c r="H654" s="344" t="s">
        <v>798</v>
      </c>
    </row>
    <row r="655" spans="1:8">
      <c r="A655" s="1"/>
      <c r="B655" s="1"/>
      <c r="C655" s="1"/>
      <c r="D655" s="1"/>
      <c r="E655" s="357">
        <v>44036</v>
      </c>
      <c r="F655" s="344" t="s">
        <v>628</v>
      </c>
      <c r="G655" s="358">
        <v>8.6929999999999996</v>
      </c>
      <c r="H655" s="344" t="s">
        <v>798</v>
      </c>
    </row>
    <row r="656" spans="1:8">
      <c r="A656" s="1"/>
      <c r="B656" s="1"/>
      <c r="C656" s="1"/>
      <c r="D656" s="1"/>
      <c r="E656" s="357">
        <v>44036</v>
      </c>
      <c r="F656" s="344" t="s">
        <v>631</v>
      </c>
      <c r="G656" s="358">
        <v>6.8353000000000002</v>
      </c>
      <c r="H656" s="344" t="s">
        <v>798</v>
      </c>
    </row>
    <row r="657" spans="1:8">
      <c r="A657" s="1"/>
      <c r="B657" s="1"/>
      <c r="C657" s="1"/>
      <c r="D657" s="1"/>
      <c r="E657" s="357">
        <v>44039</v>
      </c>
      <c r="F657" s="344" t="s">
        <v>621</v>
      </c>
      <c r="G657" s="358">
        <v>7.4146999999999998</v>
      </c>
      <c r="H657" s="344" t="s">
        <v>799</v>
      </c>
    </row>
    <row r="658" spans="1:8">
      <c r="A658" s="1"/>
      <c r="B658" s="1"/>
      <c r="C658" s="1"/>
      <c r="D658" s="1"/>
      <c r="E658" s="357">
        <v>44039</v>
      </c>
      <c r="F658" s="344" t="s">
        <v>625</v>
      </c>
      <c r="G658" s="358">
        <v>8.0074000000000005</v>
      </c>
      <c r="H658" s="344" t="s">
        <v>799</v>
      </c>
    </row>
    <row r="659" spans="1:8">
      <c r="A659" s="1"/>
      <c r="B659" s="1"/>
      <c r="C659" s="1"/>
      <c r="D659" s="1"/>
      <c r="E659" s="357">
        <v>44039</v>
      </c>
      <c r="F659" s="344" t="s">
        <v>628</v>
      </c>
      <c r="G659" s="358">
        <v>8.7675999999999998</v>
      </c>
      <c r="H659" s="344" t="s">
        <v>799</v>
      </c>
    </row>
    <row r="660" spans="1:8">
      <c r="A660" s="1"/>
      <c r="B660" s="1"/>
      <c r="C660" s="1"/>
      <c r="D660" s="1"/>
      <c r="E660" s="357">
        <v>44039</v>
      </c>
      <c r="F660" s="344" t="s">
        <v>631</v>
      </c>
      <c r="G660" s="358">
        <v>6.8364000000000003</v>
      </c>
      <c r="H660" s="344" t="s">
        <v>799</v>
      </c>
    </row>
    <row r="661" spans="1:8">
      <c r="A661" s="1"/>
      <c r="B661" s="1"/>
      <c r="C661" s="1"/>
      <c r="D661" s="1"/>
      <c r="E661" s="357">
        <v>44040</v>
      </c>
      <c r="F661" s="344" t="s">
        <v>621</v>
      </c>
      <c r="G661" s="358">
        <v>7.4654999999999996</v>
      </c>
      <c r="H661" s="344" t="s">
        <v>800</v>
      </c>
    </row>
    <row r="662" spans="1:8">
      <c r="A662" s="1"/>
      <c r="B662" s="1"/>
      <c r="C662" s="1"/>
      <c r="D662" s="1"/>
      <c r="E662" s="357">
        <v>44040</v>
      </c>
      <c r="F662" s="344" t="s">
        <v>625</v>
      </c>
      <c r="G662" s="358">
        <v>8.07</v>
      </c>
      <c r="H662" s="344" t="s">
        <v>800</v>
      </c>
    </row>
    <row r="663" spans="1:8">
      <c r="A663" s="1"/>
      <c r="B663" s="1"/>
      <c r="C663" s="1"/>
      <c r="D663" s="1"/>
      <c r="E663" s="357">
        <v>44040</v>
      </c>
      <c r="F663" s="344" t="s">
        <v>628</v>
      </c>
      <c r="G663" s="358">
        <v>8.8446999999999996</v>
      </c>
      <c r="H663" s="344" t="s">
        <v>800</v>
      </c>
    </row>
    <row r="664" spans="1:8">
      <c r="A664" s="1"/>
      <c r="B664" s="1"/>
      <c r="C664" s="1"/>
      <c r="D664" s="1"/>
      <c r="E664" s="357">
        <v>44040</v>
      </c>
      <c r="F664" s="344" t="s">
        <v>631</v>
      </c>
      <c r="G664" s="358">
        <v>6.8845999999999998</v>
      </c>
      <c r="H664" s="344" t="s">
        <v>800</v>
      </c>
    </row>
    <row r="665" spans="1:8">
      <c r="A665" s="1"/>
      <c r="B665" s="1"/>
      <c r="C665" s="1"/>
      <c r="D665" s="1"/>
      <c r="E665" s="357">
        <v>44041</v>
      </c>
      <c r="F665" s="344" t="s">
        <v>621</v>
      </c>
      <c r="G665" s="358">
        <v>7.5521000000000003</v>
      </c>
      <c r="H665" s="344" t="s">
        <v>801</v>
      </c>
    </row>
    <row r="666" spans="1:8">
      <c r="A666" s="1"/>
      <c r="B666" s="1"/>
      <c r="C666" s="1"/>
      <c r="D666" s="1"/>
      <c r="E666" s="357">
        <v>44041</v>
      </c>
      <c r="F666" s="344" t="s">
        <v>625</v>
      </c>
      <c r="G666" s="358">
        <v>8.1480999999999995</v>
      </c>
      <c r="H666" s="344" t="s">
        <v>801</v>
      </c>
    </row>
    <row r="667" spans="1:8">
      <c r="A667" s="1"/>
      <c r="B667" s="1"/>
      <c r="C667" s="1"/>
      <c r="D667" s="1"/>
      <c r="E667" s="357">
        <v>44041</v>
      </c>
      <c r="F667" s="344" t="s">
        <v>628</v>
      </c>
      <c r="G667" s="358">
        <v>8.9760000000000009</v>
      </c>
      <c r="H667" s="344" t="s">
        <v>801</v>
      </c>
    </row>
    <row r="668" spans="1:8">
      <c r="A668" s="1"/>
      <c r="B668" s="1"/>
      <c r="C668" s="1"/>
      <c r="D668" s="1"/>
      <c r="E668" s="357">
        <v>44041</v>
      </c>
      <c r="F668" s="344" t="s">
        <v>631</v>
      </c>
      <c r="G668" s="358">
        <v>6.9371999999999998</v>
      </c>
      <c r="H668" s="344" t="s">
        <v>801</v>
      </c>
    </row>
    <row r="669" spans="1:8">
      <c r="A669" s="1"/>
      <c r="B669" s="1"/>
      <c r="C669" s="1"/>
      <c r="D669" s="1"/>
      <c r="E669" s="357">
        <v>44047</v>
      </c>
      <c r="F669" s="344" t="s">
        <v>621</v>
      </c>
      <c r="G669" s="358">
        <v>7.5545999999999998</v>
      </c>
      <c r="H669" s="344" t="s">
        <v>802</v>
      </c>
    </row>
    <row r="670" spans="1:8">
      <c r="A670" s="1"/>
      <c r="B670" s="1"/>
      <c r="C670" s="1"/>
      <c r="D670" s="1"/>
      <c r="E670" s="357">
        <v>44047</v>
      </c>
      <c r="F670" s="344" t="s">
        <v>625</v>
      </c>
      <c r="G670" s="358">
        <v>8.1676000000000002</v>
      </c>
      <c r="H670" s="344" t="s">
        <v>802</v>
      </c>
    </row>
    <row r="671" spans="1:8">
      <c r="A671" s="1"/>
      <c r="B671" s="1"/>
      <c r="C671" s="1"/>
      <c r="D671" s="1"/>
      <c r="E671" s="357">
        <v>44047</v>
      </c>
      <c r="F671" s="344" t="s">
        <v>628</v>
      </c>
      <c r="G671" s="358">
        <v>9.0382999999999996</v>
      </c>
      <c r="H671" s="344" t="s">
        <v>802</v>
      </c>
    </row>
    <row r="672" spans="1:8">
      <c r="A672" s="1"/>
      <c r="B672" s="1"/>
      <c r="C672" s="1"/>
      <c r="D672" s="1"/>
      <c r="E672" s="357">
        <v>44047</v>
      </c>
      <c r="F672" s="344" t="s">
        <v>631</v>
      </c>
      <c r="G672" s="358">
        <v>6.9333999999999998</v>
      </c>
      <c r="H672" s="344" t="s">
        <v>802</v>
      </c>
    </row>
    <row r="673" spans="1:8">
      <c r="A673" s="1"/>
      <c r="B673" s="1"/>
      <c r="C673" s="1"/>
      <c r="D673" s="1"/>
      <c r="E673" s="357">
        <v>44048</v>
      </c>
      <c r="F673" s="344" t="s">
        <v>621</v>
      </c>
      <c r="G673" s="358">
        <v>7.6593999999999998</v>
      </c>
      <c r="H673" s="344" t="s">
        <v>803</v>
      </c>
    </row>
    <row r="674" spans="1:8">
      <c r="A674" s="1"/>
      <c r="B674" s="1"/>
      <c r="C674" s="1"/>
      <c r="D674" s="1"/>
      <c r="E674" s="357">
        <v>44048</v>
      </c>
      <c r="F674" s="344" t="s">
        <v>625</v>
      </c>
      <c r="G674" s="358">
        <v>8.2718000000000007</v>
      </c>
      <c r="H674" s="344" t="s">
        <v>803</v>
      </c>
    </row>
    <row r="675" spans="1:8">
      <c r="A675" s="1"/>
      <c r="B675" s="1"/>
      <c r="C675" s="1"/>
      <c r="D675" s="1"/>
      <c r="E675" s="357">
        <v>44048</v>
      </c>
      <c r="F675" s="344" t="s">
        <v>628</v>
      </c>
      <c r="G675" s="358">
        <v>9.1479999999999997</v>
      </c>
      <c r="H675" s="344" t="s">
        <v>803</v>
      </c>
    </row>
    <row r="676" spans="1:8">
      <c r="A676" s="1"/>
      <c r="B676" s="1"/>
      <c r="C676" s="1"/>
      <c r="D676" s="1"/>
      <c r="E676" s="357">
        <v>44048</v>
      </c>
      <c r="F676" s="344" t="s">
        <v>631</v>
      </c>
      <c r="G676" s="358">
        <v>6.9871999999999996</v>
      </c>
      <c r="H676" s="344" t="s">
        <v>803</v>
      </c>
    </row>
    <row r="677" spans="1:8">
      <c r="A677" s="1"/>
      <c r="B677" s="1"/>
      <c r="C677" s="1"/>
      <c r="D677" s="1"/>
      <c r="E677" s="357">
        <v>44049</v>
      </c>
      <c r="F677" s="344" t="s">
        <v>621</v>
      </c>
      <c r="G677" s="358">
        <v>7.8632999999999997</v>
      </c>
      <c r="H677" s="344" t="s">
        <v>804</v>
      </c>
    </row>
    <row r="678" spans="1:8">
      <c r="A678" s="1"/>
      <c r="B678" s="1"/>
      <c r="C678" s="1"/>
      <c r="D678" s="1"/>
      <c r="E678" s="357">
        <v>44049</v>
      </c>
      <c r="F678" s="344" t="s">
        <v>625</v>
      </c>
      <c r="G678" s="358">
        <v>8.4860000000000007</v>
      </c>
      <c r="H678" s="344" t="s">
        <v>804</v>
      </c>
    </row>
    <row r="679" spans="1:8">
      <c r="A679" s="1"/>
      <c r="B679" s="1"/>
      <c r="C679" s="1"/>
      <c r="D679" s="1"/>
      <c r="E679" s="357">
        <v>44049</v>
      </c>
      <c r="F679" s="344" t="s">
        <v>628</v>
      </c>
      <c r="G679" s="358">
        <v>9.4092000000000002</v>
      </c>
      <c r="H679" s="344" t="s">
        <v>804</v>
      </c>
    </row>
    <row r="680" spans="1:8">
      <c r="A680" s="1"/>
      <c r="B680" s="1"/>
      <c r="C680" s="1"/>
      <c r="D680" s="1"/>
      <c r="E680" s="357">
        <v>44049</v>
      </c>
      <c r="F680" s="344" t="s">
        <v>631</v>
      </c>
      <c r="G680" s="358">
        <v>7.1593</v>
      </c>
      <c r="H680" s="344" t="s">
        <v>804</v>
      </c>
    </row>
    <row r="681" spans="1:8">
      <c r="A681" s="1"/>
      <c r="B681" s="1"/>
      <c r="C681" s="1"/>
      <c r="D681" s="1"/>
      <c r="E681" s="357">
        <v>44050</v>
      </c>
      <c r="F681" s="344" t="s">
        <v>621</v>
      </c>
      <c r="G681" s="358">
        <v>7.9381000000000004</v>
      </c>
      <c r="H681" s="344" t="s">
        <v>805</v>
      </c>
    </row>
    <row r="682" spans="1:8">
      <c r="A682" s="1"/>
      <c r="B682" s="1"/>
      <c r="C682" s="1"/>
      <c r="D682" s="1"/>
      <c r="E682" s="357">
        <v>44050</v>
      </c>
      <c r="F682" s="344" t="s">
        <v>625</v>
      </c>
      <c r="G682" s="358">
        <v>8.5938999999999997</v>
      </c>
      <c r="H682" s="344" t="s">
        <v>805</v>
      </c>
    </row>
    <row r="683" spans="1:8">
      <c r="A683" s="1"/>
      <c r="B683" s="1"/>
      <c r="C683" s="1"/>
      <c r="D683" s="1"/>
      <c r="E683" s="357">
        <v>44050</v>
      </c>
      <c r="F683" s="344" t="s">
        <v>628</v>
      </c>
      <c r="G683" s="358">
        <v>9.4984999999999999</v>
      </c>
      <c r="H683" s="344" t="s">
        <v>805</v>
      </c>
    </row>
    <row r="684" spans="1:8">
      <c r="A684" s="1"/>
      <c r="B684" s="1"/>
      <c r="C684" s="1"/>
      <c r="D684" s="1"/>
      <c r="E684" s="357">
        <v>44050</v>
      </c>
      <c r="F684" s="344" t="s">
        <v>631</v>
      </c>
      <c r="G684" s="358">
        <v>7.2660999999999998</v>
      </c>
      <c r="H684" s="344" t="s">
        <v>805</v>
      </c>
    </row>
    <row r="685" spans="1:8">
      <c r="A685" s="1"/>
      <c r="B685" s="1"/>
      <c r="C685" s="1"/>
      <c r="D685" s="1"/>
      <c r="E685" s="357">
        <v>44053</v>
      </c>
      <c r="F685" s="344" t="s">
        <v>621</v>
      </c>
      <c r="G685" s="358">
        <v>7.95</v>
      </c>
      <c r="H685" s="344" t="s">
        <v>806</v>
      </c>
    </row>
    <row r="686" spans="1:8">
      <c r="A686" s="1"/>
      <c r="B686" s="1"/>
      <c r="C686" s="1"/>
      <c r="D686" s="1"/>
      <c r="E686" s="357">
        <v>44053</v>
      </c>
      <c r="F686" s="344" t="s">
        <v>625</v>
      </c>
      <c r="G686" s="358">
        <v>8.5850000000000009</v>
      </c>
      <c r="H686" s="344" t="s">
        <v>806</v>
      </c>
    </row>
    <row r="687" spans="1:8">
      <c r="A687" s="1"/>
      <c r="B687" s="1"/>
      <c r="C687" s="1"/>
      <c r="D687" s="1"/>
      <c r="E687" s="357">
        <v>44053</v>
      </c>
      <c r="F687" s="344" t="s">
        <v>628</v>
      </c>
      <c r="G687" s="358">
        <v>9.5104000000000006</v>
      </c>
      <c r="H687" s="344" t="s">
        <v>806</v>
      </c>
    </row>
    <row r="688" spans="1:8">
      <c r="A688" s="1"/>
      <c r="B688" s="1"/>
      <c r="C688" s="1"/>
      <c r="D688" s="1"/>
      <c r="E688" s="357">
        <v>44053</v>
      </c>
      <c r="F688" s="344" t="s">
        <v>631</v>
      </c>
      <c r="G688" s="358">
        <v>7.2995999999999999</v>
      </c>
      <c r="H688" s="344" t="s">
        <v>806</v>
      </c>
    </row>
    <row r="689" spans="1:8">
      <c r="A689" s="1"/>
      <c r="B689" s="1"/>
      <c r="C689" s="1"/>
      <c r="D689" s="1"/>
      <c r="E689" s="357">
        <v>44054</v>
      </c>
      <c r="F689" s="344" t="s">
        <v>621</v>
      </c>
      <c r="G689" s="358">
        <v>7.9157999999999999</v>
      </c>
      <c r="H689" s="344" t="s">
        <v>807</v>
      </c>
    </row>
    <row r="690" spans="1:8">
      <c r="A690" s="1"/>
      <c r="B690" s="1"/>
      <c r="C690" s="1"/>
      <c r="D690" s="1"/>
      <c r="E690" s="357">
        <v>44054</v>
      </c>
      <c r="F690" s="344" t="s">
        <v>625</v>
      </c>
      <c r="G690" s="358">
        <v>8.5298999999999996</v>
      </c>
      <c r="H690" s="344" t="s">
        <v>807</v>
      </c>
    </row>
    <row r="691" spans="1:8">
      <c r="A691" s="1"/>
      <c r="B691" s="1"/>
      <c r="C691" s="1"/>
      <c r="D691" s="1"/>
      <c r="E691" s="357">
        <v>44054</v>
      </c>
      <c r="F691" s="344" t="s">
        <v>628</v>
      </c>
      <c r="G691" s="358">
        <v>9.4713999999999992</v>
      </c>
      <c r="H691" s="344" t="s">
        <v>807</v>
      </c>
    </row>
    <row r="692" spans="1:8">
      <c r="A692" s="1"/>
      <c r="B692" s="1"/>
      <c r="C692" s="1"/>
      <c r="D692" s="1"/>
      <c r="E692" s="357">
        <v>44054</v>
      </c>
      <c r="F692" s="344" t="s">
        <v>631</v>
      </c>
      <c r="G692" s="358">
        <v>7.2483000000000004</v>
      </c>
      <c r="H692" s="344" t="s">
        <v>807</v>
      </c>
    </row>
    <row r="693" spans="1:8">
      <c r="A693" s="1"/>
      <c r="B693" s="1"/>
      <c r="C693" s="1"/>
      <c r="D693" s="1"/>
      <c r="E693" s="357">
        <v>44055</v>
      </c>
      <c r="F693" s="344" t="s">
        <v>621</v>
      </c>
      <c r="G693" s="358">
        <v>7.9436</v>
      </c>
      <c r="H693" s="344" t="s">
        <v>808</v>
      </c>
    </row>
    <row r="694" spans="1:8">
      <c r="A694" s="1"/>
      <c r="B694" s="1"/>
      <c r="C694" s="1"/>
      <c r="D694" s="1"/>
      <c r="E694" s="357">
        <v>44055</v>
      </c>
      <c r="F694" s="344" t="s">
        <v>625</v>
      </c>
      <c r="G694" s="358">
        <v>8.5657999999999994</v>
      </c>
      <c r="H694" s="344" t="s">
        <v>808</v>
      </c>
    </row>
    <row r="695" spans="1:8">
      <c r="A695" s="1"/>
      <c r="B695" s="1"/>
      <c r="C695" s="1"/>
      <c r="D695" s="1"/>
      <c r="E695" s="357">
        <v>44055</v>
      </c>
      <c r="F695" s="344" t="s">
        <v>628</v>
      </c>
      <c r="G695" s="358">
        <v>9.4872999999999994</v>
      </c>
      <c r="H695" s="344" t="s">
        <v>808</v>
      </c>
    </row>
    <row r="696" spans="1:8">
      <c r="A696" s="1"/>
      <c r="B696" s="1"/>
      <c r="C696" s="1"/>
      <c r="D696" s="1"/>
      <c r="E696" s="357">
        <v>44055</v>
      </c>
      <c r="F696" s="344" t="s">
        <v>631</v>
      </c>
      <c r="G696" s="358">
        <v>7.2865000000000002</v>
      </c>
      <c r="H696" s="344" t="s">
        <v>808</v>
      </c>
    </row>
    <row r="697" spans="1:8">
      <c r="A697" s="1"/>
      <c r="B697" s="1"/>
      <c r="C697" s="1"/>
      <c r="D697" s="1"/>
      <c r="E697" s="357">
        <v>44056</v>
      </c>
      <c r="F697" s="344" t="s">
        <v>621</v>
      </c>
      <c r="G697" s="358">
        <v>8.0191999999999997</v>
      </c>
      <c r="H697" s="344" t="s">
        <v>809</v>
      </c>
    </row>
    <row r="698" spans="1:8">
      <c r="A698" s="1"/>
      <c r="B698" s="1"/>
      <c r="C698" s="1"/>
      <c r="D698" s="1"/>
      <c r="E698" s="357">
        <v>44056</v>
      </c>
      <c r="F698" s="344" t="s">
        <v>625</v>
      </c>
      <c r="G698" s="358">
        <v>8.6563999999999997</v>
      </c>
      <c r="H698" s="344" t="s">
        <v>809</v>
      </c>
    </row>
    <row r="699" spans="1:8">
      <c r="A699" s="1"/>
      <c r="B699" s="1"/>
      <c r="C699" s="1"/>
      <c r="D699" s="1"/>
      <c r="E699" s="357">
        <v>44056</v>
      </c>
      <c r="F699" s="344" t="s">
        <v>628</v>
      </c>
      <c r="G699" s="358">
        <v>9.5556000000000001</v>
      </c>
      <c r="H699" s="344" t="s">
        <v>809</v>
      </c>
    </row>
    <row r="700" spans="1:8">
      <c r="A700" s="1"/>
      <c r="B700" s="1"/>
      <c r="C700" s="1"/>
      <c r="D700" s="1"/>
      <c r="E700" s="357">
        <v>44056</v>
      </c>
      <c r="F700" s="344" t="s">
        <v>631</v>
      </c>
      <c r="G700" s="358">
        <v>7.3147000000000002</v>
      </c>
      <c r="H700" s="344" t="s">
        <v>809</v>
      </c>
    </row>
    <row r="701" spans="1:8">
      <c r="A701" s="1"/>
      <c r="B701" s="1"/>
      <c r="C701" s="1"/>
      <c r="D701" s="1"/>
      <c r="E701" s="357">
        <v>44057</v>
      </c>
      <c r="F701" s="344" t="s">
        <v>621</v>
      </c>
      <c r="G701" s="358">
        <v>8.0469000000000008</v>
      </c>
      <c r="H701" s="344" t="s">
        <v>810</v>
      </c>
    </row>
    <row r="702" spans="1:8">
      <c r="A702" s="1"/>
      <c r="B702" s="1"/>
      <c r="C702" s="1"/>
      <c r="D702" s="1"/>
      <c r="E702" s="357">
        <v>44057</v>
      </c>
      <c r="F702" s="344" t="s">
        <v>625</v>
      </c>
      <c r="G702" s="358">
        <v>8.6709999999999994</v>
      </c>
      <c r="H702" s="344" t="s">
        <v>810</v>
      </c>
    </row>
    <row r="703" spans="1:8">
      <c r="A703" s="1"/>
      <c r="B703" s="1"/>
      <c r="C703" s="1"/>
      <c r="D703" s="1"/>
      <c r="E703" s="357">
        <v>44057</v>
      </c>
      <c r="F703" s="344" t="s">
        <v>628</v>
      </c>
      <c r="G703" s="358">
        <v>9.5906000000000002</v>
      </c>
      <c r="H703" s="344" t="s">
        <v>810</v>
      </c>
    </row>
    <row r="704" spans="1:8">
      <c r="A704" s="1"/>
      <c r="B704" s="1"/>
      <c r="C704" s="1"/>
      <c r="D704" s="1"/>
      <c r="E704" s="357">
        <v>44057</v>
      </c>
      <c r="F704" s="344" t="s">
        <v>631</v>
      </c>
      <c r="G704" s="358">
        <v>7.3445</v>
      </c>
      <c r="H704" s="344" t="s">
        <v>810</v>
      </c>
    </row>
    <row r="705" spans="1:8">
      <c r="A705" s="1"/>
      <c r="B705" s="1"/>
      <c r="C705" s="1"/>
      <c r="D705" s="1"/>
      <c r="E705" s="357">
        <v>44060</v>
      </c>
      <c r="F705" s="344" t="s">
        <v>621</v>
      </c>
      <c r="G705" s="358">
        <v>8.0993999999999993</v>
      </c>
      <c r="H705" s="344" t="s">
        <v>811</v>
      </c>
    </row>
    <row r="706" spans="1:8">
      <c r="A706" s="1"/>
      <c r="B706" s="1"/>
      <c r="C706" s="1"/>
      <c r="D706" s="1"/>
      <c r="E706" s="357">
        <v>44060</v>
      </c>
      <c r="F706" s="344" t="s">
        <v>625</v>
      </c>
      <c r="G706" s="358">
        <v>8.7327999999999992</v>
      </c>
      <c r="H706" s="344" t="s">
        <v>811</v>
      </c>
    </row>
    <row r="707" spans="1:8">
      <c r="A707" s="1"/>
      <c r="B707" s="1"/>
      <c r="C707" s="1"/>
      <c r="D707" s="1"/>
      <c r="E707" s="357">
        <v>44060</v>
      </c>
      <c r="F707" s="344" t="s">
        <v>628</v>
      </c>
      <c r="G707" s="358">
        <v>9.6335999999999995</v>
      </c>
      <c r="H707" s="344" t="s">
        <v>811</v>
      </c>
    </row>
    <row r="708" spans="1:8">
      <c r="A708" s="1"/>
      <c r="B708" s="1"/>
      <c r="C708" s="1"/>
      <c r="D708" s="1"/>
      <c r="E708" s="357">
        <v>44060</v>
      </c>
      <c r="F708" s="344" t="s">
        <v>631</v>
      </c>
      <c r="G708" s="358">
        <v>7.3677000000000001</v>
      </c>
      <c r="H708" s="344" t="s">
        <v>811</v>
      </c>
    </row>
    <row r="709" spans="1:8">
      <c r="A709" s="1"/>
      <c r="B709" s="1"/>
      <c r="C709" s="1"/>
      <c r="D709" s="1"/>
      <c r="E709" s="357">
        <v>44061</v>
      </c>
      <c r="F709" s="344" t="s">
        <v>621</v>
      </c>
      <c r="G709" s="358">
        <v>8.1211000000000002</v>
      </c>
      <c r="H709" s="344" t="s">
        <v>812</v>
      </c>
    </row>
    <row r="710" spans="1:8">
      <c r="A710" s="1"/>
      <c r="B710" s="1"/>
      <c r="C710" s="1"/>
      <c r="D710" s="1"/>
      <c r="E710" s="357">
        <v>44061</v>
      </c>
      <c r="F710" s="344" t="s">
        <v>625</v>
      </c>
      <c r="G710" s="358">
        <v>8.7677999999999994</v>
      </c>
      <c r="H710" s="344" t="s">
        <v>812</v>
      </c>
    </row>
    <row r="711" spans="1:8">
      <c r="A711" s="1"/>
      <c r="B711" s="1"/>
      <c r="C711" s="1"/>
      <c r="D711" s="1"/>
      <c r="E711" s="357">
        <v>44061</v>
      </c>
      <c r="F711" s="344" t="s">
        <v>628</v>
      </c>
      <c r="G711" s="358">
        <v>9.6838999999999995</v>
      </c>
      <c r="H711" s="344" t="s">
        <v>812</v>
      </c>
    </row>
    <row r="712" spans="1:8">
      <c r="A712" s="1"/>
      <c r="B712" s="1"/>
      <c r="C712" s="1"/>
      <c r="D712" s="1"/>
      <c r="E712" s="357">
        <v>44061</v>
      </c>
      <c r="F712" s="344" t="s">
        <v>631</v>
      </c>
      <c r="G712" s="358">
        <v>7.3678999999999997</v>
      </c>
      <c r="H712" s="344" t="s">
        <v>812</v>
      </c>
    </row>
    <row r="713" spans="1:8">
      <c r="A713" s="1"/>
      <c r="B713" s="1"/>
      <c r="C713" s="1"/>
      <c r="D713" s="1"/>
      <c r="E713" s="357">
        <v>44062</v>
      </c>
      <c r="F713" s="344" t="s">
        <v>621</v>
      </c>
      <c r="G713" s="358">
        <v>8.1143999999999998</v>
      </c>
      <c r="H713" s="344" t="s">
        <v>813</v>
      </c>
    </row>
    <row r="714" spans="1:8">
      <c r="A714" s="1"/>
      <c r="B714" s="1"/>
      <c r="C714" s="1"/>
      <c r="D714" s="1"/>
      <c r="E714" s="357">
        <v>44062</v>
      </c>
      <c r="F714" s="344" t="s">
        <v>625</v>
      </c>
      <c r="G714" s="358">
        <v>8.7710000000000008</v>
      </c>
      <c r="H714" s="344" t="s">
        <v>813</v>
      </c>
    </row>
    <row r="715" spans="1:8">
      <c r="A715" s="1"/>
      <c r="B715" s="1"/>
      <c r="C715" s="1"/>
      <c r="D715" s="1"/>
      <c r="E715" s="357">
        <v>44062</v>
      </c>
      <c r="F715" s="344" t="s">
        <v>628</v>
      </c>
      <c r="G715" s="358">
        <v>9.7073999999999998</v>
      </c>
      <c r="H715" s="344" t="s">
        <v>813</v>
      </c>
    </row>
    <row r="716" spans="1:8">
      <c r="A716" s="1"/>
      <c r="B716" s="1"/>
      <c r="C716" s="1"/>
      <c r="D716" s="1"/>
      <c r="E716" s="357">
        <v>44062</v>
      </c>
      <c r="F716" s="344" t="s">
        <v>631</v>
      </c>
      <c r="G716" s="358">
        <v>7.3476999999999997</v>
      </c>
      <c r="H716" s="344" t="s">
        <v>813</v>
      </c>
    </row>
    <row r="717" spans="1:8">
      <c r="A717" s="1"/>
      <c r="B717" s="1"/>
      <c r="C717" s="1"/>
      <c r="D717" s="1"/>
      <c r="E717" s="357">
        <v>44063</v>
      </c>
      <c r="F717" s="344" t="s">
        <v>621</v>
      </c>
      <c r="G717" s="358">
        <v>7.9790999999999999</v>
      </c>
      <c r="H717" s="344" t="s">
        <v>814</v>
      </c>
    </row>
    <row r="718" spans="1:8">
      <c r="A718" s="1"/>
      <c r="B718" s="1"/>
      <c r="C718" s="1"/>
      <c r="D718" s="1"/>
      <c r="E718" s="357">
        <v>44063</v>
      </c>
      <c r="F718" s="344" t="s">
        <v>625</v>
      </c>
      <c r="G718" s="358">
        <v>8.6388999999999996</v>
      </c>
      <c r="H718" s="344" t="s">
        <v>814</v>
      </c>
    </row>
    <row r="719" spans="1:8">
      <c r="A719" s="1"/>
      <c r="B719" s="1"/>
      <c r="C719" s="1"/>
      <c r="D719" s="1"/>
      <c r="E719" s="357">
        <v>44063</v>
      </c>
      <c r="F719" s="344" t="s">
        <v>628</v>
      </c>
      <c r="G719" s="358">
        <v>9.5484000000000009</v>
      </c>
      <c r="H719" s="344" t="s">
        <v>814</v>
      </c>
    </row>
    <row r="720" spans="1:8">
      <c r="A720" s="1"/>
      <c r="B720" s="1"/>
      <c r="C720" s="1"/>
      <c r="D720" s="1"/>
      <c r="E720" s="357">
        <v>44063</v>
      </c>
      <c r="F720" s="344" t="s">
        <v>631</v>
      </c>
      <c r="G720" s="358">
        <v>7.2952000000000004</v>
      </c>
      <c r="H720" s="344" t="s">
        <v>814</v>
      </c>
    </row>
    <row r="721" spans="1:8">
      <c r="A721" s="1"/>
      <c r="B721" s="1"/>
      <c r="C721" s="1"/>
      <c r="D721" s="1"/>
      <c r="E721" s="357">
        <v>44064</v>
      </c>
      <c r="F721" s="344" t="s">
        <v>621</v>
      </c>
      <c r="G721" s="358">
        <v>7.9092000000000002</v>
      </c>
      <c r="H721" s="344" t="s">
        <v>815</v>
      </c>
    </row>
    <row r="722" spans="1:8">
      <c r="A722" s="1"/>
      <c r="B722" s="1"/>
      <c r="C722" s="1"/>
      <c r="D722" s="1"/>
      <c r="E722" s="357">
        <v>44064</v>
      </c>
      <c r="F722" s="344" t="s">
        <v>625</v>
      </c>
      <c r="G722" s="358">
        <v>8.5281000000000002</v>
      </c>
      <c r="H722" s="344" t="s">
        <v>815</v>
      </c>
    </row>
    <row r="723" spans="1:8">
      <c r="A723" s="1"/>
      <c r="B723" s="1"/>
      <c r="C723" s="1"/>
      <c r="D723" s="1"/>
      <c r="E723" s="357">
        <v>44064</v>
      </c>
      <c r="F723" s="344" t="s">
        <v>628</v>
      </c>
      <c r="G723" s="358">
        <v>9.4964999999999993</v>
      </c>
      <c r="H723" s="344" t="s">
        <v>815</v>
      </c>
    </row>
    <row r="724" spans="1:8">
      <c r="A724" s="1"/>
      <c r="B724" s="1"/>
      <c r="C724" s="1"/>
      <c r="D724" s="1"/>
      <c r="E724" s="357">
        <v>44064</v>
      </c>
      <c r="F724" s="344" t="s">
        <v>631</v>
      </c>
      <c r="G724" s="358">
        <v>7.2156000000000002</v>
      </c>
      <c r="H724" s="344" t="s">
        <v>815</v>
      </c>
    </row>
    <row r="725" spans="1:8">
      <c r="A725" s="1"/>
      <c r="B725" s="1"/>
      <c r="C725" s="1"/>
      <c r="D725" s="1"/>
      <c r="E725" s="357">
        <v>44067</v>
      </c>
      <c r="F725" s="344" t="s">
        <v>621</v>
      </c>
      <c r="G725" s="358">
        <v>8.0439000000000007</v>
      </c>
      <c r="H725" s="344" t="s">
        <v>816</v>
      </c>
    </row>
    <row r="726" spans="1:8">
      <c r="A726" s="1"/>
      <c r="B726" s="1"/>
      <c r="C726" s="1"/>
      <c r="D726" s="1"/>
      <c r="E726" s="357">
        <v>44067</v>
      </c>
      <c r="F726" s="344" t="s">
        <v>625</v>
      </c>
      <c r="G726" s="358">
        <v>8.6763999999999992</v>
      </c>
      <c r="H726" s="344" t="s">
        <v>816</v>
      </c>
    </row>
    <row r="727" spans="1:8">
      <c r="A727" s="1"/>
      <c r="B727" s="1"/>
      <c r="C727" s="1"/>
      <c r="D727" s="1"/>
      <c r="E727" s="357">
        <v>44067</v>
      </c>
      <c r="F727" s="344" t="s">
        <v>628</v>
      </c>
      <c r="G727" s="358">
        <v>9.6068999999999996</v>
      </c>
      <c r="H727" s="344" t="s">
        <v>816</v>
      </c>
    </row>
    <row r="728" spans="1:8">
      <c r="A728" s="1"/>
      <c r="B728" s="1"/>
      <c r="C728" s="1"/>
      <c r="D728" s="1"/>
      <c r="E728" s="357">
        <v>44067</v>
      </c>
      <c r="F728" s="344" t="s">
        <v>631</v>
      </c>
      <c r="G728" s="358">
        <v>7.3372000000000002</v>
      </c>
      <c r="H728" s="344" t="s">
        <v>816</v>
      </c>
    </row>
    <row r="729" spans="1:8">
      <c r="A729" s="1"/>
      <c r="B729" s="1"/>
      <c r="C729" s="1"/>
      <c r="D729" s="1"/>
      <c r="E729" s="357">
        <v>44068</v>
      </c>
      <c r="F729" s="344" t="s">
        <v>621</v>
      </c>
      <c r="G729" s="358">
        <v>8.0774000000000008</v>
      </c>
      <c r="H729" s="344" t="s">
        <v>817</v>
      </c>
    </row>
    <row r="730" spans="1:8">
      <c r="A730" s="1"/>
      <c r="B730" s="1"/>
      <c r="C730" s="1"/>
      <c r="D730" s="1"/>
      <c r="E730" s="357">
        <v>44068</v>
      </c>
      <c r="F730" s="344" t="s">
        <v>625</v>
      </c>
      <c r="G730" s="358">
        <v>8.7080000000000002</v>
      </c>
      <c r="H730" s="344" t="s">
        <v>817</v>
      </c>
    </row>
    <row r="731" spans="1:8">
      <c r="A731" s="1"/>
      <c r="B731" s="1"/>
      <c r="C731" s="1"/>
      <c r="D731" s="1"/>
      <c r="E731" s="357">
        <v>44068</v>
      </c>
      <c r="F731" s="344" t="s">
        <v>628</v>
      </c>
      <c r="G731" s="358">
        <v>9.6435999999999993</v>
      </c>
      <c r="H731" s="344" t="s">
        <v>817</v>
      </c>
    </row>
    <row r="732" spans="1:8">
      <c r="A732" s="1"/>
      <c r="B732" s="1"/>
      <c r="C732" s="1"/>
      <c r="D732" s="1"/>
      <c r="E732" s="357">
        <v>44068</v>
      </c>
      <c r="F732" s="344" t="s">
        <v>631</v>
      </c>
      <c r="G732" s="358">
        <v>7.3673999999999999</v>
      </c>
      <c r="H732" s="344" t="s">
        <v>817</v>
      </c>
    </row>
    <row r="733" spans="1:8">
      <c r="A733" s="1"/>
      <c r="B733" s="1"/>
      <c r="C733" s="1"/>
      <c r="D733" s="1"/>
      <c r="E733" s="357">
        <v>44069</v>
      </c>
      <c r="F733" s="344" t="s">
        <v>621</v>
      </c>
      <c r="G733" s="358">
        <v>8.0533999999999999</v>
      </c>
      <c r="H733" s="344" t="s">
        <v>818</v>
      </c>
    </row>
    <row r="734" spans="1:8">
      <c r="A734" s="1"/>
      <c r="B734" s="1"/>
      <c r="C734" s="1"/>
      <c r="D734" s="1"/>
      <c r="E734" s="357">
        <v>44069</v>
      </c>
      <c r="F734" s="344" t="s">
        <v>625</v>
      </c>
      <c r="G734" s="358">
        <v>8.6754999999999995</v>
      </c>
      <c r="H734" s="344" t="s">
        <v>818</v>
      </c>
    </row>
    <row r="735" spans="1:8">
      <c r="A735" s="1"/>
      <c r="B735" s="1"/>
      <c r="C735" s="1"/>
      <c r="D735" s="1"/>
      <c r="E735" s="357">
        <v>44069</v>
      </c>
      <c r="F735" s="344" t="s">
        <v>628</v>
      </c>
      <c r="G735" s="358">
        <v>9.6422000000000008</v>
      </c>
      <c r="H735" s="344" t="s">
        <v>818</v>
      </c>
    </row>
    <row r="736" spans="1:8">
      <c r="A736" s="1"/>
      <c r="B736" s="1"/>
      <c r="C736" s="1"/>
      <c r="D736" s="1"/>
      <c r="E736" s="357">
        <v>44069</v>
      </c>
      <c r="F736" s="344" t="s">
        <v>631</v>
      </c>
      <c r="G736" s="358">
        <v>7.3459000000000003</v>
      </c>
      <c r="H736" s="344" t="s">
        <v>818</v>
      </c>
    </row>
    <row r="737" spans="1:8">
      <c r="A737" s="1"/>
      <c r="B737" s="1"/>
      <c r="C737" s="1"/>
      <c r="D737" s="1"/>
      <c r="E737" s="357">
        <v>44070</v>
      </c>
      <c r="F737" s="344" t="s">
        <v>621</v>
      </c>
      <c r="G737" s="358">
        <v>8.0344999999999995</v>
      </c>
      <c r="H737" s="344" t="s">
        <v>819</v>
      </c>
    </row>
    <row r="738" spans="1:8">
      <c r="A738" s="1"/>
      <c r="B738" s="1"/>
      <c r="C738" s="1"/>
      <c r="D738" s="1"/>
      <c r="E738" s="357">
        <v>44070</v>
      </c>
      <c r="F738" s="344" t="s">
        <v>625</v>
      </c>
      <c r="G738" s="358">
        <v>8.6521000000000008</v>
      </c>
      <c r="H738" s="344" t="s">
        <v>819</v>
      </c>
    </row>
    <row r="739" spans="1:8">
      <c r="A739" s="1"/>
      <c r="B739" s="1"/>
      <c r="C739" s="1"/>
      <c r="D739" s="1"/>
      <c r="E739" s="357">
        <v>44070</v>
      </c>
      <c r="F739" s="344" t="s">
        <v>628</v>
      </c>
      <c r="G739" s="358">
        <v>9.6463999999999999</v>
      </c>
      <c r="H739" s="344" t="s">
        <v>819</v>
      </c>
    </row>
    <row r="740" spans="1:8">
      <c r="A740" s="1"/>
      <c r="B740" s="1"/>
      <c r="C740" s="1"/>
      <c r="D740" s="1"/>
      <c r="E740" s="357">
        <v>44070</v>
      </c>
      <c r="F740" s="344" t="s">
        <v>631</v>
      </c>
      <c r="G740" s="358">
        <v>7.3174000000000001</v>
      </c>
      <c r="H740" s="344" t="s">
        <v>819</v>
      </c>
    </row>
    <row r="741" spans="1:8">
      <c r="A741" s="1"/>
      <c r="B741" s="1"/>
      <c r="C741" s="1"/>
      <c r="D741" s="1"/>
      <c r="E741" s="357">
        <v>44071</v>
      </c>
      <c r="F741" s="344" t="s">
        <v>621</v>
      </c>
      <c r="G741" s="358">
        <v>8.0620999999999992</v>
      </c>
      <c r="H741" s="344" t="s">
        <v>820</v>
      </c>
    </row>
    <row r="742" spans="1:8">
      <c r="A742" s="1"/>
      <c r="B742" s="1"/>
      <c r="C742" s="1"/>
      <c r="D742" s="1"/>
      <c r="E742" s="357">
        <v>44071</v>
      </c>
      <c r="F742" s="344" t="s">
        <v>625</v>
      </c>
      <c r="G742" s="358">
        <v>8.6897000000000002</v>
      </c>
      <c r="H742" s="344" t="s">
        <v>820</v>
      </c>
    </row>
    <row r="743" spans="1:8">
      <c r="A743" s="1"/>
      <c r="B743" s="1"/>
      <c r="C743" s="1"/>
      <c r="D743" s="1"/>
      <c r="E743" s="357">
        <v>44071</v>
      </c>
      <c r="F743" s="344" t="s">
        <v>628</v>
      </c>
      <c r="G743" s="358">
        <v>9.6867000000000001</v>
      </c>
      <c r="H743" s="344" t="s">
        <v>820</v>
      </c>
    </row>
    <row r="744" spans="1:8">
      <c r="A744" s="1"/>
      <c r="B744" s="1"/>
      <c r="C744" s="1"/>
      <c r="D744" s="1"/>
      <c r="E744" s="357">
        <v>44071</v>
      </c>
      <c r="F744" s="344" t="s">
        <v>631</v>
      </c>
      <c r="G744" s="358">
        <v>7.3049999999999997</v>
      </c>
      <c r="H744" s="344" t="s">
        <v>820</v>
      </c>
    </row>
    <row r="745" spans="1:8">
      <c r="A745" s="1"/>
      <c r="B745" s="1"/>
      <c r="C745" s="1"/>
      <c r="D745" s="1"/>
      <c r="E745" s="357">
        <v>44074</v>
      </c>
      <c r="F745" s="344" t="s">
        <v>621</v>
      </c>
      <c r="G745" s="358">
        <v>8.0877999999999997</v>
      </c>
      <c r="H745" s="344" t="s">
        <v>821</v>
      </c>
    </row>
    <row r="746" spans="1:8">
      <c r="A746" s="1"/>
      <c r="B746" s="1"/>
      <c r="C746" s="1"/>
      <c r="D746" s="1"/>
      <c r="E746" s="357">
        <v>44074</v>
      </c>
      <c r="F746" s="344" t="s">
        <v>625</v>
      </c>
      <c r="G746" s="358">
        <v>8.7284000000000006</v>
      </c>
      <c r="H746" s="344" t="s">
        <v>821</v>
      </c>
    </row>
    <row r="747" spans="1:8">
      <c r="A747" s="1"/>
      <c r="B747" s="1"/>
      <c r="C747" s="1"/>
      <c r="D747" s="1"/>
      <c r="E747" s="357">
        <v>44074</v>
      </c>
      <c r="F747" s="344" t="s">
        <v>628</v>
      </c>
      <c r="G747" s="358">
        <v>9.7421000000000006</v>
      </c>
      <c r="H747" s="344" t="s">
        <v>821</v>
      </c>
    </row>
    <row r="748" spans="1:8">
      <c r="A748" s="1"/>
      <c r="B748" s="1"/>
      <c r="C748" s="1"/>
      <c r="D748" s="1"/>
      <c r="E748" s="357">
        <v>44074</v>
      </c>
      <c r="F748" s="344" t="s">
        <v>631</v>
      </c>
      <c r="G748" s="358">
        <v>7.3261000000000003</v>
      </c>
      <c r="H748" s="344" t="s">
        <v>821</v>
      </c>
    </row>
    <row r="749" spans="1:8">
      <c r="A749" s="1"/>
      <c r="B749" s="1"/>
      <c r="C749" s="1"/>
      <c r="D749" s="1"/>
      <c r="E749" s="357">
        <v>44075</v>
      </c>
      <c r="F749" s="344" t="s">
        <v>621</v>
      </c>
      <c r="G749" s="358">
        <v>8.1114999999999995</v>
      </c>
      <c r="H749" s="344" t="s">
        <v>822</v>
      </c>
    </row>
    <row r="750" spans="1:8">
      <c r="A750" s="1"/>
      <c r="B750" s="1"/>
      <c r="C750" s="1"/>
      <c r="D750" s="1"/>
      <c r="E750" s="357">
        <v>44075</v>
      </c>
      <c r="F750" s="344" t="s">
        <v>625</v>
      </c>
      <c r="G750" s="358">
        <v>8.7979000000000003</v>
      </c>
      <c r="H750" s="344" t="s">
        <v>822</v>
      </c>
    </row>
    <row r="751" spans="1:8">
      <c r="A751" s="1"/>
      <c r="B751" s="1"/>
      <c r="C751" s="1"/>
      <c r="D751" s="1"/>
      <c r="E751" s="357">
        <v>44075</v>
      </c>
      <c r="F751" s="344" t="s">
        <v>628</v>
      </c>
      <c r="G751" s="358">
        <v>9.8510000000000009</v>
      </c>
      <c r="H751" s="344" t="s">
        <v>822</v>
      </c>
    </row>
    <row r="752" spans="1:8">
      <c r="A752" s="1"/>
      <c r="B752" s="1"/>
      <c r="C752" s="1"/>
      <c r="D752" s="1"/>
      <c r="E752" s="357">
        <v>44075</v>
      </c>
      <c r="F752" s="344" t="s">
        <v>631</v>
      </c>
      <c r="G752" s="358">
        <v>7.3421000000000003</v>
      </c>
      <c r="H752" s="344" t="s">
        <v>822</v>
      </c>
    </row>
    <row r="753" spans="1:8">
      <c r="A753" s="1"/>
      <c r="B753" s="1"/>
      <c r="C753" s="1"/>
      <c r="D753" s="1"/>
      <c r="E753" s="357">
        <v>44076</v>
      </c>
      <c r="F753" s="344" t="s">
        <v>621</v>
      </c>
      <c r="G753" s="358">
        <v>8.0520999999999994</v>
      </c>
      <c r="H753" s="344" t="s">
        <v>823</v>
      </c>
    </row>
    <row r="754" spans="1:8">
      <c r="A754" s="1"/>
      <c r="B754" s="1"/>
      <c r="C754" s="1"/>
      <c r="D754" s="1"/>
      <c r="E754" s="357">
        <v>44076</v>
      </c>
      <c r="F754" s="344" t="s">
        <v>625</v>
      </c>
      <c r="G754" s="358">
        <v>8.7321000000000009</v>
      </c>
      <c r="H754" s="344" t="s">
        <v>823</v>
      </c>
    </row>
    <row r="755" spans="1:8">
      <c r="A755" s="1"/>
      <c r="B755" s="1"/>
      <c r="C755" s="1"/>
      <c r="D755" s="1"/>
      <c r="E755" s="357">
        <v>44076</v>
      </c>
      <c r="F755" s="344" t="s">
        <v>628</v>
      </c>
      <c r="G755" s="358">
        <v>9.8064</v>
      </c>
      <c r="H755" s="344" t="s">
        <v>823</v>
      </c>
    </row>
    <row r="756" spans="1:8">
      <c r="A756" s="1"/>
      <c r="B756" s="1"/>
      <c r="C756" s="1"/>
      <c r="D756" s="1"/>
      <c r="E756" s="357">
        <v>44076</v>
      </c>
      <c r="F756" s="344" t="s">
        <v>631</v>
      </c>
      <c r="G756" s="358">
        <v>7.3563000000000001</v>
      </c>
      <c r="H756" s="344" t="s">
        <v>823</v>
      </c>
    </row>
    <row r="757" spans="1:8">
      <c r="A757" s="1"/>
      <c r="B757" s="1"/>
      <c r="C757" s="1"/>
      <c r="D757" s="1"/>
      <c r="E757" s="357">
        <v>44077</v>
      </c>
      <c r="F757" s="344" t="s">
        <v>621</v>
      </c>
      <c r="G757" s="358">
        <v>8.0938999999999997</v>
      </c>
      <c r="H757" s="344" t="s">
        <v>824</v>
      </c>
    </row>
    <row r="758" spans="1:8">
      <c r="A758" s="1"/>
      <c r="B758" s="1"/>
      <c r="C758" s="1"/>
      <c r="D758" s="1"/>
      <c r="E758" s="357">
        <v>44077</v>
      </c>
      <c r="F758" s="344" t="s">
        <v>625</v>
      </c>
      <c r="G758" s="358">
        <v>8.7434999999999992</v>
      </c>
      <c r="H758" s="344" t="s">
        <v>824</v>
      </c>
    </row>
    <row r="759" spans="1:8">
      <c r="A759" s="1"/>
      <c r="B759" s="1"/>
      <c r="C759" s="1"/>
      <c r="D759" s="1"/>
      <c r="E759" s="357">
        <v>44077</v>
      </c>
      <c r="F759" s="344" t="s">
        <v>628</v>
      </c>
      <c r="G759" s="358">
        <v>9.8108000000000004</v>
      </c>
      <c r="H759" s="344" t="s">
        <v>824</v>
      </c>
    </row>
    <row r="760" spans="1:8">
      <c r="A760" s="1"/>
      <c r="B760" s="1"/>
      <c r="C760" s="1"/>
      <c r="D760" s="1"/>
      <c r="E760" s="357">
        <v>44077</v>
      </c>
      <c r="F760" s="344" t="s">
        <v>631</v>
      </c>
      <c r="G760" s="358">
        <v>7.3994</v>
      </c>
      <c r="H760" s="344" t="s">
        <v>824</v>
      </c>
    </row>
    <row r="761" spans="1:8">
      <c r="A761" s="1"/>
      <c r="B761" s="1"/>
      <c r="C761" s="1"/>
      <c r="D761" s="1"/>
      <c r="E761" s="357">
        <v>44078</v>
      </c>
      <c r="F761" s="344" t="s">
        <v>621</v>
      </c>
      <c r="G761" s="358">
        <v>8.1225000000000005</v>
      </c>
      <c r="H761" s="344" t="s">
        <v>825</v>
      </c>
    </row>
    <row r="762" spans="1:8">
      <c r="A762" s="1"/>
      <c r="B762" s="1"/>
      <c r="C762" s="1"/>
      <c r="D762" s="1"/>
      <c r="E762" s="357">
        <v>44078</v>
      </c>
      <c r="F762" s="344" t="s">
        <v>625</v>
      </c>
      <c r="G762" s="358">
        <v>8.7821999999999996</v>
      </c>
      <c r="H762" s="344" t="s">
        <v>825</v>
      </c>
    </row>
    <row r="763" spans="1:8">
      <c r="A763" s="1"/>
      <c r="B763" s="1"/>
      <c r="C763" s="1"/>
      <c r="D763" s="1"/>
      <c r="E763" s="357">
        <v>44078</v>
      </c>
      <c r="F763" s="344" t="s">
        <v>628</v>
      </c>
      <c r="G763" s="358">
        <v>9.8310999999999993</v>
      </c>
      <c r="H763" s="344" t="s">
        <v>825</v>
      </c>
    </row>
    <row r="764" spans="1:8">
      <c r="A764" s="1"/>
      <c r="B764" s="1"/>
      <c r="C764" s="1"/>
      <c r="D764" s="1"/>
      <c r="E764" s="357">
        <v>44078</v>
      </c>
      <c r="F764" s="344" t="s">
        <v>631</v>
      </c>
      <c r="G764" s="358">
        <v>7.4132999999999996</v>
      </c>
      <c r="H764" s="344" t="s">
        <v>825</v>
      </c>
    </row>
    <row r="765" spans="1:8">
      <c r="A765" s="1"/>
      <c r="B765" s="1"/>
      <c r="C765" s="1"/>
      <c r="D765" s="1"/>
      <c r="E765" s="357">
        <v>44081</v>
      </c>
      <c r="F765" s="344" t="s">
        <v>621</v>
      </c>
      <c r="G765" s="358">
        <v>8.1180000000000003</v>
      </c>
      <c r="H765" s="344" t="s">
        <v>826</v>
      </c>
    </row>
    <row r="766" spans="1:8">
      <c r="A766" s="1"/>
      <c r="B766" s="1"/>
      <c r="C766" s="1"/>
      <c r="D766" s="1"/>
      <c r="E766" s="357">
        <v>44081</v>
      </c>
      <c r="F766" s="344" t="s">
        <v>625</v>
      </c>
      <c r="G766" s="358">
        <v>8.7937999999999992</v>
      </c>
      <c r="H766" s="344" t="s">
        <v>826</v>
      </c>
    </row>
    <row r="767" spans="1:8">
      <c r="A767" s="1"/>
      <c r="B767" s="1"/>
      <c r="C767" s="1"/>
      <c r="D767" s="1"/>
      <c r="E767" s="357">
        <v>44081</v>
      </c>
      <c r="F767" s="344" t="s">
        <v>628</v>
      </c>
      <c r="G767" s="358">
        <v>9.7882999999999996</v>
      </c>
      <c r="H767" s="344" t="s">
        <v>826</v>
      </c>
    </row>
    <row r="768" spans="1:8">
      <c r="A768" s="1"/>
      <c r="B768" s="1"/>
      <c r="C768" s="1"/>
      <c r="D768" s="1"/>
      <c r="E768" s="357">
        <v>44081</v>
      </c>
      <c r="F768" s="344" t="s">
        <v>631</v>
      </c>
      <c r="G768" s="358">
        <v>7.4348999999999998</v>
      </c>
      <c r="H768" s="344" t="s">
        <v>826</v>
      </c>
    </row>
    <row r="769" spans="1:8">
      <c r="A769" s="1"/>
      <c r="B769" s="1"/>
      <c r="C769" s="1"/>
      <c r="D769" s="1"/>
      <c r="E769" s="357">
        <v>44082</v>
      </c>
      <c r="F769" s="344" t="s">
        <v>621</v>
      </c>
      <c r="G769" s="358">
        <v>8.1014999999999997</v>
      </c>
      <c r="H769" s="344" t="s">
        <v>827</v>
      </c>
    </row>
    <row r="770" spans="1:8">
      <c r="A770" s="1"/>
      <c r="B770" s="1"/>
      <c r="C770" s="1"/>
      <c r="D770" s="1"/>
      <c r="E770" s="357">
        <v>44082</v>
      </c>
      <c r="F770" s="344" t="s">
        <v>625</v>
      </c>
      <c r="G770" s="358">
        <v>8.7994000000000003</v>
      </c>
      <c r="H770" s="344" t="s">
        <v>827</v>
      </c>
    </row>
    <row r="771" spans="1:8">
      <c r="A771" s="1"/>
      <c r="B771" s="1"/>
      <c r="C771" s="1"/>
      <c r="D771" s="1"/>
      <c r="E771" s="357">
        <v>44082</v>
      </c>
      <c r="F771" s="344" t="s">
        <v>628</v>
      </c>
      <c r="G771" s="358">
        <v>9.7420000000000009</v>
      </c>
      <c r="H771" s="344" t="s">
        <v>827</v>
      </c>
    </row>
    <row r="772" spans="1:8">
      <c r="A772" s="1"/>
      <c r="B772" s="1"/>
      <c r="C772" s="1"/>
      <c r="D772" s="1"/>
      <c r="E772" s="357">
        <v>44082</v>
      </c>
      <c r="F772" s="344" t="s">
        <v>631</v>
      </c>
      <c r="G772" s="358">
        <v>7.4537000000000004</v>
      </c>
      <c r="H772" s="344" t="s">
        <v>827</v>
      </c>
    </row>
    <row r="773" spans="1:8">
      <c r="A773" s="1"/>
      <c r="B773" s="1"/>
      <c r="C773" s="1"/>
      <c r="D773" s="1"/>
      <c r="E773" s="357">
        <v>44083</v>
      </c>
      <c r="F773" s="344" t="s">
        <v>621</v>
      </c>
      <c r="G773" s="358">
        <v>8.1130999999999993</v>
      </c>
      <c r="H773" s="344" t="s">
        <v>828</v>
      </c>
    </row>
    <row r="774" spans="1:8">
      <c r="A774" s="1"/>
      <c r="B774" s="1"/>
      <c r="C774" s="1"/>
      <c r="D774" s="1"/>
      <c r="E774" s="357">
        <v>44083</v>
      </c>
      <c r="F774" s="344" t="s">
        <v>625</v>
      </c>
      <c r="G774" s="358">
        <v>8.7855000000000008</v>
      </c>
      <c r="H774" s="344" t="s">
        <v>828</v>
      </c>
    </row>
    <row r="775" spans="1:8">
      <c r="A775" s="1"/>
      <c r="B775" s="1"/>
      <c r="C775" s="1"/>
      <c r="D775" s="1"/>
      <c r="E775" s="357">
        <v>44083</v>
      </c>
      <c r="F775" s="344" t="s">
        <v>628</v>
      </c>
      <c r="G775" s="358">
        <v>9.6402000000000001</v>
      </c>
      <c r="H775" s="344" t="s">
        <v>828</v>
      </c>
    </row>
    <row r="776" spans="1:8">
      <c r="A776" s="1"/>
      <c r="B776" s="1"/>
      <c r="C776" s="1"/>
      <c r="D776" s="1"/>
      <c r="E776" s="357">
        <v>44083</v>
      </c>
      <c r="F776" s="344" t="s">
        <v>631</v>
      </c>
      <c r="G776" s="358">
        <v>7.4669999999999996</v>
      </c>
      <c r="H776" s="344" t="s">
        <v>828</v>
      </c>
    </row>
    <row r="777" spans="1:8">
      <c r="A777" s="1"/>
      <c r="B777" s="1"/>
      <c r="C777" s="1"/>
      <c r="D777" s="1"/>
      <c r="E777" s="357">
        <v>44084</v>
      </c>
      <c r="F777" s="344" t="s">
        <v>621</v>
      </c>
      <c r="G777" s="358">
        <v>8.1795000000000009</v>
      </c>
      <c r="H777" s="344" t="s">
        <v>829</v>
      </c>
    </row>
    <row r="778" spans="1:8">
      <c r="A778" s="1"/>
      <c r="B778" s="1"/>
      <c r="C778" s="1"/>
      <c r="D778" s="1"/>
      <c r="E778" s="357">
        <v>44084</v>
      </c>
      <c r="F778" s="344" t="s">
        <v>625</v>
      </c>
      <c r="G778" s="358">
        <v>8.8228000000000009</v>
      </c>
      <c r="H778" s="344" t="s">
        <v>829</v>
      </c>
    </row>
    <row r="779" spans="1:8">
      <c r="A779" s="1"/>
      <c r="B779" s="1"/>
      <c r="C779" s="1"/>
      <c r="D779" s="1"/>
      <c r="E779" s="357">
        <v>44084</v>
      </c>
      <c r="F779" s="344" t="s">
        <v>628</v>
      </c>
      <c r="G779" s="358">
        <v>9.68</v>
      </c>
      <c r="H779" s="344" t="s">
        <v>829</v>
      </c>
    </row>
    <row r="780" spans="1:8">
      <c r="A780" s="1"/>
      <c r="B780" s="1"/>
      <c r="C780" s="1"/>
      <c r="D780" s="1"/>
      <c r="E780" s="357">
        <v>44084</v>
      </c>
      <c r="F780" s="344" t="s">
        <v>631</v>
      </c>
      <c r="G780" s="358">
        <v>7.4553000000000003</v>
      </c>
      <c r="H780" s="344" t="s">
        <v>829</v>
      </c>
    </row>
    <row r="781" spans="1:8">
      <c r="A781" s="1"/>
      <c r="B781" s="1"/>
      <c r="C781" s="1"/>
      <c r="D781" s="1"/>
      <c r="E781" s="357">
        <v>44085</v>
      </c>
      <c r="F781" s="344" t="s">
        <v>621</v>
      </c>
      <c r="G781" s="358">
        <v>8.1629000000000005</v>
      </c>
      <c r="H781" s="344" t="s">
        <v>830</v>
      </c>
    </row>
    <row r="782" spans="1:8">
      <c r="A782" s="1"/>
      <c r="B782" s="1"/>
      <c r="C782" s="1"/>
      <c r="D782" s="1"/>
      <c r="E782" s="357">
        <v>44085</v>
      </c>
      <c r="F782" s="344" t="s">
        <v>625</v>
      </c>
      <c r="G782" s="358">
        <v>8.8171999999999997</v>
      </c>
      <c r="H782" s="344" t="s">
        <v>830</v>
      </c>
    </row>
    <row r="783" spans="1:8">
      <c r="A783" s="1"/>
      <c r="B783" s="1"/>
      <c r="C783" s="1"/>
      <c r="D783" s="1"/>
      <c r="E783" s="357">
        <v>44085</v>
      </c>
      <c r="F783" s="344" t="s">
        <v>628</v>
      </c>
      <c r="G783" s="358">
        <v>9.5181000000000004</v>
      </c>
      <c r="H783" s="344" t="s">
        <v>830</v>
      </c>
    </row>
    <row r="784" spans="1:8">
      <c r="A784" s="1"/>
      <c r="B784" s="1"/>
      <c r="C784" s="1"/>
      <c r="D784" s="1"/>
      <c r="E784" s="357">
        <v>44085</v>
      </c>
      <c r="F784" s="344" t="s">
        <v>631</v>
      </c>
      <c r="G784" s="358">
        <v>7.4396000000000004</v>
      </c>
      <c r="H784" s="344" t="s">
        <v>830</v>
      </c>
    </row>
    <row r="785" spans="1:8">
      <c r="A785" s="1"/>
      <c r="B785" s="1"/>
      <c r="C785" s="1"/>
      <c r="D785" s="1"/>
      <c r="E785" s="357">
        <v>44088</v>
      </c>
      <c r="F785" s="344" t="s">
        <v>621</v>
      </c>
      <c r="G785" s="358">
        <v>8.2078000000000007</v>
      </c>
      <c r="H785" s="344" t="s">
        <v>831</v>
      </c>
    </row>
    <row r="786" spans="1:8">
      <c r="A786" s="1"/>
      <c r="B786" s="1"/>
      <c r="C786" s="1"/>
      <c r="D786" s="1"/>
      <c r="E786" s="357">
        <v>44088</v>
      </c>
      <c r="F786" s="344" t="s">
        <v>625</v>
      </c>
      <c r="G786" s="358">
        <v>8.8580000000000005</v>
      </c>
      <c r="H786" s="344" t="s">
        <v>831</v>
      </c>
    </row>
    <row r="787" spans="1:8">
      <c r="A787" s="1"/>
      <c r="B787" s="1"/>
      <c r="C787" s="1"/>
      <c r="D787" s="1"/>
      <c r="E787" s="357">
        <v>44088</v>
      </c>
      <c r="F787" s="344" t="s">
        <v>628</v>
      </c>
      <c r="G787" s="358">
        <v>9.5837000000000003</v>
      </c>
      <c r="H787" s="344" t="s">
        <v>831</v>
      </c>
    </row>
    <row r="788" spans="1:8">
      <c r="A788" s="1"/>
      <c r="B788" s="1"/>
      <c r="C788" s="1"/>
      <c r="D788" s="1"/>
      <c r="E788" s="357">
        <v>44088</v>
      </c>
      <c r="F788" s="344" t="s">
        <v>631</v>
      </c>
      <c r="G788" s="358">
        <v>7.4688999999999997</v>
      </c>
      <c r="H788" s="344" t="s">
        <v>831</v>
      </c>
    </row>
    <row r="789" spans="1:8">
      <c r="A789" s="1"/>
      <c r="B789" s="1"/>
      <c r="C789" s="1"/>
      <c r="D789" s="1"/>
      <c r="E789" s="357">
        <v>44089</v>
      </c>
      <c r="F789" s="344" t="s">
        <v>621</v>
      </c>
      <c r="G789" s="358">
        <v>8.2200000000000006</v>
      </c>
      <c r="H789" s="344" t="s">
        <v>832</v>
      </c>
    </row>
    <row r="790" spans="1:8">
      <c r="A790" s="1"/>
      <c r="B790" s="1"/>
      <c r="C790" s="1"/>
      <c r="D790" s="1"/>
      <c r="E790" s="357">
        <v>44089</v>
      </c>
      <c r="F790" s="344" t="s">
        <v>625</v>
      </c>
      <c r="G790" s="358">
        <v>8.8758999999999997</v>
      </c>
      <c r="H790" s="344" t="s">
        <v>832</v>
      </c>
    </row>
    <row r="791" spans="1:8">
      <c r="A791" s="1"/>
      <c r="B791" s="1"/>
      <c r="C791" s="1"/>
      <c r="D791" s="1"/>
      <c r="E791" s="357">
        <v>44089</v>
      </c>
      <c r="F791" s="344" t="s">
        <v>628</v>
      </c>
      <c r="G791" s="358">
        <v>9.6083999999999996</v>
      </c>
      <c r="H791" s="344" t="s">
        <v>832</v>
      </c>
    </row>
    <row r="792" spans="1:8">
      <c r="A792" s="1"/>
      <c r="B792" s="1"/>
      <c r="C792" s="1"/>
      <c r="D792" s="1"/>
      <c r="E792" s="357">
        <v>44089</v>
      </c>
      <c r="F792" s="344" t="s">
        <v>631</v>
      </c>
      <c r="G792" s="358">
        <v>7.4668000000000001</v>
      </c>
      <c r="H792" s="344" t="s">
        <v>832</v>
      </c>
    </row>
    <row r="793" spans="1:8">
      <c r="A793" s="1"/>
      <c r="B793" s="1"/>
      <c r="C793" s="1"/>
      <c r="D793" s="1"/>
      <c r="E793" s="357">
        <v>44090</v>
      </c>
      <c r="F793" s="344" t="s">
        <v>621</v>
      </c>
      <c r="G793" s="358">
        <v>8.2178000000000004</v>
      </c>
      <c r="H793" s="344" t="s">
        <v>833</v>
      </c>
    </row>
    <row r="794" spans="1:8">
      <c r="A794" s="1"/>
      <c r="B794" s="1"/>
      <c r="C794" s="1"/>
      <c r="D794" s="1"/>
      <c r="E794" s="357">
        <v>44090</v>
      </c>
      <c r="F794" s="344" t="s">
        <v>625</v>
      </c>
      <c r="G794" s="358">
        <v>8.8605999999999998</v>
      </c>
      <c r="H794" s="344" t="s">
        <v>833</v>
      </c>
    </row>
    <row r="795" spans="1:8">
      <c r="A795" s="1"/>
      <c r="B795" s="1"/>
      <c r="C795" s="1"/>
      <c r="D795" s="1"/>
      <c r="E795" s="357">
        <v>44090</v>
      </c>
      <c r="F795" s="344" t="s">
        <v>628</v>
      </c>
      <c r="G795" s="358">
        <v>9.6405999999999992</v>
      </c>
      <c r="H795" s="344" t="s">
        <v>833</v>
      </c>
    </row>
    <row r="796" spans="1:8">
      <c r="A796" s="1"/>
      <c r="B796" s="1"/>
      <c r="C796" s="1"/>
      <c r="D796" s="1"/>
      <c r="E796" s="357">
        <v>44090</v>
      </c>
      <c r="F796" s="344" t="s">
        <v>631</v>
      </c>
      <c r="G796" s="358">
        <v>7.4678000000000004</v>
      </c>
      <c r="H796" s="344" t="s">
        <v>833</v>
      </c>
    </row>
    <row r="797" spans="1:8">
      <c r="A797" s="1"/>
      <c r="B797" s="1"/>
      <c r="C797" s="1"/>
      <c r="D797" s="1"/>
      <c r="E797" s="357">
        <v>44091</v>
      </c>
      <c r="F797" s="344" t="s">
        <v>621</v>
      </c>
      <c r="G797" s="358">
        <v>8.2288999999999994</v>
      </c>
      <c r="H797" s="344" t="s">
        <v>834</v>
      </c>
    </row>
    <row r="798" spans="1:8">
      <c r="A798" s="1"/>
      <c r="B798" s="1"/>
      <c r="C798" s="1"/>
      <c r="D798" s="1"/>
      <c r="E798" s="357">
        <v>44091</v>
      </c>
      <c r="F798" s="344" t="s">
        <v>625</v>
      </c>
      <c r="G798" s="358">
        <v>8.8648000000000007</v>
      </c>
      <c r="H798" s="344" t="s">
        <v>834</v>
      </c>
    </row>
    <row r="799" spans="1:8">
      <c r="A799" s="1"/>
      <c r="B799" s="1"/>
      <c r="C799" s="1"/>
      <c r="D799" s="1"/>
      <c r="E799" s="357">
        <v>44091</v>
      </c>
      <c r="F799" s="344" t="s">
        <v>628</v>
      </c>
      <c r="G799" s="358">
        <v>9.7158999999999995</v>
      </c>
      <c r="H799" s="344" t="s">
        <v>834</v>
      </c>
    </row>
    <row r="800" spans="1:8">
      <c r="A800" s="1"/>
      <c r="B800" s="1"/>
      <c r="C800" s="1"/>
      <c r="D800" s="1"/>
      <c r="E800" s="357">
        <v>44091</v>
      </c>
      <c r="F800" s="344" t="s">
        <v>631</v>
      </c>
      <c r="G800" s="358">
        <v>7.5152000000000001</v>
      </c>
      <c r="H800" s="344" t="s">
        <v>834</v>
      </c>
    </row>
    <row r="801" spans="1:8">
      <c r="A801" s="1"/>
      <c r="B801" s="1"/>
      <c r="C801" s="1"/>
      <c r="D801" s="1"/>
      <c r="E801" s="357">
        <v>44092</v>
      </c>
      <c r="F801" s="344" t="s">
        <v>621</v>
      </c>
      <c r="G801" s="358">
        <v>8.2720000000000002</v>
      </c>
      <c r="H801" s="344" t="s">
        <v>835</v>
      </c>
    </row>
    <row r="802" spans="1:8">
      <c r="A802" s="1"/>
      <c r="B802" s="1"/>
      <c r="C802" s="1"/>
      <c r="D802" s="1"/>
      <c r="E802" s="357">
        <v>44092</v>
      </c>
      <c r="F802" s="344" t="s">
        <v>625</v>
      </c>
      <c r="G802" s="358">
        <v>8.9295000000000009</v>
      </c>
      <c r="H802" s="344" t="s">
        <v>835</v>
      </c>
    </row>
    <row r="803" spans="1:8">
      <c r="A803" s="1"/>
      <c r="B803" s="1"/>
      <c r="C803" s="1"/>
      <c r="D803" s="1"/>
      <c r="E803" s="357">
        <v>44092</v>
      </c>
      <c r="F803" s="344" t="s">
        <v>628</v>
      </c>
      <c r="G803" s="358">
        <v>9.7600999999999996</v>
      </c>
      <c r="H803" s="344" t="s">
        <v>835</v>
      </c>
    </row>
    <row r="804" spans="1:8">
      <c r="A804" s="1"/>
      <c r="B804" s="1"/>
      <c r="C804" s="1"/>
      <c r="D804" s="1"/>
      <c r="E804" s="357">
        <v>44092</v>
      </c>
      <c r="F804" s="344" t="s">
        <v>631</v>
      </c>
      <c r="G804" s="358">
        <v>7.5343999999999998</v>
      </c>
      <c r="H804" s="344" t="s">
        <v>835</v>
      </c>
    </row>
    <row r="805" spans="1:8">
      <c r="A805" s="1"/>
      <c r="B805" s="1"/>
      <c r="C805" s="1"/>
      <c r="D805" s="1"/>
      <c r="E805" s="357">
        <v>44095</v>
      </c>
      <c r="F805" s="344" t="s">
        <v>621</v>
      </c>
      <c r="G805" s="358">
        <v>8.2777999999999992</v>
      </c>
      <c r="H805" s="344" t="s">
        <v>836</v>
      </c>
    </row>
    <row r="806" spans="1:8">
      <c r="A806" s="1"/>
      <c r="B806" s="1"/>
      <c r="C806" s="1"/>
      <c r="D806" s="1"/>
      <c r="E806" s="357">
        <v>44095</v>
      </c>
      <c r="F806" s="344" t="s">
        <v>625</v>
      </c>
      <c r="G806" s="358">
        <v>8.9429999999999996</v>
      </c>
      <c r="H806" s="344" t="s">
        <v>836</v>
      </c>
    </row>
    <row r="807" spans="1:8">
      <c r="A807" s="1"/>
      <c r="B807" s="1"/>
      <c r="C807" s="1"/>
      <c r="D807" s="1"/>
      <c r="E807" s="357">
        <v>44095</v>
      </c>
      <c r="F807" s="344" t="s">
        <v>628</v>
      </c>
      <c r="G807" s="358">
        <v>9.7362000000000002</v>
      </c>
      <c r="H807" s="344" t="s">
        <v>836</v>
      </c>
    </row>
    <row r="808" spans="1:8">
      <c r="A808" s="1"/>
      <c r="B808" s="1"/>
      <c r="C808" s="1"/>
      <c r="D808" s="1"/>
      <c r="E808" s="357">
        <v>44095</v>
      </c>
      <c r="F808" s="344" t="s">
        <v>631</v>
      </c>
      <c r="G808" s="358">
        <v>7.5720000000000001</v>
      </c>
      <c r="H808" s="344" t="s">
        <v>836</v>
      </c>
    </row>
    <row r="809" spans="1:8">
      <c r="A809" s="1"/>
      <c r="B809" s="1"/>
      <c r="C809" s="1"/>
      <c r="D809" s="1"/>
      <c r="E809" s="357">
        <v>44096</v>
      </c>
      <c r="F809" s="344" t="s">
        <v>621</v>
      </c>
      <c r="G809" s="358">
        <v>8.3071999999999999</v>
      </c>
      <c r="H809" s="344" t="s">
        <v>837</v>
      </c>
    </row>
    <row r="810" spans="1:8">
      <c r="A810" s="1"/>
      <c r="B810" s="1"/>
      <c r="C810" s="1"/>
      <c r="D810" s="1"/>
      <c r="E810" s="357">
        <v>44096</v>
      </c>
      <c r="F810" s="344" t="s">
        <v>625</v>
      </c>
      <c r="G810" s="358">
        <v>8.9552999999999994</v>
      </c>
      <c r="H810" s="344" t="s">
        <v>837</v>
      </c>
    </row>
    <row r="811" spans="1:8">
      <c r="A811" s="1"/>
      <c r="B811" s="1"/>
      <c r="C811" s="1"/>
      <c r="D811" s="1"/>
      <c r="E811" s="357">
        <v>44096</v>
      </c>
      <c r="F811" s="344" t="s">
        <v>628</v>
      </c>
      <c r="G811" s="358">
        <v>9.7466000000000008</v>
      </c>
      <c r="H811" s="344" t="s">
        <v>837</v>
      </c>
    </row>
    <row r="812" spans="1:8">
      <c r="A812" s="1"/>
      <c r="B812" s="1"/>
      <c r="C812" s="1"/>
      <c r="D812" s="1"/>
      <c r="E812" s="357">
        <v>44096</v>
      </c>
      <c r="F812" s="344" t="s">
        <v>631</v>
      </c>
      <c r="G812" s="358">
        <v>7.6250999999999998</v>
      </c>
      <c r="H812" s="344" t="s">
        <v>837</v>
      </c>
    </row>
    <row r="813" spans="1:8">
      <c r="A813" s="1"/>
      <c r="B813" s="1"/>
      <c r="C813" s="1"/>
      <c r="D813" s="1"/>
      <c r="E813" s="357">
        <v>44097</v>
      </c>
      <c r="F813" s="344" t="s">
        <v>621</v>
      </c>
      <c r="G813" s="358">
        <v>8.3007000000000009</v>
      </c>
      <c r="H813" s="344" t="s">
        <v>838</v>
      </c>
    </row>
    <row r="814" spans="1:8">
      <c r="A814" s="1"/>
      <c r="B814" s="1"/>
      <c r="C814" s="1"/>
      <c r="D814" s="1"/>
      <c r="E814" s="357">
        <v>44097</v>
      </c>
      <c r="F814" s="344" t="s">
        <v>625</v>
      </c>
      <c r="G814" s="358">
        <v>8.9589999999999996</v>
      </c>
      <c r="H814" s="344" t="s">
        <v>838</v>
      </c>
    </row>
    <row r="815" spans="1:8">
      <c r="A815" s="1"/>
      <c r="B815" s="1"/>
      <c r="C815" s="1"/>
      <c r="D815" s="1"/>
      <c r="E815" s="357">
        <v>44097</v>
      </c>
      <c r="F815" s="344" t="s">
        <v>628</v>
      </c>
      <c r="G815" s="358">
        <v>9.7185000000000006</v>
      </c>
      <c r="H815" s="344" t="s">
        <v>838</v>
      </c>
    </row>
    <row r="816" spans="1:8">
      <c r="A816" s="1"/>
      <c r="B816" s="1"/>
      <c r="C816" s="1"/>
      <c r="D816" s="1"/>
      <c r="E816" s="357">
        <v>44097</v>
      </c>
      <c r="F816" s="344" t="s">
        <v>631</v>
      </c>
      <c r="G816" s="358">
        <v>7.657</v>
      </c>
      <c r="H816" s="344" t="s">
        <v>838</v>
      </c>
    </row>
    <row r="817" spans="1:8">
      <c r="A817" s="1"/>
      <c r="B817" s="1"/>
      <c r="C817" s="1"/>
      <c r="D817" s="1"/>
      <c r="E817" s="357">
        <v>44098</v>
      </c>
      <c r="F817" s="344" t="s">
        <v>621</v>
      </c>
      <c r="G817" s="358">
        <v>8.2654999999999994</v>
      </c>
      <c r="H817" s="344" t="s">
        <v>839</v>
      </c>
    </row>
    <row r="818" spans="1:8">
      <c r="A818" s="1"/>
      <c r="B818" s="1"/>
      <c r="C818" s="1"/>
      <c r="D818" s="1"/>
      <c r="E818" s="357">
        <v>44098</v>
      </c>
      <c r="F818" s="344" t="s">
        <v>625</v>
      </c>
      <c r="G818" s="358">
        <v>8.9276999999999997</v>
      </c>
      <c r="H818" s="344" t="s">
        <v>839</v>
      </c>
    </row>
    <row r="819" spans="1:8">
      <c r="A819" s="1"/>
      <c r="B819" s="1"/>
      <c r="C819" s="1"/>
      <c r="D819" s="1"/>
      <c r="E819" s="357">
        <v>44098</v>
      </c>
      <c r="F819" s="344" t="s">
        <v>628</v>
      </c>
      <c r="G819" s="358">
        <v>9.7418999999999993</v>
      </c>
      <c r="H819" s="344" t="s">
        <v>839</v>
      </c>
    </row>
    <row r="820" spans="1:8">
      <c r="A820" s="1"/>
      <c r="B820" s="1"/>
      <c r="C820" s="1"/>
      <c r="D820" s="1"/>
      <c r="E820" s="357">
        <v>44098</v>
      </c>
      <c r="F820" s="344" t="s">
        <v>631</v>
      </c>
      <c r="G820" s="358">
        <v>7.6630000000000003</v>
      </c>
      <c r="H820" s="344" t="s">
        <v>839</v>
      </c>
    </row>
    <row r="821" spans="1:8">
      <c r="A821" s="1"/>
      <c r="B821" s="1"/>
      <c r="C821" s="1"/>
      <c r="D821" s="1"/>
      <c r="E821" s="357">
        <v>44099</v>
      </c>
      <c r="F821" s="344" t="s">
        <v>621</v>
      </c>
      <c r="G821" s="358">
        <v>8.1313999999999993</v>
      </c>
      <c r="H821" s="344" t="s">
        <v>840</v>
      </c>
    </row>
    <row r="822" spans="1:8">
      <c r="A822" s="1"/>
      <c r="B822" s="1"/>
      <c r="C822" s="1"/>
      <c r="D822" s="1"/>
      <c r="E822" s="357">
        <v>44099</v>
      </c>
      <c r="F822" s="344" t="s">
        <v>625</v>
      </c>
      <c r="G822" s="358">
        <v>8.8049999999999997</v>
      </c>
      <c r="H822" s="344" t="s">
        <v>840</v>
      </c>
    </row>
    <row r="823" spans="1:8">
      <c r="A823" s="1"/>
      <c r="B823" s="1"/>
      <c r="C823" s="1"/>
      <c r="D823" s="1"/>
      <c r="E823" s="357">
        <v>44099</v>
      </c>
      <c r="F823" s="344" t="s">
        <v>628</v>
      </c>
      <c r="G823" s="358">
        <v>9.6166</v>
      </c>
      <c r="H823" s="344" t="s">
        <v>840</v>
      </c>
    </row>
    <row r="824" spans="1:8">
      <c r="A824" s="1"/>
      <c r="B824" s="1"/>
      <c r="C824" s="1"/>
      <c r="D824" s="1"/>
      <c r="E824" s="357">
        <v>44099</v>
      </c>
      <c r="F824" s="344" t="s">
        <v>631</v>
      </c>
      <c r="G824" s="358">
        <v>7.5545999999999998</v>
      </c>
      <c r="H824" s="344" t="s">
        <v>840</v>
      </c>
    </row>
    <row r="825" spans="1:8">
      <c r="A825" s="1"/>
      <c r="B825" s="1"/>
      <c r="C825" s="1"/>
      <c r="D825" s="1"/>
      <c r="E825" s="357">
        <v>44102</v>
      </c>
      <c r="F825" s="344" t="s">
        <v>621</v>
      </c>
      <c r="G825" s="358">
        <v>8.3389000000000006</v>
      </c>
      <c r="H825" s="344" t="s">
        <v>841</v>
      </c>
    </row>
    <row r="826" spans="1:8">
      <c r="A826" s="1"/>
      <c r="B826" s="1"/>
      <c r="C826" s="1"/>
      <c r="D826" s="1"/>
      <c r="E826" s="357">
        <v>44102</v>
      </c>
      <c r="F826" s="344" t="s">
        <v>625</v>
      </c>
      <c r="G826" s="358">
        <v>9.0267999999999997</v>
      </c>
      <c r="H826" s="344" t="s">
        <v>841</v>
      </c>
    </row>
    <row r="827" spans="1:8">
      <c r="A827" s="1"/>
      <c r="B827" s="1"/>
      <c r="C827" s="1"/>
      <c r="D827" s="1"/>
      <c r="E827" s="357">
        <v>44102</v>
      </c>
      <c r="F827" s="344" t="s">
        <v>628</v>
      </c>
      <c r="G827" s="358">
        <v>9.9373000000000005</v>
      </c>
      <c r="H827" s="344" t="s">
        <v>841</v>
      </c>
    </row>
    <row r="828" spans="1:8">
      <c r="A828" s="1"/>
      <c r="B828" s="1"/>
      <c r="C828" s="1"/>
      <c r="D828" s="1"/>
      <c r="E828" s="357">
        <v>44102</v>
      </c>
      <c r="F828" s="344" t="s">
        <v>631</v>
      </c>
      <c r="G828" s="358">
        <v>7.7507000000000001</v>
      </c>
      <c r="H828" s="344" t="s">
        <v>841</v>
      </c>
    </row>
    <row r="829" spans="1:8">
      <c r="A829" s="1"/>
      <c r="B829" s="1"/>
      <c r="C829" s="1"/>
      <c r="D829" s="1"/>
      <c r="E829" s="357">
        <v>44103</v>
      </c>
      <c r="F829" s="344" t="s">
        <v>621</v>
      </c>
      <c r="G829" s="358">
        <v>8.4413</v>
      </c>
      <c r="H829" s="344" t="s">
        <v>842</v>
      </c>
    </row>
    <row r="830" spans="1:8">
      <c r="A830" s="1"/>
      <c r="B830" s="1"/>
      <c r="C830" s="1"/>
      <c r="D830" s="1"/>
      <c r="E830" s="357">
        <v>44103</v>
      </c>
      <c r="F830" s="344" t="s">
        <v>625</v>
      </c>
      <c r="G830" s="358">
        <v>9.1280999999999999</v>
      </c>
      <c r="H830" s="344" t="s">
        <v>842</v>
      </c>
    </row>
    <row r="831" spans="1:8">
      <c r="A831" s="1"/>
      <c r="B831" s="1"/>
      <c r="C831" s="1"/>
      <c r="D831" s="1"/>
      <c r="E831" s="357">
        <v>44103</v>
      </c>
      <c r="F831" s="344" t="s">
        <v>628</v>
      </c>
      <c r="G831" s="358">
        <v>10.030900000000001</v>
      </c>
      <c r="H831" s="344" t="s">
        <v>842</v>
      </c>
    </row>
    <row r="832" spans="1:8">
      <c r="A832" s="1"/>
      <c r="B832" s="1"/>
      <c r="C832" s="1"/>
      <c r="D832" s="1"/>
      <c r="E832" s="357">
        <v>44103</v>
      </c>
      <c r="F832" s="344" t="s">
        <v>631</v>
      </c>
      <c r="G832" s="358">
        <v>7.8079999999999998</v>
      </c>
      <c r="H832" s="344" t="s">
        <v>842</v>
      </c>
    </row>
    <row r="833" spans="1:8">
      <c r="A833" s="1"/>
      <c r="B833" s="1"/>
      <c r="C833" s="1"/>
      <c r="D833" s="1"/>
      <c r="E833" s="357">
        <v>44104</v>
      </c>
      <c r="F833" s="344" t="s">
        <v>621</v>
      </c>
      <c r="G833" s="358">
        <v>8.3847000000000005</v>
      </c>
      <c r="H833" s="344" t="s">
        <v>843</v>
      </c>
    </row>
    <row r="834" spans="1:8">
      <c r="A834" s="1"/>
      <c r="B834" s="1"/>
      <c r="C834" s="1"/>
      <c r="D834" s="1"/>
      <c r="E834" s="357">
        <v>44104</v>
      </c>
      <c r="F834" s="344" t="s">
        <v>625</v>
      </c>
      <c r="G834" s="358">
        <v>9.0835000000000008</v>
      </c>
      <c r="H834" s="344" t="s">
        <v>843</v>
      </c>
    </row>
    <row r="835" spans="1:8">
      <c r="A835" s="1"/>
      <c r="B835" s="1"/>
      <c r="C835" s="1"/>
      <c r="D835" s="1"/>
      <c r="E835" s="357">
        <v>44104</v>
      </c>
      <c r="F835" s="344" t="s">
        <v>628</v>
      </c>
      <c r="G835" s="358">
        <v>9.9276</v>
      </c>
      <c r="H835" s="344" t="s">
        <v>843</v>
      </c>
    </row>
    <row r="836" spans="1:8">
      <c r="A836" s="1"/>
      <c r="B836" s="1"/>
      <c r="C836" s="1"/>
      <c r="D836" s="1"/>
      <c r="E836" s="357">
        <v>44104</v>
      </c>
      <c r="F836" s="344" t="s">
        <v>631</v>
      </c>
      <c r="G836" s="358">
        <v>7.7522000000000002</v>
      </c>
      <c r="H836" s="344" t="s">
        <v>843</v>
      </c>
    </row>
    <row r="837" spans="1:8">
      <c r="A837" s="1"/>
      <c r="B837" s="1"/>
      <c r="C837" s="1"/>
      <c r="D837" s="1"/>
      <c r="E837" s="357">
        <v>44105</v>
      </c>
      <c r="F837" s="344" t="s">
        <v>621</v>
      </c>
      <c r="G837" s="358">
        <v>8.3587000000000007</v>
      </c>
      <c r="H837" s="344" t="s">
        <v>844</v>
      </c>
    </row>
    <row r="838" spans="1:8">
      <c r="A838" s="1"/>
      <c r="B838" s="1"/>
      <c r="C838" s="1"/>
      <c r="D838" s="1"/>
      <c r="E838" s="357">
        <v>44105</v>
      </c>
      <c r="F838" s="344" t="s">
        <v>625</v>
      </c>
      <c r="G838" s="358">
        <v>9.0375999999999994</v>
      </c>
      <c r="H838" s="344" t="s">
        <v>844</v>
      </c>
    </row>
    <row r="839" spans="1:8">
      <c r="A839" s="1"/>
      <c r="B839" s="1"/>
      <c r="C839" s="1"/>
      <c r="D839" s="1"/>
      <c r="E839" s="357">
        <v>44105</v>
      </c>
      <c r="F839" s="344" t="s">
        <v>628</v>
      </c>
      <c r="G839" s="358">
        <v>9.8975000000000009</v>
      </c>
      <c r="H839" s="344" t="s">
        <v>844</v>
      </c>
    </row>
    <row r="840" spans="1:8">
      <c r="A840" s="1"/>
      <c r="B840" s="1"/>
      <c r="C840" s="1"/>
      <c r="D840" s="1"/>
      <c r="E840" s="357">
        <v>44105</v>
      </c>
      <c r="F840" s="344" t="s">
        <v>631</v>
      </c>
      <c r="G840" s="358">
        <v>7.6946000000000003</v>
      </c>
      <c r="H840" s="344" t="s">
        <v>844</v>
      </c>
    </row>
    <row r="841" spans="1:8">
      <c r="A841" s="1"/>
      <c r="B841" s="1"/>
      <c r="C841" s="1"/>
      <c r="D841" s="1"/>
      <c r="E841" s="357">
        <v>44106</v>
      </c>
      <c r="F841" s="344" t="s">
        <v>621</v>
      </c>
      <c r="G841" s="358">
        <v>8.3782999999999994</v>
      </c>
      <c r="H841" s="344" t="s">
        <v>845</v>
      </c>
    </row>
    <row r="842" spans="1:8">
      <c r="A842" s="1"/>
      <c r="B842" s="1"/>
      <c r="C842" s="1"/>
      <c r="D842" s="1"/>
      <c r="E842" s="357">
        <v>44106</v>
      </c>
      <c r="F842" s="344" t="s">
        <v>625</v>
      </c>
      <c r="G842" s="358">
        <v>9.0597999999999992</v>
      </c>
      <c r="H842" s="344" t="s">
        <v>845</v>
      </c>
    </row>
    <row r="843" spans="1:8">
      <c r="A843" s="1"/>
      <c r="B843" s="1"/>
      <c r="C843" s="1"/>
      <c r="D843" s="1"/>
      <c r="E843" s="357">
        <v>44106</v>
      </c>
      <c r="F843" s="344" t="s">
        <v>628</v>
      </c>
      <c r="G843" s="358">
        <v>9.9673999999999996</v>
      </c>
      <c r="H843" s="344" t="s">
        <v>845</v>
      </c>
    </row>
    <row r="844" spans="1:8">
      <c r="A844" s="1"/>
      <c r="B844" s="1"/>
      <c r="C844" s="1"/>
      <c r="D844" s="1"/>
      <c r="E844" s="357">
        <v>44106</v>
      </c>
      <c r="F844" s="344" t="s">
        <v>631</v>
      </c>
      <c r="G844" s="358">
        <v>7.7287999999999997</v>
      </c>
      <c r="H844" s="344" t="s">
        <v>845</v>
      </c>
    </row>
    <row r="845" spans="1:8">
      <c r="A845" s="1"/>
      <c r="B845" s="1"/>
      <c r="C845" s="1"/>
      <c r="D845" s="1"/>
      <c r="E845" s="357">
        <v>44109</v>
      </c>
      <c r="F845" s="344" t="s">
        <v>621</v>
      </c>
      <c r="G845" s="358">
        <v>8.4116999999999997</v>
      </c>
      <c r="H845" s="344" t="s">
        <v>846</v>
      </c>
    </row>
    <row r="846" spans="1:8">
      <c r="A846" s="1"/>
      <c r="B846" s="1"/>
      <c r="C846" s="1"/>
      <c r="D846" s="1"/>
      <c r="E846" s="357">
        <v>44109</v>
      </c>
      <c r="F846" s="344" t="s">
        <v>625</v>
      </c>
      <c r="G846" s="358">
        <v>9.0815000000000001</v>
      </c>
      <c r="H846" s="344" t="s">
        <v>846</v>
      </c>
    </row>
    <row r="847" spans="1:8">
      <c r="A847" s="1"/>
      <c r="B847" s="1"/>
      <c r="C847" s="1"/>
      <c r="D847" s="1"/>
      <c r="E847" s="357">
        <v>44109</v>
      </c>
      <c r="F847" s="344" t="s">
        <v>628</v>
      </c>
      <c r="G847" s="358">
        <v>9.9882000000000009</v>
      </c>
      <c r="H847" s="344" t="s">
        <v>846</v>
      </c>
    </row>
    <row r="848" spans="1:8">
      <c r="A848" s="1"/>
      <c r="B848" s="1"/>
      <c r="C848" s="1"/>
      <c r="D848" s="1"/>
      <c r="E848" s="357">
        <v>44109</v>
      </c>
      <c r="F848" s="344" t="s">
        <v>631</v>
      </c>
      <c r="G848" s="358">
        <v>7.7306999999999997</v>
      </c>
      <c r="H848" s="344" t="s">
        <v>846</v>
      </c>
    </row>
    <row r="849" spans="1:8">
      <c r="A849" s="1"/>
      <c r="B849" s="1"/>
      <c r="C849" s="1"/>
      <c r="D849" s="1"/>
      <c r="E849" s="357">
        <v>44110</v>
      </c>
      <c r="F849" s="344" t="s">
        <v>621</v>
      </c>
      <c r="G849" s="358">
        <v>8.4483999999999995</v>
      </c>
      <c r="H849" s="344" t="s">
        <v>847</v>
      </c>
    </row>
    <row r="850" spans="1:8">
      <c r="A850" s="1"/>
      <c r="B850" s="1"/>
      <c r="C850" s="1"/>
      <c r="D850" s="1"/>
      <c r="E850" s="357">
        <v>44110</v>
      </c>
      <c r="F850" s="344" t="s">
        <v>625</v>
      </c>
      <c r="G850" s="358">
        <v>9.1257000000000001</v>
      </c>
      <c r="H850" s="344" t="s">
        <v>847</v>
      </c>
    </row>
    <row r="851" spans="1:8">
      <c r="A851" s="1"/>
      <c r="B851" s="1"/>
      <c r="C851" s="1"/>
      <c r="D851" s="1"/>
      <c r="E851" s="357">
        <v>44110</v>
      </c>
      <c r="F851" s="344" t="s">
        <v>628</v>
      </c>
      <c r="G851" s="358">
        <v>10.027799999999999</v>
      </c>
      <c r="H851" s="344" t="s">
        <v>847</v>
      </c>
    </row>
    <row r="852" spans="1:8">
      <c r="A852" s="1"/>
      <c r="B852" s="1"/>
      <c r="C852" s="1"/>
      <c r="D852" s="1"/>
      <c r="E852" s="357">
        <v>44110</v>
      </c>
      <c r="F852" s="344" t="s">
        <v>631</v>
      </c>
      <c r="G852" s="358">
        <v>7.7451999999999996</v>
      </c>
      <c r="H852" s="344" t="s">
        <v>847</v>
      </c>
    </row>
    <row r="853" spans="1:8">
      <c r="A853" s="1"/>
      <c r="B853" s="1"/>
      <c r="C853" s="1"/>
      <c r="D853" s="1"/>
      <c r="E853" s="357">
        <v>44111</v>
      </c>
      <c r="F853" s="344" t="s">
        <v>621</v>
      </c>
      <c r="G853" s="358">
        <v>8.5152000000000001</v>
      </c>
      <c r="H853" s="344" t="s">
        <v>848</v>
      </c>
    </row>
    <row r="854" spans="1:8">
      <c r="A854" s="1"/>
      <c r="B854" s="1"/>
      <c r="C854" s="1"/>
      <c r="D854" s="1"/>
      <c r="E854" s="357">
        <v>44111</v>
      </c>
      <c r="F854" s="344" t="s">
        <v>625</v>
      </c>
      <c r="G854" s="358">
        <v>9.2058</v>
      </c>
      <c r="H854" s="344" t="s">
        <v>848</v>
      </c>
    </row>
    <row r="855" spans="1:8">
      <c r="A855" s="1"/>
      <c r="B855" s="1"/>
      <c r="C855" s="1"/>
      <c r="D855" s="1"/>
      <c r="E855" s="357">
        <v>44111</v>
      </c>
      <c r="F855" s="344" t="s">
        <v>628</v>
      </c>
      <c r="G855" s="358">
        <v>10.0748</v>
      </c>
      <c r="H855" s="344" t="s">
        <v>848</v>
      </c>
    </row>
    <row r="856" spans="1:8">
      <c r="A856" s="1"/>
      <c r="B856" s="1"/>
      <c r="C856" s="1"/>
      <c r="D856" s="1"/>
      <c r="E856" s="357">
        <v>44111</v>
      </c>
      <c r="F856" s="344" t="s">
        <v>631</v>
      </c>
      <c r="G856" s="358">
        <v>7.8266999999999998</v>
      </c>
      <c r="H856" s="344" t="s">
        <v>848</v>
      </c>
    </row>
    <row r="857" spans="1:8">
      <c r="A857" s="1"/>
      <c r="B857" s="1"/>
      <c r="C857" s="1"/>
      <c r="D857" s="1"/>
      <c r="E857" s="357">
        <v>44112</v>
      </c>
      <c r="F857" s="344" t="s">
        <v>621</v>
      </c>
      <c r="G857" s="358">
        <v>8.5837000000000003</v>
      </c>
      <c r="H857" s="344" t="s">
        <v>849</v>
      </c>
    </row>
    <row r="858" spans="1:8">
      <c r="A858" s="1"/>
      <c r="B858" s="1"/>
      <c r="C858" s="1"/>
      <c r="D858" s="1"/>
      <c r="E858" s="357">
        <v>44112</v>
      </c>
      <c r="F858" s="344" t="s">
        <v>625</v>
      </c>
      <c r="G858" s="358">
        <v>9.2858999999999998</v>
      </c>
      <c r="H858" s="344" t="s">
        <v>849</v>
      </c>
    </row>
    <row r="859" spans="1:8">
      <c r="A859" s="1"/>
      <c r="B859" s="1"/>
      <c r="C859" s="1"/>
      <c r="D859" s="1"/>
      <c r="E859" s="357">
        <v>44112</v>
      </c>
      <c r="F859" s="344" t="s">
        <v>628</v>
      </c>
      <c r="G859" s="358">
        <v>10.186400000000001</v>
      </c>
      <c r="H859" s="344" t="s">
        <v>849</v>
      </c>
    </row>
    <row r="860" spans="1:8">
      <c r="A860" s="1"/>
      <c r="B860" s="1"/>
      <c r="C860" s="1"/>
      <c r="D860" s="1"/>
      <c r="E860" s="357">
        <v>44112</v>
      </c>
      <c r="F860" s="344" t="s">
        <v>631</v>
      </c>
      <c r="G860" s="358">
        <v>7.8930999999999996</v>
      </c>
      <c r="H860" s="344" t="s">
        <v>849</v>
      </c>
    </row>
    <row r="861" spans="1:8">
      <c r="A861" s="1"/>
      <c r="B861" s="1"/>
      <c r="C861" s="1"/>
      <c r="D861" s="1"/>
      <c r="E861" s="357">
        <v>44113</v>
      </c>
      <c r="F861" s="344" t="s">
        <v>621</v>
      </c>
      <c r="G861" s="358">
        <v>8.6342999999999996</v>
      </c>
      <c r="H861" s="344" t="s">
        <v>850</v>
      </c>
    </row>
    <row r="862" spans="1:8">
      <c r="A862" s="1"/>
      <c r="B862" s="1"/>
      <c r="C862" s="1"/>
      <c r="D862" s="1"/>
      <c r="E862" s="357">
        <v>44113</v>
      </c>
      <c r="F862" s="344" t="s">
        <v>625</v>
      </c>
      <c r="G862" s="358">
        <v>9.3241999999999994</v>
      </c>
      <c r="H862" s="344" t="s">
        <v>850</v>
      </c>
    </row>
    <row r="863" spans="1:8">
      <c r="A863" s="1"/>
      <c r="B863" s="1"/>
      <c r="C863" s="1"/>
      <c r="D863" s="1"/>
      <c r="E863" s="357">
        <v>44113</v>
      </c>
      <c r="F863" s="344" t="s">
        <v>628</v>
      </c>
      <c r="G863" s="358">
        <v>10.221</v>
      </c>
      <c r="H863" s="344" t="s">
        <v>850</v>
      </c>
    </row>
    <row r="864" spans="1:8">
      <c r="A864" s="1"/>
      <c r="B864" s="1"/>
      <c r="C864" s="1"/>
      <c r="D864" s="1"/>
      <c r="E864" s="357">
        <v>44113</v>
      </c>
      <c r="F864" s="344" t="s">
        <v>631</v>
      </c>
      <c r="G864" s="358">
        <v>7.9071999999999996</v>
      </c>
      <c r="H864" s="344" t="s">
        <v>850</v>
      </c>
    </row>
    <row r="865" spans="1:8">
      <c r="A865" s="1"/>
      <c r="B865" s="1"/>
      <c r="C865" s="1"/>
      <c r="D865" s="1"/>
      <c r="E865" s="357">
        <v>44116</v>
      </c>
      <c r="F865" s="344" t="s">
        <v>621</v>
      </c>
      <c r="G865" s="358">
        <v>8.6164000000000005</v>
      </c>
      <c r="H865" s="344" t="s">
        <v>851</v>
      </c>
    </row>
    <row r="866" spans="1:8">
      <c r="A866" s="1"/>
      <c r="B866" s="1"/>
      <c r="C866" s="1"/>
      <c r="D866" s="1"/>
      <c r="E866" s="357">
        <v>44116</v>
      </c>
      <c r="F866" s="344" t="s">
        <v>625</v>
      </c>
      <c r="G866" s="358">
        <v>9.2888999999999999</v>
      </c>
      <c r="H866" s="344" t="s">
        <v>851</v>
      </c>
    </row>
    <row r="867" spans="1:8">
      <c r="A867" s="1"/>
      <c r="B867" s="1"/>
      <c r="C867" s="1"/>
      <c r="D867" s="1"/>
      <c r="E867" s="357">
        <v>44116</v>
      </c>
      <c r="F867" s="344" t="s">
        <v>628</v>
      </c>
      <c r="G867" s="358">
        <v>10.230700000000001</v>
      </c>
      <c r="H867" s="344" t="s">
        <v>851</v>
      </c>
    </row>
    <row r="868" spans="1:8">
      <c r="A868" s="1"/>
      <c r="B868" s="1"/>
      <c r="C868" s="1"/>
      <c r="D868" s="1"/>
      <c r="E868" s="357">
        <v>44116</v>
      </c>
      <c r="F868" s="344" t="s">
        <v>631</v>
      </c>
      <c r="G868" s="358">
        <v>7.8673000000000002</v>
      </c>
      <c r="H868" s="344" t="s">
        <v>851</v>
      </c>
    </row>
    <row r="869" spans="1:8">
      <c r="A869" s="1"/>
      <c r="B869" s="1"/>
      <c r="C869" s="1"/>
      <c r="D869" s="1"/>
      <c r="E869" s="357">
        <v>44117</v>
      </c>
      <c r="F869" s="344" t="s">
        <v>621</v>
      </c>
      <c r="G869" s="358">
        <v>8.6309000000000005</v>
      </c>
      <c r="H869" s="344" t="s">
        <v>852</v>
      </c>
    </row>
    <row r="870" spans="1:8">
      <c r="A870" s="1"/>
      <c r="B870" s="1"/>
      <c r="C870" s="1"/>
      <c r="D870" s="1"/>
      <c r="E870" s="357">
        <v>44117</v>
      </c>
      <c r="F870" s="344" t="s">
        <v>625</v>
      </c>
      <c r="G870" s="358">
        <v>9.2866</v>
      </c>
      <c r="H870" s="344" t="s">
        <v>852</v>
      </c>
    </row>
    <row r="871" spans="1:8">
      <c r="A871" s="1"/>
      <c r="B871" s="1"/>
      <c r="C871" s="1"/>
      <c r="D871" s="1"/>
      <c r="E871" s="357">
        <v>44117</v>
      </c>
      <c r="F871" s="344" t="s">
        <v>628</v>
      </c>
      <c r="G871" s="358">
        <v>10.258599999999999</v>
      </c>
      <c r="H871" s="344" t="s">
        <v>852</v>
      </c>
    </row>
    <row r="872" spans="1:8">
      <c r="A872" s="1"/>
      <c r="B872" s="1"/>
      <c r="C872" s="1"/>
      <c r="D872" s="1"/>
      <c r="E872" s="357">
        <v>44117</v>
      </c>
      <c r="F872" s="344" t="s">
        <v>631</v>
      </c>
      <c r="G872" s="358">
        <v>7.8777999999999997</v>
      </c>
      <c r="H872" s="344" t="s">
        <v>852</v>
      </c>
    </row>
    <row r="873" spans="1:8">
      <c r="A873" s="1"/>
      <c r="B873" s="1"/>
      <c r="C873" s="1"/>
      <c r="D873" s="1"/>
      <c r="E873" s="357">
        <v>44118</v>
      </c>
      <c r="F873" s="344" t="s">
        <v>621</v>
      </c>
      <c r="G873" s="358">
        <v>8.6418999999999997</v>
      </c>
      <c r="H873" s="344" t="s">
        <v>853</v>
      </c>
    </row>
    <row r="874" spans="1:8">
      <c r="A874" s="1"/>
      <c r="B874" s="1"/>
      <c r="C874" s="1"/>
      <c r="D874" s="1"/>
      <c r="E874" s="357">
        <v>44118</v>
      </c>
      <c r="F874" s="344" t="s">
        <v>625</v>
      </c>
      <c r="G874" s="358">
        <v>9.2986000000000004</v>
      </c>
      <c r="H874" s="344" t="s">
        <v>853</v>
      </c>
    </row>
    <row r="875" spans="1:8">
      <c r="A875" s="1"/>
      <c r="B875" s="1"/>
      <c r="C875" s="1"/>
      <c r="D875" s="1"/>
      <c r="E875" s="357">
        <v>44118</v>
      </c>
      <c r="F875" s="344" t="s">
        <v>628</v>
      </c>
      <c r="G875" s="358">
        <v>10.220800000000001</v>
      </c>
      <c r="H875" s="344" t="s">
        <v>853</v>
      </c>
    </row>
    <row r="876" spans="1:8">
      <c r="A876" s="1"/>
      <c r="B876" s="1"/>
      <c r="C876" s="1"/>
      <c r="D876" s="1"/>
      <c r="E876" s="357">
        <v>44118</v>
      </c>
      <c r="F876" s="344" t="s">
        <v>631</v>
      </c>
      <c r="G876" s="358">
        <v>7.9204999999999997</v>
      </c>
      <c r="H876" s="344" t="s">
        <v>853</v>
      </c>
    </row>
    <row r="877" spans="1:8">
      <c r="A877" s="1"/>
      <c r="B877" s="1"/>
      <c r="C877" s="1"/>
      <c r="D877" s="1"/>
      <c r="E877" s="357">
        <v>44119</v>
      </c>
      <c r="F877" s="344" t="s">
        <v>621</v>
      </c>
      <c r="G877" s="358">
        <v>8.6347000000000005</v>
      </c>
      <c r="H877" s="344" t="s">
        <v>854</v>
      </c>
    </row>
    <row r="878" spans="1:8">
      <c r="A878" s="1"/>
      <c r="B878" s="1"/>
      <c r="C878" s="1"/>
      <c r="D878" s="1"/>
      <c r="E878" s="357">
        <v>44119</v>
      </c>
      <c r="F878" s="344" t="s">
        <v>625</v>
      </c>
      <c r="G878" s="358">
        <v>9.2723999999999993</v>
      </c>
      <c r="H878" s="344" t="s">
        <v>854</v>
      </c>
    </row>
    <row r="879" spans="1:8">
      <c r="A879" s="1"/>
      <c r="B879" s="1"/>
      <c r="C879" s="1"/>
      <c r="D879" s="1"/>
      <c r="E879" s="357">
        <v>44119</v>
      </c>
      <c r="F879" s="344" t="s">
        <v>628</v>
      </c>
      <c r="G879" s="358">
        <v>10.2416</v>
      </c>
      <c r="H879" s="344" t="s">
        <v>854</v>
      </c>
    </row>
    <row r="880" spans="1:8">
      <c r="A880" s="1"/>
      <c r="B880" s="1"/>
      <c r="C880" s="1"/>
      <c r="D880" s="1"/>
      <c r="E880" s="357">
        <v>44119</v>
      </c>
      <c r="F880" s="344" t="s">
        <v>631</v>
      </c>
      <c r="G880" s="358">
        <v>7.9116</v>
      </c>
      <c r="H880" s="344" t="s">
        <v>854</v>
      </c>
    </row>
    <row r="881" spans="1:8">
      <c r="A881" s="1"/>
      <c r="B881" s="1"/>
      <c r="C881" s="1"/>
      <c r="D881" s="1"/>
      <c r="E881" s="357">
        <v>44120</v>
      </c>
      <c r="F881" s="344" t="s">
        <v>621</v>
      </c>
      <c r="G881" s="358">
        <v>8.6302000000000003</v>
      </c>
      <c r="H881" s="344" t="s">
        <v>855</v>
      </c>
    </row>
    <row r="882" spans="1:8">
      <c r="A882" s="1"/>
      <c r="B882" s="1"/>
      <c r="C882" s="1"/>
      <c r="D882" s="1"/>
      <c r="E882" s="357">
        <v>44120</v>
      </c>
      <c r="F882" s="344" t="s">
        <v>625</v>
      </c>
      <c r="G882" s="358">
        <v>9.2691999999999997</v>
      </c>
      <c r="H882" s="344" t="s">
        <v>855</v>
      </c>
    </row>
    <row r="883" spans="1:8">
      <c r="A883" s="1"/>
      <c r="B883" s="1"/>
      <c r="C883" s="1"/>
      <c r="D883" s="1"/>
      <c r="E883" s="357">
        <v>44120</v>
      </c>
      <c r="F883" s="344" t="s">
        <v>628</v>
      </c>
      <c r="G883" s="358">
        <v>10.2075</v>
      </c>
      <c r="H883" s="344" t="s">
        <v>855</v>
      </c>
    </row>
    <row r="884" spans="1:8">
      <c r="A884" s="1"/>
      <c r="B884" s="1"/>
      <c r="C884" s="1"/>
      <c r="D884" s="1"/>
      <c r="E884" s="357">
        <v>44120</v>
      </c>
      <c r="F884" s="344" t="s">
        <v>631</v>
      </c>
      <c r="G884" s="358">
        <v>7.9128999999999996</v>
      </c>
      <c r="H884" s="344" t="s">
        <v>855</v>
      </c>
    </row>
    <row r="885" spans="1:8">
      <c r="A885" s="1"/>
      <c r="B885" s="1"/>
      <c r="C885" s="1"/>
      <c r="D885" s="1"/>
      <c r="E885" s="357">
        <v>44123</v>
      </c>
      <c r="F885" s="344" t="s">
        <v>621</v>
      </c>
      <c r="G885" s="358">
        <v>8.6100999999999992</v>
      </c>
      <c r="H885" s="344" t="s">
        <v>856</v>
      </c>
    </row>
    <row r="886" spans="1:8">
      <c r="A886" s="1"/>
      <c r="B886" s="1"/>
      <c r="C886" s="1"/>
      <c r="D886" s="1"/>
      <c r="E886" s="357">
        <v>44123</v>
      </c>
      <c r="F886" s="344" t="s">
        <v>625</v>
      </c>
      <c r="G886" s="358">
        <v>9.2530000000000001</v>
      </c>
      <c r="H886" s="344" t="s">
        <v>856</v>
      </c>
    </row>
    <row r="887" spans="1:8">
      <c r="A887" s="1"/>
      <c r="B887" s="1"/>
      <c r="C887" s="1"/>
      <c r="D887" s="1"/>
      <c r="E887" s="357">
        <v>44123</v>
      </c>
      <c r="F887" s="344" t="s">
        <v>628</v>
      </c>
      <c r="G887" s="358">
        <v>10.212899999999999</v>
      </c>
      <c r="H887" s="344" t="s">
        <v>856</v>
      </c>
    </row>
    <row r="888" spans="1:8">
      <c r="A888" s="1"/>
      <c r="B888" s="1"/>
      <c r="C888" s="1"/>
      <c r="D888" s="1"/>
      <c r="E888" s="357">
        <v>44123</v>
      </c>
      <c r="F888" s="344" t="s">
        <v>631</v>
      </c>
      <c r="G888" s="358">
        <v>7.8777999999999997</v>
      </c>
      <c r="H888" s="344" t="s">
        <v>856</v>
      </c>
    </row>
    <row r="889" spans="1:8">
      <c r="A889" s="1"/>
      <c r="B889" s="1"/>
      <c r="C889" s="1"/>
      <c r="D889" s="1"/>
      <c r="E889" s="357">
        <v>44124</v>
      </c>
      <c r="F889" s="344" t="s">
        <v>621</v>
      </c>
      <c r="G889" s="358">
        <v>8.6469000000000005</v>
      </c>
      <c r="H889" s="344" t="s">
        <v>857</v>
      </c>
    </row>
    <row r="890" spans="1:8">
      <c r="A890" s="1"/>
      <c r="B890" s="1"/>
      <c r="C890" s="1"/>
      <c r="D890" s="1"/>
      <c r="E890" s="357">
        <v>44124</v>
      </c>
      <c r="F890" s="344" t="s">
        <v>625</v>
      </c>
      <c r="G890" s="358">
        <v>9.2873999999999999</v>
      </c>
      <c r="H890" s="344" t="s">
        <v>857</v>
      </c>
    </row>
    <row r="891" spans="1:8">
      <c r="A891" s="1"/>
      <c r="B891" s="1"/>
      <c r="C891" s="1"/>
      <c r="D891" s="1"/>
      <c r="E891" s="357">
        <v>44124</v>
      </c>
      <c r="F891" s="344" t="s">
        <v>628</v>
      </c>
      <c r="G891" s="358">
        <v>10.1822</v>
      </c>
      <c r="H891" s="344" t="s">
        <v>857</v>
      </c>
    </row>
    <row r="892" spans="1:8">
      <c r="A892" s="1"/>
      <c r="B892" s="1"/>
      <c r="C892" s="1"/>
      <c r="D892" s="1"/>
      <c r="E892" s="357">
        <v>44124</v>
      </c>
      <c r="F892" s="344" t="s">
        <v>631</v>
      </c>
      <c r="G892" s="358">
        <v>7.8761000000000001</v>
      </c>
      <c r="H892" s="344" t="s">
        <v>857</v>
      </c>
    </row>
    <row r="893" spans="1:8">
      <c r="A893" s="1"/>
      <c r="B893" s="1"/>
      <c r="C893" s="1"/>
      <c r="D893" s="1"/>
      <c r="E893" s="357">
        <v>44125</v>
      </c>
      <c r="F893" s="344" t="s">
        <v>621</v>
      </c>
      <c r="G893" s="358">
        <v>8.6268999999999991</v>
      </c>
      <c r="H893" s="344" t="s">
        <v>858</v>
      </c>
    </row>
    <row r="894" spans="1:8">
      <c r="A894" s="1"/>
      <c r="B894" s="1"/>
      <c r="C894" s="1"/>
      <c r="D894" s="1"/>
      <c r="E894" s="357">
        <v>44125</v>
      </c>
      <c r="F894" s="344" t="s">
        <v>625</v>
      </c>
      <c r="G894" s="358">
        <v>9.2676999999999996</v>
      </c>
      <c r="H894" s="344" t="s">
        <v>858</v>
      </c>
    </row>
    <row r="895" spans="1:8">
      <c r="A895" s="1"/>
      <c r="B895" s="1"/>
      <c r="C895" s="1"/>
      <c r="D895" s="1"/>
      <c r="E895" s="357">
        <v>44125</v>
      </c>
      <c r="F895" s="344" t="s">
        <v>628</v>
      </c>
      <c r="G895" s="358">
        <v>10.18</v>
      </c>
      <c r="H895" s="344" t="s">
        <v>858</v>
      </c>
    </row>
    <row r="896" spans="1:8">
      <c r="A896" s="1"/>
      <c r="B896" s="1"/>
      <c r="C896" s="1"/>
      <c r="D896" s="1"/>
      <c r="E896" s="357">
        <v>44125</v>
      </c>
      <c r="F896" s="344" t="s">
        <v>631</v>
      </c>
      <c r="G896" s="358">
        <v>7.8178999999999998</v>
      </c>
      <c r="H896" s="344" t="s">
        <v>858</v>
      </c>
    </row>
    <row r="897" spans="1:8">
      <c r="A897" s="1"/>
      <c r="B897" s="1"/>
      <c r="C897" s="1"/>
      <c r="D897" s="1"/>
      <c r="E897" s="357">
        <v>44126</v>
      </c>
      <c r="F897" s="344" t="s">
        <v>621</v>
      </c>
      <c r="G897" s="358">
        <v>8.5845000000000002</v>
      </c>
      <c r="H897" s="344" t="s">
        <v>859</v>
      </c>
    </row>
    <row r="898" spans="1:8">
      <c r="A898" s="1"/>
      <c r="B898" s="1"/>
      <c r="C898" s="1"/>
      <c r="D898" s="1"/>
      <c r="E898" s="357">
        <v>44126</v>
      </c>
      <c r="F898" s="344" t="s">
        <v>625</v>
      </c>
      <c r="G898" s="358">
        <v>9.2386999999999997</v>
      </c>
      <c r="H898" s="344" t="s">
        <v>859</v>
      </c>
    </row>
    <row r="899" spans="1:8">
      <c r="A899" s="1"/>
      <c r="B899" s="1"/>
      <c r="C899" s="1"/>
      <c r="D899" s="1"/>
      <c r="E899" s="357">
        <v>44126</v>
      </c>
      <c r="F899" s="344" t="s">
        <v>628</v>
      </c>
      <c r="G899" s="358">
        <v>10.2142</v>
      </c>
      <c r="H899" s="344" t="s">
        <v>859</v>
      </c>
    </row>
    <row r="900" spans="1:8">
      <c r="A900" s="1"/>
      <c r="B900" s="1"/>
      <c r="C900" s="1"/>
      <c r="D900" s="1"/>
      <c r="E900" s="357">
        <v>44126</v>
      </c>
      <c r="F900" s="344" t="s">
        <v>631</v>
      </c>
      <c r="G900" s="358">
        <v>7.8025000000000002</v>
      </c>
      <c r="H900" s="344" t="s">
        <v>859</v>
      </c>
    </row>
    <row r="901" spans="1:8">
      <c r="A901" s="1"/>
      <c r="B901" s="1"/>
      <c r="C901" s="1"/>
      <c r="D901" s="1"/>
      <c r="E901" s="357">
        <v>44127</v>
      </c>
      <c r="F901" s="344" t="s">
        <v>621</v>
      </c>
      <c r="G901" s="358">
        <v>8.7476000000000003</v>
      </c>
      <c r="H901" s="344" t="s">
        <v>860</v>
      </c>
    </row>
    <row r="902" spans="1:8">
      <c r="A902" s="1"/>
      <c r="B902" s="1"/>
      <c r="C902" s="1"/>
      <c r="D902" s="1"/>
      <c r="E902" s="357">
        <v>44127</v>
      </c>
      <c r="F902" s="344" t="s">
        <v>625</v>
      </c>
      <c r="G902" s="358">
        <v>9.3940999999999999</v>
      </c>
      <c r="H902" s="344" t="s">
        <v>860</v>
      </c>
    </row>
    <row r="903" spans="1:8">
      <c r="A903" s="1"/>
      <c r="B903" s="1"/>
      <c r="C903" s="1"/>
      <c r="D903" s="1"/>
      <c r="E903" s="357">
        <v>44127</v>
      </c>
      <c r="F903" s="344" t="s">
        <v>628</v>
      </c>
      <c r="G903" s="358">
        <v>10.363</v>
      </c>
      <c r="H903" s="344" t="s">
        <v>860</v>
      </c>
    </row>
    <row r="904" spans="1:8">
      <c r="A904" s="1"/>
      <c r="B904" s="1"/>
      <c r="C904" s="1"/>
      <c r="D904" s="1"/>
      <c r="E904" s="357">
        <v>44127</v>
      </c>
      <c r="F904" s="344" t="s">
        <v>631</v>
      </c>
      <c r="G904" s="358">
        <v>7.9379</v>
      </c>
      <c r="H904" s="344" t="s">
        <v>860</v>
      </c>
    </row>
    <row r="905" spans="1:8">
      <c r="A905" s="1"/>
      <c r="B905" s="1"/>
      <c r="C905" s="1"/>
      <c r="D905" s="1"/>
      <c r="E905" s="357">
        <v>44130</v>
      </c>
      <c r="F905" s="344" t="s">
        <v>621</v>
      </c>
      <c r="G905" s="358">
        <v>8.8388000000000009</v>
      </c>
      <c r="H905" s="344" t="s">
        <v>861</v>
      </c>
    </row>
    <row r="906" spans="1:8">
      <c r="A906" s="1"/>
      <c r="B906" s="1"/>
      <c r="C906" s="1"/>
      <c r="D906" s="1"/>
      <c r="E906" s="357">
        <v>44130</v>
      </c>
      <c r="F906" s="344" t="s">
        <v>625</v>
      </c>
      <c r="G906" s="358">
        <v>9.4923999999999999</v>
      </c>
      <c r="H906" s="344" t="s">
        <v>861</v>
      </c>
    </row>
    <row r="907" spans="1:8">
      <c r="A907" s="1"/>
      <c r="B907" s="1"/>
      <c r="C907" s="1"/>
      <c r="D907" s="1"/>
      <c r="E907" s="357">
        <v>44130</v>
      </c>
      <c r="F907" s="344" t="s">
        <v>628</v>
      </c>
      <c r="G907" s="358">
        <v>10.448600000000001</v>
      </c>
      <c r="H907" s="344" t="s">
        <v>861</v>
      </c>
    </row>
    <row r="908" spans="1:8">
      <c r="A908" s="1"/>
      <c r="B908" s="1"/>
      <c r="C908" s="1"/>
      <c r="D908" s="1"/>
      <c r="E908" s="357">
        <v>44130</v>
      </c>
      <c r="F908" s="344" t="s">
        <v>631</v>
      </c>
      <c r="G908" s="358">
        <v>8.0284999999999993</v>
      </c>
      <c r="H908" s="344" t="s">
        <v>861</v>
      </c>
    </row>
    <row r="909" spans="1:8">
      <c r="A909" s="1"/>
      <c r="B909" s="1"/>
      <c r="C909" s="1"/>
      <c r="D909" s="1"/>
      <c r="E909" s="357">
        <v>44131</v>
      </c>
      <c r="F909" s="344" t="s">
        <v>621</v>
      </c>
      <c r="G909" s="358">
        <v>8.9215999999999998</v>
      </c>
      <c r="H909" s="344" t="s">
        <v>862</v>
      </c>
    </row>
    <row r="910" spans="1:8">
      <c r="A910" s="1"/>
      <c r="B910" s="1"/>
      <c r="C910" s="1"/>
      <c r="D910" s="1"/>
      <c r="E910" s="357">
        <v>44131</v>
      </c>
      <c r="F910" s="344" t="s">
        <v>625</v>
      </c>
      <c r="G910" s="358">
        <v>9.5974000000000004</v>
      </c>
      <c r="H910" s="344" t="s">
        <v>862</v>
      </c>
    </row>
    <row r="911" spans="1:8">
      <c r="A911" s="1"/>
      <c r="B911" s="1"/>
      <c r="C911" s="1"/>
      <c r="D911" s="1"/>
      <c r="E911" s="357">
        <v>44131</v>
      </c>
      <c r="F911" s="344" t="s">
        <v>628</v>
      </c>
      <c r="G911" s="358">
        <v>10.5639</v>
      </c>
      <c r="H911" s="344" t="s">
        <v>862</v>
      </c>
    </row>
    <row r="912" spans="1:8">
      <c r="A912" s="1"/>
      <c r="B912" s="1"/>
      <c r="C912" s="1"/>
      <c r="D912" s="1"/>
      <c r="E912" s="357">
        <v>44131</v>
      </c>
      <c r="F912" s="344" t="s">
        <v>631</v>
      </c>
      <c r="G912" s="358">
        <v>8.1211000000000002</v>
      </c>
      <c r="H912" s="344" t="s">
        <v>862</v>
      </c>
    </row>
    <row r="913" spans="1:8">
      <c r="A913" s="1"/>
      <c r="B913" s="1"/>
      <c r="C913" s="1"/>
      <c r="D913" s="1"/>
      <c r="E913" s="357">
        <v>44134</v>
      </c>
      <c r="F913" s="344" t="s">
        <v>621</v>
      </c>
      <c r="G913" s="358">
        <v>9.0524000000000004</v>
      </c>
      <c r="H913" s="344" t="s">
        <v>863</v>
      </c>
    </row>
    <row r="914" spans="1:8">
      <c r="A914" s="1"/>
      <c r="B914" s="1"/>
      <c r="C914" s="1"/>
      <c r="D914" s="1"/>
      <c r="E914" s="357">
        <v>44134</v>
      </c>
      <c r="F914" s="344" t="s">
        <v>625</v>
      </c>
      <c r="G914" s="358">
        <v>9.6984999999999992</v>
      </c>
      <c r="H914" s="344" t="s">
        <v>863</v>
      </c>
    </row>
    <row r="915" spans="1:8">
      <c r="A915" s="1"/>
      <c r="B915" s="1"/>
      <c r="C915" s="1"/>
      <c r="D915" s="1"/>
      <c r="E915" s="357">
        <v>44134</v>
      </c>
      <c r="F915" s="344" t="s">
        <v>628</v>
      </c>
      <c r="G915" s="358">
        <v>10.736700000000001</v>
      </c>
      <c r="H915" s="344" t="s">
        <v>863</v>
      </c>
    </row>
    <row r="916" spans="1:8">
      <c r="A916" s="1"/>
      <c r="B916" s="1"/>
      <c r="C916" s="1"/>
      <c r="D916" s="1"/>
      <c r="E916" s="357">
        <v>44134</v>
      </c>
      <c r="F916" s="344" t="s">
        <v>631</v>
      </c>
      <c r="G916" s="358">
        <v>8.3081999999999994</v>
      </c>
      <c r="H916" s="344" t="s">
        <v>863</v>
      </c>
    </row>
    <row r="917" spans="1:8">
      <c r="A917" s="1"/>
      <c r="B917" s="1"/>
      <c r="C917" s="1"/>
      <c r="D917" s="1"/>
      <c r="E917" s="357">
        <v>44137</v>
      </c>
      <c r="F917" s="344" t="s">
        <v>621</v>
      </c>
      <c r="G917" s="358">
        <v>9.1084999999999994</v>
      </c>
      <c r="H917" s="344" t="s">
        <v>864</v>
      </c>
    </row>
    <row r="918" spans="1:8">
      <c r="A918" s="1"/>
      <c r="B918" s="1"/>
      <c r="C918" s="1"/>
      <c r="D918" s="1"/>
      <c r="E918" s="357">
        <v>44137</v>
      </c>
      <c r="F918" s="344" t="s">
        <v>625</v>
      </c>
      <c r="G918" s="358">
        <v>9.7506000000000004</v>
      </c>
      <c r="H918" s="344" t="s">
        <v>864</v>
      </c>
    </row>
    <row r="919" spans="1:8">
      <c r="A919" s="1"/>
      <c r="B919" s="1"/>
      <c r="C919" s="1"/>
      <c r="D919" s="1"/>
      <c r="E919" s="357">
        <v>44137</v>
      </c>
      <c r="F919" s="344" t="s">
        <v>628</v>
      </c>
      <c r="G919" s="358">
        <v>10.789199999999999</v>
      </c>
      <c r="H919" s="344" t="s">
        <v>864</v>
      </c>
    </row>
    <row r="920" spans="1:8">
      <c r="A920" s="1"/>
      <c r="B920" s="1"/>
      <c r="C920" s="1"/>
      <c r="D920" s="1"/>
      <c r="E920" s="357">
        <v>44137</v>
      </c>
      <c r="F920" s="344" t="s">
        <v>631</v>
      </c>
      <c r="G920" s="358">
        <v>8.3759999999999994</v>
      </c>
      <c r="H920" s="344" t="s">
        <v>864</v>
      </c>
    </row>
    <row r="921" spans="1:8">
      <c r="A921" s="1"/>
      <c r="B921" s="1"/>
      <c r="C921" s="1"/>
      <c r="D921" s="1"/>
      <c r="E921" s="357">
        <v>44138</v>
      </c>
      <c r="F921" s="344" t="s">
        <v>621</v>
      </c>
      <c r="G921" s="358">
        <v>9.2044999999999995</v>
      </c>
      <c r="H921" s="344" t="s">
        <v>865</v>
      </c>
    </row>
    <row r="922" spans="1:8">
      <c r="A922" s="1"/>
      <c r="B922" s="1"/>
      <c r="C922" s="1"/>
      <c r="D922" s="1"/>
      <c r="E922" s="357">
        <v>44138</v>
      </c>
      <c r="F922" s="344" t="s">
        <v>625</v>
      </c>
      <c r="G922" s="358">
        <v>9.8802000000000003</v>
      </c>
      <c r="H922" s="344" t="s">
        <v>865</v>
      </c>
    </row>
    <row r="923" spans="1:8">
      <c r="A923" s="1"/>
      <c r="B923" s="1"/>
      <c r="C923" s="1"/>
      <c r="D923" s="1"/>
      <c r="E923" s="357">
        <v>44138</v>
      </c>
      <c r="F923" s="344" t="s">
        <v>628</v>
      </c>
      <c r="G923" s="358">
        <v>10.9473</v>
      </c>
      <c r="H923" s="344" t="s">
        <v>865</v>
      </c>
    </row>
    <row r="924" spans="1:8">
      <c r="A924" s="1"/>
      <c r="B924" s="1"/>
      <c r="C924" s="1"/>
      <c r="D924" s="1"/>
      <c r="E924" s="357">
        <v>44138</v>
      </c>
      <c r="F924" s="344" t="s">
        <v>631</v>
      </c>
      <c r="G924" s="358">
        <v>8.4545999999999992</v>
      </c>
      <c r="H924" s="344" t="s">
        <v>865</v>
      </c>
    </row>
    <row r="925" spans="1:8">
      <c r="A925" s="1"/>
      <c r="B925" s="1"/>
      <c r="C925" s="1"/>
      <c r="D925" s="1"/>
      <c r="E925" s="357">
        <v>44139</v>
      </c>
      <c r="F925" s="344" t="s">
        <v>621</v>
      </c>
      <c r="G925" s="358">
        <v>9.2225999999999999</v>
      </c>
      <c r="H925" s="344" t="s">
        <v>866</v>
      </c>
    </row>
    <row r="926" spans="1:8">
      <c r="A926" s="1"/>
      <c r="B926" s="1"/>
      <c r="C926" s="1"/>
      <c r="D926" s="1"/>
      <c r="E926" s="357">
        <v>44139</v>
      </c>
      <c r="F926" s="344" t="s">
        <v>625</v>
      </c>
      <c r="G926" s="358">
        <v>9.8714999999999993</v>
      </c>
      <c r="H926" s="344" t="s">
        <v>866</v>
      </c>
    </row>
    <row r="927" spans="1:8">
      <c r="A927" s="1"/>
      <c r="B927" s="1"/>
      <c r="C927" s="1"/>
      <c r="D927" s="1"/>
      <c r="E927" s="357">
        <v>44139</v>
      </c>
      <c r="F927" s="344" t="s">
        <v>628</v>
      </c>
      <c r="G927" s="358">
        <v>10.953200000000001</v>
      </c>
      <c r="H927" s="344" t="s">
        <v>866</v>
      </c>
    </row>
    <row r="928" spans="1:8">
      <c r="A928" s="1"/>
      <c r="B928" s="1"/>
      <c r="C928" s="1"/>
      <c r="D928" s="1"/>
      <c r="E928" s="357">
        <v>44139</v>
      </c>
      <c r="F928" s="344" t="s">
        <v>631</v>
      </c>
      <c r="G928" s="358">
        <v>8.4552999999999994</v>
      </c>
      <c r="H928" s="344" t="s">
        <v>866</v>
      </c>
    </row>
    <row r="929" spans="1:8">
      <c r="A929" s="1"/>
      <c r="B929" s="1"/>
      <c r="C929" s="1"/>
      <c r="D929" s="1"/>
      <c r="E929" s="357">
        <v>44140</v>
      </c>
      <c r="F929" s="344" t="s">
        <v>621</v>
      </c>
      <c r="G929" s="358">
        <v>9.2667000000000002</v>
      </c>
      <c r="H929" s="344" t="s">
        <v>867</v>
      </c>
    </row>
    <row r="930" spans="1:8">
      <c r="A930" s="1"/>
      <c r="B930" s="1"/>
      <c r="C930" s="1"/>
      <c r="D930" s="1"/>
      <c r="E930" s="357">
        <v>44140</v>
      </c>
      <c r="F930" s="344" t="s">
        <v>625</v>
      </c>
      <c r="G930" s="358">
        <v>9.9415999999999993</v>
      </c>
      <c r="H930" s="344" t="s">
        <v>867</v>
      </c>
    </row>
    <row r="931" spans="1:8">
      <c r="A931" s="1"/>
      <c r="B931" s="1"/>
      <c r="C931" s="1"/>
      <c r="D931" s="1"/>
      <c r="E931" s="357">
        <v>44140</v>
      </c>
      <c r="F931" s="344" t="s">
        <v>628</v>
      </c>
      <c r="G931" s="358">
        <v>10.98</v>
      </c>
      <c r="H931" s="344" t="s">
        <v>867</v>
      </c>
    </row>
    <row r="932" spans="1:8">
      <c r="A932" s="1"/>
      <c r="B932" s="1"/>
      <c r="C932" s="1"/>
      <c r="D932" s="1"/>
      <c r="E932" s="357">
        <v>44140</v>
      </c>
      <c r="F932" s="344" t="s">
        <v>631</v>
      </c>
      <c r="G932" s="358">
        <v>8.4417000000000009</v>
      </c>
      <c r="H932" s="344" t="s">
        <v>867</v>
      </c>
    </row>
    <row r="933" spans="1:8">
      <c r="A933" s="1"/>
      <c r="B933" s="1"/>
      <c r="C933" s="1"/>
      <c r="D933" s="1"/>
      <c r="E933" s="357">
        <v>44141</v>
      </c>
      <c r="F933" s="344" t="s">
        <v>621</v>
      </c>
      <c r="G933" s="358">
        <v>9.359</v>
      </c>
      <c r="H933" s="344" t="s">
        <v>868</v>
      </c>
    </row>
    <row r="934" spans="1:8">
      <c r="A934" s="1"/>
      <c r="B934" s="1"/>
      <c r="C934" s="1"/>
      <c r="D934" s="1"/>
      <c r="E934" s="357">
        <v>44141</v>
      </c>
      <c r="F934" s="344" t="s">
        <v>625</v>
      </c>
      <c r="G934" s="358">
        <v>10.027900000000001</v>
      </c>
      <c r="H934" s="344" t="s">
        <v>868</v>
      </c>
    </row>
    <row r="935" spans="1:8">
      <c r="A935" s="1"/>
      <c r="B935" s="1"/>
      <c r="C935" s="1"/>
      <c r="D935" s="1"/>
      <c r="E935" s="357">
        <v>44141</v>
      </c>
      <c r="F935" s="344" t="s">
        <v>628</v>
      </c>
      <c r="G935" s="358">
        <v>11.097300000000001</v>
      </c>
      <c r="H935" s="344" t="s">
        <v>868</v>
      </c>
    </row>
    <row r="936" spans="1:8">
      <c r="A936" s="1"/>
      <c r="B936" s="1"/>
      <c r="C936" s="1"/>
      <c r="D936" s="1"/>
      <c r="E936" s="357">
        <v>44141</v>
      </c>
      <c r="F936" s="344" t="s">
        <v>631</v>
      </c>
      <c r="G936" s="358">
        <v>8.4612999999999996</v>
      </c>
      <c r="H936" s="344" t="s">
        <v>868</v>
      </c>
    </row>
    <row r="937" spans="1:8">
      <c r="A937" s="1"/>
      <c r="B937" s="1"/>
      <c r="C937" s="1"/>
      <c r="D937" s="1"/>
      <c r="E937" s="357">
        <v>44144</v>
      </c>
      <c r="F937" s="344" t="s">
        <v>621</v>
      </c>
      <c r="G937" s="358">
        <v>9.0663</v>
      </c>
      <c r="H937" s="344" t="s">
        <v>869</v>
      </c>
    </row>
    <row r="938" spans="1:8">
      <c r="A938" s="1"/>
      <c r="B938" s="1"/>
      <c r="C938" s="1"/>
      <c r="D938" s="1"/>
      <c r="E938" s="357">
        <v>44144</v>
      </c>
      <c r="F938" s="344" t="s">
        <v>625</v>
      </c>
      <c r="G938" s="358">
        <v>9.7172999999999998</v>
      </c>
      <c r="H938" s="344" t="s">
        <v>869</v>
      </c>
    </row>
    <row r="939" spans="1:8">
      <c r="A939" s="1"/>
      <c r="B939" s="1"/>
      <c r="C939" s="1"/>
      <c r="D939" s="1"/>
      <c r="E939" s="357">
        <v>44144</v>
      </c>
      <c r="F939" s="344" t="s">
        <v>628</v>
      </c>
      <c r="G939" s="358">
        <v>10.7433</v>
      </c>
      <c r="H939" s="344" t="s">
        <v>869</v>
      </c>
    </row>
    <row r="940" spans="1:8">
      <c r="A940" s="1"/>
      <c r="B940" s="1"/>
      <c r="C940" s="1"/>
      <c r="D940" s="1"/>
      <c r="E940" s="357">
        <v>44144</v>
      </c>
      <c r="F940" s="344" t="s">
        <v>631</v>
      </c>
      <c r="G940" s="358">
        <v>8.1777999999999995</v>
      </c>
      <c r="H940" s="344" t="s">
        <v>869</v>
      </c>
    </row>
    <row r="941" spans="1:8">
      <c r="A941" s="1"/>
      <c r="B941" s="1"/>
      <c r="C941" s="1"/>
      <c r="D941" s="1"/>
      <c r="E941" s="357">
        <v>44145</v>
      </c>
      <c r="F941" s="344" t="s">
        <v>621</v>
      </c>
      <c r="G941" s="358">
        <v>8.9835999999999991</v>
      </c>
      <c r="H941" s="344" t="s">
        <v>870</v>
      </c>
    </row>
    <row r="942" spans="1:8">
      <c r="A942" s="1"/>
      <c r="B942" s="1"/>
      <c r="C942" s="1"/>
      <c r="D942" s="1"/>
      <c r="E942" s="357">
        <v>44145</v>
      </c>
      <c r="F942" s="344" t="s">
        <v>625</v>
      </c>
      <c r="G942" s="358">
        <v>9.7278000000000002</v>
      </c>
      <c r="H942" s="344" t="s">
        <v>870</v>
      </c>
    </row>
    <row r="943" spans="1:8">
      <c r="A943" s="1"/>
      <c r="B943" s="1"/>
      <c r="C943" s="1"/>
      <c r="D943" s="1"/>
      <c r="E943" s="357">
        <v>44145</v>
      </c>
      <c r="F943" s="344" t="s">
        <v>628</v>
      </c>
      <c r="G943" s="358">
        <v>10.8705</v>
      </c>
      <c r="H943" s="344" t="s">
        <v>870</v>
      </c>
    </row>
    <row r="944" spans="1:8">
      <c r="A944" s="1"/>
      <c r="B944" s="1"/>
      <c r="C944" s="1"/>
      <c r="D944" s="1"/>
      <c r="E944" s="357">
        <v>44145</v>
      </c>
      <c r="F944" s="344" t="s">
        <v>631</v>
      </c>
      <c r="G944" s="358">
        <v>8.2357999999999993</v>
      </c>
      <c r="H944" s="344" t="s">
        <v>870</v>
      </c>
    </row>
    <row r="945" spans="1:8">
      <c r="A945" s="1"/>
      <c r="B945" s="1"/>
      <c r="C945" s="1"/>
      <c r="D945" s="1"/>
      <c r="E945" s="357">
        <v>44146</v>
      </c>
      <c r="F945" s="344" t="s">
        <v>621</v>
      </c>
      <c r="G945" s="358">
        <v>8.7566000000000006</v>
      </c>
      <c r="H945" s="344" t="s">
        <v>871</v>
      </c>
    </row>
    <row r="946" spans="1:8">
      <c r="A946" s="1"/>
      <c r="B946" s="1"/>
      <c r="C946" s="1"/>
      <c r="D946" s="1"/>
      <c r="E946" s="357">
        <v>44146</v>
      </c>
      <c r="F946" s="344" t="s">
        <v>625</v>
      </c>
      <c r="G946" s="358">
        <v>9.4921000000000006</v>
      </c>
      <c r="H946" s="344" t="s">
        <v>871</v>
      </c>
    </row>
    <row r="947" spans="1:8">
      <c r="A947" s="1"/>
      <c r="B947" s="1"/>
      <c r="C947" s="1"/>
      <c r="D947" s="1"/>
      <c r="E947" s="357">
        <v>44146</v>
      </c>
      <c r="F947" s="344" t="s">
        <v>628</v>
      </c>
      <c r="G947" s="358">
        <v>10.66</v>
      </c>
      <c r="H947" s="344" t="s">
        <v>871</v>
      </c>
    </row>
    <row r="948" spans="1:8">
      <c r="A948" s="1"/>
      <c r="B948" s="1"/>
      <c r="C948" s="1"/>
      <c r="D948" s="1"/>
      <c r="E948" s="357">
        <v>44146</v>
      </c>
      <c r="F948" s="344" t="s">
        <v>631</v>
      </c>
      <c r="G948" s="358">
        <v>8.0477000000000007</v>
      </c>
      <c r="H948" s="344" t="s">
        <v>871</v>
      </c>
    </row>
    <row r="949" spans="1:8">
      <c r="A949" s="1"/>
      <c r="B949" s="1"/>
      <c r="C949" s="1"/>
      <c r="D949" s="1"/>
      <c r="E949" s="357">
        <v>44147</v>
      </c>
      <c r="F949" s="344" t="s">
        <v>621</v>
      </c>
      <c r="G949" s="358">
        <v>8.4901999999999997</v>
      </c>
      <c r="H949" s="344" t="s">
        <v>872</v>
      </c>
    </row>
    <row r="950" spans="1:8">
      <c r="A950" s="1"/>
      <c r="B950" s="1"/>
      <c r="C950" s="1"/>
      <c r="D950" s="1"/>
      <c r="E950" s="357">
        <v>44147</v>
      </c>
      <c r="F950" s="344" t="s">
        <v>625</v>
      </c>
      <c r="G950" s="358">
        <v>9.1860999999999997</v>
      </c>
      <c r="H950" s="344" t="s">
        <v>872</v>
      </c>
    </row>
    <row r="951" spans="1:8">
      <c r="A951" s="1"/>
      <c r="B951" s="1"/>
      <c r="C951" s="1"/>
      <c r="D951" s="1"/>
      <c r="E951" s="357">
        <v>44147</v>
      </c>
      <c r="F951" s="344" t="s">
        <v>628</v>
      </c>
      <c r="G951" s="358">
        <v>10.247999999999999</v>
      </c>
      <c r="H951" s="344" t="s">
        <v>872</v>
      </c>
    </row>
    <row r="952" spans="1:8">
      <c r="A952" s="1"/>
      <c r="B952" s="1"/>
      <c r="C952" s="1"/>
      <c r="D952" s="1"/>
      <c r="E952" s="357">
        <v>44147</v>
      </c>
      <c r="F952" s="344" t="s">
        <v>631</v>
      </c>
      <c r="G952" s="358">
        <v>7.7896000000000001</v>
      </c>
      <c r="H952" s="344" t="s">
        <v>872</v>
      </c>
    </row>
    <row r="953" spans="1:8">
      <c r="A953" s="1"/>
      <c r="B953" s="1"/>
      <c r="C953" s="1"/>
      <c r="D953" s="1"/>
      <c r="E953" s="357">
        <v>44148</v>
      </c>
      <c r="F953" s="344" t="s">
        <v>621</v>
      </c>
      <c r="G953" s="358">
        <v>8.3231999999999999</v>
      </c>
      <c r="H953" s="344" t="s">
        <v>873</v>
      </c>
    </row>
    <row r="954" spans="1:8">
      <c r="A954" s="1"/>
      <c r="B954" s="1"/>
      <c r="C954" s="1"/>
      <c r="D954" s="1"/>
      <c r="E954" s="357">
        <v>44148</v>
      </c>
      <c r="F954" s="344" t="s">
        <v>625</v>
      </c>
      <c r="G954" s="358">
        <v>9.0168999999999997</v>
      </c>
      <c r="H954" s="344" t="s">
        <v>873</v>
      </c>
    </row>
    <row r="955" spans="1:8">
      <c r="A955" s="1"/>
      <c r="B955" s="1"/>
      <c r="C955" s="1"/>
      <c r="D955" s="1"/>
      <c r="E955" s="357">
        <v>44148</v>
      </c>
      <c r="F955" s="344" t="s">
        <v>628</v>
      </c>
      <c r="G955" s="358">
        <v>10.0274</v>
      </c>
      <c r="H955" s="344" t="s">
        <v>873</v>
      </c>
    </row>
    <row r="956" spans="1:8">
      <c r="A956" s="1"/>
      <c r="B956" s="1"/>
      <c r="C956" s="1"/>
      <c r="D956" s="1"/>
      <c r="E956" s="357">
        <v>44148</v>
      </c>
      <c r="F956" s="344" t="s">
        <v>631</v>
      </c>
      <c r="G956" s="358">
        <v>7.6296999999999997</v>
      </c>
      <c r="H956" s="344" t="s">
        <v>873</v>
      </c>
    </row>
    <row r="957" spans="1:8">
      <c r="A957" s="1"/>
      <c r="B957" s="1"/>
      <c r="C957" s="1"/>
      <c r="D957" s="1"/>
      <c r="E957" s="357">
        <v>44151</v>
      </c>
      <c r="F957" s="344" t="s">
        <v>621</v>
      </c>
      <c r="G957" s="358">
        <v>8.3993000000000002</v>
      </c>
      <c r="H957" s="344" t="s">
        <v>874</v>
      </c>
    </row>
    <row r="958" spans="1:8">
      <c r="A958" s="1"/>
      <c r="B958" s="1"/>
      <c r="C958" s="1"/>
      <c r="D958" s="1"/>
      <c r="E958" s="357">
        <v>44151</v>
      </c>
      <c r="F958" s="344" t="s">
        <v>625</v>
      </c>
      <c r="G958" s="358">
        <v>9.093</v>
      </c>
      <c r="H958" s="344" t="s">
        <v>874</v>
      </c>
    </row>
    <row r="959" spans="1:8">
      <c r="A959" s="1"/>
      <c r="B959" s="1"/>
      <c r="C959" s="1"/>
      <c r="D959" s="1"/>
      <c r="E959" s="357">
        <v>44151</v>
      </c>
      <c r="F959" s="344" t="s">
        <v>628</v>
      </c>
      <c r="G959" s="358">
        <v>10.1135</v>
      </c>
      <c r="H959" s="344" t="s">
        <v>874</v>
      </c>
    </row>
    <row r="960" spans="1:8">
      <c r="A960" s="1"/>
      <c r="B960" s="1"/>
      <c r="C960" s="1"/>
      <c r="D960" s="1"/>
      <c r="E960" s="357">
        <v>44151</v>
      </c>
      <c r="F960" s="344" t="s">
        <v>631</v>
      </c>
      <c r="G960" s="358">
        <v>7.6750999999999996</v>
      </c>
      <c r="H960" s="344" t="s">
        <v>874</v>
      </c>
    </row>
    <row r="961" spans="1:8">
      <c r="A961" s="1"/>
      <c r="B961" s="1"/>
      <c r="C961" s="1"/>
      <c r="D961" s="1"/>
      <c r="E961" s="357">
        <v>44152</v>
      </c>
      <c r="F961" s="344" t="s">
        <v>621</v>
      </c>
      <c r="G961" s="358">
        <v>8.4760000000000009</v>
      </c>
      <c r="H961" s="344" t="s">
        <v>875</v>
      </c>
    </row>
    <row r="962" spans="1:8">
      <c r="A962" s="1"/>
      <c r="B962" s="1"/>
      <c r="C962" s="1"/>
      <c r="D962" s="1"/>
      <c r="E962" s="357">
        <v>44152</v>
      </c>
      <c r="F962" s="344" t="s">
        <v>625</v>
      </c>
      <c r="G962" s="358">
        <v>9.1836000000000002</v>
      </c>
      <c r="H962" s="344" t="s">
        <v>875</v>
      </c>
    </row>
    <row r="963" spans="1:8">
      <c r="A963" s="1"/>
      <c r="B963" s="1"/>
      <c r="C963" s="1"/>
      <c r="D963" s="1"/>
      <c r="E963" s="357">
        <v>44152</v>
      </c>
      <c r="F963" s="344" t="s">
        <v>628</v>
      </c>
      <c r="G963" s="358">
        <v>10.2212</v>
      </c>
      <c r="H963" s="344" t="s">
        <v>875</v>
      </c>
    </row>
    <row r="964" spans="1:8">
      <c r="A964" s="1"/>
      <c r="B964" s="1"/>
      <c r="C964" s="1"/>
      <c r="D964" s="1"/>
      <c r="E964" s="357">
        <v>44152</v>
      </c>
      <c r="F964" s="344" t="s">
        <v>631</v>
      </c>
      <c r="G964" s="358">
        <v>7.7393000000000001</v>
      </c>
      <c r="H964" s="344" t="s">
        <v>875</v>
      </c>
    </row>
    <row r="965" spans="1:8">
      <c r="A965" s="1"/>
      <c r="B965" s="1"/>
      <c r="C965" s="1"/>
      <c r="D965" s="1"/>
      <c r="E965" s="357">
        <v>44153</v>
      </c>
      <c r="F965" s="344" t="s">
        <v>621</v>
      </c>
      <c r="G965" s="358">
        <v>8.4602000000000004</v>
      </c>
      <c r="H965" s="344" t="s">
        <v>876</v>
      </c>
    </row>
    <row r="966" spans="1:8">
      <c r="A966" s="1"/>
      <c r="B966" s="1"/>
      <c r="C966" s="1"/>
      <c r="D966" s="1"/>
      <c r="E966" s="357">
        <v>44153</v>
      </c>
      <c r="F966" s="344" t="s">
        <v>625</v>
      </c>
      <c r="G966" s="358">
        <v>9.1700999999999997</v>
      </c>
      <c r="H966" s="344" t="s">
        <v>876</v>
      </c>
    </row>
    <row r="967" spans="1:8">
      <c r="A967" s="1"/>
      <c r="B967" s="1"/>
      <c r="C967" s="1"/>
      <c r="D967" s="1"/>
      <c r="E967" s="357">
        <v>44153</v>
      </c>
      <c r="F967" s="344" t="s">
        <v>628</v>
      </c>
      <c r="G967" s="358">
        <v>10.234299999999999</v>
      </c>
      <c r="H967" s="344" t="s">
        <v>876</v>
      </c>
    </row>
    <row r="968" spans="1:8">
      <c r="A968" s="1"/>
      <c r="B968" s="1"/>
      <c r="C968" s="1"/>
      <c r="D968" s="1"/>
      <c r="E968" s="357">
        <v>44153</v>
      </c>
      <c r="F968" s="344" t="s">
        <v>631</v>
      </c>
      <c r="G968" s="358">
        <v>7.7195</v>
      </c>
      <c r="H968" s="344" t="s">
        <v>876</v>
      </c>
    </row>
    <row r="969" spans="1:8">
      <c r="A969" s="1"/>
      <c r="B969" s="1"/>
      <c r="C969" s="1"/>
      <c r="D969" s="1"/>
      <c r="E969" s="357">
        <v>44154</v>
      </c>
      <c r="F969" s="344" t="s">
        <v>621</v>
      </c>
      <c r="G969" s="358">
        <v>8.3871000000000002</v>
      </c>
      <c r="H969" s="344" t="s">
        <v>877</v>
      </c>
    </row>
    <row r="970" spans="1:8">
      <c r="A970" s="1"/>
      <c r="B970" s="1"/>
      <c r="C970" s="1"/>
      <c r="D970" s="1"/>
      <c r="E970" s="357">
        <v>44154</v>
      </c>
      <c r="F970" s="344" t="s">
        <v>625</v>
      </c>
      <c r="G970" s="358">
        <v>9.0783000000000005</v>
      </c>
      <c r="H970" s="344" t="s">
        <v>877</v>
      </c>
    </row>
    <row r="971" spans="1:8">
      <c r="A971" s="1"/>
      <c r="B971" s="1"/>
      <c r="C971" s="1"/>
      <c r="D971" s="1"/>
      <c r="E971" s="357">
        <v>44154</v>
      </c>
      <c r="F971" s="344" t="s">
        <v>628</v>
      </c>
      <c r="G971" s="358">
        <v>10.1317</v>
      </c>
      <c r="H971" s="344" t="s">
        <v>877</v>
      </c>
    </row>
    <row r="972" spans="1:8">
      <c r="A972" s="1"/>
      <c r="B972" s="1"/>
      <c r="C972" s="1"/>
      <c r="D972" s="1"/>
      <c r="E972" s="357">
        <v>44154</v>
      </c>
      <c r="F972" s="344" t="s">
        <v>631</v>
      </c>
      <c r="G972" s="358">
        <v>7.6699000000000002</v>
      </c>
      <c r="H972" s="344" t="s">
        <v>877</v>
      </c>
    </row>
    <row r="973" spans="1:8">
      <c r="A973" s="1"/>
      <c r="B973" s="1"/>
      <c r="C973" s="1"/>
      <c r="D973" s="1"/>
      <c r="E973" s="357">
        <v>44155</v>
      </c>
      <c r="F973" s="344" t="s">
        <v>621</v>
      </c>
      <c r="G973" s="358">
        <v>8.3013999999999992</v>
      </c>
      <c r="H973" s="344" t="s">
        <v>878</v>
      </c>
    </row>
    <row r="974" spans="1:8">
      <c r="A974" s="1"/>
      <c r="B974" s="1"/>
      <c r="C974" s="1"/>
      <c r="D974" s="1"/>
      <c r="E974" s="357">
        <v>44155</v>
      </c>
      <c r="F974" s="344" t="s">
        <v>625</v>
      </c>
      <c r="G974" s="358">
        <v>8.9949999999999992</v>
      </c>
      <c r="H974" s="344" t="s">
        <v>878</v>
      </c>
    </row>
    <row r="975" spans="1:8">
      <c r="A975" s="1"/>
      <c r="B975" s="1"/>
      <c r="C975" s="1"/>
      <c r="D975" s="1"/>
      <c r="E975" s="357">
        <v>44155</v>
      </c>
      <c r="F975" s="344" t="s">
        <v>628</v>
      </c>
      <c r="G975" s="358">
        <v>10.0397</v>
      </c>
      <c r="H975" s="344" t="s">
        <v>878</v>
      </c>
    </row>
    <row r="976" spans="1:8">
      <c r="A976" s="1"/>
      <c r="B976" s="1"/>
      <c r="C976" s="1"/>
      <c r="D976" s="1"/>
      <c r="E976" s="357">
        <v>44155</v>
      </c>
      <c r="F976" s="344" t="s">
        <v>631</v>
      </c>
      <c r="G976" s="358">
        <v>7.5785</v>
      </c>
      <c r="H976" s="344" t="s">
        <v>878</v>
      </c>
    </row>
    <row r="977" spans="1:8">
      <c r="A977" s="1"/>
      <c r="B977" s="1"/>
      <c r="C977" s="1"/>
      <c r="D977" s="1"/>
      <c r="E977" s="357">
        <v>44158</v>
      </c>
      <c r="F977" s="344" t="s">
        <v>621</v>
      </c>
      <c r="G977" s="358">
        <v>8.5097000000000005</v>
      </c>
      <c r="H977" s="344" t="s">
        <v>879</v>
      </c>
    </row>
    <row r="978" spans="1:8">
      <c r="A978" s="1"/>
      <c r="B978" s="1"/>
      <c r="C978" s="1"/>
      <c r="D978" s="1"/>
      <c r="E978" s="357">
        <v>44158</v>
      </c>
      <c r="F978" s="344" t="s">
        <v>625</v>
      </c>
      <c r="G978" s="358">
        <v>9.2196999999999996</v>
      </c>
      <c r="H978" s="344" t="s">
        <v>879</v>
      </c>
    </row>
    <row r="979" spans="1:8">
      <c r="A979" s="1"/>
      <c r="B979" s="1"/>
      <c r="C979" s="1"/>
      <c r="D979" s="1"/>
      <c r="E979" s="357">
        <v>44158</v>
      </c>
      <c r="F979" s="344" t="s">
        <v>628</v>
      </c>
      <c r="G979" s="358">
        <v>10.3438</v>
      </c>
      <c r="H979" s="344" t="s">
        <v>879</v>
      </c>
    </row>
    <row r="980" spans="1:8">
      <c r="A980" s="1"/>
      <c r="B980" s="1"/>
      <c r="C980" s="1"/>
      <c r="D980" s="1"/>
      <c r="E980" s="357">
        <v>44158</v>
      </c>
      <c r="F980" s="344" t="s">
        <v>631</v>
      </c>
      <c r="G980" s="358">
        <v>7.7592999999999996</v>
      </c>
      <c r="H980" s="344" t="s">
        <v>879</v>
      </c>
    </row>
    <row r="981" spans="1:8">
      <c r="A981" s="1"/>
      <c r="B981" s="1"/>
      <c r="C981" s="1"/>
      <c r="D981" s="1"/>
      <c r="E981" s="357">
        <v>44159</v>
      </c>
      <c r="F981" s="344" t="s">
        <v>621</v>
      </c>
      <c r="G981" s="358">
        <v>8.6624999999999996</v>
      </c>
      <c r="H981" s="344" t="s">
        <v>880</v>
      </c>
    </row>
    <row r="982" spans="1:8">
      <c r="A982" s="1"/>
      <c r="B982" s="1"/>
      <c r="C982" s="1"/>
      <c r="D982" s="1"/>
      <c r="E982" s="357">
        <v>44159</v>
      </c>
      <c r="F982" s="344" t="s">
        <v>625</v>
      </c>
      <c r="G982" s="358">
        <v>9.3956</v>
      </c>
      <c r="H982" s="344" t="s">
        <v>880</v>
      </c>
    </row>
    <row r="983" spans="1:8">
      <c r="A983" s="1"/>
      <c r="B983" s="1"/>
      <c r="C983" s="1"/>
      <c r="D983" s="1"/>
      <c r="E983" s="357">
        <v>44159</v>
      </c>
      <c r="F983" s="344" t="s">
        <v>628</v>
      </c>
      <c r="G983" s="358">
        <v>10.553000000000001</v>
      </c>
      <c r="H983" s="344" t="s">
        <v>880</v>
      </c>
    </row>
    <row r="984" spans="1:8">
      <c r="A984" s="1"/>
      <c r="B984" s="1"/>
      <c r="C984" s="1"/>
      <c r="D984" s="1"/>
      <c r="E984" s="357">
        <v>44159</v>
      </c>
      <c r="F984" s="344" t="s">
        <v>631</v>
      </c>
      <c r="G984" s="358">
        <v>7.9169999999999998</v>
      </c>
      <c r="H984" s="344" t="s">
        <v>880</v>
      </c>
    </row>
    <row r="985" spans="1:8">
      <c r="A985" s="1"/>
      <c r="B985" s="1"/>
      <c r="C985" s="1"/>
      <c r="D985" s="1"/>
      <c r="E985" s="357">
        <v>44160</v>
      </c>
      <c r="F985" s="344" t="s">
        <v>621</v>
      </c>
      <c r="G985" s="358">
        <v>8.6890000000000001</v>
      </c>
      <c r="H985" s="344" t="s">
        <v>881</v>
      </c>
    </row>
    <row r="986" spans="1:8">
      <c r="A986" s="1"/>
      <c r="B986" s="1"/>
      <c r="C986" s="1"/>
      <c r="D986" s="1"/>
      <c r="E986" s="357">
        <v>44160</v>
      </c>
      <c r="F986" s="344" t="s">
        <v>625</v>
      </c>
      <c r="G986" s="358">
        <v>9.4498999999999995</v>
      </c>
      <c r="H986" s="344" t="s">
        <v>881</v>
      </c>
    </row>
    <row r="987" spans="1:8">
      <c r="A987" s="1"/>
      <c r="B987" s="1"/>
      <c r="C987" s="1"/>
      <c r="D987" s="1"/>
      <c r="E987" s="357">
        <v>44160</v>
      </c>
      <c r="F987" s="344" t="s">
        <v>628</v>
      </c>
      <c r="G987" s="358">
        <v>10.577299999999999</v>
      </c>
      <c r="H987" s="344" t="s">
        <v>881</v>
      </c>
    </row>
    <row r="988" spans="1:8">
      <c r="A988" s="1"/>
      <c r="B988" s="1"/>
      <c r="C988" s="1"/>
      <c r="D988" s="1"/>
      <c r="E988" s="357">
        <v>44160</v>
      </c>
      <c r="F988" s="344" t="s">
        <v>631</v>
      </c>
      <c r="G988" s="358">
        <v>7.9414999999999996</v>
      </c>
      <c r="H988" s="344" t="s">
        <v>881</v>
      </c>
    </row>
    <row r="989" spans="1:8">
      <c r="A989" s="1"/>
      <c r="B989" s="1"/>
      <c r="C989" s="1"/>
      <c r="D989" s="1"/>
      <c r="E989" s="357">
        <v>44161</v>
      </c>
      <c r="F989" s="344" t="s">
        <v>621</v>
      </c>
      <c r="G989" s="358">
        <v>8.6727000000000007</v>
      </c>
      <c r="H989" s="344" t="s">
        <v>882</v>
      </c>
    </row>
    <row r="990" spans="1:8">
      <c r="A990" s="1"/>
      <c r="B990" s="1"/>
      <c r="C990" s="1"/>
      <c r="D990" s="1"/>
      <c r="E990" s="357">
        <v>44161</v>
      </c>
      <c r="F990" s="344" t="s">
        <v>625</v>
      </c>
      <c r="G990" s="358">
        <v>9.4067000000000007</v>
      </c>
      <c r="H990" s="344" t="s">
        <v>882</v>
      </c>
    </row>
    <row r="991" spans="1:8">
      <c r="A991" s="1"/>
      <c r="B991" s="1"/>
      <c r="C991" s="1"/>
      <c r="D991" s="1"/>
      <c r="E991" s="357">
        <v>44161</v>
      </c>
      <c r="F991" s="344" t="s">
        <v>628</v>
      </c>
      <c r="G991" s="358">
        <v>10.5328</v>
      </c>
      <c r="H991" s="344" t="s">
        <v>882</v>
      </c>
    </row>
    <row r="992" spans="1:8">
      <c r="A992" s="1"/>
      <c r="B992" s="1"/>
      <c r="C992" s="1"/>
      <c r="D992" s="1"/>
      <c r="E992" s="357">
        <v>44161</v>
      </c>
      <c r="F992" s="344" t="s">
        <v>631</v>
      </c>
      <c r="G992" s="358">
        <v>7.8944999999999999</v>
      </c>
      <c r="H992" s="344" t="s">
        <v>882</v>
      </c>
    </row>
    <row r="993" spans="1:8">
      <c r="A993" s="1"/>
      <c r="B993" s="1"/>
      <c r="C993" s="1"/>
      <c r="D993" s="1"/>
      <c r="E993" s="357">
        <v>44162</v>
      </c>
      <c r="F993" s="344" t="s">
        <v>621</v>
      </c>
      <c r="G993" s="358">
        <v>8.5802999999999994</v>
      </c>
      <c r="H993" s="344" t="s">
        <v>883</v>
      </c>
    </row>
    <row r="994" spans="1:8">
      <c r="A994" s="1"/>
      <c r="B994" s="1"/>
      <c r="C994" s="1"/>
      <c r="D994" s="1"/>
      <c r="E994" s="357">
        <v>44162</v>
      </c>
      <c r="F994" s="344" t="s">
        <v>625</v>
      </c>
      <c r="G994" s="358">
        <v>9.2988</v>
      </c>
      <c r="H994" s="344" t="s">
        <v>883</v>
      </c>
    </row>
    <row r="995" spans="1:8">
      <c r="A995" s="1"/>
      <c r="B995" s="1"/>
      <c r="C995" s="1"/>
      <c r="D995" s="1"/>
      <c r="E995" s="357">
        <v>44162</v>
      </c>
      <c r="F995" s="344" t="s">
        <v>628</v>
      </c>
      <c r="G995" s="358">
        <v>10.3924</v>
      </c>
      <c r="H995" s="344" t="s">
        <v>883</v>
      </c>
    </row>
    <row r="996" spans="1:8">
      <c r="A996" s="1"/>
      <c r="B996" s="1"/>
      <c r="C996" s="1"/>
      <c r="D996" s="1"/>
      <c r="E996" s="357">
        <v>44162</v>
      </c>
      <c r="F996" s="344" t="s">
        <v>631</v>
      </c>
      <c r="G996" s="358">
        <v>7.7975000000000003</v>
      </c>
      <c r="H996" s="344" t="s">
        <v>883</v>
      </c>
    </row>
    <row r="997" spans="1:8">
      <c r="A997" s="1"/>
      <c r="B997" s="1"/>
      <c r="C997" s="1"/>
      <c r="D997" s="1"/>
      <c r="E997" s="357">
        <v>44165</v>
      </c>
      <c r="F997" s="344" t="s">
        <v>621</v>
      </c>
      <c r="G997" s="358">
        <v>8.6061999999999994</v>
      </c>
      <c r="H997" s="344" t="s">
        <v>884</v>
      </c>
    </row>
    <row r="998" spans="1:8">
      <c r="A998" s="1"/>
      <c r="B998" s="1"/>
      <c r="C998" s="1"/>
      <c r="D998" s="1"/>
      <c r="E998" s="357">
        <v>44165</v>
      </c>
      <c r="F998" s="344" t="s">
        <v>625</v>
      </c>
      <c r="G998" s="358">
        <v>9.3306000000000004</v>
      </c>
      <c r="H998" s="344" t="s">
        <v>884</v>
      </c>
    </row>
    <row r="999" spans="1:8">
      <c r="A999" s="1"/>
      <c r="B999" s="1"/>
      <c r="C999" s="1"/>
      <c r="D999" s="1"/>
      <c r="E999" s="357">
        <v>44165</v>
      </c>
      <c r="F999" s="344" t="s">
        <v>628</v>
      </c>
      <c r="G999" s="358">
        <v>10.3728</v>
      </c>
      <c r="H999" s="344" t="s">
        <v>884</v>
      </c>
    </row>
    <row r="1000" spans="1:8">
      <c r="A1000" s="1"/>
      <c r="B1000" s="1"/>
      <c r="C1000" s="1"/>
      <c r="D1000" s="1"/>
      <c r="E1000" s="357">
        <v>44165</v>
      </c>
      <c r="F1000" s="344" t="s">
        <v>631</v>
      </c>
      <c r="G1000" s="358">
        <v>7.7892000000000001</v>
      </c>
      <c r="H1000" s="344" t="s">
        <v>884</v>
      </c>
    </row>
    <row r="1001" spans="1:8">
      <c r="A1001" s="1"/>
      <c r="B1001" s="1"/>
      <c r="C1001" s="1"/>
      <c r="D1001" s="1"/>
      <c r="E1001" s="357">
        <v>44166</v>
      </c>
      <c r="F1001" s="344" t="s">
        <v>621</v>
      </c>
      <c r="G1001" s="358">
        <v>8.6310000000000002</v>
      </c>
      <c r="H1001" s="344" t="s">
        <v>885</v>
      </c>
    </row>
    <row r="1002" spans="1:8">
      <c r="A1002" s="1"/>
      <c r="B1002" s="1"/>
      <c r="C1002" s="1"/>
      <c r="D1002" s="1"/>
      <c r="E1002" s="357">
        <v>44166</v>
      </c>
      <c r="F1002" s="344" t="s">
        <v>625</v>
      </c>
      <c r="G1002" s="358">
        <v>9.3867999999999991</v>
      </c>
      <c r="H1002" s="344" t="s">
        <v>885</v>
      </c>
    </row>
    <row r="1003" spans="1:8">
      <c r="A1003" s="1"/>
      <c r="B1003" s="1"/>
      <c r="C1003" s="1"/>
      <c r="D1003" s="1"/>
      <c r="E1003" s="357">
        <v>44166</v>
      </c>
      <c r="F1003" s="344" t="s">
        <v>628</v>
      </c>
      <c r="G1003" s="358">
        <v>10.461</v>
      </c>
      <c r="H1003" s="344" t="s">
        <v>885</v>
      </c>
    </row>
    <row r="1004" spans="1:8">
      <c r="A1004" s="1"/>
      <c r="B1004" s="1"/>
      <c r="C1004" s="1"/>
      <c r="D1004" s="1"/>
      <c r="E1004" s="357">
        <v>44166</v>
      </c>
      <c r="F1004" s="344" t="s">
        <v>631</v>
      </c>
      <c r="G1004" s="358">
        <v>7.8411999999999997</v>
      </c>
      <c r="H1004" s="344" t="s">
        <v>885</v>
      </c>
    </row>
    <row r="1005" spans="1:8">
      <c r="A1005" s="1"/>
      <c r="B1005" s="1"/>
      <c r="C1005" s="1"/>
      <c r="D1005" s="1"/>
      <c r="E1005" s="357">
        <v>44167</v>
      </c>
      <c r="F1005" s="344" t="s">
        <v>621</v>
      </c>
      <c r="G1005" s="358">
        <v>8.6532</v>
      </c>
      <c r="H1005" s="344" t="s">
        <v>886</v>
      </c>
    </row>
    <row r="1006" spans="1:8">
      <c r="A1006" s="1"/>
      <c r="B1006" s="1"/>
      <c r="C1006" s="1"/>
      <c r="D1006" s="1"/>
      <c r="E1006" s="357">
        <v>44167</v>
      </c>
      <c r="F1006" s="344" t="s">
        <v>625</v>
      </c>
      <c r="G1006" s="358">
        <v>9.4133999999999993</v>
      </c>
      <c r="H1006" s="344" t="s">
        <v>886</v>
      </c>
    </row>
    <row r="1007" spans="1:8">
      <c r="A1007" s="1"/>
      <c r="B1007" s="1"/>
      <c r="C1007" s="1"/>
      <c r="D1007" s="1"/>
      <c r="E1007" s="357">
        <v>44167</v>
      </c>
      <c r="F1007" s="344" t="s">
        <v>628</v>
      </c>
      <c r="G1007" s="358">
        <v>10.414999999999999</v>
      </c>
      <c r="H1007" s="344" t="s">
        <v>886</v>
      </c>
    </row>
    <row r="1008" spans="1:8">
      <c r="A1008" s="1"/>
      <c r="B1008" s="1"/>
      <c r="C1008" s="1"/>
      <c r="D1008" s="1"/>
      <c r="E1008" s="357">
        <v>44167</v>
      </c>
      <c r="F1008" s="344" t="s">
        <v>631</v>
      </c>
      <c r="G1008" s="358">
        <v>7.8079999999999998</v>
      </c>
      <c r="H1008" s="344" t="s">
        <v>886</v>
      </c>
    </row>
    <row r="1009" spans="1:8">
      <c r="A1009" s="1"/>
      <c r="B1009" s="1"/>
      <c r="C1009" s="1"/>
      <c r="D1009" s="1"/>
      <c r="E1009" s="357">
        <v>44168</v>
      </c>
      <c r="F1009" s="344" t="s">
        <v>621</v>
      </c>
      <c r="G1009" s="358">
        <v>8.7622</v>
      </c>
      <c r="H1009" s="344" t="s">
        <v>887</v>
      </c>
    </row>
    <row r="1010" spans="1:8">
      <c r="A1010" s="1"/>
      <c r="B1010" s="1"/>
      <c r="C1010" s="1"/>
      <c r="D1010" s="1"/>
      <c r="E1010" s="357">
        <v>44168</v>
      </c>
      <c r="F1010" s="344" t="s">
        <v>625</v>
      </c>
      <c r="G1010" s="358">
        <v>9.5106000000000002</v>
      </c>
      <c r="H1010" s="344" t="s">
        <v>887</v>
      </c>
    </row>
    <row r="1011" spans="1:8">
      <c r="A1011" s="1"/>
      <c r="B1011" s="1"/>
      <c r="C1011" s="1"/>
      <c r="D1011" s="1"/>
      <c r="E1011" s="357">
        <v>44168</v>
      </c>
      <c r="F1011" s="344" t="s">
        <v>628</v>
      </c>
      <c r="G1011" s="358">
        <v>10.504799999999999</v>
      </c>
      <c r="H1011" s="344" t="s">
        <v>887</v>
      </c>
    </row>
    <row r="1012" spans="1:8">
      <c r="A1012" s="1"/>
      <c r="B1012" s="1"/>
      <c r="C1012" s="1"/>
      <c r="D1012" s="1"/>
      <c r="E1012" s="357">
        <v>44168</v>
      </c>
      <c r="F1012" s="344" t="s">
        <v>631</v>
      </c>
      <c r="G1012" s="358">
        <v>7.8472</v>
      </c>
      <c r="H1012" s="344" t="s">
        <v>887</v>
      </c>
    </row>
    <row r="1013" spans="1:8">
      <c r="A1013" s="1"/>
      <c r="B1013" s="1"/>
      <c r="C1013" s="1"/>
      <c r="D1013" s="1"/>
      <c r="E1013" s="357">
        <v>44169</v>
      </c>
      <c r="F1013" s="344" t="s">
        <v>621</v>
      </c>
      <c r="G1013" s="358">
        <v>8.7136999999999993</v>
      </c>
      <c r="H1013" s="344" t="s">
        <v>888</v>
      </c>
    </row>
    <row r="1014" spans="1:8">
      <c r="A1014" s="1"/>
      <c r="B1014" s="1"/>
      <c r="C1014" s="1"/>
      <c r="D1014" s="1"/>
      <c r="E1014" s="357">
        <v>44169</v>
      </c>
      <c r="F1014" s="344" t="s">
        <v>625</v>
      </c>
      <c r="G1014" s="358">
        <v>9.4625000000000004</v>
      </c>
      <c r="H1014" s="344" t="s">
        <v>888</v>
      </c>
    </row>
    <row r="1015" spans="1:8">
      <c r="A1015" s="1"/>
      <c r="B1015" s="1"/>
      <c r="C1015" s="1"/>
      <c r="D1015" s="1"/>
      <c r="E1015" s="357">
        <v>44169</v>
      </c>
      <c r="F1015" s="344" t="s">
        <v>628</v>
      </c>
      <c r="G1015" s="358">
        <v>10.451599999999999</v>
      </c>
      <c r="H1015" s="344" t="s">
        <v>888</v>
      </c>
    </row>
    <row r="1016" spans="1:8">
      <c r="A1016" s="1"/>
      <c r="B1016" s="1"/>
      <c r="C1016" s="1"/>
      <c r="D1016" s="1"/>
      <c r="E1016" s="357">
        <v>44169</v>
      </c>
      <c r="F1016" s="344" t="s">
        <v>631</v>
      </c>
      <c r="G1016" s="358">
        <v>7.7796000000000003</v>
      </c>
      <c r="H1016" s="344" t="s">
        <v>888</v>
      </c>
    </row>
    <row r="1017" spans="1:8">
      <c r="A1017" s="1"/>
      <c r="B1017" s="1"/>
      <c r="C1017" s="1"/>
      <c r="D1017" s="1"/>
      <c r="E1017" s="357">
        <v>44172</v>
      </c>
      <c r="F1017" s="344" t="s">
        <v>621</v>
      </c>
      <c r="G1017" s="358">
        <v>8.7653999999999996</v>
      </c>
      <c r="H1017" s="344" t="s">
        <v>889</v>
      </c>
    </row>
    <row r="1018" spans="1:8">
      <c r="A1018" s="1"/>
      <c r="B1018" s="1"/>
      <c r="C1018" s="1"/>
      <c r="D1018" s="1"/>
      <c r="E1018" s="357">
        <v>44172</v>
      </c>
      <c r="F1018" s="344" t="s">
        <v>625</v>
      </c>
      <c r="G1018" s="358">
        <v>9.4913000000000007</v>
      </c>
      <c r="H1018" s="344" t="s">
        <v>889</v>
      </c>
    </row>
    <row r="1019" spans="1:8">
      <c r="A1019" s="1"/>
      <c r="B1019" s="1"/>
      <c r="C1019" s="1"/>
      <c r="D1019" s="1"/>
      <c r="E1019" s="357">
        <v>44172</v>
      </c>
      <c r="F1019" s="344" t="s">
        <v>628</v>
      </c>
      <c r="G1019" s="358">
        <v>10.411</v>
      </c>
      <c r="H1019" s="344" t="s">
        <v>889</v>
      </c>
    </row>
    <row r="1020" spans="1:8">
      <c r="A1020" s="1"/>
      <c r="B1020" s="1"/>
      <c r="C1020" s="1"/>
      <c r="D1020" s="1"/>
      <c r="E1020" s="357">
        <v>44172</v>
      </c>
      <c r="F1020" s="344" t="s">
        <v>631</v>
      </c>
      <c r="G1020" s="358">
        <v>7.8372999999999999</v>
      </c>
      <c r="H1020" s="344" t="s">
        <v>889</v>
      </c>
    </row>
    <row r="1021" spans="1:8">
      <c r="A1021" s="1"/>
      <c r="B1021" s="1"/>
      <c r="C1021" s="1"/>
      <c r="D1021" s="1"/>
      <c r="E1021" s="357">
        <v>44173</v>
      </c>
      <c r="F1021" s="344" t="s">
        <v>621</v>
      </c>
      <c r="G1021" s="358">
        <v>8.7510999999999992</v>
      </c>
      <c r="H1021" s="344" t="s">
        <v>890</v>
      </c>
    </row>
    <row r="1022" spans="1:8">
      <c r="A1022" s="1"/>
      <c r="B1022" s="1"/>
      <c r="C1022" s="1"/>
      <c r="D1022" s="1"/>
      <c r="E1022" s="357">
        <v>44173</v>
      </c>
      <c r="F1022" s="344" t="s">
        <v>625</v>
      </c>
      <c r="G1022" s="358">
        <v>9.4619999999999997</v>
      </c>
      <c r="H1022" s="344" t="s">
        <v>890</v>
      </c>
    </row>
    <row r="1023" spans="1:8">
      <c r="A1023" s="1"/>
      <c r="B1023" s="1"/>
      <c r="C1023" s="1"/>
      <c r="D1023" s="1"/>
      <c r="E1023" s="357">
        <v>44173</v>
      </c>
      <c r="F1023" s="344" t="s">
        <v>628</v>
      </c>
      <c r="G1023" s="358">
        <v>10.401999999999999</v>
      </c>
      <c r="H1023" s="344" t="s">
        <v>890</v>
      </c>
    </row>
    <row r="1024" spans="1:8">
      <c r="A1024" s="1"/>
      <c r="B1024" s="1"/>
      <c r="C1024" s="1"/>
      <c r="D1024" s="1"/>
      <c r="E1024" s="357">
        <v>44173</v>
      </c>
      <c r="F1024" s="344" t="s">
        <v>631</v>
      </c>
      <c r="G1024" s="358">
        <v>7.8087</v>
      </c>
      <c r="H1024" s="344" t="s">
        <v>890</v>
      </c>
    </row>
    <row r="1025" spans="1:8">
      <c r="A1025" s="1"/>
      <c r="B1025" s="1"/>
      <c r="C1025" s="1"/>
      <c r="D1025" s="1"/>
      <c r="E1025" s="357">
        <v>44174</v>
      </c>
      <c r="F1025" s="344" t="s">
        <v>621</v>
      </c>
      <c r="G1025" s="358">
        <v>8.7849000000000004</v>
      </c>
      <c r="H1025" s="344" t="s">
        <v>891</v>
      </c>
    </row>
    <row r="1026" spans="1:8">
      <c r="A1026" s="1"/>
      <c r="B1026" s="1"/>
      <c r="C1026" s="1"/>
      <c r="D1026" s="1"/>
      <c r="E1026" s="357">
        <v>44174</v>
      </c>
      <c r="F1026" s="344" t="s">
        <v>625</v>
      </c>
      <c r="G1026" s="358">
        <v>9.484</v>
      </c>
      <c r="H1026" s="344" t="s">
        <v>891</v>
      </c>
    </row>
    <row r="1027" spans="1:8">
      <c r="A1027" s="1"/>
      <c r="B1027" s="1"/>
      <c r="C1027" s="1"/>
      <c r="D1027" s="1"/>
      <c r="E1027" s="357">
        <v>44174</v>
      </c>
      <c r="F1027" s="344" t="s">
        <v>628</v>
      </c>
      <c r="G1027" s="358">
        <v>10.480700000000001</v>
      </c>
      <c r="H1027" s="344" t="s">
        <v>891</v>
      </c>
    </row>
    <row r="1028" spans="1:8">
      <c r="A1028" s="1"/>
      <c r="B1028" s="1"/>
      <c r="C1028" s="1"/>
      <c r="D1028" s="1"/>
      <c r="E1028" s="357">
        <v>44174</v>
      </c>
      <c r="F1028" s="344" t="s">
        <v>631</v>
      </c>
      <c r="G1028" s="358">
        <v>7.8202999999999996</v>
      </c>
      <c r="H1028" s="344" t="s">
        <v>891</v>
      </c>
    </row>
    <row r="1029" spans="1:8">
      <c r="A1029" s="1"/>
      <c r="B1029" s="1"/>
      <c r="C1029" s="1"/>
      <c r="D1029" s="1"/>
      <c r="E1029" s="357">
        <v>44175</v>
      </c>
      <c r="F1029" s="344" t="s">
        <v>621</v>
      </c>
      <c r="G1029" s="358">
        <v>8.8078000000000003</v>
      </c>
      <c r="H1029" s="344" t="s">
        <v>892</v>
      </c>
    </row>
    <row r="1030" spans="1:8">
      <c r="A1030" s="1"/>
      <c r="B1030" s="1"/>
      <c r="C1030" s="1"/>
      <c r="D1030" s="1"/>
      <c r="E1030" s="357">
        <v>44175</v>
      </c>
      <c r="F1030" s="344" t="s">
        <v>625</v>
      </c>
      <c r="G1030" s="358">
        <v>9.4931999999999999</v>
      </c>
      <c r="H1030" s="344" t="s">
        <v>892</v>
      </c>
    </row>
    <row r="1031" spans="1:8">
      <c r="A1031" s="1"/>
      <c r="B1031" s="1"/>
      <c r="C1031" s="1"/>
      <c r="D1031" s="1"/>
      <c r="E1031" s="357">
        <v>44175</v>
      </c>
      <c r="F1031" s="344" t="s">
        <v>628</v>
      </c>
      <c r="G1031" s="358">
        <v>10.428599999999999</v>
      </c>
      <c r="H1031" s="344" t="s">
        <v>892</v>
      </c>
    </row>
    <row r="1032" spans="1:8">
      <c r="A1032" s="1"/>
      <c r="B1032" s="1"/>
      <c r="C1032" s="1"/>
      <c r="D1032" s="1"/>
      <c r="E1032" s="357">
        <v>44175</v>
      </c>
      <c r="F1032" s="344" t="s">
        <v>631</v>
      </c>
      <c r="G1032" s="358">
        <v>7.8498999999999999</v>
      </c>
      <c r="H1032" s="344" t="s">
        <v>892</v>
      </c>
    </row>
    <row r="1033" spans="1:8">
      <c r="A1033" s="1"/>
      <c r="B1033" s="1"/>
      <c r="C1033" s="1"/>
      <c r="D1033" s="1"/>
      <c r="E1033" s="357">
        <v>44176</v>
      </c>
      <c r="F1033" s="344" t="s">
        <v>621</v>
      </c>
      <c r="G1033" s="358">
        <v>8.9194999999999993</v>
      </c>
      <c r="H1033" s="344" t="s">
        <v>893</v>
      </c>
    </row>
    <row r="1034" spans="1:8">
      <c r="A1034" s="1"/>
      <c r="B1034" s="1"/>
      <c r="C1034" s="1"/>
      <c r="D1034" s="1"/>
      <c r="E1034" s="357">
        <v>44176</v>
      </c>
      <c r="F1034" s="344" t="s">
        <v>625</v>
      </c>
      <c r="G1034" s="358">
        <v>9.6241000000000003</v>
      </c>
      <c r="H1034" s="344" t="s">
        <v>893</v>
      </c>
    </row>
    <row r="1035" spans="1:8">
      <c r="A1035" s="1"/>
      <c r="B1035" s="1"/>
      <c r="C1035" s="1"/>
      <c r="D1035" s="1"/>
      <c r="E1035" s="357">
        <v>44176</v>
      </c>
      <c r="F1035" s="344" t="s">
        <v>628</v>
      </c>
      <c r="G1035" s="358">
        <v>10.4842</v>
      </c>
      <c r="H1035" s="344" t="s">
        <v>893</v>
      </c>
    </row>
    <row r="1036" spans="1:8">
      <c r="A1036" s="1"/>
      <c r="B1036" s="1"/>
      <c r="C1036" s="1"/>
      <c r="D1036" s="1"/>
      <c r="E1036" s="357">
        <v>44176</v>
      </c>
      <c r="F1036" s="344" t="s">
        <v>631</v>
      </c>
      <c r="G1036" s="358">
        <v>7.9348999999999998</v>
      </c>
      <c r="H1036" s="344" t="s">
        <v>893</v>
      </c>
    </row>
    <row r="1037" spans="1:8">
      <c r="A1037" s="1"/>
      <c r="B1037" s="1"/>
      <c r="C1037" s="1"/>
      <c r="D1037" s="1"/>
      <c r="E1037" s="357">
        <v>44179</v>
      </c>
      <c r="F1037" s="344" t="s">
        <v>621</v>
      </c>
      <c r="G1037" s="358">
        <v>8.8534000000000006</v>
      </c>
      <c r="H1037" s="344" t="s">
        <v>894</v>
      </c>
    </row>
    <row r="1038" spans="1:8">
      <c r="A1038" s="1"/>
      <c r="B1038" s="1"/>
      <c r="C1038" s="1"/>
      <c r="D1038" s="1"/>
      <c r="E1038" s="357">
        <v>44179</v>
      </c>
      <c r="F1038" s="344" t="s">
        <v>625</v>
      </c>
      <c r="G1038" s="358">
        <v>9.5624000000000002</v>
      </c>
      <c r="H1038" s="344" t="s">
        <v>894</v>
      </c>
    </row>
    <row r="1039" spans="1:8">
      <c r="A1039" s="1"/>
      <c r="B1039" s="1"/>
      <c r="C1039" s="1"/>
      <c r="D1039" s="1"/>
      <c r="E1039" s="357">
        <v>44179</v>
      </c>
      <c r="F1039" s="344" t="s">
        <v>628</v>
      </c>
      <c r="G1039" s="358">
        <v>10.526400000000001</v>
      </c>
      <c r="H1039" s="344" t="s">
        <v>894</v>
      </c>
    </row>
    <row r="1040" spans="1:8">
      <c r="A1040" s="1"/>
      <c r="B1040" s="1"/>
      <c r="C1040" s="1"/>
      <c r="D1040" s="1"/>
      <c r="E1040" s="357">
        <v>44179</v>
      </c>
      <c r="F1040" s="344" t="s">
        <v>631</v>
      </c>
      <c r="G1040" s="358">
        <v>7.8699000000000003</v>
      </c>
      <c r="H1040" s="344" t="s">
        <v>894</v>
      </c>
    </row>
    <row r="1041" spans="1:8">
      <c r="A1041" s="1"/>
      <c r="B1041" s="1"/>
      <c r="C1041" s="1"/>
      <c r="D1041" s="1"/>
      <c r="E1041" s="357">
        <v>44180</v>
      </c>
      <c r="F1041" s="344" t="s">
        <v>621</v>
      </c>
      <c r="G1041" s="358">
        <v>8.8155000000000001</v>
      </c>
      <c r="H1041" s="344" t="s">
        <v>895</v>
      </c>
    </row>
    <row r="1042" spans="1:8">
      <c r="A1042" s="1"/>
      <c r="B1042" s="1"/>
      <c r="C1042" s="1"/>
      <c r="D1042" s="1"/>
      <c r="E1042" s="357">
        <v>44180</v>
      </c>
      <c r="F1042" s="344" t="s">
        <v>625</v>
      </c>
      <c r="G1042" s="358">
        <v>9.5183999999999997</v>
      </c>
      <c r="H1042" s="344" t="s">
        <v>895</v>
      </c>
    </row>
    <row r="1043" spans="1:8">
      <c r="A1043" s="1"/>
      <c r="B1043" s="1"/>
      <c r="C1043" s="1"/>
      <c r="D1043" s="1"/>
      <c r="E1043" s="357">
        <v>44180</v>
      </c>
      <c r="F1043" s="344" t="s">
        <v>628</v>
      </c>
      <c r="G1043" s="358">
        <v>10.4251</v>
      </c>
      <c r="H1043" s="344" t="s">
        <v>895</v>
      </c>
    </row>
    <row r="1044" spans="1:8">
      <c r="A1044" s="1"/>
      <c r="B1044" s="1"/>
      <c r="C1044" s="1"/>
      <c r="D1044" s="1"/>
      <c r="E1044" s="357">
        <v>44180</v>
      </c>
      <c r="F1044" s="344" t="s">
        <v>631</v>
      </c>
      <c r="G1044" s="358">
        <v>7.8331</v>
      </c>
      <c r="H1044" s="344" t="s">
        <v>895</v>
      </c>
    </row>
    <row r="1045" spans="1:8">
      <c r="A1045" s="1"/>
      <c r="B1045" s="1"/>
      <c r="C1045" s="1"/>
      <c r="D1045" s="1"/>
      <c r="E1045" s="357">
        <v>44181</v>
      </c>
      <c r="F1045" s="344" t="s">
        <v>621</v>
      </c>
      <c r="G1045" s="358">
        <v>8.7899999999999991</v>
      </c>
      <c r="H1045" s="344" t="s">
        <v>896</v>
      </c>
    </row>
    <row r="1046" spans="1:8">
      <c r="A1046" s="1"/>
      <c r="B1046" s="1"/>
      <c r="C1046" s="1"/>
      <c r="D1046" s="1"/>
      <c r="E1046" s="357">
        <v>44181</v>
      </c>
      <c r="F1046" s="344" t="s">
        <v>625</v>
      </c>
      <c r="G1046" s="358">
        <v>9.4908000000000001</v>
      </c>
      <c r="H1046" s="344" t="s">
        <v>896</v>
      </c>
    </row>
    <row r="1047" spans="1:8">
      <c r="A1047" s="1"/>
      <c r="B1047" s="1"/>
      <c r="C1047" s="1"/>
      <c r="D1047" s="1"/>
      <c r="E1047" s="357">
        <v>44181</v>
      </c>
      <c r="F1047" s="344" t="s">
        <v>628</v>
      </c>
      <c r="G1047" s="358">
        <v>10.497</v>
      </c>
      <c r="H1047" s="344" t="s">
        <v>896</v>
      </c>
    </row>
    <row r="1048" spans="1:8">
      <c r="A1048" s="1"/>
      <c r="B1048" s="1"/>
      <c r="C1048" s="1"/>
      <c r="D1048" s="1"/>
      <c r="E1048" s="357">
        <v>44181</v>
      </c>
      <c r="F1048" s="344" t="s">
        <v>631</v>
      </c>
      <c r="G1048" s="358">
        <v>7.7873000000000001</v>
      </c>
      <c r="H1048" s="344" t="s">
        <v>896</v>
      </c>
    </row>
    <row r="1049" spans="1:8">
      <c r="A1049" s="1"/>
      <c r="B1049" s="1"/>
      <c r="C1049" s="1"/>
      <c r="D1049" s="1"/>
      <c r="E1049" s="357">
        <v>44182</v>
      </c>
      <c r="F1049" s="344" t="s">
        <v>621</v>
      </c>
      <c r="G1049" s="358">
        <v>8.7540999999999993</v>
      </c>
      <c r="H1049" s="344" t="s">
        <v>897</v>
      </c>
    </row>
    <row r="1050" spans="1:8">
      <c r="A1050" s="1"/>
      <c r="B1050" s="1"/>
      <c r="C1050" s="1"/>
      <c r="D1050" s="1"/>
      <c r="E1050" s="357">
        <v>44182</v>
      </c>
      <c r="F1050" s="344" t="s">
        <v>625</v>
      </c>
      <c r="G1050" s="358">
        <v>9.4817</v>
      </c>
      <c r="H1050" s="344" t="s">
        <v>897</v>
      </c>
    </row>
    <row r="1051" spans="1:8">
      <c r="A1051" s="1"/>
      <c r="B1051" s="1"/>
      <c r="C1051" s="1"/>
      <c r="D1051" s="1"/>
      <c r="E1051" s="357">
        <v>44182</v>
      </c>
      <c r="F1051" s="344" t="s">
        <v>628</v>
      </c>
      <c r="G1051" s="358">
        <v>10.5138</v>
      </c>
      <c r="H1051" s="344" t="s">
        <v>897</v>
      </c>
    </row>
    <row r="1052" spans="1:8">
      <c r="A1052" s="1"/>
      <c r="B1052" s="1"/>
      <c r="C1052" s="1"/>
      <c r="D1052" s="1"/>
      <c r="E1052" s="357">
        <v>44182</v>
      </c>
      <c r="F1052" s="344" t="s">
        <v>631</v>
      </c>
      <c r="G1052" s="358">
        <v>7.7510000000000003</v>
      </c>
      <c r="H1052" s="344" t="s">
        <v>897</v>
      </c>
    </row>
    <row r="1053" spans="1:8">
      <c r="A1053" s="1"/>
      <c r="B1053" s="1"/>
      <c r="C1053" s="1"/>
      <c r="D1053" s="1"/>
      <c r="E1053" s="357">
        <v>44183</v>
      </c>
      <c r="F1053" s="344" t="s">
        <v>621</v>
      </c>
      <c r="G1053" s="358">
        <v>8.6763999999999992</v>
      </c>
      <c r="H1053" s="344" t="s">
        <v>898</v>
      </c>
    </row>
    <row r="1054" spans="1:8">
      <c r="A1054" s="1"/>
      <c r="B1054" s="1"/>
      <c r="C1054" s="1"/>
      <c r="D1054" s="1"/>
      <c r="E1054" s="357">
        <v>44183</v>
      </c>
      <c r="F1054" s="344" t="s">
        <v>625</v>
      </c>
      <c r="G1054" s="358">
        <v>9.423</v>
      </c>
      <c r="H1054" s="344" t="s">
        <v>898</v>
      </c>
    </row>
    <row r="1055" spans="1:8">
      <c r="A1055" s="1"/>
      <c r="B1055" s="1"/>
      <c r="C1055" s="1"/>
      <c r="D1055" s="1"/>
      <c r="E1055" s="357">
        <v>44183</v>
      </c>
      <c r="F1055" s="344" t="s">
        <v>628</v>
      </c>
      <c r="G1055" s="358">
        <v>10.3841</v>
      </c>
      <c r="H1055" s="344" t="s">
        <v>898</v>
      </c>
    </row>
    <row r="1056" spans="1:8">
      <c r="A1056" s="1"/>
      <c r="B1056" s="1"/>
      <c r="C1056" s="1"/>
      <c r="D1056" s="1"/>
      <c r="E1056" s="357">
        <v>44183</v>
      </c>
      <c r="F1056" s="344" t="s">
        <v>631</v>
      </c>
      <c r="G1056" s="358">
        <v>7.6898</v>
      </c>
      <c r="H1056" s="344" t="s">
        <v>898</v>
      </c>
    </row>
    <row r="1057" spans="1:8">
      <c r="A1057" s="1"/>
      <c r="B1057" s="1"/>
      <c r="C1057" s="1"/>
      <c r="D1057" s="1"/>
      <c r="E1057" s="357">
        <v>44186</v>
      </c>
      <c r="F1057" s="344" t="s">
        <v>621</v>
      </c>
      <c r="G1057" s="358">
        <v>8.6262000000000008</v>
      </c>
      <c r="H1057" s="344" t="s">
        <v>899</v>
      </c>
    </row>
    <row r="1058" spans="1:8">
      <c r="A1058" s="1"/>
      <c r="B1058" s="1"/>
      <c r="C1058" s="1"/>
      <c r="D1058" s="1"/>
      <c r="E1058" s="357">
        <v>44186</v>
      </c>
      <c r="F1058" s="344" t="s">
        <v>625</v>
      </c>
      <c r="G1058" s="358">
        <v>9.3504000000000005</v>
      </c>
      <c r="H1058" s="344" t="s">
        <v>899</v>
      </c>
    </row>
    <row r="1059" spans="1:8">
      <c r="A1059" s="1"/>
      <c r="B1059" s="1"/>
      <c r="C1059" s="1"/>
      <c r="D1059" s="1"/>
      <c r="E1059" s="357">
        <v>44186</v>
      </c>
      <c r="F1059" s="344" t="s">
        <v>628</v>
      </c>
      <c r="G1059" s="358">
        <v>10.173</v>
      </c>
      <c r="H1059" s="344" t="s">
        <v>899</v>
      </c>
    </row>
    <row r="1060" spans="1:8">
      <c r="A1060" s="1"/>
      <c r="B1060" s="1"/>
      <c r="C1060" s="1"/>
      <c r="D1060" s="1"/>
      <c r="E1060" s="357">
        <v>44186</v>
      </c>
      <c r="F1060" s="344" t="s">
        <v>631</v>
      </c>
      <c r="G1060" s="358">
        <v>7.6768999999999998</v>
      </c>
      <c r="H1060" s="344" t="s">
        <v>899</v>
      </c>
    </row>
    <row r="1061" spans="1:8">
      <c r="A1061" s="1"/>
      <c r="B1061" s="1"/>
      <c r="C1061" s="1"/>
      <c r="D1061" s="1"/>
      <c r="E1061" s="357">
        <v>44187</v>
      </c>
      <c r="F1061" s="344" t="s">
        <v>621</v>
      </c>
      <c r="G1061" s="358">
        <v>8.5955999999999992</v>
      </c>
      <c r="H1061" s="344" t="s">
        <v>900</v>
      </c>
    </row>
    <row r="1062" spans="1:8">
      <c r="A1062" s="1"/>
      <c r="B1062" s="1"/>
      <c r="C1062" s="1"/>
      <c r="D1062" s="1"/>
      <c r="E1062" s="357">
        <v>44187</v>
      </c>
      <c r="F1062" s="344" t="s">
        <v>625</v>
      </c>
      <c r="G1062" s="358">
        <v>9.3346999999999998</v>
      </c>
      <c r="H1062" s="344" t="s">
        <v>900</v>
      </c>
    </row>
    <row r="1063" spans="1:8">
      <c r="A1063" s="1"/>
      <c r="B1063" s="1"/>
      <c r="C1063" s="1"/>
      <c r="D1063" s="1"/>
      <c r="E1063" s="357">
        <v>44187</v>
      </c>
      <c r="F1063" s="344" t="s">
        <v>628</v>
      </c>
      <c r="G1063" s="358">
        <v>10.231400000000001</v>
      </c>
      <c r="H1063" s="344" t="s">
        <v>900</v>
      </c>
    </row>
    <row r="1064" spans="1:8">
      <c r="A1064" s="1"/>
      <c r="B1064" s="1"/>
      <c r="C1064" s="1"/>
      <c r="D1064" s="1"/>
      <c r="E1064" s="357">
        <v>44187</v>
      </c>
      <c r="F1064" s="344" t="s">
        <v>631</v>
      </c>
      <c r="G1064" s="358">
        <v>7.6368</v>
      </c>
      <c r="H1064" s="344" t="s">
        <v>900</v>
      </c>
    </row>
    <row r="1065" spans="1:8">
      <c r="A1065" s="1"/>
      <c r="B1065" s="1"/>
      <c r="C1065" s="1"/>
      <c r="D1065" s="1"/>
      <c r="E1065" s="357">
        <v>44188</v>
      </c>
      <c r="F1065" s="344" t="s">
        <v>621</v>
      </c>
      <c r="G1065" s="358">
        <v>8.5649999999999995</v>
      </c>
      <c r="H1065" s="344" t="s">
        <v>901</v>
      </c>
    </row>
    <row r="1066" spans="1:8">
      <c r="A1066" s="1"/>
      <c r="B1066" s="1"/>
      <c r="C1066" s="1"/>
      <c r="D1066" s="1"/>
      <c r="E1066" s="357">
        <v>44188</v>
      </c>
      <c r="F1066" s="344" t="s">
        <v>625</v>
      </c>
      <c r="G1066" s="358">
        <v>9.3030000000000008</v>
      </c>
      <c r="H1066" s="344" t="s">
        <v>901</v>
      </c>
    </row>
    <row r="1067" spans="1:8">
      <c r="A1067" s="1"/>
      <c r="B1067" s="1"/>
      <c r="C1067" s="1"/>
      <c r="D1067" s="1"/>
      <c r="E1067" s="357">
        <v>44188</v>
      </c>
      <c r="F1067" s="344" t="s">
        <v>628</v>
      </c>
      <c r="G1067" s="358">
        <v>10.228400000000001</v>
      </c>
      <c r="H1067" s="344" t="s">
        <v>901</v>
      </c>
    </row>
    <row r="1068" spans="1:8">
      <c r="A1068" s="1"/>
      <c r="B1068" s="1"/>
      <c r="C1068" s="1"/>
      <c r="D1068" s="1"/>
      <c r="E1068" s="357">
        <v>44188</v>
      </c>
      <c r="F1068" s="344" t="s">
        <v>631</v>
      </c>
      <c r="G1068" s="358">
        <v>7.6321000000000003</v>
      </c>
      <c r="H1068" s="344" t="s">
        <v>901</v>
      </c>
    </row>
    <row r="1069" spans="1:8">
      <c r="A1069" s="1"/>
      <c r="B1069" s="1"/>
      <c r="C1069" s="1"/>
      <c r="D1069" s="1"/>
      <c r="E1069" s="357">
        <v>44189</v>
      </c>
      <c r="F1069" s="344" t="s">
        <v>621</v>
      </c>
      <c r="G1069" s="358">
        <v>8.5582999999999991</v>
      </c>
      <c r="H1069" s="344" t="s">
        <v>902</v>
      </c>
    </row>
    <row r="1070" spans="1:8">
      <c r="A1070" s="1"/>
      <c r="B1070" s="1"/>
      <c r="C1070" s="1"/>
      <c r="D1070" s="1"/>
      <c r="E1070" s="357">
        <v>44189</v>
      </c>
      <c r="F1070" s="344" t="s">
        <v>625</v>
      </c>
      <c r="G1070" s="358">
        <v>9.2948000000000004</v>
      </c>
      <c r="H1070" s="344" t="s">
        <v>902</v>
      </c>
    </row>
    <row r="1071" spans="1:8">
      <c r="A1071" s="1"/>
      <c r="B1071" s="1"/>
      <c r="C1071" s="1"/>
      <c r="D1071" s="1"/>
      <c r="E1071" s="357">
        <v>44189</v>
      </c>
      <c r="F1071" s="344" t="s">
        <v>628</v>
      </c>
      <c r="G1071" s="358">
        <v>10.333299999999999</v>
      </c>
      <c r="H1071" s="344" t="s">
        <v>902</v>
      </c>
    </row>
    <row r="1072" spans="1:8">
      <c r="A1072" s="1"/>
      <c r="B1072" s="1"/>
      <c r="C1072" s="1"/>
      <c r="D1072" s="1"/>
      <c r="E1072" s="357">
        <v>44189</v>
      </c>
      <c r="F1072" s="344" t="s">
        <v>631</v>
      </c>
      <c r="G1072" s="358">
        <v>7.6189999999999998</v>
      </c>
      <c r="H1072" s="344" t="s">
        <v>902</v>
      </c>
    </row>
    <row r="1073" spans="1:8">
      <c r="A1073" s="1"/>
      <c r="B1073" s="1"/>
      <c r="C1073" s="1"/>
      <c r="D1073" s="1"/>
      <c r="E1073" s="357">
        <v>44190</v>
      </c>
      <c r="F1073" s="344" t="s">
        <v>621</v>
      </c>
      <c r="G1073" s="358">
        <v>8.4711999999999996</v>
      </c>
      <c r="H1073" s="344" t="s">
        <v>903</v>
      </c>
    </row>
    <row r="1074" spans="1:8">
      <c r="A1074" s="1"/>
      <c r="B1074" s="1"/>
      <c r="C1074" s="1"/>
      <c r="D1074" s="1"/>
      <c r="E1074" s="357">
        <v>44190</v>
      </c>
      <c r="F1074" s="344" t="s">
        <v>625</v>
      </c>
      <c r="G1074" s="358">
        <v>9.2036999999999995</v>
      </c>
      <c r="H1074" s="344" t="s">
        <v>903</v>
      </c>
    </row>
    <row r="1075" spans="1:8">
      <c r="A1075" s="1"/>
      <c r="B1075" s="1"/>
      <c r="C1075" s="1"/>
      <c r="D1075" s="1"/>
      <c r="E1075" s="357">
        <v>44190</v>
      </c>
      <c r="F1075" s="344" t="s">
        <v>628</v>
      </c>
      <c r="G1075" s="358">
        <v>10.223000000000001</v>
      </c>
      <c r="H1075" s="344" t="s">
        <v>903</v>
      </c>
    </row>
    <row r="1076" spans="1:8">
      <c r="A1076" s="1"/>
      <c r="B1076" s="1"/>
      <c r="C1076" s="1"/>
      <c r="D1076" s="1"/>
      <c r="E1076" s="357">
        <v>44190</v>
      </c>
      <c r="F1076" s="344" t="s">
        <v>631</v>
      </c>
      <c r="G1076" s="358">
        <v>7.5517000000000003</v>
      </c>
      <c r="H1076" s="344" t="s">
        <v>903</v>
      </c>
    </row>
    <row r="1077" spans="1:8">
      <c r="A1077" s="1"/>
      <c r="B1077" s="1"/>
      <c r="C1077" s="1"/>
      <c r="D1077" s="1"/>
      <c r="E1077" s="357">
        <v>44193</v>
      </c>
      <c r="F1077" s="344" t="s">
        <v>621</v>
      </c>
      <c r="G1077" s="358">
        <v>8.3803000000000001</v>
      </c>
      <c r="H1077" s="344" t="s">
        <v>904</v>
      </c>
    </row>
    <row r="1078" spans="1:8">
      <c r="A1078" s="1"/>
      <c r="B1078" s="1"/>
      <c r="C1078" s="1"/>
      <c r="D1078" s="1"/>
      <c r="E1078" s="357">
        <v>44193</v>
      </c>
      <c r="F1078" s="344" t="s">
        <v>625</v>
      </c>
      <c r="G1078" s="358">
        <v>9.1370000000000005</v>
      </c>
      <c r="H1078" s="344" t="s">
        <v>904</v>
      </c>
    </row>
    <row r="1079" spans="1:8">
      <c r="A1079" s="1"/>
      <c r="B1079" s="1"/>
      <c r="C1079" s="1"/>
      <c r="D1079" s="1"/>
      <c r="E1079" s="357">
        <v>44193</v>
      </c>
      <c r="F1079" s="344" t="s">
        <v>628</v>
      </c>
      <c r="G1079" s="358">
        <v>10.1008</v>
      </c>
      <c r="H1079" s="344" t="s">
        <v>904</v>
      </c>
    </row>
    <row r="1080" spans="1:8">
      <c r="A1080" s="1"/>
      <c r="B1080" s="1"/>
      <c r="C1080" s="1"/>
      <c r="D1080" s="1"/>
      <c r="E1080" s="357">
        <v>44193</v>
      </c>
      <c r="F1080" s="344" t="s">
        <v>631</v>
      </c>
      <c r="G1080" s="358">
        <v>7.4737999999999998</v>
      </c>
      <c r="H1080" s="344" t="s">
        <v>904</v>
      </c>
    </row>
    <row r="1081" spans="1:8">
      <c r="A1081" s="1"/>
      <c r="B1081" s="1"/>
      <c r="C1081" s="1"/>
      <c r="D1081" s="1"/>
      <c r="E1081" s="357">
        <v>44194</v>
      </c>
      <c r="F1081" s="344" t="s">
        <v>621</v>
      </c>
      <c r="G1081" s="358">
        <v>8.3370999999999995</v>
      </c>
      <c r="H1081" s="344" t="s">
        <v>905</v>
      </c>
    </row>
    <row r="1082" spans="1:8">
      <c r="A1082" s="1"/>
      <c r="B1082" s="1"/>
      <c r="C1082" s="1"/>
      <c r="D1082" s="1"/>
      <c r="E1082" s="357">
        <v>44194</v>
      </c>
      <c r="F1082" s="344" t="s">
        <v>625</v>
      </c>
      <c r="G1082" s="358">
        <v>9.0696999999999992</v>
      </c>
      <c r="H1082" s="344" t="s">
        <v>905</v>
      </c>
    </row>
    <row r="1083" spans="1:8">
      <c r="A1083" s="1"/>
      <c r="B1083" s="1"/>
      <c r="C1083" s="1"/>
      <c r="D1083" s="1"/>
      <c r="E1083" s="357">
        <v>44194</v>
      </c>
      <c r="F1083" s="344" t="s">
        <v>628</v>
      </c>
      <c r="G1083" s="358">
        <v>9.9761000000000006</v>
      </c>
      <c r="H1083" s="344" t="s">
        <v>905</v>
      </c>
    </row>
    <row r="1084" spans="1:8">
      <c r="A1084" s="1"/>
      <c r="B1084" s="1"/>
      <c r="C1084" s="1"/>
      <c r="D1084" s="1"/>
      <c r="E1084" s="357">
        <v>44194</v>
      </c>
      <c r="F1084" s="344" t="s">
        <v>631</v>
      </c>
      <c r="G1084" s="358">
        <v>7.4062999999999999</v>
      </c>
      <c r="H1084" s="344" t="s">
        <v>905</v>
      </c>
    </row>
    <row r="1085" spans="1:8">
      <c r="A1085" s="1"/>
      <c r="B1085" s="1"/>
      <c r="C1085" s="1"/>
      <c r="D1085" s="1"/>
      <c r="E1085" s="357">
        <v>44195</v>
      </c>
      <c r="F1085" s="344" t="s">
        <v>621</v>
      </c>
      <c r="G1085" s="358">
        <v>8.2841000000000005</v>
      </c>
      <c r="H1085" s="344" t="s">
        <v>906</v>
      </c>
    </row>
    <row r="1086" spans="1:8">
      <c r="A1086" s="1"/>
      <c r="B1086" s="1"/>
      <c r="C1086" s="1"/>
      <c r="D1086" s="1"/>
      <c r="E1086" s="357">
        <v>44195</v>
      </c>
      <c r="F1086" s="344" t="s">
        <v>625</v>
      </c>
      <c r="G1086" s="358">
        <v>9.0078999999999994</v>
      </c>
      <c r="H1086" s="344" t="s">
        <v>906</v>
      </c>
    </row>
    <row r="1087" spans="1:8">
      <c r="A1087" s="1"/>
      <c r="B1087" s="1"/>
      <c r="C1087" s="1"/>
      <c r="D1087" s="1"/>
      <c r="E1087" s="357">
        <v>44195</v>
      </c>
      <c r="F1087" s="344" t="s">
        <v>628</v>
      </c>
      <c r="G1087" s="358">
        <v>9.9437999999999995</v>
      </c>
      <c r="H1087" s="344" t="s">
        <v>906</v>
      </c>
    </row>
    <row r="1088" spans="1:8">
      <c r="A1088" s="1"/>
      <c r="B1088" s="1"/>
      <c r="C1088" s="1"/>
      <c r="D1088" s="1"/>
      <c r="E1088" s="357">
        <v>44195</v>
      </c>
      <c r="F1088" s="344" t="s">
        <v>631</v>
      </c>
      <c r="G1088" s="358">
        <v>7.3404999999999996</v>
      </c>
      <c r="H1088" s="344" t="s">
        <v>906</v>
      </c>
    </row>
    <row r="1089" spans="1:8">
      <c r="A1089" s="1"/>
      <c r="B1089" s="1"/>
      <c r="C1089" s="1"/>
      <c r="D1089" s="1"/>
      <c r="E1089" s="357">
        <v>44196</v>
      </c>
      <c r="F1089" s="344" t="s">
        <v>621</v>
      </c>
      <c r="G1089" s="358">
        <v>8.4016999999999999</v>
      </c>
      <c r="H1089" s="344" t="s">
        <v>907</v>
      </c>
    </row>
    <row r="1090" spans="1:8">
      <c r="A1090" s="1"/>
      <c r="B1090" s="1"/>
      <c r="C1090" s="1"/>
      <c r="D1090" s="1"/>
      <c r="E1090" s="357">
        <v>44196</v>
      </c>
      <c r="F1090" s="344" t="s">
        <v>625</v>
      </c>
      <c r="G1090" s="358">
        <v>9.1164000000000005</v>
      </c>
      <c r="H1090" s="344" t="s">
        <v>907</v>
      </c>
    </row>
    <row r="1091" spans="1:8">
      <c r="A1091" s="1"/>
      <c r="B1091" s="1"/>
      <c r="C1091" s="1"/>
      <c r="D1091" s="1"/>
      <c r="E1091" s="357">
        <v>44196</v>
      </c>
      <c r="F1091" s="344" t="s">
        <v>628</v>
      </c>
      <c r="G1091" s="358">
        <v>10.1142</v>
      </c>
      <c r="H1091" s="344" t="s">
        <v>907</v>
      </c>
    </row>
    <row r="1092" spans="1:8">
      <c r="A1092" s="1"/>
      <c r="B1092" s="1"/>
      <c r="C1092" s="1"/>
      <c r="D1092" s="1"/>
      <c r="E1092" s="357">
        <v>44196</v>
      </c>
      <c r="F1092" s="344" t="s">
        <v>631</v>
      </c>
      <c r="G1092" s="358">
        <v>7.4194000000000004</v>
      </c>
      <c r="H1092" s="344" t="s">
        <v>907</v>
      </c>
    </row>
    <row r="1093" spans="1:8">
      <c r="A1093" s="1"/>
      <c r="B1093" s="1"/>
      <c r="C1093" s="1"/>
      <c r="D1093" s="1"/>
      <c r="E1093" s="357">
        <v>44200</v>
      </c>
      <c r="F1093" s="344" t="s">
        <v>621</v>
      </c>
      <c r="G1093" s="358">
        <v>8.3352000000000004</v>
      </c>
      <c r="H1093" s="344" t="s">
        <v>908</v>
      </c>
    </row>
    <row r="1094" spans="1:8">
      <c r="A1094" s="1"/>
      <c r="B1094" s="1"/>
      <c r="C1094" s="1"/>
      <c r="D1094" s="1"/>
      <c r="E1094" s="357">
        <v>44200</v>
      </c>
      <c r="F1094" s="344" t="s">
        <v>625</v>
      </c>
      <c r="G1094" s="358">
        <v>9.0381999999999998</v>
      </c>
      <c r="H1094" s="344" t="s">
        <v>908</v>
      </c>
    </row>
    <row r="1095" spans="1:8">
      <c r="A1095" s="1"/>
      <c r="B1095" s="1"/>
      <c r="C1095" s="1"/>
      <c r="D1095" s="1"/>
      <c r="E1095" s="357">
        <v>44200</v>
      </c>
      <c r="F1095" s="344" t="s">
        <v>628</v>
      </c>
      <c r="G1095" s="358">
        <v>10.054399999999999</v>
      </c>
      <c r="H1095" s="344" t="s">
        <v>908</v>
      </c>
    </row>
    <row r="1096" spans="1:8">
      <c r="A1096" s="1"/>
      <c r="B1096" s="1"/>
      <c r="C1096" s="1"/>
      <c r="D1096" s="1"/>
      <c r="E1096" s="357">
        <v>44200</v>
      </c>
      <c r="F1096" s="344" t="s">
        <v>631</v>
      </c>
      <c r="G1096" s="358">
        <v>7.3601999999999999</v>
      </c>
      <c r="H1096" s="344" t="s">
        <v>908</v>
      </c>
    </row>
    <row r="1097" spans="1:8">
      <c r="A1097" s="1"/>
      <c r="B1097" s="1"/>
      <c r="C1097" s="1"/>
      <c r="D1097" s="1"/>
      <c r="E1097" s="357">
        <v>44201</v>
      </c>
      <c r="F1097" s="344" t="s">
        <v>621</v>
      </c>
      <c r="G1097" s="358">
        <v>8.3725000000000005</v>
      </c>
      <c r="H1097" s="344" t="s">
        <v>909</v>
      </c>
    </row>
    <row r="1098" spans="1:8">
      <c r="A1098" s="1"/>
      <c r="B1098" s="1"/>
      <c r="C1098" s="1"/>
      <c r="D1098" s="1"/>
      <c r="E1098" s="357">
        <v>44201</v>
      </c>
      <c r="F1098" s="344" t="s">
        <v>625</v>
      </c>
      <c r="G1098" s="358">
        <v>9.0655999999999999</v>
      </c>
      <c r="H1098" s="344" t="s">
        <v>909</v>
      </c>
    </row>
    <row r="1099" spans="1:8">
      <c r="A1099" s="1"/>
      <c r="B1099" s="1"/>
      <c r="C1099" s="1"/>
      <c r="D1099" s="1"/>
      <c r="E1099" s="357">
        <v>44201</v>
      </c>
      <c r="F1099" s="344" t="s">
        <v>628</v>
      </c>
      <c r="G1099" s="358">
        <v>10.014799999999999</v>
      </c>
      <c r="H1099" s="344" t="s">
        <v>909</v>
      </c>
    </row>
    <row r="1100" spans="1:8">
      <c r="A1100" s="1"/>
      <c r="B1100" s="1"/>
      <c r="C1100" s="1"/>
      <c r="D1100" s="1"/>
      <c r="E1100" s="357">
        <v>44201</v>
      </c>
      <c r="F1100" s="344" t="s">
        <v>631</v>
      </c>
      <c r="G1100" s="358">
        <v>7.3865999999999996</v>
      </c>
      <c r="H1100" s="344" t="s">
        <v>909</v>
      </c>
    </row>
    <row r="1101" spans="1:8">
      <c r="A1101" s="1"/>
      <c r="B1101" s="1"/>
      <c r="C1101" s="1"/>
      <c r="D1101" s="1"/>
      <c r="E1101" s="357">
        <v>44202</v>
      </c>
      <c r="F1101" s="344" t="s">
        <v>621</v>
      </c>
      <c r="G1101" s="358">
        <v>8.3417999999999992</v>
      </c>
      <c r="H1101" s="344" t="s">
        <v>910</v>
      </c>
    </row>
    <row r="1102" spans="1:8">
      <c r="A1102" s="1"/>
      <c r="B1102" s="1"/>
      <c r="C1102" s="1"/>
      <c r="D1102" s="1"/>
      <c r="E1102" s="357">
        <v>44202</v>
      </c>
      <c r="F1102" s="344" t="s">
        <v>625</v>
      </c>
      <c r="G1102" s="358">
        <v>9.0396999999999998</v>
      </c>
      <c r="H1102" s="344" t="s">
        <v>910</v>
      </c>
    </row>
    <row r="1103" spans="1:8">
      <c r="A1103" s="1"/>
      <c r="B1103" s="1"/>
      <c r="C1103" s="1"/>
      <c r="D1103" s="1"/>
      <c r="E1103" s="357">
        <v>44202</v>
      </c>
      <c r="F1103" s="344" t="s">
        <v>628</v>
      </c>
      <c r="G1103" s="358">
        <v>9.9842999999999993</v>
      </c>
      <c r="H1103" s="344" t="s">
        <v>910</v>
      </c>
    </row>
    <row r="1104" spans="1:8">
      <c r="A1104" s="1"/>
      <c r="B1104" s="1"/>
      <c r="C1104" s="1"/>
      <c r="D1104" s="1"/>
      <c r="E1104" s="357">
        <v>44202</v>
      </c>
      <c r="F1104" s="344" t="s">
        <v>631</v>
      </c>
      <c r="G1104" s="358">
        <v>7.33</v>
      </c>
      <c r="H1104" s="344" t="s">
        <v>910</v>
      </c>
    </row>
    <row r="1105" spans="1:8">
      <c r="A1105" s="1"/>
      <c r="B1105" s="1"/>
      <c r="C1105" s="1"/>
      <c r="D1105" s="1"/>
      <c r="E1105" s="357">
        <v>44203</v>
      </c>
      <c r="F1105" s="344" t="s">
        <v>621</v>
      </c>
      <c r="G1105" s="358">
        <v>8.2280999999999995</v>
      </c>
      <c r="H1105" s="344" t="s">
        <v>911</v>
      </c>
    </row>
    <row r="1106" spans="1:8">
      <c r="A1106" s="1"/>
      <c r="B1106" s="1"/>
      <c r="C1106" s="1"/>
      <c r="D1106" s="1"/>
      <c r="E1106" s="357">
        <v>44203</v>
      </c>
      <c r="F1106" s="344" t="s">
        <v>625</v>
      </c>
      <c r="G1106" s="358">
        <v>8.9342000000000006</v>
      </c>
      <c r="H1106" s="344" t="s">
        <v>911</v>
      </c>
    </row>
    <row r="1107" spans="1:8">
      <c r="A1107" s="1"/>
      <c r="B1107" s="1"/>
      <c r="C1107" s="1"/>
      <c r="D1107" s="1"/>
      <c r="E1107" s="357">
        <v>44203</v>
      </c>
      <c r="F1107" s="344" t="s">
        <v>628</v>
      </c>
      <c r="G1107" s="358">
        <v>9.8641000000000005</v>
      </c>
      <c r="H1107" s="344" t="s">
        <v>911</v>
      </c>
    </row>
    <row r="1108" spans="1:8">
      <c r="A1108" s="1"/>
      <c r="B1108" s="1"/>
      <c r="C1108" s="1"/>
      <c r="D1108" s="1"/>
      <c r="E1108" s="357">
        <v>44203</v>
      </c>
      <c r="F1108" s="344" t="s">
        <v>631</v>
      </c>
      <c r="G1108" s="358">
        <v>7.2732999999999999</v>
      </c>
      <c r="H1108" s="344" t="s">
        <v>911</v>
      </c>
    </row>
    <row r="1109" spans="1:8">
      <c r="A1109" s="1"/>
      <c r="B1109" s="1"/>
      <c r="C1109" s="1"/>
      <c r="D1109" s="1"/>
      <c r="E1109" s="357">
        <v>44204</v>
      </c>
      <c r="F1109" s="344" t="s">
        <v>621</v>
      </c>
      <c r="G1109" s="358">
        <v>8.2765000000000004</v>
      </c>
      <c r="H1109" s="344" t="s">
        <v>912</v>
      </c>
    </row>
    <row r="1110" spans="1:8">
      <c r="A1110" s="1"/>
      <c r="B1110" s="1"/>
      <c r="C1110" s="1"/>
      <c r="D1110" s="1"/>
      <c r="E1110" s="357">
        <v>44204</v>
      </c>
      <c r="F1110" s="344" t="s">
        <v>625</v>
      </c>
      <c r="G1110" s="358">
        <v>8.9968000000000004</v>
      </c>
      <c r="H1110" s="344" t="s">
        <v>912</v>
      </c>
    </row>
    <row r="1111" spans="1:8">
      <c r="A1111" s="1"/>
      <c r="B1111" s="1"/>
      <c r="C1111" s="1"/>
      <c r="D1111" s="1"/>
      <c r="E1111" s="357">
        <v>44204</v>
      </c>
      <c r="F1111" s="344" t="s">
        <v>628</v>
      </c>
      <c r="G1111" s="358">
        <v>9.9666999999999994</v>
      </c>
      <c r="H1111" s="344" t="s">
        <v>912</v>
      </c>
    </row>
    <row r="1112" spans="1:8">
      <c r="A1112" s="1"/>
      <c r="B1112" s="1"/>
      <c r="C1112" s="1"/>
      <c r="D1112" s="1"/>
      <c r="E1112" s="357">
        <v>44204</v>
      </c>
      <c r="F1112" s="344" t="s">
        <v>631</v>
      </c>
      <c r="G1112" s="358">
        <v>7.3490000000000002</v>
      </c>
      <c r="H1112" s="344" t="s">
        <v>912</v>
      </c>
    </row>
    <row r="1113" spans="1:8">
      <c r="A1113" s="1"/>
      <c r="B1113" s="1"/>
      <c r="C1113" s="1"/>
      <c r="D1113" s="1"/>
      <c r="E1113" s="357">
        <v>44207</v>
      </c>
      <c r="F1113" s="344" t="s">
        <v>621</v>
      </c>
      <c r="G1113" s="358">
        <v>8.3549000000000007</v>
      </c>
      <c r="H1113" s="344" t="s">
        <v>913</v>
      </c>
    </row>
    <row r="1114" spans="1:8">
      <c r="A1114" s="1"/>
      <c r="B1114" s="1"/>
      <c r="C1114" s="1"/>
      <c r="D1114" s="1"/>
      <c r="E1114" s="357">
        <v>44207</v>
      </c>
      <c r="F1114" s="344" t="s">
        <v>625</v>
      </c>
      <c r="G1114" s="358">
        <v>9.0629000000000008</v>
      </c>
      <c r="H1114" s="344" t="s">
        <v>913</v>
      </c>
    </row>
    <row r="1115" spans="1:8">
      <c r="A1115" s="1"/>
      <c r="B1115" s="1"/>
      <c r="C1115" s="1"/>
      <c r="D1115" s="1"/>
      <c r="E1115" s="357">
        <v>44207</v>
      </c>
      <c r="F1115" s="344" t="s">
        <v>628</v>
      </c>
      <c r="G1115" s="358">
        <v>10.029</v>
      </c>
      <c r="H1115" s="344" t="s">
        <v>913</v>
      </c>
    </row>
    <row r="1116" spans="1:8">
      <c r="A1116" s="1"/>
      <c r="B1116" s="1"/>
      <c r="C1116" s="1"/>
      <c r="D1116" s="1"/>
      <c r="E1116" s="357">
        <v>44207</v>
      </c>
      <c r="F1116" s="344" t="s">
        <v>631</v>
      </c>
      <c r="G1116" s="358">
        <v>7.4431000000000003</v>
      </c>
      <c r="H1116" s="344" t="s">
        <v>913</v>
      </c>
    </row>
    <row r="1117" spans="1:8">
      <c r="A1117" s="1"/>
      <c r="B1117" s="1"/>
      <c r="C1117" s="1"/>
      <c r="D1117" s="1"/>
      <c r="E1117" s="357">
        <v>44208</v>
      </c>
      <c r="F1117" s="344" t="s">
        <v>621</v>
      </c>
      <c r="G1117" s="358">
        <v>8.3626000000000005</v>
      </c>
      <c r="H1117" s="344" t="s">
        <v>914</v>
      </c>
    </row>
    <row r="1118" spans="1:8">
      <c r="A1118" s="1"/>
      <c r="B1118" s="1"/>
      <c r="C1118" s="1"/>
      <c r="D1118" s="1"/>
      <c r="E1118" s="357">
        <v>44208</v>
      </c>
      <c r="F1118" s="344" t="s">
        <v>625</v>
      </c>
      <c r="G1118" s="358">
        <v>9.0693000000000001</v>
      </c>
      <c r="H1118" s="344" t="s">
        <v>914</v>
      </c>
    </row>
    <row r="1119" spans="1:8">
      <c r="A1119" s="1"/>
      <c r="B1119" s="1"/>
      <c r="C1119" s="1"/>
      <c r="D1119" s="1"/>
      <c r="E1119" s="357">
        <v>44208</v>
      </c>
      <c r="F1119" s="344" t="s">
        <v>628</v>
      </c>
      <c r="G1119" s="358">
        <v>10.1082</v>
      </c>
      <c r="H1119" s="344" t="s">
        <v>914</v>
      </c>
    </row>
    <row r="1120" spans="1:8">
      <c r="A1120" s="1"/>
      <c r="B1120" s="1"/>
      <c r="C1120" s="1"/>
      <c r="D1120" s="1"/>
      <c r="E1120" s="357">
        <v>44208</v>
      </c>
      <c r="F1120" s="344" t="s">
        <v>631</v>
      </c>
      <c r="G1120" s="358">
        <v>7.4607999999999999</v>
      </c>
      <c r="H1120" s="344" t="s">
        <v>914</v>
      </c>
    </row>
    <row r="1121" spans="1:8">
      <c r="A1121" s="1"/>
      <c r="B1121" s="1"/>
      <c r="C1121" s="1"/>
      <c r="D1121" s="1"/>
      <c r="E1121" s="357">
        <v>44209</v>
      </c>
      <c r="F1121" s="344" t="s">
        <v>621</v>
      </c>
      <c r="G1121" s="358">
        <v>8.3528000000000002</v>
      </c>
      <c r="H1121" s="344" t="s">
        <v>915</v>
      </c>
    </row>
    <row r="1122" spans="1:8">
      <c r="A1122" s="1"/>
      <c r="B1122" s="1"/>
      <c r="C1122" s="1"/>
      <c r="D1122" s="1"/>
      <c r="E1122" s="357">
        <v>44209</v>
      </c>
      <c r="F1122" s="344" t="s">
        <v>625</v>
      </c>
      <c r="G1122" s="358">
        <v>9.0551999999999992</v>
      </c>
      <c r="H1122" s="344" t="s">
        <v>915</v>
      </c>
    </row>
    <row r="1123" spans="1:8">
      <c r="A1123" s="1"/>
      <c r="B1123" s="1"/>
      <c r="C1123" s="1"/>
      <c r="D1123" s="1"/>
      <c r="E1123" s="357">
        <v>44209</v>
      </c>
      <c r="F1123" s="344" t="s">
        <v>628</v>
      </c>
      <c r="G1123" s="358">
        <v>10.144</v>
      </c>
      <c r="H1123" s="344" t="s">
        <v>915</v>
      </c>
    </row>
    <row r="1124" spans="1:8">
      <c r="A1124" s="1"/>
      <c r="B1124" s="1"/>
      <c r="C1124" s="1"/>
      <c r="D1124" s="1"/>
      <c r="E1124" s="357">
        <v>44209</v>
      </c>
      <c r="F1124" s="344" t="s">
        <v>631</v>
      </c>
      <c r="G1124" s="358">
        <v>7.4284999999999997</v>
      </c>
      <c r="H1124" s="344" t="s">
        <v>915</v>
      </c>
    </row>
    <row r="1125" spans="1:8">
      <c r="A1125" s="1"/>
      <c r="B1125" s="1"/>
      <c r="C1125" s="1"/>
      <c r="D1125" s="1"/>
      <c r="E1125" s="357">
        <v>44210</v>
      </c>
      <c r="F1125" s="344" t="s">
        <v>621</v>
      </c>
      <c r="G1125" s="358">
        <v>8.3025000000000002</v>
      </c>
      <c r="H1125" s="344" t="s">
        <v>916</v>
      </c>
    </row>
    <row r="1126" spans="1:8">
      <c r="A1126" s="1"/>
      <c r="B1126" s="1"/>
      <c r="C1126" s="1"/>
      <c r="D1126" s="1"/>
      <c r="E1126" s="357">
        <v>44210</v>
      </c>
      <c r="F1126" s="344" t="s">
        <v>625</v>
      </c>
      <c r="G1126" s="358">
        <v>8.9815000000000005</v>
      </c>
      <c r="H1126" s="344" t="s">
        <v>916</v>
      </c>
    </row>
    <row r="1127" spans="1:8">
      <c r="A1127" s="1"/>
      <c r="B1127" s="1"/>
      <c r="C1127" s="1"/>
      <c r="D1127" s="1"/>
      <c r="E1127" s="357">
        <v>44210</v>
      </c>
      <c r="F1127" s="344" t="s">
        <v>628</v>
      </c>
      <c r="G1127" s="358">
        <v>10.068899999999999</v>
      </c>
      <c r="H1127" s="344" t="s">
        <v>916</v>
      </c>
    </row>
    <row r="1128" spans="1:8">
      <c r="A1128" s="1"/>
      <c r="B1128" s="1"/>
      <c r="C1128" s="1"/>
      <c r="D1128" s="1"/>
      <c r="E1128" s="357">
        <v>44210</v>
      </c>
      <c r="F1128" s="344" t="s">
        <v>631</v>
      </c>
      <c r="G1128" s="358">
        <v>7.3884999999999996</v>
      </c>
      <c r="H1128" s="344" t="s">
        <v>916</v>
      </c>
    </row>
    <row r="1129" spans="1:8">
      <c r="A1129" s="1"/>
      <c r="B1129" s="1"/>
      <c r="C1129" s="1"/>
      <c r="D1129" s="1"/>
      <c r="E1129" s="357">
        <v>44211</v>
      </c>
      <c r="F1129" s="344" t="s">
        <v>621</v>
      </c>
      <c r="G1129" s="358">
        <v>8.3018000000000001</v>
      </c>
      <c r="H1129" s="344" t="s">
        <v>917</v>
      </c>
    </row>
    <row r="1130" spans="1:8">
      <c r="A1130" s="1"/>
      <c r="B1130" s="1"/>
      <c r="C1130" s="1"/>
      <c r="D1130" s="1"/>
      <c r="E1130" s="357">
        <v>44211</v>
      </c>
      <c r="F1130" s="344" t="s">
        <v>625</v>
      </c>
      <c r="G1130" s="358">
        <v>8.9634999999999998</v>
      </c>
      <c r="H1130" s="344" t="s">
        <v>917</v>
      </c>
    </row>
    <row r="1131" spans="1:8">
      <c r="A1131" s="1"/>
      <c r="B1131" s="1"/>
      <c r="C1131" s="1"/>
      <c r="D1131" s="1"/>
      <c r="E1131" s="357">
        <v>44211</v>
      </c>
      <c r="F1131" s="344" t="s">
        <v>628</v>
      </c>
      <c r="G1131" s="358">
        <v>10.0685</v>
      </c>
      <c r="H1131" s="344" t="s">
        <v>917</v>
      </c>
    </row>
    <row r="1132" spans="1:8">
      <c r="A1132" s="1"/>
      <c r="B1132" s="1"/>
      <c r="C1132" s="1"/>
      <c r="D1132" s="1"/>
      <c r="E1132" s="357">
        <v>44211</v>
      </c>
      <c r="F1132" s="344" t="s">
        <v>631</v>
      </c>
      <c r="G1132" s="358">
        <v>7.3876999999999997</v>
      </c>
      <c r="H1132" s="344" t="s">
        <v>917</v>
      </c>
    </row>
    <row r="1133" spans="1:8">
      <c r="A1133" s="1"/>
      <c r="B1133" s="1"/>
      <c r="C1133" s="1"/>
      <c r="D1133" s="1"/>
      <c r="E1133" s="357">
        <v>44214</v>
      </c>
      <c r="F1133" s="344" t="s">
        <v>621</v>
      </c>
      <c r="G1133" s="358">
        <v>8.3903999999999996</v>
      </c>
      <c r="H1133" s="344" t="s">
        <v>918</v>
      </c>
    </row>
    <row r="1134" spans="1:8">
      <c r="A1134" s="1"/>
      <c r="B1134" s="1"/>
      <c r="C1134" s="1"/>
      <c r="D1134" s="1"/>
      <c r="E1134" s="357">
        <v>44214</v>
      </c>
      <c r="F1134" s="344" t="s">
        <v>625</v>
      </c>
      <c r="G1134" s="358">
        <v>9.0457000000000001</v>
      </c>
      <c r="H1134" s="344" t="s">
        <v>918</v>
      </c>
    </row>
    <row r="1135" spans="1:8">
      <c r="A1135" s="1"/>
      <c r="B1135" s="1"/>
      <c r="C1135" s="1"/>
      <c r="D1135" s="1"/>
      <c r="E1135" s="357">
        <v>44214</v>
      </c>
      <c r="F1135" s="344" t="s">
        <v>628</v>
      </c>
      <c r="G1135" s="358">
        <v>10.1348</v>
      </c>
      <c r="H1135" s="344" t="s">
        <v>918</v>
      </c>
    </row>
    <row r="1136" spans="1:8">
      <c r="A1136" s="1"/>
      <c r="B1136" s="1"/>
      <c r="C1136" s="1"/>
      <c r="D1136" s="1"/>
      <c r="E1136" s="357">
        <v>44214</v>
      </c>
      <c r="F1136" s="344" t="s">
        <v>631</v>
      </c>
      <c r="G1136" s="358">
        <v>7.4951999999999996</v>
      </c>
      <c r="H1136" s="344" t="s">
        <v>918</v>
      </c>
    </row>
    <row r="1137" spans="1:8">
      <c r="A1137" s="1"/>
      <c r="B1137" s="1"/>
      <c r="C1137" s="1"/>
      <c r="D1137" s="1"/>
      <c r="E1137" s="357">
        <v>44215</v>
      </c>
      <c r="F1137" s="344" t="s">
        <v>621</v>
      </c>
      <c r="G1137" s="358">
        <v>8.3595000000000006</v>
      </c>
      <c r="H1137" s="344" t="s">
        <v>919</v>
      </c>
    </row>
    <row r="1138" spans="1:8">
      <c r="A1138" s="1"/>
      <c r="B1138" s="1"/>
      <c r="C1138" s="1"/>
      <c r="D1138" s="1"/>
      <c r="E1138" s="357">
        <v>44215</v>
      </c>
      <c r="F1138" s="344" t="s">
        <v>625</v>
      </c>
      <c r="G1138" s="358">
        <v>9.0235000000000003</v>
      </c>
      <c r="H1138" s="344" t="s">
        <v>919</v>
      </c>
    </row>
    <row r="1139" spans="1:8">
      <c r="A1139" s="1"/>
      <c r="B1139" s="1"/>
      <c r="C1139" s="1"/>
      <c r="D1139" s="1"/>
      <c r="E1139" s="357">
        <v>44215</v>
      </c>
      <c r="F1139" s="344" t="s">
        <v>628</v>
      </c>
      <c r="G1139" s="358">
        <v>10.119400000000001</v>
      </c>
      <c r="H1139" s="344" t="s">
        <v>919</v>
      </c>
    </row>
    <row r="1140" spans="1:8">
      <c r="A1140" s="1"/>
      <c r="B1140" s="1"/>
      <c r="C1140" s="1"/>
      <c r="D1140" s="1"/>
      <c r="E1140" s="357">
        <v>44215</v>
      </c>
      <c r="F1140" s="344" t="s">
        <v>631</v>
      </c>
      <c r="G1140" s="358">
        <v>7.4485000000000001</v>
      </c>
      <c r="H1140" s="344" t="s">
        <v>919</v>
      </c>
    </row>
    <row r="1141" spans="1:8">
      <c r="A1141" s="1"/>
      <c r="B1141" s="1"/>
      <c r="C1141" s="1"/>
      <c r="D1141" s="1"/>
      <c r="E1141" s="357">
        <v>44216</v>
      </c>
      <c r="F1141" s="344" t="s">
        <v>621</v>
      </c>
      <c r="G1141" s="358">
        <v>8.3506999999999998</v>
      </c>
      <c r="H1141" s="344" t="s">
        <v>920</v>
      </c>
    </row>
    <row r="1142" spans="1:8">
      <c r="A1142" s="1"/>
      <c r="B1142" s="1"/>
      <c r="C1142" s="1"/>
      <c r="D1142" s="1"/>
      <c r="E1142" s="357">
        <v>44216</v>
      </c>
      <c r="F1142" s="344" t="s">
        <v>625</v>
      </c>
      <c r="G1142" s="358">
        <v>9.0231999999999992</v>
      </c>
      <c r="H1142" s="344" t="s">
        <v>920</v>
      </c>
    </row>
    <row r="1143" spans="1:8">
      <c r="A1143" s="1"/>
      <c r="B1143" s="1"/>
      <c r="C1143" s="1"/>
      <c r="D1143" s="1"/>
      <c r="E1143" s="357">
        <v>44216</v>
      </c>
      <c r="F1143" s="344" t="s">
        <v>628</v>
      </c>
      <c r="G1143" s="358">
        <v>10.155900000000001</v>
      </c>
      <c r="H1143" s="344" t="s">
        <v>920</v>
      </c>
    </row>
    <row r="1144" spans="1:8">
      <c r="A1144" s="1"/>
      <c r="B1144" s="1"/>
      <c r="C1144" s="1"/>
      <c r="D1144" s="1"/>
      <c r="E1144" s="357">
        <v>44216</v>
      </c>
      <c r="F1144" s="344" t="s">
        <v>631</v>
      </c>
      <c r="G1144" s="358">
        <v>7.4367000000000001</v>
      </c>
      <c r="H1144" s="344" t="s">
        <v>920</v>
      </c>
    </row>
    <row r="1145" spans="1:8">
      <c r="A1145" s="1"/>
      <c r="B1145" s="1"/>
      <c r="C1145" s="1"/>
      <c r="D1145" s="1"/>
      <c r="E1145" s="357">
        <v>44217</v>
      </c>
      <c r="F1145" s="344" t="s">
        <v>621</v>
      </c>
      <c r="G1145" s="358">
        <v>8.2975999999999992</v>
      </c>
      <c r="H1145" s="344" t="s">
        <v>921</v>
      </c>
    </row>
    <row r="1146" spans="1:8">
      <c r="A1146" s="1"/>
      <c r="B1146" s="1"/>
      <c r="C1146" s="1"/>
      <c r="D1146" s="1"/>
      <c r="E1146" s="357">
        <v>44217</v>
      </c>
      <c r="F1146" s="344" t="s">
        <v>625</v>
      </c>
      <c r="G1146" s="358">
        <v>8.9596999999999998</v>
      </c>
      <c r="H1146" s="344" t="s">
        <v>921</v>
      </c>
    </row>
    <row r="1147" spans="1:8">
      <c r="A1147" s="1"/>
      <c r="B1147" s="1"/>
      <c r="C1147" s="1"/>
      <c r="D1147" s="1"/>
      <c r="E1147" s="357">
        <v>44217</v>
      </c>
      <c r="F1147" s="344" t="s">
        <v>628</v>
      </c>
      <c r="G1147" s="358">
        <v>10.1128</v>
      </c>
      <c r="H1147" s="344" t="s">
        <v>921</v>
      </c>
    </row>
    <row r="1148" spans="1:8">
      <c r="A1148" s="1"/>
      <c r="B1148" s="1"/>
      <c r="C1148" s="1"/>
      <c r="D1148" s="1"/>
      <c r="E1148" s="357">
        <v>44217</v>
      </c>
      <c r="F1148" s="344" t="s">
        <v>631</v>
      </c>
      <c r="G1148" s="358">
        <v>7.3836000000000004</v>
      </c>
      <c r="H1148" s="344" t="s">
        <v>921</v>
      </c>
    </row>
    <row r="1149" spans="1:8">
      <c r="A1149" s="1"/>
      <c r="B1149" s="1"/>
      <c r="C1149" s="1"/>
      <c r="D1149" s="1"/>
      <c r="E1149" s="357">
        <v>44218</v>
      </c>
      <c r="F1149" s="344" t="s">
        <v>621</v>
      </c>
      <c r="G1149" s="358">
        <v>8.3407</v>
      </c>
      <c r="H1149" s="344" t="s">
        <v>922</v>
      </c>
    </row>
    <row r="1150" spans="1:8">
      <c r="A1150" s="1"/>
      <c r="B1150" s="1"/>
      <c r="C1150" s="1"/>
      <c r="D1150" s="1"/>
      <c r="E1150" s="357">
        <v>44218</v>
      </c>
      <c r="F1150" s="344" t="s">
        <v>625</v>
      </c>
      <c r="G1150" s="358">
        <v>9.0044000000000004</v>
      </c>
      <c r="H1150" s="344" t="s">
        <v>922</v>
      </c>
    </row>
    <row r="1151" spans="1:8">
      <c r="A1151" s="1"/>
      <c r="B1151" s="1"/>
      <c r="C1151" s="1"/>
      <c r="D1151" s="1"/>
      <c r="E1151" s="357">
        <v>44218</v>
      </c>
      <c r="F1151" s="344" t="s">
        <v>628</v>
      </c>
      <c r="G1151" s="358">
        <v>10.1006</v>
      </c>
      <c r="H1151" s="344" t="s">
        <v>922</v>
      </c>
    </row>
    <row r="1152" spans="1:8">
      <c r="A1152" s="1"/>
      <c r="B1152" s="1"/>
      <c r="C1152" s="1"/>
      <c r="D1152" s="1"/>
      <c r="E1152" s="357">
        <v>44218</v>
      </c>
      <c r="F1152" s="344" t="s">
        <v>631</v>
      </c>
      <c r="G1152" s="358">
        <v>7.3985000000000003</v>
      </c>
      <c r="H1152" s="344" t="s">
        <v>922</v>
      </c>
    </row>
    <row r="1153" spans="1:8">
      <c r="A1153" s="1"/>
      <c r="B1153" s="1"/>
      <c r="C1153" s="1"/>
      <c r="D1153" s="1"/>
      <c r="E1153" s="357">
        <v>44221</v>
      </c>
      <c r="F1153" s="344" t="s">
        <v>621</v>
      </c>
      <c r="G1153" s="358">
        <v>8.3095999999999997</v>
      </c>
      <c r="H1153" s="344" t="s">
        <v>923</v>
      </c>
    </row>
    <row r="1154" spans="1:8">
      <c r="A1154" s="1"/>
      <c r="B1154" s="1"/>
      <c r="C1154" s="1"/>
      <c r="D1154" s="1"/>
      <c r="E1154" s="357">
        <v>44221</v>
      </c>
      <c r="F1154" s="344" t="s">
        <v>625</v>
      </c>
      <c r="G1154" s="358">
        <v>8.9778000000000002</v>
      </c>
      <c r="H1154" s="344" t="s">
        <v>923</v>
      </c>
    </row>
    <row r="1155" spans="1:8">
      <c r="A1155" s="1"/>
      <c r="B1155" s="1"/>
      <c r="C1155" s="1"/>
      <c r="D1155" s="1"/>
      <c r="E1155" s="357">
        <v>44221</v>
      </c>
      <c r="F1155" s="344" t="s">
        <v>628</v>
      </c>
      <c r="G1155" s="358">
        <v>10.092599999999999</v>
      </c>
      <c r="H1155" s="344" t="s">
        <v>923</v>
      </c>
    </row>
    <row r="1156" spans="1:8">
      <c r="A1156" s="1"/>
      <c r="B1156" s="1"/>
      <c r="C1156" s="1"/>
      <c r="D1156" s="1"/>
      <c r="E1156" s="357">
        <v>44221</v>
      </c>
      <c r="F1156" s="344" t="s">
        <v>631</v>
      </c>
      <c r="G1156" s="358">
        <v>7.3796999999999997</v>
      </c>
      <c r="H1156" s="344" t="s">
        <v>923</v>
      </c>
    </row>
    <row r="1157" spans="1:8">
      <c r="A1157" s="1"/>
      <c r="B1157" s="1"/>
      <c r="C1157" s="1"/>
      <c r="D1157" s="1"/>
      <c r="E1157" s="357">
        <v>44222</v>
      </c>
      <c r="F1157" s="344" t="s">
        <v>621</v>
      </c>
      <c r="G1157" s="358">
        <v>8.2857000000000003</v>
      </c>
      <c r="H1157" s="344" t="s">
        <v>924</v>
      </c>
    </row>
    <row r="1158" spans="1:8">
      <c r="A1158" s="1"/>
      <c r="B1158" s="1"/>
      <c r="C1158" s="1"/>
      <c r="D1158" s="1"/>
      <c r="E1158" s="357">
        <v>44222</v>
      </c>
      <c r="F1158" s="344" t="s">
        <v>625</v>
      </c>
      <c r="G1158" s="358">
        <v>8.9550000000000001</v>
      </c>
      <c r="H1158" s="344" t="s">
        <v>924</v>
      </c>
    </row>
    <row r="1159" spans="1:8">
      <c r="A1159" s="1"/>
      <c r="B1159" s="1"/>
      <c r="C1159" s="1"/>
      <c r="D1159" s="1"/>
      <c r="E1159" s="357">
        <v>44222</v>
      </c>
      <c r="F1159" s="344" t="s">
        <v>628</v>
      </c>
      <c r="G1159" s="358">
        <v>10.0587</v>
      </c>
      <c r="H1159" s="344" t="s">
        <v>924</v>
      </c>
    </row>
    <row r="1160" spans="1:8">
      <c r="A1160" s="1"/>
      <c r="B1160" s="1"/>
      <c r="C1160" s="1"/>
      <c r="D1160" s="1"/>
      <c r="E1160" s="357">
        <v>44222</v>
      </c>
      <c r="F1160" s="344" t="s">
        <v>631</v>
      </c>
      <c r="G1160" s="358">
        <v>7.3834999999999997</v>
      </c>
      <c r="H1160" s="344" t="s">
        <v>924</v>
      </c>
    </row>
    <row r="1161" spans="1:8">
      <c r="A1161" s="1"/>
      <c r="B1161" s="1"/>
      <c r="C1161" s="1"/>
      <c r="D1161" s="1"/>
      <c r="E1161" s="357">
        <v>44223</v>
      </c>
      <c r="F1161" s="344" t="s">
        <v>621</v>
      </c>
      <c r="G1161" s="358">
        <v>8.2674000000000003</v>
      </c>
      <c r="H1161" s="344" t="s">
        <v>925</v>
      </c>
    </row>
    <row r="1162" spans="1:8">
      <c r="A1162" s="1"/>
      <c r="B1162" s="1"/>
      <c r="C1162" s="1"/>
      <c r="D1162" s="1"/>
      <c r="E1162" s="357">
        <v>44223</v>
      </c>
      <c r="F1162" s="344" t="s">
        <v>625</v>
      </c>
      <c r="G1162" s="358">
        <v>8.9276</v>
      </c>
      <c r="H1162" s="344" t="s">
        <v>925</v>
      </c>
    </row>
    <row r="1163" spans="1:8">
      <c r="A1163" s="1"/>
      <c r="B1163" s="1"/>
      <c r="C1163" s="1"/>
      <c r="D1163" s="1"/>
      <c r="E1163" s="357">
        <v>44223</v>
      </c>
      <c r="F1163" s="344" t="s">
        <v>628</v>
      </c>
      <c r="G1163" s="358">
        <v>10.0854</v>
      </c>
      <c r="H1163" s="344" t="s">
        <v>925</v>
      </c>
    </row>
    <row r="1164" spans="1:8">
      <c r="A1164" s="1"/>
      <c r="B1164" s="1"/>
      <c r="C1164" s="1"/>
      <c r="D1164" s="1"/>
      <c r="E1164" s="357">
        <v>44223</v>
      </c>
      <c r="F1164" s="344" t="s">
        <v>631</v>
      </c>
      <c r="G1164" s="358">
        <v>7.3544</v>
      </c>
      <c r="H1164" s="344" t="s">
        <v>925</v>
      </c>
    </row>
    <row r="1165" spans="1:8">
      <c r="A1165" s="1"/>
      <c r="B1165" s="1"/>
      <c r="C1165" s="1"/>
      <c r="D1165" s="1"/>
      <c r="E1165" s="357">
        <v>44224</v>
      </c>
      <c r="F1165" s="344" t="s">
        <v>621</v>
      </c>
      <c r="G1165" s="358">
        <v>8.266</v>
      </c>
      <c r="H1165" s="344" t="s">
        <v>926</v>
      </c>
    </row>
    <row r="1166" spans="1:8">
      <c r="A1166" s="1"/>
      <c r="B1166" s="1"/>
      <c r="C1166" s="1"/>
      <c r="D1166" s="1"/>
      <c r="E1166" s="357">
        <v>44224</v>
      </c>
      <c r="F1166" s="344" t="s">
        <v>625</v>
      </c>
      <c r="G1166" s="358">
        <v>8.9215999999999998</v>
      </c>
      <c r="H1166" s="344" t="s">
        <v>926</v>
      </c>
    </row>
    <row r="1167" spans="1:8">
      <c r="A1167" s="1"/>
      <c r="B1167" s="1"/>
      <c r="C1167" s="1"/>
      <c r="D1167" s="1"/>
      <c r="E1167" s="357">
        <v>44224</v>
      </c>
      <c r="F1167" s="344" t="s">
        <v>628</v>
      </c>
      <c r="G1167" s="358">
        <v>10.0504</v>
      </c>
      <c r="H1167" s="344" t="s">
        <v>926</v>
      </c>
    </row>
    <row r="1168" spans="1:8">
      <c r="A1168" s="1"/>
      <c r="B1168" s="1"/>
      <c r="C1168" s="1"/>
      <c r="D1168" s="1"/>
      <c r="E1168" s="357">
        <v>44224</v>
      </c>
      <c r="F1168" s="344" t="s">
        <v>631</v>
      </c>
      <c r="G1168" s="358">
        <v>7.3723000000000001</v>
      </c>
      <c r="H1168" s="344" t="s">
        <v>926</v>
      </c>
    </row>
    <row r="1169" spans="1:8">
      <c r="A1169" s="1"/>
      <c r="B1169" s="1"/>
      <c r="C1169" s="1"/>
      <c r="D1169" s="1"/>
      <c r="E1169" s="357">
        <v>44225</v>
      </c>
      <c r="F1169" s="344" t="s">
        <v>621</v>
      </c>
      <c r="G1169" s="358">
        <v>8.2167999999999992</v>
      </c>
      <c r="H1169" s="344" t="s">
        <v>927</v>
      </c>
    </row>
    <row r="1170" spans="1:8">
      <c r="A1170" s="1"/>
      <c r="B1170" s="1"/>
      <c r="C1170" s="1"/>
      <c r="D1170" s="1"/>
      <c r="E1170" s="357">
        <v>44225</v>
      </c>
      <c r="F1170" s="344" t="s">
        <v>625</v>
      </c>
      <c r="G1170" s="358">
        <v>8.8718000000000004</v>
      </c>
      <c r="H1170" s="344" t="s">
        <v>927</v>
      </c>
    </row>
    <row r="1171" spans="1:8">
      <c r="A1171" s="1"/>
      <c r="B1171" s="1"/>
      <c r="C1171" s="1"/>
      <c r="D1171" s="1"/>
      <c r="E1171" s="357">
        <v>44225</v>
      </c>
      <c r="F1171" s="344" t="s">
        <v>628</v>
      </c>
      <c r="G1171" s="358">
        <v>10.01</v>
      </c>
      <c r="H1171" s="344" t="s">
        <v>927</v>
      </c>
    </row>
    <row r="1172" spans="1:8">
      <c r="A1172" s="1"/>
      <c r="B1172" s="1"/>
      <c r="C1172" s="1"/>
      <c r="D1172" s="1"/>
      <c r="E1172" s="357">
        <v>44225</v>
      </c>
      <c r="F1172" s="344" t="s">
        <v>631</v>
      </c>
      <c r="G1172" s="358">
        <v>7.3216000000000001</v>
      </c>
      <c r="H1172" s="344" t="s">
        <v>927</v>
      </c>
    </row>
    <row r="1173" spans="1:8">
      <c r="A1173" s="1"/>
      <c r="B1173" s="1"/>
      <c r="C1173" s="1"/>
      <c r="D1173" s="1"/>
      <c r="E1173" s="357">
        <v>44228</v>
      </c>
      <c r="F1173" s="344" t="s">
        <v>621</v>
      </c>
      <c r="G1173" s="358">
        <v>8.0549999999999997</v>
      </c>
      <c r="H1173" s="344" t="s">
        <v>928</v>
      </c>
    </row>
    <row r="1174" spans="1:8">
      <c r="A1174" s="1"/>
      <c r="B1174" s="1"/>
      <c r="C1174" s="1"/>
      <c r="D1174" s="1"/>
      <c r="E1174" s="357">
        <v>44228</v>
      </c>
      <c r="F1174" s="344" t="s">
        <v>625</v>
      </c>
      <c r="G1174" s="358">
        <v>8.7345000000000006</v>
      </c>
      <c r="H1174" s="344" t="s">
        <v>928</v>
      </c>
    </row>
    <row r="1175" spans="1:8">
      <c r="A1175" s="1"/>
      <c r="B1175" s="1"/>
      <c r="C1175" s="1"/>
      <c r="D1175" s="1"/>
      <c r="E1175" s="357">
        <v>44228</v>
      </c>
      <c r="F1175" s="344" t="s">
        <v>628</v>
      </c>
      <c r="G1175" s="358">
        <v>9.8916000000000004</v>
      </c>
      <c r="H1175" s="344" t="s">
        <v>928</v>
      </c>
    </row>
    <row r="1176" spans="1:8">
      <c r="A1176" s="1"/>
      <c r="B1176" s="1"/>
      <c r="C1176" s="1"/>
      <c r="D1176" s="1"/>
      <c r="E1176" s="357">
        <v>44228</v>
      </c>
      <c r="F1176" s="344" t="s">
        <v>631</v>
      </c>
      <c r="G1176" s="358">
        <v>7.2184999999999997</v>
      </c>
      <c r="H1176" s="344" t="s">
        <v>928</v>
      </c>
    </row>
    <row r="1177" spans="1:8">
      <c r="A1177" s="1"/>
      <c r="B1177" s="1"/>
      <c r="C1177" s="1"/>
      <c r="D1177" s="1"/>
      <c r="E1177" s="357">
        <v>44229</v>
      </c>
      <c r="F1177" s="344" t="s">
        <v>621</v>
      </c>
      <c r="G1177" s="358">
        <v>7.9390999999999998</v>
      </c>
      <c r="H1177" s="344" t="s">
        <v>929</v>
      </c>
    </row>
    <row r="1178" spans="1:8">
      <c r="A1178" s="1"/>
      <c r="B1178" s="1"/>
      <c r="C1178" s="1"/>
      <c r="D1178" s="1"/>
      <c r="E1178" s="357">
        <v>44229</v>
      </c>
      <c r="F1178" s="344" t="s">
        <v>625</v>
      </c>
      <c r="G1178" s="358">
        <v>8.6069999999999993</v>
      </c>
      <c r="H1178" s="344" t="s">
        <v>929</v>
      </c>
    </row>
    <row r="1179" spans="1:8">
      <c r="A1179" s="1"/>
      <c r="B1179" s="1"/>
      <c r="C1179" s="1"/>
      <c r="D1179" s="1"/>
      <c r="E1179" s="357">
        <v>44229</v>
      </c>
      <c r="F1179" s="344" t="s">
        <v>628</v>
      </c>
      <c r="G1179" s="358">
        <v>9.7487999999999992</v>
      </c>
      <c r="H1179" s="344" t="s">
        <v>929</v>
      </c>
    </row>
    <row r="1180" spans="1:8">
      <c r="A1180" s="1"/>
      <c r="B1180" s="1"/>
      <c r="C1180" s="1"/>
      <c r="D1180" s="1"/>
      <c r="E1180" s="357">
        <v>44229</v>
      </c>
      <c r="F1180" s="344" t="s">
        <v>631</v>
      </c>
      <c r="G1180" s="358">
        <v>7.1372</v>
      </c>
      <c r="H1180" s="344" t="s">
        <v>929</v>
      </c>
    </row>
    <row r="1181" spans="1:8">
      <c r="A1181" s="1"/>
      <c r="B1181" s="1"/>
      <c r="C1181" s="1"/>
      <c r="D1181" s="1"/>
      <c r="E1181" s="357">
        <v>44230</v>
      </c>
      <c r="F1181" s="344" t="s">
        <v>621</v>
      </c>
      <c r="G1181" s="358">
        <v>7.9377000000000004</v>
      </c>
      <c r="H1181" s="344" t="s">
        <v>930</v>
      </c>
    </row>
    <row r="1182" spans="1:8">
      <c r="A1182" s="1"/>
      <c r="B1182" s="1"/>
      <c r="C1182" s="1"/>
      <c r="D1182" s="1"/>
      <c r="E1182" s="357">
        <v>44230</v>
      </c>
      <c r="F1182" s="344" t="s">
        <v>625</v>
      </c>
      <c r="G1182" s="358">
        <v>8.5995000000000008</v>
      </c>
      <c r="H1182" s="344" t="s">
        <v>930</v>
      </c>
    </row>
    <row r="1183" spans="1:8">
      <c r="A1183" s="1"/>
      <c r="B1183" s="1"/>
      <c r="C1183" s="1"/>
      <c r="D1183" s="1"/>
      <c r="E1183" s="357">
        <v>44230</v>
      </c>
      <c r="F1183" s="344" t="s">
        <v>628</v>
      </c>
      <c r="G1183" s="358">
        <v>9.7423000000000002</v>
      </c>
      <c r="H1183" s="344" t="s">
        <v>930</v>
      </c>
    </row>
    <row r="1184" spans="1:8">
      <c r="A1184" s="1"/>
      <c r="B1184" s="1"/>
      <c r="C1184" s="1"/>
      <c r="D1184" s="1"/>
      <c r="E1184" s="357">
        <v>44230</v>
      </c>
      <c r="F1184" s="344" t="s">
        <v>631</v>
      </c>
      <c r="G1184" s="358">
        <v>7.1497999999999999</v>
      </c>
      <c r="H1184" s="344" t="s">
        <v>930</v>
      </c>
    </row>
    <row r="1185" spans="1:8">
      <c r="A1185" s="1"/>
      <c r="B1185" s="1"/>
      <c r="C1185" s="1"/>
      <c r="D1185" s="1"/>
      <c r="E1185" s="357">
        <v>44231</v>
      </c>
      <c r="F1185" s="344" t="s">
        <v>621</v>
      </c>
      <c r="G1185" s="358">
        <v>7.8918999999999997</v>
      </c>
      <c r="H1185" s="344" t="s">
        <v>931</v>
      </c>
    </row>
    <row r="1186" spans="1:8">
      <c r="A1186" s="1"/>
      <c r="B1186" s="1"/>
      <c r="C1186" s="1"/>
      <c r="D1186" s="1"/>
      <c r="E1186" s="357">
        <v>44231</v>
      </c>
      <c r="F1186" s="344" t="s">
        <v>625</v>
      </c>
      <c r="G1186" s="358">
        <v>8.5558999999999994</v>
      </c>
      <c r="H1186" s="344" t="s">
        <v>931</v>
      </c>
    </row>
    <row r="1187" spans="1:8">
      <c r="A1187" s="1"/>
      <c r="B1187" s="1"/>
      <c r="C1187" s="1"/>
      <c r="D1187" s="1"/>
      <c r="E1187" s="357">
        <v>44231</v>
      </c>
      <c r="F1187" s="344" t="s">
        <v>628</v>
      </c>
      <c r="G1187" s="358">
        <v>9.6717999999999993</v>
      </c>
      <c r="H1187" s="344" t="s">
        <v>931</v>
      </c>
    </row>
    <row r="1188" spans="1:8">
      <c r="A1188" s="1"/>
      <c r="B1188" s="1"/>
      <c r="C1188" s="1"/>
      <c r="D1188" s="1"/>
      <c r="E1188" s="357">
        <v>44231</v>
      </c>
      <c r="F1188" s="344" t="s">
        <v>631</v>
      </c>
      <c r="G1188" s="358">
        <v>7.1323999999999996</v>
      </c>
      <c r="H1188" s="344" t="s">
        <v>931</v>
      </c>
    </row>
    <row r="1189" spans="1:8">
      <c r="A1189" s="1"/>
      <c r="B1189" s="1"/>
      <c r="C1189" s="1"/>
      <c r="D1189" s="1"/>
      <c r="E1189" s="357">
        <v>44232</v>
      </c>
      <c r="F1189" s="344" t="s">
        <v>621</v>
      </c>
      <c r="G1189" s="358">
        <v>7.8192000000000004</v>
      </c>
      <c r="H1189" s="344" t="s">
        <v>932</v>
      </c>
    </row>
    <row r="1190" spans="1:8">
      <c r="A1190" s="1"/>
      <c r="B1190" s="1"/>
      <c r="C1190" s="1"/>
      <c r="D1190" s="1"/>
      <c r="E1190" s="357">
        <v>44232</v>
      </c>
      <c r="F1190" s="344" t="s">
        <v>625</v>
      </c>
      <c r="G1190" s="358">
        <v>8.4763999999999999</v>
      </c>
      <c r="H1190" s="344" t="s">
        <v>932</v>
      </c>
    </row>
    <row r="1191" spans="1:8">
      <c r="A1191" s="1"/>
      <c r="B1191" s="1"/>
      <c r="C1191" s="1"/>
      <c r="D1191" s="1"/>
      <c r="E1191" s="357">
        <v>44232</v>
      </c>
      <c r="F1191" s="344" t="s">
        <v>628</v>
      </c>
      <c r="G1191" s="358">
        <v>9.6735000000000007</v>
      </c>
      <c r="H1191" s="344" t="s">
        <v>932</v>
      </c>
    </row>
    <row r="1192" spans="1:8">
      <c r="A1192" s="1"/>
      <c r="B1192" s="1"/>
      <c r="C1192" s="1"/>
      <c r="D1192" s="1"/>
      <c r="E1192" s="357">
        <v>44232</v>
      </c>
      <c r="F1192" s="344" t="s">
        <v>631</v>
      </c>
      <c r="G1192" s="358">
        <v>7.0789</v>
      </c>
      <c r="H1192" s="344" t="s">
        <v>932</v>
      </c>
    </row>
    <row r="1193" spans="1:8">
      <c r="A1193" s="1"/>
      <c r="B1193" s="1"/>
      <c r="C1193" s="1"/>
      <c r="D1193" s="1"/>
      <c r="E1193" s="357">
        <v>44235</v>
      </c>
      <c r="F1193" s="344" t="s">
        <v>621</v>
      </c>
      <c r="G1193" s="358">
        <v>7.83</v>
      </c>
      <c r="H1193" s="344" t="s">
        <v>933</v>
      </c>
    </row>
    <row r="1194" spans="1:8">
      <c r="A1194" s="1"/>
      <c r="B1194" s="1"/>
      <c r="C1194" s="1"/>
      <c r="D1194" s="1"/>
      <c r="E1194" s="357">
        <v>44235</v>
      </c>
      <c r="F1194" s="344" t="s">
        <v>625</v>
      </c>
      <c r="G1194" s="358">
        <v>8.5036000000000005</v>
      </c>
      <c r="H1194" s="344" t="s">
        <v>933</v>
      </c>
    </row>
    <row r="1195" spans="1:8">
      <c r="A1195" s="1"/>
      <c r="B1195" s="1"/>
      <c r="C1195" s="1"/>
      <c r="D1195" s="1"/>
      <c r="E1195" s="357">
        <v>44235</v>
      </c>
      <c r="F1195" s="344" t="s">
        <v>628</v>
      </c>
      <c r="G1195" s="358">
        <v>9.6714000000000002</v>
      </c>
      <c r="H1195" s="344" t="s">
        <v>933</v>
      </c>
    </row>
    <row r="1196" spans="1:8">
      <c r="A1196" s="1"/>
      <c r="B1196" s="1"/>
      <c r="C1196" s="1"/>
      <c r="D1196" s="1"/>
      <c r="E1196" s="357">
        <v>44235</v>
      </c>
      <c r="F1196" s="344" t="s">
        <v>631</v>
      </c>
      <c r="G1196" s="358">
        <v>7.0663</v>
      </c>
      <c r="H1196" s="344" t="s">
        <v>933</v>
      </c>
    </row>
    <row r="1197" spans="1:8">
      <c r="A1197" s="1"/>
      <c r="B1197" s="1"/>
      <c r="C1197" s="1"/>
      <c r="D1197" s="1"/>
      <c r="E1197" s="357">
        <v>44236</v>
      </c>
      <c r="F1197" s="344" t="s">
        <v>621</v>
      </c>
      <c r="G1197" s="358">
        <v>7.8985000000000003</v>
      </c>
      <c r="H1197" s="344" t="s">
        <v>934</v>
      </c>
    </row>
    <row r="1198" spans="1:8">
      <c r="A1198" s="1"/>
      <c r="B1198" s="1"/>
      <c r="C1198" s="1"/>
      <c r="D1198" s="1"/>
      <c r="E1198" s="357">
        <v>44236</v>
      </c>
      <c r="F1198" s="344" t="s">
        <v>625</v>
      </c>
      <c r="G1198" s="358">
        <v>8.5663999999999998</v>
      </c>
      <c r="H1198" s="344" t="s">
        <v>934</v>
      </c>
    </row>
    <row r="1199" spans="1:8">
      <c r="A1199" s="1"/>
      <c r="B1199" s="1"/>
      <c r="C1199" s="1"/>
      <c r="D1199" s="1"/>
      <c r="E1199" s="357">
        <v>44236</v>
      </c>
      <c r="F1199" s="344" t="s">
        <v>628</v>
      </c>
      <c r="G1199" s="358">
        <v>9.7399000000000004</v>
      </c>
      <c r="H1199" s="344" t="s">
        <v>934</v>
      </c>
    </row>
    <row r="1200" spans="1:8">
      <c r="A1200" s="1"/>
      <c r="B1200" s="1"/>
      <c r="C1200" s="1"/>
      <c r="D1200" s="1"/>
      <c r="E1200" s="357">
        <v>44236</v>
      </c>
      <c r="F1200" s="344" t="s">
        <v>631</v>
      </c>
      <c r="G1200" s="358">
        <v>7.0820999999999996</v>
      </c>
      <c r="H1200" s="344" t="s">
        <v>934</v>
      </c>
    </row>
    <row r="1201" spans="1:8">
      <c r="A1201" s="1"/>
      <c r="B1201" s="1"/>
      <c r="C1201" s="1"/>
      <c r="D1201" s="1"/>
      <c r="E1201" s="357">
        <v>44237</v>
      </c>
      <c r="F1201" s="344" t="s">
        <v>621</v>
      </c>
      <c r="G1201" s="358">
        <v>7.8952999999999998</v>
      </c>
      <c r="H1201" s="344" t="s">
        <v>935</v>
      </c>
    </row>
    <row r="1202" spans="1:8">
      <c r="A1202" s="1"/>
      <c r="B1202" s="1"/>
      <c r="C1202" s="1"/>
      <c r="D1202" s="1"/>
      <c r="E1202" s="357">
        <v>44237</v>
      </c>
      <c r="F1202" s="344" t="s">
        <v>625</v>
      </c>
      <c r="G1202" s="358">
        <v>8.5517000000000003</v>
      </c>
      <c r="H1202" s="344" t="s">
        <v>935</v>
      </c>
    </row>
    <row r="1203" spans="1:8">
      <c r="A1203" s="1"/>
      <c r="B1203" s="1"/>
      <c r="C1203" s="1"/>
      <c r="D1203" s="1"/>
      <c r="E1203" s="357">
        <v>44237</v>
      </c>
      <c r="F1203" s="344" t="s">
        <v>628</v>
      </c>
      <c r="G1203" s="358">
        <v>9.7394999999999996</v>
      </c>
      <c r="H1203" s="344" t="s">
        <v>935</v>
      </c>
    </row>
    <row r="1204" spans="1:8">
      <c r="A1204" s="1"/>
      <c r="B1204" s="1"/>
      <c r="C1204" s="1"/>
      <c r="D1204" s="1"/>
      <c r="E1204" s="357">
        <v>44237</v>
      </c>
      <c r="F1204" s="344" t="s">
        <v>631</v>
      </c>
      <c r="G1204" s="358">
        <v>7.0513000000000003</v>
      </c>
      <c r="H1204" s="344" t="s">
        <v>935</v>
      </c>
    </row>
    <row r="1205" spans="1:8">
      <c r="A1205" s="1"/>
      <c r="B1205" s="1"/>
      <c r="C1205" s="1"/>
      <c r="D1205" s="1"/>
      <c r="E1205" s="357">
        <v>44238</v>
      </c>
      <c r="F1205" s="344" t="s">
        <v>621</v>
      </c>
      <c r="G1205" s="358">
        <v>7.89</v>
      </c>
      <c r="H1205" s="344" t="s">
        <v>936</v>
      </c>
    </row>
    <row r="1206" spans="1:8">
      <c r="A1206" s="1"/>
      <c r="B1206" s="1"/>
      <c r="C1206" s="1"/>
      <c r="D1206" s="1"/>
      <c r="E1206" s="357">
        <v>44238</v>
      </c>
      <c r="F1206" s="344" t="s">
        <v>625</v>
      </c>
      <c r="G1206" s="358">
        <v>8.5373999999999999</v>
      </c>
      <c r="H1206" s="344" t="s">
        <v>936</v>
      </c>
    </row>
    <row r="1207" spans="1:8">
      <c r="A1207" s="1"/>
      <c r="B1207" s="1"/>
      <c r="C1207" s="1"/>
      <c r="D1207" s="1"/>
      <c r="E1207" s="357">
        <v>44238</v>
      </c>
      <c r="F1207" s="344" t="s">
        <v>628</v>
      </c>
      <c r="G1207" s="358">
        <v>9.7222000000000008</v>
      </c>
      <c r="H1207" s="344" t="s">
        <v>936</v>
      </c>
    </row>
    <row r="1208" spans="1:8">
      <c r="A1208" s="1"/>
      <c r="B1208" s="1"/>
      <c r="C1208" s="1"/>
      <c r="D1208" s="1"/>
      <c r="E1208" s="357">
        <v>44238</v>
      </c>
      <c r="F1208" s="344" t="s">
        <v>631</v>
      </c>
      <c r="G1208" s="358">
        <v>7.0404</v>
      </c>
      <c r="H1208" s="344" t="s">
        <v>936</v>
      </c>
    </row>
    <row r="1209" spans="1:8">
      <c r="A1209" s="1"/>
      <c r="B1209" s="1"/>
      <c r="C1209" s="1"/>
      <c r="D1209" s="1"/>
      <c r="E1209" s="357">
        <v>44239</v>
      </c>
      <c r="F1209" s="344" t="s">
        <v>621</v>
      </c>
      <c r="G1209" s="358">
        <v>7.8493000000000004</v>
      </c>
      <c r="H1209" s="344" t="s">
        <v>937</v>
      </c>
    </row>
    <row r="1210" spans="1:8">
      <c r="A1210" s="1"/>
      <c r="B1210" s="1"/>
      <c r="C1210" s="1"/>
      <c r="D1210" s="1"/>
      <c r="E1210" s="357">
        <v>44239</v>
      </c>
      <c r="F1210" s="344" t="s">
        <v>625</v>
      </c>
      <c r="G1210" s="358">
        <v>8.4977</v>
      </c>
      <c r="H1210" s="344" t="s">
        <v>937</v>
      </c>
    </row>
    <row r="1211" spans="1:8">
      <c r="A1211" s="1"/>
      <c r="B1211" s="1"/>
      <c r="C1211" s="1"/>
      <c r="D1211" s="1"/>
      <c r="E1211" s="357">
        <v>44239</v>
      </c>
      <c r="F1211" s="344" t="s">
        <v>628</v>
      </c>
      <c r="G1211" s="358">
        <v>9.6582000000000008</v>
      </c>
      <c r="H1211" s="344" t="s">
        <v>937</v>
      </c>
    </row>
    <row r="1212" spans="1:8">
      <c r="A1212" s="1"/>
      <c r="B1212" s="1"/>
      <c r="C1212" s="1"/>
      <c r="D1212" s="1"/>
      <c r="E1212" s="357">
        <v>44239</v>
      </c>
      <c r="F1212" s="344" t="s">
        <v>631</v>
      </c>
      <c r="G1212" s="358">
        <v>7.0162000000000004</v>
      </c>
      <c r="H1212" s="344" t="s">
        <v>937</v>
      </c>
    </row>
    <row r="1213" spans="1:8">
      <c r="A1213" s="1"/>
      <c r="B1213" s="1"/>
      <c r="C1213" s="1"/>
      <c r="D1213" s="1"/>
      <c r="E1213" s="357">
        <v>44242</v>
      </c>
      <c r="F1213" s="344" t="s">
        <v>621</v>
      </c>
      <c r="G1213" s="358">
        <v>7.8076999999999996</v>
      </c>
      <c r="H1213" s="344" t="s">
        <v>938</v>
      </c>
    </row>
    <row r="1214" spans="1:8">
      <c r="A1214" s="1"/>
      <c r="B1214" s="1"/>
      <c r="C1214" s="1"/>
      <c r="D1214" s="1"/>
      <c r="E1214" s="357">
        <v>44242</v>
      </c>
      <c r="F1214" s="344" t="s">
        <v>625</v>
      </c>
      <c r="G1214" s="358">
        <v>8.4606999999999992</v>
      </c>
      <c r="H1214" s="344" t="s">
        <v>938</v>
      </c>
    </row>
    <row r="1215" spans="1:8">
      <c r="A1215" s="1"/>
      <c r="B1215" s="1"/>
      <c r="C1215" s="1"/>
      <c r="D1215" s="1"/>
      <c r="E1215" s="357">
        <v>44242</v>
      </c>
      <c r="F1215" s="344" t="s">
        <v>628</v>
      </c>
      <c r="G1215" s="358">
        <v>9.6754999999999995</v>
      </c>
      <c r="H1215" s="344" t="s">
        <v>938</v>
      </c>
    </row>
    <row r="1216" spans="1:8">
      <c r="A1216" s="1"/>
      <c r="B1216" s="1"/>
      <c r="C1216" s="1"/>
      <c r="D1216" s="1"/>
      <c r="E1216" s="357">
        <v>44242</v>
      </c>
      <c r="F1216" s="344" t="s">
        <v>631</v>
      </c>
      <c r="G1216" s="358">
        <v>6.9724000000000004</v>
      </c>
      <c r="H1216" s="344" t="s">
        <v>938</v>
      </c>
    </row>
    <row r="1217" spans="1:8">
      <c r="A1217" s="1"/>
      <c r="B1217" s="1"/>
      <c r="C1217" s="1"/>
      <c r="D1217" s="1"/>
      <c r="E1217" s="357">
        <v>44243</v>
      </c>
      <c r="F1217" s="344" t="s">
        <v>621</v>
      </c>
      <c r="G1217" s="358">
        <v>7.7648000000000001</v>
      </c>
      <c r="H1217" s="344" t="s">
        <v>939</v>
      </c>
    </row>
    <row r="1218" spans="1:8">
      <c r="A1218" s="1"/>
      <c r="B1218" s="1"/>
      <c r="C1218" s="1"/>
      <c r="D1218" s="1"/>
      <c r="E1218" s="357">
        <v>44243</v>
      </c>
      <c r="F1218" s="344" t="s">
        <v>625</v>
      </c>
      <c r="G1218" s="358">
        <v>8.4025999999999996</v>
      </c>
      <c r="H1218" s="344" t="s">
        <v>939</v>
      </c>
    </row>
    <row r="1219" spans="1:8">
      <c r="A1219" s="1"/>
      <c r="B1219" s="1"/>
      <c r="C1219" s="1"/>
      <c r="D1219" s="1"/>
      <c r="E1219" s="357">
        <v>44243</v>
      </c>
      <c r="F1219" s="344" t="s">
        <v>628</v>
      </c>
      <c r="G1219" s="358">
        <v>9.6141000000000005</v>
      </c>
      <c r="H1219" s="344" t="s">
        <v>939</v>
      </c>
    </row>
    <row r="1220" spans="1:8">
      <c r="A1220" s="1"/>
      <c r="B1220" s="1"/>
      <c r="C1220" s="1"/>
      <c r="D1220" s="1"/>
      <c r="E1220" s="357">
        <v>44243</v>
      </c>
      <c r="F1220" s="344" t="s">
        <v>631</v>
      </c>
      <c r="G1220" s="358">
        <v>6.915</v>
      </c>
      <c r="H1220" s="344" t="s">
        <v>939</v>
      </c>
    </row>
    <row r="1221" spans="1:8">
      <c r="A1221" s="1"/>
      <c r="B1221" s="1"/>
      <c r="C1221" s="1"/>
      <c r="D1221" s="1"/>
      <c r="E1221" s="357">
        <v>44244</v>
      </c>
      <c r="F1221" s="344" t="s">
        <v>621</v>
      </c>
      <c r="G1221" s="358">
        <v>7.8102999999999998</v>
      </c>
      <c r="H1221" s="344" t="s">
        <v>940</v>
      </c>
    </row>
    <row r="1222" spans="1:8">
      <c r="A1222" s="1"/>
      <c r="B1222" s="1"/>
      <c r="C1222" s="1"/>
      <c r="D1222" s="1"/>
      <c r="E1222" s="357">
        <v>44244</v>
      </c>
      <c r="F1222" s="344" t="s">
        <v>625</v>
      </c>
      <c r="G1222" s="358">
        <v>8.4558</v>
      </c>
      <c r="H1222" s="344" t="s">
        <v>940</v>
      </c>
    </row>
    <row r="1223" spans="1:8">
      <c r="A1223" s="1"/>
      <c r="B1223" s="1"/>
      <c r="C1223" s="1"/>
      <c r="D1223" s="1"/>
      <c r="E1223" s="357">
        <v>44244</v>
      </c>
      <c r="F1223" s="344" t="s">
        <v>628</v>
      </c>
      <c r="G1223" s="358">
        <v>9.7037999999999993</v>
      </c>
      <c r="H1223" s="344" t="s">
        <v>940</v>
      </c>
    </row>
    <row r="1224" spans="1:8">
      <c r="A1224" s="1"/>
      <c r="B1224" s="1"/>
      <c r="C1224" s="1"/>
      <c r="D1224" s="1"/>
      <c r="E1224" s="357">
        <v>44244</v>
      </c>
      <c r="F1224" s="344" t="s">
        <v>631</v>
      </c>
      <c r="G1224" s="358">
        <v>7.0039999999999996</v>
      </c>
      <c r="H1224" s="344" t="s">
        <v>940</v>
      </c>
    </row>
    <row r="1225" spans="1:8">
      <c r="A1225" s="1"/>
      <c r="B1225" s="1"/>
      <c r="C1225" s="1"/>
      <c r="D1225" s="1"/>
      <c r="E1225" s="357">
        <v>44245</v>
      </c>
      <c r="F1225" s="344" t="s">
        <v>621</v>
      </c>
      <c r="G1225" s="358">
        <v>7.7279</v>
      </c>
      <c r="H1225" s="344" t="s">
        <v>941</v>
      </c>
    </row>
    <row r="1226" spans="1:8">
      <c r="A1226" s="1"/>
      <c r="B1226" s="1"/>
      <c r="C1226" s="1"/>
      <c r="D1226" s="1"/>
      <c r="E1226" s="357">
        <v>44245</v>
      </c>
      <c r="F1226" s="344" t="s">
        <v>625</v>
      </c>
      <c r="G1226" s="358">
        <v>8.3866999999999994</v>
      </c>
      <c r="H1226" s="344" t="s">
        <v>941</v>
      </c>
    </row>
    <row r="1227" spans="1:8">
      <c r="A1227" s="1"/>
      <c r="B1227" s="1"/>
      <c r="C1227" s="1"/>
      <c r="D1227" s="1"/>
      <c r="E1227" s="357">
        <v>44245</v>
      </c>
      <c r="F1227" s="344" t="s">
        <v>628</v>
      </c>
      <c r="G1227" s="358">
        <v>9.6502999999999997</v>
      </c>
      <c r="H1227" s="344" t="s">
        <v>941</v>
      </c>
    </row>
    <row r="1228" spans="1:8">
      <c r="A1228" s="1"/>
      <c r="B1228" s="1"/>
      <c r="C1228" s="1"/>
      <c r="D1228" s="1"/>
      <c r="E1228" s="357">
        <v>44245</v>
      </c>
      <c r="F1228" s="344" t="s">
        <v>631</v>
      </c>
      <c r="G1228" s="358">
        <v>6.9527000000000001</v>
      </c>
      <c r="H1228" s="344" t="s">
        <v>941</v>
      </c>
    </row>
    <row r="1229" spans="1:8">
      <c r="A1229" s="1"/>
      <c r="B1229" s="1"/>
      <c r="C1229" s="1"/>
      <c r="D1229" s="1"/>
      <c r="E1229" s="357">
        <v>44246</v>
      </c>
      <c r="F1229" s="344" t="s">
        <v>621</v>
      </c>
      <c r="G1229" s="358">
        <v>7.7637</v>
      </c>
      <c r="H1229" s="344" t="s">
        <v>942</v>
      </c>
    </row>
    <row r="1230" spans="1:8">
      <c r="A1230" s="1"/>
      <c r="B1230" s="1"/>
      <c r="C1230" s="1"/>
      <c r="D1230" s="1"/>
      <c r="E1230" s="357">
        <v>44246</v>
      </c>
      <c r="F1230" s="344" t="s">
        <v>625</v>
      </c>
      <c r="G1230" s="358">
        <v>8.4406999999999996</v>
      </c>
      <c r="H1230" s="344" t="s">
        <v>942</v>
      </c>
    </row>
    <row r="1231" spans="1:8">
      <c r="A1231" s="1"/>
      <c r="B1231" s="1"/>
      <c r="C1231" s="1"/>
      <c r="D1231" s="1"/>
      <c r="E1231" s="357">
        <v>44246</v>
      </c>
      <c r="F1231" s="344" t="s">
        <v>628</v>
      </c>
      <c r="G1231" s="358">
        <v>9.7225999999999999</v>
      </c>
      <c r="H1231" s="344" t="s">
        <v>942</v>
      </c>
    </row>
    <row r="1232" spans="1:8">
      <c r="A1232" s="1"/>
      <c r="B1232" s="1"/>
      <c r="C1232" s="1"/>
      <c r="D1232" s="1"/>
      <c r="E1232" s="357">
        <v>44246</v>
      </c>
      <c r="F1232" s="344" t="s">
        <v>631</v>
      </c>
      <c r="G1232" s="358">
        <v>6.9611000000000001</v>
      </c>
      <c r="H1232" s="344" t="s">
        <v>942</v>
      </c>
    </row>
    <row r="1233" spans="1:8">
      <c r="A1233" s="1"/>
      <c r="B1233" s="1"/>
      <c r="C1233" s="1"/>
      <c r="D1233" s="1"/>
      <c r="E1233" s="357">
        <v>44249</v>
      </c>
      <c r="F1233" s="344" t="s">
        <v>621</v>
      </c>
      <c r="G1233" s="358">
        <v>7.7584999999999997</v>
      </c>
      <c r="H1233" s="344" t="s">
        <v>943</v>
      </c>
    </row>
    <row r="1234" spans="1:8">
      <c r="A1234" s="1"/>
      <c r="B1234" s="1"/>
      <c r="C1234" s="1"/>
      <c r="D1234" s="1"/>
      <c r="E1234" s="357">
        <v>44249</v>
      </c>
      <c r="F1234" s="344" t="s">
        <v>625</v>
      </c>
      <c r="G1234" s="358">
        <v>8.4749999999999996</v>
      </c>
      <c r="H1234" s="344" t="s">
        <v>943</v>
      </c>
    </row>
    <row r="1235" spans="1:8">
      <c r="A1235" s="1"/>
      <c r="B1235" s="1"/>
      <c r="C1235" s="1"/>
      <c r="D1235" s="1"/>
      <c r="E1235" s="357">
        <v>44249</v>
      </c>
      <c r="F1235" s="344" t="s">
        <v>628</v>
      </c>
      <c r="G1235" s="358">
        <v>9.7828999999999997</v>
      </c>
      <c r="H1235" s="344" t="s">
        <v>943</v>
      </c>
    </row>
    <row r="1236" spans="1:8">
      <c r="A1236" s="1"/>
      <c r="B1236" s="1"/>
      <c r="C1236" s="1"/>
      <c r="D1236" s="1"/>
      <c r="E1236" s="357">
        <v>44249</v>
      </c>
      <c r="F1236" s="344" t="s">
        <v>631</v>
      </c>
      <c r="G1236" s="358">
        <v>6.9939999999999998</v>
      </c>
      <c r="H1236" s="344" t="s">
        <v>943</v>
      </c>
    </row>
    <row r="1237" spans="1:8">
      <c r="A1237" s="1"/>
      <c r="B1237" s="1"/>
      <c r="C1237" s="1"/>
      <c r="D1237" s="1"/>
      <c r="E1237" s="357">
        <v>44250</v>
      </c>
      <c r="F1237" s="344" t="s">
        <v>621</v>
      </c>
      <c r="G1237" s="358">
        <v>7.7998000000000003</v>
      </c>
      <c r="H1237" s="344" t="s">
        <v>944</v>
      </c>
    </row>
    <row r="1238" spans="1:8">
      <c r="A1238" s="1"/>
      <c r="B1238" s="1"/>
      <c r="C1238" s="1"/>
      <c r="D1238" s="1"/>
      <c r="E1238" s="357">
        <v>44250</v>
      </c>
      <c r="F1238" s="344" t="s">
        <v>625</v>
      </c>
      <c r="G1238" s="358">
        <v>8.5418000000000003</v>
      </c>
      <c r="H1238" s="344" t="s">
        <v>944</v>
      </c>
    </row>
    <row r="1239" spans="1:8">
      <c r="A1239" s="1"/>
      <c r="B1239" s="1"/>
      <c r="C1239" s="1"/>
      <c r="D1239" s="1"/>
      <c r="E1239" s="357">
        <v>44250</v>
      </c>
      <c r="F1239" s="344" t="s">
        <v>628</v>
      </c>
      <c r="G1239" s="358">
        <v>9.8772000000000002</v>
      </c>
      <c r="H1239" s="344" t="s">
        <v>944</v>
      </c>
    </row>
    <row r="1240" spans="1:8">
      <c r="A1240" s="1"/>
      <c r="B1240" s="1"/>
      <c r="C1240" s="1"/>
      <c r="D1240" s="1"/>
      <c r="E1240" s="357">
        <v>44250</v>
      </c>
      <c r="F1240" s="344" t="s">
        <v>631</v>
      </c>
      <c r="G1240" s="358">
        <v>7.0252999999999997</v>
      </c>
      <c r="H1240" s="344" t="s">
        <v>944</v>
      </c>
    </row>
    <row r="1241" spans="1:8">
      <c r="A1241" s="1"/>
      <c r="B1241" s="1"/>
      <c r="C1241" s="1"/>
      <c r="D1241" s="1"/>
      <c r="E1241" s="357">
        <v>44251</v>
      </c>
      <c r="F1241" s="344" t="s">
        <v>621</v>
      </c>
      <c r="G1241" s="358">
        <v>7.8495999999999997</v>
      </c>
      <c r="H1241" s="344" t="s">
        <v>945</v>
      </c>
    </row>
    <row r="1242" spans="1:8">
      <c r="A1242" s="1"/>
      <c r="B1242" s="1"/>
      <c r="C1242" s="1"/>
      <c r="D1242" s="1"/>
      <c r="E1242" s="357">
        <v>44251</v>
      </c>
      <c r="F1242" s="344" t="s">
        <v>625</v>
      </c>
      <c r="G1242" s="358">
        <v>8.6774000000000004</v>
      </c>
      <c r="H1242" s="344" t="s">
        <v>945</v>
      </c>
    </row>
    <row r="1243" spans="1:8">
      <c r="A1243" s="1"/>
      <c r="B1243" s="1"/>
      <c r="C1243" s="1"/>
      <c r="D1243" s="1"/>
      <c r="E1243" s="357">
        <v>44251</v>
      </c>
      <c r="F1243" s="344" t="s">
        <v>628</v>
      </c>
      <c r="G1243" s="358">
        <v>10.091200000000001</v>
      </c>
      <c r="H1243" s="344" t="s">
        <v>945</v>
      </c>
    </row>
    <row r="1244" spans="1:8">
      <c r="A1244" s="1"/>
      <c r="B1244" s="1"/>
      <c r="C1244" s="1"/>
      <c r="D1244" s="1"/>
      <c r="E1244" s="357">
        <v>44251</v>
      </c>
      <c r="F1244" s="344" t="s">
        <v>631</v>
      </c>
      <c r="G1244" s="358">
        <v>7.1356999999999999</v>
      </c>
      <c r="H1244" s="344" t="s">
        <v>945</v>
      </c>
    </row>
    <row r="1245" spans="1:8">
      <c r="A1245" s="1"/>
      <c r="B1245" s="1"/>
      <c r="C1245" s="1"/>
      <c r="D1245" s="1"/>
      <c r="E1245" s="357">
        <v>44252</v>
      </c>
      <c r="F1245" s="344" t="s">
        <v>621</v>
      </c>
      <c r="G1245" s="358">
        <v>7.9233000000000002</v>
      </c>
      <c r="H1245" s="344" t="s">
        <v>946</v>
      </c>
    </row>
    <row r="1246" spans="1:8">
      <c r="A1246" s="1"/>
      <c r="B1246" s="1"/>
      <c r="C1246" s="1"/>
      <c r="D1246" s="1"/>
      <c r="E1246" s="357">
        <v>44252</v>
      </c>
      <c r="F1246" s="344" t="s">
        <v>625</v>
      </c>
      <c r="G1246" s="358">
        <v>8.7811000000000003</v>
      </c>
      <c r="H1246" s="344" t="s">
        <v>946</v>
      </c>
    </row>
    <row r="1247" spans="1:8">
      <c r="A1247" s="1"/>
      <c r="B1247" s="1"/>
      <c r="C1247" s="1"/>
      <c r="D1247" s="1"/>
      <c r="E1247" s="357">
        <v>44252</v>
      </c>
      <c r="F1247" s="344" t="s">
        <v>628</v>
      </c>
      <c r="G1247" s="358">
        <v>10.166</v>
      </c>
      <c r="H1247" s="344" t="s">
        <v>946</v>
      </c>
    </row>
    <row r="1248" spans="1:8">
      <c r="A1248" s="1"/>
      <c r="B1248" s="1"/>
      <c r="C1248" s="1"/>
      <c r="D1248" s="1"/>
      <c r="E1248" s="357">
        <v>44252</v>
      </c>
      <c r="F1248" s="344" t="s">
        <v>631</v>
      </c>
      <c r="G1248" s="358">
        <v>7.1924000000000001</v>
      </c>
      <c r="H1248" s="344" t="s">
        <v>946</v>
      </c>
    </row>
    <row r="1249" spans="1:8">
      <c r="A1249" s="1"/>
      <c r="B1249" s="1"/>
      <c r="C1249" s="1"/>
      <c r="D1249" s="1"/>
      <c r="E1249" s="357">
        <v>44253</v>
      </c>
      <c r="F1249" s="344" t="s">
        <v>621</v>
      </c>
      <c r="G1249" s="358">
        <v>8.1257000000000001</v>
      </c>
      <c r="H1249" s="344" t="s">
        <v>947</v>
      </c>
    </row>
    <row r="1250" spans="1:8">
      <c r="A1250" s="1"/>
      <c r="B1250" s="1"/>
      <c r="C1250" s="1"/>
      <c r="D1250" s="1"/>
      <c r="E1250" s="357">
        <v>44253</v>
      </c>
      <c r="F1250" s="344" t="s">
        <v>625</v>
      </c>
      <c r="G1250" s="358">
        <v>8.9420000000000002</v>
      </c>
      <c r="H1250" s="344" t="s">
        <v>947</v>
      </c>
    </row>
    <row r="1251" spans="1:8">
      <c r="A1251" s="1"/>
      <c r="B1251" s="1"/>
      <c r="C1251" s="1"/>
      <c r="D1251" s="1"/>
      <c r="E1251" s="357">
        <v>44253</v>
      </c>
      <c r="F1251" s="344" t="s">
        <v>628</v>
      </c>
      <c r="G1251" s="358">
        <v>10.2477</v>
      </c>
      <c r="H1251" s="344" t="s">
        <v>947</v>
      </c>
    </row>
    <row r="1252" spans="1:8">
      <c r="A1252" s="1"/>
      <c r="B1252" s="1"/>
      <c r="C1252" s="1"/>
      <c r="D1252" s="1"/>
      <c r="E1252" s="357">
        <v>44253</v>
      </c>
      <c r="F1252" s="344" t="s">
        <v>631</v>
      </c>
      <c r="G1252" s="358">
        <v>7.3708</v>
      </c>
      <c r="H1252" s="344" t="s">
        <v>947</v>
      </c>
    </row>
    <row r="1253" spans="1:8">
      <c r="A1253" s="1"/>
      <c r="B1253" s="1"/>
      <c r="C1253" s="1"/>
      <c r="D1253" s="1"/>
      <c r="E1253" s="357">
        <v>44256</v>
      </c>
      <c r="F1253" s="344" t="s">
        <v>621</v>
      </c>
      <c r="G1253" s="358">
        <v>7.9965999999999999</v>
      </c>
      <c r="H1253" s="344" t="s">
        <v>948</v>
      </c>
    </row>
    <row r="1254" spans="1:8">
      <c r="A1254" s="1"/>
      <c r="B1254" s="1"/>
      <c r="C1254" s="1"/>
      <c r="D1254" s="1"/>
      <c r="E1254" s="357">
        <v>44256</v>
      </c>
      <c r="F1254" s="344" t="s">
        <v>625</v>
      </c>
      <c r="G1254" s="358">
        <v>8.8058999999999994</v>
      </c>
      <c r="H1254" s="344" t="s">
        <v>948</v>
      </c>
    </row>
    <row r="1255" spans="1:8">
      <c r="A1255" s="1"/>
      <c r="B1255" s="1"/>
      <c r="C1255" s="1"/>
      <c r="D1255" s="1"/>
      <c r="E1255" s="357">
        <v>44256</v>
      </c>
      <c r="F1255" s="344" t="s">
        <v>628</v>
      </c>
      <c r="G1255" s="358">
        <v>10.175800000000001</v>
      </c>
      <c r="H1255" s="344" t="s">
        <v>948</v>
      </c>
    </row>
    <row r="1256" spans="1:8">
      <c r="A1256" s="1"/>
      <c r="B1256" s="1"/>
      <c r="C1256" s="1"/>
      <c r="D1256" s="1"/>
      <c r="E1256" s="357">
        <v>44256</v>
      </c>
      <c r="F1256" s="344" t="s">
        <v>631</v>
      </c>
      <c r="G1256" s="358">
        <v>7.3029000000000002</v>
      </c>
      <c r="H1256" s="344" t="s">
        <v>948</v>
      </c>
    </row>
    <row r="1257" spans="1:8">
      <c r="A1257" s="1"/>
      <c r="B1257" s="1"/>
      <c r="C1257" s="1"/>
      <c r="D1257" s="1"/>
      <c r="E1257" s="357">
        <v>44257</v>
      </c>
      <c r="F1257" s="344" t="s">
        <v>621</v>
      </c>
      <c r="G1257" s="358">
        <v>7.9497</v>
      </c>
      <c r="H1257" s="344" t="s">
        <v>949</v>
      </c>
    </row>
    <row r="1258" spans="1:8">
      <c r="A1258" s="1"/>
      <c r="B1258" s="1"/>
      <c r="C1258" s="1"/>
      <c r="D1258" s="1"/>
      <c r="E1258" s="357">
        <v>44257</v>
      </c>
      <c r="F1258" s="344" t="s">
        <v>625</v>
      </c>
      <c r="G1258" s="358">
        <v>8.7855000000000008</v>
      </c>
      <c r="H1258" s="344" t="s">
        <v>949</v>
      </c>
    </row>
    <row r="1259" spans="1:8">
      <c r="A1259" s="1"/>
      <c r="B1259" s="1"/>
      <c r="C1259" s="1"/>
      <c r="D1259" s="1"/>
      <c r="E1259" s="357">
        <v>44257</v>
      </c>
      <c r="F1259" s="344" t="s">
        <v>628</v>
      </c>
      <c r="G1259" s="358">
        <v>10.138</v>
      </c>
      <c r="H1259" s="344" t="s">
        <v>949</v>
      </c>
    </row>
    <row r="1260" spans="1:8">
      <c r="A1260" s="1"/>
      <c r="B1260" s="1"/>
      <c r="C1260" s="1"/>
      <c r="D1260" s="1"/>
      <c r="E1260" s="357">
        <v>44257</v>
      </c>
      <c r="F1260" s="344" t="s">
        <v>631</v>
      </c>
      <c r="G1260" s="358">
        <v>7.3117000000000001</v>
      </c>
      <c r="H1260" s="344" t="s">
        <v>949</v>
      </c>
    </row>
    <row r="1261" spans="1:8">
      <c r="A1261" s="1"/>
      <c r="B1261" s="1"/>
      <c r="C1261" s="1"/>
      <c r="D1261" s="1"/>
      <c r="E1261" s="357">
        <v>44258</v>
      </c>
      <c r="F1261" s="344" t="s">
        <v>621</v>
      </c>
      <c r="G1261" s="358">
        <v>7.9935</v>
      </c>
      <c r="H1261" s="344" t="s">
        <v>950</v>
      </c>
    </row>
    <row r="1262" spans="1:8">
      <c r="A1262" s="1"/>
      <c r="B1262" s="1"/>
      <c r="C1262" s="1"/>
      <c r="D1262" s="1"/>
      <c r="E1262" s="357">
        <v>44258</v>
      </c>
      <c r="F1262" s="344" t="s">
        <v>625</v>
      </c>
      <c r="G1262" s="358">
        <v>8.8679000000000006</v>
      </c>
      <c r="H1262" s="344" t="s">
        <v>950</v>
      </c>
    </row>
    <row r="1263" spans="1:8">
      <c r="A1263" s="1"/>
      <c r="B1263" s="1"/>
      <c r="C1263" s="1"/>
      <c r="D1263" s="1"/>
      <c r="E1263" s="357">
        <v>44258</v>
      </c>
      <c r="F1263" s="344" t="s">
        <v>628</v>
      </c>
      <c r="G1263" s="358">
        <v>10.2348</v>
      </c>
      <c r="H1263" s="344" t="s">
        <v>950</v>
      </c>
    </row>
    <row r="1264" spans="1:8">
      <c r="A1264" s="1"/>
      <c r="B1264" s="1"/>
      <c r="C1264" s="1"/>
      <c r="D1264" s="1"/>
      <c r="E1264" s="357">
        <v>44258</v>
      </c>
      <c r="F1264" s="344" t="s">
        <v>631</v>
      </c>
      <c r="G1264" s="358">
        <v>7.3391000000000002</v>
      </c>
      <c r="H1264" s="344" t="s">
        <v>950</v>
      </c>
    </row>
    <row r="1265" spans="1:8">
      <c r="A1265" s="1"/>
      <c r="B1265" s="1"/>
      <c r="C1265" s="1"/>
      <c r="D1265" s="1"/>
      <c r="E1265" s="357">
        <v>44259</v>
      </c>
      <c r="F1265" s="344" t="s">
        <v>621</v>
      </c>
      <c r="G1265" s="358">
        <v>8.0622000000000007</v>
      </c>
      <c r="H1265" s="344" t="s">
        <v>951</v>
      </c>
    </row>
    <row r="1266" spans="1:8">
      <c r="A1266" s="1"/>
      <c r="B1266" s="1"/>
      <c r="C1266" s="1"/>
      <c r="D1266" s="1"/>
      <c r="E1266" s="357">
        <v>44259</v>
      </c>
      <c r="F1266" s="344" t="s">
        <v>625</v>
      </c>
      <c r="G1266" s="358">
        <v>8.9768000000000008</v>
      </c>
      <c r="H1266" s="344" t="s">
        <v>951</v>
      </c>
    </row>
    <row r="1267" spans="1:8">
      <c r="A1267" s="1"/>
      <c r="B1267" s="1"/>
      <c r="C1267" s="1"/>
      <c r="D1267" s="1"/>
      <c r="E1267" s="357">
        <v>44259</v>
      </c>
      <c r="F1267" s="344" t="s">
        <v>628</v>
      </c>
      <c r="G1267" s="358">
        <v>10.374000000000001</v>
      </c>
      <c r="H1267" s="344" t="s">
        <v>951</v>
      </c>
    </row>
    <row r="1268" spans="1:8">
      <c r="A1268" s="1"/>
      <c r="B1268" s="1"/>
      <c r="C1268" s="1"/>
      <c r="D1268" s="1"/>
      <c r="E1268" s="357">
        <v>44259</v>
      </c>
      <c r="F1268" s="344" t="s">
        <v>631</v>
      </c>
      <c r="G1268" s="358">
        <v>7.4523999999999999</v>
      </c>
      <c r="H1268" s="344" t="s">
        <v>951</v>
      </c>
    </row>
    <row r="1269" spans="1:8">
      <c r="A1269" s="1"/>
      <c r="B1269" s="1"/>
      <c r="C1269" s="1"/>
      <c r="D1269" s="1"/>
      <c r="E1269" s="357">
        <v>44260</v>
      </c>
      <c r="F1269" s="344" t="s">
        <v>621</v>
      </c>
      <c r="G1269" s="358">
        <v>8.0622000000000007</v>
      </c>
      <c r="H1269" s="344" t="s">
        <v>952</v>
      </c>
    </row>
    <row r="1270" spans="1:8">
      <c r="A1270" s="1"/>
      <c r="B1270" s="1"/>
      <c r="C1270" s="1"/>
      <c r="D1270" s="1"/>
      <c r="E1270" s="357">
        <v>44260</v>
      </c>
      <c r="F1270" s="344" t="s">
        <v>625</v>
      </c>
      <c r="G1270" s="358">
        <v>8.9642999999999997</v>
      </c>
      <c r="H1270" s="344" t="s">
        <v>952</v>
      </c>
    </row>
    <row r="1271" spans="1:8">
      <c r="A1271" s="1"/>
      <c r="B1271" s="1"/>
      <c r="C1271" s="1"/>
      <c r="D1271" s="1"/>
      <c r="E1271" s="357">
        <v>44260</v>
      </c>
      <c r="F1271" s="344" t="s">
        <v>628</v>
      </c>
      <c r="G1271" s="358">
        <v>10.374700000000001</v>
      </c>
      <c r="H1271" s="344" t="s">
        <v>952</v>
      </c>
    </row>
    <row r="1272" spans="1:8">
      <c r="A1272" s="1"/>
      <c r="B1272" s="1"/>
      <c r="C1272" s="1"/>
      <c r="D1272" s="1"/>
      <c r="E1272" s="357">
        <v>44260</v>
      </c>
      <c r="F1272" s="344" t="s">
        <v>631</v>
      </c>
      <c r="G1272" s="358">
        <v>7.5095999999999998</v>
      </c>
      <c r="H1272" s="344" t="s">
        <v>952</v>
      </c>
    </row>
    <row r="1273" spans="1:8">
      <c r="A1273" s="1"/>
      <c r="B1273" s="1"/>
      <c r="C1273" s="1"/>
      <c r="D1273" s="1"/>
      <c r="E1273" s="357">
        <v>44263</v>
      </c>
      <c r="F1273" s="344" t="s">
        <v>621</v>
      </c>
      <c r="G1273" s="358">
        <v>8.1159999999999997</v>
      </c>
      <c r="H1273" s="344" t="s">
        <v>953</v>
      </c>
    </row>
    <row r="1274" spans="1:8">
      <c r="A1274" s="1"/>
      <c r="B1274" s="1"/>
      <c r="C1274" s="1"/>
      <c r="D1274" s="1"/>
      <c r="E1274" s="357">
        <v>44263</v>
      </c>
      <c r="F1274" s="344" t="s">
        <v>625</v>
      </c>
      <c r="G1274" s="358">
        <v>9.0207999999999995</v>
      </c>
      <c r="H1274" s="344" t="s">
        <v>953</v>
      </c>
    </row>
    <row r="1275" spans="1:8">
      <c r="A1275" s="1"/>
      <c r="B1275" s="1"/>
      <c r="C1275" s="1"/>
      <c r="D1275" s="1"/>
      <c r="E1275" s="357">
        <v>44263</v>
      </c>
      <c r="F1275" s="344" t="s">
        <v>628</v>
      </c>
      <c r="G1275" s="358">
        <v>10.481999999999999</v>
      </c>
      <c r="H1275" s="344" t="s">
        <v>953</v>
      </c>
    </row>
    <row r="1276" spans="1:8">
      <c r="A1276" s="1"/>
      <c r="B1276" s="1"/>
      <c r="C1276" s="1"/>
      <c r="D1276" s="1"/>
      <c r="E1276" s="357">
        <v>44263</v>
      </c>
      <c r="F1276" s="344" t="s">
        <v>631</v>
      </c>
      <c r="G1276" s="358">
        <v>7.5938999999999997</v>
      </c>
      <c r="H1276" s="344" t="s">
        <v>953</v>
      </c>
    </row>
    <row r="1277" spans="1:8">
      <c r="A1277" s="1"/>
      <c r="B1277" s="1"/>
      <c r="C1277" s="1"/>
      <c r="D1277" s="1"/>
      <c r="E1277" s="357">
        <v>44264</v>
      </c>
      <c r="F1277" s="344" t="s">
        <v>621</v>
      </c>
      <c r="G1277" s="358">
        <v>8.1677</v>
      </c>
      <c r="H1277" s="344" t="s">
        <v>954</v>
      </c>
    </row>
    <row r="1278" spans="1:8">
      <c r="A1278" s="1"/>
      <c r="B1278" s="1"/>
      <c r="C1278" s="1"/>
      <c r="D1278" s="1"/>
      <c r="E1278" s="357">
        <v>44264</v>
      </c>
      <c r="F1278" s="344" t="s">
        <v>625</v>
      </c>
      <c r="G1278" s="358">
        <v>9.0851000000000006</v>
      </c>
      <c r="H1278" s="344" t="s">
        <v>954</v>
      </c>
    </row>
    <row r="1279" spans="1:8">
      <c r="A1279" s="1"/>
      <c r="B1279" s="1"/>
      <c r="C1279" s="1"/>
      <c r="D1279" s="1"/>
      <c r="E1279" s="357">
        <v>44264</v>
      </c>
      <c r="F1279" s="344" t="s">
        <v>628</v>
      </c>
      <c r="G1279" s="358">
        <v>10.5838</v>
      </c>
      <c r="H1279" s="344" t="s">
        <v>954</v>
      </c>
    </row>
    <row r="1280" spans="1:8">
      <c r="A1280" s="1"/>
      <c r="B1280" s="1"/>
      <c r="C1280" s="1"/>
      <c r="D1280" s="1"/>
      <c r="E1280" s="357">
        <v>44264</v>
      </c>
      <c r="F1280" s="344" t="s">
        <v>631</v>
      </c>
      <c r="G1280" s="358">
        <v>7.6402999999999999</v>
      </c>
      <c r="H1280" s="344" t="s">
        <v>954</v>
      </c>
    </row>
    <row r="1281" spans="1:8">
      <c r="A1281" s="1"/>
      <c r="B1281" s="1"/>
      <c r="C1281" s="1"/>
      <c r="D1281" s="1"/>
      <c r="E1281" s="357">
        <v>44265</v>
      </c>
      <c r="F1281" s="344" t="s">
        <v>621</v>
      </c>
      <c r="G1281" s="358">
        <v>8.1496999999999993</v>
      </c>
      <c r="H1281" s="344" t="s">
        <v>955</v>
      </c>
    </row>
    <row r="1282" spans="1:8">
      <c r="A1282" s="1"/>
      <c r="B1282" s="1"/>
      <c r="C1282" s="1"/>
      <c r="D1282" s="1"/>
      <c r="E1282" s="357">
        <v>44265</v>
      </c>
      <c r="F1282" s="344" t="s">
        <v>625</v>
      </c>
      <c r="G1282" s="358">
        <v>9.0314999999999994</v>
      </c>
      <c r="H1282" s="344" t="s">
        <v>955</v>
      </c>
    </row>
    <row r="1283" spans="1:8">
      <c r="A1283" s="1"/>
      <c r="B1283" s="1"/>
      <c r="C1283" s="1"/>
      <c r="D1283" s="1"/>
      <c r="E1283" s="357">
        <v>44265</v>
      </c>
      <c r="F1283" s="344" t="s">
        <v>628</v>
      </c>
      <c r="G1283" s="358">
        <v>10.529400000000001</v>
      </c>
      <c r="H1283" s="344" t="s">
        <v>955</v>
      </c>
    </row>
    <row r="1284" spans="1:8">
      <c r="A1284" s="1"/>
      <c r="B1284" s="1"/>
      <c r="C1284" s="1"/>
      <c r="D1284" s="1"/>
      <c r="E1284" s="357">
        <v>44265</v>
      </c>
      <c r="F1284" s="344" t="s">
        <v>631</v>
      </c>
      <c r="G1284" s="358">
        <v>7.5952000000000002</v>
      </c>
      <c r="H1284" s="344" t="s">
        <v>955</v>
      </c>
    </row>
    <row r="1285" spans="1:8">
      <c r="A1285" s="1"/>
      <c r="B1285" s="1"/>
      <c r="C1285" s="1"/>
      <c r="D1285" s="1"/>
      <c r="E1285" s="357">
        <v>44266</v>
      </c>
      <c r="F1285" s="344" t="s">
        <v>621</v>
      </c>
      <c r="G1285" s="358">
        <v>8.0149000000000008</v>
      </c>
      <c r="H1285" s="344" t="s">
        <v>956</v>
      </c>
    </row>
    <row r="1286" spans="1:8">
      <c r="A1286" s="1"/>
      <c r="B1286" s="1"/>
      <c r="C1286" s="1"/>
      <c r="D1286" s="1"/>
      <c r="E1286" s="357">
        <v>44266</v>
      </c>
      <c r="F1286" s="344" t="s">
        <v>625</v>
      </c>
      <c r="G1286" s="358">
        <v>8.8994999999999997</v>
      </c>
      <c r="H1286" s="344" t="s">
        <v>956</v>
      </c>
    </row>
    <row r="1287" spans="1:8">
      <c r="A1287" s="1"/>
      <c r="B1287" s="1"/>
      <c r="C1287" s="1"/>
      <c r="D1287" s="1"/>
      <c r="E1287" s="357">
        <v>44266</v>
      </c>
      <c r="F1287" s="344" t="s">
        <v>628</v>
      </c>
      <c r="G1287" s="358">
        <v>10.3672</v>
      </c>
      <c r="H1287" s="344" t="s">
        <v>956</v>
      </c>
    </row>
    <row r="1288" spans="1:8">
      <c r="A1288" s="1"/>
      <c r="B1288" s="1"/>
      <c r="C1288" s="1"/>
      <c r="D1288" s="1"/>
      <c r="E1288" s="357">
        <v>44266</v>
      </c>
      <c r="F1288" s="344" t="s">
        <v>631</v>
      </c>
      <c r="G1288" s="358">
        <v>7.4446000000000003</v>
      </c>
      <c r="H1288" s="344" t="s">
        <v>956</v>
      </c>
    </row>
    <row r="1289" spans="1:8">
      <c r="A1289" s="1"/>
      <c r="B1289" s="1"/>
      <c r="C1289" s="1"/>
      <c r="D1289" s="1"/>
      <c r="E1289" s="357">
        <v>44267</v>
      </c>
      <c r="F1289" s="344" t="s">
        <v>621</v>
      </c>
      <c r="G1289" s="358">
        <v>8.1235999999999997</v>
      </c>
      <c r="H1289" s="344" t="s">
        <v>957</v>
      </c>
    </row>
    <row r="1290" spans="1:8">
      <c r="A1290" s="1"/>
      <c r="B1290" s="1"/>
      <c r="C1290" s="1"/>
      <c r="D1290" s="1"/>
      <c r="E1290" s="357">
        <v>44267</v>
      </c>
      <c r="F1290" s="344" t="s">
        <v>625</v>
      </c>
      <c r="G1290" s="358">
        <v>9.0326000000000004</v>
      </c>
      <c r="H1290" s="344" t="s">
        <v>957</v>
      </c>
    </row>
    <row r="1291" spans="1:8">
      <c r="A1291" s="1"/>
      <c r="B1291" s="1"/>
      <c r="C1291" s="1"/>
      <c r="D1291" s="1"/>
      <c r="E1291" s="357">
        <v>44267</v>
      </c>
      <c r="F1291" s="344" t="s">
        <v>628</v>
      </c>
      <c r="G1291" s="358">
        <v>10.5266</v>
      </c>
      <c r="H1291" s="344" t="s">
        <v>957</v>
      </c>
    </row>
    <row r="1292" spans="1:8">
      <c r="A1292" s="1"/>
      <c r="B1292" s="1"/>
      <c r="C1292" s="1"/>
      <c r="D1292" s="1"/>
      <c r="E1292" s="357">
        <v>44267</v>
      </c>
      <c r="F1292" s="344" t="s">
        <v>631</v>
      </c>
      <c r="G1292" s="358">
        <v>7.5709</v>
      </c>
      <c r="H1292" s="344" t="s">
        <v>957</v>
      </c>
    </row>
    <row r="1293" spans="1:8">
      <c r="A1293" s="1"/>
      <c r="B1293" s="1"/>
      <c r="C1293" s="1"/>
      <c r="D1293" s="1"/>
      <c r="E1293" s="357">
        <v>44270</v>
      </c>
      <c r="F1293" s="344" t="s">
        <v>621</v>
      </c>
      <c r="G1293" s="358">
        <v>8.0891000000000002</v>
      </c>
      <c r="H1293" s="344" t="s">
        <v>958</v>
      </c>
    </row>
    <row r="1294" spans="1:8">
      <c r="A1294" s="1"/>
      <c r="B1294" s="1"/>
      <c r="C1294" s="1"/>
      <c r="D1294" s="1"/>
      <c r="E1294" s="357">
        <v>44270</v>
      </c>
      <c r="F1294" s="344" t="s">
        <v>625</v>
      </c>
      <c r="G1294" s="358">
        <v>8.9911999999999992</v>
      </c>
      <c r="H1294" s="344" t="s">
        <v>958</v>
      </c>
    </row>
    <row r="1295" spans="1:8">
      <c r="A1295" s="1"/>
      <c r="B1295" s="1"/>
      <c r="C1295" s="1"/>
      <c r="D1295" s="1"/>
      <c r="E1295" s="357">
        <v>44270</v>
      </c>
      <c r="F1295" s="344" t="s">
        <v>628</v>
      </c>
      <c r="G1295" s="358">
        <v>10.478400000000001</v>
      </c>
      <c r="H1295" s="344" t="s">
        <v>958</v>
      </c>
    </row>
    <row r="1296" spans="1:8">
      <c r="A1296" s="1"/>
      <c r="B1296" s="1"/>
      <c r="C1296" s="1"/>
      <c r="D1296" s="1"/>
      <c r="E1296" s="357">
        <v>44270</v>
      </c>
      <c r="F1296" s="344" t="s">
        <v>631</v>
      </c>
      <c r="G1296" s="358">
        <v>7.5373999999999999</v>
      </c>
      <c r="H1296" s="344" t="s">
        <v>958</v>
      </c>
    </row>
    <row r="1297" spans="1:8">
      <c r="A1297" s="1"/>
      <c r="B1297" s="1"/>
      <c r="C1297" s="1"/>
      <c r="D1297" s="1"/>
      <c r="E1297" s="357">
        <v>44271</v>
      </c>
      <c r="F1297" s="344" t="s">
        <v>621</v>
      </c>
      <c r="G1297" s="358">
        <v>8.0778999999999996</v>
      </c>
      <c r="H1297" s="344" t="s">
        <v>959</v>
      </c>
    </row>
    <row r="1298" spans="1:8">
      <c r="A1298" s="1"/>
      <c r="B1298" s="1"/>
      <c r="C1298" s="1"/>
      <c r="D1298" s="1"/>
      <c r="E1298" s="357">
        <v>44271</v>
      </c>
      <c r="F1298" s="344" t="s">
        <v>625</v>
      </c>
      <c r="G1298" s="358">
        <v>8.9540000000000006</v>
      </c>
      <c r="H1298" s="344" t="s">
        <v>959</v>
      </c>
    </row>
    <row r="1299" spans="1:8">
      <c r="A1299" s="1"/>
      <c r="B1299" s="1"/>
      <c r="C1299" s="1"/>
      <c r="D1299" s="1"/>
      <c r="E1299" s="357">
        <v>44271</v>
      </c>
      <c r="F1299" s="344" t="s">
        <v>628</v>
      </c>
      <c r="G1299" s="358">
        <v>10.3687</v>
      </c>
      <c r="H1299" s="344" t="s">
        <v>959</v>
      </c>
    </row>
    <row r="1300" spans="1:8">
      <c r="A1300" s="1"/>
      <c r="B1300" s="1"/>
      <c r="C1300" s="1"/>
      <c r="D1300" s="1"/>
      <c r="E1300" s="357">
        <v>44271</v>
      </c>
      <c r="F1300" s="344" t="s">
        <v>631</v>
      </c>
      <c r="G1300" s="358">
        <v>7.5041000000000002</v>
      </c>
      <c r="H1300" s="344" t="s">
        <v>959</v>
      </c>
    </row>
    <row r="1301" spans="1:8">
      <c r="A1301" s="1"/>
      <c r="B1301" s="1"/>
      <c r="C1301" s="1"/>
      <c r="D1301" s="1"/>
      <c r="E1301" s="357">
        <v>44272</v>
      </c>
      <c r="F1301" s="344" t="s">
        <v>621</v>
      </c>
      <c r="G1301" s="358">
        <v>8.0717999999999996</v>
      </c>
      <c r="H1301" s="344" t="s">
        <v>960</v>
      </c>
    </row>
    <row r="1302" spans="1:8">
      <c r="A1302" s="1"/>
      <c r="B1302" s="1"/>
      <c r="C1302" s="1"/>
      <c r="D1302" s="1"/>
      <c r="E1302" s="357">
        <v>44272</v>
      </c>
      <c r="F1302" s="344" t="s">
        <v>625</v>
      </c>
      <c r="G1302" s="358">
        <v>8.9242000000000008</v>
      </c>
      <c r="H1302" s="344" t="s">
        <v>960</v>
      </c>
    </row>
    <row r="1303" spans="1:8">
      <c r="A1303" s="1"/>
      <c r="B1303" s="1"/>
      <c r="C1303" s="1"/>
      <c r="D1303" s="1"/>
      <c r="E1303" s="357">
        <v>44272</v>
      </c>
      <c r="F1303" s="344" t="s">
        <v>628</v>
      </c>
      <c r="G1303" s="358">
        <v>10.4093</v>
      </c>
      <c r="H1303" s="344" t="s">
        <v>960</v>
      </c>
    </row>
    <row r="1304" spans="1:8">
      <c r="A1304" s="1"/>
      <c r="B1304" s="1"/>
      <c r="C1304" s="1"/>
      <c r="D1304" s="1"/>
      <c r="E1304" s="357">
        <v>44272</v>
      </c>
      <c r="F1304" s="344" t="s">
        <v>631</v>
      </c>
      <c r="G1304" s="358">
        <v>7.4980000000000002</v>
      </c>
      <c r="H1304" s="344" t="s">
        <v>960</v>
      </c>
    </row>
    <row r="1305" spans="1:8">
      <c r="A1305" s="1"/>
      <c r="B1305" s="1"/>
      <c r="C1305" s="1"/>
      <c r="D1305" s="1"/>
      <c r="E1305" s="357">
        <v>44273</v>
      </c>
      <c r="F1305" s="344" t="s">
        <v>621</v>
      </c>
      <c r="G1305" s="358">
        <v>8.0420999999999996</v>
      </c>
      <c r="H1305" s="344" t="s">
        <v>961</v>
      </c>
    </row>
    <row r="1306" spans="1:8">
      <c r="A1306" s="1"/>
      <c r="B1306" s="1"/>
      <c r="C1306" s="1"/>
      <c r="D1306" s="1"/>
      <c r="E1306" s="357">
        <v>44273</v>
      </c>
      <c r="F1306" s="344" t="s">
        <v>625</v>
      </c>
      <c r="G1306" s="358">
        <v>8.9113000000000007</v>
      </c>
      <c r="H1306" s="344" t="s">
        <v>961</v>
      </c>
    </row>
    <row r="1307" spans="1:8">
      <c r="A1307" s="1"/>
      <c r="B1307" s="1"/>
      <c r="C1307" s="1"/>
      <c r="D1307" s="1"/>
      <c r="E1307" s="357">
        <v>44273</v>
      </c>
      <c r="F1307" s="344" t="s">
        <v>628</v>
      </c>
      <c r="G1307" s="358">
        <v>10.3985</v>
      </c>
      <c r="H1307" s="344" t="s">
        <v>961</v>
      </c>
    </row>
    <row r="1308" spans="1:8">
      <c r="A1308" s="1"/>
      <c r="B1308" s="1"/>
      <c r="C1308" s="1"/>
      <c r="D1308" s="1"/>
      <c r="E1308" s="357">
        <v>44273</v>
      </c>
      <c r="F1308" s="344" t="s">
        <v>631</v>
      </c>
      <c r="G1308" s="358">
        <v>7.4573</v>
      </c>
      <c r="H1308" s="344" t="s">
        <v>961</v>
      </c>
    </row>
    <row r="1309" spans="1:8">
      <c r="A1309" s="1"/>
      <c r="B1309" s="1"/>
      <c r="C1309" s="1"/>
      <c r="D1309" s="1"/>
      <c r="E1309" s="357">
        <v>44274</v>
      </c>
      <c r="F1309" s="344" t="s">
        <v>621</v>
      </c>
      <c r="G1309" s="358">
        <v>7.8166000000000002</v>
      </c>
      <c r="H1309" s="344" t="s">
        <v>962</v>
      </c>
    </row>
    <row r="1310" spans="1:8">
      <c r="A1310" s="1"/>
      <c r="B1310" s="1"/>
      <c r="C1310" s="1"/>
      <c r="D1310" s="1"/>
      <c r="E1310" s="357">
        <v>44274</v>
      </c>
      <c r="F1310" s="344" t="s">
        <v>625</v>
      </c>
      <c r="G1310" s="358">
        <v>8.6565999999999992</v>
      </c>
      <c r="H1310" s="344" t="s">
        <v>962</v>
      </c>
    </row>
    <row r="1311" spans="1:8">
      <c r="A1311" s="1"/>
      <c r="B1311" s="1"/>
      <c r="C1311" s="1"/>
      <c r="D1311" s="1"/>
      <c r="E1311" s="357">
        <v>44274</v>
      </c>
      <c r="F1311" s="344" t="s">
        <v>628</v>
      </c>
      <c r="G1311" s="358">
        <v>10.106400000000001</v>
      </c>
      <c r="H1311" s="344" t="s">
        <v>962</v>
      </c>
    </row>
    <row r="1312" spans="1:8">
      <c r="A1312" s="1"/>
      <c r="B1312" s="1"/>
      <c r="C1312" s="1"/>
      <c r="D1312" s="1"/>
      <c r="E1312" s="357">
        <v>44274</v>
      </c>
      <c r="F1312" s="344" t="s">
        <v>631</v>
      </c>
      <c r="G1312" s="358">
        <v>7.2670000000000003</v>
      </c>
      <c r="H1312" s="344" t="s">
        <v>962</v>
      </c>
    </row>
    <row r="1313" spans="1:8">
      <c r="A1313" s="1"/>
      <c r="B1313" s="1"/>
      <c r="C1313" s="1"/>
      <c r="D1313" s="1"/>
      <c r="E1313" s="357">
        <v>44277</v>
      </c>
      <c r="F1313" s="344" t="s">
        <v>621</v>
      </c>
      <c r="G1313" s="358">
        <v>8.5004000000000008</v>
      </c>
      <c r="H1313" s="344" t="s">
        <v>963</v>
      </c>
    </row>
    <row r="1314" spans="1:8">
      <c r="A1314" s="1"/>
      <c r="B1314" s="1"/>
      <c r="C1314" s="1"/>
      <c r="D1314" s="1"/>
      <c r="E1314" s="357">
        <v>44277</v>
      </c>
      <c r="F1314" s="344" t="s">
        <v>625</v>
      </c>
      <c r="G1314" s="358">
        <v>9.4069000000000003</v>
      </c>
      <c r="H1314" s="344" t="s">
        <v>963</v>
      </c>
    </row>
    <row r="1315" spans="1:8">
      <c r="A1315" s="1"/>
      <c r="B1315" s="1"/>
      <c r="C1315" s="1"/>
      <c r="D1315" s="1"/>
      <c r="E1315" s="357">
        <v>44277</v>
      </c>
      <c r="F1315" s="344" t="s">
        <v>628</v>
      </c>
      <c r="G1315" s="358">
        <v>10.9343</v>
      </c>
      <c r="H1315" s="344" t="s">
        <v>963</v>
      </c>
    </row>
    <row r="1316" spans="1:8">
      <c r="A1316" s="1"/>
      <c r="B1316" s="1"/>
      <c r="C1316" s="1"/>
      <c r="D1316" s="1"/>
      <c r="E1316" s="357">
        <v>44277</v>
      </c>
      <c r="F1316" s="344" t="s">
        <v>631</v>
      </c>
      <c r="G1316" s="358">
        <v>7.9039999999999999</v>
      </c>
      <c r="H1316" s="344" t="s">
        <v>963</v>
      </c>
    </row>
    <row r="1317" spans="1:8">
      <c r="A1317" s="1"/>
      <c r="B1317" s="1"/>
      <c r="C1317" s="1"/>
      <c r="D1317" s="1"/>
      <c r="E1317" s="357">
        <v>44278</v>
      </c>
      <c r="F1317" s="344" t="s">
        <v>621</v>
      </c>
      <c r="G1317" s="358">
        <v>8.3922000000000008</v>
      </c>
      <c r="H1317" s="344" t="s">
        <v>964</v>
      </c>
    </row>
    <row r="1318" spans="1:8">
      <c r="A1318" s="1"/>
      <c r="B1318" s="1"/>
      <c r="C1318" s="1"/>
      <c r="D1318" s="1"/>
      <c r="E1318" s="357">
        <v>44278</v>
      </c>
      <c r="F1318" s="344" t="s">
        <v>625</v>
      </c>
      <c r="G1318" s="358">
        <v>9.2902000000000005</v>
      </c>
      <c r="H1318" s="344" t="s">
        <v>964</v>
      </c>
    </row>
    <row r="1319" spans="1:8">
      <c r="A1319" s="1"/>
      <c r="B1319" s="1"/>
      <c r="C1319" s="1"/>
      <c r="D1319" s="1"/>
      <c r="E1319" s="357">
        <v>44278</v>
      </c>
      <c r="F1319" s="344" t="s">
        <v>628</v>
      </c>
      <c r="G1319" s="358">
        <v>10.7583</v>
      </c>
      <c r="H1319" s="344" t="s">
        <v>964</v>
      </c>
    </row>
    <row r="1320" spans="1:8">
      <c r="A1320" s="1"/>
      <c r="B1320" s="1"/>
      <c r="C1320" s="1"/>
      <c r="D1320" s="1"/>
      <c r="E1320" s="357">
        <v>44278</v>
      </c>
      <c r="F1320" s="344" t="s">
        <v>631</v>
      </c>
      <c r="G1320" s="358">
        <v>7.8082000000000003</v>
      </c>
      <c r="H1320" s="344" t="s">
        <v>964</v>
      </c>
    </row>
    <row r="1321" spans="1:8">
      <c r="A1321" s="1"/>
      <c r="B1321" s="1"/>
      <c r="C1321" s="1"/>
      <c r="D1321" s="1"/>
      <c r="E1321" s="357">
        <v>44279</v>
      </c>
      <c r="F1321" s="344" t="s">
        <v>621</v>
      </c>
      <c r="G1321" s="358">
        <v>8.4974000000000007</v>
      </c>
      <c r="H1321" s="344" t="s">
        <v>965</v>
      </c>
    </row>
    <row r="1322" spans="1:8">
      <c r="A1322" s="1"/>
      <c r="B1322" s="1"/>
      <c r="C1322" s="1"/>
      <c r="D1322" s="1"/>
      <c r="E1322" s="357">
        <v>44279</v>
      </c>
      <c r="F1322" s="344" t="s">
        <v>625</v>
      </c>
      <c r="G1322" s="358">
        <v>9.4257000000000009</v>
      </c>
      <c r="H1322" s="344" t="s">
        <v>965</v>
      </c>
    </row>
    <row r="1323" spans="1:8">
      <c r="A1323" s="1"/>
      <c r="B1323" s="1"/>
      <c r="C1323" s="1"/>
      <c r="D1323" s="1"/>
      <c r="E1323" s="357">
        <v>44279</v>
      </c>
      <c r="F1323" s="344" t="s">
        <v>628</v>
      </c>
      <c r="G1323" s="358">
        <v>10.901999999999999</v>
      </c>
      <c r="H1323" s="344" t="s">
        <v>965</v>
      </c>
    </row>
    <row r="1324" spans="1:8">
      <c r="A1324" s="1"/>
      <c r="B1324" s="1"/>
      <c r="C1324" s="1"/>
      <c r="D1324" s="1"/>
      <c r="E1324" s="357">
        <v>44279</v>
      </c>
      <c r="F1324" s="344" t="s">
        <v>631</v>
      </c>
      <c r="G1324" s="358">
        <v>7.9665999999999997</v>
      </c>
      <c r="H1324" s="344" t="s">
        <v>965</v>
      </c>
    </row>
    <row r="1325" spans="1:8">
      <c r="A1325" s="1"/>
      <c r="B1325" s="1"/>
      <c r="C1325" s="1"/>
      <c r="D1325" s="1"/>
      <c r="E1325" s="357">
        <v>44280</v>
      </c>
      <c r="F1325" s="344" t="s">
        <v>621</v>
      </c>
      <c r="G1325" s="358">
        <v>8.4634</v>
      </c>
      <c r="H1325" s="344" t="s">
        <v>966</v>
      </c>
    </row>
    <row r="1326" spans="1:8">
      <c r="A1326" s="1"/>
      <c r="B1326" s="1"/>
      <c r="C1326" s="1"/>
      <c r="D1326" s="1"/>
      <c r="E1326" s="357">
        <v>44280</v>
      </c>
      <c r="F1326" s="344" t="s">
        <v>625</v>
      </c>
      <c r="G1326" s="358">
        <v>9.3778000000000006</v>
      </c>
      <c r="H1326" s="344" t="s">
        <v>966</v>
      </c>
    </row>
    <row r="1327" spans="1:8">
      <c r="A1327" s="1"/>
      <c r="B1327" s="1"/>
      <c r="C1327" s="1"/>
      <c r="D1327" s="1"/>
      <c r="E1327" s="357">
        <v>44280</v>
      </c>
      <c r="F1327" s="344" t="s">
        <v>628</v>
      </c>
      <c r="G1327" s="358">
        <v>10.8559</v>
      </c>
      <c r="H1327" s="344" t="s">
        <v>966</v>
      </c>
    </row>
    <row r="1328" spans="1:8">
      <c r="A1328" s="1"/>
      <c r="B1328" s="1"/>
      <c r="C1328" s="1"/>
      <c r="D1328" s="1"/>
      <c r="E1328" s="357">
        <v>44280</v>
      </c>
      <c r="F1328" s="344" t="s">
        <v>631</v>
      </c>
      <c r="G1328" s="358">
        <v>7.9409000000000001</v>
      </c>
      <c r="H1328" s="344" t="s">
        <v>966</v>
      </c>
    </row>
    <row r="1329" spans="1:8">
      <c r="A1329" s="1"/>
      <c r="B1329" s="1"/>
      <c r="C1329" s="1"/>
      <c r="D1329" s="1"/>
      <c r="E1329" s="357">
        <v>44281</v>
      </c>
      <c r="F1329" s="344" t="s">
        <v>621</v>
      </c>
      <c r="G1329" s="358">
        <v>8.4747000000000003</v>
      </c>
      <c r="H1329" s="344" t="s">
        <v>967</v>
      </c>
    </row>
    <row r="1330" spans="1:8">
      <c r="A1330" s="1"/>
      <c r="B1330" s="1"/>
      <c r="C1330" s="1"/>
      <c r="D1330" s="1"/>
      <c r="E1330" s="357">
        <v>44281</v>
      </c>
      <c r="F1330" s="344" t="s">
        <v>625</v>
      </c>
      <c r="G1330" s="358">
        <v>9.4149999999999991</v>
      </c>
      <c r="H1330" s="344" t="s">
        <v>967</v>
      </c>
    </row>
    <row r="1331" spans="1:8">
      <c r="A1331" s="1"/>
      <c r="B1331" s="1"/>
      <c r="C1331" s="1"/>
      <c r="D1331" s="1"/>
      <c r="E1331" s="357">
        <v>44281</v>
      </c>
      <c r="F1331" s="344" t="s">
        <v>628</v>
      </c>
      <c r="G1331" s="358">
        <v>10.9848</v>
      </c>
      <c r="H1331" s="344" t="s">
        <v>967</v>
      </c>
    </row>
    <row r="1332" spans="1:8">
      <c r="A1332" s="1"/>
      <c r="B1332" s="1"/>
      <c r="C1332" s="1"/>
      <c r="D1332" s="1"/>
      <c r="E1332" s="357">
        <v>44281</v>
      </c>
      <c r="F1332" s="344" t="s">
        <v>631</v>
      </c>
      <c r="G1332" s="358">
        <v>7.9893000000000001</v>
      </c>
      <c r="H1332" s="344" t="s">
        <v>967</v>
      </c>
    </row>
    <row r="1333" spans="1:8">
      <c r="A1333" s="1"/>
      <c r="B1333" s="1"/>
      <c r="C1333" s="1"/>
      <c r="D1333" s="1"/>
      <c r="E1333" s="357">
        <v>44284</v>
      </c>
      <c r="F1333" s="344" t="s">
        <v>621</v>
      </c>
      <c r="G1333" s="358">
        <v>8.6258999999999997</v>
      </c>
      <c r="H1333" s="344" t="s">
        <v>968</v>
      </c>
    </row>
    <row r="1334" spans="1:8">
      <c r="A1334" s="1"/>
      <c r="B1334" s="1"/>
      <c r="C1334" s="1"/>
      <c r="D1334" s="1"/>
      <c r="E1334" s="357">
        <v>44284</v>
      </c>
      <c r="F1334" s="344" t="s">
        <v>625</v>
      </c>
      <c r="G1334" s="358">
        <v>9.5617999999999999</v>
      </c>
      <c r="H1334" s="344" t="s">
        <v>968</v>
      </c>
    </row>
    <row r="1335" spans="1:8">
      <c r="A1335" s="1"/>
      <c r="B1335" s="1"/>
      <c r="C1335" s="1"/>
      <c r="D1335" s="1"/>
      <c r="E1335" s="357">
        <v>44284</v>
      </c>
      <c r="F1335" s="344" t="s">
        <v>628</v>
      </c>
      <c r="G1335" s="358">
        <v>11.1957</v>
      </c>
      <c r="H1335" s="344" t="s">
        <v>968</v>
      </c>
    </row>
    <row r="1336" spans="1:8">
      <c r="A1336" s="1"/>
      <c r="B1336" s="1"/>
      <c r="C1336" s="1"/>
      <c r="D1336" s="1"/>
      <c r="E1336" s="357">
        <v>44284</v>
      </c>
      <c r="F1336" s="344" t="s">
        <v>631</v>
      </c>
      <c r="G1336" s="358">
        <v>8.1191999999999993</v>
      </c>
      <c r="H1336" s="344" t="s">
        <v>968</v>
      </c>
    </row>
    <row r="1337" spans="1:8">
      <c r="A1337" s="1"/>
      <c r="B1337" s="1"/>
      <c r="C1337" s="1"/>
      <c r="D1337" s="1"/>
      <c r="E1337" s="357">
        <v>44285</v>
      </c>
      <c r="F1337" s="344" t="s">
        <v>621</v>
      </c>
      <c r="G1337" s="358">
        <v>8.8191000000000006</v>
      </c>
      <c r="H1337" s="344" t="s">
        <v>969</v>
      </c>
    </row>
    <row r="1338" spans="1:8">
      <c r="A1338" s="1"/>
      <c r="B1338" s="1"/>
      <c r="C1338" s="1"/>
      <c r="D1338" s="1"/>
      <c r="E1338" s="357">
        <v>44285</v>
      </c>
      <c r="F1338" s="344" t="s">
        <v>625</v>
      </c>
      <c r="G1338" s="358">
        <v>9.7741000000000007</v>
      </c>
      <c r="H1338" s="344" t="s">
        <v>969</v>
      </c>
    </row>
    <row r="1339" spans="1:8">
      <c r="A1339" s="1"/>
      <c r="B1339" s="1"/>
      <c r="C1339" s="1"/>
      <c r="D1339" s="1"/>
      <c r="E1339" s="357">
        <v>44285</v>
      </c>
      <c r="F1339" s="344" t="s">
        <v>628</v>
      </c>
      <c r="G1339" s="358">
        <v>11.432399999999999</v>
      </c>
      <c r="H1339" s="344" t="s">
        <v>969</v>
      </c>
    </row>
    <row r="1340" spans="1:8">
      <c r="A1340" s="1"/>
      <c r="B1340" s="1"/>
      <c r="C1340" s="1"/>
      <c r="D1340" s="1"/>
      <c r="E1340" s="357">
        <v>44285</v>
      </c>
      <c r="F1340" s="344" t="s">
        <v>631</v>
      </c>
      <c r="G1340" s="358">
        <v>8.3260000000000005</v>
      </c>
      <c r="H1340" s="344" t="s">
        <v>969</v>
      </c>
    </row>
    <row r="1341" spans="1:8">
      <c r="A1341" s="1"/>
      <c r="B1341" s="1"/>
      <c r="C1341" s="1"/>
      <c r="D1341" s="1"/>
      <c r="E1341" s="357">
        <v>44286</v>
      </c>
      <c r="F1341" s="344" t="s">
        <v>621</v>
      </c>
      <c r="G1341" s="358">
        <v>8.8103999999999996</v>
      </c>
      <c r="H1341" s="344" t="s">
        <v>970</v>
      </c>
    </row>
    <row r="1342" spans="1:8">
      <c r="A1342" s="1"/>
      <c r="B1342" s="1"/>
      <c r="C1342" s="1"/>
      <c r="D1342" s="1"/>
      <c r="E1342" s="357">
        <v>44286</v>
      </c>
      <c r="F1342" s="344" t="s">
        <v>625</v>
      </c>
      <c r="G1342" s="358">
        <v>9.7688000000000006</v>
      </c>
      <c r="H1342" s="344" t="s">
        <v>970</v>
      </c>
    </row>
    <row r="1343" spans="1:8">
      <c r="A1343" s="1"/>
      <c r="B1343" s="1"/>
      <c r="C1343" s="1"/>
      <c r="D1343" s="1"/>
      <c r="E1343" s="357">
        <v>44286</v>
      </c>
      <c r="F1343" s="344" t="s">
        <v>628</v>
      </c>
      <c r="G1343" s="358">
        <v>11.4411</v>
      </c>
      <c r="H1343" s="344" t="s">
        <v>970</v>
      </c>
    </row>
    <row r="1344" spans="1:8">
      <c r="A1344" s="1"/>
      <c r="B1344" s="1"/>
      <c r="C1344" s="1"/>
      <c r="D1344" s="1"/>
      <c r="E1344" s="357">
        <v>44286</v>
      </c>
      <c r="F1344" s="344" t="s">
        <v>631</v>
      </c>
      <c r="G1344" s="358">
        <v>8.3257999999999992</v>
      </c>
      <c r="H1344" s="344" t="s">
        <v>970</v>
      </c>
    </row>
    <row r="1345" spans="1:8">
      <c r="A1345" s="1"/>
      <c r="B1345" s="1"/>
      <c r="C1345" s="1"/>
      <c r="D1345" s="1"/>
      <c r="E1345" s="357">
        <v>44287</v>
      </c>
      <c r="F1345" s="344" t="s">
        <v>621</v>
      </c>
      <c r="G1345" s="358">
        <v>8.6181999999999999</v>
      </c>
      <c r="H1345" s="344" t="s">
        <v>971</v>
      </c>
    </row>
    <row r="1346" spans="1:8">
      <c r="A1346" s="1"/>
      <c r="B1346" s="1"/>
      <c r="C1346" s="1"/>
      <c r="D1346" s="1"/>
      <c r="E1346" s="357">
        <v>44287</v>
      </c>
      <c r="F1346" s="344" t="s">
        <v>625</v>
      </c>
      <c r="G1346" s="358">
        <v>9.5898000000000003</v>
      </c>
      <c r="H1346" s="344" t="s">
        <v>971</v>
      </c>
    </row>
    <row r="1347" spans="1:8">
      <c r="A1347" s="1"/>
      <c r="B1347" s="1"/>
      <c r="C1347" s="1"/>
      <c r="D1347" s="1"/>
      <c r="E1347" s="357">
        <v>44287</v>
      </c>
      <c r="F1347" s="344" t="s">
        <v>628</v>
      </c>
      <c r="G1347" s="358">
        <v>11.2369</v>
      </c>
      <c r="H1347" s="344" t="s">
        <v>971</v>
      </c>
    </row>
    <row r="1348" spans="1:8">
      <c r="A1348" s="1"/>
      <c r="B1348" s="1"/>
      <c r="C1348" s="1"/>
      <c r="D1348" s="1"/>
      <c r="E1348" s="357">
        <v>44287</v>
      </c>
      <c r="F1348" s="344" t="s">
        <v>631</v>
      </c>
      <c r="G1348" s="358">
        <v>8.1707000000000001</v>
      </c>
      <c r="H1348" s="344" t="s">
        <v>971</v>
      </c>
    </row>
    <row r="1349" spans="1:8">
      <c r="A1349" s="1"/>
      <c r="B1349" s="1"/>
      <c r="C1349" s="1"/>
      <c r="D1349" s="1"/>
      <c r="E1349" s="357">
        <v>44288</v>
      </c>
      <c r="F1349" s="344" t="s">
        <v>621</v>
      </c>
      <c r="G1349" s="358">
        <v>8.5185999999999993</v>
      </c>
      <c r="H1349" s="344" t="s">
        <v>972</v>
      </c>
    </row>
    <row r="1350" spans="1:8">
      <c r="A1350" s="1"/>
      <c r="B1350" s="1"/>
      <c r="C1350" s="1"/>
      <c r="D1350" s="1"/>
      <c r="E1350" s="357">
        <v>44288</v>
      </c>
      <c r="F1350" s="344" t="s">
        <v>625</v>
      </c>
      <c r="G1350" s="358">
        <v>9.4646000000000008</v>
      </c>
      <c r="H1350" s="344" t="s">
        <v>972</v>
      </c>
    </row>
    <row r="1351" spans="1:8">
      <c r="A1351" s="1"/>
      <c r="B1351" s="1"/>
      <c r="C1351" s="1"/>
      <c r="D1351" s="1"/>
      <c r="E1351" s="357">
        <v>44288</v>
      </c>
      <c r="F1351" s="344" t="s">
        <v>628</v>
      </c>
      <c r="G1351" s="358">
        <v>11.1005</v>
      </c>
      <c r="H1351" s="344" t="s">
        <v>972</v>
      </c>
    </row>
    <row r="1352" spans="1:8">
      <c r="A1352" s="1"/>
      <c r="B1352" s="1"/>
      <c r="C1352" s="1"/>
      <c r="D1352" s="1"/>
      <c r="E1352" s="357">
        <v>44288</v>
      </c>
      <c r="F1352" s="344" t="s">
        <v>631</v>
      </c>
      <c r="G1352" s="358">
        <v>8.0361999999999991</v>
      </c>
      <c r="H1352" s="344" t="s">
        <v>972</v>
      </c>
    </row>
    <row r="1353" spans="1:8">
      <c r="A1353" s="1"/>
      <c r="B1353" s="1"/>
      <c r="C1353" s="1"/>
      <c r="D1353" s="1"/>
      <c r="E1353" s="357">
        <v>44291</v>
      </c>
      <c r="F1353" s="344" t="s">
        <v>621</v>
      </c>
      <c r="G1353" s="358">
        <v>8.6115999999999993</v>
      </c>
      <c r="H1353" s="344" t="s">
        <v>973</v>
      </c>
    </row>
    <row r="1354" spans="1:8">
      <c r="A1354" s="1"/>
      <c r="B1354" s="1"/>
      <c r="C1354" s="1"/>
      <c r="D1354" s="1"/>
      <c r="E1354" s="357">
        <v>44291</v>
      </c>
      <c r="F1354" s="344" t="s">
        <v>625</v>
      </c>
      <c r="G1354" s="358">
        <v>9.5622000000000007</v>
      </c>
      <c r="H1354" s="344" t="s">
        <v>973</v>
      </c>
    </row>
    <row r="1355" spans="1:8">
      <c r="A1355" s="1"/>
      <c r="B1355" s="1"/>
      <c r="C1355" s="1"/>
      <c r="D1355" s="1"/>
      <c r="E1355" s="357">
        <v>44291</v>
      </c>
      <c r="F1355" s="344" t="s">
        <v>628</v>
      </c>
      <c r="G1355" s="358">
        <v>11.2559</v>
      </c>
      <c r="H1355" s="344" t="s">
        <v>973</v>
      </c>
    </row>
    <row r="1356" spans="1:8">
      <c r="A1356" s="1"/>
      <c r="B1356" s="1"/>
      <c r="C1356" s="1"/>
      <c r="D1356" s="1"/>
      <c r="E1356" s="357">
        <v>44291</v>
      </c>
      <c r="F1356" s="344" t="s">
        <v>631</v>
      </c>
      <c r="G1356" s="358">
        <v>8.1394000000000002</v>
      </c>
      <c r="H1356" s="344" t="s">
        <v>973</v>
      </c>
    </row>
    <row r="1357" spans="1:8">
      <c r="A1357" s="1"/>
      <c r="B1357" s="1"/>
      <c r="C1357" s="1"/>
      <c r="D1357" s="1"/>
      <c r="E1357" s="357">
        <v>44292</v>
      </c>
      <c r="F1357" s="344" t="s">
        <v>621</v>
      </c>
      <c r="G1357" s="358">
        <v>8.6617999999999995</v>
      </c>
      <c r="H1357" s="344" t="s">
        <v>974</v>
      </c>
    </row>
    <row r="1358" spans="1:8">
      <c r="A1358" s="1"/>
      <c r="B1358" s="1"/>
      <c r="C1358" s="1"/>
      <c r="D1358" s="1"/>
      <c r="E1358" s="357">
        <v>44292</v>
      </c>
      <c r="F1358" s="344" t="s">
        <v>625</v>
      </c>
      <c r="G1358" s="358">
        <v>9.6190999999999995</v>
      </c>
      <c r="H1358" s="344" t="s">
        <v>974</v>
      </c>
    </row>
    <row r="1359" spans="1:8">
      <c r="A1359" s="1"/>
      <c r="B1359" s="1"/>
      <c r="C1359" s="1"/>
      <c r="D1359" s="1"/>
      <c r="E1359" s="357">
        <v>44292</v>
      </c>
      <c r="F1359" s="344" t="s">
        <v>628</v>
      </c>
      <c r="G1359" s="358">
        <v>11.261799999999999</v>
      </c>
      <c r="H1359" s="344" t="s">
        <v>974</v>
      </c>
    </row>
    <row r="1360" spans="1:8">
      <c r="A1360" s="1"/>
      <c r="B1360" s="1"/>
      <c r="C1360" s="1"/>
      <c r="D1360" s="1"/>
      <c r="E1360" s="357">
        <v>44292</v>
      </c>
      <c r="F1360" s="344" t="s">
        <v>631</v>
      </c>
      <c r="G1360" s="358">
        <v>8.1440999999999999</v>
      </c>
      <c r="H1360" s="344" t="s">
        <v>974</v>
      </c>
    </row>
    <row r="1361" spans="1:8">
      <c r="A1361" s="1"/>
      <c r="B1361" s="1"/>
      <c r="C1361" s="1"/>
      <c r="D1361" s="1"/>
      <c r="E1361" s="357">
        <v>44293</v>
      </c>
      <c r="F1361" s="344" t="s">
        <v>621</v>
      </c>
      <c r="G1361" s="358">
        <v>8.7689000000000004</v>
      </c>
      <c r="H1361" s="344" t="s">
        <v>975</v>
      </c>
    </row>
    <row r="1362" spans="1:8">
      <c r="A1362" s="1"/>
      <c r="B1362" s="1"/>
      <c r="C1362" s="1"/>
      <c r="D1362" s="1"/>
      <c r="E1362" s="357">
        <v>44293</v>
      </c>
      <c r="F1362" s="344" t="s">
        <v>625</v>
      </c>
      <c r="G1362" s="358">
        <v>9.7074999999999996</v>
      </c>
      <c r="H1362" s="344" t="s">
        <v>975</v>
      </c>
    </row>
    <row r="1363" spans="1:8">
      <c r="A1363" s="1"/>
      <c r="B1363" s="1"/>
      <c r="C1363" s="1"/>
      <c r="D1363" s="1"/>
      <c r="E1363" s="357">
        <v>44293</v>
      </c>
      <c r="F1363" s="344" t="s">
        <v>628</v>
      </c>
      <c r="G1363" s="358">
        <v>11.262499999999999</v>
      </c>
      <c r="H1363" s="344" t="s">
        <v>975</v>
      </c>
    </row>
    <row r="1364" spans="1:8">
      <c r="A1364" s="1"/>
      <c r="B1364" s="1"/>
      <c r="C1364" s="1"/>
      <c r="D1364" s="1"/>
      <c r="E1364" s="357">
        <v>44293</v>
      </c>
      <c r="F1364" s="344" t="s">
        <v>631</v>
      </c>
      <c r="G1364" s="358">
        <v>8.1687999999999992</v>
      </c>
      <c r="H1364" s="344" t="s">
        <v>975</v>
      </c>
    </row>
    <row r="1365" spans="1:8">
      <c r="A1365" s="1"/>
      <c r="B1365" s="1"/>
      <c r="C1365" s="1"/>
      <c r="D1365" s="1"/>
      <c r="E1365" s="357">
        <v>44294</v>
      </c>
      <c r="F1365" s="344" t="s">
        <v>621</v>
      </c>
      <c r="G1365" s="358">
        <v>8.7614999999999998</v>
      </c>
      <c r="H1365" s="344" t="s">
        <v>976</v>
      </c>
    </row>
    <row r="1366" spans="1:8">
      <c r="A1366" s="1"/>
      <c r="B1366" s="1"/>
      <c r="C1366" s="1"/>
      <c r="D1366" s="1"/>
      <c r="E1366" s="357">
        <v>44294</v>
      </c>
      <c r="F1366" s="344" t="s">
        <v>625</v>
      </c>
      <c r="G1366" s="358">
        <v>9.6807999999999996</v>
      </c>
      <c r="H1366" s="344" t="s">
        <v>976</v>
      </c>
    </row>
    <row r="1367" spans="1:8">
      <c r="A1367" s="1"/>
      <c r="B1367" s="1"/>
      <c r="C1367" s="1"/>
      <c r="D1367" s="1"/>
      <c r="E1367" s="357">
        <v>44294</v>
      </c>
      <c r="F1367" s="344" t="s">
        <v>628</v>
      </c>
      <c r="G1367" s="358">
        <v>11.1906</v>
      </c>
      <c r="H1367" s="344" t="s">
        <v>976</v>
      </c>
    </row>
    <row r="1368" spans="1:8">
      <c r="A1368" s="1"/>
      <c r="B1368" s="1"/>
      <c r="C1368" s="1"/>
      <c r="D1368" s="1"/>
      <c r="E1368" s="357">
        <v>44294</v>
      </c>
      <c r="F1368" s="344" t="s">
        <v>631</v>
      </c>
      <c r="G1368" s="358">
        <v>8.1517999999999997</v>
      </c>
      <c r="H1368" s="344" t="s">
        <v>976</v>
      </c>
    </row>
    <row r="1369" spans="1:8">
      <c r="A1369" s="1"/>
      <c r="B1369" s="1"/>
      <c r="C1369" s="1"/>
      <c r="D1369" s="1"/>
      <c r="E1369" s="357">
        <v>44295</v>
      </c>
      <c r="F1369" s="344" t="s">
        <v>621</v>
      </c>
      <c r="G1369" s="358">
        <v>8.7705000000000002</v>
      </c>
      <c r="H1369" s="344" t="s">
        <v>977</v>
      </c>
    </row>
    <row r="1370" spans="1:8">
      <c r="A1370" s="1"/>
      <c r="B1370" s="1"/>
      <c r="C1370" s="1"/>
      <c r="D1370" s="1"/>
      <c r="E1370" s="357">
        <v>44295</v>
      </c>
      <c r="F1370" s="344" t="s">
        <v>625</v>
      </c>
      <c r="G1370" s="358">
        <v>9.6776999999999997</v>
      </c>
      <c r="H1370" s="344" t="s">
        <v>977</v>
      </c>
    </row>
    <row r="1371" spans="1:8">
      <c r="A1371" s="1"/>
      <c r="B1371" s="1"/>
      <c r="C1371" s="1"/>
      <c r="D1371" s="1"/>
      <c r="E1371" s="357">
        <v>44295</v>
      </c>
      <c r="F1371" s="344" t="s">
        <v>628</v>
      </c>
      <c r="G1371" s="358">
        <v>11.134499999999999</v>
      </c>
      <c r="H1371" s="344" t="s">
        <v>977</v>
      </c>
    </row>
    <row r="1372" spans="1:8">
      <c r="A1372" s="1"/>
      <c r="B1372" s="1"/>
      <c r="C1372" s="1"/>
      <c r="D1372" s="1"/>
      <c r="E1372" s="357">
        <v>44295</v>
      </c>
      <c r="F1372" s="344" t="s">
        <v>631</v>
      </c>
      <c r="G1372" s="358">
        <v>8.1382999999999992</v>
      </c>
      <c r="H1372" s="344" t="s">
        <v>977</v>
      </c>
    </row>
    <row r="1373" spans="1:8">
      <c r="A1373" s="1"/>
      <c r="B1373" s="1"/>
      <c r="C1373" s="1"/>
      <c r="D1373" s="1"/>
      <c r="E1373" s="357">
        <v>44298</v>
      </c>
      <c r="F1373" s="344" t="s">
        <v>621</v>
      </c>
      <c r="G1373" s="358">
        <v>8.8129000000000008</v>
      </c>
      <c r="H1373" s="344" t="s">
        <v>978</v>
      </c>
    </row>
    <row r="1374" spans="1:8">
      <c r="A1374" s="1"/>
      <c r="B1374" s="1"/>
      <c r="C1374" s="1"/>
      <c r="D1374" s="1"/>
      <c r="E1374" s="357">
        <v>44298</v>
      </c>
      <c r="F1374" s="344" t="s">
        <v>625</v>
      </c>
      <c r="G1374" s="358">
        <v>9.7149000000000001</v>
      </c>
      <c r="H1374" s="344" t="s">
        <v>978</v>
      </c>
    </row>
    <row r="1375" spans="1:8">
      <c r="A1375" s="1"/>
      <c r="B1375" s="1"/>
      <c r="C1375" s="1"/>
      <c r="D1375" s="1"/>
      <c r="E1375" s="357">
        <v>44298</v>
      </c>
      <c r="F1375" s="344" t="s">
        <v>628</v>
      </c>
      <c r="G1375" s="358">
        <v>11.203900000000001</v>
      </c>
      <c r="H1375" s="344" t="s">
        <v>978</v>
      </c>
    </row>
    <row r="1376" spans="1:8">
      <c r="A1376" s="1"/>
      <c r="B1376" s="1"/>
      <c r="C1376" s="1"/>
      <c r="D1376" s="1"/>
      <c r="E1376" s="357">
        <v>44298</v>
      </c>
      <c r="F1376" s="344" t="s">
        <v>631</v>
      </c>
      <c r="G1376" s="358">
        <v>8.1681000000000008</v>
      </c>
      <c r="H1376" s="344" t="s">
        <v>978</v>
      </c>
    </row>
    <row r="1377" spans="1:8">
      <c r="A1377" s="1"/>
      <c r="B1377" s="1"/>
      <c r="C1377" s="1"/>
      <c r="D1377" s="1"/>
      <c r="E1377" s="357">
        <v>44299</v>
      </c>
      <c r="F1377" s="344" t="s">
        <v>621</v>
      </c>
      <c r="G1377" s="358">
        <v>8.7775999999999996</v>
      </c>
      <c r="H1377" s="344" t="s">
        <v>979</v>
      </c>
    </row>
    <row r="1378" spans="1:8">
      <c r="A1378" s="1"/>
      <c r="B1378" s="1"/>
      <c r="C1378" s="1"/>
      <c r="D1378" s="1"/>
      <c r="E1378" s="357">
        <v>44299</v>
      </c>
      <c r="F1378" s="344" t="s">
        <v>625</v>
      </c>
      <c r="G1378" s="358">
        <v>9.6805000000000003</v>
      </c>
      <c r="H1378" s="344" t="s">
        <v>979</v>
      </c>
    </row>
    <row r="1379" spans="1:8">
      <c r="A1379" s="1"/>
      <c r="B1379" s="1"/>
      <c r="C1379" s="1"/>
      <c r="D1379" s="1"/>
      <c r="E1379" s="357">
        <v>44299</v>
      </c>
      <c r="F1379" s="344" t="s">
        <v>628</v>
      </c>
      <c r="G1379" s="358">
        <v>11.167400000000001</v>
      </c>
      <c r="H1379" s="344" t="s">
        <v>979</v>
      </c>
    </row>
    <row r="1380" spans="1:8">
      <c r="A1380" s="1"/>
      <c r="B1380" s="1"/>
      <c r="C1380" s="1"/>
      <c r="D1380" s="1"/>
      <c r="E1380" s="357">
        <v>44299</v>
      </c>
      <c r="F1380" s="344" t="s">
        <v>631</v>
      </c>
      <c r="G1380" s="358">
        <v>8.1382999999999992</v>
      </c>
      <c r="H1380" s="344" t="s">
        <v>979</v>
      </c>
    </row>
    <row r="1381" spans="1:8">
      <c r="A1381" s="1"/>
      <c r="B1381" s="1"/>
      <c r="C1381" s="1"/>
      <c r="D1381" s="1"/>
      <c r="E1381" s="357">
        <v>44300</v>
      </c>
      <c r="F1381" s="344" t="s">
        <v>621</v>
      </c>
      <c r="G1381" s="358">
        <v>8.7454000000000001</v>
      </c>
      <c r="H1381" s="344" t="s">
        <v>980</v>
      </c>
    </row>
    <row r="1382" spans="1:8">
      <c r="A1382" s="1"/>
      <c r="B1382" s="1"/>
      <c r="C1382" s="1"/>
      <c r="D1382" s="1"/>
      <c r="E1382" s="357">
        <v>44300</v>
      </c>
      <c r="F1382" s="344" t="s">
        <v>625</v>
      </c>
      <c r="G1382" s="358">
        <v>9.6557999999999993</v>
      </c>
      <c r="H1382" s="344" t="s">
        <v>980</v>
      </c>
    </row>
    <row r="1383" spans="1:8">
      <c r="A1383" s="1"/>
      <c r="B1383" s="1"/>
      <c r="C1383" s="1"/>
      <c r="D1383" s="1"/>
      <c r="E1383" s="357">
        <v>44300</v>
      </c>
      <c r="F1383" s="344" t="s">
        <v>628</v>
      </c>
      <c r="G1383" s="358">
        <v>11.103</v>
      </c>
      <c r="H1383" s="344" t="s">
        <v>980</v>
      </c>
    </row>
    <row r="1384" spans="1:8">
      <c r="A1384" s="1"/>
      <c r="B1384" s="1"/>
      <c r="C1384" s="1"/>
      <c r="D1384" s="1"/>
      <c r="E1384" s="357">
        <v>44300</v>
      </c>
      <c r="F1384" s="344" t="s">
        <v>631</v>
      </c>
      <c r="G1384" s="358">
        <v>8.0729000000000006</v>
      </c>
      <c r="H1384" s="344" t="s">
        <v>980</v>
      </c>
    </row>
    <row r="1385" spans="1:8">
      <c r="A1385" s="1"/>
      <c r="B1385" s="1"/>
      <c r="C1385" s="1"/>
      <c r="D1385" s="1"/>
      <c r="E1385" s="357">
        <v>44301</v>
      </c>
      <c r="F1385" s="344" t="s">
        <v>621</v>
      </c>
      <c r="G1385" s="358">
        <v>8.7088000000000001</v>
      </c>
      <c r="H1385" s="344" t="s">
        <v>981</v>
      </c>
    </row>
    <row r="1386" spans="1:8">
      <c r="A1386" s="1"/>
      <c r="B1386" s="1"/>
      <c r="C1386" s="1"/>
      <c r="D1386" s="1"/>
      <c r="E1386" s="357">
        <v>44301</v>
      </c>
      <c r="F1386" s="344" t="s">
        <v>625</v>
      </c>
      <c r="G1386" s="358">
        <v>9.6470000000000002</v>
      </c>
      <c r="H1386" s="344" t="s">
        <v>981</v>
      </c>
    </row>
    <row r="1387" spans="1:8">
      <c r="A1387" s="1"/>
      <c r="B1387" s="1"/>
      <c r="C1387" s="1"/>
      <c r="D1387" s="1"/>
      <c r="E1387" s="357">
        <v>44301</v>
      </c>
      <c r="F1387" s="344" t="s">
        <v>628</v>
      </c>
      <c r="G1387" s="358">
        <v>11.0847</v>
      </c>
      <c r="H1387" s="344" t="s">
        <v>981</v>
      </c>
    </row>
    <row r="1388" spans="1:8">
      <c r="A1388" s="1"/>
      <c r="B1388" s="1"/>
      <c r="C1388" s="1"/>
      <c r="D1388" s="1"/>
      <c r="E1388" s="357">
        <v>44301</v>
      </c>
      <c r="F1388" s="344" t="s">
        <v>631</v>
      </c>
      <c r="G1388" s="358">
        <v>8.0566999999999993</v>
      </c>
      <c r="H1388" s="344" t="s">
        <v>981</v>
      </c>
    </row>
    <row r="1389" spans="1:8">
      <c r="A1389" s="1"/>
      <c r="B1389" s="1"/>
      <c r="C1389" s="1"/>
      <c r="D1389" s="1"/>
      <c r="E1389" s="357">
        <v>44302</v>
      </c>
      <c r="F1389" s="344" t="s">
        <v>621</v>
      </c>
      <c r="G1389" s="358">
        <v>8.7425999999999995</v>
      </c>
      <c r="H1389" s="344" t="s">
        <v>982</v>
      </c>
    </row>
    <row r="1390" spans="1:8">
      <c r="A1390" s="1"/>
      <c r="B1390" s="1"/>
      <c r="C1390" s="1"/>
      <c r="D1390" s="1"/>
      <c r="E1390" s="357">
        <v>44302</v>
      </c>
      <c r="F1390" s="344" t="s">
        <v>625</v>
      </c>
      <c r="G1390" s="358">
        <v>9.6524000000000001</v>
      </c>
      <c r="H1390" s="344" t="s">
        <v>982</v>
      </c>
    </row>
    <row r="1391" spans="1:8">
      <c r="A1391" s="1"/>
      <c r="B1391" s="1"/>
      <c r="C1391" s="1"/>
      <c r="D1391" s="1"/>
      <c r="E1391" s="357">
        <v>44302</v>
      </c>
      <c r="F1391" s="344" t="s">
        <v>628</v>
      </c>
      <c r="G1391" s="358">
        <v>11.074199999999999</v>
      </c>
      <c r="H1391" s="344" t="s">
        <v>982</v>
      </c>
    </row>
    <row r="1392" spans="1:8">
      <c r="A1392" s="1"/>
      <c r="B1392" s="1"/>
      <c r="C1392" s="1"/>
      <c r="D1392" s="1"/>
      <c r="E1392" s="357">
        <v>44302</v>
      </c>
      <c r="F1392" s="344" t="s">
        <v>631</v>
      </c>
      <c r="G1392" s="358">
        <v>8.0573999999999995</v>
      </c>
      <c r="H1392" s="344" t="s">
        <v>982</v>
      </c>
    </row>
    <row r="1393" spans="1:8">
      <c r="A1393" s="1"/>
      <c r="B1393" s="1"/>
      <c r="C1393" s="1"/>
      <c r="D1393" s="1"/>
      <c r="E1393" s="357">
        <v>44305</v>
      </c>
      <c r="F1393" s="344" t="s">
        <v>621</v>
      </c>
      <c r="G1393" s="358">
        <v>8.7764000000000006</v>
      </c>
      <c r="H1393" s="344" t="s">
        <v>983</v>
      </c>
    </row>
    <row r="1394" spans="1:8">
      <c r="A1394" s="1"/>
      <c r="B1394" s="1"/>
      <c r="C1394" s="1"/>
      <c r="D1394" s="1"/>
      <c r="E1394" s="357">
        <v>44305</v>
      </c>
      <c r="F1394" s="344" t="s">
        <v>625</v>
      </c>
      <c r="G1394" s="358">
        <v>9.6801999999999992</v>
      </c>
      <c r="H1394" s="344" t="s">
        <v>983</v>
      </c>
    </row>
    <row r="1395" spans="1:8">
      <c r="A1395" s="1"/>
      <c r="B1395" s="1"/>
      <c r="C1395" s="1"/>
      <c r="D1395" s="1"/>
      <c r="E1395" s="357">
        <v>44305</v>
      </c>
      <c r="F1395" s="344" t="s">
        <v>628</v>
      </c>
      <c r="G1395" s="358">
        <v>11.167</v>
      </c>
      <c r="H1395" s="344" t="s">
        <v>983</v>
      </c>
    </row>
    <row r="1396" spans="1:8">
      <c r="A1396" s="1"/>
      <c r="B1396" s="1"/>
      <c r="C1396" s="1"/>
      <c r="D1396" s="1"/>
      <c r="E1396" s="357">
        <v>44305</v>
      </c>
      <c r="F1396" s="344" t="s">
        <v>631</v>
      </c>
      <c r="G1396" s="358">
        <v>8.0513999999999992</v>
      </c>
      <c r="H1396" s="344" t="s">
        <v>983</v>
      </c>
    </row>
    <row r="1397" spans="1:8">
      <c r="A1397" s="1"/>
      <c r="B1397" s="1"/>
      <c r="C1397" s="1"/>
      <c r="D1397" s="1"/>
      <c r="E1397" s="357">
        <v>44306</v>
      </c>
      <c r="F1397" s="344" t="s">
        <v>621</v>
      </c>
      <c r="G1397" s="358">
        <v>8.8331</v>
      </c>
      <c r="H1397" s="344" t="s">
        <v>984</v>
      </c>
    </row>
    <row r="1398" spans="1:8">
      <c r="A1398" s="1"/>
      <c r="B1398" s="1"/>
      <c r="C1398" s="1"/>
      <c r="D1398" s="1"/>
      <c r="E1398" s="357">
        <v>44306</v>
      </c>
      <c r="F1398" s="344" t="s">
        <v>625</v>
      </c>
      <c r="G1398" s="358">
        <v>9.7718000000000007</v>
      </c>
      <c r="H1398" s="344" t="s">
        <v>984</v>
      </c>
    </row>
    <row r="1399" spans="1:8">
      <c r="A1399" s="1"/>
      <c r="B1399" s="1"/>
      <c r="C1399" s="1"/>
      <c r="D1399" s="1"/>
      <c r="E1399" s="357">
        <v>44306</v>
      </c>
      <c r="F1399" s="344" t="s">
        <v>628</v>
      </c>
      <c r="G1399" s="358">
        <v>11.309699999999999</v>
      </c>
      <c r="H1399" s="344" t="s">
        <v>984</v>
      </c>
    </row>
    <row r="1400" spans="1:8">
      <c r="A1400" s="1"/>
      <c r="B1400" s="1"/>
      <c r="C1400" s="1"/>
      <c r="D1400" s="1"/>
      <c r="E1400" s="357">
        <v>44306</v>
      </c>
      <c r="F1400" s="344" t="s">
        <v>631</v>
      </c>
      <c r="G1400" s="358">
        <v>8.1011000000000006</v>
      </c>
      <c r="H1400" s="344" t="s">
        <v>984</v>
      </c>
    </row>
    <row r="1401" spans="1:8">
      <c r="A1401" s="1"/>
      <c r="B1401" s="1"/>
      <c r="C1401" s="1"/>
      <c r="D1401" s="1"/>
      <c r="E1401" s="357">
        <v>44307</v>
      </c>
      <c r="F1401" s="344" t="s">
        <v>621</v>
      </c>
      <c r="G1401" s="358">
        <v>8.8542000000000005</v>
      </c>
      <c r="H1401" s="344" t="s">
        <v>985</v>
      </c>
    </row>
    <row r="1402" spans="1:8">
      <c r="A1402" s="1"/>
      <c r="B1402" s="1"/>
      <c r="C1402" s="1"/>
      <c r="D1402" s="1"/>
      <c r="E1402" s="357">
        <v>44307</v>
      </c>
      <c r="F1402" s="344" t="s">
        <v>625</v>
      </c>
      <c r="G1402" s="358">
        <v>9.7815999999999992</v>
      </c>
      <c r="H1402" s="344" t="s">
        <v>985</v>
      </c>
    </row>
    <row r="1403" spans="1:8">
      <c r="A1403" s="1"/>
      <c r="B1403" s="1"/>
      <c r="C1403" s="1"/>
      <c r="D1403" s="1"/>
      <c r="E1403" s="357">
        <v>44307</v>
      </c>
      <c r="F1403" s="344" t="s">
        <v>628</v>
      </c>
      <c r="G1403" s="358">
        <v>11.325799999999999</v>
      </c>
      <c r="H1403" s="344" t="s">
        <v>985</v>
      </c>
    </row>
    <row r="1404" spans="1:8">
      <c r="A1404" s="1"/>
      <c r="B1404" s="1"/>
      <c r="C1404" s="1"/>
      <c r="D1404" s="1"/>
      <c r="E1404" s="357">
        <v>44307</v>
      </c>
      <c r="F1404" s="344" t="s">
        <v>631</v>
      </c>
      <c r="G1404" s="358">
        <v>8.1433</v>
      </c>
      <c r="H1404" s="344" t="s">
        <v>985</v>
      </c>
    </row>
    <row r="1405" spans="1:8">
      <c r="A1405" s="1"/>
      <c r="B1405" s="1"/>
      <c r="C1405" s="1"/>
      <c r="D1405" s="1"/>
      <c r="E1405" s="357">
        <v>44308</v>
      </c>
      <c r="F1405" s="344" t="s">
        <v>621</v>
      </c>
      <c r="G1405" s="358">
        <v>9.0114000000000001</v>
      </c>
      <c r="H1405" s="344" t="s">
        <v>986</v>
      </c>
    </row>
    <row r="1406" spans="1:8">
      <c r="A1406" s="1"/>
      <c r="B1406" s="1"/>
      <c r="C1406" s="1"/>
      <c r="D1406" s="1"/>
      <c r="E1406" s="357">
        <v>44308</v>
      </c>
      <c r="F1406" s="344" t="s">
        <v>625</v>
      </c>
      <c r="G1406" s="358">
        <v>9.9575999999999993</v>
      </c>
      <c r="H1406" s="344" t="s">
        <v>986</v>
      </c>
    </row>
    <row r="1407" spans="1:8">
      <c r="A1407" s="1"/>
      <c r="B1407" s="1"/>
      <c r="C1407" s="1"/>
      <c r="D1407" s="1"/>
      <c r="E1407" s="357">
        <v>44308</v>
      </c>
      <c r="F1407" s="344" t="s">
        <v>628</v>
      </c>
      <c r="G1407" s="358">
        <v>11.4841</v>
      </c>
      <c r="H1407" s="344" t="s">
        <v>986</v>
      </c>
    </row>
    <row r="1408" spans="1:8">
      <c r="A1408" s="1"/>
      <c r="B1408" s="1"/>
      <c r="C1408" s="1"/>
      <c r="D1408" s="1"/>
      <c r="E1408" s="357">
        <v>44308</v>
      </c>
      <c r="F1408" s="344" t="s">
        <v>631</v>
      </c>
      <c r="G1408" s="358">
        <v>8.2693999999999992</v>
      </c>
      <c r="H1408" s="344" t="s">
        <v>986</v>
      </c>
    </row>
    <row r="1409" spans="1:8">
      <c r="A1409" s="1"/>
      <c r="B1409" s="1"/>
      <c r="C1409" s="1"/>
      <c r="D1409" s="1"/>
      <c r="E1409" s="357">
        <v>44312</v>
      </c>
      <c r="F1409" s="344" t="s">
        <v>621</v>
      </c>
      <c r="G1409" s="358">
        <v>9.0882000000000005</v>
      </c>
      <c r="H1409" s="344" t="s">
        <v>987</v>
      </c>
    </row>
    <row r="1410" spans="1:8">
      <c r="A1410" s="1"/>
      <c r="B1410" s="1"/>
      <c r="C1410" s="1"/>
      <c r="D1410" s="1"/>
      <c r="E1410" s="357">
        <v>44312</v>
      </c>
      <c r="F1410" s="344" t="s">
        <v>625</v>
      </c>
      <c r="G1410" s="358">
        <v>10.073499999999999</v>
      </c>
      <c r="H1410" s="344" t="s">
        <v>987</v>
      </c>
    </row>
    <row r="1411" spans="1:8">
      <c r="A1411" s="1"/>
      <c r="B1411" s="1"/>
      <c r="C1411" s="1"/>
      <c r="D1411" s="1"/>
      <c r="E1411" s="357">
        <v>44312</v>
      </c>
      <c r="F1411" s="344" t="s">
        <v>628</v>
      </c>
      <c r="G1411" s="358">
        <v>11.563700000000001</v>
      </c>
      <c r="H1411" s="344" t="s">
        <v>987</v>
      </c>
    </row>
    <row r="1412" spans="1:8">
      <c r="A1412" s="1"/>
      <c r="B1412" s="1"/>
      <c r="C1412" s="1"/>
      <c r="D1412" s="1"/>
      <c r="E1412" s="357">
        <v>44312</v>
      </c>
      <c r="F1412" s="344" t="s">
        <v>631</v>
      </c>
      <c r="G1412" s="358">
        <v>8.3294999999999995</v>
      </c>
      <c r="H1412" s="344" t="s">
        <v>987</v>
      </c>
    </row>
    <row r="1413" spans="1:8">
      <c r="A1413" s="1"/>
      <c r="B1413" s="1"/>
      <c r="C1413" s="1"/>
      <c r="D1413" s="1"/>
      <c r="E1413" s="357">
        <v>44313</v>
      </c>
      <c r="F1413" s="344" t="s">
        <v>621</v>
      </c>
      <c r="G1413" s="358">
        <v>8.9754000000000005</v>
      </c>
      <c r="H1413" s="344" t="s">
        <v>988</v>
      </c>
    </row>
    <row r="1414" spans="1:8">
      <c r="A1414" s="1"/>
      <c r="B1414" s="1"/>
      <c r="C1414" s="1"/>
      <c r="D1414" s="1"/>
      <c r="E1414" s="357">
        <v>44313</v>
      </c>
      <c r="F1414" s="344" t="s">
        <v>625</v>
      </c>
      <c r="G1414" s="358">
        <v>9.9370999999999992</v>
      </c>
      <c r="H1414" s="344" t="s">
        <v>988</v>
      </c>
    </row>
    <row r="1415" spans="1:8">
      <c r="A1415" s="1"/>
      <c r="B1415" s="1"/>
      <c r="C1415" s="1"/>
      <c r="D1415" s="1"/>
      <c r="E1415" s="357">
        <v>44313</v>
      </c>
      <c r="F1415" s="344" t="s">
        <v>628</v>
      </c>
      <c r="G1415" s="358">
        <v>11.413</v>
      </c>
      <c r="H1415" s="344" t="s">
        <v>988</v>
      </c>
    </row>
    <row r="1416" spans="1:8">
      <c r="A1416" s="1"/>
      <c r="B1416" s="1"/>
      <c r="C1416" s="1"/>
      <c r="D1416" s="1"/>
      <c r="E1416" s="357">
        <v>44313</v>
      </c>
      <c r="F1416" s="344" t="s">
        <v>631</v>
      </c>
      <c r="G1416" s="358">
        <v>8.2309999999999999</v>
      </c>
      <c r="H1416" s="344" t="s">
        <v>988</v>
      </c>
    </row>
    <row r="1417" spans="1:8">
      <c r="A1417" s="1"/>
      <c r="B1417" s="1"/>
      <c r="C1417" s="1"/>
      <c r="D1417" s="1"/>
      <c r="E1417" s="357">
        <v>44314</v>
      </c>
      <c r="F1417" s="344" t="s">
        <v>621</v>
      </c>
      <c r="G1417" s="358">
        <v>8.9169999999999998</v>
      </c>
      <c r="H1417" s="344" t="s">
        <v>989</v>
      </c>
    </row>
    <row r="1418" spans="1:8">
      <c r="A1418" s="1"/>
      <c r="B1418" s="1"/>
      <c r="C1418" s="1"/>
      <c r="D1418" s="1"/>
      <c r="E1418" s="357">
        <v>44314</v>
      </c>
      <c r="F1418" s="344" t="s">
        <v>625</v>
      </c>
      <c r="G1418" s="358">
        <v>9.8798999999999992</v>
      </c>
      <c r="H1418" s="344" t="s">
        <v>989</v>
      </c>
    </row>
    <row r="1419" spans="1:8">
      <c r="A1419" s="1"/>
      <c r="B1419" s="1"/>
      <c r="C1419" s="1"/>
      <c r="D1419" s="1"/>
      <c r="E1419" s="357">
        <v>44314</v>
      </c>
      <c r="F1419" s="344" t="s">
        <v>628</v>
      </c>
      <c r="G1419" s="358">
        <v>11.3398</v>
      </c>
      <c r="H1419" s="344" t="s">
        <v>989</v>
      </c>
    </row>
    <row r="1420" spans="1:8">
      <c r="A1420" s="1"/>
      <c r="B1420" s="1"/>
      <c r="C1420" s="1"/>
      <c r="D1420" s="1"/>
      <c r="E1420" s="357">
        <v>44314</v>
      </c>
      <c r="F1420" s="344" t="s">
        <v>631</v>
      </c>
      <c r="G1420" s="358">
        <v>8.1859999999999999</v>
      </c>
      <c r="H1420" s="344" t="s">
        <v>989</v>
      </c>
    </row>
    <row r="1421" spans="1:8">
      <c r="A1421" s="1"/>
      <c r="B1421" s="1"/>
      <c r="C1421" s="1"/>
      <c r="D1421" s="1"/>
      <c r="E1421" s="357">
        <v>44315</v>
      </c>
      <c r="F1421" s="344" t="s">
        <v>621</v>
      </c>
      <c r="G1421" s="358">
        <v>8.9641999999999999</v>
      </c>
      <c r="H1421" s="344" t="s">
        <v>990</v>
      </c>
    </row>
    <row r="1422" spans="1:8">
      <c r="A1422" s="1"/>
      <c r="B1422" s="1"/>
      <c r="C1422" s="1"/>
      <c r="D1422" s="1"/>
      <c r="E1422" s="357">
        <v>44315</v>
      </c>
      <c r="F1422" s="344" t="s">
        <v>625</v>
      </c>
      <c r="G1422" s="358">
        <v>9.9090000000000007</v>
      </c>
      <c r="H1422" s="344" t="s">
        <v>990</v>
      </c>
    </row>
    <row r="1423" spans="1:8">
      <c r="A1423" s="1"/>
      <c r="B1423" s="1"/>
      <c r="C1423" s="1"/>
      <c r="D1423" s="1"/>
      <c r="E1423" s="357">
        <v>44315</v>
      </c>
      <c r="F1423" s="344" t="s">
        <v>628</v>
      </c>
      <c r="G1423" s="358">
        <v>11.385199999999999</v>
      </c>
      <c r="H1423" s="344" t="s">
        <v>990</v>
      </c>
    </row>
    <row r="1424" spans="1:8">
      <c r="A1424" s="1"/>
      <c r="B1424" s="1"/>
      <c r="C1424" s="1"/>
      <c r="D1424" s="1"/>
      <c r="E1424" s="357">
        <v>44315</v>
      </c>
      <c r="F1424" s="344" t="s">
        <v>631</v>
      </c>
      <c r="G1424" s="358">
        <v>8.1753</v>
      </c>
      <c r="H1424" s="344" t="s">
        <v>990</v>
      </c>
    </row>
    <row r="1425" spans="1:8">
      <c r="A1425" s="1"/>
      <c r="B1425" s="1"/>
      <c r="C1425" s="1"/>
      <c r="D1425" s="1"/>
      <c r="E1425" s="357">
        <v>44316</v>
      </c>
      <c r="F1425" s="344" t="s">
        <v>621</v>
      </c>
      <c r="G1425" s="358">
        <v>9.0312000000000001</v>
      </c>
      <c r="H1425" s="344" t="s">
        <v>991</v>
      </c>
    </row>
    <row r="1426" spans="1:8">
      <c r="A1426" s="1"/>
      <c r="B1426" s="1"/>
      <c r="C1426" s="1"/>
      <c r="D1426" s="1"/>
      <c r="E1426" s="357">
        <v>44316</v>
      </c>
      <c r="F1426" s="344" t="s">
        <v>625</v>
      </c>
      <c r="G1426" s="358">
        <v>9.9544999999999995</v>
      </c>
      <c r="H1426" s="344" t="s">
        <v>991</v>
      </c>
    </row>
    <row r="1427" spans="1:8">
      <c r="A1427" s="1"/>
      <c r="B1427" s="1"/>
      <c r="C1427" s="1"/>
      <c r="D1427" s="1"/>
      <c r="E1427" s="357">
        <v>44316</v>
      </c>
      <c r="F1427" s="344" t="s">
        <v>628</v>
      </c>
      <c r="G1427" s="358">
        <v>11.432700000000001</v>
      </c>
      <c r="H1427" s="344" t="s">
        <v>991</v>
      </c>
    </row>
    <row r="1428" spans="1:8">
      <c r="A1428" s="1"/>
      <c r="B1428" s="1"/>
      <c r="C1428" s="1"/>
      <c r="D1428" s="1"/>
      <c r="E1428" s="357">
        <v>44316</v>
      </c>
      <c r="F1428" s="344" t="s">
        <v>631</v>
      </c>
      <c r="G1428" s="358">
        <v>8.2310999999999996</v>
      </c>
      <c r="H1428" s="344" t="s">
        <v>991</v>
      </c>
    </row>
    <row r="1429" spans="1:8">
      <c r="A1429" s="1"/>
      <c r="B1429" s="1"/>
      <c r="C1429" s="1"/>
      <c r="D1429" s="1"/>
      <c r="E1429" s="357">
        <v>44319</v>
      </c>
      <c r="F1429" s="344" t="s">
        <v>621</v>
      </c>
      <c r="G1429" s="358">
        <v>9.0625</v>
      </c>
      <c r="H1429" s="344" t="s">
        <v>992</v>
      </c>
    </row>
    <row r="1430" spans="1:8">
      <c r="A1430" s="1"/>
      <c r="B1430" s="1"/>
      <c r="C1430" s="1"/>
      <c r="D1430" s="1"/>
      <c r="E1430" s="357">
        <v>44319</v>
      </c>
      <c r="F1430" s="344" t="s">
        <v>625</v>
      </c>
      <c r="G1430" s="358">
        <v>9.9885000000000002</v>
      </c>
      <c r="H1430" s="344" t="s">
        <v>992</v>
      </c>
    </row>
    <row r="1431" spans="1:8">
      <c r="A1431" s="1"/>
      <c r="B1431" s="1"/>
      <c r="C1431" s="1"/>
      <c r="D1431" s="1"/>
      <c r="E1431" s="357">
        <v>44319</v>
      </c>
      <c r="F1431" s="344" t="s">
        <v>628</v>
      </c>
      <c r="G1431" s="358">
        <v>11.4678</v>
      </c>
      <c r="H1431" s="344" t="s">
        <v>992</v>
      </c>
    </row>
    <row r="1432" spans="1:8">
      <c r="A1432" s="1"/>
      <c r="B1432" s="1"/>
      <c r="C1432" s="1"/>
      <c r="D1432" s="1"/>
      <c r="E1432" s="357">
        <v>44319</v>
      </c>
      <c r="F1432" s="344" t="s">
        <v>631</v>
      </c>
      <c r="G1432" s="358">
        <v>8.2919999999999998</v>
      </c>
      <c r="H1432" s="344" t="s">
        <v>992</v>
      </c>
    </row>
    <row r="1433" spans="1:8">
      <c r="A1433" s="1"/>
      <c r="B1433" s="1"/>
      <c r="C1433" s="1"/>
      <c r="D1433" s="1"/>
      <c r="E1433" s="357">
        <v>44320</v>
      </c>
      <c r="F1433" s="344" t="s">
        <v>621</v>
      </c>
      <c r="G1433" s="358">
        <v>9.0632999999999999</v>
      </c>
      <c r="H1433" s="344" t="s">
        <v>993</v>
      </c>
    </row>
    <row r="1434" spans="1:8">
      <c r="A1434" s="1"/>
      <c r="B1434" s="1"/>
      <c r="C1434" s="1"/>
      <c r="D1434" s="1"/>
      <c r="E1434" s="357">
        <v>44320</v>
      </c>
      <c r="F1434" s="344" t="s">
        <v>625</v>
      </c>
      <c r="G1434" s="358">
        <v>9.9837000000000007</v>
      </c>
      <c r="H1434" s="344" t="s">
        <v>993</v>
      </c>
    </row>
    <row r="1435" spans="1:8">
      <c r="A1435" s="1"/>
      <c r="B1435" s="1"/>
      <c r="C1435" s="1"/>
      <c r="D1435" s="1"/>
      <c r="E1435" s="357">
        <v>44320</v>
      </c>
      <c r="F1435" s="344" t="s">
        <v>628</v>
      </c>
      <c r="G1435" s="358">
        <v>11.5085</v>
      </c>
      <c r="H1435" s="344" t="s">
        <v>993</v>
      </c>
    </row>
    <row r="1436" spans="1:8">
      <c r="A1436" s="1"/>
      <c r="B1436" s="1"/>
      <c r="C1436" s="1"/>
      <c r="D1436" s="1"/>
      <c r="E1436" s="357">
        <v>44320</v>
      </c>
      <c r="F1436" s="344" t="s">
        <v>631</v>
      </c>
      <c r="G1436" s="358">
        <v>8.3091000000000008</v>
      </c>
      <c r="H1436" s="344" t="s">
        <v>993</v>
      </c>
    </row>
    <row r="1437" spans="1:8">
      <c r="A1437" s="1"/>
      <c r="B1437" s="1"/>
      <c r="C1437" s="1"/>
      <c r="D1437" s="1"/>
      <c r="E1437" s="357">
        <v>44321</v>
      </c>
      <c r="F1437" s="344" t="s">
        <v>621</v>
      </c>
      <c r="G1437" s="358">
        <v>9.0960999999999999</v>
      </c>
      <c r="H1437" s="344" t="s">
        <v>994</v>
      </c>
    </row>
    <row r="1438" spans="1:8">
      <c r="A1438" s="1"/>
      <c r="B1438" s="1"/>
      <c r="C1438" s="1"/>
      <c r="D1438" s="1"/>
      <c r="E1438" s="357">
        <v>44321</v>
      </c>
      <c r="F1438" s="344" t="s">
        <v>625</v>
      </c>
      <c r="G1438" s="358">
        <v>10.010899999999999</v>
      </c>
      <c r="H1438" s="344" t="s">
        <v>994</v>
      </c>
    </row>
    <row r="1439" spans="1:8">
      <c r="A1439" s="1"/>
      <c r="B1439" s="1"/>
      <c r="C1439" s="1"/>
      <c r="D1439" s="1"/>
      <c r="E1439" s="357">
        <v>44321</v>
      </c>
      <c r="F1439" s="344" t="s">
        <v>628</v>
      </c>
      <c r="G1439" s="358">
        <v>11.574400000000001</v>
      </c>
      <c r="H1439" s="344" t="s">
        <v>994</v>
      </c>
    </row>
    <row r="1440" spans="1:8">
      <c r="A1440" s="1"/>
      <c r="B1440" s="1"/>
      <c r="C1440" s="1"/>
      <c r="D1440" s="1"/>
      <c r="E1440" s="357">
        <v>44321</v>
      </c>
      <c r="F1440" s="344" t="s">
        <v>631</v>
      </c>
      <c r="G1440" s="358">
        <v>8.34</v>
      </c>
      <c r="H1440" s="344" t="s">
        <v>994</v>
      </c>
    </row>
    <row r="1441" spans="1:8">
      <c r="A1441" s="1"/>
      <c r="B1441" s="1"/>
      <c r="C1441" s="1"/>
      <c r="D1441" s="1"/>
      <c r="E1441" s="357">
        <v>44322</v>
      </c>
      <c r="F1441" s="344" t="s">
        <v>621</v>
      </c>
      <c r="G1441" s="358">
        <v>9.1031999999999993</v>
      </c>
      <c r="H1441" s="344" t="s">
        <v>995</v>
      </c>
    </row>
    <row r="1442" spans="1:8">
      <c r="A1442" s="1"/>
      <c r="B1442" s="1"/>
      <c r="C1442" s="1"/>
      <c r="D1442" s="1"/>
      <c r="E1442" s="357">
        <v>44322</v>
      </c>
      <c r="F1442" s="344" t="s">
        <v>625</v>
      </c>
      <c r="G1442" s="358">
        <v>9.9978999999999996</v>
      </c>
      <c r="H1442" s="344" t="s">
        <v>995</v>
      </c>
    </row>
    <row r="1443" spans="1:8">
      <c r="A1443" s="1"/>
      <c r="B1443" s="1"/>
      <c r="C1443" s="1"/>
      <c r="D1443" s="1"/>
      <c r="E1443" s="357">
        <v>44322</v>
      </c>
      <c r="F1443" s="344" t="s">
        <v>628</v>
      </c>
      <c r="G1443" s="358">
        <v>11.530900000000001</v>
      </c>
      <c r="H1443" s="344" t="s">
        <v>995</v>
      </c>
    </row>
    <row r="1444" spans="1:8">
      <c r="A1444" s="1"/>
      <c r="B1444" s="1"/>
      <c r="C1444" s="1"/>
      <c r="D1444" s="1"/>
      <c r="E1444" s="357">
        <v>44322</v>
      </c>
      <c r="F1444" s="344" t="s">
        <v>631</v>
      </c>
      <c r="G1444" s="358">
        <v>8.3062000000000005</v>
      </c>
      <c r="H1444" s="344" t="s">
        <v>995</v>
      </c>
    </row>
    <row r="1445" spans="1:8">
      <c r="A1445" s="1"/>
      <c r="B1445" s="1"/>
      <c r="C1445" s="1"/>
      <c r="D1445" s="1"/>
      <c r="E1445" s="357">
        <v>44323</v>
      </c>
      <c r="F1445" s="344" t="s">
        <v>621</v>
      </c>
      <c r="G1445" s="358">
        <v>9.0890000000000004</v>
      </c>
      <c r="H1445" s="344" t="s">
        <v>996</v>
      </c>
    </row>
    <row r="1446" spans="1:8">
      <c r="A1446" s="1"/>
      <c r="B1446" s="1"/>
      <c r="C1446" s="1"/>
      <c r="D1446" s="1"/>
      <c r="E1446" s="357">
        <v>44323</v>
      </c>
      <c r="F1446" s="344" t="s">
        <v>625</v>
      </c>
      <c r="G1446" s="358">
        <v>9.9878999999999998</v>
      </c>
      <c r="H1446" s="344" t="s">
        <v>996</v>
      </c>
    </row>
    <row r="1447" spans="1:8">
      <c r="A1447" s="1"/>
      <c r="B1447" s="1"/>
      <c r="C1447" s="1"/>
      <c r="D1447" s="1"/>
      <c r="E1447" s="357">
        <v>44323</v>
      </c>
      <c r="F1447" s="344" t="s">
        <v>628</v>
      </c>
      <c r="G1447" s="358">
        <v>11.491899999999999</v>
      </c>
      <c r="H1447" s="344" t="s">
        <v>996</v>
      </c>
    </row>
    <row r="1448" spans="1:8">
      <c r="A1448" s="1"/>
      <c r="B1448" s="1"/>
      <c r="C1448" s="1"/>
      <c r="D1448" s="1"/>
      <c r="E1448" s="357">
        <v>44323</v>
      </c>
      <c r="F1448" s="344" t="s">
        <v>631</v>
      </c>
      <c r="G1448" s="358">
        <v>8.2729999999999997</v>
      </c>
      <c r="H1448" s="344" t="s">
        <v>996</v>
      </c>
    </row>
    <row r="1449" spans="1:8">
      <c r="A1449" s="1"/>
      <c r="B1449" s="1"/>
      <c r="C1449" s="1"/>
      <c r="D1449" s="1"/>
      <c r="E1449" s="357">
        <v>44326</v>
      </c>
      <c r="F1449" s="344" t="s">
        <v>621</v>
      </c>
      <c r="G1449" s="358">
        <v>9.1379999999999999</v>
      </c>
      <c r="H1449" s="344" t="s">
        <v>997</v>
      </c>
    </row>
    <row r="1450" spans="1:8">
      <c r="A1450" s="1"/>
      <c r="B1450" s="1"/>
      <c r="C1450" s="1"/>
      <c r="D1450" s="1"/>
      <c r="E1450" s="357">
        <v>44326</v>
      </c>
      <c r="F1450" s="344" t="s">
        <v>625</v>
      </c>
      <c r="G1450" s="358">
        <v>10.0284</v>
      </c>
      <c r="H1450" s="344" t="s">
        <v>997</v>
      </c>
    </row>
    <row r="1451" spans="1:8">
      <c r="A1451" s="1"/>
      <c r="B1451" s="1"/>
      <c r="C1451" s="1"/>
      <c r="D1451" s="1"/>
      <c r="E1451" s="357">
        <v>44326</v>
      </c>
      <c r="F1451" s="344" t="s">
        <v>628</v>
      </c>
      <c r="G1451" s="358">
        <v>11.597799999999999</v>
      </c>
      <c r="H1451" s="344" t="s">
        <v>997</v>
      </c>
    </row>
    <row r="1452" spans="1:8">
      <c r="A1452" s="1"/>
      <c r="B1452" s="1"/>
      <c r="C1452" s="1"/>
      <c r="D1452" s="1"/>
      <c r="E1452" s="357">
        <v>44326</v>
      </c>
      <c r="F1452" s="344" t="s">
        <v>631</v>
      </c>
      <c r="G1452" s="358">
        <v>8.2456999999999994</v>
      </c>
      <c r="H1452" s="344" t="s">
        <v>997</v>
      </c>
    </row>
    <row r="1453" spans="1:8">
      <c r="A1453" s="1"/>
      <c r="B1453" s="1"/>
      <c r="C1453" s="1"/>
      <c r="D1453" s="1"/>
      <c r="E1453" s="357">
        <v>44327</v>
      </c>
      <c r="F1453" s="344" t="s">
        <v>621</v>
      </c>
      <c r="G1453" s="358">
        <v>9.1635000000000009</v>
      </c>
      <c r="H1453" s="344" t="s">
        <v>998</v>
      </c>
    </row>
    <row r="1454" spans="1:8">
      <c r="A1454" s="1"/>
      <c r="B1454" s="1"/>
      <c r="C1454" s="1"/>
      <c r="D1454" s="1"/>
      <c r="E1454" s="357">
        <v>44327</v>
      </c>
      <c r="F1454" s="344" t="s">
        <v>625</v>
      </c>
      <c r="G1454" s="358">
        <v>10.072699999999999</v>
      </c>
      <c r="H1454" s="344" t="s">
        <v>998</v>
      </c>
    </row>
    <row r="1455" spans="1:8">
      <c r="A1455" s="1"/>
      <c r="B1455" s="1"/>
      <c r="C1455" s="1"/>
      <c r="D1455" s="1"/>
      <c r="E1455" s="357">
        <v>44327</v>
      </c>
      <c r="F1455" s="344" t="s">
        <v>628</v>
      </c>
      <c r="G1455" s="358">
        <v>11.689500000000001</v>
      </c>
      <c r="H1455" s="344" t="s">
        <v>998</v>
      </c>
    </row>
    <row r="1456" spans="1:8">
      <c r="A1456" s="1"/>
      <c r="B1456" s="1"/>
      <c r="C1456" s="1"/>
      <c r="D1456" s="1"/>
      <c r="E1456" s="357">
        <v>44327</v>
      </c>
      <c r="F1456" s="344" t="s">
        <v>631</v>
      </c>
      <c r="G1456" s="358">
        <v>8.2866999999999997</v>
      </c>
      <c r="H1456" s="344" t="s">
        <v>998</v>
      </c>
    </row>
    <row r="1457" spans="1:8">
      <c r="A1457" s="1"/>
      <c r="B1457" s="1"/>
      <c r="C1457" s="1"/>
      <c r="D1457" s="1"/>
      <c r="E1457" s="357">
        <v>44333</v>
      </c>
      <c r="F1457" s="344" t="s">
        <v>621</v>
      </c>
      <c r="G1457" s="358">
        <v>9.2383000000000006</v>
      </c>
      <c r="H1457" s="344" t="s">
        <v>999</v>
      </c>
    </row>
    <row r="1458" spans="1:8">
      <c r="A1458" s="1"/>
      <c r="B1458" s="1"/>
      <c r="C1458" s="1"/>
      <c r="D1458" s="1"/>
      <c r="E1458" s="357">
        <v>44333</v>
      </c>
      <c r="F1458" s="344" t="s">
        <v>625</v>
      </c>
      <c r="G1458" s="358">
        <v>10.1403</v>
      </c>
      <c r="H1458" s="344" t="s">
        <v>999</v>
      </c>
    </row>
    <row r="1459" spans="1:8">
      <c r="A1459" s="1"/>
      <c r="B1459" s="1"/>
      <c r="C1459" s="1"/>
      <c r="D1459" s="1"/>
      <c r="E1459" s="357">
        <v>44333</v>
      </c>
      <c r="F1459" s="344" t="s">
        <v>628</v>
      </c>
      <c r="G1459" s="358">
        <v>11.7492</v>
      </c>
      <c r="H1459" s="344" t="s">
        <v>999</v>
      </c>
    </row>
    <row r="1460" spans="1:8">
      <c r="A1460" s="1"/>
      <c r="B1460" s="1"/>
      <c r="C1460" s="1"/>
      <c r="D1460" s="1"/>
      <c r="E1460" s="357">
        <v>44333</v>
      </c>
      <c r="F1460" s="344" t="s">
        <v>631</v>
      </c>
      <c r="G1460" s="358">
        <v>8.3468999999999998</v>
      </c>
      <c r="H1460" s="344" t="s">
        <v>999</v>
      </c>
    </row>
    <row r="1461" spans="1:8">
      <c r="A1461" s="1"/>
      <c r="B1461" s="1"/>
      <c r="C1461" s="1"/>
      <c r="D1461" s="1"/>
      <c r="E1461" s="357">
        <v>44334</v>
      </c>
      <c r="F1461" s="344" t="s">
        <v>621</v>
      </c>
      <c r="G1461" s="358">
        <v>9.2523999999999997</v>
      </c>
      <c r="H1461" s="344" t="s">
        <v>1000</v>
      </c>
    </row>
    <row r="1462" spans="1:8">
      <c r="A1462" s="1"/>
      <c r="B1462" s="1"/>
      <c r="C1462" s="1"/>
      <c r="D1462" s="1"/>
      <c r="E1462" s="357">
        <v>44334</v>
      </c>
      <c r="F1462" s="344" t="s">
        <v>625</v>
      </c>
      <c r="G1462" s="358">
        <v>10.166700000000001</v>
      </c>
      <c r="H1462" s="344" t="s">
        <v>1000</v>
      </c>
    </row>
    <row r="1463" spans="1:8">
      <c r="A1463" s="1"/>
      <c r="B1463" s="1"/>
      <c r="C1463" s="1"/>
      <c r="D1463" s="1"/>
      <c r="E1463" s="357">
        <v>44334</v>
      </c>
      <c r="F1463" s="344" t="s">
        <v>628</v>
      </c>
      <c r="G1463" s="358">
        <v>11.8049</v>
      </c>
      <c r="H1463" s="344" t="s">
        <v>1000</v>
      </c>
    </row>
    <row r="1464" spans="1:8">
      <c r="A1464" s="1"/>
      <c r="B1464" s="1"/>
      <c r="C1464" s="1"/>
      <c r="D1464" s="1"/>
      <c r="E1464" s="357">
        <v>44334</v>
      </c>
      <c r="F1464" s="344" t="s">
        <v>631</v>
      </c>
      <c r="G1464" s="358">
        <v>8.3280999999999992</v>
      </c>
      <c r="H1464" s="344" t="s">
        <v>1000</v>
      </c>
    </row>
    <row r="1465" spans="1:8">
      <c r="A1465" s="1"/>
      <c r="B1465" s="1"/>
      <c r="C1465" s="1"/>
      <c r="D1465" s="1"/>
      <c r="E1465" s="357">
        <v>44336</v>
      </c>
      <c r="F1465" s="344" t="s">
        <v>621</v>
      </c>
      <c r="G1465" s="358">
        <v>9.2616999999999994</v>
      </c>
      <c r="H1465" s="344" t="s">
        <v>1001</v>
      </c>
    </row>
    <row r="1466" spans="1:8">
      <c r="A1466" s="1"/>
      <c r="B1466" s="1"/>
      <c r="C1466" s="1"/>
      <c r="D1466" s="1"/>
      <c r="E1466" s="357">
        <v>44336</v>
      </c>
      <c r="F1466" s="344" t="s">
        <v>625</v>
      </c>
      <c r="G1466" s="358">
        <v>10.2043</v>
      </c>
      <c r="H1466" s="344" t="s">
        <v>1001</v>
      </c>
    </row>
    <row r="1467" spans="1:8">
      <c r="A1467" s="1"/>
      <c r="B1467" s="1"/>
      <c r="C1467" s="1"/>
      <c r="D1467" s="1"/>
      <c r="E1467" s="357">
        <v>44336</v>
      </c>
      <c r="F1467" s="344" t="s">
        <v>628</v>
      </c>
      <c r="G1467" s="358">
        <v>11.8009</v>
      </c>
      <c r="H1467" s="344" t="s">
        <v>1001</v>
      </c>
    </row>
    <row r="1468" spans="1:8">
      <c r="A1468" s="1"/>
      <c r="B1468" s="1"/>
      <c r="C1468" s="1"/>
      <c r="D1468" s="1"/>
      <c r="E1468" s="357">
        <v>44336</v>
      </c>
      <c r="F1468" s="344" t="s">
        <v>631</v>
      </c>
      <c r="G1468" s="358">
        <v>8.3689</v>
      </c>
      <c r="H1468" s="344" t="s">
        <v>1001</v>
      </c>
    </row>
    <row r="1469" spans="1:8">
      <c r="A1469" s="1"/>
      <c r="B1469" s="1"/>
      <c r="C1469" s="1"/>
      <c r="D1469" s="1"/>
      <c r="E1469" s="357">
        <v>44337</v>
      </c>
      <c r="F1469" s="344" t="s">
        <v>621</v>
      </c>
      <c r="G1469" s="358">
        <v>9.2922999999999991</v>
      </c>
      <c r="H1469" s="344" t="s">
        <v>1002</v>
      </c>
    </row>
    <row r="1470" spans="1:8">
      <c r="A1470" s="1"/>
      <c r="B1470" s="1"/>
      <c r="C1470" s="1"/>
      <c r="D1470" s="1"/>
      <c r="E1470" s="357">
        <v>44337</v>
      </c>
      <c r="F1470" s="344" t="s">
        <v>625</v>
      </c>
      <c r="G1470" s="358">
        <v>10.2072</v>
      </c>
      <c r="H1470" s="344" t="s">
        <v>1002</v>
      </c>
    </row>
    <row r="1471" spans="1:8">
      <c r="A1471" s="1"/>
      <c r="B1471" s="1"/>
      <c r="C1471" s="1"/>
      <c r="D1471" s="1"/>
      <c r="E1471" s="357">
        <v>44337</v>
      </c>
      <c r="F1471" s="344" t="s">
        <v>628</v>
      </c>
      <c r="G1471" s="358">
        <v>11.8423</v>
      </c>
      <c r="H1471" s="344" t="s">
        <v>1002</v>
      </c>
    </row>
    <row r="1472" spans="1:8">
      <c r="A1472" s="1"/>
      <c r="B1472" s="1"/>
      <c r="C1472" s="1"/>
      <c r="D1472" s="1"/>
      <c r="E1472" s="357">
        <v>44337</v>
      </c>
      <c r="F1472" s="344" t="s">
        <v>631</v>
      </c>
      <c r="G1472" s="358">
        <v>8.3553999999999995</v>
      </c>
      <c r="H1472" s="344" t="s">
        <v>1002</v>
      </c>
    </row>
    <row r="1473" spans="1:8">
      <c r="A1473" s="1"/>
      <c r="B1473" s="1"/>
      <c r="C1473" s="1"/>
      <c r="D1473" s="1"/>
      <c r="E1473" s="357">
        <v>44340</v>
      </c>
      <c r="F1473" s="344" t="s">
        <v>621</v>
      </c>
      <c r="G1473" s="358">
        <v>9.3132999999999999</v>
      </c>
      <c r="H1473" s="344" t="s">
        <v>1003</v>
      </c>
    </row>
    <row r="1474" spans="1:8">
      <c r="A1474" s="1"/>
      <c r="B1474" s="1"/>
      <c r="C1474" s="1"/>
      <c r="D1474" s="1"/>
      <c r="E1474" s="357">
        <v>44340</v>
      </c>
      <c r="F1474" s="344" t="s">
        <v>625</v>
      </c>
      <c r="G1474" s="358">
        <v>10.2278</v>
      </c>
      <c r="H1474" s="344" t="s">
        <v>1003</v>
      </c>
    </row>
    <row r="1475" spans="1:8">
      <c r="A1475" s="1"/>
      <c r="B1475" s="1"/>
      <c r="C1475" s="1"/>
      <c r="D1475" s="1"/>
      <c r="E1475" s="357">
        <v>44340</v>
      </c>
      <c r="F1475" s="344" t="s">
        <v>628</v>
      </c>
      <c r="G1475" s="358">
        <v>11.831799999999999</v>
      </c>
      <c r="H1475" s="344" t="s">
        <v>1003</v>
      </c>
    </row>
    <row r="1476" spans="1:8">
      <c r="A1476" s="1"/>
      <c r="B1476" s="1"/>
      <c r="C1476" s="1"/>
      <c r="D1476" s="1"/>
      <c r="E1476" s="357">
        <v>44340</v>
      </c>
      <c r="F1476" s="344" t="s">
        <v>631</v>
      </c>
      <c r="G1476" s="358">
        <v>8.3811</v>
      </c>
      <c r="H1476" s="344" t="s">
        <v>1003</v>
      </c>
    </row>
    <row r="1477" spans="1:8">
      <c r="A1477" s="1"/>
      <c r="B1477" s="1"/>
      <c r="C1477" s="1"/>
      <c r="D1477" s="1"/>
      <c r="E1477" s="357">
        <v>44341</v>
      </c>
      <c r="F1477" s="344" t="s">
        <v>621</v>
      </c>
      <c r="G1477" s="358">
        <v>9.3620000000000001</v>
      </c>
      <c r="H1477" s="344" t="s">
        <v>1004</v>
      </c>
    </row>
    <row r="1478" spans="1:8">
      <c r="A1478" s="1"/>
      <c r="B1478" s="1"/>
      <c r="C1478" s="1"/>
      <c r="D1478" s="1"/>
      <c r="E1478" s="357">
        <v>44341</v>
      </c>
      <c r="F1478" s="344" t="s">
        <v>625</v>
      </c>
      <c r="G1478" s="358">
        <v>10.286099999999999</v>
      </c>
      <c r="H1478" s="344" t="s">
        <v>1004</v>
      </c>
    </row>
    <row r="1479" spans="1:8">
      <c r="A1479" s="1"/>
      <c r="B1479" s="1"/>
      <c r="C1479" s="1"/>
      <c r="D1479" s="1"/>
      <c r="E1479" s="357">
        <v>44341</v>
      </c>
      <c r="F1479" s="344" t="s">
        <v>628</v>
      </c>
      <c r="G1479" s="358">
        <v>11.8826</v>
      </c>
      <c r="H1479" s="344" t="s">
        <v>1004</v>
      </c>
    </row>
    <row r="1480" spans="1:8">
      <c r="A1480" s="1"/>
      <c r="B1480" s="1"/>
      <c r="C1480" s="1"/>
      <c r="D1480" s="1"/>
      <c r="E1480" s="357">
        <v>44341</v>
      </c>
      <c r="F1480" s="344" t="s">
        <v>631</v>
      </c>
      <c r="G1480" s="358">
        <v>8.3947000000000003</v>
      </c>
      <c r="H1480" s="344" t="s">
        <v>1004</v>
      </c>
    </row>
    <row r="1481" spans="1:8">
      <c r="A1481" s="1"/>
      <c r="B1481" s="1"/>
      <c r="C1481" s="1"/>
      <c r="D1481" s="1"/>
      <c r="E1481" s="357">
        <v>44342</v>
      </c>
      <c r="F1481" s="344" t="s">
        <v>621</v>
      </c>
      <c r="G1481" s="358">
        <v>9.4011999999999993</v>
      </c>
      <c r="H1481" s="344" t="s">
        <v>1005</v>
      </c>
    </row>
    <row r="1482" spans="1:8">
      <c r="A1482" s="1"/>
      <c r="B1482" s="1"/>
      <c r="C1482" s="1"/>
      <c r="D1482" s="1"/>
      <c r="E1482" s="357">
        <v>44342</v>
      </c>
      <c r="F1482" s="344" t="s">
        <v>625</v>
      </c>
      <c r="G1482" s="358">
        <v>10.322699999999999</v>
      </c>
      <c r="H1482" s="344" t="s">
        <v>1005</v>
      </c>
    </row>
    <row r="1483" spans="1:8">
      <c r="A1483" s="1"/>
      <c r="B1483" s="1"/>
      <c r="C1483" s="1"/>
      <c r="D1483" s="1"/>
      <c r="E1483" s="357">
        <v>44342</v>
      </c>
      <c r="F1483" s="344" t="s">
        <v>628</v>
      </c>
      <c r="G1483" s="358">
        <v>11.918900000000001</v>
      </c>
      <c r="H1483" s="344" t="s">
        <v>1005</v>
      </c>
    </row>
    <row r="1484" spans="1:8">
      <c r="A1484" s="1"/>
      <c r="B1484" s="1"/>
      <c r="C1484" s="1"/>
      <c r="D1484" s="1"/>
      <c r="E1484" s="357">
        <v>44342</v>
      </c>
      <c r="F1484" s="344" t="s">
        <v>631</v>
      </c>
      <c r="G1484" s="358">
        <v>8.4329999999999998</v>
      </c>
      <c r="H1484" s="344" t="s">
        <v>1005</v>
      </c>
    </row>
    <row r="1485" spans="1:8">
      <c r="A1485" s="1"/>
      <c r="B1485" s="1"/>
      <c r="C1485" s="1"/>
      <c r="D1485" s="1"/>
      <c r="E1485" s="357">
        <v>44343</v>
      </c>
      <c r="F1485" s="344" t="s">
        <v>621</v>
      </c>
      <c r="G1485" s="358">
        <v>9.3670000000000009</v>
      </c>
      <c r="H1485" s="344" t="s">
        <v>1006</v>
      </c>
    </row>
    <row r="1486" spans="1:8">
      <c r="A1486" s="1"/>
      <c r="B1486" s="1"/>
      <c r="C1486" s="1"/>
      <c r="D1486" s="1"/>
      <c r="E1486" s="357">
        <v>44343</v>
      </c>
      <c r="F1486" s="344" t="s">
        <v>625</v>
      </c>
      <c r="G1486" s="358">
        <v>10.2849</v>
      </c>
      <c r="H1486" s="344" t="s">
        <v>1006</v>
      </c>
    </row>
    <row r="1487" spans="1:8">
      <c r="A1487" s="1"/>
      <c r="B1487" s="1"/>
      <c r="C1487" s="1"/>
      <c r="D1487" s="1"/>
      <c r="E1487" s="357">
        <v>44343</v>
      </c>
      <c r="F1487" s="344" t="s">
        <v>628</v>
      </c>
      <c r="G1487" s="358">
        <v>11.8935</v>
      </c>
      <c r="H1487" s="344" t="s">
        <v>1006</v>
      </c>
    </row>
    <row r="1488" spans="1:8">
      <c r="A1488" s="1"/>
      <c r="B1488" s="1"/>
      <c r="C1488" s="1"/>
      <c r="D1488" s="1"/>
      <c r="E1488" s="357">
        <v>44343</v>
      </c>
      <c r="F1488" s="344" t="s">
        <v>631</v>
      </c>
      <c r="G1488" s="358">
        <v>8.4322999999999997</v>
      </c>
      <c r="H1488" s="344" t="s">
        <v>1006</v>
      </c>
    </row>
    <row r="1489" spans="1:8">
      <c r="A1489" s="1"/>
      <c r="B1489" s="1"/>
      <c r="C1489" s="1"/>
      <c r="D1489" s="1"/>
      <c r="E1489" s="357">
        <v>44344</v>
      </c>
      <c r="F1489" s="344" t="s">
        <v>621</v>
      </c>
      <c r="G1489" s="358">
        <v>9.4850999999999992</v>
      </c>
      <c r="H1489" s="344" t="s">
        <v>1007</v>
      </c>
    </row>
    <row r="1490" spans="1:8">
      <c r="A1490" s="1"/>
      <c r="B1490" s="1"/>
      <c r="C1490" s="1"/>
      <c r="D1490" s="1"/>
      <c r="E1490" s="357">
        <v>44344</v>
      </c>
      <c r="F1490" s="344" t="s">
        <v>625</v>
      </c>
      <c r="G1490" s="358">
        <v>10.4147</v>
      </c>
      <c r="H1490" s="344" t="s">
        <v>1007</v>
      </c>
    </row>
    <row r="1491" spans="1:8">
      <c r="A1491" s="1"/>
      <c r="B1491" s="1"/>
      <c r="C1491" s="1"/>
      <c r="D1491" s="1"/>
      <c r="E1491" s="357">
        <v>44344</v>
      </c>
      <c r="F1491" s="344" t="s">
        <v>628</v>
      </c>
      <c r="G1491" s="358">
        <v>12.1068</v>
      </c>
      <c r="H1491" s="344" t="s">
        <v>1007</v>
      </c>
    </row>
    <row r="1492" spans="1:8">
      <c r="A1492" s="1"/>
      <c r="B1492" s="1"/>
      <c r="C1492" s="1"/>
      <c r="D1492" s="1"/>
      <c r="E1492" s="357">
        <v>44344</v>
      </c>
      <c r="F1492" s="344" t="s">
        <v>631</v>
      </c>
      <c r="G1492" s="358">
        <v>8.5495999999999999</v>
      </c>
      <c r="H1492" s="344" t="s">
        <v>1007</v>
      </c>
    </row>
    <row r="1493" spans="1:8">
      <c r="A1493" s="1"/>
      <c r="B1493" s="1"/>
      <c r="C1493" s="1"/>
      <c r="D1493" s="1"/>
      <c r="E1493" s="357">
        <v>44347</v>
      </c>
      <c r="F1493" s="344" t="s">
        <v>621</v>
      </c>
      <c r="G1493" s="358">
        <v>9.4208999999999996</v>
      </c>
      <c r="H1493" s="344" t="s">
        <v>1008</v>
      </c>
    </row>
    <row r="1494" spans="1:8">
      <c r="A1494" s="1"/>
      <c r="B1494" s="1"/>
      <c r="C1494" s="1"/>
      <c r="D1494" s="1"/>
      <c r="E1494" s="357">
        <v>44347</v>
      </c>
      <c r="F1494" s="344" t="s">
        <v>625</v>
      </c>
      <c r="G1494" s="358">
        <v>10.3629</v>
      </c>
      <c r="H1494" s="344" t="s">
        <v>1008</v>
      </c>
    </row>
    <row r="1495" spans="1:8">
      <c r="A1495" s="1"/>
      <c r="B1495" s="1"/>
      <c r="C1495" s="1"/>
      <c r="D1495" s="1"/>
      <c r="E1495" s="357">
        <v>44347</v>
      </c>
      <c r="F1495" s="344" t="s">
        <v>628</v>
      </c>
      <c r="G1495" s="358">
        <v>12.028499999999999</v>
      </c>
      <c r="H1495" s="344" t="s">
        <v>1008</v>
      </c>
    </row>
    <row r="1496" spans="1:8">
      <c r="A1496" s="1"/>
      <c r="B1496" s="1"/>
      <c r="C1496" s="1"/>
      <c r="D1496" s="1"/>
      <c r="E1496" s="357">
        <v>44347</v>
      </c>
      <c r="F1496" s="344" t="s">
        <v>631</v>
      </c>
      <c r="G1496" s="358">
        <v>8.4990000000000006</v>
      </c>
      <c r="H1496" s="344" t="s">
        <v>1008</v>
      </c>
    </row>
    <row r="1497" spans="1:8">
      <c r="A1497" s="1"/>
      <c r="B1497" s="1"/>
      <c r="C1497" s="1"/>
      <c r="D1497" s="1"/>
      <c r="E1497" s="357">
        <v>44348</v>
      </c>
      <c r="F1497" s="344" t="s">
        <v>621</v>
      </c>
      <c r="G1497" s="358">
        <v>9.4390999999999998</v>
      </c>
      <c r="H1497" s="344" t="s">
        <v>1009</v>
      </c>
    </row>
    <row r="1498" spans="1:8">
      <c r="A1498" s="1"/>
      <c r="B1498" s="1"/>
      <c r="C1498" s="1"/>
      <c r="D1498" s="1"/>
      <c r="E1498" s="357">
        <v>44348</v>
      </c>
      <c r="F1498" s="344" t="s">
        <v>625</v>
      </c>
      <c r="G1498" s="358">
        <v>10.399800000000001</v>
      </c>
      <c r="H1498" s="344" t="s">
        <v>1009</v>
      </c>
    </row>
    <row r="1499" spans="1:8">
      <c r="A1499" s="1"/>
      <c r="B1499" s="1"/>
      <c r="C1499" s="1"/>
      <c r="D1499" s="1"/>
      <c r="E1499" s="357">
        <v>44348</v>
      </c>
      <c r="F1499" s="344" t="s">
        <v>628</v>
      </c>
      <c r="G1499" s="358">
        <v>12.051399999999999</v>
      </c>
      <c r="H1499" s="344" t="s">
        <v>1009</v>
      </c>
    </row>
    <row r="1500" spans="1:8">
      <c r="A1500" s="1"/>
      <c r="B1500" s="1"/>
      <c r="C1500" s="1"/>
      <c r="D1500" s="1"/>
      <c r="E1500" s="357">
        <v>44348</v>
      </c>
      <c r="F1500" s="344" t="s">
        <v>631</v>
      </c>
      <c r="G1500" s="358">
        <v>8.5031999999999996</v>
      </c>
      <c r="H1500" s="344" t="s">
        <v>1009</v>
      </c>
    </row>
    <row r="1501" spans="1:8">
      <c r="A1501" s="1"/>
      <c r="B1501" s="1"/>
      <c r="C1501" s="1"/>
      <c r="D1501" s="1"/>
      <c r="E1501" s="357">
        <v>44349</v>
      </c>
      <c r="F1501" s="344" t="s">
        <v>621</v>
      </c>
      <c r="G1501" s="358">
        <v>9.5383999999999993</v>
      </c>
      <c r="H1501" s="344" t="s">
        <v>1010</v>
      </c>
    </row>
    <row r="1502" spans="1:8">
      <c r="A1502" s="1"/>
      <c r="B1502" s="1"/>
      <c r="C1502" s="1"/>
      <c r="D1502" s="1"/>
      <c r="E1502" s="357">
        <v>44349</v>
      </c>
      <c r="F1502" s="344" t="s">
        <v>625</v>
      </c>
      <c r="G1502" s="358">
        <v>10.4895</v>
      </c>
      <c r="H1502" s="344" t="s">
        <v>1010</v>
      </c>
    </row>
    <row r="1503" spans="1:8">
      <c r="A1503" s="1"/>
      <c r="B1503" s="1"/>
      <c r="C1503" s="1"/>
      <c r="D1503" s="1"/>
      <c r="E1503" s="357">
        <v>44349</v>
      </c>
      <c r="F1503" s="344" t="s">
        <v>628</v>
      </c>
      <c r="G1503" s="358">
        <v>12.147500000000001</v>
      </c>
      <c r="H1503" s="344" t="s">
        <v>1010</v>
      </c>
    </row>
    <row r="1504" spans="1:8">
      <c r="A1504" s="1"/>
      <c r="B1504" s="1"/>
      <c r="C1504" s="1"/>
      <c r="D1504" s="1"/>
      <c r="E1504" s="357">
        <v>44349</v>
      </c>
      <c r="F1504" s="344" t="s">
        <v>631</v>
      </c>
      <c r="G1504" s="358">
        <v>8.6066000000000003</v>
      </c>
      <c r="H1504" s="344" t="s">
        <v>1010</v>
      </c>
    </row>
    <row r="1505" spans="1:8">
      <c r="A1505" s="1"/>
      <c r="B1505" s="1"/>
      <c r="C1505" s="1"/>
      <c r="D1505" s="1"/>
      <c r="E1505" s="357">
        <v>44350</v>
      </c>
      <c r="F1505" s="344" t="s">
        <v>621</v>
      </c>
      <c r="G1505" s="358">
        <v>9.5597999999999992</v>
      </c>
      <c r="H1505" s="344" t="s">
        <v>1011</v>
      </c>
    </row>
    <row r="1506" spans="1:8">
      <c r="A1506" s="1"/>
      <c r="B1506" s="1"/>
      <c r="C1506" s="1"/>
      <c r="D1506" s="1"/>
      <c r="E1506" s="357">
        <v>44350</v>
      </c>
      <c r="F1506" s="344" t="s">
        <v>625</v>
      </c>
      <c r="G1506" s="358">
        <v>10.5091</v>
      </c>
      <c r="H1506" s="344" t="s">
        <v>1011</v>
      </c>
    </row>
    <row r="1507" spans="1:8">
      <c r="A1507" s="1"/>
      <c r="B1507" s="1"/>
      <c r="C1507" s="1"/>
      <c r="D1507" s="1"/>
      <c r="E1507" s="357">
        <v>44350</v>
      </c>
      <c r="F1507" s="344" t="s">
        <v>628</v>
      </c>
      <c r="G1507" s="358">
        <v>12.1996</v>
      </c>
      <c r="H1507" s="344" t="s">
        <v>1011</v>
      </c>
    </row>
    <row r="1508" spans="1:8">
      <c r="A1508" s="1"/>
      <c r="B1508" s="1"/>
      <c r="C1508" s="1"/>
      <c r="D1508" s="1"/>
      <c r="E1508" s="357">
        <v>44350</v>
      </c>
      <c r="F1508" s="344" t="s">
        <v>631</v>
      </c>
      <c r="G1508" s="358">
        <v>8.6231000000000009</v>
      </c>
      <c r="H1508" s="344" t="s">
        <v>1011</v>
      </c>
    </row>
    <row r="1509" spans="1:8">
      <c r="A1509" s="1"/>
      <c r="B1509" s="1"/>
      <c r="C1509" s="1"/>
      <c r="D1509" s="1"/>
      <c r="E1509" s="357">
        <v>44351</v>
      </c>
      <c r="F1509" s="344" t="s">
        <v>621</v>
      </c>
      <c r="G1509" s="358">
        <v>9.5762999999999998</v>
      </c>
      <c r="H1509" s="344" t="s">
        <v>1012</v>
      </c>
    </row>
    <row r="1510" spans="1:8">
      <c r="A1510" s="1"/>
      <c r="B1510" s="1"/>
      <c r="C1510" s="1"/>
      <c r="D1510" s="1"/>
      <c r="E1510" s="357">
        <v>44351</v>
      </c>
      <c r="F1510" s="344" t="s">
        <v>625</v>
      </c>
      <c r="G1510" s="358">
        <v>10.516</v>
      </c>
      <c r="H1510" s="344" t="s">
        <v>1012</v>
      </c>
    </row>
    <row r="1511" spans="1:8">
      <c r="A1511" s="1"/>
      <c r="B1511" s="1"/>
      <c r="C1511" s="1"/>
      <c r="D1511" s="1"/>
      <c r="E1511" s="357">
        <v>44351</v>
      </c>
      <c r="F1511" s="344" t="s">
        <v>628</v>
      </c>
      <c r="G1511" s="358">
        <v>12.2387</v>
      </c>
      <c r="H1511" s="344" t="s">
        <v>1012</v>
      </c>
    </row>
    <row r="1512" spans="1:8">
      <c r="A1512" s="1"/>
      <c r="B1512" s="1"/>
      <c r="C1512" s="1"/>
      <c r="D1512" s="1"/>
      <c r="E1512" s="357">
        <v>44351</v>
      </c>
      <c r="F1512" s="344" t="s">
        <v>631</v>
      </c>
      <c r="G1512" s="358">
        <v>8.6820000000000004</v>
      </c>
      <c r="H1512" s="344" t="s">
        <v>1012</v>
      </c>
    </row>
    <row r="1513" spans="1:8">
      <c r="A1513" s="1"/>
      <c r="B1513" s="1"/>
      <c r="C1513" s="1"/>
      <c r="D1513" s="1"/>
      <c r="E1513" s="357">
        <v>44354</v>
      </c>
      <c r="F1513" s="344" t="s">
        <v>621</v>
      </c>
      <c r="G1513" s="358">
        <v>9.5609999999999999</v>
      </c>
      <c r="H1513" s="344" t="s">
        <v>1013</v>
      </c>
    </row>
    <row r="1514" spans="1:8">
      <c r="A1514" s="1"/>
      <c r="B1514" s="1"/>
      <c r="C1514" s="1"/>
      <c r="D1514" s="1"/>
      <c r="E1514" s="357">
        <v>44354</v>
      </c>
      <c r="F1514" s="344" t="s">
        <v>625</v>
      </c>
      <c r="G1514" s="358">
        <v>10.4825</v>
      </c>
      <c r="H1514" s="344" t="s">
        <v>1013</v>
      </c>
    </row>
    <row r="1515" spans="1:8">
      <c r="A1515" s="1"/>
      <c r="B1515" s="1"/>
      <c r="C1515" s="1"/>
      <c r="D1515" s="1"/>
      <c r="E1515" s="357">
        <v>44354</v>
      </c>
      <c r="F1515" s="344" t="s">
        <v>628</v>
      </c>
      <c r="G1515" s="358">
        <v>12.1715</v>
      </c>
      <c r="H1515" s="344" t="s">
        <v>1013</v>
      </c>
    </row>
    <row r="1516" spans="1:8">
      <c r="A1516" s="1"/>
      <c r="B1516" s="1"/>
      <c r="C1516" s="1"/>
      <c r="D1516" s="1"/>
      <c r="E1516" s="357">
        <v>44354</v>
      </c>
      <c r="F1516" s="344" t="s">
        <v>631</v>
      </c>
      <c r="G1516" s="358">
        <v>8.6201000000000008</v>
      </c>
      <c r="H1516" s="344" t="s">
        <v>1013</v>
      </c>
    </row>
    <row r="1517" spans="1:8">
      <c r="A1517" s="1"/>
      <c r="B1517" s="1"/>
      <c r="C1517" s="1"/>
      <c r="D1517" s="1"/>
      <c r="E1517" s="357">
        <v>44355</v>
      </c>
      <c r="F1517" s="344" t="s">
        <v>621</v>
      </c>
      <c r="G1517" s="358">
        <v>9.5515000000000008</v>
      </c>
      <c r="H1517" s="344" t="s">
        <v>1014</v>
      </c>
    </row>
    <row r="1518" spans="1:8">
      <c r="A1518" s="1"/>
      <c r="B1518" s="1"/>
      <c r="C1518" s="1"/>
      <c r="D1518" s="1"/>
      <c r="E1518" s="357">
        <v>44355</v>
      </c>
      <c r="F1518" s="344" t="s">
        <v>625</v>
      </c>
      <c r="G1518" s="358">
        <v>10.458500000000001</v>
      </c>
      <c r="H1518" s="344" t="s">
        <v>1014</v>
      </c>
    </row>
    <row r="1519" spans="1:8">
      <c r="A1519" s="1"/>
      <c r="B1519" s="1"/>
      <c r="C1519" s="1"/>
      <c r="D1519" s="1"/>
      <c r="E1519" s="357">
        <v>44355</v>
      </c>
      <c r="F1519" s="344" t="s">
        <v>628</v>
      </c>
      <c r="G1519" s="358">
        <v>12.127599999999999</v>
      </c>
      <c r="H1519" s="344" t="s">
        <v>1014</v>
      </c>
    </row>
    <row r="1520" spans="1:8">
      <c r="A1520" s="1"/>
      <c r="B1520" s="1"/>
      <c r="C1520" s="1"/>
      <c r="D1520" s="1"/>
      <c r="E1520" s="357">
        <v>44355</v>
      </c>
      <c r="F1520" s="344" t="s">
        <v>631</v>
      </c>
      <c r="G1520" s="358">
        <v>8.5891000000000002</v>
      </c>
      <c r="H1520" s="344" t="s">
        <v>1014</v>
      </c>
    </row>
    <row r="1521" spans="1:8">
      <c r="A1521" s="1"/>
      <c r="B1521" s="1"/>
      <c r="C1521" s="1"/>
      <c r="D1521" s="1"/>
      <c r="E1521" s="357">
        <v>44356</v>
      </c>
      <c r="F1521" s="344" t="s">
        <v>621</v>
      </c>
      <c r="G1521" s="358">
        <v>9.5480999999999998</v>
      </c>
      <c r="H1521" s="344" t="s">
        <v>1015</v>
      </c>
    </row>
    <row r="1522" spans="1:8">
      <c r="A1522" s="1"/>
      <c r="B1522" s="1"/>
      <c r="C1522" s="1"/>
      <c r="D1522" s="1"/>
      <c r="E1522" s="357">
        <v>44356</v>
      </c>
      <c r="F1522" s="344" t="s">
        <v>625</v>
      </c>
      <c r="G1522" s="358">
        <v>10.451499999999999</v>
      </c>
      <c r="H1522" s="344" t="s">
        <v>1015</v>
      </c>
    </row>
    <row r="1523" spans="1:8">
      <c r="A1523" s="1"/>
      <c r="B1523" s="1"/>
      <c r="C1523" s="1"/>
      <c r="D1523" s="1"/>
      <c r="E1523" s="357">
        <v>44356</v>
      </c>
      <c r="F1523" s="344" t="s">
        <v>628</v>
      </c>
      <c r="G1523" s="358">
        <v>12.135400000000001</v>
      </c>
      <c r="H1523" s="344" t="s">
        <v>1015</v>
      </c>
    </row>
    <row r="1524" spans="1:8">
      <c r="A1524" s="1"/>
      <c r="B1524" s="1"/>
      <c r="C1524" s="1"/>
      <c r="D1524" s="1"/>
      <c r="E1524" s="357">
        <v>44356</v>
      </c>
      <c r="F1524" s="344" t="s">
        <v>631</v>
      </c>
      <c r="G1524" s="358">
        <v>8.5749999999999993</v>
      </c>
      <c r="H1524" s="344" t="s">
        <v>1015</v>
      </c>
    </row>
    <row r="1525" spans="1:8">
      <c r="A1525" s="1"/>
      <c r="B1525" s="1"/>
      <c r="C1525" s="1"/>
      <c r="D1525" s="1"/>
      <c r="E1525" s="357">
        <v>44357</v>
      </c>
      <c r="F1525" s="344" t="s">
        <v>621</v>
      </c>
      <c r="G1525" s="358">
        <v>9.4974000000000007</v>
      </c>
      <c r="H1525" s="344" t="s">
        <v>1016</v>
      </c>
    </row>
    <row r="1526" spans="1:8">
      <c r="A1526" s="1"/>
      <c r="B1526" s="1"/>
      <c r="C1526" s="1"/>
      <c r="D1526" s="1"/>
      <c r="E1526" s="357">
        <v>44357</v>
      </c>
      <c r="F1526" s="344" t="s">
        <v>625</v>
      </c>
      <c r="G1526" s="358">
        <v>10.380800000000001</v>
      </c>
      <c r="H1526" s="344" t="s">
        <v>1016</v>
      </c>
    </row>
    <row r="1527" spans="1:8">
      <c r="A1527" s="1"/>
      <c r="B1527" s="1"/>
      <c r="C1527" s="1"/>
      <c r="D1527" s="1"/>
      <c r="E1527" s="357">
        <v>44357</v>
      </c>
      <c r="F1527" s="344" t="s">
        <v>628</v>
      </c>
      <c r="G1527" s="358">
        <v>12.006500000000001</v>
      </c>
      <c r="H1527" s="344" t="s">
        <v>1016</v>
      </c>
    </row>
    <row r="1528" spans="1:8">
      <c r="A1528" s="1"/>
      <c r="B1528" s="1"/>
      <c r="C1528" s="1"/>
      <c r="D1528" s="1"/>
      <c r="E1528" s="357">
        <v>44357</v>
      </c>
      <c r="F1528" s="344" t="s">
        <v>631</v>
      </c>
      <c r="G1528" s="358">
        <v>8.5312999999999999</v>
      </c>
      <c r="H1528" s="344" t="s">
        <v>1016</v>
      </c>
    </row>
    <row r="1529" spans="1:8">
      <c r="A1529" s="1"/>
      <c r="B1529" s="1"/>
      <c r="C1529" s="1"/>
      <c r="D1529" s="1"/>
      <c r="E1529" s="357">
        <v>44358</v>
      </c>
      <c r="F1529" s="344" t="s">
        <v>621</v>
      </c>
      <c r="G1529" s="358">
        <v>9.3063000000000002</v>
      </c>
      <c r="H1529" s="344" t="s">
        <v>1017</v>
      </c>
    </row>
    <row r="1530" spans="1:8">
      <c r="A1530" s="1"/>
      <c r="B1530" s="1"/>
      <c r="C1530" s="1"/>
      <c r="D1530" s="1"/>
      <c r="E1530" s="357">
        <v>44358</v>
      </c>
      <c r="F1530" s="344" t="s">
        <v>625</v>
      </c>
      <c r="G1530" s="358">
        <v>10.1615</v>
      </c>
      <c r="H1530" s="344" t="s">
        <v>1017</v>
      </c>
    </row>
    <row r="1531" spans="1:8">
      <c r="A1531" s="1"/>
      <c r="B1531" s="1"/>
      <c r="C1531" s="1"/>
      <c r="D1531" s="1"/>
      <c r="E1531" s="357">
        <v>44358</v>
      </c>
      <c r="F1531" s="344" t="s">
        <v>628</v>
      </c>
      <c r="G1531" s="358">
        <v>11.809699999999999</v>
      </c>
      <c r="H1531" s="344" t="s">
        <v>1017</v>
      </c>
    </row>
    <row r="1532" spans="1:8">
      <c r="A1532" s="1"/>
      <c r="B1532" s="1"/>
      <c r="C1532" s="1"/>
      <c r="D1532" s="1"/>
      <c r="E1532" s="357">
        <v>44358</v>
      </c>
      <c r="F1532" s="344" t="s">
        <v>631</v>
      </c>
      <c r="G1532" s="358">
        <v>8.3546999999999993</v>
      </c>
      <c r="H1532" s="344" t="s">
        <v>1017</v>
      </c>
    </row>
    <row r="1533" spans="1:8">
      <c r="A1533" s="1"/>
      <c r="B1533" s="1"/>
      <c r="C1533" s="1"/>
      <c r="D1533" s="1"/>
      <c r="E1533" s="357">
        <v>44361</v>
      </c>
      <c r="F1533" s="344" t="s">
        <v>621</v>
      </c>
      <c r="G1533" s="358">
        <v>9.2548999999999992</v>
      </c>
      <c r="H1533" s="344" t="s">
        <v>1018</v>
      </c>
    </row>
    <row r="1534" spans="1:8">
      <c r="A1534" s="1"/>
      <c r="B1534" s="1"/>
      <c r="C1534" s="1"/>
      <c r="D1534" s="1"/>
      <c r="E1534" s="357">
        <v>44361</v>
      </c>
      <c r="F1534" s="344" t="s">
        <v>625</v>
      </c>
      <c r="G1534" s="358">
        <v>10.0998</v>
      </c>
      <c r="H1534" s="344" t="s">
        <v>1018</v>
      </c>
    </row>
    <row r="1535" spans="1:8">
      <c r="A1535" s="1"/>
      <c r="B1535" s="1"/>
      <c r="C1535" s="1"/>
      <c r="D1535" s="1"/>
      <c r="E1535" s="357">
        <v>44361</v>
      </c>
      <c r="F1535" s="344" t="s">
        <v>628</v>
      </c>
      <c r="G1535" s="358">
        <v>11.7348</v>
      </c>
      <c r="H1535" s="344" t="s">
        <v>1018</v>
      </c>
    </row>
    <row r="1536" spans="1:8">
      <c r="A1536" s="1"/>
      <c r="B1536" s="1"/>
      <c r="C1536" s="1"/>
      <c r="D1536" s="1"/>
      <c r="E1536" s="357">
        <v>44361</v>
      </c>
      <c r="F1536" s="344" t="s">
        <v>631</v>
      </c>
      <c r="G1536" s="358">
        <v>8.3374000000000006</v>
      </c>
      <c r="H1536" s="344" t="s">
        <v>1018</v>
      </c>
    </row>
    <row r="1537" spans="1:8">
      <c r="A1537" s="1"/>
      <c r="B1537" s="1"/>
      <c r="C1537" s="1"/>
      <c r="D1537" s="1"/>
      <c r="E1537" s="357">
        <v>44362</v>
      </c>
      <c r="F1537" s="344" t="s">
        <v>621</v>
      </c>
      <c r="G1537" s="358">
        <v>9.4910999999999994</v>
      </c>
      <c r="H1537" s="344" t="s">
        <v>1019</v>
      </c>
    </row>
    <row r="1538" spans="1:8">
      <c r="A1538" s="1"/>
      <c r="B1538" s="1"/>
      <c r="C1538" s="1"/>
      <c r="D1538" s="1"/>
      <c r="E1538" s="357">
        <v>44362</v>
      </c>
      <c r="F1538" s="344" t="s">
        <v>625</v>
      </c>
      <c r="G1538" s="358">
        <v>10.364599999999999</v>
      </c>
      <c r="H1538" s="344" t="s">
        <v>1019</v>
      </c>
    </row>
    <row r="1539" spans="1:8">
      <c r="A1539" s="1"/>
      <c r="B1539" s="1"/>
      <c r="C1539" s="1"/>
      <c r="D1539" s="1"/>
      <c r="E1539" s="357">
        <v>44362</v>
      </c>
      <c r="F1539" s="344" t="s">
        <v>628</v>
      </c>
      <c r="G1539" s="358">
        <v>12.019299999999999</v>
      </c>
      <c r="H1539" s="344" t="s">
        <v>1019</v>
      </c>
    </row>
    <row r="1540" spans="1:8">
      <c r="A1540" s="1"/>
      <c r="B1540" s="1"/>
      <c r="C1540" s="1"/>
      <c r="D1540" s="1"/>
      <c r="E1540" s="357">
        <v>44362</v>
      </c>
      <c r="F1540" s="344" t="s">
        <v>631</v>
      </c>
      <c r="G1540" s="358">
        <v>8.5473999999999997</v>
      </c>
      <c r="H1540" s="344" t="s">
        <v>1019</v>
      </c>
    </row>
    <row r="1541" spans="1:8">
      <c r="A1541" s="1"/>
      <c r="B1541" s="1"/>
      <c r="C1541" s="1"/>
      <c r="D1541" s="1"/>
      <c r="E1541" s="357">
        <v>44363</v>
      </c>
      <c r="F1541" s="344" t="s">
        <v>621</v>
      </c>
      <c r="G1541" s="358">
        <v>9.4608000000000008</v>
      </c>
      <c r="H1541" s="344" t="s">
        <v>1020</v>
      </c>
    </row>
    <row r="1542" spans="1:8">
      <c r="A1542" s="1"/>
      <c r="B1542" s="1"/>
      <c r="C1542" s="1"/>
      <c r="D1542" s="1"/>
      <c r="E1542" s="357">
        <v>44363</v>
      </c>
      <c r="F1542" s="344" t="s">
        <v>625</v>
      </c>
      <c r="G1542" s="358">
        <v>10.332700000000001</v>
      </c>
      <c r="H1542" s="344" t="s">
        <v>1020</v>
      </c>
    </row>
    <row r="1543" spans="1:8">
      <c r="A1543" s="1"/>
      <c r="B1543" s="1"/>
      <c r="C1543" s="1"/>
      <c r="D1543" s="1"/>
      <c r="E1543" s="357">
        <v>44363</v>
      </c>
      <c r="F1543" s="344" t="s">
        <v>628</v>
      </c>
      <c r="G1543" s="358">
        <v>12.007</v>
      </c>
      <c r="H1543" s="344" t="s">
        <v>1020</v>
      </c>
    </row>
    <row r="1544" spans="1:8">
      <c r="A1544" s="1"/>
      <c r="B1544" s="1"/>
      <c r="C1544" s="1"/>
      <c r="D1544" s="1"/>
      <c r="E1544" s="357">
        <v>44363</v>
      </c>
      <c r="F1544" s="344" t="s">
        <v>631</v>
      </c>
      <c r="G1544" s="358">
        <v>8.5218000000000007</v>
      </c>
      <c r="H1544" s="344" t="s">
        <v>1020</v>
      </c>
    </row>
    <row r="1545" spans="1:8">
      <c r="A1545" s="1"/>
      <c r="B1545" s="1"/>
      <c r="C1545" s="1"/>
      <c r="D1545" s="1"/>
      <c r="E1545" s="357">
        <v>44364</v>
      </c>
      <c r="F1545" s="344" t="s">
        <v>621</v>
      </c>
      <c r="G1545" s="358">
        <v>9.4196000000000009</v>
      </c>
      <c r="H1545" s="344" t="s">
        <v>1021</v>
      </c>
    </row>
    <row r="1546" spans="1:8">
      <c r="A1546" s="1"/>
      <c r="B1546" s="1"/>
      <c r="C1546" s="1"/>
      <c r="D1546" s="1"/>
      <c r="E1546" s="357">
        <v>44364</v>
      </c>
      <c r="F1546" s="344" t="s">
        <v>625</v>
      </c>
      <c r="G1546" s="358">
        <v>10.3072</v>
      </c>
      <c r="H1546" s="344" t="s">
        <v>1021</v>
      </c>
    </row>
    <row r="1547" spans="1:8">
      <c r="A1547" s="1"/>
      <c r="B1547" s="1"/>
      <c r="C1547" s="1"/>
      <c r="D1547" s="1"/>
      <c r="E1547" s="357">
        <v>44364</v>
      </c>
      <c r="F1547" s="344" t="s">
        <v>628</v>
      </c>
      <c r="G1547" s="358">
        <v>12.0265</v>
      </c>
      <c r="H1547" s="344" t="s">
        <v>1021</v>
      </c>
    </row>
    <row r="1548" spans="1:8">
      <c r="A1548" s="1"/>
      <c r="B1548" s="1"/>
      <c r="C1548" s="1"/>
      <c r="D1548" s="1"/>
      <c r="E1548" s="357">
        <v>44364</v>
      </c>
      <c r="F1548" s="344" t="s">
        <v>631</v>
      </c>
      <c r="G1548" s="358">
        <v>8.6242999999999999</v>
      </c>
      <c r="H1548" s="344" t="s">
        <v>1021</v>
      </c>
    </row>
    <row r="1549" spans="1:8">
      <c r="A1549" s="1"/>
      <c r="B1549" s="1"/>
      <c r="C1549" s="1"/>
      <c r="D1549" s="1"/>
      <c r="E1549" s="357">
        <v>44365</v>
      </c>
      <c r="F1549" s="344" t="s">
        <v>621</v>
      </c>
      <c r="G1549" s="358">
        <v>9.4107000000000003</v>
      </c>
      <c r="H1549" s="344" t="s">
        <v>1022</v>
      </c>
    </row>
    <row r="1550" spans="1:8">
      <c r="A1550" s="1"/>
      <c r="B1550" s="1"/>
      <c r="C1550" s="1"/>
      <c r="D1550" s="1"/>
      <c r="E1550" s="357">
        <v>44365</v>
      </c>
      <c r="F1550" s="344" t="s">
        <v>625</v>
      </c>
      <c r="G1550" s="358">
        <v>10.319699999999999</v>
      </c>
      <c r="H1550" s="344" t="s">
        <v>1022</v>
      </c>
    </row>
    <row r="1551" spans="1:8">
      <c r="A1551" s="1"/>
      <c r="B1551" s="1"/>
      <c r="C1551" s="1"/>
      <c r="D1551" s="1"/>
      <c r="E1551" s="357">
        <v>44365</v>
      </c>
      <c r="F1551" s="344" t="s">
        <v>628</v>
      </c>
      <c r="G1551" s="358">
        <v>12.0129</v>
      </c>
      <c r="H1551" s="344" t="s">
        <v>1022</v>
      </c>
    </row>
    <row r="1552" spans="1:8">
      <c r="A1552" s="1"/>
      <c r="B1552" s="1"/>
      <c r="C1552" s="1"/>
      <c r="D1552" s="1"/>
      <c r="E1552" s="357">
        <v>44365</v>
      </c>
      <c r="F1552" s="344" t="s">
        <v>631</v>
      </c>
      <c r="G1552" s="358">
        <v>8.6646000000000001</v>
      </c>
      <c r="H1552" s="344" t="s">
        <v>1022</v>
      </c>
    </row>
    <row r="1553" spans="1:8">
      <c r="A1553" s="1"/>
      <c r="B1553" s="1"/>
      <c r="C1553" s="1"/>
      <c r="D1553" s="1"/>
      <c r="E1553" s="357">
        <v>44368</v>
      </c>
      <c r="F1553" s="344" t="s">
        <v>621</v>
      </c>
      <c r="G1553" s="358">
        <v>9.4757999999999996</v>
      </c>
      <c r="H1553" s="344" t="s">
        <v>1023</v>
      </c>
    </row>
    <row r="1554" spans="1:8">
      <c r="A1554" s="1"/>
      <c r="B1554" s="1"/>
      <c r="C1554" s="1"/>
      <c r="D1554" s="1"/>
      <c r="E1554" s="357">
        <v>44368</v>
      </c>
      <c r="F1554" s="344" t="s">
        <v>625</v>
      </c>
      <c r="G1554" s="358">
        <v>10.4032</v>
      </c>
      <c r="H1554" s="344" t="s">
        <v>1023</v>
      </c>
    </row>
    <row r="1555" spans="1:8">
      <c r="A1555" s="1"/>
      <c r="B1555" s="1"/>
      <c r="C1555" s="1"/>
      <c r="D1555" s="1"/>
      <c r="E1555" s="357">
        <v>44368</v>
      </c>
      <c r="F1555" s="344" t="s">
        <v>628</v>
      </c>
      <c r="G1555" s="358">
        <v>12.1006</v>
      </c>
      <c r="H1555" s="344" t="s">
        <v>1023</v>
      </c>
    </row>
    <row r="1556" spans="1:8">
      <c r="A1556" s="1"/>
      <c r="B1556" s="1"/>
      <c r="C1556" s="1"/>
      <c r="D1556" s="1"/>
      <c r="E1556" s="357">
        <v>44368</v>
      </c>
      <c r="F1556" s="344" t="s">
        <v>631</v>
      </c>
      <c r="G1556" s="358">
        <v>8.7497000000000007</v>
      </c>
      <c r="H1556" s="344" t="s">
        <v>1023</v>
      </c>
    </row>
    <row r="1557" spans="1:8">
      <c r="A1557" s="1"/>
      <c r="B1557" s="1"/>
      <c r="C1557" s="1"/>
      <c r="D1557" s="1"/>
      <c r="E1557" s="357">
        <v>44369</v>
      </c>
      <c r="F1557" s="344" t="s">
        <v>621</v>
      </c>
      <c r="G1557" s="358">
        <v>9.4552999999999994</v>
      </c>
      <c r="H1557" s="344" t="s">
        <v>1024</v>
      </c>
    </row>
    <row r="1558" spans="1:8">
      <c r="A1558" s="1"/>
      <c r="B1558" s="1"/>
      <c r="C1558" s="1"/>
      <c r="D1558" s="1"/>
      <c r="E1558" s="357">
        <v>44369</v>
      </c>
      <c r="F1558" s="344" t="s">
        <v>625</v>
      </c>
      <c r="G1558" s="358">
        <v>10.372199999999999</v>
      </c>
      <c r="H1558" s="344" t="s">
        <v>1024</v>
      </c>
    </row>
    <row r="1559" spans="1:8">
      <c r="A1559" s="1"/>
      <c r="B1559" s="1"/>
      <c r="C1559" s="1"/>
      <c r="D1559" s="1"/>
      <c r="E1559" s="357">
        <v>44369</v>
      </c>
      <c r="F1559" s="344" t="s">
        <v>628</v>
      </c>
      <c r="G1559" s="358">
        <v>12.086600000000001</v>
      </c>
      <c r="H1559" s="344" t="s">
        <v>1024</v>
      </c>
    </row>
    <row r="1560" spans="1:8">
      <c r="A1560" s="1"/>
      <c r="B1560" s="1"/>
      <c r="C1560" s="1"/>
      <c r="D1560" s="1"/>
      <c r="E1560" s="357">
        <v>44369</v>
      </c>
      <c r="F1560" s="344" t="s">
        <v>631</v>
      </c>
      <c r="G1560" s="358">
        <v>8.7202000000000002</v>
      </c>
      <c r="H1560" s="344" t="s">
        <v>1024</v>
      </c>
    </row>
    <row r="1561" spans="1:8">
      <c r="A1561" s="1"/>
      <c r="B1561" s="1"/>
      <c r="C1561" s="1"/>
      <c r="D1561" s="1"/>
      <c r="E1561" s="357">
        <v>44370</v>
      </c>
      <c r="F1561" s="344" t="s">
        <v>621</v>
      </c>
      <c r="G1561" s="358">
        <v>9.3587000000000007</v>
      </c>
      <c r="H1561" s="344" t="s">
        <v>1025</v>
      </c>
    </row>
    <row r="1562" spans="1:8">
      <c r="A1562" s="1"/>
      <c r="B1562" s="1"/>
      <c r="C1562" s="1"/>
      <c r="D1562" s="1"/>
      <c r="E1562" s="357">
        <v>44370</v>
      </c>
      <c r="F1562" s="344" t="s">
        <v>625</v>
      </c>
      <c r="G1562" s="358">
        <v>10.2828</v>
      </c>
      <c r="H1562" s="344" t="s">
        <v>1025</v>
      </c>
    </row>
    <row r="1563" spans="1:8">
      <c r="A1563" s="1"/>
      <c r="B1563" s="1"/>
      <c r="C1563" s="1"/>
      <c r="D1563" s="1"/>
      <c r="E1563" s="357">
        <v>44370</v>
      </c>
      <c r="F1563" s="344" t="s">
        <v>628</v>
      </c>
      <c r="G1563" s="358">
        <v>12.011900000000001</v>
      </c>
      <c r="H1563" s="344" t="s">
        <v>1025</v>
      </c>
    </row>
    <row r="1564" spans="1:8">
      <c r="A1564" s="1"/>
      <c r="B1564" s="1"/>
      <c r="C1564" s="1"/>
      <c r="D1564" s="1"/>
      <c r="E1564" s="357">
        <v>44370</v>
      </c>
      <c r="F1564" s="344" t="s">
        <v>631</v>
      </c>
      <c r="G1564" s="358">
        <v>8.6138999999999992</v>
      </c>
      <c r="H1564" s="344" t="s">
        <v>1025</v>
      </c>
    </row>
    <row r="1565" spans="1:8">
      <c r="A1565" s="1"/>
      <c r="B1565" s="1"/>
      <c r="C1565" s="1"/>
      <c r="D1565" s="1"/>
      <c r="E1565" s="357">
        <v>44371</v>
      </c>
      <c r="F1565" s="344" t="s">
        <v>621</v>
      </c>
      <c r="G1565" s="358">
        <v>9.4010999999999996</v>
      </c>
      <c r="H1565" s="344" t="s">
        <v>1026</v>
      </c>
    </row>
    <row r="1566" spans="1:8">
      <c r="A1566" s="1"/>
      <c r="B1566" s="1"/>
      <c r="C1566" s="1"/>
      <c r="D1566" s="1"/>
      <c r="E1566" s="357">
        <v>44371</v>
      </c>
      <c r="F1566" s="344" t="s">
        <v>625</v>
      </c>
      <c r="G1566" s="358">
        <v>10.335599999999999</v>
      </c>
      <c r="H1566" s="344" t="s">
        <v>1026</v>
      </c>
    </row>
    <row r="1567" spans="1:8">
      <c r="A1567" s="1"/>
      <c r="B1567" s="1"/>
      <c r="C1567" s="1"/>
      <c r="D1567" s="1"/>
      <c r="E1567" s="357">
        <v>44371</v>
      </c>
      <c r="F1567" s="344" t="s">
        <v>628</v>
      </c>
      <c r="G1567" s="358">
        <v>12.0641</v>
      </c>
      <c r="H1567" s="344" t="s">
        <v>1026</v>
      </c>
    </row>
    <row r="1568" spans="1:8">
      <c r="A1568" s="1"/>
      <c r="B1568" s="1"/>
      <c r="C1568" s="1"/>
      <c r="D1568" s="1"/>
      <c r="E1568" s="357">
        <v>44371</v>
      </c>
      <c r="F1568" s="344" t="s">
        <v>631</v>
      </c>
      <c r="G1568" s="358">
        <v>8.6593</v>
      </c>
      <c r="H1568" s="344" t="s">
        <v>1026</v>
      </c>
    </row>
    <row r="1569" spans="1:8">
      <c r="A1569" s="1"/>
      <c r="B1569" s="1"/>
      <c r="C1569" s="1"/>
      <c r="D1569" s="1"/>
      <c r="E1569" s="357">
        <v>44372</v>
      </c>
      <c r="F1569" s="344" t="s">
        <v>621</v>
      </c>
      <c r="G1569" s="358">
        <v>9.4402000000000008</v>
      </c>
      <c r="H1569" s="344" t="s">
        <v>1027</v>
      </c>
    </row>
    <row r="1570" spans="1:8">
      <c r="A1570" s="1"/>
      <c r="B1570" s="1"/>
      <c r="C1570" s="1"/>
      <c r="D1570" s="1"/>
      <c r="E1570" s="357">
        <v>44372</v>
      </c>
      <c r="F1570" s="344" t="s">
        <v>625</v>
      </c>
      <c r="G1570" s="358">
        <v>10.364599999999999</v>
      </c>
      <c r="H1570" s="344" t="s">
        <v>1027</v>
      </c>
    </row>
    <row r="1571" spans="1:8">
      <c r="A1571" s="1"/>
      <c r="B1571" s="1"/>
      <c r="C1571" s="1"/>
      <c r="D1571" s="1"/>
      <c r="E1571" s="357">
        <v>44372</v>
      </c>
      <c r="F1571" s="344" t="s">
        <v>628</v>
      </c>
      <c r="G1571" s="358">
        <v>12.0479</v>
      </c>
      <c r="H1571" s="344" t="s">
        <v>1027</v>
      </c>
    </row>
    <row r="1572" spans="1:8">
      <c r="A1572" s="1"/>
      <c r="B1572" s="1"/>
      <c r="C1572" s="1"/>
      <c r="D1572" s="1"/>
      <c r="E1572" s="357">
        <v>44372</v>
      </c>
      <c r="F1572" s="344" t="s">
        <v>631</v>
      </c>
      <c r="G1572" s="358">
        <v>8.6771999999999991</v>
      </c>
      <c r="H1572" s="344" t="s">
        <v>1027</v>
      </c>
    </row>
    <row r="1573" spans="1:8">
      <c r="A1573" s="1"/>
      <c r="B1573" s="1"/>
      <c r="C1573" s="1"/>
      <c r="D1573" s="1"/>
      <c r="E1573" s="357">
        <v>44375</v>
      </c>
      <c r="F1573" s="344" t="s">
        <v>621</v>
      </c>
      <c r="G1573" s="358">
        <v>9.4735999999999994</v>
      </c>
      <c r="H1573" s="344" t="s">
        <v>1028</v>
      </c>
    </row>
    <row r="1574" spans="1:8">
      <c r="A1574" s="1"/>
      <c r="B1574" s="1"/>
      <c r="C1574" s="1"/>
      <c r="D1574" s="1"/>
      <c r="E1574" s="357">
        <v>44375</v>
      </c>
      <c r="F1574" s="344" t="s">
        <v>625</v>
      </c>
      <c r="G1574" s="358">
        <v>10.4077</v>
      </c>
      <c r="H1574" s="344" t="s">
        <v>1028</v>
      </c>
    </row>
    <row r="1575" spans="1:8">
      <c r="A1575" s="1"/>
      <c r="B1575" s="1"/>
      <c r="C1575" s="1"/>
      <c r="D1575" s="1"/>
      <c r="E1575" s="357">
        <v>44375</v>
      </c>
      <c r="F1575" s="344" t="s">
        <v>628</v>
      </c>
      <c r="G1575" s="358">
        <v>12.1165</v>
      </c>
      <c r="H1575" s="344" t="s">
        <v>1028</v>
      </c>
    </row>
    <row r="1576" spans="1:8">
      <c r="A1576" s="1"/>
      <c r="B1576" s="1"/>
      <c r="C1576" s="1"/>
      <c r="D1576" s="1"/>
      <c r="E1576" s="357">
        <v>44375</v>
      </c>
      <c r="F1576" s="344" t="s">
        <v>631</v>
      </c>
      <c r="G1576" s="358">
        <v>8.7218999999999998</v>
      </c>
      <c r="H1576" s="344" t="s">
        <v>1028</v>
      </c>
    </row>
    <row r="1577" spans="1:8">
      <c r="A1577" s="1"/>
      <c r="B1577" s="1"/>
      <c r="C1577" s="1"/>
      <c r="D1577" s="1"/>
      <c r="E1577" s="357">
        <v>44376</v>
      </c>
      <c r="F1577" s="344" t="s">
        <v>621</v>
      </c>
      <c r="G1577" s="358">
        <v>9.4338999999999995</v>
      </c>
      <c r="H1577" s="344" t="s">
        <v>1029</v>
      </c>
    </row>
    <row r="1578" spans="1:8">
      <c r="A1578" s="1"/>
      <c r="B1578" s="1"/>
      <c r="C1578" s="1"/>
      <c r="D1578" s="1"/>
      <c r="E1578" s="357">
        <v>44376</v>
      </c>
      <c r="F1578" s="344" t="s">
        <v>625</v>
      </c>
      <c r="G1578" s="358">
        <v>10.3645</v>
      </c>
      <c r="H1578" s="344" t="s">
        <v>1029</v>
      </c>
    </row>
    <row r="1579" spans="1:8">
      <c r="A1579" s="1"/>
      <c r="B1579" s="1"/>
      <c r="C1579" s="1"/>
      <c r="D1579" s="1"/>
      <c r="E1579" s="357">
        <v>44376</v>
      </c>
      <c r="F1579" s="344" t="s">
        <v>628</v>
      </c>
      <c r="G1579" s="358">
        <v>12.0343</v>
      </c>
      <c r="H1579" s="344" t="s">
        <v>1029</v>
      </c>
    </row>
    <row r="1580" spans="1:8">
      <c r="A1580" s="1"/>
      <c r="B1580" s="1"/>
      <c r="C1580" s="1"/>
      <c r="D1580" s="1"/>
      <c r="E1580" s="357">
        <v>44376</v>
      </c>
      <c r="F1580" s="344" t="s">
        <v>631</v>
      </c>
      <c r="G1580" s="358">
        <v>8.7051999999999996</v>
      </c>
      <c r="H1580" s="344" t="s">
        <v>1029</v>
      </c>
    </row>
    <row r="1581" spans="1:8">
      <c r="A1581" s="1"/>
      <c r="B1581" s="1"/>
      <c r="C1581" s="1"/>
      <c r="D1581" s="1"/>
      <c r="E1581" s="357">
        <v>44377</v>
      </c>
      <c r="F1581" s="344" t="s">
        <v>621</v>
      </c>
      <c r="G1581" s="358">
        <v>9.3894000000000002</v>
      </c>
      <c r="H1581" s="344" t="s">
        <v>1030</v>
      </c>
    </row>
    <row r="1582" spans="1:8">
      <c r="A1582" s="1"/>
      <c r="B1582" s="1"/>
      <c r="C1582" s="1"/>
      <c r="D1582" s="1"/>
      <c r="E1582" s="357">
        <v>44377</v>
      </c>
      <c r="F1582" s="344" t="s">
        <v>625</v>
      </c>
      <c r="G1582" s="358">
        <v>10.3249</v>
      </c>
      <c r="H1582" s="344" t="s">
        <v>1030</v>
      </c>
    </row>
    <row r="1583" spans="1:8">
      <c r="A1583" s="1"/>
      <c r="B1583" s="1"/>
      <c r="C1583" s="1"/>
      <c r="D1583" s="1"/>
      <c r="E1583" s="357">
        <v>44377</v>
      </c>
      <c r="F1583" s="344" t="s">
        <v>628</v>
      </c>
      <c r="G1583" s="358">
        <v>12.0008</v>
      </c>
      <c r="H1583" s="344" t="s">
        <v>1030</v>
      </c>
    </row>
    <row r="1584" spans="1:8">
      <c r="A1584" s="1"/>
      <c r="B1584" s="1"/>
      <c r="C1584" s="1"/>
      <c r="D1584" s="1"/>
      <c r="E1584" s="357">
        <v>44377</v>
      </c>
      <c r="F1584" s="344" t="s">
        <v>631</v>
      </c>
      <c r="G1584" s="358">
        <v>8.6803000000000008</v>
      </c>
      <c r="H1584" s="344" t="s">
        <v>1030</v>
      </c>
    </row>
    <row r="1585" spans="1:8">
      <c r="A1585" s="1"/>
      <c r="B1585" s="1"/>
      <c r="C1585" s="1"/>
      <c r="D1585" s="1"/>
      <c r="E1585" s="357">
        <v>44378</v>
      </c>
      <c r="F1585" s="344" t="s">
        <v>621</v>
      </c>
      <c r="G1585" s="358">
        <v>9.3524999999999991</v>
      </c>
      <c r="H1585" s="344" t="s">
        <v>1031</v>
      </c>
    </row>
    <row r="1586" spans="1:8">
      <c r="A1586" s="1"/>
      <c r="B1586" s="1"/>
      <c r="C1586" s="1"/>
      <c r="D1586" s="1"/>
      <c r="E1586" s="357">
        <v>44378</v>
      </c>
      <c r="F1586" s="344" t="s">
        <v>625</v>
      </c>
      <c r="G1586" s="358">
        <v>10.2889</v>
      </c>
      <c r="H1586" s="344" t="s">
        <v>1031</v>
      </c>
    </row>
    <row r="1587" spans="1:8">
      <c r="A1587" s="1"/>
      <c r="B1587" s="1"/>
      <c r="C1587" s="1"/>
      <c r="D1587" s="1"/>
      <c r="E1587" s="357">
        <v>44378</v>
      </c>
      <c r="F1587" s="344" t="s">
        <v>628</v>
      </c>
      <c r="G1587" s="358">
        <v>11.953200000000001</v>
      </c>
      <c r="H1587" s="344" t="s">
        <v>1031</v>
      </c>
    </row>
    <row r="1588" spans="1:8">
      <c r="A1588" s="1"/>
      <c r="B1588" s="1"/>
      <c r="C1588" s="1"/>
      <c r="D1588" s="1"/>
      <c r="E1588" s="357">
        <v>44378</v>
      </c>
      <c r="F1588" s="344" t="s">
        <v>631</v>
      </c>
      <c r="G1588" s="358">
        <v>8.6768000000000001</v>
      </c>
      <c r="H1588" s="344" t="s">
        <v>1031</v>
      </c>
    </row>
    <row r="1589" spans="1:8">
      <c r="A1589" s="1"/>
      <c r="B1589" s="1"/>
      <c r="C1589" s="1"/>
      <c r="D1589" s="1"/>
      <c r="E1589" s="357">
        <v>44379</v>
      </c>
      <c r="F1589" s="344" t="s">
        <v>621</v>
      </c>
      <c r="G1589" s="358">
        <v>9.3491999999999997</v>
      </c>
      <c r="H1589" s="344" t="s">
        <v>1032</v>
      </c>
    </row>
    <row r="1590" spans="1:8">
      <c r="A1590" s="1"/>
      <c r="B1590" s="1"/>
      <c r="C1590" s="1"/>
      <c r="D1590" s="1"/>
      <c r="E1590" s="357">
        <v>44379</v>
      </c>
      <c r="F1590" s="344" t="s">
        <v>625</v>
      </c>
      <c r="G1590" s="358">
        <v>10.265700000000001</v>
      </c>
      <c r="H1590" s="344" t="s">
        <v>1032</v>
      </c>
    </row>
    <row r="1591" spans="1:8">
      <c r="A1591" s="1"/>
      <c r="B1591" s="1"/>
      <c r="C1591" s="1"/>
      <c r="D1591" s="1"/>
      <c r="E1591" s="357">
        <v>44379</v>
      </c>
      <c r="F1591" s="344" t="s">
        <v>628</v>
      </c>
      <c r="G1591" s="358">
        <v>11.914400000000001</v>
      </c>
      <c r="H1591" s="344" t="s">
        <v>1032</v>
      </c>
    </row>
    <row r="1592" spans="1:8">
      <c r="A1592" s="1"/>
      <c r="B1592" s="1"/>
      <c r="C1592" s="1"/>
      <c r="D1592" s="1"/>
      <c r="E1592" s="357">
        <v>44379</v>
      </c>
      <c r="F1592" s="344" t="s">
        <v>631</v>
      </c>
      <c r="G1592" s="358">
        <v>8.6797000000000004</v>
      </c>
      <c r="H1592" s="344" t="s">
        <v>1032</v>
      </c>
    </row>
    <row r="1593" spans="1:8">
      <c r="A1593" s="1"/>
      <c r="B1593" s="1"/>
      <c r="C1593" s="1"/>
      <c r="D1593" s="1"/>
      <c r="E1593" s="357">
        <v>44382</v>
      </c>
      <c r="F1593" s="344" t="s">
        <v>621</v>
      </c>
      <c r="G1593" s="358">
        <v>9.3823000000000008</v>
      </c>
      <c r="H1593" s="344" t="s">
        <v>1033</v>
      </c>
    </row>
    <row r="1594" spans="1:8">
      <c r="A1594" s="1"/>
      <c r="B1594" s="1"/>
      <c r="C1594" s="1"/>
      <c r="D1594" s="1"/>
      <c r="E1594" s="357">
        <v>44382</v>
      </c>
      <c r="F1594" s="344" t="s">
        <v>625</v>
      </c>
      <c r="G1594" s="358">
        <v>10.287000000000001</v>
      </c>
      <c r="H1594" s="344" t="s">
        <v>1033</v>
      </c>
    </row>
    <row r="1595" spans="1:8">
      <c r="A1595" s="1"/>
      <c r="B1595" s="1"/>
      <c r="C1595" s="1"/>
      <c r="D1595" s="1"/>
      <c r="E1595" s="357">
        <v>44382</v>
      </c>
      <c r="F1595" s="344" t="s">
        <v>628</v>
      </c>
      <c r="G1595" s="358">
        <v>11.9824</v>
      </c>
      <c r="H1595" s="344" t="s">
        <v>1033</v>
      </c>
    </row>
    <row r="1596" spans="1:8">
      <c r="A1596" s="1"/>
      <c r="B1596" s="1"/>
      <c r="C1596" s="1"/>
      <c r="D1596" s="1"/>
      <c r="E1596" s="357">
        <v>44382</v>
      </c>
      <c r="F1596" s="344" t="s">
        <v>631</v>
      </c>
      <c r="G1596" s="358">
        <v>8.6649999999999991</v>
      </c>
      <c r="H1596" s="344" t="s">
        <v>1033</v>
      </c>
    </row>
    <row r="1597" spans="1:8">
      <c r="A1597" s="1"/>
      <c r="B1597" s="1"/>
      <c r="C1597" s="1"/>
      <c r="D1597" s="1"/>
      <c r="E1597" s="357">
        <v>44383</v>
      </c>
      <c r="F1597" s="344" t="s">
        <v>621</v>
      </c>
      <c r="G1597" s="358">
        <v>9.3569999999999993</v>
      </c>
      <c r="H1597" s="344" t="s">
        <v>1034</v>
      </c>
    </row>
    <row r="1598" spans="1:8">
      <c r="A1598" s="1"/>
      <c r="B1598" s="1"/>
      <c r="C1598" s="1"/>
      <c r="D1598" s="1"/>
      <c r="E1598" s="357">
        <v>44383</v>
      </c>
      <c r="F1598" s="344" t="s">
        <v>625</v>
      </c>
      <c r="G1598" s="358">
        <v>10.2562</v>
      </c>
      <c r="H1598" s="344" t="s">
        <v>1034</v>
      </c>
    </row>
    <row r="1599" spans="1:8">
      <c r="A1599" s="1"/>
      <c r="B1599" s="1"/>
      <c r="C1599" s="1"/>
      <c r="D1599" s="1"/>
      <c r="E1599" s="357">
        <v>44383</v>
      </c>
      <c r="F1599" s="344" t="s">
        <v>628</v>
      </c>
      <c r="G1599" s="358">
        <v>11.972200000000001</v>
      </c>
      <c r="H1599" s="344" t="s">
        <v>1034</v>
      </c>
    </row>
    <row r="1600" spans="1:8">
      <c r="A1600" s="1"/>
      <c r="B1600" s="1"/>
      <c r="C1600" s="1"/>
      <c r="D1600" s="1"/>
      <c r="E1600" s="357">
        <v>44383</v>
      </c>
      <c r="F1600" s="344" t="s">
        <v>631</v>
      </c>
      <c r="G1600" s="358">
        <v>8.6515000000000004</v>
      </c>
      <c r="H1600" s="344" t="s">
        <v>1034</v>
      </c>
    </row>
    <row r="1601" spans="1:8">
      <c r="A1601" s="1"/>
      <c r="B1601" s="1"/>
      <c r="C1601" s="1"/>
      <c r="D1601" s="1"/>
      <c r="E1601" s="357">
        <v>44384</v>
      </c>
      <c r="F1601" s="344" t="s">
        <v>621</v>
      </c>
      <c r="G1601" s="358">
        <v>9.3633000000000006</v>
      </c>
      <c r="H1601" s="344" t="s">
        <v>1035</v>
      </c>
    </row>
    <row r="1602" spans="1:8">
      <c r="A1602" s="1"/>
      <c r="B1602" s="1"/>
      <c r="C1602" s="1"/>
      <c r="D1602" s="1"/>
      <c r="E1602" s="357">
        <v>44384</v>
      </c>
      <c r="F1602" s="344" t="s">
        <v>625</v>
      </c>
      <c r="G1602" s="358">
        <v>10.2469</v>
      </c>
      <c r="H1602" s="344" t="s">
        <v>1035</v>
      </c>
    </row>
    <row r="1603" spans="1:8">
      <c r="A1603" s="1"/>
      <c r="B1603" s="1"/>
      <c r="C1603" s="1"/>
      <c r="D1603" s="1"/>
      <c r="E1603" s="357">
        <v>44384</v>
      </c>
      <c r="F1603" s="344" t="s">
        <v>628</v>
      </c>
      <c r="G1603" s="358">
        <v>11.9457</v>
      </c>
      <c r="H1603" s="344" t="s">
        <v>1035</v>
      </c>
    </row>
    <row r="1604" spans="1:8">
      <c r="A1604" s="1"/>
      <c r="B1604" s="1"/>
      <c r="C1604" s="1"/>
      <c r="D1604" s="1"/>
      <c r="E1604" s="357">
        <v>44384</v>
      </c>
      <c r="F1604" s="344" t="s">
        <v>631</v>
      </c>
      <c r="G1604" s="358">
        <v>8.6656999999999993</v>
      </c>
      <c r="H1604" s="344" t="s">
        <v>1035</v>
      </c>
    </row>
    <row r="1605" spans="1:8">
      <c r="A1605" s="1"/>
      <c r="B1605" s="1"/>
      <c r="C1605" s="1"/>
      <c r="D1605" s="1"/>
      <c r="E1605" s="357">
        <v>44385</v>
      </c>
      <c r="F1605" s="344" t="s">
        <v>621</v>
      </c>
      <c r="G1605" s="358">
        <v>9.4290000000000003</v>
      </c>
      <c r="H1605" s="344" t="s">
        <v>1036</v>
      </c>
    </row>
    <row r="1606" spans="1:8">
      <c r="A1606" s="1"/>
      <c r="B1606" s="1"/>
      <c r="C1606" s="1"/>
      <c r="D1606" s="1"/>
      <c r="E1606" s="357">
        <v>44385</v>
      </c>
      <c r="F1606" s="344" t="s">
        <v>625</v>
      </c>
      <c r="G1606" s="358">
        <v>10.2721</v>
      </c>
      <c r="H1606" s="344" t="s">
        <v>1036</v>
      </c>
    </row>
    <row r="1607" spans="1:8">
      <c r="A1607" s="1"/>
      <c r="B1607" s="1"/>
      <c r="C1607" s="1"/>
      <c r="D1607" s="1"/>
      <c r="E1607" s="357">
        <v>44385</v>
      </c>
      <c r="F1607" s="344" t="s">
        <v>628</v>
      </c>
      <c r="G1607" s="358">
        <v>11.946099999999999</v>
      </c>
      <c r="H1607" s="344" t="s">
        <v>1036</v>
      </c>
    </row>
    <row r="1608" spans="1:8">
      <c r="A1608" s="1"/>
      <c r="B1608" s="1"/>
      <c r="C1608" s="1"/>
      <c r="D1608" s="1"/>
      <c r="E1608" s="357">
        <v>44385</v>
      </c>
      <c r="F1608" s="344" t="s">
        <v>631</v>
      </c>
      <c r="G1608" s="358">
        <v>8.6867000000000001</v>
      </c>
      <c r="H1608" s="344" t="s">
        <v>1036</v>
      </c>
    </row>
    <row r="1609" spans="1:8">
      <c r="A1609" s="1"/>
      <c r="B1609" s="1"/>
      <c r="C1609" s="1"/>
      <c r="D1609" s="1"/>
      <c r="E1609" s="357">
        <v>44386</v>
      </c>
      <c r="F1609" s="344" t="s">
        <v>621</v>
      </c>
      <c r="G1609" s="358">
        <v>9.4527999999999999</v>
      </c>
      <c r="H1609" s="344" t="s">
        <v>1037</v>
      </c>
    </row>
    <row r="1610" spans="1:8">
      <c r="A1610" s="1"/>
      <c r="B1610" s="1"/>
      <c r="C1610" s="1"/>
      <c r="D1610" s="1"/>
      <c r="E1610" s="357">
        <v>44386</v>
      </c>
      <c r="F1610" s="344" t="s">
        <v>625</v>
      </c>
      <c r="G1610" s="358">
        <v>10.2712</v>
      </c>
      <c r="H1610" s="344" t="s">
        <v>1037</v>
      </c>
    </row>
    <row r="1611" spans="1:8">
      <c r="A1611" s="1"/>
      <c r="B1611" s="1"/>
      <c r="C1611" s="1"/>
      <c r="D1611" s="1"/>
      <c r="E1611" s="357">
        <v>44386</v>
      </c>
      <c r="F1611" s="344" t="s">
        <v>628</v>
      </c>
      <c r="G1611" s="358">
        <v>11.9384</v>
      </c>
      <c r="H1611" s="344" t="s">
        <v>1037</v>
      </c>
    </row>
    <row r="1612" spans="1:8">
      <c r="A1612" s="1"/>
      <c r="B1612" s="1"/>
      <c r="C1612" s="1"/>
      <c r="D1612" s="1"/>
      <c r="E1612" s="357">
        <v>44386</v>
      </c>
      <c r="F1612" s="344" t="s">
        <v>631</v>
      </c>
      <c r="G1612" s="358">
        <v>8.6715</v>
      </c>
      <c r="H1612" s="344" t="s">
        <v>1037</v>
      </c>
    </row>
    <row r="1613" spans="1:8">
      <c r="A1613" s="1"/>
      <c r="B1613" s="1"/>
      <c r="C1613" s="1"/>
      <c r="D1613" s="1"/>
      <c r="E1613" s="357">
        <v>44389</v>
      </c>
      <c r="F1613" s="344" t="s">
        <v>621</v>
      </c>
      <c r="G1613" s="358">
        <v>9.4080999999999992</v>
      </c>
      <c r="H1613" s="344" t="s">
        <v>1038</v>
      </c>
    </row>
    <row r="1614" spans="1:8">
      <c r="A1614" s="1"/>
      <c r="B1614" s="1"/>
      <c r="C1614" s="1"/>
      <c r="D1614" s="1"/>
      <c r="E1614" s="357">
        <v>44389</v>
      </c>
      <c r="F1614" s="344" t="s">
        <v>625</v>
      </c>
      <c r="G1614" s="358">
        <v>10.2354</v>
      </c>
      <c r="H1614" s="344" t="s">
        <v>1038</v>
      </c>
    </row>
    <row r="1615" spans="1:8">
      <c r="A1615" s="1"/>
      <c r="B1615" s="1"/>
      <c r="C1615" s="1"/>
      <c r="D1615" s="1"/>
      <c r="E1615" s="357">
        <v>44389</v>
      </c>
      <c r="F1615" s="344" t="s">
        <v>628</v>
      </c>
      <c r="G1615" s="358">
        <v>11.946199999999999</v>
      </c>
      <c r="H1615" s="344" t="s">
        <v>1038</v>
      </c>
    </row>
    <row r="1616" spans="1:8">
      <c r="A1616" s="1"/>
      <c r="B1616" s="1"/>
      <c r="C1616" s="1"/>
      <c r="D1616" s="1"/>
      <c r="E1616" s="357">
        <v>44389</v>
      </c>
      <c r="F1616" s="344" t="s">
        <v>631</v>
      </c>
      <c r="G1616" s="358">
        <v>8.6318999999999999</v>
      </c>
      <c r="H1616" s="344" t="s">
        <v>1038</v>
      </c>
    </row>
    <row r="1617" spans="1:8">
      <c r="A1617" s="1"/>
      <c r="B1617" s="1"/>
      <c r="C1617" s="1"/>
      <c r="D1617" s="1"/>
      <c r="E1617" s="357">
        <v>44390</v>
      </c>
      <c r="F1617" s="344" t="s">
        <v>621</v>
      </c>
      <c r="G1617" s="358">
        <v>9.3717000000000006</v>
      </c>
      <c r="H1617" s="344" t="s">
        <v>1039</v>
      </c>
    </row>
    <row r="1618" spans="1:8">
      <c r="A1618" s="1"/>
      <c r="B1618" s="1"/>
      <c r="C1618" s="1"/>
      <c r="D1618" s="1"/>
      <c r="E1618" s="357">
        <v>44390</v>
      </c>
      <c r="F1618" s="344" t="s">
        <v>625</v>
      </c>
      <c r="G1618" s="358">
        <v>10.192600000000001</v>
      </c>
      <c r="H1618" s="344" t="s">
        <v>1039</v>
      </c>
    </row>
    <row r="1619" spans="1:8">
      <c r="A1619" s="1"/>
      <c r="B1619" s="1"/>
      <c r="C1619" s="1"/>
      <c r="D1619" s="1"/>
      <c r="E1619" s="357">
        <v>44390</v>
      </c>
      <c r="F1619" s="344" t="s">
        <v>628</v>
      </c>
      <c r="G1619" s="358">
        <v>11.9041</v>
      </c>
      <c r="H1619" s="344" t="s">
        <v>1039</v>
      </c>
    </row>
    <row r="1620" spans="1:8">
      <c r="A1620" s="1"/>
      <c r="B1620" s="1"/>
      <c r="C1620" s="1"/>
      <c r="D1620" s="1"/>
      <c r="E1620" s="357">
        <v>44390</v>
      </c>
      <c r="F1620" s="344" t="s">
        <v>631</v>
      </c>
      <c r="G1620" s="358">
        <v>8.6033000000000008</v>
      </c>
      <c r="H1620" s="344" t="s">
        <v>1039</v>
      </c>
    </row>
    <row r="1621" spans="1:8">
      <c r="A1621" s="1"/>
      <c r="B1621" s="1"/>
      <c r="C1621" s="1"/>
      <c r="D1621" s="1"/>
      <c r="E1621" s="357">
        <v>44391</v>
      </c>
      <c r="F1621" s="344" t="s">
        <v>621</v>
      </c>
      <c r="G1621" s="358">
        <v>9.3515999999999995</v>
      </c>
      <c r="H1621" s="344" t="s">
        <v>1040</v>
      </c>
    </row>
    <row r="1622" spans="1:8">
      <c r="A1622" s="1"/>
      <c r="B1622" s="1"/>
      <c r="C1622" s="1"/>
      <c r="D1622" s="1"/>
      <c r="E1622" s="357">
        <v>44391</v>
      </c>
      <c r="F1622" s="344" t="s">
        <v>625</v>
      </c>
      <c r="G1622" s="358">
        <v>10.156000000000001</v>
      </c>
      <c r="H1622" s="344" t="s">
        <v>1040</v>
      </c>
    </row>
    <row r="1623" spans="1:8">
      <c r="A1623" s="1"/>
      <c r="B1623" s="1"/>
      <c r="C1623" s="1"/>
      <c r="D1623" s="1"/>
      <c r="E1623" s="357">
        <v>44391</v>
      </c>
      <c r="F1623" s="344" t="s">
        <v>628</v>
      </c>
      <c r="G1623" s="358">
        <v>11.9077</v>
      </c>
      <c r="H1623" s="344" t="s">
        <v>1040</v>
      </c>
    </row>
    <row r="1624" spans="1:8">
      <c r="A1624" s="1"/>
      <c r="B1624" s="1"/>
      <c r="C1624" s="1"/>
      <c r="D1624" s="1"/>
      <c r="E1624" s="357">
        <v>44391</v>
      </c>
      <c r="F1624" s="344" t="s">
        <v>631</v>
      </c>
      <c r="G1624" s="358">
        <v>8.6122999999999994</v>
      </c>
      <c r="H1624" s="344" t="s">
        <v>1040</v>
      </c>
    </row>
    <row r="1625" spans="1:8">
      <c r="A1625" s="1"/>
      <c r="B1625" s="1"/>
      <c r="C1625" s="1"/>
      <c r="D1625" s="1"/>
      <c r="E1625" s="357">
        <v>44393</v>
      </c>
      <c r="F1625" s="344" t="s">
        <v>621</v>
      </c>
      <c r="G1625" s="358">
        <v>9.2350999999999992</v>
      </c>
      <c r="H1625" s="344" t="s">
        <v>1041</v>
      </c>
    </row>
    <row r="1626" spans="1:8">
      <c r="A1626" s="1"/>
      <c r="B1626" s="1"/>
      <c r="C1626" s="1"/>
      <c r="D1626" s="1"/>
      <c r="E1626" s="357">
        <v>44393</v>
      </c>
      <c r="F1626" s="344" t="s">
        <v>625</v>
      </c>
      <c r="G1626" s="358">
        <v>10.048299999999999</v>
      </c>
      <c r="H1626" s="344" t="s">
        <v>1041</v>
      </c>
    </row>
    <row r="1627" spans="1:8">
      <c r="A1627" s="1"/>
      <c r="B1627" s="1"/>
      <c r="C1627" s="1"/>
      <c r="D1627" s="1"/>
      <c r="E1627" s="357">
        <v>44393</v>
      </c>
      <c r="F1627" s="344" t="s">
        <v>628</v>
      </c>
      <c r="G1627" s="358">
        <v>11.742000000000001</v>
      </c>
      <c r="H1627" s="344" t="s">
        <v>1041</v>
      </c>
    </row>
    <row r="1628" spans="1:8">
      <c r="A1628" s="1"/>
      <c r="B1628" s="1"/>
      <c r="C1628" s="1"/>
      <c r="D1628" s="1"/>
      <c r="E1628" s="357">
        <v>44393</v>
      </c>
      <c r="F1628" s="344" t="s">
        <v>631</v>
      </c>
      <c r="G1628" s="358">
        <v>8.5099</v>
      </c>
      <c r="H1628" s="344" t="s">
        <v>1041</v>
      </c>
    </row>
    <row r="1629" spans="1:8">
      <c r="A1629" s="1"/>
      <c r="B1629" s="1"/>
      <c r="C1629" s="1"/>
      <c r="D1629" s="1"/>
      <c r="E1629" s="357">
        <v>44403</v>
      </c>
      <c r="F1629" s="344" t="s">
        <v>621</v>
      </c>
      <c r="G1629" s="358">
        <v>9.3155000000000001</v>
      </c>
      <c r="H1629" s="344" t="s">
        <v>1042</v>
      </c>
    </row>
    <row r="1630" spans="1:8">
      <c r="A1630" s="1"/>
      <c r="B1630" s="1"/>
      <c r="C1630" s="1"/>
      <c r="D1630" s="1"/>
      <c r="E1630" s="357">
        <v>44403</v>
      </c>
      <c r="F1630" s="344" t="s">
        <v>625</v>
      </c>
      <c r="G1630" s="358">
        <v>10.105</v>
      </c>
      <c r="H1630" s="344" t="s">
        <v>1042</v>
      </c>
    </row>
    <row r="1631" spans="1:8">
      <c r="A1631" s="1"/>
      <c r="B1631" s="1"/>
      <c r="C1631" s="1"/>
      <c r="D1631" s="1"/>
      <c r="E1631" s="357">
        <v>44403</v>
      </c>
      <c r="F1631" s="344" t="s">
        <v>628</v>
      </c>
      <c r="G1631" s="358">
        <v>11.789</v>
      </c>
      <c r="H1631" s="344" t="s">
        <v>1042</v>
      </c>
    </row>
    <row r="1632" spans="1:8">
      <c r="A1632" s="1"/>
      <c r="B1632" s="1"/>
      <c r="C1632" s="1"/>
      <c r="D1632" s="1"/>
      <c r="E1632" s="357">
        <v>44403</v>
      </c>
      <c r="F1632" s="344" t="s">
        <v>631</v>
      </c>
      <c r="G1632" s="358">
        <v>8.5730000000000004</v>
      </c>
      <c r="H1632" s="344" t="s">
        <v>1042</v>
      </c>
    </row>
    <row r="1633" spans="1:8">
      <c r="A1633" s="1"/>
      <c r="B1633" s="1"/>
      <c r="C1633" s="1"/>
      <c r="D1633" s="1"/>
      <c r="E1633" s="357">
        <v>44404</v>
      </c>
      <c r="F1633" s="344" t="s">
        <v>621</v>
      </c>
      <c r="G1633" s="358">
        <v>9.3130000000000006</v>
      </c>
      <c r="H1633" s="344" t="s">
        <v>1043</v>
      </c>
    </row>
    <row r="1634" spans="1:8">
      <c r="A1634" s="1"/>
      <c r="B1634" s="1"/>
      <c r="C1634" s="1"/>
      <c r="D1634" s="1"/>
      <c r="E1634" s="357">
        <v>44404</v>
      </c>
      <c r="F1634" s="344" t="s">
        <v>625</v>
      </c>
      <c r="G1634" s="358">
        <v>10.089600000000001</v>
      </c>
      <c r="H1634" s="344" t="s">
        <v>1043</v>
      </c>
    </row>
    <row r="1635" spans="1:8">
      <c r="A1635" s="1"/>
      <c r="B1635" s="1"/>
      <c r="C1635" s="1"/>
      <c r="D1635" s="1"/>
      <c r="E1635" s="357">
        <v>44404</v>
      </c>
      <c r="F1635" s="344" t="s">
        <v>628</v>
      </c>
      <c r="G1635" s="358">
        <v>11.7875</v>
      </c>
      <c r="H1635" s="344" t="s">
        <v>1043</v>
      </c>
    </row>
    <row r="1636" spans="1:8">
      <c r="A1636" s="1"/>
      <c r="B1636" s="1"/>
      <c r="C1636" s="1"/>
      <c r="D1636" s="1"/>
      <c r="E1636" s="357">
        <v>44404</v>
      </c>
      <c r="F1636" s="344" t="s">
        <v>631</v>
      </c>
      <c r="G1636" s="358">
        <v>8.5603999999999996</v>
      </c>
      <c r="H1636" s="344" t="s">
        <v>1043</v>
      </c>
    </row>
    <row r="1637" spans="1:8">
      <c r="A1637" s="1"/>
      <c r="B1637" s="1"/>
      <c r="C1637" s="1"/>
      <c r="D1637" s="1"/>
      <c r="E1637" s="357">
        <v>44405</v>
      </c>
      <c r="F1637" s="344" t="s">
        <v>621</v>
      </c>
      <c r="G1637" s="358">
        <v>9.32</v>
      </c>
      <c r="H1637" s="344" t="s">
        <v>1044</v>
      </c>
    </row>
    <row r="1638" spans="1:8">
      <c r="A1638" s="1"/>
      <c r="B1638" s="1"/>
      <c r="C1638" s="1"/>
      <c r="D1638" s="1"/>
      <c r="E1638" s="357">
        <v>44405</v>
      </c>
      <c r="F1638" s="344" t="s">
        <v>625</v>
      </c>
      <c r="G1638" s="358">
        <v>10.0929</v>
      </c>
      <c r="H1638" s="344" t="s">
        <v>1044</v>
      </c>
    </row>
    <row r="1639" spans="1:8">
      <c r="A1639" s="1"/>
      <c r="B1639" s="1"/>
      <c r="C1639" s="1"/>
      <c r="D1639" s="1"/>
      <c r="E1639" s="357">
        <v>44405</v>
      </c>
      <c r="F1639" s="344" t="s">
        <v>628</v>
      </c>
      <c r="G1639" s="358">
        <v>11.8393</v>
      </c>
      <c r="H1639" s="344" t="s">
        <v>1044</v>
      </c>
    </row>
    <row r="1640" spans="1:8">
      <c r="A1640" s="1"/>
      <c r="B1640" s="1"/>
      <c r="C1640" s="1"/>
      <c r="D1640" s="1"/>
      <c r="E1640" s="357">
        <v>44405</v>
      </c>
      <c r="F1640" s="344" t="s">
        <v>631</v>
      </c>
      <c r="G1640" s="358">
        <v>8.5446000000000009</v>
      </c>
      <c r="H1640" s="344" t="s">
        <v>1044</v>
      </c>
    </row>
    <row r="1641" spans="1:8">
      <c r="A1641" s="1"/>
      <c r="B1641" s="1"/>
      <c r="C1641" s="1"/>
      <c r="D1641" s="1"/>
      <c r="E1641" s="357">
        <v>44406</v>
      </c>
      <c r="F1641" s="344" t="s">
        <v>621</v>
      </c>
      <c r="G1641" s="358">
        <v>9.3297000000000008</v>
      </c>
      <c r="H1641" s="344" t="s">
        <v>1045</v>
      </c>
    </row>
    <row r="1642" spans="1:8">
      <c r="A1642" s="1"/>
      <c r="B1642" s="1"/>
      <c r="C1642" s="1"/>
      <c r="D1642" s="1"/>
      <c r="E1642" s="357">
        <v>44406</v>
      </c>
      <c r="F1642" s="344" t="s">
        <v>625</v>
      </c>
      <c r="G1642" s="358">
        <v>10.0862</v>
      </c>
      <c r="H1642" s="344" t="s">
        <v>1045</v>
      </c>
    </row>
    <row r="1643" spans="1:8">
      <c r="A1643" s="1"/>
      <c r="B1643" s="1"/>
      <c r="C1643" s="1"/>
      <c r="D1643" s="1"/>
      <c r="E1643" s="357">
        <v>44406</v>
      </c>
      <c r="F1643" s="344" t="s">
        <v>628</v>
      </c>
      <c r="G1643" s="358">
        <v>11.8338</v>
      </c>
      <c r="H1643" s="344" t="s">
        <v>1045</v>
      </c>
    </row>
    <row r="1644" spans="1:8">
      <c r="A1644" s="1"/>
      <c r="B1644" s="1"/>
      <c r="C1644" s="1"/>
      <c r="D1644" s="1"/>
      <c r="E1644" s="357">
        <v>44406</v>
      </c>
      <c r="F1644" s="344" t="s">
        <v>631</v>
      </c>
      <c r="G1644" s="358">
        <v>8.4975000000000005</v>
      </c>
      <c r="H1644" s="344" t="s">
        <v>1045</v>
      </c>
    </row>
    <row r="1645" spans="1:8">
      <c r="A1645" s="1"/>
      <c r="B1645" s="1"/>
      <c r="C1645" s="1"/>
      <c r="D1645" s="1"/>
      <c r="E1645" s="357">
        <v>44407</v>
      </c>
      <c r="F1645" s="344" t="s">
        <v>621</v>
      </c>
      <c r="G1645" s="358">
        <v>9.2690999999999999</v>
      </c>
      <c r="H1645" s="344" t="s">
        <v>1046</v>
      </c>
    </row>
    <row r="1646" spans="1:8">
      <c r="A1646" s="1"/>
      <c r="B1646" s="1"/>
      <c r="C1646" s="1"/>
      <c r="D1646" s="1"/>
      <c r="E1646" s="357">
        <v>44407</v>
      </c>
      <c r="F1646" s="344" t="s">
        <v>625</v>
      </c>
      <c r="G1646" s="358">
        <v>10.0084</v>
      </c>
      <c r="H1646" s="344" t="s">
        <v>1046</v>
      </c>
    </row>
    <row r="1647" spans="1:8">
      <c r="A1647" s="1"/>
      <c r="B1647" s="1"/>
      <c r="C1647" s="1"/>
      <c r="D1647" s="1"/>
      <c r="E1647" s="357">
        <v>44407</v>
      </c>
      <c r="F1647" s="344" t="s">
        <v>628</v>
      </c>
      <c r="G1647" s="358">
        <v>11.7308</v>
      </c>
      <c r="H1647" s="344" t="s">
        <v>1046</v>
      </c>
    </row>
    <row r="1648" spans="1:8">
      <c r="A1648" s="1"/>
      <c r="B1648" s="1"/>
      <c r="C1648" s="1"/>
      <c r="D1648" s="1"/>
      <c r="E1648" s="357">
        <v>44407</v>
      </c>
      <c r="F1648" s="344" t="s">
        <v>631</v>
      </c>
      <c r="G1648" s="358">
        <v>8.4138999999999999</v>
      </c>
      <c r="H1648" s="344" t="s">
        <v>1046</v>
      </c>
    </row>
    <row r="1649" spans="1:8">
      <c r="A1649" s="1"/>
      <c r="B1649" s="1"/>
      <c r="C1649" s="1"/>
      <c r="D1649" s="1"/>
      <c r="E1649" s="357">
        <v>44410</v>
      </c>
      <c r="F1649" s="344" t="s">
        <v>621</v>
      </c>
      <c r="G1649" s="358">
        <v>9.2416</v>
      </c>
      <c r="H1649" s="344" t="s">
        <v>1047</v>
      </c>
    </row>
    <row r="1650" spans="1:8">
      <c r="A1650" s="1"/>
      <c r="B1650" s="1"/>
      <c r="C1650" s="1"/>
      <c r="D1650" s="1"/>
      <c r="E1650" s="357">
        <v>44410</v>
      </c>
      <c r="F1650" s="344" t="s">
        <v>625</v>
      </c>
      <c r="G1650" s="358">
        <v>9.9677000000000007</v>
      </c>
      <c r="H1650" s="344" t="s">
        <v>1047</v>
      </c>
    </row>
    <row r="1651" spans="1:8">
      <c r="A1651" s="1"/>
      <c r="B1651" s="1"/>
      <c r="C1651" s="1"/>
      <c r="D1651" s="1"/>
      <c r="E1651" s="357">
        <v>44410</v>
      </c>
      <c r="F1651" s="344" t="s">
        <v>628</v>
      </c>
      <c r="G1651" s="358">
        <v>11.6457</v>
      </c>
      <c r="H1651" s="344" t="s">
        <v>1047</v>
      </c>
    </row>
    <row r="1652" spans="1:8">
      <c r="A1652" s="1"/>
      <c r="B1652" s="1"/>
      <c r="C1652" s="1"/>
      <c r="D1652" s="1"/>
      <c r="E1652" s="357">
        <v>44410</v>
      </c>
      <c r="F1652" s="344" t="s">
        <v>631</v>
      </c>
      <c r="G1652" s="358">
        <v>8.3849999999999998</v>
      </c>
      <c r="H1652" s="344" t="s">
        <v>1047</v>
      </c>
    </row>
    <row r="1653" spans="1:8">
      <c r="A1653" s="1"/>
      <c r="B1653" s="1"/>
      <c r="C1653" s="1"/>
      <c r="D1653" s="1"/>
      <c r="E1653" s="357">
        <v>44411</v>
      </c>
      <c r="F1653" s="344" t="s">
        <v>621</v>
      </c>
      <c r="G1653" s="358">
        <v>9.1853999999999996</v>
      </c>
      <c r="H1653" s="344" t="s">
        <v>1048</v>
      </c>
    </row>
    <row r="1654" spans="1:8">
      <c r="A1654" s="1"/>
      <c r="B1654" s="1"/>
      <c r="C1654" s="1"/>
      <c r="D1654" s="1"/>
      <c r="E1654" s="357">
        <v>44411</v>
      </c>
      <c r="F1654" s="344" t="s">
        <v>625</v>
      </c>
      <c r="G1654" s="358">
        <v>9.8905999999999992</v>
      </c>
      <c r="H1654" s="344" t="s">
        <v>1048</v>
      </c>
    </row>
    <row r="1655" spans="1:8">
      <c r="A1655" s="1"/>
      <c r="B1655" s="1"/>
      <c r="C1655" s="1"/>
      <c r="D1655" s="1"/>
      <c r="E1655" s="357">
        <v>44411</v>
      </c>
      <c r="F1655" s="344" t="s">
        <v>628</v>
      </c>
      <c r="G1655" s="358">
        <v>11.564299999999999</v>
      </c>
      <c r="H1655" s="344" t="s">
        <v>1048</v>
      </c>
    </row>
    <row r="1656" spans="1:8">
      <c r="A1656" s="1"/>
      <c r="B1656" s="1"/>
      <c r="C1656" s="1"/>
      <c r="D1656" s="1"/>
      <c r="E1656" s="357">
        <v>44411</v>
      </c>
      <c r="F1656" s="344" t="s">
        <v>631</v>
      </c>
      <c r="G1656" s="358">
        <v>8.3229000000000006</v>
      </c>
      <c r="H1656" s="344" t="s">
        <v>1048</v>
      </c>
    </row>
    <row r="1657" spans="1:8">
      <c r="A1657" s="1"/>
      <c r="B1657" s="1"/>
      <c r="C1657" s="1"/>
      <c r="D1657" s="1"/>
      <c r="E1657" s="357">
        <v>44412</v>
      </c>
      <c r="F1657" s="344" t="s">
        <v>621</v>
      </c>
      <c r="G1657" s="358">
        <v>9.2864000000000004</v>
      </c>
      <c r="H1657" s="344" t="s">
        <v>1049</v>
      </c>
    </row>
    <row r="1658" spans="1:8">
      <c r="A1658" s="1"/>
      <c r="B1658" s="1"/>
      <c r="C1658" s="1"/>
      <c r="D1658" s="1"/>
      <c r="E1658" s="357">
        <v>44412</v>
      </c>
      <c r="F1658" s="344" t="s">
        <v>625</v>
      </c>
      <c r="G1658" s="358">
        <v>9.9891000000000005</v>
      </c>
      <c r="H1658" s="344" t="s">
        <v>1049</v>
      </c>
    </row>
    <row r="1659" spans="1:8">
      <c r="A1659" s="1"/>
      <c r="B1659" s="1"/>
      <c r="C1659" s="1"/>
      <c r="D1659" s="1"/>
      <c r="E1659" s="357">
        <v>44412</v>
      </c>
      <c r="F1659" s="344" t="s">
        <v>628</v>
      </c>
      <c r="G1659" s="358">
        <v>11.712300000000001</v>
      </c>
      <c r="H1659" s="344" t="s">
        <v>1049</v>
      </c>
    </row>
    <row r="1660" spans="1:8">
      <c r="A1660" s="1"/>
      <c r="B1660" s="1"/>
      <c r="C1660" s="1"/>
      <c r="D1660" s="1"/>
      <c r="E1660" s="357">
        <v>44412</v>
      </c>
      <c r="F1660" s="344" t="s">
        <v>631</v>
      </c>
      <c r="G1660" s="358">
        <v>8.4192999999999998</v>
      </c>
      <c r="H1660" s="344" t="s">
        <v>1049</v>
      </c>
    </row>
    <row r="1661" spans="1:8">
      <c r="A1661" s="1"/>
      <c r="B1661" s="1"/>
      <c r="C1661" s="1"/>
      <c r="D1661" s="1"/>
      <c r="E1661" s="357">
        <v>44413</v>
      </c>
      <c r="F1661" s="344" t="s">
        <v>621</v>
      </c>
      <c r="G1661" s="358">
        <v>9.3865999999999996</v>
      </c>
      <c r="H1661" s="344" t="s">
        <v>1050</v>
      </c>
    </row>
    <row r="1662" spans="1:8">
      <c r="A1662" s="1"/>
      <c r="B1662" s="1"/>
      <c r="C1662" s="1"/>
      <c r="D1662" s="1"/>
      <c r="E1662" s="357">
        <v>44413</v>
      </c>
      <c r="F1662" s="344" t="s">
        <v>625</v>
      </c>
      <c r="G1662" s="358">
        <v>10.0976</v>
      </c>
      <c r="H1662" s="344" t="s">
        <v>1050</v>
      </c>
    </row>
    <row r="1663" spans="1:8">
      <c r="A1663" s="1"/>
      <c r="B1663" s="1"/>
      <c r="C1663" s="1"/>
      <c r="D1663" s="1"/>
      <c r="E1663" s="357">
        <v>44413</v>
      </c>
      <c r="F1663" s="344" t="s">
        <v>628</v>
      </c>
      <c r="G1663" s="358">
        <v>11.846299999999999</v>
      </c>
      <c r="H1663" s="344" t="s">
        <v>1050</v>
      </c>
    </row>
    <row r="1664" spans="1:8">
      <c r="A1664" s="1"/>
      <c r="B1664" s="1"/>
      <c r="C1664" s="1"/>
      <c r="D1664" s="1"/>
      <c r="E1664" s="357">
        <v>44413</v>
      </c>
      <c r="F1664" s="344" t="s">
        <v>631</v>
      </c>
      <c r="G1664" s="358">
        <v>8.5261999999999993</v>
      </c>
      <c r="H1664" s="344" t="s">
        <v>1050</v>
      </c>
    </row>
    <row r="1665" spans="1:8">
      <c r="A1665" s="1"/>
      <c r="B1665" s="1"/>
      <c r="C1665" s="1"/>
      <c r="D1665" s="1"/>
      <c r="E1665" s="357">
        <v>44414</v>
      </c>
      <c r="F1665" s="344" t="s">
        <v>621</v>
      </c>
      <c r="G1665" s="358">
        <v>9.4086999999999996</v>
      </c>
      <c r="H1665" s="344" t="s">
        <v>1051</v>
      </c>
    </row>
    <row r="1666" spans="1:8">
      <c r="A1666" s="1"/>
      <c r="B1666" s="1"/>
      <c r="C1666" s="1"/>
      <c r="D1666" s="1"/>
      <c r="E1666" s="357">
        <v>44414</v>
      </c>
      <c r="F1666" s="344" t="s">
        <v>625</v>
      </c>
      <c r="G1666" s="358">
        <v>10.1149</v>
      </c>
      <c r="H1666" s="344" t="s">
        <v>1051</v>
      </c>
    </row>
    <row r="1667" spans="1:8">
      <c r="A1667" s="1"/>
      <c r="B1667" s="1"/>
      <c r="C1667" s="1"/>
      <c r="D1667" s="1"/>
      <c r="E1667" s="357">
        <v>44414</v>
      </c>
      <c r="F1667" s="344" t="s">
        <v>628</v>
      </c>
      <c r="G1667" s="358">
        <v>11.895799999999999</v>
      </c>
      <c r="H1667" s="344" t="s">
        <v>1051</v>
      </c>
    </row>
    <row r="1668" spans="1:8">
      <c r="A1668" s="1"/>
      <c r="B1668" s="1"/>
      <c r="C1668" s="1"/>
      <c r="D1668" s="1"/>
      <c r="E1668" s="357">
        <v>44414</v>
      </c>
      <c r="F1668" s="344" t="s">
        <v>631</v>
      </c>
      <c r="G1668" s="358">
        <v>8.5618999999999996</v>
      </c>
      <c r="H1668" s="344" t="s">
        <v>1051</v>
      </c>
    </row>
    <row r="1669" spans="1:8">
      <c r="A1669" s="1"/>
      <c r="B1669" s="1"/>
      <c r="C1669" s="1"/>
      <c r="D1669" s="1"/>
      <c r="E1669" s="357">
        <v>44417</v>
      </c>
      <c r="F1669" s="344" t="s">
        <v>621</v>
      </c>
      <c r="G1669" s="358">
        <v>9.4099000000000004</v>
      </c>
      <c r="H1669" s="344" t="s">
        <v>1052</v>
      </c>
    </row>
    <row r="1670" spans="1:8">
      <c r="A1670" s="1"/>
      <c r="B1670" s="1"/>
      <c r="C1670" s="1"/>
      <c r="D1670" s="1"/>
      <c r="E1670" s="357">
        <v>44417</v>
      </c>
      <c r="F1670" s="344" t="s">
        <v>625</v>
      </c>
      <c r="G1670" s="358">
        <v>10.1622</v>
      </c>
      <c r="H1670" s="344" t="s">
        <v>1052</v>
      </c>
    </row>
    <row r="1671" spans="1:8">
      <c r="A1671" s="1"/>
      <c r="B1671" s="1"/>
      <c r="C1671" s="1"/>
      <c r="D1671" s="1"/>
      <c r="E1671" s="357">
        <v>44417</v>
      </c>
      <c r="F1671" s="344" t="s">
        <v>628</v>
      </c>
      <c r="G1671" s="358">
        <v>11.971399999999999</v>
      </c>
      <c r="H1671" s="344" t="s">
        <v>1052</v>
      </c>
    </row>
    <row r="1672" spans="1:8">
      <c r="A1672" s="1"/>
      <c r="B1672" s="1"/>
      <c r="C1672" s="1"/>
      <c r="D1672" s="1"/>
      <c r="E1672" s="357">
        <v>44417</v>
      </c>
      <c r="F1672" s="344" t="s">
        <v>631</v>
      </c>
      <c r="G1672" s="358">
        <v>8.6425999999999998</v>
      </c>
      <c r="H1672" s="344" t="s">
        <v>1052</v>
      </c>
    </row>
    <row r="1673" spans="1:8">
      <c r="A1673" s="1"/>
      <c r="B1673" s="1"/>
      <c r="C1673" s="1"/>
      <c r="D1673" s="1"/>
      <c r="E1673" s="357">
        <v>44418</v>
      </c>
      <c r="F1673" s="344" t="s">
        <v>621</v>
      </c>
      <c r="G1673" s="358">
        <v>9.3346999999999998</v>
      </c>
      <c r="H1673" s="344" t="s">
        <v>1053</v>
      </c>
    </row>
    <row r="1674" spans="1:8">
      <c r="A1674" s="1"/>
      <c r="B1674" s="1"/>
      <c r="C1674" s="1"/>
      <c r="D1674" s="1"/>
      <c r="E1674" s="357">
        <v>44418</v>
      </c>
      <c r="F1674" s="344" t="s">
        <v>625</v>
      </c>
      <c r="G1674" s="358">
        <v>10.1112</v>
      </c>
      <c r="H1674" s="344" t="s">
        <v>1053</v>
      </c>
    </row>
    <row r="1675" spans="1:8">
      <c r="A1675" s="1"/>
      <c r="B1675" s="1"/>
      <c r="C1675" s="1"/>
      <c r="D1675" s="1"/>
      <c r="E1675" s="357">
        <v>44418</v>
      </c>
      <c r="F1675" s="344" t="s">
        <v>628</v>
      </c>
      <c r="G1675" s="358">
        <v>11.9262</v>
      </c>
      <c r="H1675" s="344" t="s">
        <v>1053</v>
      </c>
    </row>
    <row r="1676" spans="1:8">
      <c r="A1676" s="1"/>
      <c r="B1676" s="1"/>
      <c r="C1676" s="1"/>
      <c r="D1676" s="1"/>
      <c r="E1676" s="357">
        <v>44418</v>
      </c>
      <c r="F1676" s="344" t="s">
        <v>631</v>
      </c>
      <c r="G1676" s="358">
        <v>8.6204999999999998</v>
      </c>
      <c r="H1676" s="344" t="s">
        <v>1053</v>
      </c>
    </row>
    <row r="1677" spans="1:8">
      <c r="A1677" s="1"/>
      <c r="B1677" s="1"/>
      <c r="C1677" s="1"/>
      <c r="D1677" s="1"/>
      <c r="E1677" s="357">
        <v>44419</v>
      </c>
      <c r="F1677" s="344" t="s">
        <v>621</v>
      </c>
      <c r="G1677" s="358">
        <v>9.3163999999999998</v>
      </c>
      <c r="H1677" s="344" t="s">
        <v>1054</v>
      </c>
    </row>
    <row r="1678" spans="1:8">
      <c r="A1678" s="1"/>
      <c r="B1678" s="1"/>
      <c r="C1678" s="1"/>
      <c r="D1678" s="1"/>
      <c r="E1678" s="357">
        <v>44419</v>
      </c>
      <c r="F1678" s="344" t="s">
        <v>625</v>
      </c>
      <c r="G1678" s="358">
        <v>10.1014</v>
      </c>
      <c r="H1678" s="344" t="s">
        <v>1054</v>
      </c>
    </row>
    <row r="1679" spans="1:8">
      <c r="A1679" s="1"/>
      <c r="B1679" s="1"/>
      <c r="C1679" s="1"/>
      <c r="D1679" s="1"/>
      <c r="E1679" s="357">
        <v>44419</v>
      </c>
      <c r="F1679" s="344" t="s">
        <v>628</v>
      </c>
      <c r="G1679" s="358">
        <v>11.8977</v>
      </c>
      <c r="H1679" s="344" t="s">
        <v>1054</v>
      </c>
    </row>
    <row r="1680" spans="1:8">
      <c r="A1680" s="1"/>
      <c r="B1680" s="1"/>
      <c r="C1680" s="1"/>
      <c r="D1680" s="1"/>
      <c r="E1680" s="357">
        <v>44419</v>
      </c>
      <c r="F1680" s="344" t="s">
        <v>631</v>
      </c>
      <c r="G1680" s="358">
        <v>8.6243999999999996</v>
      </c>
      <c r="H1680" s="344" t="s">
        <v>1054</v>
      </c>
    </row>
    <row r="1681" spans="1:8">
      <c r="A1681" s="1"/>
      <c r="B1681" s="1"/>
      <c r="C1681" s="1"/>
      <c r="D1681" s="1"/>
      <c r="E1681" s="357">
        <v>44420</v>
      </c>
      <c r="F1681" s="344" t="s">
        <v>621</v>
      </c>
      <c r="G1681" s="358">
        <v>9.2768999999999995</v>
      </c>
      <c r="H1681" s="344" t="s">
        <v>1055</v>
      </c>
    </row>
    <row r="1682" spans="1:8">
      <c r="A1682" s="1"/>
      <c r="B1682" s="1"/>
      <c r="C1682" s="1"/>
      <c r="D1682" s="1"/>
      <c r="E1682" s="357">
        <v>44420</v>
      </c>
      <c r="F1682" s="344" t="s">
        <v>625</v>
      </c>
      <c r="G1682" s="358">
        <v>10.064</v>
      </c>
      <c r="H1682" s="344" t="s">
        <v>1055</v>
      </c>
    </row>
    <row r="1683" spans="1:8">
      <c r="A1683" s="1"/>
      <c r="B1683" s="1"/>
      <c r="C1683" s="1"/>
      <c r="D1683" s="1"/>
      <c r="E1683" s="357">
        <v>44420</v>
      </c>
      <c r="F1683" s="344" t="s">
        <v>628</v>
      </c>
      <c r="G1683" s="358">
        <v>11.8612</v>
      </c>
      <c r="H1683" s="344" t="s">
        <v>1055</v>
      </c>
    </row>
    <row r="1684" spans="1:8">
      <c r="A1684" s="1"/>
      <c r="B1684" s="1"/>
      <c r="C1684" s="1"/>
      <c r="D1684" s="1"/>
      <c r="E1684" s="357">
        <v>44420</v>
      </c>
      <c r="F1684" s="344" t="s">
        <v>631</v>
      </c>
      <c r="G1684" s="358">
        <v>8.5723000000000003</v>
      </c>
      <c r="H1684" s="344" t="s">
        <v>1055</v>
      </c>
    </row>
    <row r="1685" spans="1:8">
      <c r="A1685" s="1"/>
      <c r="B1685" s="1"/>
      <c r="C1685" s="1"/>
      <c r="D1685" s="1"/>
      <c r="E1685" s="357">
        <v>44421</v>
      </c>
      <c r="F1685" s="344" t="s">
        <v>621</v>
      </c>
      <c r="G1685" s="358">
        <v>9.2331000000000003</v>
      </c>
      <c r="H1685" s="344" t="s">
        <v>1056</v>
      </c>
    </row>
    <row r="1686" spans="1:8">
      <c r="A1686" s="1"/>
      <c r="B1686" s="1"/>
      <c r="C1686" s="1"/>
      <c r="D1686" s="1"/>
      <c r="E1686" s="357">
        <v>44421</v>
      </c>
      <c r="F1686" s="344" t="s">
        <v>625</v>
      </c>
      <c r="G1686" s="358">
        <v>10.0251</v>
      </c>
      <c r="H1686" s="344" t="s">
        <v>1056</v>
      </c>
    </row>
    <row r="1687" spans="1:8">
      <c r="A1687" s="1"/>
      <c r="B1687" s="1"/>
      <c r="C1687" s="1"/>
      <c r="D1687" s="1"/>
      <c r="E1687" s="357">
        <v>44421</v>
      </c>
      <c r="F1687" s="344" t="s">
        <v>628</v>
      </c>
      <c r="G1687" s="358">
        <v>11.7644</v>
      </c>
      <c r="H1687" s="344" t="s">
        <v>1056</v>
      </c>
    </row>
    <row r="1688" spans="1:8">
      <c r="A1688" s="1"/>
      <c r="B1688" s="1"/>
      <c r="C1688" s="1"/>
      <c r="D1688" s="1"/>
      <c r="E1688" s="357">
        <v>44421</v>
      </c>
      <c r="F1688" s="344" t="s">
        <v>631</v>
      </c>
      <c r="G1688" s="358">
        <v>8.5358999999999998</v>
      </c>
      <c r="H1688" s="344" t="s">
        <v>1056</v>
      </c>
    </row>
    <row r="1689" spans="1:8">
      <c r="A1689" s="1"/>
      <c r="B1689" s="1"/>
      <c r="C1689" s="1"/>
      <c r="D1689" s="1"/>
      <c r="E1689" s="357">
        <v>44424</v>
      </c>
      <c r="F1689" s="344" t="s">
        <v>621</v>
      </c>
      <c r="G1689" s="358">
        <v>9.2396999999999991</v>
      </c>
      <c r="H1689" s="344" t="s">
        <v>1057</v>
      </c>
    </row>
    <row r="1690" spans="1:8">
      <c r="A1690" s="1"/>
      <c r="B1690" s="1"/>
      <c r="C1690" s="1"/>
      <c r="D1690" s="1"/>
      <c r="E1690" s="357">
        <v>44424</v>
      </c>
      <c r="F1690" s="344" t="s">
        <v>625</v>
      </c>
      <c r="G1690" s="358">
        <v>9.9762000000000004</v>
      </c>
      <c r="H1690" s="344" t="s">
        <v>1057</v>
      </c>
    </row>
    <row r="1691" spans="1:8">
      <c r="A1691" s="1"/>
      <c r="B1691" s="1"/>
      <c r="C1691" s="1"/>
      <c r="D1691" s="1"/>
      <c r="E1691" s="357">
        <v>44424</v>
      </c>
      <c r="F1691" s="344" t="s">
        <v>628</v>
      </c>
      <c r="G1691" s="358">
        <v>11.714600000000001</v>
      </c>
      <c r="H1691" s="344" t="s">
        <v>1057</v>
      </c>
    </row>
    <row r="1692" spans="1:8">
      <c r="A1692" s="1"/>
      <c r="B1692" s="1"/>
      <c r="C1692" s="1"/>
      <c r="D1692" s="1"/>
      <c r="E1692" s="357">
        <v>44424</v>
      </c>
      <c r="F1692" s="344" t="s">
        <v>631</v>
      </c>
      <c r="G1692" s="358">
        <v>8.4680999999999997</v>
      </c>
      <c r="H1692" s="344" t="s">
        <v>1057</v>
      </c>
    </row>
    <row r="1693" spans="1:8">
      <c r="A1693" s="1"/>
      <c r="B1693" s="1"/>
      <c r="C1693" s="1"/>
      <c r="D1693" s="1"/>
      <c r="E1693" s="357">
        <v>44425</v>
      </c>
      <c r="F1693" s="344" t="s">
        <v>621</v>
      </c>
      <c r="G1693" s="358">
        <v>9.2125000000000004</v>
      </c>
      <c r="H1693" s="344" t="s">
        <v>1058</v>
      </c>
    </row>
    <row r="1694" spans="1:8">
      <c r="A1694" s="1"/>
      <c r="B1694" s="1"/>
      <c r="C1694" s="1"/>
      <c r="D1694" s="1"/>
      <c r="E1694" s="357">
        <v>44425</v>
      </c>
      <c r="F1694" s="344" t="s">
        <v>625</v>
      </c>
      <c r="G1694" s="358">
        <v>9.9022000000000006</v>
      </c>
      <c r="H1694" s="344" t="s">
        <v>1058</v>
      </c>
    </row>
    <row r="1695" spans="1:8">
      <c r="A1695" s="1"/>
      <c r="B1695" s="1"/>
      <c r="C1695" s="1"/>
      <c r="D1695" s="1"/>
      <c r="E1695" s="357">
        <v>44425</v>
      </c>
      <c r="F1695" s="344" t="s">
        <v>628</v>
      </c>
      <c r="G1695" s="358">
        <v>11.5906</v>
      </c>
      <c r="H1695" s="344" t="s">
        <v>1058</v>
      </c>
    </row>
    <row r="1696" spans="1:8">
      <c r="A1696" s="1"/>
      <c r="B1696" s="1"/>
      <c r="C1696" s="1"/>
      <c r="D1696" s="1"/>
      <c r="E1696" s="357">
        <v>44425</v>
      </c>
      <c r="F1696" s="344" t="s">
        <v>631</v>
      </c>
      <c r="G1696" s="358">
        <v>8.4140999999999995</v>
      </c>
      <c r="H1696" s="344" t="s">
        <v>1058</v>
      </c>
    </row>
    <row r="1697" spans="1:8">
      <c r="A1697" s="1"/>
      <c r="B1697" s="1"/>
      <c r="C1697" s="1"/>
      <c r="D1697" s="1"/>
      <c r="E1697" s="357">
        <v>44426</v>
      </c>
      <c r="F1697" s="344" t="s">
        <v>621</v>
      </c>
      <c r="G1697" s="358">
        <v>9.2363999999999997</v>
      </c>
      <c r="H1697" s="344" t="s">
        <v>1059</v>
      </c>
    </row>
    <row r="1698" spans="1:8">
      <c r="A1698" s="1"/>
      <c r="B1698" s="1"/>
      <c r="C1698" s="1"/>
      <c r="D1698" s="1"/>
      <c r="E1698" s="357">
        <v>44426</v>
      </c>
      <c r="F1698" s="344" t="s">
        <v>625</v>
      </c>
      <c r="G1698" s="358">
        <v>9.9174000000000007</v>
      </c>
      <c r="H1698" s="344" t="s">
        <v>1059</v>
      </c>
    </row>
    <row r="1699" spans="1:8">
      <c r="A1699" s="1"/>
      <c r="B1699" s="1"/>
      <c r="C1699" s="1"/>
      <c r="D1699" s="1"/>
      <c r="E1699" s="357">
        <v>44426</v>
      </c>
      <c r="F1699" s="344" t="s">
        <v>628</v>
      </c>
      <c r="G1699" s="358">
        <v>11.6189</v>
      </c>
      <c r="H1699" s="344" t="s">
        <v>1059</v>
      </c>
    </row>
    <row r="1700" spans="1:8">
      <c r="A1700" s="1"/>
      <c r="B1700" s="1"/>
      <c r="C1700" s="1"/>
      <c r="D1700" s="1"/>
      <c r="E1700" s="357">
        <v>44426</v>
      </c>
      <c r="F1700" s="344" t="s">
        <v>631</v>
      </c>
      <c r="G1700" s="358">
        <v>8.4632000000000005</v>
      </c>
      <c r="H1700" s="344" t="s">
        <v>1059</v>
      </c>
    </row>
    <row r="1701" spans="1:8">
      <c r="A1701" s="1"/>
      <c r="B1701" s="1"/>
      <c r="C1701" s="1"/>
      <c r="D1701" s="1"/>
      <c r="E1701" s="357">
        <v>44427</v>
      </c>
      <c r="F1701" s="344" t="s">
        <v>621</v>
      </c>
      <c r="G1701" s="358">
        <v>9.2629999999999999</v>
      </c>
      <c r="H1701" s="344" t="s">
        <v>1060</v>
      </c>
    </row>
    <row r="1702" spans="1:8">
      <c r="A1702" s="1"/>
      <c r="B1702" s="1"/>
      <c r="C1702" s="1"/>
      <c r="D1702" s="1"/>
      <c r="E1702" s="357">
        <v>44427</v>
      </c>
      <c r="F1702" s="344" t="s">
        <v>625</v>
      </c>
      <c r="G1702" s="358">
        <v>9.9490999999999996</v>
      </c>
      <c r="H1702" s="344" t="s">
        <v>1060</v>
      </c>
    </row>
    <row r="1703" spans="1:8">
      <c r="A1703" s="1"/>
      <c r="B1703" s="1"/>
      <c r="C1703" s="1"/>
      <c r="D1703" s="1"/>
      <c r="E1703" s="357">
        <v>44427</v>
      </c>
      <c r="F1703" s="344" t="s">
        <v>628</v>
      </c>
      <c r="G1703" s="358">
        <v>11.632400000000001</v>
      </c>
      <c r="H1703" s="344" t="s">
        <v>1060</v>
      </c>
    </row>
    <row r="1704" spans="1:8">
      <c r="A1704" s="1"/>
      <c r="B1704" s="1"/>
      <c r="C1704" s="1"/>
      <c r="D1704" s="1"/>
      <c r="E1704" s="357">
        <v>44427</v>
      </c>
      <c r="F1704" s="344" t="s">
        <v>631</v>
      </c>
      <c r="G1704" s="358">
        <v>8.5111000000000008</v>
      </c>
      <c r="H1704" s="344" t="s">
        <v>1060</v>
      </c>
    </row>
    <row r="1705" spans="1:8">
      <c r="A1705" s="1"/>
      <c r="B1705" s="1"/>
      <c r="C1705" s="1"/>
      <c r="D1705" s="1"/>
      <c r="E1705" s="357">
        <v>44428</v>
      </c>
      <c r="F1705" s="344" t="s">
        <v>621</v>
      </c>
      <c r="G1705" s="358">
        <v>9.2741000000000007</v>
      </c>
      <c r="H1705" s="344" t="s">
        <v>1061</v>
      </c>
    </row>
    <row r="1706" spans="1:8">
      <c r="A1706" s="1"/>
      <c r="B1706" s="1"/>
      <c r="C1706" s="1"/>
      <c r="D1706" s="1"/>
      <c r="E1706" s="357">
        <v>44428</v>
      </c>
      <c r="F1706" s="344" t="s">
        <v>625</v>
      </c>
      <c r="G1706" s="358">
        <v>9.9550999999999998</v>
      </c>
      <c r="H1706" s="344" t="s">
        <v>1061</v>
      </c>
    </row>
    <row r="1707" spans="1:8">
      <c r="A1707" s="1"/>
      <c r="B1707" s="1"/>
      <c r="C1707" s="1"/>
      <c r="D1707" s="1"/>
      <c r="E1707" s="357">
        <v>44428</v>
      </c>
      <c r="F1707" s="344" t="s">
        <v>628</v>
      </c>
      <c r="G1707" s="358">
        <v>11.590299999999999</v>
      </c>
      <c r="H1707" s="344" t="s">
        <v>1061</v>
      </c>
    </row>
    <row r="1708" spans="1:8">
      <c r="A1708" s="1"/>
      <c r="B1708" s="1"/>
      <c r="C1708" s="1"/>
      <c r="D1708" s="1"/>
      <c r="E1708" s="357">
        <v>44428</v>
      </c>
      <c r="F1708" s="344" t="s">
        <v>631</v>
      </c>
      <c r="G1708" s="358">
        <v>8.5253999999999994</v>
      </c>
      <c r="H1708" s="344" t="s">
        <v>1061</v>
      </c>
    </row>
    <row r="1709" spans="1:8">
      <c r="A1709" s="1"/>
      <c r="B1709" s="1"/>
      <c r="C1709" s="1"/>
      <c r="D1709" s="1"/>
      <c r="E1709" s="357">
        <v>44431</v>
      </c>
      <c r="F1709" s="344" t="s">
        <v>621</v>
      </c>
      <c r="G1709" s="358">
        <v>9.2125000000000004</v>
      </c>
      <c r="H1709" s="344" t="s">
        <v>1062</v>
      </c>
    </row>
    <row r="1710" spans="1:8">
      <c r="A1710" s="1"/>
      <c r="B1710" s="1"/>
      <c r="C1710" s="1"/>
      <c r="D1710" s="1"/>
      <c r="E1710" s="357">
        <v>44431</v>
      </c>
      <c r="F1710" s="344" t="s">
        <v>625</v>
      </c>
      <c r="G1710" s="358">
        <v>9.9144000000000005</v>
      </c>
      <c r="H1710" s="344" t="s">
        <v>1062</v>
      </c>
    </row>
    <row r="1711" spans="1:8">
      <c r="A1711" s="1"/>
      <c r="B1711" s="1"/>
      <c r="C1711" s="1"/>
      <c r="D1711" s="1"/>
      <c r="E1711" s="357">
        <v>44431</v>
      </c>
      <c r="F1711" s="344" t="s">
        <v>628</v>
      </c>
      <c r="G1711" s="358">
        <v>11.536099999999999</v>
      </c>
      <c r="H1711" s="344" t="s">
        <v>1062</v>
      </c>
    </row>
    <row r="1712" spans="1:8">
      <c r="A1712" s="1"/>
      <c r="B1712" s="1"/>
      <c r="C1712" s="1"/>
      <c r="D1712" s="1"/>
      <c r="E1712" s="357">
        <v>44431</v>
      </c>
      <c r="F1712" s="344" t="s">
        <v>631</v>
      </c>
      <c r="G1712" s="358">
        <v>8.4572000000000003</v>
      </c>
      <c r="H1712" s="344" t="s">
        <v>1062</v>
      </c>
    </row>
    <row r="1713" spans="1:8">
      <c r="A1713" s="1"/>
      <c r="B1713" s="1"/>
      <c r="C1713" s="1"/>
      <c r="D1713" s="1"/>
      <c r="E1713" s="357">
        <v>44432</v>
      </c>
      <c r="F1713" s="344" t="s">
        <v>621</v>
      </c>
      <c r="G1713" s="358">
        <v>9.1937999999999995</v>
      </c>
      <c r="H1713" s="344" t="s">
        <v>1063</v>
      </c>
    </row>
    <row r="1714" spans="1:8">
      <c r="A1714" s="1"/>
      <c r="B1714" s="1"/>
      <c r="C1714" s="1"/>
      <c r="D1714" s="1"/>
      <c r="E1714" s="357">
        <v>44432</v>
      </c>
      <c r="F1714" s="344" t="s">
        <v>625</v>
      </c>
      <c r="G1714" s="358">
        <v>9.8727999999999998</v>
      </c>
      <c r="H1714" s="344" t="s">
        <v>1063</v>
      </c>
    </row>
    <row r="1715" spans="1:8">
      <c r="A1715" s="1"/>
      <c r="B1715" s="1"/>
      <c r="C1715" s="1"/>
      <c r="D1715" s="1"/>
      <c r="E1715" s="357">
        <v>44432</v>
      </c>
      <c r="F1715" s="344" t="s">
        <v>628</v>
      </c>
      <c r="G1715" s="358">
        <v>11.5221</v>
      </c>
      <c r="H1715" s="344" t="s">
        <v>1063</v>
      </c>
    </row>
    <row r="1716" spans="1:8">
      <c r="A1716" s="1"/>
      <c r="B1716" s="1"/>
      <c r="C1716" s="1"/>
      <c r="D1716" s="1"/>
      <c r="E1716" s="357">
        <v>44432</v>
      </c>
      <c r="F1716" s="344" t="s">
        <v>631</v>
      </c>
      <c r="G1716" s="358">
        <v>8.4131999999999998</v>
      </c>
      <c r="H1716" s="344" t="s">
        <v>1063</v>
      </c>
    </row>
    <row r="1717" spans="1:8">
      <c r="A1717" s="1"/>
      <c r="B1717" s="1"/>
      <c r="C1717" s="1"/>
      <c r="D1717" s="1"/>
      <c r="E1717" s="357">
        <v>44433</v>
      </c>
      <c r="F1717" s="344" t="s">
        <v>621</v>
      </c>
      <c r="G1717" s="358">
        <v>9.1478999999999999</v>
      </c>
      <c r="H1717" s="344" t="s">
        <v>1064</v>
      </c>
    </row>
    <row r="1718" spans="1:8">
      <c r="A1718" s="1"/>
      <c r="B1718" s="1"/>
      <c r="C1718" s="1"/>
      <c r="D1718" s="1"/>
      <c r="E1718" s="357">
        <v>44433</v>
      </c>
      <c r="F1718" s="344" t="s">
        <v>625</v>
      </c>
      <c r="G1718" s="358">
        <v>9.8404000000000007</v>
      </c>
      <c r="H1718" s="344" t="s">
        <v>1064</v>
      </c>
    </row>
    <row r="1719" spans="1:8">
      <c r="A1719" s="1"/>
      <c r="B1719" s="1"/>
      <c r="C1719" s="1"/>
      <c r="D1719" s="1"/>
      <c r="E1719" s="357">
        <v>44433</v>
      </c>
      <c r="F1719" s="344" t="s">
        <v>628</v>
      </c>
      <c r="G1719" s="358">
        <v>11.477399999999999</v>
      </c>
      <c r="H1719" s="344" t="s">
        <v>1064</v>
      </c>
    </row>
    <row r="1720" spans="1:8">
      <c r="A1720" s="1"/>
      <c r="B1720" s="1"/>
      <c r="C1720" s="1"/>
      <c r="D1720" s="1"/>
      <c r="E1720" s="357">
        <v>44433</v>
      </c>
      <c r="F1720" s="344" t="s">
        <v>631</v>
      </c>
      <c r="G1720" s="358">
        <v>8.3796999999999997</v>
      </c>
      <c r="H1720" s="344" t="s">
        <v>1064</v>
      </c>
    </row>
    <row r="1721" spans="1:8">
      <c r="A1721" s="1"/>
      <c r="B1721" s="1"/>
      <c r="C1721" s="1"/>
      <c r="D1721" s="1"/>
      <c r="E1721" s="357">
        <v>44434</v>
      </c>
      <c r="F1721" s="344" t="s">
        <v>621</v>
      </c>
      <c r="G1721" s="358">
        <v>9.0995000000000008</v>
      </c>
      <c r="H1721" s="344" t="s">
        <v>1065</v>
      </c>
    </row>
    <row r="1722" spans="1:8">
      <c r="A1722" s="1"/>
      <c r="B1722" s="1"/>
      <c r="C1722" s="1"/>
      <c r="D1722" s="1"/>
      <c r="E1722" s="357">
        <v>44434</v>
      </c>
      <c r="F1722" s="344" t="s">
        <v>625</v>
      </c>
      <c r="G1722" s="358">
        <v>9.8352000000000004</v>
      </c>
      <c r="H1722" s="344" t="s">
        <v>1065</v>
      </c>
    </row>
    <row r="1723" spans="1:8">
      <c r="A1723" s="1"/>
      <c r="B1723" s="1"/>
      <c r="C1723" s="1"/>
      <c r="D1723" s="1"/>
      <c r="E1723" s="357">
        <v>44434</v>
      </c>
      <c r="F1723" s="344" t="s">
        <v>628</v>
      </c>
      <c r="G1723" s="358">
        <v>11.464700000000001</v>
      </c>
      <c r="H1723" s="344" t="s">
        <v>1065</v>
      </c>
    </row>
    <row r="1724" spans="1:8">
      <c r="A1724" s="1"/>
      <c r="B1724" s="1"/>
      <c r="C1724" s="1"/>
      <c r="D1724" s="1"/>
      <c r="E1724" s="357">
        <v>44434</v>
      </c>
      <c r="F1724" s="344" t="s">
        <v>631</v>
      </c>
      <c r="G1724" s="358">
        <v>8.3577999999999992</v>
      </c>
      <c r="H1724" s="344" t="s">
        <v>1065</v>
      </c>
    </row>
    <row r="1725" spans="1:8">
      <c r="A1725" s="1"/>
      <c r="B1725" s="1"/>
      <c r="C1725" s="1"/>
      <c r="D1725" s="1"/>
      <c r="E1725" s="357">
        <v>44435</v>
      </c>
      <c r="F1725" s="344" t="s">
        <v>621</v>
      </c>
      <c r="G1725" s="358">
        <v>9.1081000000000003</v>
      </c>
      <c r="H1725" s="344" t="s">
        <v>1066</v>
      </c>
    </row>
    <row r="1726" spans="1:8">
      <c r="A1726" s="1"/>
      <c r="B1726" s="1"/>
      <c r="C1726" s="1"/>
      <c r="D1726" s="1"/>
      <c r="E1726" s="357">
        <v>44435</v>
      </c>
      <c r="F1726" s="344" t="s">
        <v>625</v>
      </c>
      <c r="G1726" s="358">
        <v>9.8493999999999993</v>
      </c>
      <c r="H1726" s="344" t="s">
        <v>1066</v>
      </c>
    </row>
    <row r="1727" spans="1:8">
      <c r="A1727" s="1"/>
      <c r="B1727" s="1"/>
      <c r="C1727" s="1"/>
      <c r="D1727" s="1"/>
      <c r="E1727" s="357">
        <v>44435</v>
      </c>
      <c r="F1727" s="344" t="s">
        <v>628</v>
      </c>
      <c r="G1727" s="358">
        <v>11.463100000000001</v>
      </c>
      <c r="H1727" s="344" t="s">
        <v>1066</v>
      </c>
    </row>
    <row r="1728" spans="1:8">
      <c r="A1728" s="1"/>
      <c r="B1728" s="1"/>
      <c r="C1728" s="1"/>
      <c r="D1728" s="1"/>
      <c r="E1728" s="357">
        <v>44435</v>
      </c>
      <c r="F1728" s="344" t="s">
        <v>631</v>
      </c>
      <c r="G1728" s="358">
        <v>8.3752999999999993</v>
      </c>
      <c r="H1728" s="344" t="s">
        <v>1066</v>
      </c>
    </row>
    <row r="1729" spans="1:8">
      <c r="A1729" s="1"/>
      <c r="B1729" s="1"/>
      <c r="C1729" s="1"/>
      <c r="D1729" s="1"/>
      <c r="E1729" s="357">
        <v>44439</v>
      </c>
      <c r="F1729" s="344" t="s">
        <v>621</v>
      </c>
      <c r="G1729" s="358">
        <v>9.0617000000000001</v>
      </c>
      <c r="H1729" s="344" t="s">
        <v>1067</v>
      </c>
    </row>
    <row r="1730" spans="1:8">
      <c r="A1730" s="1"/>
      <c r="B1730" s="1"/>
      <c r="C1730" s="1"/>
      <c r="D1730" s="1"/>
      <c r="E1730" s="357">
        <v>44439</v>
      </c>
      <c r="F1730" s="344" t="s">
        <v>625</v>
      </c>
      <c r="G1730" s="358">
        <v>9.8228000000000009</v>
      </c>
      <c r="H1730" s="344" t="s">
        <v>1067</v>
      </c>
    </row>
    <row r="1731" spans="1:8">
      <c r="A1731" s="1"/>
      <c r="B1731" s="1"/>
      <c r="C1731" s="1"/>
      <c r="D1731" s="1"/>
      <c r="E1731" s="357">
        <v>44439</v>
      </c>
      <c r="F1731" s="344" t="s">
        <v>628</v>
      </c>
      <c r="G1731" s="358">
        <v>11.422499999999999</v>
      </c>
      <c r="H1731" s="344" t="s">
        <v>1067</v>
      </c>
    </row>
    <row r="1732" spans="1:8">
      <c r="A1732" s="1"/>
      <c r="B1732" s="1"/>
      <c r="C1732" s="1"/>
      <c r="D1732" s="1"/>
      <c r="E1732" s="357">
        <v>44439</v>
      </c>
      <c r="F1732" s="344" t="s">
        <v>631</v>
      </c>
      <c r="G1732" s="358">
        <v>8.3042999999999996</v>
      </c>
      <c r="H1732" s="344" t="s">
        <v>1067</v>
      </c>
    </row>
    <row r="1733" spans="1:8">
      <c r="A1733" s="1"/>
      <c r="B1733" s="1"/>
      <c r="C1733" s="1"/>
      <c r="D1733" s="1"/>
      <c r="E1733" s="357">
        <v>44440</v>
      </c>
      <c r="F1733" s="344" t="s">
        <v>621</v>
      </c>
      <c r="G1733" s="358">
        <v>9.0131999999999994</v>
      </c>
      <c r="H1733" s="344" t="s">
        <v>1068</v>
      </c>
    </row>
    <row r="1734" spans="1:8">
      <c r="A1734" s="1"/>
      <c r="B1734" s="1"/>
      <c r="C1734" s="1"/>
      <c r="D1734" s="1"/>
      <c r="E1734" s="357">
        <v>44440</v>
      </c>
      <c r="F1734" s="344" t="s">
        <v>625</v>
      </c>
      <c r="G1734" s="358">
        <v>9.7910000000000004</v>
      </c>
      <c r="H1734" s="344" t="s">
        <v>1068</v>
      </c>
    </row>
    <row r="1735" spans="1:8">
      <c r="A1735" s="1"/>
      <c r="B1735" s="1"/>
      <c r="C1735" s="1"/>
      <c r="D1735" s="1"/>
      <c r="E1735" s="357">
        <v>44440</v>
      </c>
      <c r="F1735" s="344" t="s">
        <v>628</v>
      </c>
      <c r="G1735" s="358">
        <v>11.3819</v>
      </c>
      <c r="H1735" s="344" t="s">
        <v>1068</v>
      </c>
    </row>
    <row r="1736" spans="1:8">
      <c r="A1736" s="1"/>
      <c r="B1736" s="1"/>
      <c r="C1736" s="1"/>
      <c r="D1736" s="1"/>
      <c r="E1736" s="357">
        <v>44440</v>
      </c>
      <c r="F1736" s="344" t="s">
        <v>631</v>
      </c>
      <c r="G1736" s="358">
        <v>8.2875999999999994</v>
      </c>
      <c r="H1736" s="344" t="s">
        <v>1068</v>
      </c>
    </row>
    <row r="1737" spans="1:8">
      <c r="A1737" s="1"/>
      <c r="B1737" s="1"/>
      <c r="C1737" s="1"/>
      <c r="D1737" s="1"/>
      <c r="E1737" s="357">
        <v>44441</v>
      </c>
      <c r="F1737" s="344" t="s">
        <v>621</v>
      </c>
      <c r="G1737" s="358">
        <v>9.0062999999999995</v>
      </c>
      <c r="H1737" s="344" t="s">
        <v>1069</v>
      </c>
    </row>
    <row r="1738" spans="1:8">
      <c r="A1738" s="1"/>
      <c r="B1738" s="1"/>
      <c r="C1738" s="1"/>
      <c r="D1738" s="1"/>
      <c r="E1738" s="357">
        <v>44441</v>
      </c>
      <c r="F1738" s="344" t="s">
        <v>625</v>
      </c>
      <c r="G1738" s="358">
        <v>9.7911000000000001</v>
      </c>
      <c r="H1738" s="344" t="s">
        <v>1069</v>
      </c>
    </row>
    <row r="1739" spans="1:8">
      <c r="A1739" s="1"/>
      <c r="B1739" s="1"/>
      <c r="C1739" s="1"/>
      <c r="D1739" s="1"/>
      <c r="E1739" s="357">
        <v>44441</v>
      </c>
      <c r="F1739" s="344" t="s">
        <v>628</v>
      </c>
      <c r="G1739" s="358">
        <v>11.3749</v>
      </c>
      <c r="H1739" s="344" t="s">
        <v>1069</v>
      </c>
    </row>
    <row r="1740" spans="1:8">
      <c r="A1740" s="1"/>
      <c r="B1740" s="1"/>
      <c r="C1740" s="1"/>
      <c r="D1740" s="1"/>
      <c r="E1740" s="357">
        <v>44441</v>
      </c>
      <c r="F1740" s="344" t="s">
        <v>631</v>
      </c>
      <c r="G1740" s="358">
        <v>8.2632999999999992</v>
      </c>
      <c r="H1740" s="344" t="s">
        <v>1069</v>
      </c>
    </row>
    <row r="1741" spans="1:8">
      <c r="A1741" s="1"/>
      <c r="B1741" s="1"/>
      <c r="C1741" s="1"/>
      <c r="D1741" s="1"/>
      <c r="E1741" s="357">
        <v>44442</v>
      </c>
      <c r="F1741" s="344" t="s">
        <v>621</v>
      </c>
      <c r="G1741" s="358">
        <v>9.0495999999999999</v>
      </c>
      <c r="H1741" s="344" t="s">
        <v>1070</v>
      </c>
    </row>
    <row r="1742" spans="1:8">
      <c r="A1742" s="1"/>
      <c r="B1742" s="1"/>
      <c r="C1742" s="1"/>
      <c r="D1742" s="1"/>
      <c r="E1742" s="357">
        <v>44442</v>
      </c>
      <c r="F1742" s="344" t="s">
        <v>625</v>
      </c>
      <c r="G1742" s="358">
        <v>9.8491999999999997</v>
      </c>
      <c r="H1742" s="344" t="s">
        <v>1070</v>
      </c>
    </row>
    <row r="1743" spans="1:8">
      <c r="A1743" s="1"/>
      <c r="B1743" s="1"/>
      <c r="C1743" s="1"/>
      <c r="D1743" s="1"/>
      <c r="E1743" s="357">
        <v>44442</v>
      </c>
      <c r="F1743" s="344" t="s">
        <v>628</v>
      </c>
      <c r="G1743" s="358">
        <v>11.452</v>
      </c>
      <c r="H1743" s="344" t="s">
        <v>1070</v>
      </c>
    </row>
    <row r="1744" spans="1:8">
      <c r="A1744" s="1"/>
      <c r="B1744" s="1"/>
      <c r="C1744" s="1"/>
      <c r="D1744" s="1"/>
      <c r="E1744" s="357">
        <v>44442</v>
      </c>
      <c r="F1744" s="344" t="s">
        <v>631</v>
      </c>
      <c r="G1744" s="358">
        <v>8.2949999999999999</v>
      </c>
      <c r="H1744" s="344" t="s">
        <v>1070</v>
      </c>
    </row>
    <row r="1745" spans="1:8">
      <c r="A1745" s="1"/>
      <c r="B1745" s="1"/>
      <c r="C1745" s="1"/>
      <c r="D1745" s="1"/>
      <c r="E1745" s="357">
        <v>44445</v>
      </c>
      <c r="F1745" s="344" t="s">
        <v>621</v>
      </c>
      <c r="G1745" s="358">
        <v>9.0165000000000006</v>
      </c>
      <c r="H1745" s="344" t="s">
        <v>1071</v>
      </c>
    </row>
    <row r="1746" spans="1:8">
      <c r="A1746" s="1"/>
      <c r="B1746" s="1"/>
      <c r="C1746" s="1"/>
      <c r="D1746" s="1"/>
      <c r="E1746" s="357">
        <v>44445</v>
      </c>
      <c r="F1746" s="344" t="s">
        <v>625</v>
      </c>
      <c r="G1746" s="358">
        <v>9.8199000000000005</v>
      </c>
      <c r="H1746" s="344" t="s">
        <v>1071</v>
      </c>
    </row>
    <row r="1747" spans="1:8">
      <c r="A1747" s="1"/>
      <c r="B1747" s="1"/>
      <c r="C1747" s="1"/>
      <c r="D1747" s="1"/>
      <c r="E1747" s="357">
        <v>44445</v>
      </c>
      <c r="F1747" s="344" t="s">
        <v>628</v>
      </c>
      <c r="G1747" s="358">
        <v>11.4368</v>
      </c>
      <c r="H1747" s="344" t="s">
        <v>1071</v>
      </c>
    </row>
    <row r="1748" spans="1:8">
      <c r="A1748" s="1"/>
      <c r="B1748" s="1"/>
      <c r="C1748" s="1"/>
      <c r="D1748" s="1"/>
      <c r="E1748" s="357">
        <v>44445</v>
      </c>
      <c r="F1748" s="344" t="s">
        <v>631</v>
      </c>
      <c r="G1748" s="358">
        <v>8.2766999999999999</v>
      </c>
      <c r="H1748" s="344" t="s">
        <v>1071</v>
      </c>
    </row>
    <row r="1749" spans="1:8">
      <c r="A1749" s="1"/>
      <c r="B1749" s="1"/>
      <c r="C1749" s="1"/>
      <c r="D1749" s="1"/>
      <c r="E1749" s="357">
        <v>44446</v>
      </c>
      <c r="F1749" s="344" t="s">
        <v>621</v>
      </c>
      <c r="G1749" s="358">
        <v>9.0553000000000008</v>
      </c>
      <c r="H1749" s="344" t="s">
        <v>1072</v>
      </c>
    </row>
    <row r="1750" spans="1:8">
      <c r="A1750" s="1"/>
      <c r="B1750" s="1"/>
      <c r="C1750" s="1"/>
      <c r="D1750" s="1"/>
      <c r="E1750" s="357">
        <v>44446</v>
      </c>
      <c r="F1750" s="344" t="s">
        <v>625</v>
      </c>
      <c r="G1750" s="358">
        <v>9.8506</v>
      </c>
      <c r="H1750" s="344" t="s">
        <v>1072</v>
      </c>
    </row>
    <row r="1751" spans="1:8">
      <c r="A1751" s="1"/>
      <c r="B1751" s="1"/>
      <c r="C1751" s="1"/>
      <c r="D1751" s="1"/>
      <c r="E1751" s="357">
        <v>44446</v>
      </c>
      <c r="F1751" s="344" t="s">
        <v>628</v>
      </c>
      <c r="G1751" s="358">
        <v>11.440300000000001</v>
      </c>
      <c r="H1751" s="344" t="s">
        <v>1072</v>
      </c>
    </row>
    <row r="1752" spans="1:8">
      <c r="A1752" s="1"/>
      <c r="B1752" s="1"/>
      <c r="C1752" s="1"/>
      <c r="D1752" s="1"/>
      <c r="E1752" s="357">
        <v>44446</v>
      </c>
      <c r="F1752" s="344" t="s">
        <v>631</v>
      </c>
      <c r="G1752" s="358">
        <v>8.2980999999999998</v>
      </c>
      <c r="H1752" s="344" t="s">
        <v>1072</v>
      </c>
    </row>
    <row r="1753" spans="1:8">
      <c r="A1753" s="1"/>
      <c r="B1753" s="1"/>
      <c r="C1753" s="1"/>
      <c r="D1753" s="1"/>
      <c r="E1753" s="357">
        <v>44447</v>
      </c>
      <c r="F1753" s="344" t="s">
        <v>621</v>
      </c>
      <c r="G1753" s="358">
        <v>9.1120000000000001</v>
      </c>
      <c r="H1753" s="344" t="s">
        <v>1073</v>
      </c>
    </row>
    <row r="1754" spans="1:8">
      <c r="A1754" s="1"/>
      <c r="B1754" s="1"/>
      <c r="C1754" s="1"/>
      <c r="D1754" s="1"/>
      <c r="E1754" s="357">
        <v>44447</v>
      </c>
      <c r="F1754" s="344" t="s">
        <v>625</v>
      </c>
      <c r="G1754" s="358">
        <v>9.9393999999999991</v>
      </c>
      <c r="H1754" s="344" t="s">
        <v>1073</v>
      </c>
    </row>
    <row r="1755" spans="1:8">
      <c r="A1755" s="1"/>
      <c r="B1755" s="1"/>
      <c r="C1755" s="1"/>
      <c r="D1755" s="1"/>
      <c r="E1755" s="357">
        <v>44447</v>
      </c>
      <c r="F1755" s="344" t="s">
        <v>628</v>
      </c>
      <c r="G1755" s="358">
        <v>11.5501</v>
      </c>
      <c r="H1755" s="344" t="s">
        <v>1073</v>
      </c>
    </row>
    <row r="1756" spans="1:8">
      <c r="A1756" s="1"/>
      <c r="B1756" s="1"/>
      <c r="C1756" s="1"/>
      <c r="D1756" s="1"/>
      <c r="E1756" s="357">
        <v>44447</v>
      </c>
      <c r="F1756" s="344" t="s">
        <v>631</v>
      </c>
      <c r="G1756" s="358">
        <v>8.4062999999999999</v>
      </c>
      <c r="H1756" s="344" t="s">
        <v>1073</v>
      </c>
    </row>
    <row r="1757" spans="1:8">
      <c r="A1757" s="1"/>
      <c r="B1757" s="1"/>
      <c r="C1757" s="1"/>
      <c r="D1757" s="1"/>
      <c r="E1757" s="357">
        <v>44448</v>
      </c>
      <c r="F1757" s="344" t="s">
        <v>621</v>
      </c>
      <c r="G1757" s="358">
        <v>9.1881000000000004</v>
      </c>
      <c r="H1757" s="344" t="s">
        <v>1074</v>
      </c>
    </row>
    <row r="1758" spans="1:8">
      <c r="A1758" s="1"/>
      <c r="B1758" s="1"/>
      <c r="C1758" s="1"/>
      <c r="D1758" s="1"/>
      <c r="E1758" s="357">
        <v>44448</v>
      </c>
      <c r="F1758" s="344" t="s">
        <v>625</v>
      </c>
      <c r="G1758" s="358">
        <v>10.014200000000001</v>
      </c>
      <c r="H1758" s="344" t="s">
        <v>1074</v>
      </c>
    </row>
    <row r="1759" spans="1:8">
      <c r="A1759" s="1"/>
      <c r="B1759" s="1"/>
      <c r="C1759" s="1"/>
      <c r="D1759" s="1"/>
      <c r="E1759" s="357">
        <v>44448</v>
      </c>
      <c r="F1759" s="344" t="s">
        <v>628</v>
      </c>
      <c r="G1759" s="358">
        <v>11.6671</v>
      </c>
      <c r="H1759" s="344" t="s">
        <v>1074</v>
      </c>
    </row>
    <row r="1760" spans="1:8">
      <c r="A1760" s="1"/>
      <c r="B1760" s="1"/>
      <c r="C1760" s="1"/>
      <c r="D1760" s="1"/>
      <c r="E1760" s="357">
        <v>44448</v>
      </c>
      <c r="F1760" s="344" t="s">
        <v>631</v>
      </c>
      <c r="G1760" s="358">
        <v>8.4655000000000005</v>
      </c>
      <c r="H1760" s="344" t="s">
        <v>1074</v>
      </c>
    </row>
    <row r="1761" spans="1:8">
      <c r="A1761" s="1"/>
      <c r="B1761" s="1"/>
      <c r="C1761" s="1"/>
      <c r="D1761" s="1"/>
      <c r="E1761" s="357">
        <v>44449</v>
      </c>
      <c r="F1761" s="344" t="s">
        <v>621</v>
      </c>
      <c r="G1761" s="358">
        <v>9.1485000000000003</v>
      </c>
      <c r="H1761" s="344" t="s">
        <v>1075</v>
      </c>
    </row>
    <row r="1762" spans="1:8">
      <c r="A1762" s="1"/>
      <c r="B1762" s="1"/>
      <c r="C1762" s="1"/>
      <c r="D1762" s="1"/>
      <c r="E1762" s="357">
        <v>44449</v>
      </c>
      <c r="F1762" s="344" t="s">
        <v>625</v>
      </c>
      <c r="G1762" s="358">
        <v>9.9478000000000009</v>
      </c>
      <c r="H1762" s="344" t="s">
        <v>1075</v>
      </c>
    </row>
    <row r="1763" spans="1:8">
      <c r="A1763" s="1"/>
      <c r="B1763" s="1"/>
      <c r="C1763" s="1"/>
      <c r="D1763" s="1"/>
      <c r="E1763" s="357">
        <v>44449</v>
      </c>
      <c r="F1763" s="344" t="s">
        <v>628</v>
      </c>
      <c r="G1763" s="358">
        <v>11.64</v>
      </c>
      <c r="H1763" s="344" t="s">
        <v>1075</v>
      </c>
    </row>
    <row r="1764" spans="1:8">
      <c r="A1764" s="1"/>
      <c r="B1764" s="1"/>
      <c r="C1764" s="1"/>
      <c r="D1764" s="1"/>
      <c r="E1764" s="357">
        <v>44449</v>
      </c>
      <c r="F1764" s="344" t="s">
        <v>631</v>
      </c>
      <c r="G1764" s="358">
        <v>8.4044000000000008</v>
      </c>
      <c r="H1764" s="344" t="s">
        <v>1075</v>
      </c>
    </row>
    <row r="1765" spans="1:8">
      <c r="A1765" s="1"/>
      <c r="B1765" s="1"/>
      <c r="C1765" s="1"/>
      <c r="D1765" s="1"/>
      <c r="E1765" s="357">
        <v>44452</v>
      </c>
      <c r="F1765" s="344" t="s">
        <v>621</v>
      </c>
      <c r="G1765" s="358">
        <v>9.1386000000000003</v>
      </c>
      <c r="H1765" s="344" t="s">
        <v>1076</v>
      </c>
    </row>
    <row r="1766" spans="1:8">
      <c r="A1766" s="1"/>
      <c r="B1766" s="1"/>
      <c r="C1766" s="1"/>
      <c r="D1766" s="1"/>
      <c r="E1766" s="357">
        <v>44452</v>
      </c>
      <c r="F1766" s="344" t="s">
        <v>625</v>
      </c>
      <c r="G1766" s="358">
        <v>9.9496000000000002</v>
      </c>
      <c r="H1766" s="344" t="s">
        <v>1076</v>
      </c>
    </row>
    <row r="1767" spans="1:8">
      <c r="A1767" s="1"/>
      <c r="B1767" s="1"/>
      <c r="C1767" s="1"/>
      <c r="D1767" s="1"/>
      <c r="E1767" s="357">
        <v>44452</v>
      </c>
      <c r="F1767" s="344" t="s">
        <v>628</v>
      </c>
      <c r="G1767" s="358">
        <v>11.6493</v>
      </c>
      <c r="H1767" s="344" t="s">
        <v>1076</v>
      </c>
    </row>
    <row r="1768" spans="1:8">
      <c r="A1768" s="1"/>
      <c r="B1768" s="1"/>
      <c r="C1768" s="1"/>
      <c r="D1768" s="1"/>
      <c r="E1768" s="357">
        <v>44452</v>
      </c>
      <c r="F1768" s="344" t="s">
        <v>631</v>
      </c>
      <c r="G1768" s="358">
        <v>8.4441000000000006</v>
      </c>
      <c r="H1768" s="344" t="s">
        <v>1076</v>
      </c>
    </row>
    <row r="1769" spans="1:8">
      <c r="A1769" s="1"/>
      <c r="B1769" s="1"/>
      <c r="C1769" s="1"/>
      <c r="D1769" s="1"/>
      <c r="E1769" s="357">
        <v>44453</v>
      </c>
      <c r="F1769" s="344" t="s">
        <v>621</v>
      </c>
      <c r="G1769" s="358">
        <v>9.1266999999999996</v>
      </c>
      <c r="H1769" s="344" t="s">
        <v>1077</v>
      </c>
    </row>
    <row r="1770" spans="1:8">
      <c r="A1770" s="1"/>
      <c r="B1770" s="1"/>
      <c r="C1770" s="1"/>
      <c r="D1770" s="1"/>
      <c r="E1770" s="357">
        <v>44453</v>
      </c>
      <c r="F1770" s="344" t="s">
        <v>625</v>
      </c>
      <c r="G1770" s="358">
        <v>9.9614999999999991</v>
      </c>
      <c r="H1770" s="344" t="s">
        <v>1077</v>
      </c>
    </row>
    <row r="1771" spans="1:8">
      <c r="A1771" s="1"/>
      <c r="B1771" s="1"/>
      <c r="C1771" s="1"/>
      <c r="D1771" s="1"/>
      <c r="E1771" s="357">
        <v>44453</v>
      </c>
      <c r="F1771" s="344" t="s">
        <v>628</v>
      </c>
      <c r="G1771" s="358">
        <v>11.6686</v>
      </c>
      <c r="H1771" s="344" t="s">
        <v>1077</v>
      </c>
    </row>
    <row r="1772" spans="1:8">
      <c r="A1772" s="1"/>
      <c r="B1772" s="1"/>
      <c r="C1772" s="1"/>
      <c r="D1772" s="1"/>
      <c r="E1772" s="357">
        <v>44453</v>
      </c>
      <c r="F1772" s="344" t="s">
        <v>631</v>
      </c>
      <c r="G1772" s="358">
        <v>8.4314</v>
      </c>
      <c r="H1772" s="344" t="s">
        <v>1077</v>
      </c>
    </row>
    <row r="1773" spans="1:8">
      <c r="A1773" s="1"/>
      <c r="B1773" s="1"/>
      <c r="C1773" s="1"/>
      <c r="D1773" s="1"/>
      <c r="E1773" s="357">
        <v>44454</v>
      </c>
      <c r="F1773" s="344" t="s">
        <v>621</v>
      </c>
      <c r="G1773" s="358">
        <v>9.1592000000000002</v>
      </c>
      <c r="H1773" s="344" t="s">
        <v>1078</v>
      </c>
    </row>
    <row r="1774" spans="1:8">
      <c r="A1774" s="1"/>
      <c r="B1774" s="1"/>
      <c r="C1774" s="1"/>
      <c r="D1774" s="1"/>
      <c r="E1774" s="357">
        <v>44454</v>
      </c>
      <c r="F1774" s="344" t="s">
        <v>625</v>
      </c>
      <c r="G1774" s="358">
        <v>9.9616000000000007</v>
      </c>
      <c r="H1774" s="344" t="s">
        <v>1078</v>
      </c>
    </row>
    <row r="1775" spans="1:8">
      <c r="A1775" s="1"/>
      <c r="B1775" s="1"/>
      <c r="C1775" s="1"/>
      <c r="D1775" s="1"/>
      <c r="E1775" s="357">
        <v>44454</v>
      </c>
      <c r="F1775" s="344" t="s">
        <v>628</v>
      </c>
      <c r="G1775" s="358">
        <v>11.6333</v>
      </c>
      <c r="H1775" s="344" t="s">
        <v>1078</v>
      </c>
    </row>
    <row r="1776" spans="1:8">
      <c r="A1776" s="1"/>
      <c r="B1776" s="1"/>
      <c r="C1776" s="1"/>
      <c r="D1776" s="1"/>
      <c r="E1776" s="357">
        <v>44454</v>
      </c>
      <c r="F1776" s="344" t="s">
        <v>631</v>
      </c>
      <c r="G1776" s="358">
        <v>8.4271999999999991</v>
      </c>
      <c r="H1776" s="344" t="s">
        <v>1078</v>
      </c>
    </row>
    <row r="1777" spans="1:8">
      <c r="A1777" s="1"/>
      <c r="B1777" s="1"/>
      <c r="C1777" s="1"/>
      <c r="D1777" s="1"/>
      <c r="E1777" s="357">
        <v>44455</v>
      </c>
      <c r="F1777" s="344" t="s">
        <v>621</v>
      </c>
      <c r="G1777" s="358">
        <v>9.1178000000000008</v>
      </c>
      <c r="H1777" s="344" t="s">
        <v>1079</v>
      </c>
    </row>
    <row r="1778" spans="1:8">
      <c r="A1778" s="1"/>
      <c r="B1778" s="1"/>
      <c r="C1778" s="1"/>
      <c r="D1778" s="1"/>
      <c r="E1778" s="357">
        <v>44455</v>
      </c>
      <c r="F1778" s="344" t="s">
        <v>625</v>
      </c>
      <c r="G1778" s="358">
        <v>9.9382000000000001</v>
      </c>
      <c r="H1778" s="344" t="s">
        <v>1079</v>
      </c>
    </row>
    <row r="1779" spans="1:8">
      <c r="A1779" s="1"/>
      <c r="B1779" s="1"/>
      <c r="C1779" s="1"/>
      <c r="D1779" s="1"/>
      <c r="E1779" s="357">
        <v>44455</v>
      </c>
      <c r="F1779" s="344" t="s">
        <v>628</v>
      </c>
      <c r="G1779" s="358">
        <v>11.647600000000001</v>
      </c>
      <c r="H1779" s="344" t="s">
        <v>1079</v>
      </c>
    </row>
    <row r="1780" spans="1:8">
      <c r="A1780" s="1"/>
      <c r="B1780" s="1"/>
      <c r="C1780" s="1"/>
      <c r="D1780" s="1"/>
      <c r="E1780" s="357">
        <v>44455</v>
      </c>
      <c r="F1780" s="344" t="s">
        <v>631</v>
      </c>
      <c r="G1780" s="358">
        <v>8.4402000000000008</v>
      </c>
      <c r="H1780" s="344" t="s">
        <v>1079</v>
      </c>
    </row>
    <row r="1781" spans="1:8">
      <c r="A1781" s="1"/>
      <c r="B1781" s="1"/>
      <c r="C1781" s="1"/>
      <c r="D1781" s="1"/>
      <c r="E1781" s="357">
        <v>44456</v>
      </c>
      <c r="F1781" s="344" t="s">
        <v>621</v>
      </c>
      <c r="G1781" s="358">
        <v>9.2199000000000009</v>
      </c>
      <c r="H1781" s="344" t="s">
        <v>1080</v>
      </c>
    </row>
    <row r="1782" spans="1:8">
      <c r="A1782" s="1"/>
      <c r="B1782" s="1"/>
      <c r="C1782" s="1"/>
      <c r="D1782" s="1"/>
      <c r="E1782" s="357">
        <v>44456</v>
      </c>
      <c r="F1782" s="344" t="s">
        <v>625</v>
      </c>
      <c r="G1782" s="358">
        <v>10.0921</v>
      </c>
      <c r="H1782" s="344" t="s">
        <v>1080</v>
      </c>
    </row>
    <row r="1783" spans="1:8">
      <c r="A1783" s="1"/>
      <c r="B1783" s="1"/>
      <c r="C1783" s="1"/>
      <c r="D1783" s="1"/>
      <c r="E1783" s="357">
        <v>44456</v>
      </c>
      <c r="F1783" s="344" t="s">
        <v>628</v>
      </c>
      <c r="G1783" s="358">
        <v>11.797599999999999</v>
      </c>
      <c r="H1783" s="344" t="s">
        <v>1080</v>
      </c>
    </row>
    <row r="1784" spans="1:8">
      <c r="A1784" s="1"/>
      <c r="B1784" s="1"/>
      <c r="C1784" s="1"/>
      <c r="D1784" s="1"/>
      <c r="E1784" s="357">
        <v>44456</v>
      </c>
      <c r="F1784" s="344" t="s">
        <v>631</v>
      </c>
      <c r="G1784" s="358">
        <v>8.5678000000000001</v>
      </c>
      <c r="H1784" s="344" t="s">
        <v>1080</v>
      </c>
    </row>
    <row r="1785" spans="1:8">
      <c r="A1785" s="1"/>
      <c r="B1785" s="1"/>
      <c r="C1785" s="1"/>
      <c r="D1785" s="1"/>
      <c r="E1785" s="357">
        <v>44459</v>
      </c>
      <c r="F1785" s="344" t="s">
        <v>621</v>
      </c>
      <c r="G1785" s="358">
        <v>9.2812999999999999</v>
      </c>
      <c r="H1785" s="344" t="s">
        <v>1081</v>
      </c>
    </row>
    <row r="1786" spans="1:8">
      <c r="A1786" s="1"/>
      <c r="B1786" s="1"/>
      <c r="C1786" s="1"/>
      <c r="D1786" s="1"/>
      <c r="E1786" s="357">
        <v>44459</v>
      </c>
      <c r="F1786" s="344" t="s">
        <v>625</v>
      </c>
      <c r="G1786" s="358">
        <v>10.146699999999999</v>
      </c>
      <c r="H1786" s="344" t="s">
        <v>1081</v>
      </c>
    </row>
    <row r="1787" spans="1:8">
      <c r="A1787" s="1"/>
      <c r="B1787" s="1"/>
      <c r="C1787" s="1"/>
      <c r="D1787" s="1"/>
      <c r="E1787" s="357">
        <v>44459</v>
      </c>
      <c r="F1787" s="344" t="s">
        <v>628</v>
      </c>
      <c r="G1787" s="358">
        <v>11.829800000000001</v>
      </c>
      <c r="H1787" s="344" t="s">
        <v>1081</v>
      </c>
    </row>
    <row r="1788" spans="1:8">
      <c r="A1788" s="1"/>
      <c r="B1788" s="1"/>
      <c r="C1788" s="1"/>
      <c r="D1788" s="1"/>
      <c r="E1788" s="357">
        <v>44459</v>
      </c>
      <c r="F1788" s="344" t="s">
        <v>631</v>
      </c>
      <c r="G1788" s="358">
        <v>8.6647999999999996</v>
      </c>
      <c r="H1788" s="344" t="s">
        <v>1081</v>
      </c>
    </row>
    <row r="1789" spans="1:8">
      <c r="A1789" s="1"/>
      <c r="B1789" s="1"/>
      <c r="C1789" s="1"/>
      <c r="D1789" s="1"/>
      <c r="E1789" s="357">
        <v>44460</v>
      </c>
      <c r="F1789" s="344" t="s">
        <v>621</v>
      </c>
      <c r="G1789" s="358">
        <v>9.3028999999999993</v>
      </c>
      <c r="H1789" s="344" t="s">
        <v>1082</v>
      </c>
    </row>
    <row r="1790" spans="1:8">
      <c r="A1790" s="1"/>
      <c r="B1790" s="1"/>
      <c r="C1790" s="1"/>
      <c r="D1790" s="1"/>
      <c r="E1790" s="357">
        <v>44460</v>
      </c>
      <c r="F1790" s="344" t="s">
        <v>625</v>
      </c>
      <c r="G1790" s="358">
        <v>10.1272</v>
      </c>
      <c r="H1790" s="344" t="s">
        <v>1082</v>
      </c>
    </row>
    <row r="1791" spans="1:8">
      <c r="A1791" s="1"/>
      <c r="B1791" s="1"/>
      <c r="C1791" s="1"/>
      <c r="D1791" s="1"/>
      <c r="E1791" s="357">
        <v>44460</v>
      </c>
      <c r="F1791" s="344" t="s">
        <v>628</v>
      </c>
      <c r="G1791" s="358">
        <v>11.7875</v>
      </c>
      <c r="H1791" s="344" t="s">
        <v>1082</v>
      </c>
    </row>
    <row r="1792" spans="1:8">
      <c r="A1792" s="1"/>
      <c r="B1792" s="1"/>
      <c r="C1792" s="1"/>
      <c r="D1792" s="1"/>
      <c r="E1792" s="357">
        <v>44460</v>
      </c>
      <c r="F1792" s="344" t="s">
        <v>631</v>
      </c>
      <c r="G1792" s="358">
        <v>8.6301000000000005</v>
      </c>
      <c r="H1792" s="344" t="s">
        <v>1082</v>
      </c>
    </row>
    <row r="1793" spans="1:8">
      <c r="A1793" s="1"/>
      <c r="B1793" s="1"/>
      <c r="C1793" s="1"/>
      <c r="D1793" s="1"/>
      <c r="E1793" s="357">
        <v>44461</v>
      </c>
      <c r="F1793" s="344" t="s">
        <v>621</v>
      </c>
      <c r="G1793" s="358">
        <v>9.3366000000000007</v>
      </c>
      <c r="H1793" s="344" t="s">
        <v>1083</v>
      </c>
    </row>
    <row r="1794" spans="1:8">
      <c r="A1794" s="1"/>
      <c r="B1794" s="1"/>
      <c r="C1794" s="1"/>
      <c r="D1794" s="1"/>
      <c r="E1794" s="357">
        <v>44461</v>
      </c>
      <c r="F1794" s="344" t="s">
        <v>625</v>
      </c>
      <c r="G1794" s="358">
        <v>10.129099999999999</v>
      </c>
      <c r="H1794" s="344" t="s">
        <v>1083</v>
      </c>
    </row>
    <row r="1795" spans="1:8">
      <c r="A1795" s="1"/>
      <c r="B1795" s="1"/>
      <c r="C1795" s="1"/>
      <c r="D1795" s="1"/>
      <c r="E1795" s="357">
        <v>44461</v>
      </c>
      <c r="F1795" s="344" t="s">
        <v>628</v>
      </c>
      <c r="G1795" s="358">
        <v>11.7585</v>
      </c>
      <c r="H1795" s="344" t="s">
        <v>1083</v>
      </c>
    </row>
    <row r="1796" spans="1:8">
      <c r="A1796" s="1"/>
      <c r="B1796" s="1"/>
      <c r="C1796" s="1"/>
      <c r="D1796" s="1"/>
      <c r="E1796" s="357">
        <v>44461</v>
      </c>
      <c r="F1796" s="344" t="s">
        <v>631</v>
      </c>
      <c r="G1796" s="358">
        <v>8.6349</v>
      </c>
      <c r="H1796" s="344" t="s">
        <v>1083</v>
      </c>
    </row>
    <row r="1797" spans="1:8">
      <c r="A1797" s="1"/>
      <c r="B1797" s="1"/>
      <c r="C1797" s="1"/>
      <c r="D1797" s="1"/>
      <c r="E1797" s="357">
        <v>44462</v>
      </c>
      <c r="F1797" s="344" t="s">
        <v>621</v>
      </c>
      <c r="G1797" s="358">
        <v>9.3407</v>
      </c>
      <c r="H1797" s="344" t="s">
        <v>1084</v>
      </c>
    </row>
    <row r="1798" spans="1:8">
      <c r="A1798" s="1"/>
      <c r="B1798" s="1"/>
      <c r="C1798" s="1"/>
      <c r="D1798" s="1"/>
      <c r="E1798" s="357">
        <v>44462</v>
      </c>
      <c r="F1798" s="344" t="s">
        <v>625</v>
      </c>
      <c r="G1798" s="358">
        <v>10.1456</v>
      </c>
      <c r="H1798" s="344" t="s">
        <v>1084</v>
      </c>
    </row>
    <row r="1799" spans="1:8">
      <c r="A1799" s="1"/>
      <c r="B1799" s="1"/>
      <c r="C1799" s="1"/>
      <c r="D1799" s="1"/>
      <c r="E1799" s="357">
        <v>44462</v>
      </c>
      <c r="F1799" s="344" t="s">
        <v>628</v>
      </c>
      <c r="G1799" s="358">
        <v>11.819100000000001</v>
      </c>
      <c r="H1799" s="344" t="s">
        <v>1084</v>
      </c>
    </row>
    <row r="1800" spans="1:8">
      <c r="A1800" s="1"/>
      <c r="B1800" s="1"/>
      <c r="C1800" s="1"/>
      <c r="D1800" s="1"/>
      <c r="E1800" s="357">
        <v>44462</v>
      </c>
      <c r="F1800" s="344" t="s">
        <v>631</v>
      </c>
      <c r="G1800" s="358">
        <v>8.6584000000000003</v>
      </c>
      <c r="H1800" s="344" t="s">
        <v>1084</v>
      </c>
    </row>
    <row r="1801" spans="1:8">
      <c r="A1801" s="1"/>
      <c r="B1801" s="1"/>
      <c r="C1801" s="1"/>
      <c r="D1801" s="1"/>
      <c r="E1801" s="357">
        <v>44463</v>
      </c>
      <c r="F1801" s="344" t="s">
        <v>621</v>
      </c>
      <c r="G1801" s="358">
        <v>9.5284999999999993</v>
      </c>
      <c r="H1801" s="344" t="s">
        <v>1085</v>
      </c>
    </row>
    <row r="1802" spans="1:8">
      <c r="A1802" s="1"/>
      <c r="B1802" s="1"/>
      <c r="C1802" s="1"/>
      <c r="D1802" s="1"/>
      <c r="E1802" s="357">
        <v>44463</v>
      </c>
      <c r="F1802" s="344" t="s">
        <v>625</v>
      </c>
      <c r="G1802" s="358">
        <v>10.352600000000001</v>
      </c>
      <c r="H1802" s="344" t="s">
        <v>1085</v>
      </c>
    </row>
    <row r="1803" spans="1:8">
      <c r="A1803" s="1"/>
      <c r="B1803" s="1"/>
      <c r="C1803" s="1"/>
      <c r="D1803" s="1"/>
      <c r="E1803" s="357">
        <v>44463</v>
      </c>
      <c r="F1803" s="344" t="s">
        <v>628</v>
      </c>
      <c r="G1803" s="358">
        <v>12.0717</v>
      </c>
      <c r="H1803" s="344" t="s">
        <v>1085</v>
      </c>
    </row>
    <row r="1804" spans="1:8">
      <c r="A1804" s="1"/>
      <c r="B1804" s="1"/>
      <c r="C1804" s="1"/>
      <c r="D1804" s="1"/>
      <c r="E1804" s="357">
        <v>44463</v>
      </c>
      <c r="F1804" s="344" t="s">
        <v>631</v>
      </c>
      <c r="G1804" s="358">
        <v>8.8239999999999998</v>
      </c>
      <c r="H1804" s="344" t="s">
        <v>1085</v>
      </c>
    </row>
    <row r="1805" spans="1:8">
      <c r="A1805" s="1"/>
      <c r="B1805" s="1"/>
      <c r="C1805" s="1"/>
      <c r="D1805" s="1"/>
      <c r="E1805" s="357">
        <v>44466</v>
      </c>
      <c r="F1805" s="344" t="s">
        <v>621</v>
      </c>
      <c r="G1805" s="358">
        <v>9.5024999999999995</v>
      </c>
      <c r="H1805" s="344" t="s">
        <v>1086</v>
      </c>
    </row>
    <row r="1806" spans="1:8">
      <c r="A1806" s="1"/>
      <c r="B1806" s="1"/>
      <c r="C1806" s="1"/>
      <c r="D1806" s="1"/>
      <c r="E1806" s="357">
        <v>44466</v>
      </c>
      <c r="F1806" s="344" t="s">
        <v>625</v>
      </c>
      <c r="G1806" s="358">
        <v>10.336399999999999</v>
      </c>
      <c r="H1806" s="344" t="s">
        <v>1086</v>
      </c>
    </row>
    <row r="1807" spans="1:8">
      <c r="A1807" s="1"/>
      <c r="B1807" s="1"/>
      <c r="C1807" s="1"/>
      <c r="D1807" s="1"/>
      <c r="E1807" s="357">
        <v>44466</v>
      </c>
      <c r="F1807" s="344" t="s">
        <v>628</v>
      </c>
      <c r="G1807" s="358">
        <v>12.075900000000001</v>
      </c>
      <c r="H1807" s="344" t="s">
        <v>1086</v>
      </c>
    </row>
    <row r="1808" spans="1:8">
      <c r="A1808" s="1"/>
      <c r="B1808" s="1"/>
      <c r="C1808" s="1"/>
      <c r="D1808" s="1"/>
      <c r="E1808" s="357">
        <v>44466</v>
      </c>
      <c r="F1808" s="344" t="s">
        <v>631</v>
      </c>
      <c r="G1808" s="358">
        <v>8.8354999999999997</v>
      </c>
      <c r="H1808" s="344" t="s">
        <v>1086</v>
      </c>
    </row>
    <row r="1809" spans="1:8">
      <c r="A1809" s="1"/>
      <c r="B1809" s="1"/>
      <c r="C1809" s="1"/>
      <c r="D1809" s="1"/>
      <c r="E1809" s="357">
        <v>44467</v>
      </c>
      <c r="F1809" s="344" t="s">
        <v>621</v>
      </c>
      <c r="G1809" s="358">
        <v>9.5229999999999997</v>
      </c>
      <c r="H1809" s="344" t="s">
        <v>1087</v>
      </c>
    </row>
    <row r="1810" spans="1:8">
      <c r="A1810" s="1"/>
      <c r="B1810" s="1"/>
      <c r="C1810" s="1"/>
      <c r="D1810" s="1"/>
      <c r="E1810" s="357">
        <v>44467</v>
      </c>
      <c r="F1810" s="344" t="s">
        <v>625</v>
      </c>
      <c r="G1810" s="358">
        <v>10.348599999999999</v>
      </c>
      <c r="H1810" s="344" t="s">
        <v>1087</v>
      </c>
    </row>
    <row r="1811" spans="1:8">
      <c r="A1811" s="1"/>
      <c r="B1811" s="1"/>
      <c r="C1811" s="1"/>
      <c r="D1811" s="1"/>
      <c r="E1811" s="357">
        <v>44467</v>
      </c>
      <c r="F1811" s="344" t="s">
        <v>628</v>
      </c>
      <c r="G1811" s="358">
        <v>12.0686</v>
      </c>
      <c r="H1811" s="344" t="s">
        <v>1087</v>
      </c>
    </row>
    <row r="1812" spans="1:8">
      <c r="A1812" s="1"/>
      <c r="B1812" s="1"/>
      <c r="C1812" s="1"/>
      <c r="D1812" s="1"/>
      <c r="E1812" s="357">
        <v>44467</v>
      </c>
      <c r="F1812" s="344" t="s">
        <v>631</v>
      </c>
      <c r="G1812" s="358">
        <v>8.8584999999999994</v>
      </c>
      <c r="H1812" s="344" t="s">
        <v>1087</v>
      </c>
    </row>
    <row r="1813" spans="1:8">
      <c r="A1813" s="1"/>
      <c r="B1813" s="1"/>
      <c r="C1813" s="1"/>
      <c r="D1813" s="1"/>
      <c r="E1813" s="357">
        <v>44468</v>
      </c>
      <c r="F1813" s="344" t="s">
        <v>621</v>
      </c>
      <c r="G1813" s="358">
        <v>9.4945000000000004</v>
      </c>
      <c r="H1813" s="344" t="s">
        <v>1088</v>
      </c>
    </row>
    <row r="1814" spans="1:8">
      <c r="A1814" s="1"/>
      <c r="B1814" s="1"/>
      <c r="C1814" s="1"/>
      <c r="D1814" s="1"/>
      <c r="E1814" s="357">
        <v>44468</v>
      </c>
      <c r="F1814" s="344" t="s">
        <v>625</v>
      </c>
      <c r="G1814" s="358">
        <v>10.313499999999999</v>
      </c>
      <c r="H1814" s="344" t="s">
        <v>1088</v>
      </c>
    </row>
    <row r="1815" spans="1:8">
      <c r="A1815" s="1"/>
      <c r="B1815" s="1"/>
      <c r="C1815" s="1"/>
      <c r="D1815" s="1"/>
      <c r="E1815" s="357">
        <v>44468</v>
      </c>
      <c r="F1815" s="344" t="s">
        <v>628</v>
      </c>
      <c r="G1815" s="358">
        <v>11.9292</v>
      </c>
      <c r="H1815" s="344" t="s">
        <v>1088</v>
      </c>
    </row>
    <row r="1816" spans="1:8">
      <c r="A1816" s="1"/>
      <c r="B1816" s="1"/>
      <c r="C1816" s="1"/>
      <c r="D1816" s="1"/>
      <c r="E1816" s="357">
        <v>44468</v>
      </c>
      <c r="F1816" s="344" t="s">
        <v>631</v>
      </c>
      <c r="G1816" s="358">
        <v>8.8432999999999993</v>
      </c>
      <c r="H1816" s="344" t="s">
        <v>1088</v>
      </c>
    </row>
    <row r="1817" spans="1:8">
      <c r="A1817" s="1"/>
      <c r="B1817" s="1"/>
      <c r="C1817" s="1"/>
      <c r="D1817" s="1"/>
      <c r="E1817" s="357">
        <v>44469</v>
      </c>
      <c r="F1817" s="344" t="s">
        <v>621</v>
      </c>
      <c r="G1817" s="358">
        <v>9.4755000000000003</v>
      </c>
      <c r="H1817" s="344" t="s">
        <v>1089</v>
      </c>
    </row>
    <row r="1818" spans="1:8">
      <c r="A1818" s="1"/>
      <c r="B1818" s="1"/>
      <c r="C1818" s="1"/>
      <c r="D1818" s="1"/>
      <c r="E1818" s="357">
        <v>44469</v>
      </c>
      <c r="F1818" s="344" t="s">
        <v>625</v>
      </c>
      <c r="G1818" s="358">
        <v>10.2933</v>
      </c>
      <c r="H1818" s="344" t="s">
        <v>1089</v>
      </c>
    </row>
    <row r="1819" spans="1:8">
      <c r="A1819" s="1"/>
      <c r="B1819" s="1"/>
      <c r="C1819" s="1"/>
      <c r="D1819" s="1"/>
      <c r="E1819" s="357">
        <v>44469</v>
      </c>
      <c r="F1819" s="344" t="s">
        <v>628</v>
      </c>
      <c r="G1819" s="358">
        <v>11.9175</v>
      </c>
      <c r="H1819" s="344" t="s">
        <v>1089</v>
      </c>
    </row>
    <row r="1820" spans="1:8">
      <c r="A1820" s="1"/>
      <c r="B1820" s="1"/>
      <c r="C1820" s="1"/>
      <c r="D1820" s="1"/>
      <c r="E1820" s="357">
        <v>44469</v>
      </c>
      <c r="F1820" s="344" t="s">
        <v>631</v>
      </c>
      <c r="G1820" s="358">
        <v>8.8785000000000007</v>
      </c>
      <c r="H1820" s="344" t="s">
        <v>1089</v>
      </c>
    </row>
    <row r="1821" spans="1:8">
      <c r="A1821" s="1"/>
      <c r="B1821" s="1"/>
      <c r="C1821" s="1"/>
      <c r="D1821" s="1"/>
      <c r="E1821" s="357">
        <v>44470</v>
      </c>
      <c r="F1821" s="344" t="s">
        <v>621</v>
      </c>
      <c r="G1821" s="358">
        <v>9.4740000000000002</v>
      </c>
      <c r="H1821" s="344" t="s">
        <v>1090</v>
      </c>
    </row>
    <row r="1822" spans="1:8">
      <c r="A1822" s="1"/>
      <c r="B1822" s="1"/>
      <c r="C1822" s="1"/>
      <c r="D1822" s="1"/>
      <c r="E1822" s="357">
        <v>44470</v>
      </c>
      <c r="F1822" s="344" t="s">
        <v>625</v>
      </c>
      <c r="G1822" s="358">
        <v>10.2484</v>
      </c>
      <c r="H1822" s="344" t="s">
        <v>1090</v>
      </c>
    </row>
    <row r="1823" spans="1:8">
      <c r="A1823" s="1"/>
      <c r="B1823" s="1"/>
      <c r="C1823" s="1"/>
      <c r="D1823" s="1"/>
      <c r="E1823" s="357">
        <v>44470</v>
      </c>
      <c r="F1823" s="344" t="s">
        <v>628</v>
      </c>
      <c r="G1823" s="358">
        <v>11.914999999999999</v>
      </c>
      <c r="H1823" s="344" t="s">
        <v>1090</v>
      </c>
    </row>
    <row r="1824" spans="1:8">
      <c r="A1824" s="1"/>
      <c r="B1824" s="1"/>
      <c r="C1824" s="1"/>
      <c r="D1824" s="1"/>
      <c r="E1824" s="357">
        <v>44470</v>
      </c>
      <c r="F1824" s="344" t="s">
        <v>631</v>
      </c>
      <c r="G1824" s="358">
        <v>8.8468999999999998</v>
      </c>
      <c r="H1824" s="344" t="s">
        <v>1090</v>
      </c>
    </row>
    <row r="1825" spans="1:8">
      <c r="A1825" s="1"/>
      <c r="B1825" s="1"/>
      <c r="C1825" s="1"/>
      <c r="D1825" s="1"/>
      <c r="E1825" s="357">
        <v>44473</v>
      </c>
      <c r="F1825" s="344" t="s">
        <v>621</v>
      </c>
      <c r="G1825" s="358">
        <v>9.5097000000000005</v>
      </c>
      <c r="H1825" s="344" t="s">
        <v>1091</v>
      </c>
    </row>
    <row r="1826" spans="1:8">
      <c r="A1826" s="1"/>
      <c r="B1826" s="1"/>
      <c r="C1826" s="1"/>
      <c r="D1826" s="1"/>
      <c r="E1826" s="357">
        <v>44473</v>
      </c>
      <c r="F1826" s="344" t="s">
        <v>625</v>
      </c>
      <c r="G1826" s="358">
        <v>10.2822</v>
      </c>
      <c r="H1826" s="344" t="s">
        <v>1091</v>
      </c>
    </row>
    <row r="1827" spans="1:8">
      <c r="A1827" s="1"/>
      <c r="B1827" s="1"/>
      <c r="C1827" s="1"/>
      <c r="D1827" s="1"/>
      <c r="E1827" s="357">
        <v>44473</v>
      </c>
      <c r="F1827" s="344" t="s">
        <v>628</v>
      </c>
      <c r="G1827" s="358">
        <v>11.997199999999999</v>
      </c>
      <c r="H1827" s="344" t="s">
        <v>1091</v>
      </c>
    </row>
    <row r="1828" spans="1:8">
      <c r="A1828" s="1"/>
      <c r="B1828" s="1"/>
      <c r="C1828" s="1"/>
      <c r="D1828" s="1"/>
      <c r="E1828" s="357">
        <v>44473</v>
      </c>
      <c r="F1828" s="344" t="s">
        <v>631</v>
      </c>
      <c r="G1828" s="358">
        <v>8.8521999999999998</v>
      </c>
      <c r="H1828" s="344" t="s">
        <v>1091</v>
      </c>
    </row>
    <row r="1829" spans="1:8">
      <c r="A1829" s="1"/>
      <c r="B1829" s="1"/>
      <c r="C1829" s="1"/>
      <c r="D1829" s="1"/>
      <c r="E1829" s="357">
        <v>44474</v>
      </c>
      <c r="F1829" s="344" t="s">
        <v>621</v>
      </c>
      <c r="G1829" s="358">
        <v>9.5220000000000002</v>
      </c>
      <c r="H1829" s="344" t="s">
        <v>1092</v>
      </c>
    </row>
    <row r="1830" spans="1:8">
      <c r="A1830" s="1"/>
      <c r="B1830" s="1"/>
      <c r="C1830" s="1"/>
      <c r="D1830" s="1"/>
      <c r="E1830" s="357">
        <v>44474</v>
      </c>
      <c r="F1830" s="344" t="s">
        <v>625</v>
      </c>
      <c r="G1830" s="358">
        <v>10.2583</v>
      </c>
      <c r="H1830" s="344" t="s">
        <v>1092</v>
      </c>
    </row>
    <row r="1831" spans="1:8">
      <c r="A1831" s="1"/>
      <c r="B1831" s="1"/>
      <c r="C1831" s="1"/>
      <c r="D1831" s="1"/>
      <c r="E1831" s="357">
        <v>44474</v>
      </c>
      <c r="F1831" s="344" t="s">
        <v>628</v>
      </c>
      <c r="G1831" s="358">
        <v>12.022500000000001</v>
      </c>
      <c r="H1831" s="344" t="s">
        <v>1092</v>
      </c>
    </row>
    <row r="1832" spans="1:8">
      <c r="A1832" s="1"/>
      <c r="B1832" s="1"/>
      <c r="C1832" s="1"/>
      <c r="D1832" s="1"/>
      <c r="E1832" s="357">
        <v>44474</v>
      </c>
      <c r="F1832" s="344" t="s">
        <v>631</v>
      </c>
      <c r="G1832" s="358">
        <v>8.8444000000000003</v>
      </c>
      <c r="H1832" s="344" t="s">
        <v>1092</v>
      </c>
    </row>
    <row r="1833" spans="1:8">
      <c r="A1833" s="1"/>
      <c r="B1833" s="1"/>
      <c r="C1833" s="1"/>
      <c r="D1833" s="1"/>
      <c r="E1833" s="357">
        <v>44475</v>
      </c>
      <c r="F1833" s="344" t="s">
        <v>621</v>
      </c>
      <c r="G1833" s="358">
        <v>9.5561000000000007</v>
      </c>
      <c r="H1833" s="344" t="s">
        <v>1093</v>
      </c>
    </row>
    <row r="1834" spans="1:8">
      <c r="A1834" s="1"/>
      <c r="B1834" s="1"/>
      <c r="C1834" s="1"/>
      <c r="D1834" s="1"/>
      <c r="E1834" s="357">
        <v>44475</v>
      </c>
      <c r="F1834" s="344" t="s">
        <v>625</v>
      </c>
      <c r="G1834" s="358">
        <v>10.287599999999999</v>
      </c>
      <c r="H1834" s="344" t="s">
        <v>1093</v>
      </c>
    </row>
    <row r="1835" spans="1:8">
      <c r="A1835" s="1"/>
      <c r="B1835" s="1"/>
      <c r="C1835" s="1"/>
      <c r="D1835" s="1"/>
      <c r="E1835" s="357">
        <v>44475</v>
      </c>
      <c r="F1835" s="344" t="s">
        <v>628</v>
      </c>
      <c r="G1835" s="358">
        <v>12.064399999999999</v>
      </c>
      <c r="H1835" s="344" t="s">
        <v>1093</v>
      </c>
    </row>
    <row r="1836" spans="1:8">
      <c r="A1836" s="1"/>
      <c r="B1836" s="1"/>
      <c r="C1836" s="1"/>
      <c r="D1836" s="1"/>
      <c r="E1836" s="357">
        <v>44475</v>
      </c>
      <c r="F1836" s="344" t="s">
        <v>631</v>
      </c>
      <c r="G1836" s="358">
        <v>8.9064999999999994</v>
      </c>
      <c r="H1836" s="344" t="s">
        <v>1093</v>
      </c>
    </row>
    <row r="1837" spans="1:8">
      <c r="A1837" s="1"/>
      <c r="B1837" s="1"/>
      <c r="C1837" s="1"/>
      <c r="D1837" s="1"/>
      <c r="E1837" s="357">
        <v>44476</v>
      </c>
      <c r="F1837" s="344" t="s">
        <v>621</v>
      </c>
      <c r="G1837" s="358">
        <v>9.5408000000000008</v>
      </c>
      <c r="H1837" s="344" t="s">
        <v>1094</v>
      </c>
    </row>
    <row r="1838" spans="1:8">
      <c r="A1838" s="1"/>
      <c r="B1838" s="1"/>
      <c r="C1838" s="1"/>
      <c r="D1838" s="1"/>
      <c r="E1838" s="357">
        <v>44476</v>
      </c>
      <c r="F1838" s="344" t="s">
        <v>625</v>
      </c>
      <c r="G1838" s="358">
        <v>10.2469</v>
      </c>
      <c r="H1838" s="344" t="s">
        <v>1094</v>
      </c>
    </row>
    <row r="1839" spans="1:8">
      <c r="A1839" s="1"/>
      <c r="B1839" s="1"/>
      <c r="C1839" s="1"/>
      <c r="D1839" s="1"/>
      <c r="E1839" s="357">
        <v>44476</v>
      </c>
      <c r="F1839" s="344" t="s">
        <v>628</v>
      </c>
      <c r="G1839" s="358">
        <v>12.0252</v>
      </c>
      <c r="H1839" s="344" t="s">
        <v>1094</v>
      </c>
    </row>
    <row r="1840" spans="1:8">
      <c r="A1840" s="1"/>
      <c r="B1840" s="1"/>
      <c r="C1840" s="1"/>
      <c r="D1840" s="1"/>
      <c r="E1840" s="357">
        <v>44476</v>
      </c>
      <c r="F1840" s="344" t="s">
        <v>631</v>
      </c>
      <c r="G1840" s="358">
        <v>8.8609000000000009</v>
      </c>
      <c r="H1840" s="344" t="s">
        <v>1094</v>
      </c>
    </row>
    <row r="1841" spans="1:8">
      <c r="A1841" s="1"/>
      <c r="B1841" s="1"/>
      <c r="C1841" s="1"/>
      <c r="D1841" s="1"/>
      <c r="E1841" s="357">
        <v>44477</v>
      </c>
      <c r="F1841" s="344" t="s">
        <v>621</v>
      </c>
      <c r="G1841" s="358">
        <v>9.5510000000000002</v>
      </c>
      <c r="H1841" s="344" t="s">
        <v>1095</v>
      </c>
    </row>
    <row r="1842" spans="1:8">
      <c r="A1842" s="1"/>
      <c r="B1842" s="1"/>
      <c r="C1842" s="1"/>
      <c r="D1842" s="1"/>
      <c r="E1842" s="357">
        <v>44477</v>
      </c>
      <c r="F1842" s="344" t="s">
        <v>625</v>
      </c>
      <c r="G1842" s="358">
        <v>10.283200000000001</v>
      </c>
      <c r="H1842" s="344" t="s">
        <v>1095</v>
      </c>
    </row>
    <row r="1843" spans="1:8">
      <c r="A1843" s="1"/>
      <c r="B1843" s="1"/>
      <c r="C1843" s="1"/>
      <c r="D1843" s="1"/>
      <c r="E1843" s="357">
        <v>44477</v>
      </c>
      <c r="F1843" s="344" t="s">
        <v>628</v>
      </c>
      <c r="G1843" s="358">
        <v>12.090400000000001</v>
      </c>
      <c r="H1843" s="344" t="s">
        <v>1095</v>
      </c>
    </row>
    <row r="1844" spans="1:8">
      <c r="A1844" s="1"/>
      <c r="B1844" s="1"/>
      <c r="C1844" s="1"/>
      <c r="D1844" s="1"/>
      <c r="E1844" s="357">
        <v>44477</v>
      </c>
      <c r="F1844" s="344" t="s">
        <v>631</v>
      </c>
      <c r="G1844" s="358">
        <v>8.8981999999999992</v>
      </c>
      <c r="H1844" s="344" t="s">
        <v>1095</v>
      </c>
    </row>
    <row r="1845" spans="1:8">
      <c r="A1845" s="1"/>
      <c r="B1845" s="1"/>
      <c r="C1845" s="1"/>
      <c r="D1845" s="1"/>
      <c r="E1845" s="357">
        <v>44480</v>
      </c>
      <c r="F1845" s="344" t="s">
        <v>621</v>
      </c>
      <c r="G1845" s="358">
        <v>9.6197999999999997</v>
      </c>
      <c r="H1845" s="344" t="s">
        <v>1096</v>
      </c>
    </row>
    <row r="1846" spans="1:8">
      <c r="A1846" s="1"/>
      <c r="B1846" s="1"/>
      <c r="C1846" s="1"/>
      <c r="D1846" s="1"/>
      <c r="E1846" s="357">
        <v>44480</v>
      </c>
      <c r="F1846" s="344" t="s">
        <v>625</v>
      </c>
      <c r="G1846" s="358">
        <v>10.3398</v>
      </c>
      <c r="H1846" s="344" t="s">
        <v>1096</v>
      </c>
    </row>
    <row r="1847" spans="1:8">
      <c r="A1847" s="1"/>
      <c r="B1847" s="1"/>
      <c r="C1847" s="1"/>
      <c r="D1847" s="1"/>
      <c r="E1847" s="357">
        <v>44480</v>
      </c>
      <c r="F1847" s="344" t="s">
        <v>628</v>
      </c>
      <c r="G1847" s="358">
        <v>12.168900000000001</v>
      </c>
      <c r="H1847" s="344" t="s">
        <v>1096</v>
      </c>
    </row>
    <row r="1848" spans="1:8">
      <c r="A1848" s="1"/>
      <c r="B1848" s="1"/>
      <c r="C1848" s="1"/>
      <c r="D1848" s="1"/>
      <c r="E1848" s="357">
        <v>44480</v>
      </c>
      <c r="F1848" s="344" t="s">
        <v>631</v>
      </c>
      <c r="G1848" s="358">
        <v>8.9367000000000001</v>
      </c>
      <c r="H1848" s="344" t="s">
        <v>1096</v>
      </c>
    </row>
    <row r="1849" spans="1:8">
      <c r="A1849" s="1"/>
      <c r="B1849" s="1"/>
      <c r="C1849" s="1"/>
      <c r="D1849" s="1"/>
      <c r="E1849" s="357">
        <v>44481</v>
      </c>
      <c r="F1849" s="344" t="s">
        <v>621</v>
      </c>
      <c r="G1849" s="358">
        <v>9.6797000000000004</v>
      </c>
      <c r="H1849" s="344" t="s">
        <v>1097</v>
      </c>
    </row>
    <row r="1850" spans="1:8">
      <c r="A1850" s="1"/>
      <c r="B1850" s="1"/>
      <c r="C1850" s="1"/>
      <c r="D1850" s="1"/>
      <c r="E1850" s="357">
        <v>44481</v>
      </c>
      <c r="F1850" s="344" t="s">
        <v>625</v>
      </c>
      <c r="G1850" s="358">
        <v>10.4026</v>
      </c>
      <c r="H1850" s="344" t="s">
        <v>1097</v>
      </c>
    </row>
    <row r="1851" spans="1:8">
      <c r="A1851" s="1"/>
      <c r="B1851" s="1"/>
      <c r="C1851" s="1"/>
      <c r="D1851" s="1"/>
      <c r="E1851" s="357">
        <v>44481</v>
      </c>
      <c r="F1851" s="344" t="s">
        <v>628</v>
      </c>
      <c r="G1851" s="358">
        <v>12.223699999999999</v>
      </c>
      <c r="H1851" s="344" t="s">
        <v>1097</v>
      </c>
    </row>
    <row r="1852" spans="1:8">
      <c r="A1852" s="1"/>
      <c r="B1852" s="1"/>
      <c r="C1852" s="1"/>
      <c r="D1852" s="1"/>
      <c r="E1852" s="357">
        <v>44481</v>
      </c>
      <c r="F1852" s="344" t="s">
        <v>631</v>
      </c>
      <c r="G1852" s="358">
        <v>8.9995999999999992</v>
      </c>
      <c r="H1852" s="344" t="s">
        <v>1097</v>
      </c>
    </row>
    <row r="1853" spans="1:8">
      <c r="A1853" s="1"/>
      <c r="B1853" s="1"/>
      <c r="C1853" s="1"/>
      <c r="D1853" s="1"/>
      <c r="E1853" s="357">
        <v>44482</v>
      </c>
      <c r="F1853" s="344" t="s">
        <v>621</v>
      </c>
      <c r="G1853" s="358">
        <v>9.6968999999999994</v>
      </c>
      <c r="H1853" s="344" t="s">
        <v>1098</v>
      </c>
    </row>
    <row r="1854" spans="1:8">
      <c r="A1854" s="1"/>
      <c r="B1854" s="1"/>
      <c r="C1854" s="1"/>
      <c r="D1854" s="1"/>
      <c r="E1854" s="357">
        <v>44482</v>
      </c>
      <c r="F1854" s="344" t="s">
        <v>625</v>
      </c>
      <c r="G1854" s="358">
        <v>10.4268</v>
      </c>
      <c r="H1854" s="344" t="s">
        <v>1098</v>
      </c>
    </row>
    <row r="1855" spans="1:8">
      <c r="A1855" s="1"/>
      <c r="B1855" s="1"/>
      <c r="C1855" s="1"/>
      <c r="D1855" s="1"/>
      <c r="E1855" s="357">
        <v>44482</v>
      </c>
      <c r="F1855" s="344" t="s">
        <v>628</v>
      </c>
      <c r="G1855" s="358">
        <v>12.270300000000001</v>
      </c>
      <c r="H1855" s="344" t="s">
        <v>1098</v>
      </c>
    </row>
    <row r="1856" spans="1:8">
      <c r="A1856" s="1"/>
      <c r="B1856" s="1"/>
      <c r="C1856" s="1"/>
      <c r="D1856" s="1"/>
      <c r="E1856" s="357">
        <v>44482</v>
      </c>
      <c r="F1856" s="344" t="s">
        <v>631</v>
      </c>
      <c r="G1856" s="358">
        <v>9.0221999999999998</v>
      </c>
      <c r="H1856" s="344" t="s">
        <v>1098</v>
      </c>
    </row>
    <row r="1857" spans="1:8">
      <c r="A1857" s="1"/>
      <c r="B1857" s="1"/>
      <c r="C1857" s="1"/>
      <c r="D1857" s="1"/>
      <c r="E1857" s="357">
        <v>44483</v>
      </c>
      <c r="F1857" s="344" t="s">
        <v>621</v>
      </c>
      <c r="G1857" s="358">
        <v>9.9068000000000005</v>
      </c>
      <c r="H1857" s="344" t="s">
        <v>1099</v>
      </c>
    </row>
    <row r="1858" spans="1:8">
      <c r="A1858" s="1"/>
      <c r="B1858" s="1"/>
      <c r="C1858" s="1"/>
      <c r="D1858" s="1"/>
      <c r="E1858" s="357">
        <v>44483</v>
      </c>
      <c r="F1858" s="344" t="s">
        <v>625</v>
      </c>
      <c r="G1858" s="358">
        <v>10.612</v>
      </c>
      <c r="H1858" s="344" t="s">
        <v>1099</v>
      </c>
    </row>
    <row r="1859" spans="1:8">
      <c r="A1859" s="1"/>
      <c r="B1859" s="1"/>
      <c r="C1859" s="1"/>
      <c r="D1859" s="1"/>
      <c r="E1859" s="357">
        <v>44483</v>
      </c>
      <c r="F1859" s="344" t="s">
        <v>628</v>
      </c>
      <c r="G1859" s="358">
        <v>12.5098</v>
      </c>
      <c r="H1859" s="344" t="s">
        <v>1099</v>
      </c>
    </row>
    <row r="1860" spans="1:8">
      <c r="A1860" s="1"/>
      <c r="B1860" s="1"/>
      <c r="C1860" s="1"/>
      <c r="D1860" s="1"/>
      <c r="E1860" s="357">
        <v>44483</v>
      </c>
      <c r="F1860" s="344" t="s">
        <v>631</v>
      </c>
      <c r="G1860" s="358">
        <v>9.1416000000000004</v>
      </c>
      <c r="H1860" s="344" t="s">
        <v>1099</v>
      </c>
    </row>
    <row r="1861" spans="1:8">
      <c r="A1861" s="1"/>
      <c r="B1861" s="1"/>
      <c r="C1861" s="1"/>
      <c r="D1861" s="1"/>
      <c r="E1861" s="357">
        <v>44484</v>
      </c>
      <c r="F1861" s="344" t="s">
        <v>621</v>
      </c>
      <c r="G1861" s="358">
        <v>9.9393999999999991</v>
      </c>
      <c r="H1861" s="344" t="s">
        <v>1100</v>
      </c>
    </row>
    <row r="1862" spans="1:8">
      <c r="A1862" s="1"/>
      <c r="B1862" s="1"/>
      <c r="C1862" s="1"/>
      <c r="D1862" s="1"/>
      <c r="E1862" s="357">
        <v>44484</v>
      </c>
      <c r="F1862" s="344" t="s">
        <v>625</v>
      </c>
      <c r="G1862" s="358">
        <v>10.6785</v>
      </c>
      <c r="H1862" s="344" t="s">
        <v>1100</v>
      </c>
    </row>
    <row r="1863" spans="1:8">
      <c r="A1863" s="1"/>
      <c r="B1863" s="1"/>
      <c r="C1863" s="1"/>
      <c r="D1863" s="1"/>
      <c r="E1863" s="357">
        <v>44484</v>
      </c>
      <c r="F1863" s="344" t="s">
        <v>628</v>
      </c>
      <c r="G1863" s="358">
        <v>12.607100000000001</v>
      </c>
      <c r="H1863" s="344" t="s">
        <v>1100</v>
      </c>
    </row>
    <row r="1864" spans="1:8">
      <c r="A1864" s="1"/>
      <c r="B1864" s="1"/>
      <c r="C1864" s="1"/>
      <c r="D1864" s="1"/>
      <c r="E1864" s="357">
        <v>44484</v>
      </c>
      <c r="F1864" s="344" t="s">
        <v>631</v>
      </c>
      <c r="G1864" s="358">
        <v>9.1992999999999991</v>
      </c>
      <c r="H1864" s="344" t="s">
        <v>1100</v>
      </c>
    </row>
    <row r="1865" spans="1:8">
      <c r="A1865" s="1"/>
      <c r="B1865" s="1"/>
      <c r="C1865" s="1"/>
      <c r="D1865" s="1"/>
      <c r="E1865" s="357">
        <v>44487</v>
      </c>
      <c r="F1865" s="344" t="s">
        <v>621</v>
      </c>
      <c r="G1865" s="358">
        <v>9.9876000000000005</v>
      </c>
      <c r="H1865" s="344" t="s">
        <v>1101</v>
      </c>
    </row>
    <row r="1866" spans="1:8">
      <c r="A1866" s="1"/>
      <c r="B1866" s="1"/>
      <c r="C1866" s="1"/>
      <c r="D1866" s="1"/>
      <c r="E1866" s="357">
        <v>44487</v>
      </c>
      <c r="F1866" s="344" t="s">
        <v>625</v>
      </c>
      <c r="G1866" s="358">
        <v>10.737500000000001</v>
      </c>
      <c r="H1866" s="344" t="s">
        <v>1101</v>
      </c>
    </row>
    <row r="1867" spans="1:8">
      <c r="A1867" s="1"/>
      <c r="B1867" s="1"/>
      <c r="C1867" s="1"/>
      <c r="D1867" s="1"/>
      <c r="E1867" s="357">
        <v>44487</v>
      </c>
      <c r="F1867" s="344" t="s">
        <v>628</v>
      </c>
      <c r="G1867" s="358">
        <v>12.7042</v>
      </c>
      <c r="H1867" s="344" t="s">
        <v>1101</v>
      </c>
    </row>
    <row r="1868" spans="1:8">
      <c r="A1868" s="1"/>
      <c r="B1868" s="1"/>
      <c r="C1868" s="1"/>
      <c r="D1868" s="1"/>
      <c r="E1868" s="357">
        <v>44487</v>
      </c>
      <c r="F1868" s="344" t="s">
        <v>631</v>
      </c>
      <c r="G1868" s="358">
        <v>9.2667000000000002</v>
      </c>
      <c r="H1868" s="344" t="s">
        <v>1101</v>
      </c>
    </row>
    <row r="1869" spans="1:8">
      <c r="A1869" s="1"/>
      <c r="B1869" s="1"/>
      <c r="C1869" s="1"/>
      <c r="D1869" s="1"/>
      <c r="E1869" s="357">
        <v>44488</v>
      </c>
      <c r="F1869" s="344" t="s">
        <v>621</v>
      </c>
      <c r="G1869" s="358">
        <v>10.074</v>
      </c>
      <c r="H1869" s="344" t="s">
        <v>1102</v>
      </c>
    </row>
    <row r="1870" spans="1:8">
      <c r="A1870" s="1"/>
      <c r="B1870" s="1"/>
      <c r="C1870" s="1"/>
      <c r="D1870" s="1"/>
      <c r="E1870" s="357">
        <v>44488</v>
      </c>
      <c r="F1870" s="344" t="s">
        <v>625</v>
      </c>
      <c r="G1870" s="358">
        <v>10.823700000000001</v>
      </c>
      <c r="H1870" s="344" t="s">
        <v>1102</v>
      </c>
    </row>
    <row r="1871" spans="1:8">
      <c r="A1871" s="1"/>
      <c r="B1871" s="1"/>
      <c r="C1871" s="1"/>
      <c r="D1871" s="1"/>
      <c r="E1871" s="357">
        <v>44488</v>
      </c>
      <c r="F1871" s="344" t="s">
        <v>628</v>
      </c>
      <c r="G1871" s="358">
        <v>12.7928</v>
      </c>
      <c r="H1871" s="344" t="s">
        <v>1102</v>
      </c>
    </row>
    <row r="1872" spans="1:8">
      <c r="A1872" s="1"/>
      <c r="B1872" s="1"/>
      <c r="C1872" s="1"/>
      <c r="D1872" s="1"/>
      <c r="E1872" s="357">
        <v>44488</v>
      </c>
      <c r="F1872" s="344" t="s">
        <v>631</v>
      </c>
      <c r="G1872" s="358">
        <v>9.2844999999999995</v>
      </c>
      <c r="H1872" s="344" t="s">
        <v>1102</v>
      </c>
    </row>
    <row r="1873" spans="1:8">
      <c r="A1873" s="1"/>
      <c r="B1873" s="1"/>
      <c r="C1873" s="1"/>
      <c r="D1873" s="1"/>
      <c r="E1873" s="357">
        <v>44489</v>
      </c>
      <c r="F1873" s="344" t="s">
        <v>621</v>
      </c>
      <c r="G1873" s="358">
        <v>10.0556</v>
      </c>
      <c r="H1873" s="344" t="s">
        <v>1103</v>
      </c>
    </row>
    <row r="1874" spans="1:8">
      <c r="A1874" s="1"/>
      <c r="B1874" s="1"/>
      <c r="C1874" s="1"/>
      <c r="D1874" s="1"/>
      <c r="E1874" s="357">
        <v>44489</v>
      </c>
      <c r="F1874" s="344" t="s">
        <v>625</v>
      </c>
      <c r="G1874" s="358">
        <v>10.8308</v>
      </c>
      <c r="H1874" s="344" t="s">
        <v>1103</v>
      </c>
    </row>
    <row r="1875" spans="1:8">
      <c r="A1875" s="1"/>
      <c r="B1875" s="1"/>
      <c r="C1875" s="1"/>
      <c r="D1875" s="1"/>
      <c r="E1875" s="357">
        <v>44489</v>
      </c>
      <c r="F1875" s="344" t="s">
        <v>628</v>
      </c>
      <c r="G1875" s="358">
        <v>12.802199999999999</v>
      </c>
      <c r="H1875" s="344" t="s">
        <v>1103</v>
      </c>
    </row>
    <row r="1876" spans="1:8">
      <c r="A1876" s="1"/>
      <c r="B1876" s="1"/>
      <c r="C1876" s="1"/>
      <c r="D1876" s="1"/>
      <c r="E1876" s="357">
        <v>44489</v>
      </c>
      <c r="F1876" s="344" t="s">
        <v>631</v>
      </c>
      <c r="G1876" s="358">
        <v>9.3140000000000001</v>
      </c>
      <c r="H1876" s="344" t="s">
        <v>1103</v>
      </c>
    </row>
    <row r="1877" spans="1:8">
      <c r="A1877" s="1"/>
      <c r="B1877" s="1"/>
      <c r="C1877" s="1"/>
      <c r="D1877" s="1"/>
      <c r="E1877" s="357">
        <v>44490</v>
      </c>
      <c r="F1877" s="344" t="s">
        <v>621</v>
      </c>
      <c r="G1877" s="358">
        <v>10.0783</v>
      </c>
      <c r="H1877" s="344" t="s">
        <v>1104</v>
      </c>
    </row>
    <row r="1878" spans="1:8">
      <c r="A1878" s="1"/>
      <c r="B1878" s="1"/>
      <c r="C1878" s="1"/>
      <c r="D1878" s="1"/>
      <c r="E1878" s="357">
        <v>44490</v>
      </c>
      <c r="F1878" s="344" t="s">
        <v>625</v>
      </c>
      <c r="G1878" s="358">
        <v>10.8108</v>
      </c>
      <c r="H1878" s="344" t="s">
        <v>1104</v>
      </c>
    </row>
    <row r="1879" spans="1:8">
      <c r="A1879" s="1"/>
      <c r="B1879" s="1"/>
      <c r="C1879" s="1"/>
      <c r="D1879" s="1"/>
      <c r="E1879" s="357">
        <v>44490</v>
      </c>
      <c r="F1879" s="344" t="s">
        <v>628</v>
      </c>
      <c r="G1879" s="358">
        <v>12.798999999999999</v>
      </c>
      <c r="H1879" s="344" t="s">
        <v>1104</v>
      </c>
    </row>
    <row r="1880" spans="1:8">
      <c r="A1880" s="1"/>
      <c r="B1880" s="1"/>
      <c r="C1880" s="1"/>
      <c r="D1880" s="1"/>
      <c r="E1880" s="357">
        <v>44490</v>
      </c>
      <c r="F1880" s="344" t="s">
        <v>631</v>
      </c>
      <c r="G1880" s="358">
        <v>9.2857000000000003</v>
      </c>
      <c r="H1880" s="344" t="s">
        <v>1104</v>
      </c>
    </row>
    <row r="1881" spans="1:8">
      <c r="A1881" s="1"/>
      <c r="B1881" s="1"/>
      <c r="C1881" s="1"/>
      <c r="D1881" s="1"/>
      <c r="E1881" s="357">
        <v>44491</v>
      </c>
      <c r="F1881" s="344" t="s">
        <v>621</v>
      </c>
      <c r="G1881" s="358">
        <v>10.4293</v>
      </c>
      <c r="H1881" s="344" t="s">
        <v>1105</v>
      </c>
    </row>
    <row r="1882" spans="1:8">
      <c r="A1882" s="1"/>
      <c r="B1882" s="1"/>
      <c r="C1882" s="1"/>
      <c r="D1882" s="1"/>
      <c r="E1882" s="357">
        <v>44491</v>
      </c>
      <c r="F1882" s="344" t="s">
        <v>625</v>
      </c>
      <c r="G1882" s="358">
        <v>11.156599999999999</v>
      </c>
      <c r="H1882" s="344" t="s">
        <v>1105</v>
      </c>
    </row>
    <row r="1883" spans="1:8">
      <c r="A1883" s="1"/>
      <c r="B1883" s="1"/>
      <c r="C1883" s="1"/>
      <c r="D1883" s="1"/>
      <c r="E1883" s="357">
        <v>44491</v>
      </c>
      <c r="F1883" s="344" t="s">
        <v>628</v>
      </c>
      <c r="G1883" s="358">
        <v>13.199</v>
      </c>
      <c r="H1883" s="344" t="s">
        <v>1105</v>
      </c>
    </row>
    <row r="1884" spans="1:8">
      <c r="A1884" s="1"/>
      <c r="B1884" s="1"/>
      <c r="C1884" s="1"/>
      <c r="D1884" s="1"/>
      <c r="E1884" s="357">
        <v>44491</v>
      </c>
      <c r="F1884" s="344" t="s">
        <v>631</v>
      </c>
      <c r="G1884" s="358">
        <v>9.5860000000000003</v>
      </c>
      <c r="H1884" s="344" t="s">
        <v>1105</v>
      </c>
    </row>
    <row r="1885" spans="1:8">
      <c r="A1885" s="1"/>
      <c r="B1885" s="1"/>
      <c r="C1885" s="1"/>
      <c r="D1885" s="1"/>
      <c r="E1885" s="357">
        <v>44494</v>
      </c>
      <c r="F1885" s="344" t="s">
        <v>621</v>
      </c>
      <c r="G1885" s="358">
        <v>10.580299999999999</v>
      </c>
      <c r="H1885" s="344" t="s">
        <v>1106</v>
      </c>
    </row>
    <row r="1886" spans="1:8">
      <c r="A1886" s="1"/>
      <c r="B1886" s="1"/>
      <c r="C1886" s="1"/>
      <c r="D1886" s="1"/>
      <c r="E1886" s="357">
        <v>44494</v>
      </c>
      <c r="F1886" s="344" t="s">
        <v>625</v>
      </c>
      <c r="G1886" s="358">
        <v>11.3283</v>
      </c>
      <c r="H1886" s="344" t="s">
        <v>1106</v>
      </c>
    </row>
    <row r="1887" spans="1:8">
      <c r="A1887" s="1"/>
      <c r="B1887" s="1"/>
      <c r="C1887" s="1"/>
      <c r="D1887" s="1"/>
      <c r="E1887" s="357">
        <v>44494</v>
      </c>
      <c r="F1887" s="344" t="s">
        <v>628</v>
      </c>
      <c r="G1887" s="358">
        <v>13.381399999999999</v>
      </c>
      <c r="H1887" s="344" t="s">
        <v>1106</v>
      </c>
    </row>
    <row r="1888" spans="1:8">
      <c r="A1888" s="1"/>
      <c r="B1888" s="1"/>
      <c r="C1888" s="1"/>
      <c r="D1888" s="1"/>
      <c r="E1888" s="357">
        <v>44494</v>
      </c>
      <c r="F1888" s="344" t="s">
        <v>631</v>
      </c>
      <c r="G1888" s="358">
        <v>9.7362000000000002</v>
      </c>
      <c r="H1888" s="344" t="s">
        <v>1106</v>
      </c>
    </row>
    <row r="1889" spans="1:8">
      <c r="A1889" s="1"/>
      <c r="B1889" s="1"/>
      <c r="C1889" s="1"/>
      <c r="D1889" s="1"/>
      <c r="E1889" s="357">
        <v>44495</v>
      </c>
      <c r="F1889" s="344" t="s">
        <v>621</v>
      </c>
      <c r="G1889" s="358">
        <v>10.25</v>
      </c>
      <c r="H1889" s="344" t="s">
        <v>1107</v>
      </c>
    </row>
    <row r="1890" spans="1:8">
      <c r="A1890" s="1"/>
      <c r="B1890" s="1"/>
      <c r="C1890" s="1"/>
      <c r="D1890" s="1"/>
      <c r="E1890" s="357">
        <v>44495</v>
      </c>
      <c r="F1890" s="344" t="s">
        <v>625</v>
      </c>
      <c r="G1890" s="358">
        <v>10.981199999999999</v>
      </c>
      <c r="H1890" s="344" t="s">
        <v>1107</v>
      </c>
    </row>
    <row r="1891" spans="1:8">
      <c r="A1891" s="1"/>
      <c r="B1891" s="1"/>
      <c r="C1891" s="1"/>
      <c r="D1891" s="1"/>
      <c r="E1891" s="357">
        <v>44495</v>
      </c>
      <c r="F1891" s="344" t="s">
        <v>628</v>
      </c>
      <c r="G1891" s="358">
        <v>13.0228</v>
      </c>
      <c r="H1891" s="344" t="s">
        <v>1107</v>
      </c>
    </row>
    <row r="1892" spans="1:8">
      <c r="A1892" s="1"/>
      <c r="B1892" s="1"/>
      <c r="C1892" s="1"/>
      <c r="D1892" s="1"/>
      <c r="E1892" s="357">
        <v>44495</v>
      </c>
      <c r="F1892" s="344" t="s">
        <v>631</v>
      </c>
      <c r="G1892" s="358">
        <v>9.4574999999999996</v>
      </c>
      <c r="H1892" s="344" t="s">
        <v>1107</v>
      </c>
    </row>
    <row r="1893" spans="1:8">
      <c r="A1893" s="1"/>
      <c r="B1893" s="1"/>
      <c r="C1893" s="1"/>
      <c r="D1893" s="1"/>
      <c r="E1893" s="357">
        <v>44496</v>
      </c>
      <c r="F1893" s="344" t="s">
        <v>621</v>
      </c>
      <c r="G1893" s="358">
        <v>10.296799999999999</v>
      </c>
      <c r="H1893" s="344" t="s">
        <v>1108</v>
      </c>
    </row>
    <row r="1894" spans="1:8">
      <c r="A1894" s="1"/>
      <c r="B1894" s="1"/>
      <c r="C1894" s="1"/>
      <c r="D1894" s="1"/>
      <c r="E1894" s="357">
        <v>44496</v>
      </c>
      <c r="F1894" s="344" t="s">
        <v>625</v>
      </c>
      <c r="G1894" s="358">
        <v>10.997999999999999</v>
      </c>
      <c r="H1894" s="344" t="s">
        <v>1108</v>
      </c>
    </row>
    <row r="1895" spans="1:8">
      <c r="A1895" s="1"/>
      <c r="B1895" s="1"/>
      <c r="C1895" s="1"/>
      <c r="D1895" s="1"/>
      <c r="E1895" s="357">
        <v>44496</v>
      </c>
      <c r="F1895" s="344" t="s">
        <v>628</v>
      </c>
      <c r="G1895" s="358">
        <v>13.0023</v>
      </c>
      <c r="H1895" s="344" t="s">
        <v>1108</v>
      </c>
    </row>
    <row r="1896" spans="1:8">
      <c r="A1896" s="1"/>
      <c r="B1896" s="1"/>
      <c r="C1896" s="1"/>
      <c r="D1896" s="1"/>
      <c r="E1896" s="357">
        <v>44496</v>
      </c>
      <c r="F1896" s="344" t="s">
        <v>631</v>
      </c>
      <c r="G1896" s="358">
        <v>9.4812999999999992</v>
      </c>
      <c r="H1896" s="344" t="s">
        <v>1108</v>
      </c>
    </row>
    <row r="1897" spans="1:8">
      <c r="A1897" s="1"/>
      <c r="B1897" s="1"/>
      <c r="C1897" s="1"/>
      <c r="D1897" s="1"/>
      <c r="E1897" s="357">
        <v>44501</v>
      </c>
      <c r="F1897" s="344" t="s">
        <v>621</v>
      </c>
      <c r="G1897" s="358">
        <v>10.384399999999999</v>
      </c>
      <c r="H1897" s="344" t="s">
        <v>1109</v>
      </c>
    </row>
    <row r="1898" spans="1:8">
      <c r="A1898" s="1"/>
      <c r="B1898" s="1"/>
      <c r="C1898" s="1"/>
      <c r="D1898" s="1"/>
      <c r="E1898" s="357">
        <v>44501</v>
      </c>
      <c r="F1898" s="344" t="s">
        <v>625</v>
      </c>
      <c r="G1898" s="358">
        <v>11.021599999999999</v>
      </c>
      <c r="H1898" s="344" t="s">
        <v>1109</v>
      </c>
    </row>
    <row r="1899" spans="1:8">
      <c r="A1899" s="1"/>
      <c r="B1899" s="1"/>
      <c r="C1899" s="1"/>
      <c r="D1899" s="1"/>
      <c r="E1899" s="357">
        <v>44501</v>
      </c>
      <c r="F1899" s="344" t="s">
        <v>628</v>
      </c>
      <c r="G1899" s="358">
        <v>12.994300000000001</v>
      </c>
      <c r="H1899" s="344" t="s">
        <v>1109</v>
      </c>
    </row>
    <row r="1900" spans="1:8">
      <c r="A1900" s="1"/>
      <c r="B1900" s="1"/>
      <c r="C1900" s="1"/>
      <c r="D1900" s="1"/>
      <c r="E1900" s="357">
        <v>44501</v>
      </c>
      <c r="F1900" s="344" t="s">
        <v>631</v>
      </c>
      <c r="G1900" s="358">
        <v>9.5287000000000006</v>
      </c>
      <c r="H1900" s="344" t="s">
        <v>1109</v>
      </c>
    </row>
    <row r="1901" spans="1:8">
      <c r="A1901" s="1"/>
      <c r="B1901" s="1"/>
      <c r="C1901" s="1"/>
      <c r="D1901" s="1"/>
      <c r="E1901" s="357">
        <v>44502</v>
      </c>
      <c r="F1901" s="344" t="s">
        <v>621</v>
      </c>
      <c r="G1901" s="358">
        <v>10.419600000000001</v>
      </c>
      <c r="H1901" s="344" t="s">
        <v>1110</v>
      </c>
    </row>
    <row r="1902" spans="1:8">
      <c r="A1902" s="1"/>
      <c r="B1902" s="1"/>
      <c r="C1902" s="1"/>
      <c r="D1902" s="1"/>
      <c r="E1902" s="357">
        <v>44502</v>
      </c>
      <c r="F1902" s="344" t="s">
        <v>625</v>
      </c>
      <c r="G1902" s="358">
        <v>11.0413</v>
      </c>
      <c r="H1902" s="344" t="s">
        <v>1110</v>
      </c>
    </row>
    <row r="1903" spans="1:8">
      <c r="A1903" s="1"/>
      <c r="B1903" s="1"/>
      <c r="C1903" s="1"/>
      <c r="D1903" s="1"/>
      <c r="E1903" s="357">
        <v>44502</v>
      </c>
      <c r="F1903" s="344" t="s">
        <v>628</v>
      </c>
      <c r="G1903" s="358">
        <v>12.964399999999999</v>
      </c>
      <c r="H1903" s="344" t="s">
        <v>1110</v>
      </c>
    </row>
    <row r="1904" spans="1:8">
      <c r="A1904" s="1"/>
      <c r="B1904" s="1"/>
      <c r="C1904" s="1"/>
      <c r="D1904" s="1"/>
      <c r="E1904" s="357">
        <v>44502</v>
      </c>
      <c r="F1904" s="344" t="s">
        <v>631</v>
      </c>
      <c r="G1904" s="358">
        <v>9.5170999999999992</v>
      </c>
      <c r="H1904" s="344" t="s">
        <v>1110</v>
      </c>
    </row>
    <row r="1905" spans="1:8">
      <c r="A1905" s="1"/>
      <c r="B1905" s="1"/>
      <c r="C1905" s="1"/>
      <c r="D1905" s="1"/>
      <c r="E1905" s="357">
        <v>44503</v>
      </c>
      <c r="F1905" s="344" t="s">
        <v>621</v>
      </c>
      <c r="G1905" s="358">
        <v>10.561</v>
      </c>
      <c r="H1905" s="344" t="s">
        <v>1111</v>
      </c>
    </row>
    <row r="1906" spans="1:8">
      <c r="A1906" s="1"/>
      <c r="B1906" s="1"/>
      <c r="C1906" s="1"/>
      <c r="D1906" s="1"/>
      <c r="E1906" s="357">
        <v>44503</v>
      </c>
      <c r="F1906" s="344" t="s">
        <v>625</v>
      </c>
      <c r="G1906" s="358">
        <v>11.1892</v>
      </c>
      <c r="H1906" s="344" t="s">
        <v>1111</v>
      </c>
    </row>
    <row r="1907" spans="1:8">
      <c r="A1907" s="1"/>
      <c r="B1907" s="1"/>
      <c r="C1907" s="1"/>
      <c r="D1907" s="1"/>
      <c r="E1907" s="357">
        <v>44503</v>
      </c>
      <c r="F1907" s="344" t="s">
        <v>628</v>
      </c>
      <c r="G1907" s="358">
        <v>13.139900000000001</v>
      </c>
      <c r="H1907" s="344" t="s">
        <v>1111</v>
      </c>
    </row>
    <row r="1908" spans="1:8">
      <c r="A1908" s="1"/>
      <c r="B1908" s="1"/>
      <c r="C1908" s="1"/>
      <c r="D1908" s="1"/>
      <c r="E1908" s="357">
        <v>44503</v>
      </c>
      <c r="F1908" s="344" t="s">
        <v>631</v>
      </c>
      <c r="G1908" s="358">
        <v>9.657</v>
      </c>
      <c r="H1908" s="344" t="s">
        <v>1111</v>
      </c>
    </row>
    <row r="1909" spans="1:8">
      <c r="A1909" s="1"/>
      <c r="B1909" s="1"/>
      <c r="C1909" s="1"/>
      <c r="D1909" s="1"/>
      <c r="E1909" s="357">
        <v>44504</v>
      </c>
      <c r="F1909" s="344" t="s">
        <v>621</v>
      </c>
      <c r="G1909" s="358">
        <v>10.5829</v>
      </c>
      <c r="H1909" s="344" t="s">
        <v>1112</v>
      </c>
    </row>
    <row r="1910" spans="1:8">
      <c r="A1910" s="1"/>
      <c r="B1910" s="1"/>
      <c r="C1910" s="1"/>
      <c r="D1910" s="1"/>
      <c r="E1910" s="357">
        <v>44504</v>
      </c>
      <c r="F1910" s="344" t="s">
        <v>625</v>
      </c>
      <c r="G1910" s="358">
        <v>11.199</v>
      </c>
      <c r="H1910" s="344" t="s">
        <v>1112</v>
      </c>
    </row>
    <row r="1911" spans="1:8">
      <c r="A1911" s="1"/>
      <c r="B1911" s="1"/>
      <c r="C1911" s="1"/>
      <c r="D1911" s="1"/>
      <c r="E1911" s="357">
        <v>44504</v>
      </c>
      <c r="F1911" s="344" t="s">
        <v>628</v>
      </c>
      <c r="G1911" s="358">
        <v>13.195600000000001</v>
      </c>
      <c r="H1911" s="344" t="s">
        <v>1112</v>
      </c>
    </row>
    <row r="1912" spans="1:8">
      <c r="A1912" s="1"/>
      <c r="B1912" s="1"/>
      <c r="C1912" s="1"/>
      <c r="D1912" s="1"/>
      <c r="E1912" s="357">
        <v>44504</v>
      </c>
      <c r="F1912" s="344" t="s">
        <v>631</v>
      </c>
      <c r="G1912" s="358">
        <v>9.6883999999999997</v>
      </c>
      <c r="H1912" s="344" t="s">
        <v>1112</v>
      </c>
    </row>
    <row r="1913" spans="1:8">
      <c r="A1913" s="1"/>
      <c r="B1913" s="1"/>
      <c r="C1913" s="1"/>
      <c r="D1913" s="1"/>
      <c r="E1913" s="357">
        <v>44505</v>
      </c>
      <c r="F1913" s="344" t="s">
        <v>621</v>
      </c>
      <c r="G1913" s="358">
        <v>10.581300000000001</v>
      </c>
      <c r="H1913" s="344" t="s">
        <v>1113</v>
      </c>
    </row>
    <row r="1914" spans="1:8">
      <c r="A1914" s="1"/>
      <c r="B1914" s="1"/>
      <c r="C1914" s="1"/>
      <c r="D1914" s="1"/>
      <c r="E1914" s="357">
        <v>44505</v>
      </c>
      <c r="F1914" s="344" t="s">
        <v>625</v>
      </c>
      <c r="G1914" s="358">
        <v>11.1995</v>
      </c>
      <c r="H1914" s="344" t="s">
        <v>1113</v>
      </c>
    </row>
    <row r="1915" spans="1:8">
      <c r="A1915" s="1"/>
      <c r="B1915" s="1"/>
      <c r="C1915" s="1"/>
      <c r="D1915" s="1"/>
      <c r="E1915" s="357">
        <v>44505</v>
      </c>
      <c r="F1915" s="344" t="s">
        <v>628</v>
      </c>
      <c r="G1915" s="358">
        <v>13.035500000000001</v>
      </c>
      <c r="H1915" s="344" t="s">
        <v>1113</v>
      </c>
    </row>
    <row r="1916" spans="1:8">
      <c r="A1916" s="1"/>
      <c r="B1916" s="1"/>
      <c r="C1916" s="1"/>
      <c r="D1916" s="1"/>
      <c r="E1916" s="357">
        <v>44505</v>
      </c>
      <c r="F1916" s="344" t="s">
        <v>631</v>
      </c>
      <c r="G1916" s="358">
        <v>9.6999999999999993</v>
      </c>
      <c r="H1916" s="344" t="s">
        <v>1113</v>
      </c>
    </row>
    <row r="1917" spans="1:8">
      <c r="A1917" s="1"/>
      <c r="B1917" s="1"/>
      <c r="C1917" s="1"/>
      <c r="D1917" s="1"/>
      <c r="E1917" s="357">
        <v>44508</v>
      </c>
      <c r="F1917" s="344" t="s">
        <v>621</v>
      </c>
      <c r="G1917" s="358">
        <v>10.566000000000001</v>
      </c>
      <c r="H1917" s="344" t="s">
        <v>1114</v>
      </c>
    </row>
    <row r="1918" spans="1:8">
      <c r="A1918" s="1"/>
      <c r="B1918" s="1"/>
      <c r="C1918" s="1"/>
      <c r="D1918" s="1"/>
      <c r="E1918" s="357">
        <v>44508</v>
      </c>
      <c r="F1918" s="344" t="s">
        <v>625</v>
      </c>
      <c r="G1918" s="358">
        <v>11.2013</v>
      </c>
      <c r="H1918" s="344" t="s">
        <v>1114</v>
      </c>
    </row>
    <row r="1919" spans="1:8">
      <c r="A1919" s="1"/>
      <c r="B1919" s="1"/>
      <c r="C1919" s="1"/>
      <c r="D1919" s="1"/>
      <c r="E1919" s="357">
        <v>44508</v>
      </c>
      <c r="F1919" s="344" t="s">
        <v>628</v>
      </c>
      <c r="G1919" s="358">
        <v>13.0434</v>
      </c>
      <c r="H1919" s="344" t="s">
        <v>1114</v>
      </c>
    </row>
    <row r="1920" spans="1:8">
      <c r="A1920" s="1"/>
      <c r="B1920" s="1"/>
      <c r="C1920" s="1"/>
      <c r="D1920" s="1"/>
      <c r="E1920" s="357">
        <v>44508</v>
      </c>
      <c r="F1920" s="344" t="s">
        <v>631</v>
      </c>
      <c r="G1920" s="358">
        <v>9.6847999999999992</v>
      </c>
      <c r="H1920" s="344" t="s">
        <v>1114</v>
      </c>
    </row>
    <row r="1921" spans="1:8">
      <c r="A1921" s="1"/>
      <c r="B1921" s="1"/>
      <c r="C1921" s="1"/>
      <c r="D1921" s="1"/>
      <c r="E1921" s="357">
        <v>44509</v>
      </c>
      <c r="F1921" s="344" t="s">
        <v>621</v>
      </c>
      <c r="G1921" s="358">
        <v>10.6013</v>
      </c>
      <c r="H1921" s="344" t="s">
        <v>1115</v>
      </c>
    </row>
    <row r="1922" spans="1:8">
      <c r="A1922" s="1"/>
      <c r="B1922" s="1"/>
      <c r="C1922" s="1"/>
      <c r="D1922" s="1"/>
      <c r="E1922" s="357">
        <v>44509</v>
      </c>
      <c r="F1922" s="344" t="s">
        <v>625</v>
      </c>
      <c r="G1922" s="358">
        <v>11.2469</v>
      </c>
      <c r="H1922" s="344" t="s">
        <v>1115</v>
      </c>
    </row>
    <row r="1923" spans="1:8">
      <c r="A1923" s="1"/>
      <c r="B1923" s="1"/>
      <c r="C1923" s="1"/>
      <c r="D1923" s="1"/>
      <c r="E1923" s="357">
        <v>44509</v>
      </c>
      <c r="F1923" s="344" t="s">
        <v>628</v>
      </c>
      <c r="G1923" s="358">
        <v>13.151300000000001</v>
      </c>
      <c r="H1923" s="344" t="s">
        <v>1115</v>
      </c>
    </row>
    <row r="1924" spans="1:8">
      <c r="A1924" s="1"/>
      <c r="B1924" s="1"/>
      <c r="C1924" s="1"/>
      <c r="D1924" s="1"/>
      <c r="E1924" s="357">
        <v>44509</v>
      </c>
      <c r="F1924" s="344" t="s">
        <v>631</v>
      </c>
      <c r="G1924" s="358">
        <v>9.7028999999999996</v>
      </c>
      <c r="H1924" s="344" t="s">
        <v>1115</v>
      </c>
    </row>
    <row r="1925" spans="1:8">
      <c r="A1925" s="1"/>
      <c r="B1925" s="1"/>
      <c r="C1925" s="1"/>
      <c r="D1925" s="1"/>
      <c r="E1925" s="357">
        <v>44510</v>
      </c>
      <c r="F1925" s="344" t="s">
        <v>621</v>
      </c>
      <c r="G1925" s="358">
        <v>10.690099999999999</v>
      </c>
      <c r="H1925" s="344" t="s">
        <v>1116</v>
      </c>
    </row>
    <row r="1926" spans="1:8">
      <c r="A1926" s="1"/>
      <c r="B1926" s="1"/>
      <c r="C1926" s="1"/>
      <c r="D1926" s="1"/>
      <c r="E1926" s="357">
        <v>44510</v>
      </c>
      <c r="F1926" s="344" t="s">
        <v>625</v>
      </c>
      <c r="G1926" s="358">
        <v>11.3156</v>
      </c>
      <c r="H1926" s="344" t="s">
        <v>1116</v>
      </c>
    </row>
    <row r="1927" spans="1:8">
      <c r="A1927" s="1"/>
      <c r="B1927" s="1"/>
      <c r="C1927" s="1"/>
      <c r="D1927" s="1"/>
      <c r="E1927" s="357">
        <v>44510</v>
      </c>
      <c r="F1927" s="344" t="s">
        <v>628</v>
      </c>
      <c r="G1927" s="358">
        <v>13.2194</v>
      </c>
      <c r="H1927" s="344" t="s">
        <v>1116</v>
      </c>
    </row>
    <row r="1928" spans="1:8">
      <c r="A1928" s="1"/>
      <c r="B1928" s="1"/>
      <c r="C1928" s="1"/>
      <c r="D1928" s="1"/>
      <c r="E1928" s="357">
        <v>44510</v>
      </c>
      <c r="F1928" s="344" t="s">
        <v>631</v>
      </c>
      <c r="G1928" s="358">
        <v>9.7812000000000001</v>
      </c>
      <c r="H1928" s="344" t="s">
        <v>1116</v>
      </c>
    </row>
    <row r="1929" spans="1:8">
      <c r="A1929" s="1"/>
      <c r="B1929" s="1"/>
      <c r="C1929" s="1"/>
      <c r="D1929" s="1"/>
      <c r="E1929" s="357">
        <v>44511</v>
      </c>
      <c r="F1929" s="344" t="s">
        <v>621</v>
      </c>
      <c r="G1929" s="358">
        <v>10.756500000000001</v>
      </c>
      <c r="H1929" s="344" t="s">
        <v>1117</v>
      </c>
    </row>
    <row r="1930" spans="1:8">
      <c r="A1930" s="1"/>
      <c r="B1930" s="1"/>
      <c r="C1930" s="1"/>
      <c r="D1930" s="1"/>
      <c r="E1930" s="357">
        <v>44511</v>
      </c>
      <c r="F1930" s="344" t="s">
        <v>625</v>
      </c>
      <c r="G1930" s="358">
        <v>11.3726</v>
      </c>
      <c r="H1930" s="344" t="s">
        <v>1117</v>
      </c>
    </row>
    <row r="1931" spans="1:8">
      <c r="A1931" s="1"/>
      <c r="B1931" s="1"/>
      <c r="C1931" s="1"/>
      <c r="D1931" s="1"/>
      <c r="E1931" s="357">
        <v>44511</v>
      </c>
      <c r="F1931" s="344" t="s">
        <v>628</v>
      </c>
      <c r="G1931" s="358">
        <v>13.2646</v>
      </c>
      <c r="H1931" s="344" t="s">
        <v>1117</v>
      </c>
    </row>
    <row r="1932" spans="1:8">
      <c r="A1932" s="1"/>
      <c r="B1932" s="1"/>
      <c r="C1932" s="1"/>
      <c r="D1932" s="1"/>
      <c r="E1932" s="357">
        <v>44511</v>
      </c>
      <c r="F1932" s="344" t="s">
        <v>631</v>
      </c>
      <c r="G1932" s="358">
        <v>9.9169999999999998</v>
      </c>
      <c r="H1932" s="344" t="s">
        <v>1117</v>
      </c>
    </row>
    <row r="1933" spans="1:8">
      <c r="A1933" s="1"/>
      <c r="B1933" s="1"/>
      <c r="C1933" s="1"/>
      <c r="D1933" s="1"/>
      <c r="E1933" s="357">
        <v>44512</v>
      </c>
      <c r="F1933" s="344" t="s">
        <v>621</v>
      </c>
      <c r="G1933" s="358">
        <v>10.7218</v>
      </c>
      <c r="H1933" s="344" t="s">
        <v>1118</v>
      </c>
    </row>
    <row r="1934" spans="1:8">
      <c r="A1934" s="1"/>
      <c r="B1934" s="1"/>
      <c r="C1934" s="1"/>
      <c r="D1934" s="1"/>
      <c r="E1934" s="357">
        <v>44512</v>
      </c>
      <c r="F1934" s="344" t="s">
        <v>625</v>
      </c>
      <c r="G1934" s="358">
        <v>11.344799999999999</v>
      </c>
      <c r="H1934" s="344" t="s">
        <v>1118</v>
      </c>
    </row>
    <row r="1935" spans="1:8">
      <c r="A1935" s="1"/>
      <c r="B1935" s="1"/>
      <c r="C1935" s="1"/>
      <c r="D1935" s="1"/>
      <c r="E1935" s="357">
        <v>44512</v>
      </c>
      <c r="F1935" s="344" t="s">
        <v>628</v>
      </c>
      <c r="G1935" s="358">
        <v>13.2486</v>
      </c>
      <c r="H1935" s="344" t="s">
        <v>1118</v>
      </c>
    </row>
    <row r="1936" spans="1:8">
      <c r="A1936" s="1"/>
      <c r="B1936" s="1"/>
      <c r="C1936" s="1"/>
      <c r="D1936" s="1"/>
      <c r="E1936" s="357">
        <v>44512</v>
      </c>
      <c r="F1936" s="344" t="s">
        <v>631</v>
      </c>
      <c r="G1936" s="358">
        <v>9.9105000000000008</v>
      </c>
      <c r="H1936" s="344" t="s">
        <v>1118</v>
      </c>
    </row>
    <row r="1937" spans="1:8">
      <c r="A1937" s="1"/>
      <c r="B1937" s="1"/>
      <c r="C1937" s="1"/>
      <c r="D1937" s="1"/>
      <c r="E1937" s="357">
        <v>44515</v>
      </c>
      <c r="F1937" s="344" t="s">
        <v>621</v>
      </c>
      <c r="G1937" s="358">
        <v>10.8225</v>
      </c>
      <c r="H1937" s="344" t="s">
        <v>1119</v>
      </c>
    </row>
    <row r="1938" spans="1:8">
      <c r="A1938" s="1"/>
      <c r="B1938" s="1"/>
      <c r="C1938" s="1"/>
      <c r="D1938" s="1"/>
      <c r="E1938" s="357">
        <v>44515</v>
      </c>
      <c r="F1938" s="344" t="s">
        <v>625</v>
      </c>
      <c r="G1938" s="358">
        <v>11.4282</v>
      </c>
      <c r="H1938" s="344" t="s">
        <v>1119</v>
      </c>
    </row>
    <row r="1939" spans="1:8">
      <c r="A1939" s="1"/>
      <c r="B1939" s="1"/>
      <c r="C1939" s="1"/>
      <c r="D1939" s="1"/>
      <c r="E1939" s="357">
        <v>44515</v>
      </c>
      <c r="F1939" s="344" t="s">
        <v>628</v>
      </c>
      <c r="G1939" s="358">
        <v>13.3758</v>
      </c>
      <c r="H1939" s="344" t="s">
        <v>1119</v>
      </c>
    </row>
    <row r="1940" spans="1:8">
      <c r="A1940" s="1"/>
      <c r="B1940" s="1"/>
      <c r="C1940" s="1"/>
      <c r="D1940" s="1"/>
      <c r="E1940" s="357">
        <v>44515</v>
      </c>
      <c r="F1940" s="344" t="s">
        <v>631</v>
      </c>
      <c r="G1940" s="358">
        <v>9.9803999999999995</v>
      </c>
      <c r="H1940" s="344" t="s">
        <v>1119</v>
      </c>
    </row>
    <row r="1941" spans="1:8">
      <c r="A1941" s="1"/>
      <c r="B1941" s="1"/>
      <c r="C1941" s="1"/>
      <c r="D1941" s="1"/>
      <c r="E1941" s="357">
        <v>44516</v>
      </c>
      <c r="F1941" s="344" t="s">
        <v>621</v>
      </c>
      <c r="G1941" s="358">
        <v>10.9483</v>
      </c>
      <c r="H1941" s="344" t="s">
        <v>1120</v>
      </c>
    </row>
    <row r="1942" spans="1:8">
      <c r="A1942" s="1"/>
      <c r="B1942" s="1"/>
      <c r="C1942" s="1"/>
      <c r="D1942" s="1"/>
      <c r="E1942" s="357">
        <v>44516</v>
      </c>
      <c r="F1942" s="344" t="s">
        <v>625</v>
      </c>
      <c r="G1942" s="358">
        <v>11.560600000000001</v>
      </c>
      <c r="H1942" s="344" t="s">
        <v>1120</v>
      </c>
    </row>
    <row r="1943" spans="1:8">
      <c r="A1943" s="1"/>
      <c r="B1943" s="1"/>
      <c r="C1943" s="1"/>
      <c r="D1943" s="1"/>
      <c r="E1943" s="357">
        <v>44516</v>
      </c>
      <c r="F1943" s="344" t="s">
        <v>628</v>
      </c>
      <c r="G1943" s="358">
        <v>13.6541</v>
      </c>
      <c r="H1943" s="344" t="s">
        <v>1120</v>
      </c>
    </row>
    <row r="1944" spans="1:8">
      <c r="A1944" s="1"/>
      <c r="B1944" s="1"/>
      <c r="C1944" s="1"/>
      <c r="D1944" s="1"/>
      <c r="E1944" s="357">
        <v>44516</v>
      </c>
      <c r="F1944" s="344" t="s">
        <v>631</v>
      </c>
      <c r="G1944" s="358">
        <v>10.1671</v>
      </c>
      <c r="H1944" s="344" t="s">
        <v>1120</v>
      </c>
    </row>
    <row r="1945" spans="1:8">
      <c r="A1945" s="1"/>
      <c r="B1945" s="1"/>
      <c r="C1945" s="1"/>
      <c r="D1945" s="1"/>
      <c r="E1945" s="357">
        <v>44517</v>
      </c>
      <c r="F1945" s="344" t="s">
        <v>621</v>
      </c>
      <c r="G1945" s="358">
        <v>11.143599999999999</v>
      </c>
      <c r="H1945" s="344" t="s">
        <v>1121</v>
      </c>
    </row>
    <row r="1946" spans="1:8">
      <c r="A1946" s="1"/>
      <c r="B1946" s="1"/>
      <c r="C1946" s="1"/>
      <c r="D1946" s="1"/>
      <c r="E1946" s="357">
        <v>44517</v>
      </c>
      <c r="F1946" s="344" t="s">
        <v>625</v>
      </c>
      <c r="G1946" s="358">
        <v>11.762700000000001</v>
      </c>
      <c r="H1946" s="344" t="s">
        <v>1121</v>
      </c>
    </row>
    <row r="1947" spans="1:8">
      <c r="A1947" s="1"/>
      <c r="B1947" s="1"/>
      <c r="C1947" s="1"/>
      <c r="D1947" s="1"/>
      <c r="E1947" s="357">
        <v>44517</v>
      </c>
      <c r="F1947" s="344" t="s">
        <v>628</v>
      </c>
      <c r="G1947" s="358">
        <v>13.9566</v>
      </c>
      <c r="H1947" s="344" t="s">
        <v>1121</v>
      </c>
    </row>
    <row r="1948" spans="1:8">
      <c r="A1948" s="1"/>
      <c r="B1948" s="1"/>
      <c r="C1948" s="1"/>
      <c r="D1948" s="1"/>
      <c r="E1948" s="357">
        <v>44517</v>
      </c>
      <c r="F1948" s="344" t="s">
        <v>631</v>
      </c>
      <c r="G1948" s="358">
        <v>10.3993</v>
      </c>
      <c r="H1948" s="344" t="s">
        <v>1121</v>
      </c>
    </row>
    <row r="1949" spans="1:8">
      <c r="A1949" s="1"/>
      <c r="B1949" s="1"/>
      <c r="C1949" s="1"/>
      <c r="D1949" s="1"/>
      <c r="E1949" s="357">
        <v>44518</v>
      </c>
      <c r="F1949" s="344" t="s">
        <v>621</v>
      </c>
      <c r="G1949" s="358">
        <v>11.507099999999999</v>
      </c>
      <c r="H1949" s="344" t="s">
        <v>1122</v>
      </c>
    </row>
    <row r="1950" spans="1:8">
      <c r="A1950" s="1"/>
      <c r="B1950" s="1"/>
      <c r="C1950" s="1"/>
      <c r="D1950" s="1"/>
      <c r="E1950" s="357">
        <v>44518</v>
      </c>
      <c r="F1950" s="344" t="s">
        <v>625</v>
      </c>
      <c r="G1950" s="358">
        <v>12.122400000000001</v>
      </c>
      <c r="H1950" s="344" t="s">
        <v>1122</v>
      </c>
    </row>
    <row r="1951" spans="1:8">
      <c r="A1951" s="1"/>
      <c r="B1951" s="1"/>
      <c r="C1951" s="1"/>
      <c r="D1951" s="1"/>
      <c r="E1951" s="357">
        <v>44518</v>
      </c>
      <c r="F1951" s="344" t="s">
        <v>628</v>
      </c>
      <c r="G1951" s="358">
        <v>14.411099999999999</v>
      </c>
      <c r="H1951" s="344" t="s">
        <v>1122</v>
      </c>
    </row>
    <row r="1952" spans="1:8">
      <c r="A1952" s="1"/>
      <c r="B1952" s="1"/>
      <c r="C1952" s="1"/>
      <c r="D1952" s="1"/>
      <c r="E1952" s="357">
        <v>44518</v>
      </c>
      <c r="F1952" s="344" t="s">
        <v>631</v>
      </c>
      <c r="G1952" s="358">
        <v>10.696300000000001</v>
      </c>
      <c r="H1952" s="344" t="s">
        <v>1122</v>
      </c>
    </row>
    <row r="1953" spans="1:8">
      <c r="A1953" s="1"/>
      <c r="B1953" s="1"/>
      <c r="C1953" s="1"/>
      <c r="D1953" s="1"/>
      <c r="E1953" s="357">
        <v>44519</v>
      </c>
      <c r="F1953" s="344" t="s">
        <v>621</v>
      </c>
      <c r="G1953" s="358">
        <v>11.871600000000001</v>
      </c>
      <c r="H1953" s="344" t="s">
        <v>1123</v>
      </c>
    </row>
    <row r="1954" spans="1:8">
      <c r="A1954" s="1"/>
      <c r="B1954" s="1"/>
      <c r="C1954" s="1"/>
      <c r="D1954" s="1"/>
      <c r="E1954" s="357">
        <v>44519</v>
      </c>
      <c r="F1954" s="344" t="s">
        <v>625</v>
      </c>
      <c r="G1954" s="358">
        <v>12.4815</v>
      </c>
      <c r="H1954" s="344" t="s">
        <v>1123</v>
      </c>
    </row>
    <row r="1955" spans="1:8">
      <c r="A1955" s="1"/>
      <c r="B1955" s="1"/>
      <c r="C1955" s="1"/>
      <c r="D1955" s="1"/>
      <c r="E1955" s="357">
        <v>44519</v>
      </c>
      <c r="F1955" s="344" t="s">
        <v>628</v>
      </c>
      <c r="G1955" s="358">
        <v>14.8155</v>
      </c>
      <c r="H1955" s="344" t="s">
        <v>1123</v>
      </c>
    </row>
    <row r="1956" spans="1:8">
      <c r="A1956" s="1"/>
      <c r="B1956" s="1"/>
      <c r="C1956" s="1"/>
      <c r="D1956" s="1"/>
      <c r="E1956" s="357">
        <v>44519</v>
      </c>
      <c r="F1956" s="344" t="s">
        <v>631</v>
      </c>
      <c r="G1956" s="358">
        <v>11.0266</v>
      </c>
      <c r="H1956" s="344" t="s">
        <v>1123</v>
      </c>
    </row>
    <row r="1957" spans="1:8">
      <c r="A1957" s="1"/>
      <c r="B1957" s="1"/>
      <c r="C1957" s="1"/>
      <c r="D1957" s="1"/>
      <c r="E1957" s="357">
        <v>44522</v>
      </c>
      <c r="F1957" s="344" t="s">
        <v>621</v>
      </c>
      <c r="G1957" s="358">
        <v>12.0001</v>
      </c>
      <c r="H1957" s="344" t="s">
        <v>1124</v>
      </c>
    </row>
    <row r="1958" spans="1:8">
      <c r="A1958" s="1"/>
      <c r="B1958" s="1"/>
      <c r="C1958" s="1"/>
      <c r="D1958" s="1"/>
      <c r="E1958" s="357">
        <v>44522</v>
      </c>
      <c r="F1958" s="344" t="s">
        <v>625</v>
      </c>
      <c r="G1958" s="358">
        <v>12.5938</v>
      </c>
      <c r="H1958" s="344" t="s">
        <v>1124</v>
      </c>
    </row>
    <row r="1959" spans="1:8">
      <c r="A1959" s="1"/>
      <c r="B1959" s="1"/>
      <c r="C1959" s="1"/>
      <c r="D1959" s="1"/>
      <c r="E1959" s="357">
        <v>44522</v>
      </c>
      <c r="F1959" s="344" t="s">
        <v>628</v>
      </c>
      <c r="G1959" s="358">
        <v>14.980499999999999</v>
      </c>
      <c r="H1959" s="344" t="s">
        <v>1124</v>
      </c>
    </row>
    <row r="1960" spans="1:8">
      <c r="A1960" s="1"/>
      <c r="B1960" s="1"/>
      <c r="C1960" s="1"/>
      <c r="D1960" s="1"/>
      <c r="E1960" s="357">
        <v>44522</v>
      </c>
      <c r="F1960" s="344" t="s">
        <v>631</v>
      </c>
      <c r="G1960" s="358">
        <v>11.171200000000001</v>
      </c>
      <c r="H1960" s="344" t="s">
        <v>1124</v>
      </c>
    </row>
    <row r="1961" spans="1:8">
      <c r="A1961" s="1"/>
      <c r="B1961" s="1"/>
      <c r="C1961" s="1"/>
      <c r="D1961" s="1"/>
      <c r="E1961" s="357">
        <v>44523</v>
      </c>
      <c r="F1961" s="344" t="s">
        <v>621</v>
      </c>
      <c r="G1961" s="358">
        <v>13.0167</v>
      </c>
      <c r="H1961" s="344" t="s">
        <v>1125</v>
      </c>
    </row>
    <row r="1962" spans="1:8">
      <c r="A1962" s="1"/>
      <c r="B1962" s="1"/>
      <c r="C1962" s="1"/>
      <c r="D1962" s="1"/>
      <c r="E1962" s="357">
        <v>44523</v>
      </c>
      <c r="F1962" s="344" t="s">
        <v>625</v>
      </c>
      <c r="G1962" s="358">
        <v>13.678900000000001</v>
      </c>
      <c r="H1962" s="344" t="s">
        <v>1125</v>
      </c>
    </row>
    <row r="1963" spans="1:8">
      <c r="A1963" s="1"/>
      <c r="B1963" s="1"/>
      <c r="C1963" s="1"/>
      <c r="D1963" s="1"/>
      <c r="E1963" s="357">
        <v>44523</v>
      </c>
      <c r="F1963" s="344" t="s">
        <v>628</v>
      </c>
      <c r="G1963" s="358">
        <v>16.2331</v>
      </c>
      <c r="H1963" s="344" t="s">
        <v>1125</v>
      </c>
    </row>
    <row r="1964" spans="1:8">
      <c r="A1964" s="1"/>
      <c r="B1964" s="1"/>
      <c r="C1964" s="1"/>
      <c r="D1964" s="1"/>
      <c r="E1964" s="357">
        <v>44523</v>
      </c>
      <c r="F1964" s="344" t="s">
        <v>631</v>
      </c>
      <c r="G1964" s="358">
        <v>12.1556</v>
      </c>
      <c r="H1964" s="344" t="s">
        <v>1125</v>
      </c>
    </row>
    <row r="1965" spans="1:8">
      <c r="A1965" s="1"/>
      <c r="B1965" s="1"/>
      <c r="C1965" s="1"/>
      <c r="D1965" s="1"/>
      <c r="E1965" s="357">
        <v>44524</v>
      </c>
      <c r="F1965" s="344" t="s">
        <v>621</v>
      </c>
      <c r="G1965" s="358">
        <v>13.4557</v>
      </c>
      <c r="H1965" s="344" t="s">
        <v>1126</v>
      </c>
    </row>
    <row r="1966" spans="1:8">
      <c r="A1966" s="1"/>
      <c r="B1966" s="1"/>
      <c r="C1966" s="1"/>
      <c r="D1966" s="1"/>
      <c r="E1966" s="357">
        <v>44524</v>
      </c>
      <c r="F1966" s="344" t="s">
        <v>625</v>
      </c>
      <c r="G1966" s="358">
        <v>14.1524</v>
      </c>
      <c r="H1966" s="344" t="s">
        <v>1126</v>
      </c>
    </row>
    <row r="1967" spans="1:8">
      <c r="A1967" s="1"/>
      <c r="B1967" s="1"/>
      <c r="C1967" s="1"/>
      <c r="D1967" s="1"/>
      <c r="E1967" s="357">
        <v>44524</v>
      </c>
      <c r="F1967" s="344" t="s">
        <v>628</v>
      </c>
      <c r="G1967" s="358">
        <v>16.824400000000001</v>
      </c>
      <c r="H1967" s="344" t="s">
        <v>1126</v>
      </c>
    </row>
    <row r="1968" spans="1:8">
      <c r="A1968" s="1"/>
      <c r="B1968" s="1"/>
      <c r="C1968" s="1"/>
      <c r="D1968" s="1"/>
      <c r="E1968" s="357">
        <v>44524</v>
      </c>
      <c r="F1968" s="344" t="s">
        <v>631</v>
      </c>
      <c r="G1968" s="358">
        <v>12.6082</v>
      </c>
      <c r="H1968" s="344" t="s">
        <v>1126</v>
      </c>
    </row>
    <row r="1969" spans="1:8">
      <c r="A1969" s="1"/>
      <c r="B1969" s="1"/>
      <c r="C1969" s="1"/>
      <c r="D1969" s="1"/>
      <c r="E1969" s="357">
        <v>44525</v>
      </c>
      <c r="F1969" s="344" t="s">
        <v>621</v>
      </c>
      <c r="G1969" s="358">
        <v>12.8247</v>
      </c>
      <c r="H1969" s="344" t="s">
        <v>1127</v>
      </c>
    </row>
    <row r="1970" spans="1:8">
      <c r="A1970" s="1"/>
      <c r="B1970" s="1"/>
      <c r="C1970" s="1"/>
      <c r="D1970" s="1"/>
      <c r="E1970" s="357">
        <v>44525</v>
      </c>
      <c r="F1970" s="344" t="s">
        <v>625</v>
      </c>
      <c r="G1970" s="358">
        <v>13.464</v>
      </c>
      <c r="H1970" s="344" t="s">
        <v>1127</v>
      </c>
    </row>
    <row r="1971" spans="1:8">
      <c r="A1971" s="1"/>
      <c r="B1971" s="1"/>
      <c r="C1971" s="1"/>
      <c r="D1971" s="1"/>
      <c r="E1971" s="357">
        <v>44525</v>
      </c>
      <c r="F1971" s="344" t="s">
        <v>628</v>
      </c>
      <c r="G1971" s="358">
        <v>15.9749</v>
      </c>
      <c r="H1971" s="344" t="s">
        <v>1127</v>
      </c>
    </row>
    <row r="1972" spans="1:8">
      <c r="A1972" s="1"/>
      <c r="B1972" s="1"/>
      <c r="C1972" s="1"/>
      <c r="D1972" s="1"/>
      <c r="E1972" s="357">
        <v>44525</v>
      </c>
      <c r="F1972" s="344" t="s">
        <v>631</v>
      </c>
      <c r="G1972" s="358">
        <v>12.0001</v>
      </c>
      <c r="H1972" s="344" t="s">
        <v>1127</v>
      </c>
    </row>
    <row r="1973" spans="1:8">
      <c r="A1973" s="1"/>
      <c r="B1973" s="1"/>
      <c r="C1973" s="1"/>
      <c r="D1973" s="1"/>
      <c r="E1973" s="357">
        <v>44526</v>
      </c>
      <c r="F1973" s="344" t="s">
        <v>621</v>
      </c>
      <c r="G1973" s="358">
        <v>12.988200000000001</v>
      </c>
      <c r="H1973" s="344" t="s">
        <v>1128</v>
      </c>
    </row>
    <row r="1974" spans="1:8">
      <c r="A1974" s="1"/>
      <c r="B1974" s="1"/>
      <c r="C1974" s="1"/>
      <c r="D1974" s="1"/>
      <c r="E1974" s="357">
        <v>44526</v>
      </c>
      <c r="F1974" s="344" t="s">
        <v>625</v>
      </c>
      <c r="G1974" s="358">
        <v>13.597099999999999</v>
      </c>
      <c r="H1974" s="344" t="s">
        <v>1128</v>
      </c>
    </row>
    <row r="1975" spans="1:8">
      <c r="A1975" s="1"/>
      <c r="B1975" s="1"/>
      <c r="C1975" s="1"/>
      <c r="D1975" s="1"/>
      <c r="E1975" s="357">
        <v>44526</v>
      </c>
      <c r="F1975" s="344" t="s">
        <v>628</v>
      </c>
      <c r="G1975" s="358">
        <v>16.052800000000001</v>
      </c>
      <c r="H1975" s="344" t="s">
        <v>1128</v>
      </c>
    </row>
    <row r="1976" spans="1:8">
      <c r="A1976" s="1"/>
      <c r="B1976" s="1"/>
      <c r="C1976" s="1"/>
      <c r="D1976" s="1"/>
      <c r="E1976" s="357">
        <v>44526</v>
      </c>
      <c r="F1976" s="344" t="s">
        <v>631</v>
      </c>
      <c r="G1976" s="358">
        <v>12.0786</v>
      </c>
      <c r="H1976" s="344" t="s">
        <v>1128</v>
      </c>
    </row>
    <row r="1977" spans="1:8">
      <c r="A1977" s="1"/>
      <c r="B1977" s="1"/>
      <c r="C1977" s="1"/>
      <c r="D1977" s="1"/>
      <c r="E1977" s="357">
        <v>44529</v>
      </c>
      <c r="F1977" s="344" t="s">
        <v>621</v>
      </c>
      <c r="G1977" s="358">
        <v>13.646000000000001</v>
      </c>
      <c r="H1977" s="344" t="s">
        <v>1129</v>
      </c>
    </row>
    <row r="1978" spans="1:8">
      <c r="A1978" s="1"/>
      <c r="B1978" s="1"/>
      <c r="C1978" s="1"/>
      <c r="D1978" s="1"/>
      <c r="E1978" s="357">
        <v>44529</v>
      </c>
      <c r="F1978" s="344" t="s">
        <v>625</v>
      </c>
      <c r="G1978" s="358">
        <v>14.279299999999999</v>
      </c>
      <c r="H1978" s="344" t="s">
        <v>1129</v>
      </c>
    </row>
    <row r="1979" spans="1:8">
      <c r="A1979" s="1"/>
      <c r="B1979" s="1"/>
      <c r="C1979" s="1"/>
      <c r="D1979" s="1"/>
      <c r="E1979" s="357">
        <v>44529</v>
      </c>
      <c r="F1979" s="344" t="s">
        <v>628</v>
      </c>
      <c r="G1979" s="358">
        <v>16.858699999999999</v>
      </c>
      <c r="H1979" s="344" t="s">
        <v>1129</v>
      </c>
    </row>
    <row r="1980" spans="1:8">
      <c r="A1980" s="1"/>
      <c r="B1980" s="1"/>
      <c r="C1980" s="1"/>
      <c r="D1980" s="1"/>
      <c r="E1980" s="357">
        <v>44529</v>
      </c>
      <c r="F1980" s="344" t="s">
        <v>631</v>
      </c>
      <c r="G1980" s="358">
        <v>12.6595</v>
      </c>
      <c r="H1980" s="344" t="s">
        <v>1129</v>
      </c>
    </row>
    <row r="1981" spans="1:8">
      <c r="A1981" s="1"/>
      <c r="B1981" s="1"/>
      <c r="C1981" s="1"/>
      <c r="D1981" s="1"/>
      <c r="E1981" s="357">
        <v>44530</v>
      </c>
      <c r="F1981" s="344" t="s">
        <v>621</v>
      </c>
      <c r="G1981" s="358">
        <v>14.0402</v>
      </c>
      <c r="H1981" s="344" t="s">
        <v>1130</v>
      </c>
    </row>
    <row r="1982" spans="1:8">
      <c r="A1982" s="1"/>
      <c r="B1982" s="1"/>
      <c r="C1982" s="1"/>
      <c r="D1982" s="1"/>
      <c r="E1982" s="357">
        <v>44530</v>
      </c>
      <c r="F1982" s="344" t="s">
        <v>625</v>
      </c>
      <c r="G1982" s="358">
        <v>14.6798</v>
      </c>
      <c r="H1982" s="344" t="s">
        <v>1130</v>
      </c>
    </row>
    <row r="1983" spans="1:8">
      <c r="A1983" s="1"/>
      <c r="B1983" s="1"/>
      <c r="C1983" s="1"/>
      <c r="D1983" s="1"/>
      <c r="E1983" s="357">
        <v>44530</v>
      </c>
      <c r="F1983" s="344" t="s">
        <v>628</v>
      </c>
      <c r="G1983" s="358">
        <v>17.235399999999998</v>
      </c>
      <c r="H1983" s="344" t="s">
        <v>1130</v>
      </c>
    </row>
    <row r="1984" spans="1:8">
      <c r="A1984" s="1"/>
      <c r="B1984" s="1"/>
      <c r="C1984" s="1"/>
      <c r="D1984" s="1"/>
      <c r="E1984" s="357">
        <v>44530</v>
      </c>
      <c r="F1984" s="344" t="s">
        <v>631</v>
      </c>
      <c r="G1984" s="358">
        <v>12.938700000000001</v>
      </c>
      <c r="H1984" s="344" t="s">
        <v>1130</v>
      </c>
    </row>
    <row r="1985" spans="1:8">
      <c r="A1985" s="1"/>
      <c r="B1985" s="1"/>
      <c r="C1985" s="1"/>
      <c r="D1985" s="1"/>
      <c r="E1985" s="357">
        <v>44531</v>
      </c>
      <c r="F1985" s="344" t="s">
        <v>621</v>
      </c>
      <c r="G1985" s="358">
        <v>14.4636</v>
      </c>
      <c r="H1985" s="344" t="s">
        <v>1131</v>
      </c>
    </row>
    <row r="1986" spans="1:8">
      <c r="A1986" s="1"/>
      <c r="B1986" s="1"/>
      <c r="C1986" s="1"/>
      <c r="D1986" s="1"/>
      <c r="E1986" s="357">
        <v>44531</v>
      </c>
      <c r="F1986" s="344" t="s">
        <v>625</v>
      </c>
      <c r="G1986" s="358">
        <v>15.104900000000001</v>
      </c>
      <c r="H1986" s="344" t="s">
        <v>1131</v>
      </c>
    </row>
    <row r="1987" spans="1:8">
      <c r="A1987" s="1"/>
      <c r="B1987" s="1"/>
      <c r="C1987" s="1"/>
      <c r="D1987" s="1"/>
      <c r="E1987" s="357">
        <v>44531</v>
      </c>
      <c r="F1987" s="344" t="s">
        <v>628</v>
      </c>
      <c r="G1987" s="358">
        <v>17.725899999999999</v>
      </c>
      <c r="H1987" s="344" t="s">
        <v>1131</v>
      </c>
    </row>
    <row r="1988" spans="1:8">
      <c r="A1988" s="1"/>
      <c r="B1988" s="1"/>
      <c r="C1988" s="1"/>
      <c r="D1988" s="1"/>
      <c r="E1988" s="357">
        <v>44531</v>
      </c>
      <c r="F1988" s="344" t="s">
        <v>631</v>
      </c>
      <c r="G1988" s="358">
        <v>13.3363</v>
      </c>
      <c r="H1988" s="344" t="s">
        <v>1131</v>
      </c>
    </row>
    <row r="1989" spans="1:8">
      <c r="A1989" s="1"/>
      <c r="B1989" s="1"/>
      <c r="C1989" s="1"/>
      <c r="D1989" s="1"/>
      <c r="E1989" s="357">
        <v>44532</v>
      </c>
      <c r="F1989" s="344" t="s">
        <v>621</v>
      </c>
      <c r="G1989" s="358">
        <v>14.530200000000001</v>
      </c>
      <c r="H1989" s="344" t="s">
        <v>1132</v>
      </c>
    </row>
    <row r="1990" spans="1:8">
      <c r="A1990" s="1"/>
      <c r="B1990" s="1"/>
      <c r="C1990" s="1"/>
      <c r="D1990" s="1"/>
      <c r="E1990" s="357">
        <v>44532</v>
      </c>
      <c r="F1990" s="344" t="s">
        <v>625</v>
      </c>
      <c r="G1990" s="358">
        <v>15.1838</v>
      </c>
      <c r="H1990" s="344" t="s">
        <v>1132</v>
      </c>
    </row>
    <row r="1991" spans="1:8">
      <c r="A1991" s="1"/>
      <c r="B1991" s="1"/>
      <c r="C1991" s="1"/>
      <c r="D1991" s="1"/>
      <c r="E1991" s="357">
        <v>44532</v>
      </c>
      <c r="F1991" s="344" t="s">
        <v>628</v>
      </c>
      <c r="G1991" s="358">
        <v>17.812000000000001</v>
      </c>
      <c r="H1991" s="344" t="s">
        <v>1132</v>
      </c>
    </row>
    <row r="1992" spans="1:8">
      <c r="A1992" s="1"/>
      <c r="B1992" s="1"/>
      <c r="C1992" s="1"/>
      <c r="D1992" s="1"/>
      <c r="E1992" s="357">
        <v>44532</v>
      </c>
      <c r="F1992" s="344" t="s">
        <v>631</v>
      </c>
      <c r="G1992" s="358">
        <v>13.406700000000001</v>
      </c>
      <c r="H1992" s="344" t="s">
        <v>1132</v>
      </c>
    </row>
    <row r="1993" spans="1:8">
      <c r="A1993" s="1"/>
      <c r="B1993" s="1"/>
      <c r="C1993" s="1"/>
      <c r="D1993" s="1"/>
      <c r="E1993" s="357">
        <v>44533</v>
      </c>
      <c r="F1993" s="344" t="s">
        <v>621</v>
      </c>
      <c r="G1993" s="358">
        <v>14.824999999999999</v>
      </c>
      <c r="H1993" s="344" t="s">
        <v>1133</v>
      </c>
    </row>
    <row r="1994" spans="1:8">
      <c r="A1994" s="1"/>
      <c r="B1994" s="1"/>
      <c r="C1994" s="1"/>
      <c r="D1994" s="1"/>
      <c r="E1994" s="357">
        <v>44533</v>
      </c>
      <c r="F1994" s="344" t="s">
        <v>625</v>
      </c>
      <c r="G1994" s="358">
        <v>15.454800000000001</v>
      </c>
      <c r="H1994" s="344" t="s">
        <v>1133</v>
      </c>
    </row>
    <row r="1995" spans="1:8">
      <c r="A1995" s="1"/>
      <c r="B1995" s="1"/>
      <c r="C1995" s="1"/>
      <c r="D1995" s="1"/>
      <c r="E1995" s="357">
        <v>44533</v>
      </c>
      <c r="F1995" s="344" t="s">
        <v>628</v>
      </c>
      <c r="G1995" s="358">
        <v>18.135200000000001</v>
      </c>
      <c r="H1995" s="344" t="s">
        <v>1133</v>
      </c>
    </row>
    <row r="1996" spans="1:8">
      <c r="A1996" s="1"/>
      <c r="B1996" s="1"/>
      <c r="C1996" s="1"/>
      <c r="D1996" s="1"/>
      <c r="E1996" s="357">
        <v>44533</v>
      </c>
      <c r="F1996" s="344" t="s">
        <v>631</v>
      </c>
      <c r="G1996" s="358">
        <v>13.680099999999999</v>
      </c>
      <c r="H1996" s="344" t="s">
        <v>1133</v>
      </c>
    </row>
    <row r="1997" spans="1:8">
      <c r="A1997" s="1"/>
      <c r="B1997" s="1"/>
      <c r="C1997" s="1"/>
      <c r="D1997" s="1"/>
      <c r="E1997" s="357">
        <v>44536</v>
      </c>
      <c r="F1997" s="344" t="s">
        <v>621</v>
      </c>
      <c r="G1997" s="358">
        <v>14.9057</v>
      </c>
      <c r="H1997" s="344" t="s">
        <v>1134</v>
      </c>
    </row>
    <row r="1998" spans="1:8">
      <c r="A1998" s="1"/>
      <c r="B1998" s="1"/>
      <c r="C1998" s="1"/>
      <c r="D1998" s="1"/>
      <c r="E1998" s="357">
        <v>44536</v>
      </c>
      <c r="F1998" s="344" t="s">
        <v>625</v>
      </c>
      <c r="G1998" s="358">
        <v>15.5503</v>
      </c>
      <c r="H1998" s="344" t="s">
        <v>1134</v>
      </c>
    </row>
    <row r="1999" spans="1:8">
      <c r="A1999" s="1"/>
      <c r="B1999" s="1"/>
      <c r="C1999" s="1"/>
      <c r="D1999" s="1"/>
      <c r="E1999" s="357">
        <v>44536</v>
      </c>
      <c r="F1999" s="344" t="s">
        <v>628</v>
      </c>
      <c r="G1999" s="358">
        <v>18.222000000000001</v>
      </c>
      <c r="H1999" s="344" t="s">
        <v>1134</v>
      </c>
    </row>
    <row r="2000" spans="1:8">
      <c r="A2000" s="1"/>
      <c r="B2000" s="1"/>
      <c r="C2000" s="1"/>
      <c r="D2000" s="1"/>
      <c r="E2000" s="357">
        <v>44536</v>
      </c>
      <c r="F2000" s="344" t="s">
        <v>631</v>
      </c>
      <c r="G2000" s="358">
        <v>13.773999999999999</v>
      </c>
      <c r="H2000" s="344" t="s">
        <v>1134</v>
      </c>
    </row>
    <row r="2001" spans="1:8">
      <c r="A2001" s="1"/>
      <c r="B2001" s="1"/>
      <c r="C2001" s="1"/>
      <c r="D2001" s="1"/>
      <c r="E2001" s="357">
        <v>44537</v>
      </c>
      <c r="F2001" s="344" t="s">
        <v>621</v>
      </c>
      <c r="G2001" s="358">
        <v>14.751099999999999</v>
      </c>
      <c r="H2001" s="344" t="s">
        <v>1135</v>
      </c>
    </row>
    <row r="2002" spans="1:8">
      <c r="A2002" s="1"/>
      <c r="B2002" s="1"/>
      <c r="C2002" s="1"/>
      <c r="D2002" s="1"/>
      <c r="E2002" s="357">
        <v>44537</v>
      </c>
      <c r="F2002" s="344" t="s">
        <v>625</v>
      </c>
      <c r="G2002" s="358">
        <v>15.4101</v>
      </c>
      <c r="H2002" s="344" t="s">
        <v>1135</v>
      </c>
    </row>
    <row r="2003" spans="1:8">
      <c r="A2003" s="1"/>
      <c r="B2003" s="1"/>
      <c r="C2003" s="1"/>
      <c r="D2003" s="1"/>
      <c r="E2003" s="357">
        <v>44537</v>
      </c>
      <c r="F2003" s="344" t="s">
        <v>628</v>
      </c>
      <c r="G2003" s="358">
        <v>18.0992</v>
      </c>
      <c r="H2003" s="344" t="s">
        <v>1135</v>
      </c>
    </row>
    <row r="2004" spans="1:8">
      <c r="A2004" s="1"/>
      <c r="B2004" s="1"/>
      <c r="C2004" s="1"/>
      <c r="D2004" s="1"/>
      <c r="E2004" s="357">
        <v>44537</v>
      </c>
      <c r="F2004" s="344" t="s">
        <v>631</v>
      </c>
      <c r="G2004" s="358">
        <v>13.666700000000001</v>
      </c>
      <c r="H2004" s="344" t="s">
        <v>1135</v>
      </c>
    </row>
    <row r="2005" spans="1:8">
      <c r="A2005" s="1"/>
      <c r="B2005" s="1"/>
      <c r="C2005" s="1"/>
      <c r="D2005" s="1"/>
      <c r="E2005" s="357">
        <v>44538</v>
      </c>
      <c r="F2005" s="344" t="s">
        <v>621</v>
      </c>
      <c r="G2005" s="358">
        <v>14.708600000000001</v>
      </c>
      <c r="H2005" s="344" t="s">
        <v>1136</v>
      </c>
    </row>
    <row r="2006" spans="1:8">
      <c r="A2006" s="1"/>
      <c r="B2006" s="1"/>
      <c r="C2006" s="1"/>
      <c r="D2006" s="1"/>
      <c r="E2006" s="357">
        <v>44538</v>
      </c>
      <c r="F2006" s="344" t="s">
        <v>625</v>
      </c>
      <c r="G2006" s="358">
        <v>15.375400000000001</v>
      </c>
      <c r="H2006" s="344" t="s">
        <v>1136</v>
      </c>
    </row>
    <row r="2007" spans="1:8">
      <c r="A2007" s="1"/>
      <c r="B2007" s="1"/>
      <c r="C2007" s="1"/>
      <c r="D2007" s="1"/>
      <c r="E2007" s="357">
        <v>44538</v>
      </c>
      <c r="F2007" s="344" t="s">
        <v>628</v>
      </c>
      <c r="G2007" s="358">
        <v>18.001000000000001</v>
      </c>
      <c r="H2007" s="344" t="s">
        <v>1136</v>
      </c>
    </row>
    <row r="2008" spans="1:8">
      <c r="A2008" s="1"/>
      <c r="B2008" s="1"/>
      <c r="C2008" s="1"/>
      <c r="D2008" s="1"/>
      <c r="E2008" s="357">
        <v>44538</v>
      </c>
      <c r="F2008" s="344" t="s">
        <v>631</v>
      </c>
      <c r="G2008" s="358">
        <v>13.6241</v>
      </c>
      <c r="H2008" s="344" t="s">
        <v>1136</v>
      </c>
    </row>
    <row r="2009" spans="1:8">
      <c r="A2009" s="1"/>
      <c r="B2009" s="1"/>
      <c r="C2009" s="1"/>
      <c r="D2009" s="1"/>
      <c r="E2009" s="357">
        <v>44539</v>
      </c>
      <c r="F2009" s="344" t="s">
        <v>621</v>
      </c>
      <c r="G2009" s="358">
        <v>14.879300000000001</v>
      </c>
      <c r="H2009" s="344" t="s">
        <v>1137</v>
      </c>
    </row>
    <row r="2010" spans="1:8">
      <c r="A2010" s="1"/>
      <c r="B2010" s="1"/>
      <c r="C2010" s="1"/>
      <c r="D2010" s="1"/>
      <c r="E2010" s="357">
        <v>44539</v>
      </c>
      <c r="F2010" s="344" t="s">
        <v>625</v>
      </c>
      <c r="G2010" s="358">
        <v>15.557700000000001</v>
      </c>
      <c r="H2010" s="344" t="s">
        <v>1137</v>
      </c>
    </row>
    <row r="2011" spans="1:8">
      <c r="A2011" s="1"/>
      <c r="B2011" s="1"/>
      <c r="C2011" s="1"/>
      <c r="D2011" s="1"/>
      <c r="E2011" s="357">
        <v>44539</v>
      </c>
      <c r="F2011" s="344" t="s">
        <v>628</v>
      </c>
      <c r="G2011" s="358">
        <v>18.108699999999999</v>
      </c>
      <c r="H2011" s="344" t="s">
        <v>1137</v>
      </c>
    </row>
    <row r="2012" spans="1:8">
      <c r="A2012" s="1"/>
      <c r="B2012" s="1"/>
      <c r="C2012" s="1"/>
      <c r="D2012" s="1"/>
      <c r="E2012" s="357">
        <v>44539</v>
      </c>
      <c r="F2012" s="344" t="s">
        <v>631</v>
      </c>
      <c r="G2012" s="358">
        <v>13.7432</v>
      </c>
      <c r="H2012" s="344" t="s">
        <v>1137</v>
      </c>
    </row>
    <row r="2013" spans="1:8">
      <c r="A2013" s="1"/>
      <c r="B2013" s="1"/>
      <c r="C2013" s="1"/>
      <c r="D2013" s="1"/>
      <c r="E2013" s="357">
        <v>44540</v>
      </c>
      <c r="F2013" s="344" t="s">
        <v>621</v>
      </c>
      <c r="G2013" s="358">
        <v>14.9331</v>
      </c>
      <c r="H2013" s="344" t="s">
        <v>1138</v>
      </c>
    </row>
    <row r="2014" spans="1:8">
      <c r="A2014" s="1"/>
      <c r="B2014" s="1"/>
      <c r="C2014" s="1"/>
      <c r="D2014" s="1"/>
      <c r="E2014" s="357">
        <v>44540</v>
      </c>
      <c r="F2014" s="344" t="s">
        <v>625</v>
      </c>
      <c r="G2014" s="358">
        <v>15.609400000000001</v>
      </c>
      <c r="H2014" s="344" t="s">
        <v>1138</v>
      </c>
    </row>
    <row r="2015" spans="1:8">
      <c r="A2015" s="1"/>
      <c r="B2015" s="1"/>
      <c r="C2015" s="1"/>
      <c r="D2015" s="1"/>
      <c r="E2015" s="357">
        <v>44540</v>
      </c>
      <c r="F2015" s="344" t="s">
        <v>628</v>
      </c>
      <c r="G2015" s="358">
        <v>18.238700000000001</v>
      </c>
      <c r="H2015" s="344" t="s">
        <v>1138</v>
      </c>
    </row>
    <row r="2016" spans="1:8">
      <c r="A2016" s="1"/>
      <c r="B2016" s="1"/>
      <c r="C2016" s="1"/>
      <c r="D2016" s="1"/>
      <c r="E2016" s="357">
        <v>44540</v>
      </c>
      <c r="F2016" s="344" t="s">
        <v>631</v>
      </c>
      <c r="G2016" s="358">
        <v>13.8346</v>
      </c>
      <c r="H2016" s="344" t="s">
        <v>1138</v>
      </c>
    </row>
    <row r="2017" spans="1:8">
      <c r="A2017" s="1"/>
      <c r="B2017" s="1"/>
      <c r="C2017" s="1"/>
      <c r="D2017" s="1"/>
      <c r="E2017" s="357">
        <v>44543</v>
      </c>
      <c r="F2017" s="344" t="s">
        <v>621</v>
      </c>
      <c r="G2017" s="358">
        <v>15.386799999999999</v>
      </c>
      <c r="H2017" s="344" t="s">
        <v>1139</v>
      </c>
    </row>
    <row r="2018" spans="1:8">
      <c r="A2018" s="1"/>
      <c r="B2018" s="1"/>
      <c r="C2018" s="1"/>
      <c r="D2018" s="1"/>
      <c r="E2018" s="357">
        <v>44543</v>
      </c>
      <c r="F2018" s="344" t="s">
        <v>625</v>
      </c>
      <c r="G2018" s="358">
        <v>16.066299999999998</v>
      </c>
      <c r="H2018" s="344" t="s">
        <v>1139</v>
      </c>
    </row>
    <row r="2019" spans="1:8">
      <c r="A2019" s="1"/>
      <c r="B2019" s="1"/>
      <c r="C2019" s="1"/>
      <c r="D2019" s="1"/>
      <c r="E2019" s="357">
        <v>44543</v>
      </c>
      <c r="F2019" s="344" t="s">
        <v>628</v>
      </c>
      <c r="G2019" s="358">
        <v>18.830300000000001</v>
      </c>
      <c r="H2019" s="344" t="s">
        <v>1139</v>
      </c>
    </row>
    <row r="2020" spans="1:8">
      <c r="A2020" s="1"/>
      <c r="B2020" s="1"/>
      <c r="C2020" s="1"/>
      <c r="D2020" s="1"/>
      <c r="E2020" s="357">
        <v>44543</v>
      </c>
      <c r="F2020" s="344" t="s">
        <v>631</v>
      </c>
      <c r="G2020" s="358">
        <v>14.246499999999999</v>
      </c>
      <c r="H2020" s="344" t="s">
        <v>1139</v>
      </c>
    </row>
    <row r="2021" spans="1:8">
      <c r="A2021" s="1"/>
      <c r="B2021" s="1"/>
      <c r="C2021" s="1"/>
      <c r="D2021" s="1"/>
      <c r="E2021" s="357">
        <v>44544</v>
      </c>
      <c r="F2021" s="344" t="s">
        <v>621</v>
      </c>
      <c r="G2021" s="358">
        <v>15.3521</v>
      </c>
      <c r="H2021" s="344" t="s">
        <v>1140</v>
      </c>
    </row>
    <row r="2022" spans="1:8">
      <c r="A2022" s="1"/>
      <c r="B2022" s="1"/>
      <c r="C2022" s="1"/>
      <c r="D2022" s="1"/>
      <c r="E2022" s="357">
        <v>44544</v>
      </c>
      <c r="F2022" s="344" t="s">
        <v>625</v>
      </c>
      <c r="G2022" s="358">
        <v>16.009599999999999</v>
      </c>
      <c r="H2022" s="344" t="s">
        <v>1140</v>
      </c>
    </row>
    <row r="2023" spans="1:8">
      <c r="A2023" s="1"/>
      <c r="B2023" s="1"/>
      <c r="C2023" s="1"/>
      <c r="D2023" s="1"/>
      <c r="E2023" s="357">
        <v>44544</v>
      </c>
      <c r="F2023" s="344" t="s">
        <v>628</v>
      </c>
      <c r="G2023" s="358">
        <v>18.712199999999999</v>
      </c>
      <c r="H2023" s="344" t="s">
        <v>1140</v>
      </c>
    </row>
    <row r="2024" spans="1:8">
      <c r="A2024" s="1"/>
      <c r="B2024" s="1"/>
      <c r="C2024" s="1"/>
      <c r="D2024" s="1"/>
      <c r="E2024" s="357">
        <v>44544</v>
      </c>
      <c r="F2024" s="344" t="s">
        <v>631</v>
      </c>
      <c r="G2024" s="358">
        <v>14.1745</v>
      </c>
      <c r="H2024" s="344" t="s">
        <v>1140</v>
      </c>
    </row>
    <row r="2025" spans="1:8">
      <c r="A2025" s="1"/>
      <c r="B2025" s="1"/>
      <c r="C2025" s="1"/>
      <c r="D2025" s="1"/>
      <c r="E2025" s="357">
        <v>44545</v>
      </c>
      <c r="F2025" s="344" t="s">
        <v>621</v>
      </c>
      <c r="G2025" s="358">
        <v>15.796099999999999</v>
      </c>
      <c r="H2025" s="344" t="s">
        <v>1141</v>
      </c>
    </row>
    <row r="2026" spans="1:8">
      <c r="A2026" s="1"/>
      <c r="B2026" s="1"/>
      <c r="C2026" s="1"/>
      <c r="D2026" s="1"/>
      <c r="E2026" s="357">
        <v>44545</v>
      </c>
      <c r="F2026" s="344" t="s">
        <v>625</v>
      </c>
      <c r="G2026" s="358">
        <v>16.494</v>
      </c>
      <c r="H2026" s="344" t="s">
        <v>1141</v>
      </c>
    </row>
    <row r="2027" spans="1:8">
      <c r="A2027" s="1"/>
      <c r="B2027" s="1"/>
      <c r="C2027" s="1"/>
      <c r="D2027" s="1"/>
      <c r="E2027" s="357">
        <v>44545</v>
      </c>
      <c r="F2027" s="344" t="s">
        <v>628</v>
      </c>
      <c r="G2027" s="358">
        <v>19.374700000000001</v>
      </c>
      <c r="H2027" s="344" t="s">
        <v>1141</v>
      </c>
    </row>
    <row r="2028" spans="1:8">
      <c r="A2028" s="1"/>
      <c r="B2028" s="1"/>
      <c r="C2028" s="1"/>
      <c r="D2028" s="1"/>
      <c r="E2028" s="357">
        <v>44545</v>
      </c>
      <c r="F2028" s="344" t="s">
        <v>631</v>
      </c>
      <c r="G2028" s="358">
        <v>14.635</v>
      </c>
      <c r="H2028" s="344" t="s">
        <v>1141</v>
      </c>
    </row>
    <row r="2029" spans="1:8">
      <c r="A2029" s="1"/>
      <c r="B2029" s="1"/>
      <c r="C2029" s="1"/>
      <c r="D2029" s="1"/>
      <c r="E2029" s="357">
        <v>44546</v>
      </c>
      <c r="F2029" s="344" t="s">
        <v>621</v>
      </c>
      <c r="G2029" s="358">
        <v>16.424199999999999</v>
      </c>
      <c r="H2029" s="344" t="s">
        <v>1142</v>
      </c>
    </row>
    <row r="2030" spans="1:8">
      <c r="A2030" s="1"/>
      <c r="B2030" s="1"/>
      <c r="C2030" s="1"/>
      <c r="D2030" s="1"/>
      <c r="E2030" s="357">
        <v>44546</v>
      </c>
      <c r="F2030" s="344" t="s">
        <v>625</v>
      </c>
      <c r="G2030" s="358">
        <v>17.195699999999999</v>
      </c>
      <c r="H2030" s="344" t="s">
        <v>1142</v>
      </c>
    </row>
    <row r="2031" spans="1:8">
      <c r="A2031" s="1"/>
      <c r="B2031" s="1"/>
      <c r="C2031" s="1"/>
      <c r="D2031" s="1"/>
      <c r="E2031" s="357">
        <v>44546</v>
      </c>
      <c r="F2031" s="344" t="s">
        <v>628</v>
      </c>
      <c r="G2031" s="358">
        <v>20.164400000000001</v>
      </c>
      <c r="H2031" s="344" t="s">
        <v>1142</v>
      </c>
    </row>
    <row r="2032" spans="1:8">
      <c r="A2032" s="1"/>
      <c r="B2032" s="1"/>
      <c r="C2032" s="1"/>
      <c r="D2032" s="1"/>
      <c r="E2032" s="357">
        <v>44546</v>
      </c>
      <c r="F2032" s="344" t="s">
        <v>631</v>
      </c>
      <c r="G2032" s="358">
        <v>15.2118</v>
      </c>
      <c r="H2032" s="344" t="s">
        <v>1142</v>
      </c>
    </row>
    <row r="2033" spans="1:8">
      <c r="A2033" s="1"/>
      <c r="B2033" s="1"/>
      <c r="C2033" s="1"/>
      <c r="D2033" s="1"/>
      <c r="E2033" s="357">
        <v>44547</v>
      </c>
      <c r="F2033" s="344" t="s">
        <v>621</v>
      </c>
      <c r="G2033" s="358">
        <v>17.738499999999998</v>
      </c>
      <c r="H2033" s="344" t="s">
        <v>1143</v>
      </c>
    </row>
    <row r="2034" spans="1:8">
      <c r="A2034" s="1"/>
      <c r="B2034" s="1"/>
      <c r="C2034" s="1"/>
      <c r="D2034" s="1"/>
      <c r="E2034" s="357">
        <v>44547</v>
      </c>
      <c r="F2034" s="344" t="s">
        <v>625</v>
      </c>
      <c r="G2034" s="358">
        <v>18.5044</v>
      </c>
      <c r="H2034" s="344" t="s">
        <v>1143</v>
      </c>
    </row>
    <row r="2035" spans="1:8">
      <c r="A2035" s="1"/>
      <c r="B2035" s="1"/>
      <c r="C2035" s="1"/>
      <c r="D2035" s="1"/>
      <c r="E2035" s="357">
        <v>44547</v>
      </c>
      <c r="F2035" s="344" t="s">
        <v>628</v>
      </c>
      <c r="G2035" s="358">
        <v>21.704599999999999</v>
      </c>
      <c r="H2035" s="344" t="s">
        <v>1143</v>
      </c>
    </row>
    <row r="2036" spans="1:8">
      <c r="A2036" s="1"/>
      <c r="B2036" s="1"/>
      <c r="C2036" s="1"/>
      <c r="D2036" s="1"/>
      <c r="E2036" s="357">
        <v>44547</v>
      </c>
      <c r="F2036" s="344" t="s">
        <v>631</v>
      </c>
      <c r="G2036" s="358">
        <v>16.335799999999999</v>
      </c>
      <c r="H2036" s="344" t="s">
        <v>1143</v>
      </c>
    </row>
    <row r="2037" spans="1:8">
      <c r="A2037" s="1"/>
      <c r="B2037" s="1"/>
      <c r="C2037" s="1"/>
      <c r="D2037" s="1"/>
      <c r="E2037" s="357">
        <v>44550</v>
      </c>
      <c r="F2037" s="344" t="s">
        <v>621</v>
      </c>
      <c r="G2037" s="358">
        <v>18.8734</v>
      </c>
      <c r="H2037" s="344" t="s">
        <v>1144</v>
      </c>
    </row>
    <row r="2038" spans="1:8">
      <c r="A2038" s="1"/>
      <c r="B2038" s="1"/>
      <c r="C2038" s="1"/>
      <c r="D2038" s="1"/>
      <c r="E2038" s="357">
        <v>44550</v>
      </c>
      <c r="F2038" s="344" t="s">
        <v>625</v>
      </c>
      <c r="G2038" s="358">
        <v>19.678799999999999</v>
      </c>
      <c r="H2038" s="344" t="s">
        <v>1144</v>
      </c>
    </row>
    <row r="2039" spans="1:8">
      <c r="A2039" s="1"/>
      <c r="B2039" s="1"/>
      <c r="C2039" s="1"/>
      <c r="D2039" s="1"/>
      <c r="E2039" s="357">
        <v>44550</v>
      </c>
      <c r="F2039" s="344" t="s">
        <v>628</v>
      </c>
      <c r="G2039" s="358">
        <v>23.0334</v>
      </c>
      <c r="H2039" s="344" t="s">
        <v>1144</v>
      </c>
    </row>
    <row r="2040" spans="1:8">
      <c r="A2040" s="1"/>
      <c r="B2040" s="1"/>
      <c r="C2040" s="1"/>
      <c r="D2040" s="1"/>
      <c r="E2040" s="357">
        <v>44550</v>
      </c>
      <c r="F2040" s="344" t="s">
        <v>631</v>
      </c>
      <c r="G2040" s="358">
        <v>17.473099999999999</v>
      </c>
      <c r="H2040" s="344" t="s">
        <v>1144</v>
      </c>
    </row>
    <row r="2041" spans="1:8">
      <c r="A2041" s="1"/>
      <c r="B2041" s="1"/>
      <c r="C2041" s="1"/>
      <c r="D2041" s="1"/>
      <c r="E2041" s="357">
        <v>44551</v>
      </c>
      <c r="F2041" s="344" t="s">
        <v>621</v>
      </c>
      <c r="G2041" s="358">
        <v>14.104200000000001</v>
      </c>
      <c r="H2041" s="344" t="s">
        <v>1145</v>
      </c>
    </row>
    <row r="2042" spans="1:8">
      <c r="A2042" s="1"/>
      <c r="B2042" s="1"/>
      <c r="C2042" s="1"/>
      <c r="D2042" s="1"/>
      <c r="E2042" s="357">
        <v>44551</v>
      </c>
      <c r="F2042" s="344" t="s">
        <v>625</v>
      </c>
      <c r="G2042" s="358">
        <v>14.702400000000001</v>
      </c>
      <c r="H2042" s="344" t="s">
        <v>1145</v>
      </c>
    </row>
    <row r="2043" spans="1:8">
      <c r="A2043" s="1"/>
      <c r="B2043" s="1"/>
      <c r="C2043" s="1"/>
      <c r="D2043" s="1"/>
      <c r="E2043" s="357">
        <v>44551</v>
      </c>
      <c r="F2043" s="344" t="s">
        <v>628</v>
      </c>
      <c r="G2043" s="358">
        <v>17.208400000000001</v>
      </c>
      <c r="H2043" s="344" t="s">
        <v>1145</v>
      </c>
    </row>
    <row r="2044" spans="1:8">
      <c r="A2044" s="1"/>
      <c r="B2044" s="1"/>
      <c r="C2044" s="1"/>
      <c r="D2044" s="1"/>
      <c r="E2044" s="357">
        <v>44551</v>
      </c>
      <c r="F2044" s="344" t="s">
        <v>631</v>
      </c>
      <c r="G2044" s="358">
        <v>13.022600000000001</v>
      </c>
      <c r="H2044" s="344" t="s">
        <v>1145</v>
      </c>
    </row>
    <row r="2045" spans="1:8">
      <c r="A2045" s="1"/>
      <c r="B2045" s="1"/>
      <c r="C2045" s="1"/>
      <c r="D2045" s="1"/>
      <c r="E2045" s="357">
        <v>44552</v>
      </c>
      <c r="F2045" s="344" t="s">
        <v>621</v>
      </c>
      <c r="G2045" s="358">
        <v>13.443099999999999</v>
      </c>
      <c r="H2045" s="344" t="s">
        <v>1146</v>
      </c>
    </row>
    <row r="2046" spans="1:8">
      <c r="A2046" s="1"/>
      <c r="B2046" s="1"/>
      <c r="C2046" s="1"/>
      <c r="D2046" s="1"/>
      <c r="E2046" s="357">
        <v>44552</v>
      </c>
      <c r="F2046" s="344" t="s">
        <v>625</v>
      </c>
      <c r="G2046" s="358">
        <v>14.048299999999999</v>
      </c>
      <c r="H2046" s="344" t="s">
        <v>1146</v>
      </c>
    </row>
    <row r="2047" spans="1:8">
      <c r="A2047" s="1"/>
      <c r="B2047" s="1"/>
      <c r="C2047" s="1"/>
      <c r="D2047" s="1"/>
      <c r="E2047" s="357">
        <v>44552</v>
      </c>
      <c r="F2047" s="344" t="s">
        <v>628</v>
      </c>
      <c r="G2047" s="358">
        <v>16.516200000000001</v>
      </c>
      <c r="H2047" s="344" t="s">
        <v>1146</v>
      </c>
    </row>
    <row r="2048" spans="1:8">
      <c r="A2048" s="1"/>
      <c r="B2048" s="1"/>
      <c r="C2048" s="1"/>
      <c r="D2048" s="1"/>
      <c r="E2048" s="357">
        <v>44552</v>
      </c>
      <c r="F2048" s="344" t="s">
        <v>631</v>
      </c>
      <c r="G2048" s="358">
        <v>12.4535</v>
      </c>
      <c r="H2048" s="344" t="s">
        <v>1146</v>
      </c>
    </row>
    <row r="2049" spans="1:8">
      <c r="A2049" s="1"/>
      <c r="B2049" s="1"/>
      <c r="C2049" s="1"/>
      <c r="D2049" s="1"/>
      <c r="E2049" s="357">
        <v>44553</v>
      </c>
      <c r="F2049" s="344" t="s">
        <v>621</v>
      </c>
      <c r="G2049" s="358">
        <v>12.417199999999999</v>
      </c>
      <c r="H2049" s="344" t="s">
        <v>1147</v>
      </c>
    </row>
    <row r="2050" spans="1:8">
      <c r="A2050" s="1"/>
      <c r="B2050" s="1"/>
      <c r="C2050" s="1"/>
      <c r="D2050" s="1"/>
      <c r="E2050" s="357">
        <v>44553</v>
      </c>
      <c r="F2050" s="344" t="s">
        <v>625</v>
      </c>
      <c r="G2050" s="358">
        <v>12.968299999999999</v>
      </c>
      <c r="H2050" s="344" t="s">
        <v>1147</v>
      </c>
    </row>
    <row r="2051" spans="1:8">
      <c r="A2051" s="1"/>
      <c r="B2051" s="1"/>
      <c r="C2051" s="1"/>
      <c r="D2051" s="1"/>
      <c r="E2051" s="357">
        <v>44553</v>
      </c>
      <c r="F2051" s="344" t="s">
        <v>628</v>
      </c>
      <c r="G2051" s="358">
        <v>15.3095</v>
      </c>
      <c r="H2051" s="344" t="s">
        <v>1147</v>
      </c>
    </row>
    <row r="2052" spans="1:8">
      <c r="A2052" s="1"/>
      <c r="B2052" s="1"/>
      <c r="C2052" s="1"/>
      <c r="D2052" s="1"/>
      <c r="E2052" s="357">
        <v>44553</v>
      </c>
      <c r="F2052" s="344" t="s">
        <v>631</v>
      </c>
      <c r="G2052" s="358">
        <v>11.450799999999999</v>
      </c>
      <c r="H2052" s="344" t="s">
        <v>1147</v>
      </c>
    </row>
    <row r="2053" spans="1:8">
      <c r="A2053" s="1"/>
      <c r="B2053" s="1"/>
      <c r="C2053" s="1"/>
      <c r="D2053" s="1"/>
      <c r="E2053" s="357">
        <v>44554</v>
      </c>
      <c r="F2053" s="344" t="s">
        <v>621</v>
      </c>
      <c r="G2053" s="358">
        <v>12.7537</v>
      </c>
      <c r="H2053" s="344" t="s">
        <v>1148</v>
      </c>
    </row>
    <row r="2054" spans="1:8">
      <c r="A2054" s="1"/>
      <c r="B2054" s="1"/>
      <c r="C2054" s="1"/>
      <c r="D2054" s="1"/>
      <c r="E2054" s="357">
        <v>44554</v>
      </c>
      <c r="F2054" s="344" t="s">
        <v>625</v>
      </c>
      <c r="G2054" s="358">
        <v>13.2926</v>
      </c>
      <c r="H2054" s="344" t="s">
        <v>1148</v>
      </c>
    </row>
    <row r="2055" spans="1:8">
      <c r="A2055" s="1"/>
      <c r="B2055" s="1"/>
      <c r="C2055" s="1"/>
      <c r="D2055" s="1"/>
      <c r="E2055" s="357">
        <v>44554</v>
      </c>
      <c r="F2055" s="344" t="s">
        <v>628</v>
      </c>
      <c r="G2055" s="358">
        <v>15.698499999999999</v>
      </c>
      <c r="H2055" s="344" t="s">
        <v>1148</v>
      </c>
    </row>
    <row r="2056" spans="1:8">
      <c r="A2056" s="1"/>
      <c r="B2056" s="1"/>
      <c r="C2056" s="1"/>
      <c r="D2056" s="1"/>
      <c r="E2056" s="357">
        <v>44554</v>
      </c>
      <c r="F2056" s="344" t="s">
        <v>631</v>
      </c>
      <c r="G2056" s="358">
        <v>11.7278</v>
      </c>
      <c r="H2056" s="344" t="s">
        <v>1148</v>
      </c>
    </row>
    <row r="2057" spans="1:8">
      <c r="A2057" s="1"/>
      <c r="B2057" s="1"/>
      <c r="C2057" s="1"/>
      <c r="D2057" s="1"/>
      <c r="E2057" s="357">
        <v>44557</v>
      </c>
      <c r="F2057" s="344" t="s">
        <v>621</v>
      </c>
      <c r="G2057" s="358">
        <v>12.3629</v>
      </c>
      <c r="H2057" s="344" t="s">
        <v>1149</v>
      </c>
    </row>
    <row r="2058" spans="1:8">
      <c r="A2058" s="1"/>
      <c r="B2058" s="1"/>
      <c r="C2058" s="1"/>
      <c r="D2058" s="1"/>
      <c r="E2058" s="357">
        <v>44557</v>
      </c>
      <c r="F2058" s="344" t="s">
        <v>625</v>
      </c>
      <c r="G2058" s="358">
        <v>12.8903</v>
      </c>
      <c r="H2058" s="344" t="s">
        <v>1149</v>
      </c>
    </row>
    <row r="2059" spans="1:8">
      <c r="A2059" s="1"/>
      <c r="B2059" s="1"/>
      <c r="C2059" s="1"/>
      <c r="D2059" s="1"/>
      <c r="E2059" s="357">
        <v>44557</v>
      </c>
      <c r="F2059" s="344" t="s">
        <v>628</v>
      </c>
      <c r="G2059" s="358">
        <v>15.241199999999999</v>
      </c>
      <c r="H2059" s="344" t="s">
        <v>1149</v>
      </c>
    </row>
    <row r="2060" spans="1:8">
      <c r="A2060" s="1"/>
      <c r="B2060" s="1"/>
      <c r="C2060" s="1"/>
      <c r="D2060" s="1"/>
      <c r="E2060" s="357">
        <v>44557</v>
      </c>
      <c r="F2060" s="344" t="s">
        <v>631</v>
      </c>
      <c r="G2060" s="358">
        <v>11.39</v>
      </c>
      <c r="H2060" s="344" t="s">
        <v>1149</v>
      </c>
    </row>
    <row r="2061" spans="1:8">
      <c r="A2061" s="1"/>
      <c r="B2061" s="1"/>
      <c r="C2061" s="1"/>
      <c r="D2061" s="1"/>
      <c r="E2061" s="357">
        <v>44558</v>
      </c>
      <c r="F2061" s="344" t="s">
        <v>621</v>
      </c>
      <c r="G2061" s="358">
        <v>12.872199999999999</v>
      </c>
      <c r="H2061" s="344" t="s">
        <v>1150</v>
      </c>
    </row>
    <row r="2062" spans="1:8">
      <c r="A2062" s="1"/>
      <c r="B2062" s="1"/>
      <c r="C2062" s="1"/>
      <c r="D2062" s="1"/>
      <c r="E2062" s="357">
        <v>44558</v>
      </c>
      <c r="F2062" s="344" t="s">
        <v>625</v>
      </c>
      <c r="G2062" s="358">
        <v>13.4</v>
      </c>
      <c r="H2062" s="344" t="s">
        <v>1150</v>
      </c>
    </row>
    <row r="2063" spans="1:8">
      <c r="A2063" s="1"/>
      <c r="B2063" s="1"/>
      <c r="C2063" s="1"/>
      <c r="D2063" s="1"/>
      <c r="E2063" s="357">
        <v>44558</v>
      </c>
      <c r="F2063" s="344" t="s">
        <v>628</v>
      </c>
      <c r="G2063" s="358">
        <v>15.8766</v>
      </c>
      <c r="H2063" s="344" t="s">
        <v>1150</v>
      </c>
    </row>
    <row r="2064" spans="1:8">
      <c r="A2064" s="1"/>
      <c r="B2064" s="1"/>
      <c r="C2064" s="1"/>
      <c r="D2064" s="1"/>
      <c r="E2064" s="357">
        <v>44558</v>
      </c>
      <c r="F2064" s="344" t="s">
        <v>631</v>
      </c>
      <c r="G2064" s="358">
        <v>11.8302</v>
      </c>
      <c r="H2064" s="344" t="s">
        <v>1150</v>
      </c>
    </row>
    <row r="2065" spans="1:8">
      <c r="A2065" s="1"/>
      <c r="B2065" s="1"/>
      <c r="C2065" s="1"/>
      <c r="D2065" s="1"/>
      <c r="E2065" s="357">
        <v>44559</v>
      </c>
      <c r="F2065" s="344" t="s">
        <v>621</v>
      </c>
      <c r="G2065" s="358">
        <v>13.276899999999999</v>
      </c>
      <c r="H2065" s="344" t="s">
        <v>1151</v>
      </c>
    </row>
    <row r="2066" spans="1:8">
      <c r="A2066" s="1"/>
      <c r="B2066" s="1"/>
      <c r="C2066" s="1"/>
      <c r="D2066" s="1"/>
      <c r="E2066" s="357">
        <v>44559</v>
      </c>
      <c r="F2066" s="344" t="s">
        <v>625</v>
      </c>
      <c r="G2066" s="358">
        <v>13.8011</v>
      </c>
      <c r="H2066" s="344" t="s">
        <v>1151</v>
      </c>
    </row>
    <row r="2067" spans="1:8">
      <c r="A2067" s="1"/>
      <c r="B2067" s="1"/>
      <c r="C2067" s="1"/>
      <c r="D2067" s="1"/>
      <c r="E2067" s="357">
        <v>44559</v>
      </c>
      <c r="F2067" s="344" t="s">
        <v>628</v>
      </c>
      <c r="G2067" s="358">
        <v>16.38</v>
      </c>
      <c r="H2067" s="344" t="s">
        <v>1151</v>
      </c>
    </row>
    <row r="2068" spans="1:8">
      <c r="A2068" s="1"/>
      <c r="B2068" s="1"/>
      <c r="C2068" s="1"/>
      <c r="D2068" s="1"/>
      <c r="E2068" s="357">
        <v>44559</v>
      </c>
      <c r="F2068" s="344" t="s">
        <v>631</v>
      </c>
      <c r="G2068" s="358">
        <v>12.2219</v>
      </c>
      <c r="H2068" s="344" t="s">
        <v>1151</v>
      </c>
    </row>
    <row r="2069" spans="1:8">
      <c r="A2069" s="1"/>
      <c r="B2069" s="1"/>
      <c r="C2069" s="1"/>
      <c r="D2069" s="1"/>
      <c r="E2069" s="357">
        <v>44560</v>
      </c>
      <c r="F2069" s="344" t="s">
        <v>621</v>
      </c>
      <c r="G2069" s="358">
        <v>14.120699999999999</v>
      </c>
      <c r="H2069" s="344" t="s">
        <v>1152</v>
      </c>
    </row>
    <row r="2070" spans="1:8">
      <c r="A2070" s="1"/>
      <c r="B2070" s="1"/>
      <c r="C2070" s="1"/>
      <c r="D2070" s="1"/>
      <c r="E2070" s="357">
        <v>44560</v>
      </c>
      <c r="F2070" s="344" t="s">
        <v>625</v>
      </c>
      <c r="G2070" s="358">
        <v>14.6823</v>
      </c>
      <c r="H2070" s="344" t="s">
        <v>1152</v>
      </c>
    </row>
    <row r="2071" spans="1:8">
      <c r="A2071" s="1"/>
      <c r="B2071" s="1"/>
      <c r="C2071" s="1"/>
      <c r="D2071" s="1"/>
      <c r="E2071" s="357">
        <v>44560</v>
      </c>
      <c r="F2071" s="344" t="s">
        <v>628</v>
      </c>
      <c r="G2071" s="358">
        <v>17.452999999999999</v>
      </c>
      <c r="H2071" s="344" t="s">
        <v>1152</v>
      </c>
    </row>
    <row r="2072" spans="1:8">
      <c r="A2072" s="1"/>
      <c r="B2072" s="1"/>
      <c r="C2072" s="1"/>
      <c r="D2072" s="1"/>
      <c r="E2072" s="357">
        <v>44560</v>
      </c>
      <c r="F2072" s="344" t="s">
        <v>631</v>
      </c>
      <c r="G2072" s="358">
        <v>12.977499999999999</v>
      </c>
      <c r="H2072" s="344" t="s">
        <v>1152</v>
      </c>
    </row>
    <row r="2073" spans="1:8">
      <c r="A2073" s="1"/>
      <c r="B2073" s="1"/>
      <c r="C2073" s="1"/>
      <c r="D2073" s="1"/>
      <c r="E2073" s="357">
        <v>44561</v>
      </c>
      <c r="F2073" s="344" t="s">
        <v>621</v>
      </c>
      <c r="G2073" s="358">
        <v>14.5602</v>
      </c>
      <c r="H2073" s="344" t="s">
        <v>1153</v>
      </c>
    </row>
    <row r="2074" spans="1:8">
      <c r="A2074" s="1"/>
      <c r="B2074" s="1"/>
      <c r="C2074" s="1"/>
      <c r="D2074" s="1"/>
      <c r="E2074" s="357">
        <v>44561</v>
      </c>
      <c r="F2074" s="344" t="s">
        <v>625</v>
      </c>
      <c r="G2074" s="358">
        <v>15.0867</v>
      </c>
      <c r="H2074" s="344" t="s">
        <v>1153</v>
      </c>
    </row>
    <row r="2075" spans="1:8">
      <c r="A2075" s="1"/>
      <c r="B2075" s="1"/>
      <c r="C2075" s="1"/>
      <c r="D2075" s="1"/>
      <c r="E2075" s="357">
        <v>44561</v>
      </c>
      <c r="F2075" s="344" t="s">
        <v>628</v>
      </c>
      <c r="G2075" s="358">
        <v>17.966699999999999</v>
      </c>
      <c r="H2075" s="344" t="s">
        <v>1153</v>
      </c>
    </row>
    <row r="2076" spans="1:8">
      <c r="A2076" s="1"/>
      <c r="B2076" s="1"/>
      <c r="C2076" s="1"/>
      <c r="D2076" s="1"/>
      <c r="E2076" s="357">
        <v>44561</v>
      </c>
      <c r="F2076" s="344" t="s">
        <v>631</v>
      </c>
      <c r="G2076" s="358">
        <v>13.329000000000001</v>
      </c>
      <c r="H2076" s="344" t="s">
        <v>1153</v>
      </c>
    </row>
    <row r="2077" spans="1:8">
      <c r="A2077" s="1"/>
      <c r="B2077" s="1"/>
      <c r="C2077" s="1"/>
      <c r="D2077" s="1"/>
      <c r="E2077" s="357">
        <v>44564</v>
      </c>
      <c r="F2077" s="344" t="s">
        <v>621</v>
      </c>
      <c r="G2077" s="358">
        <v>14.6684</v>
      </c>
      <c r="H2077" s="344" t="s">
        <v>1154</v>
      </c>
    </row>
    <row r="2078" spans="1:8">
      <c r="A2078" s="1"/>
      <c r="B2078" s="1"/>
      <c r="C2078" s="1"/>
      <c r="D2078" s="1"/>
      <c r="E2078" s="357">
        <v>44564</v>
      </c>
      <c r="F2078" s="344" t="s">
        <v>625</v>
      </c>
      <c r="G2078" s="358">
        <v>15.2342</v>
      </c>
      <c r="H2078" s="344" t="s">
        <v>1154</v>
      </c>
    </row>
    <row r="2079" spans="1:8">
      <c r="A2079" s="1"/>
      <c r="B2079" s="1"/>
      <c r="C2079" s="1"/>
      <c r="D2079" s="1"/>
      <c r="E2079" s="357">
        <v>44564</v>
      </c>
      <c r="F2079" s="344" t="s">
        <v>628</v>
      </c>
      <c r="G2079" s="358">
        <v>18.105499999999999</v>
      </c>
      <c r="H2079" s="344" t="s">
        <v>1154</v>
      </c>
    </row>
    <row r="2080" spans="1:8">
      <c r="A2080" s="1"/>
      <c r="B2080" s="1"/>
      <c r="C2080" s="1"/>
      <c r="D2080" s="1"/>
      <c r="E2080" s="357">
        <v>44564</v>
      </c>
      <c r="F2080" s="344" t="s">
        <v>631</v>
      </c>
      <c r="G2080" s="358">
        <v>13.4221</v>
      </c>
      <c r="H2080" s="344" t="s">
        <v>1154</v>
      </c>
    </row>
    <row r="2081" spans="1:8">
      <c r="A2081" s="1"/>
      <c r="B2081" s="1"/>
      <c r="C2081" s="1"/>
      <c r="D2081" s="1"/>
      <c r="E2081" s="357">
        <v>44565</v>
      </c>
      <c r="F2081" s="344" t="s">
        <v>621</v>
      </c>
      <c r="G2081" s="358">
        <v>14.3268</v>
      </c>
      <c r="H2081" s="344" t="s">
        <v>1155</v>
      </c>
    </row>
    <row r="2082" spans="1:8">
      <c r="A2082" s="1"/>
      <c r="B2082" s="1"/>
      <c r="C2082" s="1"/>
      <c r="D2082" s="1"/>
      <c r="E2082" s="357">
        <v>44565</v>
      </c>
      <c r="F2082" s="344" t="s">
        <v>625</v>
      </c>
      <c r="G2082" s="358">
        <v>14.8902</v>
      </c>
      <c r="H2082" s="344" t="s">
        <v>1155</v>
      </c>
    </row>
    <row r="2083" spans="1:8">
      <c r="A2083" s="1"/>
      <c r="B2083" s="1"/>
      <c r="C2083" s="1"/>
      <c r="D2083" s="1"/>
      <c r="E2083" s="357">
        <v>44565</v>
      </c>
      <c r="F2083" s="344" t="s">
        <v>628</v>
      </c>
      <c r="G2083" s="358">
        <v>17.761900000000001</v>
      </c>
      <c r="H2083" s="344" t="s">
        <v>1155</v>
      </c>
    </row>
    <row r="2084" spans="1:8">
      <c r="A2084" s="1"/>
      <c r="B2084" s="1"/>
      <c r="C2084" s="1"/>
      <c r="D2084" s="1"/>
      <c r="E2084" s="357">
        <v>44565</v>
      </c>
      <c r="F2084" s="344" t="s">
        <v>631</v>
      </c>
      <c r="G2084" s="358">
        <v>13.1873</v>
      </c>
      <c r="H2084" s="344" t="s">
        <v>1155</v>
      </c>
    </row>
    <row r="2085" spans="1:8">
      <c r="A2085" s="1"/>
      <c r="B2085" s="1"/>
      <c r="C2085" s="1"/>
      <c r="D2085" s="1"/>
      <c r="E2085" s="357">
        <v>44566</v>
      </c>
      <c r="F2085" s="344" t="s">
        <v>621</v>
      </c>
      <c r="G2085" s="358">
        <v>14.570399999999999</v>
      </c>
      <c r="H2085" s="344" t="s">
        <v>1156</v>
      </c>
    </row>
    <row r="2086" spans="1:8">
      <c r="A2086" s="1"/>
      <c r="B2086" s="1"/>
      <c r="C2086" s="1"/>
      <c r="D2086" s="1"/>
      <c r="E2086" s="357">
        <v>44566</v>
      </c>
      <c r="F2086" s="344" t="s">
        <v>625</v>
      </c>
      <c r="G2086" s="358">
        <v>15.1137</v>
      </c>
      <c r="H2086" s="344" t="s">
        <v>1156</v>
      </c>
    </row>
    <row r="2087" spans="1:8">
      <c r="A2087" s="1"/>
      <c r="B2087" s="1"/>
      <c r="C2087" s="1"/>
      <c r="D2087" s="1"/>
      <c r="E2087" s="357">
        <v>44566</v>
      </c>
      <c r="F2087" s="344" t="s">
        <v>628</v>
      </c>
      <c r="G2087" s="358">
        <v>18.0669</v>
      </c>
      <c r="H2087" s="344" t="s">
        <v>1156</v>
      </c>
    </row>
    <row r="2088" spans="1:8">
      <c r="A2088" s="1"/>
      <c r="B2088" s="1"/>
      <c r="C2088" s="1"/>
      <c r="D2088" s="1"/>
      <c r="E2088" s="357">
        <v>44566</v>
      </c>
      <c r="F2088" s="344" t="s">
        <v>631</v>
      </c>
      <c r="G2088" s="358">
        <v>13.3687</v>
      </c>
      <c r="H2088" s="344" t="s">
        <v>1156</v>
      </c>
    </row>
    <row r="2089" spans="1:8">
      <c r="A2089" s="1"/>
      <c r="B2089" s="1"/>
      <c r="C2089" s="1"/>
      <c r="D2089" s="1"/>
      <c r="E2089" s="357">
        <v>44567</v>
      </c>
      <c r="F2089" s="344" t="s">
        <v>621</v>
      </c>
      <c r="G2089" s="358">
        <v>14.8056</v>
      </c>
      <c r="H2089" s="344" t="s">
        <v>1157</v>
      </c>
    </row>
    <row r="2090" spans="1:8">
      <c r="A2090" s="1"/>
      <c r="B2090" s="1"/>
      <c r="C2090" s="1"/>
      <c r="D2090" s="1"/>
      <c r="E2090" s="357">
        <v>44567</v>
      </c>
      <c r="F2090" s="344" t="s">
        <v>625</v>
      </c>
      <c r="G2090" s="358">
        <v>15.410500000000001</v>
      </c>
      <c r="H2090" s="344" t="s">
        <v>1157</v>
      </c>
    </row>
    <row r="2091" spans="1:8">
      <c r="A2091" s="1"/>
      <c r="B2091" s="1"/>
      <c r="C2091" s="1"/>
      <c r="D2091" s="1"/>
      <c r="E2091" s="357">
        <v>44567</v>
      </c>
      <c r="F2091" s="344" t="s">
        <v>628</v>
      </c>
      <c r="G2091" s="358">
        <v>18.396999999999998</v>
      </c>
      <c r="H2091" s="344" t="s">
        <v>1157</v>
      </c>
    </row>
    <row r="2092" spans="1:8">
      <c r="A2092" s="1"/>
      <c r="B2092" s="1"/>
      <c r="C2092" s="1"/>
      <c r="D2092" s="1"/>
      <c r="E2092" s="357">
        <v>44567</v>
      </c>
      <c r="F2092" s="344" t="s">
        <v>631</v>
      </c>
      <c r="G2092" s="358">
        <v>13.635199999999999</v>
      </c>
      <c r="H2092" s="344" t="s">
        <v>1157</v>
      </c>
    </row>
    <row r="2093" spans="1:8">
      <c r="A2093" s="1"/>
      <c r="B2093" s="1"/>
      <c r="C2093" s="1"/>
      <c r="D2093" s="1"/>
      <c r="E2093" s="357">
        <v>44568</v>
      </c>
      <c r="F2093" s="344" t="s">
        <v>621</v>
      </c>
      <c r="G2093" s="358">
        <v>14.8939</v>
      </c>
      <c r="H2093" s="344" t="s">
        <v>1158</v>
      </c>
    </row>
    <row r="2094" spans="1:8">
      <c r="A2094" s="1"/>
      <c r="B2094" s="1"/>
      <c r="C2094" s="1"/>
      <c r="D2094" s="1"/>
      <c r="E2094" s="357">
        <v>44568</v>
      </c>
      <c r="F2094" s="344" t="s">
        <v>625</v>
      </c>
      <c r="G2094" s="358">
        <v>15.5501</v>
      </c>
      <c r="H2094" s="344" t="s">
        <v>1158</v>
      </c>
    </row>
    <row r="2095" spans="1:8">
      <c r="A2095" s="1"/>
      <c r="B2095" s="1"/>
      <c r="C2095" s="1"/>
      <c r="D2095" s="1"/>
      <c r="E2095" s="357">
        <v>44568</v>
      </c>
      <c r="F2095" s="344" t="s">
        <v>628</v>
      </c>
      <c r="G2095" s="358">
        <v>18.5989</v>
      </c>
      <c r="H2095" s="344" t="s">
        <v>1158</v>
      </c>
    </row>
    <row r="2096" spans="1:8">
      <c r="A2096" s="1"/>
      <c r="B2096" s="1"/>
      <c r="C2096" s="1"/>
      <c r="D2096" s="1"/>
      <c r="E2096" s="357">
        <v>44568</v>
      </c>
      <c r="F2096" s="344" t="s">
        <v>631</v>
      </c>
      <c r="G2096" s="358">
        <v>13.752599999999999</v>
      </c>
      <c r="H2096" s="344" t="s">
        <v>1158</v>
      </c>
    </row>
    <row r="2097" spans="1:8">
      <c r="A2097" s="1"/>
      <c r="B2097" s="1"/>
      <c r="C2097" s="1"/>
      <c r="D2097" s="1"/>
      <c r="E2097" s="357">
        <v>44571</v>
      </c>
      <c r="F2097" s="344" t="s">
        <v>621</v>
      </c>
      <c r="G2097" s="358">
        <v>14.859299999999999</v>
      </c>
      <c r="H2097" s="344" t="s">
        <v>1159</v>
      </c>
    </row>
    <row r="2098" spans="1:8">
      <c r="A2098" s="1"/>
      <c r="B2098" s="1"/>
      <c r="C2098" s="1"/>
      <c r="D2098" s="1"/>
      <c r="E2098" s="357">
        <v>44571</v>
      </c>
      <c r="F2098" s="344" t="s">
        <v>625</v>
      </c>
      <c r="G2098" s="358">
        <v>15.5443</v>
      </c>
      <c r="H2098" s="344" t="s">
        <v>1159</v>
      </c>
    </row>
    <row r="2099" spans="1:8">
      <c r="A2099" s="1"/>
      <c r="B2099" s="1"/>
      <c r="C2099" s="1"/>
      <c r="D2099" s="1"/>
      <c r="E2099" s="357">
        <v>44571</v>
      </c>
      <c r="F2099" s="344" t="s">
        <v>628</v>
      </c>
      <c r="G2099" s="358">
        <v>18.607199999999999</v>
      </c>
      <c r="H2099" s="344" t="s">
        <v>1159</v>
      </c>
    </row>
    <row r="2100" spans="1:8">
      <c r="A2100" s="1"/>
      <c r="B2100" s="1"/>
      <c r="C2100" s="1"/>
      <c r="D2100" s="1"/>
      <c r="E2100" s="357">
        <v>44571</v>
      </c>
      <c r="F2100" s="344" t="s">
        <v>631</v>
      </c>
      <c r="G2100" s="358">
        <v>13.7195</v>
      </c>
      <c r="H2100" s="344" t="s">
        <v>1159</v>
      </c>
    </row>
    <row r="2101" spans="1:8">
      <c r="A2101" s="1"/>
      <c r="B2101" s="1"/>
      <c r="C2101" s="1"/>
      <c r="D2101" s="1"/>
      <c r="E2101" s="357">
        <v>44572</v>
      </c>
      <c r="F2101" s="344" t="s">
        <v>621</v>
      </c>
      <c r="G2101" s="358">
        <v>14.795400000000001</v>
      </c>
      <c r="H2101" s="344" t="s">
        <v>1160</v>
      </c>
    </row>
    <row r="2102" spans="1:8">
      <c r="A2102" s="1"/>
      <c r="B2102" s="1"/>
      <c r="C2102" s="1"/>
      <c r="D2102" s="1"/>
      <c r="E2102" s="357">
        <v>44572</v>
      </c>
      <c r="F2102" s="344" t="s">
        <v>625</v>
      </c>
      <c r="G2102" s="358">
        <v>15.568899999999999</v>
      </c>
      <c r="H2102" s="344" t="s">
        <v>1160</v>
      </c>
    </row>
    <row r="2103" spans="1:8">
      <c r="A2103" s="1"/>
      <c r="B2103" s="1"/>
      <c r="C2103" s="1"/>
      <c r="D2103" s="1"/>
      <c r="E2103" s="357">
        <v>44572</v>
      </c>
      <c r="F2103" s="344" t="s">
        <v>628</v>
      </c>
      <c r="G2103" s="358">
        <v>18.6418</v>
      </c>
      <c r="H2103" s="344" t="s">
        <v>1160</v>
      </c>
    </row>
    <row r="2104" spans="1:8">
      <c r="A2104" s="1"/>
      <c r="B2104" s="1"/>
      <c r="C2104" s="1"/>
      <c r="D2104" s="1"/>
      <c r="E2104" s="357">
        <v>44572</v>
      </c>
      <c r="F2104" s="344" t="s">
        <v>631</v>
      </c>
      <c r="G2104" s="358">
        <v>13.731400000000001</v>
      </c>
      <c r="H2104" s="344" t="s">
        <v>1160</v>
      </c>
    </row>
    <row r="2105" spans="1:8">
      <c r="A2105" s="1"/>
      <c r="B2105" s="1"/>
      <c r="C2105" s="1"/>
      <c r="D2105" s="1"/>
      <c r="E2105" s="357">
        <v>44573</v>
      </c>
      <c r="F2105" s="344" t="s">
        <v>621</v>
      </c>
      <c r="G2105" s="358">
        <v>14.8207</v>
      </c>
      <c r="H2105" s="344" t="s">
        <v>1161</v>
      </c>
    </row>
    <row r="2106" spans="1:8">
      <c r="A2106" s="1"/>
      <c r="B2106" s="1"/>
      <c r="C2106" s="1"/>
      <c r="D2106" s="1"/>
      <c r="E2106" s="357">
        <v>44573</v>
      </c>
      <c r="F2106" s="344" t="s">
        <v>625</v>
      </c>
      <c r="G2106" s="358">
        <v>15.5908</v>
      </c>
      <c r="H2106" s="344" t="s">
        <v>1161</v>
      </c>
    </row>
    <row r="2107" spans="1:8">
      <c r="A2107" s="1"/>
      <c r="B2107" s="1"/>
      <c r="C2107" s="1"/>
      <c r="D2107" s="1"/>
      <c r="E2107" s="357">
        <v>44573</v>
      </c>
      <c r="F2107" s="344" t="s">
        <v>628</v>
      </c>
      <c r="G2107" s="358">
        <v>18.670000000000002</v>
      </c>
      <c r="H2107" s="344" t="s">
        <v>1161</v>
      </c>
    </row>
    <row r="2108" spans="1:8">
      <c r="A2108" s="1"/>
      <c r="B2108" s="1"/>
      <c r="C2108" s="1"/>
      <c r="D2108" s="1"/>
      <c r="E2108" s="357">
        <v>44573</v>
      </c>
      <c r="F2108" s="344" t="s">
        <v>631</v>
      </c>
      <c r="G2108" s="358">
        <v>13.7209</v>
      </c>
      <c r="H2108" s="344" t="s">
        <v>1161</v>
      </c>
    </row>
    <row r="2109" spans="1:8">
      <c r="A2109" s="1"/>
      <c r="B2109" s="1"/>
      <c r="C2109" s="1"/>
      <c r="D2109" s="1"/>
      <c r="E2109" s="357">
        <v>44574</v>
      </c>
      <c r="F2109" s="344" t="s">
        <v>621</v>
      </c>
      <c r="G2109" s="358">
        <v>14.7956</v>
      </c>
      <c r="H2109" s="344" t="s">
        <v>1162</v>
      </c>
    </row>
    <row r="2110" spans="1:8">
      <c r="A2110" s="1"/>
      <c r="B2110" s="1"/>
      <c r="C2110" s="1"/>
      <c r="D2110" s="1"/>
      <c r="E2110" s="357">
        <v>44574</v>
      </c>
      <c r="F2110" s="344" t="s">
        <v>625</v>
      </c>
      <c r="G2110" s="358">
        <v>15.5177</v>
      </c>
      <c r="H2110" s="344" t="s">
        <v>1162</v>
      </c>
    </row>
    <row r="2111" spans="1:8">
      <c r="A2111" s="1"/>
      <c r="B2111" s="1"/>
      <c r="C2111" s="1"/>
      <c r="D2111" s="1"/>
      <c r="E2111" s="357">
        <v>44574</v>
      </c>
      <c r="F2111" s="344" t="s">
        <v>628</v>
      </c>
      <c r="G2111" s="358">
        <v>18.559899999999999</v>
      </c>
      <c r="H2111" s="344" t="s">
        <v>1162</v>
      </c>
    </row>
    <row r="2112" spans="1:8">
      <c r="A2112" s="1"/>
      <c r="B2112" s="1"/>
      <c r="C2112" s="1"/>
      <c r="D2112" s="1"/>
      <c r="E2112" s="357">
        <v>44574</v>
      </c>
      <c r="F2112" s="344" t="s">
        <v>631</v>
      </c>
      <c r="G2112" s="358">
        <v>13.54</v>
      </c>
      <c r="H2112" s="344" t="s">
        <v>1162</v>
      </c>
    </row>
    <row r="2113" spans="1:8">
      <c r="A2113" s="1"/>
      <c r="B2113" s="1"/>
      <c r="C2113" s="1"/>
      <c r="D2113" s="1"/>
      <c r="E2113" s="357">
        <v>44575</v>
      </c>
      <c r="F2113" s="344" t="s">
        <v>621</v>
      </c>
      <c r="G2113" s="358">
        <v>14.7942</v>
      </c>
      <c r="H2113" s="344" t="s">
        <v>1163</v>
      </c>
    </row>
    <row r="2114" spans="1:8">
      <c r="A2114" s="1"/>
      <c r="B2114" s="1"/>
      <c r="C2114" s="1"/>
      <c r="D2114" s="1"/>
      <c r="E2114" s="357">
        <v>44575</v>
      </c>
      <c r="F2114" s="344" t="s">
        <v>625</v>
      </c>
      <c r="G2114" s="358">
        <v>15.479900000000001</v>
      </c>
      <c r="H2114" s="344" t="s">
        <v>1163</v>
      </c>
    </row>
    <row r="2115" spans="1:8">
      <c r="A2115" s="1"/>
      <c r="B2115" s="1"/>
      <c r="C2115" s="1"/>
      <c r="D2115" s="1"/>
      <c r="E2115" s="357">
        <v>44575</v>
      </c>
      <c r="F2115" s="344" t="s">
        <v>628</v>
      </c>
      <c r="G2115" s="358">
        <v>18.510100000000001</v>
      </c>
      <c r="H2115" s="344" t="s">
        <v>1163</v>
      </c>
    </row>
    <row r="2116" spans="1:8">
      <c r="A2116" s="1"/>
      <c r="B2116" s="1"/>
      <c r="C2116" s="1"/>
      <c r="D2116" s="1"/>
      <c r="E2116" s="357">
        <v>44575</v>
      </c>
      <c r="F2116" s="344" t="s">
        <v>631</v>
      </c>
      <c r="G2116" s="358">
        <v>13.5054</v>
      </c>
      <c r="H2116" s="344" t="s">
        <v>1163</v>
      </c>
    </row>
    <row r="2117" spans="1:8">
      <c r="A2117" s="1"/>
      <c r="B2117" s="1"/>
      <c r="C2117" s="1"/>
      <c r="D2117" s="1"/>
      <c r="E2117" s="357">
        <v>44578</v>
      </c>
      <c r="F2117" s="344" t="s">
        <v>621</v>
      </c>
      <c r="G2117" s="358">
        <v>14.717000000000001</v>
      </c>
      <c r="H2117" s="344" t="s">
        <v>1164</v>
      </c>
    </row>
    <row r="2118" spans="1:8">
      <c r="A2118" s="1"/>
      <c r="B2118" s="1"/>
      <c r="C2118" s="1"/>
      <c r="D2118" s="1"/>
      <c r="E2118" s="357">
        <v>44578</v>
      </c>
      <c r="F2118" s="344" t="s">
        <v>625</v>
      </c>
      <c r="G2118" s="358">
        <v>15.394</v>
      </c>
      <c r="H2118" s="344" t="s">
        <v>1164</v>
      </c>
    </row>
    <row r="2119" spans="1:8">
      <c r="A2119" s="1"/>
      <c r="B2119" s="1"/>
      <c r="C2119" s="1"/>
      <c r="D2119" s="1"/>
      <c r="E2119" s="357">
        <v>44578</v>
      </c>
      <c r="F2119" s="344" t="s">
        <v>628</v>
      </c>
      <c r="G2119" s="358">
        <v>18.402100000000001</v>
      </c>
      <c r="H2119" s="344" t="s">
        <v>1164</v>
      </c>
    </row>
    <row r="2120" spans="1:8">
      <c r="A2120" s="1"/>
      <c r="B2120" s="1"/>
      <c r="C2120" s="1"/>
      <c r="D2120" s="1"/>
      <c r="E2120" s="357">
        <v>44578</v>
      </c>
      <c r="F2120" s="344" t="s">
        <v>631</v>
      </c>
      <c r="G2120" s="358">
        <v>13.4788</v>
      </c>
      <c r="H2120" s="344" t="s">
        <v>1164</v>
      </c>
    </row>
    <row r="2121" spans="1:8">
      <c r="A2121" s="1"/>
      <c r="B2121" s="1"/>
      <c r="C2121" s="1"/>
      <c r="D2121" s="1"/>
      <c r="E2121" s="357">
        <v>44579</v>
      </c>
      <c r="F2121" s="344" t="s">
        <v>621</v>
      </c>
      <c r="G2121" s="358">
        <v>14.735099999999999</v>
      </c>
      <c r="H2121" s="344" t="s">
        <v>1165</v>
      </c>
    </row>
    <row r="2122" spans="1:8">
      <c r="A2122" s="1"/>
      <c r="B2122" s="1"/>
      <c r="C2122" s="1"/>
      <c r="D2122" s="1"/>
      <c r="E2122" s="357">
        <v>44579</v>
      </c>
      <c r="F2122" s="344" t="s">
        <v>625</v>
      </c>
      <c r="G2122" s="358">
        <v>15.395</v>
      </c>
      <c r="H2122" s="344" t="s">
        <v>1165</v>
      </c>
    </row>
    <row r="2123" spans="1:8">
      <c r="A2123" s="1"/>
      <c r="B2123" s="1"/>
      <c r="C2123" s="1"/>
      <c r="D2123" s="1"/>
      <c r="E2123" s="357">
        <v>44579</v>
      </c>
      <c r="F2123" s="344" t="s">
        <v>628</v>
      </c>
      <c r="G2123" s="358">
        <v>18.381900000000002</v>
      </c>
      <c r="H2123" s="344" t="s">
        <v>1165</v>
      </c>
    </row>
    <row r="2124" spans="1:8">
      <c r="A2124" s="1"/>
      <c r="B2124" s="1"/>
      <c r="C2124" s="1"/>
      <c r="D2124" s="1"/>
      <c r="E2124" s="357">
        <v>44579</v>
      </c>
      <c r="F2124" s="344" t="s">
        <v>631</v>
      </c>
      <c r="G2124" s="358">
        <v>13.510899999999999</v>
      </c>
      <c r="H2124" s="344" t="s">
        <v>1165</v>
      </c>
    </row>
    <row r="2125" spans="1:8">
      <c r="A2125" s="1"/>
      <c r="B2125" s="1"/>
      <c r="C2125" s="1"/>
      <c r="D2125" s="1"/>
      <c r="E2125" s="357">
        <v>44580</v>
      </c>
      <c r="F2125" s="344" t="s">
        <v>621</v>
      </c>
      <c r="G2125" s="358">
        <v>14.7829</v>
      </c>
      <c r="H2125" s="344" t="s">
        <v>1166</v>
      </c>
    </row>
    <row r="2126" spans="1:8">
      <c r="A2126" s="1"/>
      <c r="B2126" s="1"/>
      <c r="C2126" s="1"/>
      <c r="D2126" s="1"/>
      <c r="E2126" s="357">
        <v>44580</v>
      </c>
      <c r="F2126" s="344" t="s">
        <v>625</v>
      </c>
      <c r="G2126" s="358">
        <v>15.3848</v>
      </c>
      <c r="H2126" s="344" t="s">
        <v>1166</v>
      </c>
    </row>
    <row r="2127" spans="1:8">
      <c r="A2127" s="1"/>
      <c r="B2127" s="1"/>
      <c r="C2127" s="1"/>
      <c r="D2127" s="1"/>
      <c r="E2127" s="357">
        <v>44580</v>
      </c>
      <c r="F2127" s="344" t="s">
        <v>628</v>
      </c>
      <c r="G2127" s="358">
        <v>18.438700000000001</v>
      </c>
      <c r="H2127" s="344" t="s">
        <v>1166</v>
      </c>
    </row>
    <row r="2128" spans="1:8">
      <c r="A2128" s="1"/>
      <c r="B2128" s="1"/>
      <c r="C2128" s="1"/>
      <c r="D2128" s="1"/>
      <c r="E2128" s="357">
        <v>44580</v>
      </c>
      <c r="F2128" s="344" t="s">
        <v>631</v>
      </c>
      <c r="G2128" s="358">
        <v>13.5703</v>
      </c>
      <c r="H2128" s="344" t="s">
        <v>1166</v>
      </c>
    </row>
    <row r="2129" spans="1:8">
      <c r="A2129" s="1"/>
      <c r="B2129" s="1"/>
      <c r="C2129" s="1"/>
      <c r="D2129" s="1"/>
      <c r="E2129" s="357">
        <v>44581</v>
      </c>
      <c r="F2129" s="344" t="s">
        <v>621</v>
      </c>
      <c r="G2129" s="358">
        <v>14.654500000000001</v>
      </c>
      <c r="H2129" s="344" t="s">
        <v>1167</v>
      </c>
    </row>
    <row r="2130" spans="1:8">
      <c r="A2130" s="1"/>
      <c r="B2130" s="1"/>
      <c r="C2130" s="1"/>
      <c r="D2130" s="1"/>
      <c r="E2130" s="357">
        <v>44581</v>
      </c>
      <c r="F2130" s="344" t="s">
        <v>625</v>
      </c>
      <c r="G2130" s="358">
        <v>15.2577</v>
      </c>
      <c r="H2130" s="344" t="s">
        <v>1167</v>
      </c>
    </row>
    <row r="2131" spans="1:8">
      <c r="A2131" s="1"/>
      <c r="B2131" s="1"/>
      <c r="C2131" s="1"/>
      <c r="D2131" s="1"/>
      <c r="E2131" s="357">
        <v>44581</v>
      </c>
      <c r="F2131" s="344" t="s">
        <v>628</v>
      </c>
      <c r="G2131" s="358">
        <v>18.2821</v>
      </c>
      <c r="H2131" s="344" t="s">
        <v>1167</v>
      </c>
    </row>
    <row r="2132" spans="1:8">
      <c r="A2132" s="1"/>
      <c r="B2132" s="1"/>
      <c r="C2132" s="1"/>
      <c r="D2132" s="1"/>
      <c r="E2132" s="357">
        <v>44581</v>
      </c>
      <c r="F2132" s="344" t="s">
        <v>631</v>
      </c>
      <c r="G2132" s="358">
        <v>13.443099999999999</v>
      </c>
      <c r="H2132" s="344" t="s">
        <v>1167</v>
      </c>
    </row>
    <row r="2133" spans="1:8">
      <c r="A2133" s="1"/>
      <c r="B2133" s="1"/>
      <c r="C2133" s="1"/>
      <c r="D2133" s="1"/>
      <c r="E2133" s="357">
        <v>44582</v>
      </c>
      <c r="F2133" s="344" t="s">
        <v>621</v>
      </c>
      <c r="G2133" s="358">
        <v>14.636799999999999</v>
      </c>
      <c r="H2133" s="344" t="s">
        <v>1168</v>
      </c>
    </row>
    <row r="2134" spans="1:8">
      <c r="A2134" s="1"/>
      <c r="B2134" s="1"/>
      <c r="C2134" s="1"/>
      <c r="D2134" s="1"/>
      <c r="E2134" s="357">
        <v>44582</v>
      </c>
      <c r="F2134" s="344" t="s">
        <v>625</v>
      </c>
      <c r="G2134" s="358">
        <v>15.1892</v>
      </c>
      <c r="H2134" s="344" t="s">
        <v>1168</v>
      </c>
    </row>
    <row r="2135" spans="1:8">
      <c r="A2135" s="1"/>
      <c r="B2135" s="1"/>
      <c r="C2135" s="1"/>
      <c r="D2135" s="1"/>
      <c r="E2135" s="357">
        <v>44582</v>
      </c>
      <c r="F2135" s="344" t="s">
        <v>628</v>
      </c>
      <c r="G2135" s="358">
        <v>18.157399999999999</v>
      </c>
      <c r="H2135" s="344" t="s">
        <v>1168</v>
      </c>
    </row>
    <row r="2136" spans="1:8">
      <c r="A2136" s="1"/>
      <c r="B2136" s="1"/>
      <c r="C2136" s="1"/>
      <c r="D2136" s="1"/>
      <c r="E2136" s="357">
        <v>44582</v>
      </c>
      <c r="F2136" s="344" t="s">
        <v>631</v>
      </c>
      <c r="G2136" s="358">
        <v>13.401999999999999</v>
      </c>
      <c r="H2136" s="344" t="s">
        <v>1168</v>
      </c>
    </row>
    <row r="2137" spans="1:8">
      <c r="A2137" s="1"/>
      <c r="B2137" s="1"/>
      <c r="C2137" s="1"/>
      <c r="D2137" s="1"/>
      <c r="E2137" s="357">
        <v>44585</v>
      </c>
      <c r="F2137" s="344" t="s">
        <v>621</v>
      </c>
      <c r="G2137" s="358">
        <v>14.6342</v>
      </c>
      <c r="H2137" s="344" t="s">
        <v>1169</v>
      </c>
    </row>
    <row r="2138" spans="1:8">
      <c r="A2138" s="1"/>
      <c r="B2138" s="1"/>
      <c r="C2138" s="1"/>
      <c r="D2138" s="1"/>
      <c r="E2138" s="357">
        <v>44585</v>
      </c>
      <c r="F2138" s="344" t="s">
        <v>625</v>
      </c>
      <c r="G2138" s="358">
        <v>15.150600000000001</v>
      </c>
      <c r="H2138" s="344" t="s">
        <v>1169</v>
      </c>
    </row>
    <row r="2139" spans="1:8">
      <c r="A2139" s="1"/>
      <c r="B2139" s="1"/>
      <c r="C2139" s="1"/>
      <c r="D2139" s="1"/>
      <c r="E2139" s="357">
        <v>44585</v>
      </c>
      <c r="F2139" s="344" t="s">
        <v>628</v>
      </c>
      <c r="G2139" s="358">
        <v>18.069400000000002</v>
      </c>
      <c r="H2139" s="344" t="s">
        <v>1169</v>
      </c>
    </row>
    <row r="2140" spans="1:8">
      <c r="A2140" s="1"/>
      <c r="B2140" s="1"/>
      <c r="C2140" s="1"/>
      <c r="D2140" s="1"/>
      <c r="E2140" s="357">
        <v>44585</v>
      </c>
      <c r="F2140" s="344" t="s">
        <v>631</v>
      </c>
      <c r="G2140" s="358">
        <v>13.384600000000001</v>
      </c>
      <c r="H2140" s="344" t="s">
        <v>1169</v>
      </c>
    </row>
    <row r="2141" spans="1:8">
      <c r="A2141" s="1"/>
      <c r="B2141" s="1"/>
      <c r="C2141" s="1"/>
      <c r="D2141" s="1"/>
      <c r="E2141" s="357">
        <v>44586</v>
      </c>
      <c r="F2141" s="344" t="s">
        <v>621</v>
      </c>
      <c r="G2141" s="358">
        <v>14.667299999999999</v>
      </c>
      <c r="H2141" s="344" t="s">
        <v>1170</v>
      </c>
    </row>
    <row r="2142" spans="1:8">
      <c r="A2142" s="1"/>
      <c r="B2142" s="1"/>
      <c r="C2142" s="1"/>
      <c r="D2142" s="1"/>
      <c r="E2142" s="357">
        <v>44586</v>
      </c>
      <c r="F2142" s="344" t="s">
        <v>625</v>
      </c>
      <c r="G2142" s="358">
        <v>15.2425</v>
      </c>
      <c r="H2142" s="344" t="s">
        <v>1170</v>
      </c>
    </row>
    <row r="2143" spans="1:8">
      <c r="A2143" s="1"/>
      <c r="B2143" s="1"/>
      <c r="C2143" s="1"/>
      <c r="D2143" s="1"/>
      <c r="E2143" s="357">
        <v>44586</v>
      </c>
      <c r="F2143" s="344" t="s">
        <v>628</v>
      </c>
      <c r="G2143" s="358">
        <v>18.159600000000001</v>
      </c>
      <c r="H2143" s="344" t="s">
        <v>1170</v>
      </c>
    </row>
    <row r="2144" spans="1:8">
      <c r="A2144" s="1"/>
      <c r="B2144" s="1"/>
      <c r="C2144" s="1"/>
      <c r="D2144" s="1"/>
      <c r="E2144" s="357">
        <v>44586</v>
      </c>
      <c r="F2144" s="344" t="s">
        <v>631</v>
      </c>
      <c r="G2144" s="358">
        <v>13.5</v>
      </c>
      <c r="H2144" s="344" t="s">
        <v>1170</v>
      </c>
    </row>
    <row r="2145" spans="1:8">
      <c r="A2145" s="1"/>
      <c r="B2145" s="1"/>
      <c r="C2145" s="1"/>
      <c r="D2145" s="1"/>
      <c r="E2145" s="357">
        <v>44587</v>
      </c>
      <c r="F2145" s="344" t="s">
        <v>621</v>
      </c>
      <c r="G2145" s="358">
        <v>14.6439</v>
      </c>
      <c r="H2145" s="344" t="s">
        <v>1171</v>
      </c>
    </row>
    <row r="2146" spans="1:8">
      <c r="A2146" s="1"/>
      <c r="B2146" s="1"/>
      <c r="C2146" s="1"/>
      <c r="D2146" s="1"/>
      <c r="E2146" s="357">
        <v>44587</v>
      </c>
      <c r="F2146" s="344" t="s">
        <v>625</v>
      </c>
      <c r="G2146" s="358">
        <v>15.240399999999999</v>
      </c>
      <c r="H2146" s="344" t="s">
        <v>1171</v>
      </c>
    </row>
    <row r="2147" spans="1:8">
      <c r="A2147" s="1"/>
      <c r="B2147" s="1"/>
      <c r="C2147" s="1"/>
      <c r="D2147" s="1"/>
      <c r="E2147" s="357">
        <v>44587</v>
      </c>
      <c r="F2147" s="344" t="s">
        <v>628</v>
      </c>
      <c r="G2147" s="358">
        <v>18.206199999999999</v>
      </c>
      <c r="H2147" s="344" t="s">
        <v>1171</v>
      </c>
    </row>
    <row r="2148" spans="1:8">
      <c r="A2148" s="1"/>
      <c r="B2148" s="1"/>
      <c r="C2148" s="1"/>
      <c r="D2148" s="1"/>
      <c r="E2148" s="357">
        <v>44587</v>
      </c>
      <c r="F2148" s="344" t="s">
        <v>631</v>
      </c>
      <c r="G2148" s="358">
        <v>13.5029</v>
      </c>
      <c r="H2148" s="344" t="s">
        <v>1171</v>
      </c>
    </row>
    <row r="2149" spans="1:8">
      <c r="A2149" s="1"/>
      <c r="B2149" s="1"/>
      <c r="C2149" s="1"/>
      <c r="D2149" s="1"/>
      <c r="E2149" s="357">
        <v>44588</v>
      </c>
      <c r="F2149" s="344" t="s">
        <v>621</v>
      </c>
      <c r="G2149" s="358">
        <v>14.6274</v>
      </c>
      <c r="H2149" s="344" t="s">
        <v>1172</v>
      </c>
    </row>
    <row r="2150" spans="1:8">
      <c r="A2150" s="1"/>
      <c r="B2150" s="1"/>
      <c r="C2150" s="1"/>
      <c r="D2150" s="1"/>
      <c r="E2150" s="357">
        <v>44588</v>
      </c>
      <c r="F2150" s="344" t="s">
        <v>625</v>
      </c>
      <c r="G2150" s="358">
        <v>15.2159</v>
      </c>
      <c r="H2150" s="344" t="s">
        <v>1172</v>
      </c>
    </row>
    <row r="2151" spans="1:8">
      <c r="A2151" s="1"/>
      <c r="B2151" s="1"/>
      <c r="C2151" s="1"/>
      <c r="D2151" s="1"/>
      <c r="E2151" s="357">
        <v>44588</v>
      </c>
      <c r="F2151" s="344" t="s">
        <v>628</v>
      </c>
      <c r="G2151" s="358">
        <v>18.204599999999999</v>
      </c>
      <c r="H2151" s="344" t="s">
        <v>1172</v>
      </c>
    </row>
    <row r="2152" spans="1:8">
      <c r="A2152" s="1"/>
      <c r="B2152" s="1"/>
      <c r="C2152" s="1"/>
      <c r="D2152" s="1"/>
      <c r="E2152" s="357">
        <v>44588</v>
      </c>
      <c r="F2152" s="344" t="s">
        <v>631</v>
      </c>
      <c r="G2152" s="358">
        <v>13.5932</v>
      </c>
      <c r="H2152" s="344" t="s">
        <v>1172</v>
      </c>
    </row>
    <row r="2153" spans="1:8">
      <c r="A2153" s="1"/>
      <c r="B2153" s="1"/>
      <c r="C2153" s="1"/>
      <c r="D2153" s="1"/>
      <c r="E2153" s="357">
        <v>44589</v>
      </c>
      <c r="F2153" s="344" t="s">
        <v>621</v>
      </c>
      <c r="G2153" s="358">
        <v>14.576599999999999</v>
      </c>
      <c r="H2153" s="344" t="s">
        <v>1173</v>
      </c>
    </row>
    <row r="2154" spans="1:8">
      <c r="A2154" s="1"/>
      <c r="B2154" s="1"/>
      <c r="C2154" s="1"/>
      <c r="D2154" s="1"/>
      <c r="E2154" s="357">
        <v>44589</v>
      </c>
      <c r="F2154" s="344" t="s">
        <v>625</v>
      </c>
      <c r="G2154" s="358">
        <v>15.153600000000001</v>
      </c>
      <c r="H2154" s="344" t="s">
        <v>1173</v>
      </c>
    </row>
    <row r="2155" spans="1:8">
      <c r="A2155" s="1"/>
      <c r="B2155" s="1"/>
      <c r="C2155" s="1"/>
      <c r="D2155" s="1"/>
      <c r="E2155" s="357">
        <v>44589</v>
      </c>
      <c r="F2155" s="344" t="s">
        <v>628</v>
      </c>
      <c r="G2155" s="358">
        <v>18.1861</v>
      </c>
      <c r="H2155" s="344" t="s">
        <v>1173</v>
      </c>
    </row>
    <row r="2156" spans="1:8">
      <c r="A2156" s="1"/>
      <c r="B2156" s="1"/>
      <c r="C2156" s="1"/>
      <c r="D2156" s="1"/>
      <c r="E2156" s="357">
        <v>44589</v>
      </c>
      <c r="F2156" s="344" t="s">
        <v>631</v>
      </c>
      <c r="G2156" s="358">
        <v>13.6066</v>
      </c>
      <c r="H2156" s="344" t="s">
        <v>1173</v>
      </c>
    </row>
    <row r="2157" spans="1:8">
      <c r="A2157" s="1"/>
      <c r="B2157" s="1"/>
      <c r="C2157" s="1"/>
      <c r="D2157" s="1"/>
      <c r="E2157" s="357">
        <v>44592</v>
      </c>
      <c r="F2157" s="344" t="s">
        <v>621</v>
      </c>
      <c r="G2157" s="358">
        <v>14.341699999999999</v>
      </c>
      <c r="H2157" s="344" t="s">
        <v>1174</v>
      </c>
    </row>
    <row r="2158" spans="1:8">
      <c r="A2158" s="1"/>
      <c r="B2158" s="1"/>
      <c r="C2158" s="1"/>
      <c r="D2158" s="1"/>
      <c r="E2158" s="357">
        <v>44592</v>
      </c>
      <c r="F2158" s="344" t="s">
        <v>625</v>
      </c>
      <c r="G2158" s="358">
        <v>14.967599999999999</v>
      </c>
      <c r="H2158" s="344" t="s">
        <v>1174</v>
      </c>
    </row>
    <row r="2159" spans="1:8">
      <c r="A2159" s="1"/>
      <c r="B2159" s="1"/>
      <c r="C2159" s="1"/>
      <c r="D2159" s="1"/>
      <c r="E2159" s="357">
        <v>44592</v>
      </c>
      <c r="F2159" s="344" t="s">
        <v>628</v>
      </c>
      <c r="G2159" s="358">
        <v>17.968299999999999</v>
      </c>
      <c r="H2159" s="344" t="s">
        <v>1174</v>
      </c>
    </row>
    <row r="2160" spans="1:8">
      <c r="A2160" s="1"/>
      <c r="B2160" s="1"/>
      <c r="C2160" s="1"/>
      <c r="D2160" s="1"/>
      <c r="E2160" s="357">
        <v>44592</v>
      </c>
      <c r="F2160" s="344" t="s">
        <v>631</v>
      </c>
      <c r="G2160" s="358">
        <v>13.4015</v>
      </c>
      <c r="H2160" s="344" t="s">
        <v>1174</v>
      </c>
    </row>
    <row r="2161" spans="1:8">
      <c r="A2161" s="1"/>
      <c r="B2161" s="1"/>
      <c r="C2161" s="1"/>
      <c r="D2161" s="1"/>
      <c r="E2161" s="357">
        <v>44593</v>
      </c>
      <c r="F2161" s="344" t="s">
        <v>621</v>
      </c>
      <c r="G2161" s="358">
        <v>14.446</v>
      </c>
      <c r="H2161" s="344" t="s">
        <v>1175</v>
      </c>
    </row>
    <row r="2162" spans="1:8">
      <c r="A2162" s="1"/>
      <c r="B2162" s="1"/>
      <c r="C2162" s="1"/>
      <c r="D2162" s="1"/>
      <c r="E2162" s="357">
        <v>44593</v>
      </c>
      <c r="F2162" s="344" t="s">
        <v>625</v>
      </c>
      <c r="G2162" s="358">
        <v>15.0503</v>
      </c>
      <c r="H2162" s="344" t="s">
        <v>1175</v>
      </c>
    </row>
    <row r="2163" spans="1:8">
      <c r="A2163" s="1"/>
      <c r="B2163" s="1"/>
      <c r="C2163" s="1"/>
      <c r="D2163" s="1"/>
      <c r="E2163" s="357">
        <v>44593</v>
      </c>
      <c r="F2163" s="344" t="s">
        <v>628</v>
      </c>
      <c r="G2163" s="358">
        <v>17.9908</v>
      </c>
      <c r="H2163" s="344" t="s">
        <v>1175</v>
      </c>
    </row>
    <row r="2164" spans="1:8">
      <c r="A2164" s="1"/>
      <c r="B2164" s="1"/>
      <c r="C2164" s="1"/>
      <c r="D2164" s="1"/>
      <c r="E2164" s="357">
        <v>44593</v>
      </c>
      <c r="F2164" s="344" t="s">
        <v>631</v>
      </c>
      <c r="G2164" s="358">
        <v>13.367000000000001</v>
      </c>
      <c r="H2164" s="344" t="s">
        <v>1175</v>
      </c>
    </row>
    <row r="2165" spans="1:8">
      <c r="A2165" s="1"/>
      <c r="B2165" s="1"/>
      <c r="C2165" s="1"/>
      <c r="D2165" s="1"/>
      <c r="E2165" s="357">
        <v>44594</v>
      </c>
      <c r="F2165" s="344" t="s">
        <v>621</v>
      </c>
      <c r="G2165" s="358">
        <v>14.5608</v>
      </c>
      <c r="H2165" s="344" t="s">
        <v>1176</v>
      </c>
    </row>
    <row r="2166" spans="1:8">
      <c r="A2166" s="1"/>
      <c r="B2166" s="1"/>
      <c r="C2166" s="1"/>
      <c r="D2166" s="1"/>
      <c r="E2166" s="357">
        <v>44594</v>
      </c>
      <c r="F2166" s="344" t="s">
        <v>625</v>
      </c>
      <c r="G2166" s="358">
        <v>15.1653</v>
      </c>
      <c r="H2166" s="344" t="s">
        <v>1176</v>
      </c>
    </row>
    <row r="2167" spans="1:8">
      <c r="A2167" s="1"/>
      <c r="B2167" s="1"/>
      <c r="C2167" s="1"/>
      <c r="D2167" s="1"/>
      <c r="E2167" s="357">
        <v>44594</v>
      </c>
      <c r="F2167" s="344" t="s">
        <v>628</v>
      </c>
      <c r="G2167" s="358">
        <v>18.153500000000001</v>
      </c>
      <c r="H2167" s="344" t="s">
        <v>1176</v>
      </c>
    </row>
    <row r="2168" spans="1:8">
      <c r="A2168" s="1"/>
      <c r="B2168" s="1"/>
      <c r="C2168" s="1"/>
      <c r="D2168" s="1"/>
      <c r="E2168" s="357">
        <v>44594</v>
      </c>
      <c r="F2168" s="344" t="s">
        <v>631</v>
      </c>
      <c r="G2168" s="358">
        <v>13.428699999999999</v>
      </c>
      <c r="H2168" s="344" t="s">
        <v>1176</v>
      </c>
    </row>
    <row r="2169" spans="1:8">
      <c r="A2169" s="1"/>
      <c r="B2169" s="1"/>
      <c r="C2169" s="1"/>
      <c r="D2169" s="1"/>
      <c r="E2169" s="357">
        <v>44595</v>
      </c>
      <c r="F2169" s="344" t="s">
        <v>621</v>
      </c>
      <c r="G2169" s="358">
        <v>14.6739</v>
      </c>
      <c r="H2169" s="344" t="s">
        <v>1177</v>
      </c>
    </row>
    <row r="2170" spans="1:8">
      <c r="A2170" s="1"/>
      <c r="B2170" s="1"/>
      <c r="C2170" s="1"/>
      <c r="D2170" s="1"/>
      <c r="E2170" s="357">
        <v>44595</v>
      </c>
      <c r="F2170" s="344" t="s">
        <v>625</v>
      </c>
      <c r="G2170" s="358">
        <v>15.3002</v>
      </c>
      <c r="H2170" s="344" t="s">
        <v>1177</v>
      </c>
    </row>
    <row r="2171" spans="1:8">
      <c r="A2171" s="1"/>
      <c r="B2171" s="1"/>
      <c r="C2171" s="1"/>
      <c r="D2171" s="1"/>
      <c r="E2171" s="357">
        <v>44595</v>
      </c>
      <c r="F2171" s="344" t="s">
        <v>628</v>
      </c>
      <c r="G2171" s="358">
        <v>18.342500000000001</v>
      </c>
      <c r="H2171" s="344" t="s">
        <v>1177</v>
      </c>
    </row>
    <row r="2172" spans="1:8">
      <c r="A2172" s="1"/>
      <c r="B2172" s="1"/>
      <c r="C2172" s="1"/>
      <c r="D2172" s="1"/>
      <c r="E2172" s="357">
        <v>44595</v>
      </c>
      <c r="F2172" s="344" t="s">
        <v>631</v>
      </c>
      <c r="G2172" s="358">
        <v>13.5543</v>
      </c>
      <c r="H2172" s="344" t="s">
        <v>1177</v>
      </c>
    </row>
    <row r="2173" spans="1:8">
      <c r="A2173" s="1"/>
      <c r="B2173" s="1"/>
      <c r="C2173" s="1"/>
      <c r="D2173" s="1"/>
      <c r="E2173" s="357">
        <v>44596</v>
      </c>
      <c r="F2173" s="344" t="s">
        <v>621</v>
      </c>
      <c r="G2173" s="358">
        <v>14.6487</v>
      </c>
      <c r="H2173" s="344" t="s">
        <v>1178</v>
      </c>
    </row>
    <row r="2174" spans="1:8">
      <c r="A2174" s="1"/>
      <c r="B2174" s="1"/>
      <c r="C2174" s="1"/>
      <c r="D2174" s="1"/>
      <c r="E2174" s="357">
        <v>44596</v>
      </c>
      <c r="F2174" s="344" t="s">
        <v>625</v>
      </c>
      <c r="G2174" s="358">
        <v>15.5162</v>
      </c>
      <c r="H2174" s="344" t="s">
        <v>1178</v>
      </c>
    </row>
    <row r="2175" spans="1:8">
      <c r="A2175" s="1"/>
      <c r="B2175" s="1"/>
      <c r="C2175" s="1"/>
      <c r="D2175" s="1"/>
      <c r="E2175" s="357">
        <v>44596</v>
      </c>
      <c r="F2175" s="344" t="s">
        <v>628</v>
      </c>
      <c r="G2175" s="358">
        <v>18.339099999999998</v>
      </c>
      <c r="H2175" s="344" t="s">
        <v>1178</v>
      </c>
    </row>
    <row r="2176" spans="1:8">
      <c r="A2176" s="1"/>
      <c r="B2176" s="1"/>
      <c r="C2176" s="1"/>
      <c r="D2176" s="1"/>
      <c r="E2176" s="357">
        <v>44596</v>
      </c>
      <c r="F2176" s="344" t="s">
        <v>631</v>
      </c>
      <c r="G2176" s="358">
        <v>13.5336</v>
      </c>
      <c r="H2176" s="344" t="s">
        <v>1178</v>
      </c>
    </row>
    <row r="2177" spans="1:8">
      <c r="A2177" s="1"/>
      <c r="B2177" s="1"/>
      <c r="C2177" s="1"/>
      <c r="D2177" s="1"/>
      <c r="E2177" s="357">
        <v>44599</v>
      </c>
      <c r="F2177" s="344" t="s">
        <v>621</v>
      </c>
      <c r="G2177" s="358">
        <v>14.613099999999999</v>
      </c>
      <c r="H2177" s="344" t="s">
        <v>1179</v>
      </c>
    </row>
    <row r="2178" spans="1:8">
      <c r="A2178" s="1"/>
      <c r="B2178" s="1"/>
      <c r="C2178" s="1"/>
      <c r="D2178" s="1"/>
      <c r="E2178" s="357">
        <v>44599</v>
      </c>
      <c r="F2178" s="344" t="s">
        <v>625</v>
      </c>
      <c r="G2178" s="358">
        <v>15.481199999999999</v>
      </c>
      <c r="H2178" s="344" t="s">
        <v>1179</v>
      </c>
    </row>
    <row r="2179" spans="1:8">
      <c r="A2179" s="1"/>
      <c r="B2179" s="1"/>
      <c r="C2179" s="1"/>
      <c r="D2179" s="1"/>
      <c r="E2179" s="357">
        <v>44599</v>
      </c>
      <c r="F2179" s="344" t="s">
        <v>628</v>
      </c>
      <c r="G2179" s="358">
        <v>18.2807</v>
      </c>
      <c r="H2179" s="344" t="s">
        <v>1179</v>
      </c>
    </row>
    <row r="2180" spans="1:8">
      <c r="A2180" s="1"/>
      <c r="B2180" s="1"/>
      <c r="C2180" s="1"/>
      <c r="D2180" s="1"/>
      <c r="E2180" s="357">
        <v>44599</v>
      </c>
      <c r="F2180" s="344" t="s">
        <v>631</v>
      </c>
      <c r="G2180" s="358">
        <v>13.542899999999999</v>
      </c>
      <c r="H2180" s="344" t="s">
        <v>1179</v>
      </c>
    </row>
    <row r="2181" spans="1:8">
      <c r="A2181" s="1"/>
      <c r="B2181" s="1"/>
      <c r="C2181" s="1"/>
      <c r="D2181" s="1"/>
      <c r="E2181" s="357">
        <v>44600</v>
      </c>
      <c r="F2181" s="344" t="s">
        <v>621</v>
      </c>
      <c r="G2181" s="358">
        <v>14.702999999999999</v>
      </c>
      <c r="H2181" s="344" t="s">
        <v>1180</v>
      </c>
    </row>
    <row r="2182" spans="1:8">
      <c r="A2182" s="1"/>
      <c r="B2182" s="1"/>
      <c r="C2182" s="1"/>
      <c r="D2182" s="1"/>
      <c r="E2182" s="357">
        <v>44600</v>
      </c>
      <c r="F2182" s="344" t="s">
        <v>625</v>
      </c>
      <c r="G2182" s="358">
        <v>15.5412</v>
      </c>
      <c r="H2182" s="344" t="s">
        <v>1180</v>
      </c>
    </row>
    <row r="2183" spans="1:8">
      <c r="A2183" s="1"/>
      <c r="B2183" s="1"/>
      <c r="C2183" s="1"/>
      <c r="D2183" s="1"/>
      <c r="E2183" s="357">
        <v>44600</v>
      </c>
      <c r="F2183" s="344" t="s">
        <v>628</v>
      </c>
      <c r="G2183" s="358">
        <v>18.406099999999999</v>
      </c>
      <c r="H2183" s="344" t="s">
        <v>1180</v>
      </c>
    </row>
    <row r="2184" spans="1:8">
      <c r="A2184" s="1"/>
      <c r="B2184" s="1"/>
      <c r="C2184" s="1"/>
      <c r="D2184" s="1"/>
      <c r="E2184" s="357">
        <v>44600</v>
      </c>
      <c r="F2184" s="344" t="s">
        <v>631</v>
      </c>
      <c r="G2184" s="358">
        <v>13.616</v>
      </c>
      <c r="H2184" s="344" t="s">
        <v>1180</v>
      </c>
    </row>
    <row r="2185" spans="1:8">
      <c r="A2185" s="1"/>
      <c r="B2185" s="1"/>
      <c r="C2185" s="1"/>
      <c r="D2185" s="1"/>
      <c r="E2185" s="357">
        <v>44601</v>
      </c>
      <c r="F2185" s="344" t="s">
        <v>621</v>
      </c>
      <c r="G2185" s="358">
        <v>14.651899999999999</v>
      </c>
      <c r="H2185" s="344" t="s">
        <v>1181</v>
      </c>
    </row>
    <row r="2186" spans="1:8">
      <c r="A2186" s="1"/>
      <c r="B2186" s="1"/>
      <c r="C2186" s="1"/>
      <c r="D2186" s="1"/>
      <c r="E2186" s="357">
        <v>44601</v>
      </c>
      <c r="F2186" s="344" t="s">
        <v>625</v>
      </c>
      <c r="G2186" s="358">
        <v>15.5002</v>
      </c>
      <c r="H2186" s="344" t="s">
        <v>1181</v>
      </c>
    </row>
    <row r="2187" spans="1:8">
      <c r="A2187" s="1"/>
      <c r="B2187" s="1"/>
      <c r="C2187" s="1"/>
      <c r="D2187" s="1"/>
      <c r="E2187" s="357">
        <v>44601</v>
      </c>
      <c r="F2187" s="344" t="s">
        <v>628</v>
      </c>
      <c r="G2187" s="358">
        <v>18.3765</v>
      </c>
      <c r="H2187" s="344" t="s">
        <v>1181</v>
      </c>
    </row>
    <row r="2188" spans="1:8">
      <c r="A2188" s="1"/>
      <c r="B2188" s="1"/>
      <c r="C2188" s="1"/>
      <c r="D2188" s="1"/>
      <c r="E2188" s="357">
        <v>44601</v>
      </c>
      <c r="F2188" s="344" t="s">
        <v>631</v>
      </c>
      <c r="G2188" s="358">
        <v>13.567500000000001</v>
      </c>
      <c r="H2188" s="344" t="s">
        <v>1181</v>
      </c>
    </row>
    <row r="2189" spans="1:8">
      <c r="A2189" s="1"/>
      <c r="B2189" s="1"/>
      <c r="C2189" s="1"/>
      <c r="D2189" s="1"/>
      <c r="E2189" s="357">
        <v>44602</v>
      </c>
      <c r="F2189" s="344" t="s">
        <v>621</v>
      </c>
      <c r="G2189" s="358">
        <v>14.6135</v>
      </c>
      <c r="H2189" s="344" t="s">
        <v>1182</v>
      </c>
    </row>
    <row r="2190" spans="1:8">
      <c r="A2190" s="1"/>
      <c r="B2190" s="1"/>
      <c r="C2190" s="1"/>
      <c r="D2190" s="1"/>
      <c r="E2190" s="357">
        <v>44602</v>
      </c>
      <c r="F2190" s="344" t="s">
        <v>625</v>
      </c>
      <c r="G2190" s="358">
        <v>15.471299999999999</v>
      </c>
      <c r="H2190" s="344" t="s">
        <v>1182</v>
      </c>
    </row>
    <row r="2191" spans="1:8">
      <c r="A2191" s="1"/>
      <c r="B2191" s="1"/>
      <c r="C2191" s="1"/>
      <c r="D2191" s="1"/>
      <c r="E2191" s="357">
        <v>44602</v>
      </c>
      <c r="F2191" s="344" t="s">
        <v>628</v>
      </c>
      <c r="G2191" s="358">
        <v>18.315100000000001</v>
      </c>
      <c r="H2191" s="344" t="s">
        <v>1182</v>
      </c>
    </row>
    <row r="2192" spans="1:8">
      <c r="A2192" s="1"/>
      <c r="B2192" s="1"/>
      <c r="C2192" s="1"/>
      <c r="D2192" s="1"/>
      <c r="E2192" s="357">
        <v>44602</v>
      </c>
      <c r="F2192" s="344" t="s">
        <v>631</v>
      </c>
      <c r="G2192" s="358">
        <v>13.5322</v>
      </c>
      <c r="H2192" s="344" t="s">
        <v>1182</v>
      </c>
    </row>
    <row r="2193" spans="1:8">
      <c r="A2193" s="1"/>
      <c r="B2193" s="1"/>
      <c r="C2193" s="1"/>
      <c r="D2193" s="1"/>
      <c r="E2193" s="357">
        <v>44603</v>
      </c>
      <c r="F2193" s="344" t="s">
        <v>621</v>
      </c>
      <c r="G2193" s="358">
        <v>14.5144</v>
      </c>
      <c r="H2193" s="344" t="s">
        <v>1183</v>
      </c>
    </row>
    <row r="2194" spans="1:8">
      <c r="A2194" s="1"/>
      <c r="B2194" s="1"/>
      <c r="C2194" s="1"/>
      <c r="D2194" s="1"/>
      <c r="E2194" s="357">
        <v>44603</v>
      </c>
      <c r="F2194" s="344" t="s">
        <v>625</v>
      </c>
      <c r="G2194" s="358">
        <v>15.3674</v>
      </c>
      <c r="H2194" s="344" t="s">
        <v>1183</v>
      </c>
    </row>
    <row r="2195" spans="1:8">
      <c r="A2195" s="1"/>
      <c r="B2195" s="1"/>
      <c r="C2195" s="1"/>
      <c r="D2195" s="1"/>
      <c r="E2195" s="357">
        <v>44603</v>
      </c>
      <c r="F2195" s="344" t="s">
        <v>628</v>
      </c>
      <c r="G2195" s="358">
        <v>18.2544</v>
      </c>
      <c r="H2195" s="344" t="s">
        <v>1183</v>
      </c>
    </row>
    <row r="2196" spans="1:8">
      <c r="A2196" s="1"/>
      <c r="B2196" s="1"/>
      <c r="C2196" s="1"/>
      <c r="D2196" s="1"/>
      <c r="E2196" s="357">
        <v>44603</v>
      </c>
      <c r="F2196" s="344" t="s">
        <v>631</v>
      </c>
      <c r="G2196" s="358">
        <v>13.4933</v>
      </c>
      <c r="H2196" s="344" t="s">
        <v>1183</v>
      </c>
    </row>
    <row r="2197" spans="1:8">
      <c r="A2197" s="1"/>
      <c r="B2197" s="1"/>
      <c r="C2197" s="1"/>
      <c r="D2197" s="1"/>
      <c r="E2197" s="357">
        <v>44606</v>
      </c>
      <c r="F2197" s="344" t="s">
        <v>621</v>
      </c>
      <c r="G2197" s="358">
        <v>14.607699999999999</v>
      </c>
      <c r="H2197" s="344" t="s">
        <v>1184</v>
      </c>
    </row>
    <row r="2198" spans="1:8">
      <c r="A2198" s="1"/>
      <c r="B2198" s="1"/>
      <c r="C2198" s="1"/>
      <c r="D2198" s="1"/>
      <c r="E2198" s="357">
        <v>44606</v>
      </c>
      <c r="F2198" s="344" t="s">
        <v>625</v>
      </c>
      <c r="G2198" s="358">
        <v>15.327</v>
      </c>
      <c r="H2198" s="344" t="s">
        <v>1184</v>
      </c>
    </row>
    <row r="2199" spans="1:8">
      <c r="A2199" s="1"/>
      <c r="B2199" s="1"/>
      <c r="C2199" s="1"/>
      <c r="D2199" s="1"/>
      <c r="E2199" s="357">
        <v>44606</v>
      </c>
      <c r="F2199" s="344" t="s">
        <v>628</v>
      </c>
      <c r="G2199" s="358">
        <v>18.2728</v>
      </c>
      <c r="H2199" s="344" t="s">
        <v>1184</v>
      </c>
    </row>
    <row r="2200" spans="1:8">
      <c r="A2200" s="1"/>
      <c r="B2200" s="1"/>
      <c r="C2200" s="1"/>
      <c r="D2200" s="1"/>
      <c r="E2200" s="357">
        <v>44606</v>
      </c>
      <c r="F2200" s="344" t="s">
        <v>631</v>
      </c>
      <c r="G2200" s="358">
        <v>13.537800000000001</v>
      </c>
      <c r="H2200" s="344" t="s">
        <v>1184</v>
      </c>
    </row>
    <row r="2201" spans="1:8">
      <c r="A2201" s="1"/>
      <c r="B2201" s="1"/>
      <c r="C2201" s="1"/>
      <c r="D2201" s="1"/>
      <c r="E2201" s="357">
        <v>44607</v>
      </c>
      <c r="F2201" s="344" t="s">
        <v>621</v>
      </c>
      <c r="G2201" s="358">
        <v>14.6813</v>
      </c>
      <c r="H2201" s="344" t="s">
        <v>1185</v>
      </c>
    </row>
    <row r="2202" spans="1:8">
      <c r="A2202" s="1"/>
      <c r="B2202" s="1"/>
      <c r="C2202" s="1"/>
      <c r="D2202" s="1"/>
      <c r="E2202" s="357">
        <v>44607</v>
      </c>
      <c r="F2202" s="344" t="s">
        <v>625</v>
      </c>
      <c r="G2202" s="358">
        <v>15.421799999999999</v>
      </c>
      <c r="H2202" s="344" t="s">
        <v>1185</v>
      </c>
    </row>
    <row r="2203" spans="1:8">
      <c r="A2203" s="1"/>
      <c r="B2203" s="1"/>
      <c r="C2203" s="1"/>
      <c r="D2203" s="1"/>
      <c r="E2203" s="357">
        <v>44607</v>
      </c>
      <c r="F2203" s="344" t="s">
        <v>628</v>
      </c>
      <c r="G2203" s="358">
        <v>18.394200000000001</v>
      </c>
      <c r="H2203" s="344" t="s">
        <v>1185</v>
      </c>
    </row>
    <row r="2204" spans="1:8">
      <c r="A2204" s="1"/>
      <c r="B2204" s="1"/>
      <c r="C2204" s="1"/>
      <c r="D2204" s="1"/>
      <c r="E2204" s="357">
        <v>44607</v>
      </c>
      <c r="F2204" s="344" t="s">
        <v>631</v>
      </c>
      <c r="G2204" s="358">
        <v>13.603199999999999</v>
      </c>
      <c r="H2204" s="344" t="s">
        <v>1185</v>
      </c>
    </row>
    <row r="2205" spans="1:8">
      <c r="A2205" s="1"/>
      <c r="B2205" s="1"/>
      <c r="C2205" s="1"/>
      <c r="D2205" s="1"/>
      <c r="E2205" s="357">
        <v>44608</v>
      </c>
      <c r="F2205" s="344" t="s">
        <v>621</v>
      </c>
      <c r="G2205" s="358">
        <v>14.688499999999999</v>
      </c>
      <c r="H2205" s="344" t="s">
        <v>1186</v>
      </c>
    </row>
    <row r="2206" spans="1:8">
      <c r="A2206" s="1"/>
      <c r="B2206" s="1"/>
      <c r="C2206" s="1"/>
      <c r="D2206" s="1"/>
      <c r="E2206" s="357">
        <v>44608</v>
      </c>
      <c r="F2206" s="344" t="s">
        <v>625</v>
      </c>
      <c r="G2206" s="358">
        <v>15.492699999999999</v>
      </c>
      <c r="H2206" s="344" t="s">
        <v>1186</v>
      </c>
    </row>
    <row r="2207" spans="1:8">
      <c r="A2207" s="1"/>
      <c r="B2207" s="1"/>
      <c r="C2207" s="1"/>
      <c r="D2207" s="1"/>
      <c r="E2207" s="357">
        <v>44608</v>
      </c>
      <c r="F2207" s="344" t="s">
        <v>628</v>
      </c>
      <c r="G2207" s="358">
        <v>18.431899999999999</v>
      </c>
      <c r="H2207" s="344" t="s">
        <v>1186</v>
      </c>
    </row>
    <row r="2208" spans="1:8">
      <c r="A2208" s="1"/>
      <c r="B2208" s="1"/>
      <c r="C2208" s="1"/>
      <c r="D2208" s="1"/>
      <c r="E2208" s="357">
        <v>44608</v>
      </c>
      <c r="F2208" s="344" t="s">
        <v>631</v>
      </c>
      <c r="G2208" s="358">
        <v>13.615399999999999</v>
      </c>
      <c r="H2208" s="344" t="s">
        <v>1186</v>
      </c>
    </row>
    <row r="2209" spans="1:8">
      <c r="A2209" s="1"/>
      <c r="B2209" s="1"/>
      <c r="C2209" s="1"/>
      <c r="D2209" s="1"/>
      <c r="E2209" s="357">
        <v>44609</v>
      </c>
      <c r="F2209" s="344" t="s">
        <v>621</v>
      </c>
      <c r="G2209" s="358">
        <v>14.726900000000001</v>
      </c>
      <c r="H2209" s="344" t="s">
        <v>1187</v>
      </c>
    </row>
    <row r="2210" spans="1:8">
      <c r="A2210" s="1"/>
      <c r="B2210" s="1"/>
      <c r="C2210" s="1"/>
      <c r="D2210" s="1"/>
      <c r="E2210" s="357">
        <v>44609</v>
      </c>
      <c r="F2210" s="344" t="s">
        <v>625</v>
      </c>
      <c r="G2210" s="358">
        <v>15.462</v>
      </c>
      <c r="H2210" s="344" t="s">
        <v>1187</v>
      </c>
    </row>
    <row r="2211" spans="1:8">
      <c r="A2211" s="1"/>
      <c r="B2211" s="1"/>
      <c r="C2211" s="1"/>
      <c r="D2211" s="1"/>
      <c r="E2211" s="357">
        <v>44609</v>
      </c>
      <c r="F2211" s="344" t="s">
        <v>628</v>
      </c>
      <c r="G2211" s="358">
        <v>18.467600000000001</v>
      </c>
      <c r="H2211" s="344" t="s">
        <v>1187</v>
      </c>
    </row>
    <row r="2212" spans="1:8">
      <c r="A2212" s="1"/>
      <c r="B2212" s="1"/>
      <c r="C2212" s="1"/>
      <c r="D2212" s="1"/>
      <c r="E2212" s="357">
        <v>44609</v>
      </c>
      <c r="F2212" s="344" t="s">
        <v>631</v>
      </c>
      <c r="G2212" s="358">
        <v>13.6035</v>
      </c>
      <c r="H2212" s="344" t="s">
        <v>1187</v>
      </c>
    </row>
    <row r="2213" spans="1:8">
      <c r="A2213" s="1"/>
      <c r="B2213" s="1"/>
      <c r="C2213" s="1"/>
      <c r="D2213" s="1"/>
      <c r="E2213" s="357">
        <v>44610</v>
      </c>
      <c r="F2213" s="344" t="s">
        <v>621</v>
      </c>
      <c r="G2213" s="358">
        <v>14.747299999999999</v>
      </c>
      <c r="H2213" s="344" t="s">
        <v>1188</v>
      </c>
    </row>
    <row r="2214" spans="1:8">
      <c r="A2214" s="1"/>
      <c r="B2214" s="1"/>
      <c r="C2214" s="1"/>
      <c r="D2214" s="1"/>
      <c r="E2214" s="357">
        <v>44610</v>
      </c>
      <c r="F2214" s="344" t="s">
        <v>625</v>
      </c>
      <c r="G2214" s="358">
        <v>15.474500000000001</v>
      </c>
      <c r="H2214" s="344" t="s">
        <v>1188</v>
      </c>
    </row>
    <row r="2215" spans="1:8">
      <c r="A2215" s="1"/>
      <c r="B2215" s="1"/>
      <c r="C2215" s="1"/>
      <c r="D2215" s="1"/>
      <c r="E2215" s="357">
        <v>44610</v>
      </c>
      <c r="F2215" s="344" t="s">
        <v>628</v>
      </c>
      <c r="G2215" s="358">
        <v>18.510300000000001</v>
      </c>
      <c r="H2215" s="344" t="s">
        <v>1188</v>
      </c>
    </row>
    <row r="2216" spans="1:8">
      <c r="A2216" s="1"/>
      <c r="B2216" s="1"/>
      <c r="C2216" s="1"/>
      <c r="D2216" s="1"/>
      <c r="E2216" s="357">
        <v>44610</v>
      </c>
      <c r="F2216" s="344" t="s">
        <v>631</v>
      </c>
      <c r="G2216" s="358">
        <v>13.611800000000001</v>
      </c>
      <c r="H2216" s="344" t="s">
        <v>1188</v>
      </c>
    </row>
    <row r="2217" spans="1:8">
      <c r="A2217" s="1"/>
      <c r="B2217" s="1"/>
      <c r="C2217" s="1"/>
      <c r="D2217" s="1"/>
      <c r="E2217" s="357">
        <v>44613</v>
      </c>
      <c r="F2217" s="344" t="s">
        <v>621</v>
      </c>
      <c r="G2217" s="358">
        <v>14.7858</v>
      </c>
      <c r="H2217" s="344" t="s">
        <v>1189</v>
      </c>
    </row>
    <row r="2218" spans="1:8">
      <c r="A2218" s="1"/>
      <c r="B2218" s="1"/>
      <c r="C2218" s="1"/>
      <c r="D2218" s="1"/>
      <c r="E2218" s="357">
        <v>44613</v>
      </c>
      <c r="F2218" s="344" t="s">
        <v>625</v>
      </c>
      <c r="G2218" s="358">
        <v>15.4651</v>
      </c>
      <c r="H2218" s="344" t="s">
        <v>1189</v>
      </c>
    </row>
    <row r="2219" spans="1:8">
      <c r="A2219" s="1"/>
      <c r="B2219" s="1"/>
      <c r="C2219" s="1"/>
      <c r="D2219" s="1"/>
      <c r="E2219" s="357">
        <v>44613</v>
      </c>
      <c r="F2219" s="344" t="s">
        <v>628</v>
      </c>
      <c r="G2219" s="358">
        <v>18.521000000000001</v>
      </c>
      <c r="H2219" s="344" t="s">
        <v>1189</v>
      </c>
    </row>
    <row r="2220" spans="1:8">
      <c r="A2220" s="1"/>
      <c r="B2220" s="1"/>
      <c r="C2220" s="1"/>
      <c r="D2220" s="1"/>
      <c r="E2220" s="357">
        <v>44613</v>
      </c>
      <c r="F2220" s="344" t="s">
        <v>631</v>
      </c>
      <c r="G2220" s="358">
        <v>13.612299999999999</v>
      </c>
      <c r="H2220" s="344" t="s">
        <v>1189</v>
      </c>
    </row>
    <row r="2221" spans="1:8">
      <c r="A2221" s="1"/>
      <c r="B2221" s="1"/>
      <c r="C2221" s="1"/>
      <c r="D2221" s="1"/>
      <c r="E2221" s="357">
        <v>44614</v>
      </c>
      <c r="F2221" s="344" t="s">
        <v>621</v>
      </c>
      <c r="G2221" s="358">
        <v>14.9391</v>
      </c>
      <c r="H2221" s="344" t="s">
        <v>1190</v>
      </c>
    </row>
    <row r="2222" spans="1:8">
      <c r="A2222" s="1"/>
      <c r="B2222" s="1"/>
      <c r="C2222" s="1"/>
      <c r="D2222" s="1"/>
      <c r="E2222" s="357">
        <v>44614</v>
      </c>
      <c r="F2222" s="344" t="s">
        <v>625</v>
      </c>
      <c r="G2222" s="358">
        <v>15.5648</v>
      </c>
      <c r="H2222" s="344" t="s">
        <v>1190</v>
      </c>
    </row>
    <row r="2223" spans="1:8">
      <c r="A2223" s="1"/>
      <c r="B2223" s="1"/>
      <c r="C2223" s="1"/>
      <c r="D2223" s="1"/>
      <c r="E2223" s="357">
        <v>44614</v>
      </c>
      <c r="F2223" s="344" t="s">
        <v>628</v>
      </c>
      <c r="G2223" s="358">
        <v>18.624300000000002</v>
      </c>
      <c r="H2223" s="344" t="s">
        <v>1190</v>
      </c>
    </row>
    <row r="2224" spans="1:8">
      <c r="A2224" s="1"/>
      <c r="B2224" s="1"/>
      <c r="C2224" s="1"/>
      <c r="D2224" s="1"/>
      <c r="E2224" s="357">
        <v>44614</v>
      </c>
      <c r="F2224" s="344" t="s">
        <v>631</v>
      </c>
      <c r="G2224" s="358">
        <v>13.7447</v>
      </c>
      <c r="H2224" s="344" t="s">
        <v>1190</v>
      </c>
    </row>
    <row r="2225" spans="1:8">
      <c r="A2225" s="1"/>
      <c r="B2225" s="1"/>
      <c r="C2225" s="1"/>
      <c r="D2225" s="1"/>
      <c r="E2225" s="357">
        <v>44615</v>
      </c>
      <c r="F2225" s="344" t="s">
        <v>621</v>
      </c>
      <c r="G2225" s="358">
        <v>14.942399999999999</v>
      </c>
      <c r="H2225" s="344" t="s">
        <v>1191</v>
      </c>
    </row>
    <row r="2226" spans="1:8">
      <c r="A2226" s="1"/>
      <c r="B2226" s="1"/>
      <c r="C2226" s="1"/>
      <c r="D2226" s="1"/>
      <c r="E2226" s="357">
        <v>44615</v>
      </c>
      <c r="F2226" s="344" t="s">
        <v>625</v>
      </c>
      <c r="G2226" s="358">
        <v>15.6358</v>
      </c>
      <c r="H2226" s="344" t="s">
        <v>1191</v>
      </c>
    </row>
    <row r="2227" spans="1:8">
      <c r="A2227" s="1"/>
      <c r="B2227" s="1"/>
      <c r="C2227" s="1"/>
      <c r="D2227" s="1"/>
      <c r="E2227" s="357">
        <v>44615</v>
      </c>
      <c r="F2227" s="344" t="s">
        <v>628</v>
      </c>
      <c r="G2227" s="358">
        <v>18.715299999999999</v>
      </c>
      <c r="H2227" s="344" t="s">
        <v>1191</v>
      </c>
    </row>
    <row r="2228" spans="1:8">
      <c r="A2228" s="1"/>
      <c r="B2228" s="1"/>
      <c r="C2228" s="1"/>
      <c r="D2228" s="1"/>
      <c r="E2228" s="357">
        <v>44615</v>
      </c>
      <c r="F2228" s="344" t="s">
        <v>631</v>
      </c>
      <c r="G2228" s="358">
        <v>13.7849</v>
      </c>
      <c r="H2228" s="344" t="s">
        <v>1191</v>
      </c>
    </row>
    <row r="2229" spans="1:8">
      <c r="A2229" s="1"/>
      <c r="B2229" s="1"/>
      <c r="C2229" s="1"/>
      <c r="D2229" s="1"/>
      <c r="E2229" s="357">
        <v>44616</v>
      </c>
      <c r="F2229" s="344" t="s">
        <v>621</v>
      </c>
      <c r="G2229" s="358">
        <v>15.4155</v>
      </c>
      <c r="H2229" s="344" t="s">
        <v>1192</v>
      </c>
    </row>
    <row r="2230" spans="1:8">
      <c r="A2230" s="1"/>
      <c r="B2230" s="1"/>
      <c r="C2230" s="1"/>
      <c r="D2230" s="1"/>
      <c r="E2230" s="357">
        <v>44616</v>
      </c>
      <c r="F2230" s="344" t="s">
        <v>625</v>
      </c>
      <c r="G2230" s="358">
        <v>15.9627</v>
      </c>
      <c r="H2230" s="344" t="s">
        <v>1192</v>
      </c>
    </row>
    <row r="2231" spans="1:8">
      <c r="A2231" s="1"/>
      <c r="B2231" s="1"/>
      <c r="C2231" s="1"/>
      <c r="D2231" s="1"/>
      <c r="E2231" s="357">
        <v>44616</v>
      </c>
      <c r="F2231" s="344" t="s">
        <v>628</v>
      </c>
      <c r="G2231" s="358">
        <v>19.1082</v>
      </c>
      <c r="H2231" s="344" t="s">
        <v>1192</v>
      </c>
    </row>
    <row r="2232" spans="1:8">
      <c r="A2232" s="1"/>
      <c r="B2232" s="1"/>
      <c r="C2232" s="1"/>
      <c r="D2232" s="1"/>
      <c r="E2232" s="357">
        <v>44616</v>
      </c>
      <c r="F2232" s="344" t="s">
        <v>631</v>
      </c>
      <c r="G2232" s="358">
        <v>14.2324</v>
      </c>
      <c r="H2232" s="344" t="s">
        <v>1192</v>
      </c>
    </row>
    <row r="2233" spans="1:8">
      <c r="A2233" s="1"/>
      <c r="B2233" s="1"/>
      <c r="C2233" s="1"/>
      <c r="D2233" s="1"/>
      <c r="E2233" s="357">
        <v>44617</v>
      </c>
      <c r="F2233" s="344" t="s">
        <v>621</v>
      </c>
      <c r="G2233" s="358">
        <v>15.138299999999999</v>
      </c>
      <c r="H2233" s="344" t="s">
        <v>1193</v>
      </c>
    </row>
    <row r="2234" spans="1:8">
      <c r="A2234" s="1"/>
      <c r="B2234" s="1"/>
      <c r="C2234" s="1"/>
      <c r="D2234" s="1"/>
      <c r="E2234" s="357">
        <v>44617</v>
      </c>
      <c r="F2234" s="344" t="s">
        <v>625</v>
      </c>
      <c r="G2234" s="358">
        <v>15.7097</v>
      </c>
      <c r="H2234" s="344" t="s">
        <v>1193</v>
      </c>
    </row>
    <row r="2235" spans="1:8">
      <c r="A2235" s="1"/>
      <c r="B2235" s="1"/>
      <c r="C2235" s="1"/>
      <c r="D2235" s="1"/>
      <c r="E2235" s="357">
        <v>44617</v>
      </c>
      <c r="F2235" s="344" t="s">
        <v>628</v>
      </c>
      <c r="G2235" s="358">
        <v>18.769400000000001</v>
      </c>
      <c r="H2235" s="344" t="s">
        <v>1193</v>
      </c>
    </row>
    <row r="2236" spans="1:8">
      <c r="A2236" s="1"/>
      <c r="B2236" s="1"/>
      <c r="C2236" s="1"/>
      <c r="D2236" s="1"/>
      <c r="E2236" s="357">
        <v>44617</v>
      </c>
      <c r="F2236" s="344" t="s">
        <v>631</v>
      </c>
      <c r="G2236" s="358">
        <v>14.0395</v>
      </c>
      <c r="H2236" s="344" t="s">
        <v>1193</v>
      </c>
    </row>
    <row r="2237" spans="1:8">
      <c r="A2237" s="1"/>
      <c r="B2237" s="1"/>
      <c r="C2237" s="1"/>
      <c r="D2237" s="1"/>
      <c r="E2237" s="357">
        <v>44620</v>
      </c>
      <c r="F2237" s="344" t="s">
        <v>621</v>
      </c>
      <c r="G2237" s="358">
        <v>14.9359</v>
      </c>
      <c r="H2237" s="344" t="s">
        <v>1194</v>
      </c>
    </row>
    <row r="2238" spans="1:8">
      <c r="A2238" s="1"/>
      <c r="B2238" s="1"/>
      <c r="C2238" s="1"/>
      <c r="D2238" s="1"/>
      <c r="E2238" s="357">
        <v>44620</v>
      </c>
      <c r="F2238" s="344" t="s">
        <v>625</v>
      </c>
      <c r="G2238" s="358">
        <v>15.4724</v>
      </c>
      <c r="H2238" s="344" t="s">
        <v>1194</v>
      </c>
    </row>
    <row r="2239" spans="1:8">
      <c r="A2239" s="1"/>
      <c r="B2239" s="1"/>
      <c r="C2239" s="1"/>
      <c r="D2239" s="1"/>
      <c r="E2239" s="357">
        <v>44620</v>
      </c>
      <c r="F2239" s="344" t="s">
        <v>628</v>
      </c>
      <c r="G2239" s="358">
        <v>18.474</v>
      </c>
      <c r="H2239" s="344" t="s">
        <v>1194</v>
      </c>
    </row>
    <row r="2240" spans="1:8">
      <c r="A2240" s="1"/>
      <c r="B2240" s="1"/>
      <c r="C2240" s="1"/>
      <c r="D2240" s="1"/>
      <c r="E2240" s="357">
        <v>44620</v>
      </c>
      <c r="F2240" s="344" t="s">
        <v>631</v>
      </c>
      <c r="G2240" s="358">
        <v>13.8286</v>
      </c>
      <c r="H2240" s="344" t="s">
        <v>1194</v>
      </c>
    </row>
    <row r="2241" spans="1:8">
      <c r="A2241" s="1"/>
      <c r="B2241" s="1"/>
      <c r="C2241" s="1"/>
      <c r="D2241" s="1"/>
      <c r="E2241" s="357">
        <v>44621</v>
      </c>
      <c r="F2241" s="344" t="s">
        <v>621</v>
      </c>
      <c r="G2241" s="358">
        <v>15.1013</v>
      </c>
      <c r="H2241" s="344" t="s">
        <v>1195</v>
      </c>
    </row>
    <row r="2242" spans="1:8">
      <c r="A2242" s="1"/>
      <c r="B2242" s="1"/>
      <c r="C2242" s="1"/>
      <c r="D2242" s="1"/>
      <c r="E2242" s="357">
        <v>44621</v>
      </c>
      <c r="F2242" s="344" t="s">
        <v>625</v>
      </c>
      <c r="G2242" s="358">
        <v>15.5556</v>
      </c>
      <c r="H2242" s="344" t="s">
        <v>1195</v>
      </c>
    </row>
    <row r="2243" spans="1:8">
      <c r="A2243" s="1"/>
      <c r="B2243" s="1"/>
      <c r="C2243" s="1"/>
      <c r="D2243" s="1"/>
      <c r="E2243" s="357">
        <v>44621</v>
      </c>
      <c r="F2243" s="344" t="s">
        <v>628</v>
      </c>
      <c r="G2243" s="358">
        <v>18.5961</v>
      </c>
      <c r="H2243" s="344" t="s">
        <v>1195</v>
      </c>
    </row>
    <row r="2244" spans="1:8">
      <c r="A2244" s="1"/>
      <c r="B2244" s="1"/>
      <c r="C2244" s="1"/>
      <c r="D2244" s="1"/>
      <c r="E2244" s="357">
        <v>44621</v>
      </c>
      <c r="F2244" s="344" t="s">
        <v>631</v>
      </c>
      <c r="G2244" s="358">
        <v>13.885400000000001</v>
      </c>
      <c r="H2244" s="344" t="s">
        <v>1195</v>
      </c>
    </row>
    <row r="2245" spans="1:8">
      <c r="A2245" s="1"/>
      <c r="B2245" s="1"/>
      <c r="C2245" s="1"/>
      <c r="D2245" s="1"/>
      <c r="E2245" s="357">
        <v>44622</v>
      </c>
      <c r="F2245" s="344" t="s">
        <v>621</v>
      </c>
      <c r="G2245" s="358">
        <v>15.242599999999999</v>
      </c>
      <c r="H2245" s="344" t="s">
        <v>1196</v>
      </c>
    </row>
    <row r="2246" spans="1:8">
      <c r="A2246" s="1"/>
      <c r="B2246" s="1"/>
      <c r="C2246" s="1"/>
      <c r="D2246" s="1"/>
      <c r="E2246" s="357">
        <v>44622</v>
      </c>
      <c r="F2246" s="344" t="s">
        <v>625</v>
      </c>
      <c r="G2246" s="358">
        <v>15.572900000000001</v>
      </c>
      <c r="H2246" s="344" t="s">
        <v>1196</v>
      </c>
    </row>
    <row r="2247" spans="1:8">
      <c r="A2247" s="1"/>
      <c r="B2247" s="1"/>
      <c r="C2247" s="1"/>
      <c r="D2247" s="1"/>
      <c r="E2247" s="357">
        <v>44622</v>
      </c>
      <c r="F2247" s="344" t="s">
        <v>628</v>
      </c>
      <c r="G2247" s="358">
        <v>18.6493</v>
      </c>
      <c r="H2247" s="344" t="s">
        <v>1196</v>
      </c>
    </row>
    <row r="2248" spans="1:8">
      <c r="A2248" s="1"/>
      <c r="B2248" s="1"/>
      <c r="C2248" s="1"/>
      <c r="D2248" s="1"/>
      <c r="E2248" s="357">
        <v>44622</v>
      </c>
      <c r="F2248" s="344" t="s">
        <v>631</v>
      </c>
      <c r="G2248" s="358">
        <v>14.038600000000001</v>
      </c>
      <c r="H2248" s="344" t="s">
        <v>1196</v>
      </c>
    </row>
    <row r="2249" spans="1:8">
      <c r="A2249" s="1"/>
      <c r="B2249" s="1"/>
      <c r="C2249" s="1"/>
      <c r="D2249" s="1"/>
      <c r="E2249" s="357">
        <v>44623</v>
      </c>
      <c r="F2249" s="344" t="s">
        <v>621</v>
      </c>
      <c r="G2249" s="358">
        <v>15.3086</v>
      </c>
      <c r="H2249" s="344" t="s">
        <v>1197</v>
      </c>
    </row>
    <row r="2250" spans="1:8">
      <c r="A2250" s="1"/>
      <c r="B2250" s="1"/>
      <c r="C2250" s="1"/>
      <c r="D2250" s="1"/>
      <c r="E2250" s="357">
        <v>44623</v>
      </c>
      <c r="F2250" s="344" t="s">
        <v>625</v>
      </c>
      <c r="G2250" s="358">
        <v>15.652100000000001</v>
      </c>
      <c r="H2250" s="344" t="s">
        <v>1197</v>
      </c>
    </row>
    <row r="2251" spans="1:8">
      <c r="A2251" s="1"/>
      <c r="B2251" s="1"/>
      <c r="C2251" s="1"/>
      <c r="D2251" s="1"/>
      <c r="E2251" s="357">
        <v>44623</v>
      </c>
      <c r="F2251" s="344" t="s">
        <v>628</v>
      </c>
      <c r="G2251" s="358">
        <v>18.860700000000001</v>
      </c>
      <c r="H2251" s="344" t="s">
        <v>1197</v>
      </c>
    </row>
    <row r="2252" spans="1:8">
      <c r="A2252" s="1"/>
      <c r="B2252" s="1"/>
      <c r="C2252" s="1"/>
      <c r="D2252" s="1"/>
      <c r="E2252" s="357">
        <v>44623</v>
      </c>
      <c r="F2252" s="344" t="s">
        <v>631</v>
      </c>
      <c r="G2252" s="358">
        <v>14.112</v>
      </c>
      <c r="H2252" s="344" t="s">
        <v>1197</v>
      </c>
    </row>
    <row r="2253" spans="1:8">
      <c r="A2253" s="1"/>
      <c r="B2253" s="1"/>
      <c r="C2253" s="1"/>
      <c r="D2253" s="1"/>
      <c r="E2253" s="357">
        <v>44624</v>
      </c>
      <c r="F2253" s="344" t="s">
        <v>621</v>
      </c>
      <c r="G2253" s="358">
        <v>15.3971</v>
      </c>
      <c r="H2253" s="344" t="s">
        <v>1198</v>
      </c>
    </row>
    <row r="2254" spans="1:8">
      <c r="A2254" s="1"/>
      <c r="B2254" s="1"/>
      <c r="C2254" s="1"/>
      <c r="D2254" s="1"/>
      <c r="E2254" s="357">
        <v>44624</v>
      </c>
      <c r="F2254" s="344" t="s">
        <v>625</v>
      </c>
      <c r="G2254" s="358">
        <v>15.601699999999999</v>
      </c>
      <c r="H2254" s="344" t="s">
        <v>1198</v>
      </c>
    </row>
    <row r="2255" spans="1:8">
      <c r="A2255" s="1"/>
      <c r="B2255" s="1"/>
      <c r="C2255" s="1"/>
      <c r="D2255" s="1"/>
      <c r="E2255" s="357">
        <v>44624</v>
      </c>
      <c r="F2255" s="344" t="s">
        <v>628</v>
      </c>
      <c r="G2255" s="358">
        <v>18.84</v>
      </c>
      <c r="H2255" s="344" t="s">
        <v>1198</v>
      </c>
    </row>
    <row r="2256" spans="1:8">
      <c r="A2256" s="1"/>
      <c r="B2256" s="1"/>
      <c r="C2256" s="1"/>
      <c r="D2256" s="1"/>
      <c r="E2256" s="357">
        <v>44624</v>
      </c>
      <c r="F2256" s="344" t="s">
        <v>631</v>
      </c>
      <c r="G2256" s="358">
        <v>14.176600000000001</v>
      </c>
      <c r="H2256" s="344" t="s">
        <v>1198</v>
      </c>
    </row>
    <row r="2257" spans="1:8">
      <c r="A2257" s="1"/>
      <c r="B2257" s="1"/>
      <c r="C2257" s="1"/>
      <c r="D2257" s="1"/>
      <c r="E2257" s="357">
        <v>44627</v>
      </c>
      <c r="F2257" s="344" t="s">
        <v>621</v>
      </c>
      <c r="G2257" s="358">
        <v>15.4558</v>
      </c>
      <c r="H2257" s="344" t="s">
        <v>1199</v>
      </c>
    </row>
    <row r="2258" spans="1:8">
      <c r="A2258" s="1"/>
      <c r="B2258" s="1"/>
      <c r="C2258" s="1"/>
      <c r="D2258" s="1"/>
      <c r="E2258" s="357">
        <v>44627</v>
      </c>
      <c r="F2258" s="344" t="s">
        <v>625</v>
      </c>
      <c r="G2258" s="358">
        <v>15.530900000000001</v>
      </c>
      <c r="H2258" s="344" t="s">
        <v>1199</v>
      </c>
    </row>
    <row r="2259" spans="1:8">
      <c r="A2259" s="1"/>
      <c r="B2259" s="1"/>
      <c r="C2259" s="1"/>
      <c r="D2259" s="1"/>
      <c r="E2259" s="357">
        <v>44627</v>
      </c>
      <c r="F2259" s="344" t="s">
        <v>628</v>
      </c>
      <c r="G2259" s="358">
        <v>18.817799999999998</v>
      </c>
      <c r="H2259" s="344" t="s">
        <v>1199</v>
      </c>
    </row>
    <row r="2260" spans="1:8">
      <c r="A2260" s="1"/>
      <c r="B2260" s="1"/>
      <c r="C2260" s="1"/>
      <c r="D2260" s="1"/>
      <c r="E2260" s="357">
        <v>44627</v>
      </c>
      <c r="F2260" s="344" t="s">
        <v>631</v>
      </c>
      <c r="G2260" s="358">
        <v>14.3012</v>
      </c>
      <c r="H2260" s="344" t="s">
        <v>1199</v>
      </c>
    </row>
    <row r="2261" spans="1:8">
      <c r="A2261" s="1"/>
      <c r="B2261" s="1"/>
      <c r="C2261" s="1"/>
      <c r="D2261" s="1"/>
      <c r="E2261" s="357">
        <v>44628</v>
      </c>
      <c r="F2261" s="344" t="s">
        <v>621</v>
      </c>
      <c r="G2261" s="358">
        <v>15.5792</v>
      </c>
      <c r="H2261" s="344" t="s">
        <v>1200</v>
      </c>
    </row>
    <row r="2262" spans="1:8">
      <c r="A2262" s="1"/>
      <c r="B2262" s="1"/>
      <c r="C2262" s="1"/>
      <c r="D2262" s="1"/>
      <c r="E2262" s="357">
        <v>44628</v>
      </c>
      <c r="F2262" s="344" t="s">
        <v>625</v>
      </c>
      <c r="G2262" s="358">
        <v>15.7502</v>
      </c>
      <c r="H2262" s="344" t="s">
        <v>1200</v>
      </c>
    </row>
    <row r="2263" spans="1:8">
      <c r="A2263" s="1"/>
      <c r="B2263" s="1"/>
      <c r="C2263" s="1"/>
      <c r="D2263" s="1"/>
      <c r="E2263" s="357">
        <v>44628</v>
      </c>
      <c r="F2263" s="344" t="s">
        <v>628</v>
      </c>
      <c r="G2263" s="358">
        <v>18.9437</v>
      </c>
      <c r="H2263" s="344" t="s">
        <v>1200</v>
      </c>
    </row>
    <row r="2264" spans="1:8">
      <c r="A2264" s="1"/>
      <c r="B2264" s="1"/>
      <c r="C2264" s="1"/>
      <c r="D2264" s="1"/>
      <c r="E2264" s="357">
        <v>44628</v>
      </c>
      <c r="F2264" s="344" t="s">
        <v>631</v>
      </c>
      <c r="G2264" s="358">
        <v>14.472799999999999</v>
      </c>
      <c r="H2264" s="344" t="s">
        <v>1200</v>
      </c>
    </row>
    <row r="2265" spans="1:8">
      <c r="A2265" s="1"/>
      <c r="B2265" s="1"/>
      <c r="C2265" s="1"/>
      <c r="D2265" s="1"/>
      <c r="E2265" s="357">
        <v>44629</v>
      </c>
      <c r="F2265" s="344" t="s">
        <v>621</v>
      </c>
      <c r="G2265" s="358">
        <v>15.697900000000001</v>
      </c>
      <c r="H2265" s="344" t="s">
        <v>1201</v>
      </c>
    </row>
    <row r="2266" spans="1:8">
      <c r="A2266" s="1"/>
      <c r="B2266" s="1"/>
      <c r="C2266" s="1"/>
      <c r="D2266" s="1"/>
      <c r="E2266" s="357">
        <v>44629</v>
      </c>
      <c r="F2266" s="344" t="s">
        <v>625</v>
      </c>
      <c r="G2266" s="358">
        <v>15.9918</v>
      </c>
      <c r="H2266" s="344" t="s">
        <v>1201</v>
      </c>
    </row>
    <row r="2267" spans="1:8">
      <c r="A2267" s="1"/>
      <c r="B2267" s="1"/>
      <c r="C2267" s="1"/>
      <c r="D2267" s="1"/>
      <c r="E2267" s="357">
        <v>44629</v>
      </c>
      <c r="F2267" s="344" t="s">
        <v>628</v>
      </c>
      <c r="G2267" s="358">
        <v>19.157599999999999</v>
      </c>
      <c r="H2267" s="344" t="s">
        <v>1201</v>
      </c>
    </row>
    <row r="2268" spans="1:8">
      <c r="A2268" s="1"/>
      <c r="B2268" s="1"/>
      <c r="C2268" s="1"/>
      <c r="D2268" s="1"/>
      <c r="E2268" s="357">
        <v>44629</v>
      </c>
      <c r="F2268" s="344" t="s">
        <v>631</v>
      </c>
      <c r="G2268" s="358">
        <v>14.6061</v>
      </c>
      <c r="H2268" s="344" t="s">
        <v>1201</v>
      </c>
    </row>
    <row r="2269" spans="1:8">
      <c r="A2269" s="1"/>
      <c r="B2269" s="1"/>
      <c r="C2269" s="1"/>
      <c r="D2269" s="1"/>
      <c r="E2269" s="357">
        <v>44630</v>
      </c>
      <c r="F2269" s="344" t="s">
        <v>621</v>
      </c>
      <c r="G2269" s="358">
        <v>15.8705</v>
      </c>
      <c r="H2269" s="344" t="s">
        <v>1202</v>
      </c>
    </row>
    <row r="2270" spans="1:8">
      <c r="A2270" s="1"/>
      <c r="B2270" s="1"/>
      <c r="C2270" s="1"/>
      <c r="D2270" s="1"/>
      <c r="E2270" s="357">
        <v>44630</v>
      </c>
      <c r="F2270" s="344" t="s">
        <v>625</v>
      </c>
      <c r="G2270" s="358">
        <v>16.284199999999998</v>
      </c>
      <c r="H2270" s="344" t="s">
        <v>1202</v>
      </c>
    </row>
    <row r="2271" spans="1:8">
      <c r="A2271" s="1"/>
      <c r="B2271" s="1"/>
      <c r="C2271" s="1"/>
      <c r="D2271" s="1"/>
      <c r="E2271" s="357">
        <v>44630</v>
      </c>
      <c r="F2271" s="344" t="s">
        <v>628</v>
      </c>
      <c r="G2271" s="358">
        <v>19.384399999999999</v>
      </c>
      <c r="H2271" s="344" t="s">
        <v>1202</v>
      </c>
    </row>
    <row r="2272" spans="1:8">
      <c r="A2272" s="1"/>
      <c r="B2272" s="1"/>
      <c r="C2272" s="1"/>
      <c r="D2272" s="1"/>
      <c r="E2272" s="357">
        <v>44630</v>
      </c>
      <c r="F2272" s="344" t="s">
        <v>631</v>
      </c>
      <c r="G2272" s="358">
        <v>14.743499999999999</v>
      </c>
      <c r="H2272" s="344" t="s">
        <v>1202</v>
      </c>
    </row>
    <row r="2273" spans="1:8">
      <c r="A2273" s="1"/>
      <c r="B2273" s="1"/>
      <c r="C2273" s="1"/>
      <c r="D2273" s="1"/>
      <c r="E2273" s="357">
        <v>44631</v>
      </c>
      <c r="F2273" s="344" t="s">
        <v>621</v>
      </c>
      <c r="G2273" s="358">
        <v>15.969799999999999</v>
      </c>
      <c r="H2273" s="344" t="s">
        <v>1203</v>
      </c>
    </row>
    <row r="2274" spans="1:8">
      <c r="A2274" s="1"/>
      <c r="B2274" s="1"/>
      <c r="C2274" s="1"/>
      <c r="D2274" s="1"/>
      <c r="E2274" s="357">
        <v>44631</v>
      </c>
      <c r="F2274" s="344" t="s">
        <v>625</v>
      </c>
      <c r="G2274" s="358">
        <v>16.375800000000002</v>
      </c>
      <c r="H2274" s="344" t="s">
        <v>1203</v>
      </c>
    </row>
    <row r="2275" spans="1:8">
      <c r="A2275" s="1"/>
      <c r="B2275" s="1"/>
      <c r="C2275" s="1"/>
      <c r="D2275" s="1"/>
      <c r="E2275" s="357">
        <v>44631</v>
      </c>
      <c r="F2275" s="344" t="s">
        <v>628</v>
      </c>
      <c r="G2275" s="358">
        <v>19.465499999999999</v>
      </c>
      <c r="H2275" s="344" t="s">
        <v>1203</v>
      </c>
    </row>
    <row r="2276" spans="1:8">
      <c r="A2276" s="1"/>
      <c r="B2276" s="1"/>
      <c r="C2276" s="1"/>
      <c r="D2276" s="1"/>
      <c r="E2276" s="357">
        <v>44631</v>
      </c>
      <c r="F2276" s="344" t="s">
        <v>631</v>
      </c>
      <c r="G2276" s="358">
        <v>14.904199999999999</v>
      </c>
      <c r="H2276" s="344" t="s">
        <v>1203</v>
      </c>
    </row>
    <row r="2277" spans="1:8">
      <c r="A2277" s="1"/>
      <c r="B2277" s="1"/>
      <c r="C2277" s="1"/>
      <c r="D2277" s="1"/>
      <c r="E2277" s="357">
        <v>44634</v>
      </c>
      <c r="F2277" s="344" t="s">
        <v>621</v>
      </c>
      <c r="G2277" s="358">
        <v>15.7492</v>
      </c>
      <c r="H2277" s="344" t="s">
        <v>1204</v>
      </c>
    </row>
    <row r="2278" spans="1:8">
      <c r="A2278" s="1"/>
      <c r="B2278" s="1"/>
      <c r="C2278" s="1"/>
      <c r="D2278" s="1"/>
      <c r="E2278" s="357">
        <v>44634</v>
      </c>
      <c r="F2278" s="344" t="s">
        <v>625</v>
      </c>
      <c r="G2278" s="358">
        <v>16.162700000000001</v>
      </c>
      <c r="H2278" s="344" t="s">
        <v>1204</v>
      </c>
    </row>
    <row r="2279" spans="1:8">
      <c r="A2279" s="1"/>
      <c r="B2279" s="1"/>
      <c r="C2279" s="1"/>
      <c r="D2279" s="1"/>
      <c r="E2279" s="357">
        <v>44634</v>
      </c>
      <c r="F2279" s="344" t="s">
        <v>628</v>
      </c>
      <c r="G2279" s="358">
        <v>19.2105</v>
      </c>
      <c r="H2279" s="344" t="s">
        <v>1204</v>
      </c>
    </row>
    <row r="2280" spans="1:8">
      <c r="A2280" s="1"/>
      <c r="B2280" s="1"/>
      <c r="C2280" s="1"/>
      <c r="D2280" s="1"/>
      <c r="E2280" s="357">
        <v>44634</v>
      </c>
      <c r="F2280" s="344" t="s">
        <v>631</v>
      </c>
      <c r="G2280" s="358">
        <v>14.7624</v>
      </c>
      <c r="H2280" s="344" t="s">
        <v>1204</v>
      </c>
    </row>
    <row r="2281" spans="1:8">
      <c r="A2281" s="1"/>
      <c r="B2281" s="1"/>
      <c r="C2281" s="1"/>
      <c r="D2281" s="1"/>
      <c r="E2281" s="357">
        <v>44635</v>
      </c>
      <c r="F2281" s="344" t="s">
        <v>621</v>
      </c>
      <c r="G2281" s="358">
        <v>15.672800000000001</v>
      </c>
      <c r="H2281" s="344" t="s">
        <v>1205</v>
      </c>
    </row>
    <row r="2282" spans="1:8">
      <c r="A2282" s="1"/>
      <c r="B2282" s="1"/>
      <c r="C2282" s="1"/>
      <c r="D2282" s="1"/>
      <c r="E2282" s="357">
        <v>44635</v>
      </c>
      <c r="F2282" s="344" t="s">
        <v>625</v>
      </c>
      <c r="G2282" s="358">
        <v>16.216999999999999</v>
      </c>
      <c r="H2282" s="344" t="s">
        <v>1205</v>
      </c>
    </row>
    <row r="2283" spans="1:8">
      <c r="A2283" s="1"/>
      <c r="B2283" s="1"/>
      <c r="C2283" s="1"/>
      <c r="D2283" s="1"/>
      <c r="E2283" s="357">
        <v>44635</v>
      </c>
      <c r="F2283" s="344" t="s">
        <v>628</v>
      </c>
      <c r="G2283" s="358">
        <v>19.197600000000001</v>
      </c>
      <c r="H2283" s="344" t="s">
        <v>1205</v>
      </c>
    </row>
    <row r="2284" spans="1:8">
      <c r="A2284" s="1"/>
      <c r="B2284" s="1"/>
      <c r="C2284" s="1"/>
      <c r="D2284" s="1"/>
      <c r="E2284" s="357">
        <v>44635</v>
      </c>
      <c r="F2284" s="344" t="s">
        <v>631</v>
      </c>
      <c r="G2284" s="358">
        <v>14.750299999999999</v>
      </c>
      <c r="H2284" s="344" t="s">
        <v>1205</v>
      </c>
    </row>
    <row r="2285" spans="1:8">
      <c r="A2285" s="1"/>
      <c r="B2285" s="1"/>
      <c r="C2285" s="1"/>
      <c r="D2285" s="1"/>
      <c r="E2285" s="357">
        <v>44636</v>
      </c>
      <c r="F2285" s="344" t="s">
        <v>621</v>
      </c>
      <c r="G2285" s="358">
        <v>15.571899999999999</v>
      </c>
      <c r="H2285" s="344" t="s">
        <v>1206</v>
      </c>
    </row>
    <row r="2286" spans="1:8">
      <c r="A2286" s="1"/>
      <c r="B2286" s="1"/>
      <c r="C2286" s="1"/>
      <c r="D2286" s="1"/>
      <c r="E2286" s="357">
        <v>44636</v>
      </c>
      <c r="F2286" s="344" t="s">
        <v>625</v>
      </c>
      <c r="G2286" s="358">
        <v>16.125399999999999</v>
      </c>
      <c r="H2286" s="344" t="s">
        <v>1206</v>
      </c>
    </row>
    <row r="2287" spans="1:8">
      <c r="A2287" s="1"/>
      <c r="B2287" s="1"/>
      <c r="C2287" s="1"/>
      <c r="D2287" s="1"/>
      <c r="E2287" s="357">
        <v>44636</v>
      </c>
      <c r="F2287" s="344" t="s">
        <v>628</v>
      </c>
      <c r="G2287" s="358">
        <v>19.136800000000001</v>
      </c>
      <c r="H2287" s="344" t="s">
        <v>1206</v>
      </c>
    </row>
    <row r="2288" spans="1:8">
      <c r="A2288" s="1"/>
      <c r="B2288" s="1"/>
      <c r="C2288" s="1"/>
      <c r="D2288" s="1"/>
      <c r="E2288" s="357">
        <v>44636</v>
      </c>
      <c r="F2288" s="344" t="s">
        <v>631</v>
      </c>
      <c r="G2288" s="358">
        <v>14.675800000000001</v>
      </c>
      <c r="H2288" s="344" t="s">
        <v>1206</v>
      </c>
    </row>
    <row r="2289" spans="1:8">
      <c r="A2289" s="1"/>
      <c r="B2289" s="1"/>
      <c r="C2289" s="1"/>
      <c r="D2289" s="1"/>
      <c r="E2289" s="357">
        <v>44637</v>
      </c>
      <c r="F2289" s="344" t="s">
        <v>621</v>
      </c>
      <c r="G2289" s="358">
        <v>15.5669</v>
      </c>
      <c r="H2289" s="344" t="s">
        <v>1207</v>
      </c>
    </row>
    <row r="2290" spans="1:8">
      <c r="A2290" s="1"/>
      <c r="B2290" s="1"/>
      <c r="C2290" s="1"/>
      <c r="D2290" s="1"/>
      <c r="E2290" s="357">
        <v>44637</v>
      </c>
      <c r="F2290" s="344" t="s">
        <v>625</v>
      </c>
      <c r="G2290" s="358">
        <v>16.206499999999998</v>
      </c>
      <c r="H2290" s="344" t="s">
        <v>1207</v>
      </c>
    </row>
    <row r="2291" spans="1:8">
      <c r="A2291" s="1"/>
      <c r="B2291" s="1"/>
      <c r="C2291" s="1"/>
      <c r="D2291" s="1"/>
      <c r="E2291" s="357">
        <v>44637</v>
      </c>
      <c r="F2291" s="344" t="s">
        <v>628</v>
      </c>
      <c r="G2291" s="358">
        <v>19.304300000000001</v>
      </c>
      <c r="H2291" s="344" t="s">
        <v>1207</v>
      </c>
    </row>
    <row r="2292" spans="1:8">
      <c r="A2292" s="1"/>
      <c r="B2292" s="1"/>
      <c r="C2292" s="1"/>
      <c r="D2292" s="1"/>
      <c r="E2292" s="357">
        <v>44637</v>
      </c>
      <c r="F2292" s="344" t="s">
        <v>631</v>
      </c>
      <c r="G2292" s="358">
        <v>14.669700000000001</v>
      </c>
      <c r="H2292" s="344" t="s">
        <v>1207</v>
      </c>
    </row>
    <row r="2293" spans="1:8">
      <c r="A2293" s="1"/>
      <c r="B2293" s="1"/>
      <c r="C2293" s="1"/>
      <c r="D2293" s="1"/>
      <c r="E2293" s="357">
        <v>44638</v>
      </c>
      <c r="F2293" s="344" t="s">
        <v>621</v>
      </c>
      <c r="G2293" s="358">
        <v>15.741400000000001</v>
      </c>
      <c r="H2293" s="344" t="s">
        <v>1208</v>
      </c>
    </row>
    <row r="2294" spans="1:8">
      <c r="A2294" s="1"/>
      <c r="B2294" s="1"/>
      <c r="C2294" s="1"/>
      <c r="D2294" s="1"/>
      <c r="E2294" s="357">
        <v>44638</v>
      </c>
      <c r="F2294" s="344" t="s">
        <v>625</v>
      </c>
      <c r="G2294" s="358">
        <v>16.3261</v>
      </c>
      <c r="H2294" s="344" t="s">
        <v>1208</v>
      </c>
    </row>
    <row r="2295" spans="1:8">
      <c r="A2295" s="1"/>
      <c r="B2295" s="1"/>
      <c r="C2295" s="1"/>
      <c r="D2295" s="1"/>
      <c r="E2295" s="357">
        <v>44638</v>
      </c>
      <c r="F2295" s="344" t="s">
        <v>628</v>
      </c>
      <c r="G2295" s="358">
        <v>19.372399999999999</v>
      </c>
      <c r="H2295" s="344" t="s">
        <v>1208</v>
      </c>
    </row>
    <row r="2296" spans="1:8">
      <c r="A2296" s="1"/>
      <c r="B2296" s="1"/>
      <c r="C2296" s="1"/>
      <c r="D2296" s="1"/>
      <c r="E2296" s="357">
        <v>44638</v>
      </c>
      <c r="F2296" s="344" t="s">
        <v>631</v>
      </c>
      <c r="G2296" s="358">
        <v>14.763999999999999</v>
      </c>
      <c r="H2296" s="344" t="s">
        <v>1208</v>
      </c>
    </row>
    <row r="2297" spans="1:8">
      <c r="A2297" s="1"/>
      <c r="B2297" s="1"/>
      <c r="C2297" s="1"/>
      <c r="D2297" s="1"/>
      <c r="E2297" s="357">
        <v>44641</v>
      </c>
      <c r="F2297" s="344" t="s">
        <v>621</v>
      </c>
      <c r="G2297" s="358">
        <v>15.863099999999999</v>
      </c>
      <c r="H2297" s="344" t="s">
        <v>1209</v>
      </c>
    </row>
    <row r="2298" spans="1:8">
      <c r="A2298" s="1"/>
      <c r="B2298" s="1"/>
      <c r="C2298" s="1"/>
      <c r="D2298" s="1"/>
      <c r="E2298" s="357">
        <v>44641</v>
      </c>
      <c r="F2298" s="344" t="s">
        <v>625</v>
      </c>
      <c r="G2298" s="358">
        <v>16.366800000000001</v>
      </c>
      <c r="H2298" s="344" t="s">
        <v>1209</v>
      </c>
    </row>
    <row r="2299" spans="1:8">
      <c r="A2299" s="1"/>
      <c r="B2299" s="1"/>
      <c r="C2299" s="1"/>
      <c r="D2299" s="1"/>
      <c r="E2299" s="357">
        <v>44641</v>
      </c>
      <c r="F2299" s="344" t="s">
        <v>628</v>
      </c>
      <c r="G2299" s="358">
        <v>19.445399999999999</v>
      </c>
      <c r="H2299" s="344" t="s">
        <v>1209</v>
      </c>
    </row>
    <row r="2300" spans="1:8">
      <c r="A2300" s="1"/>
      <c r="B2300" s="1"/>
      <c r="C2300" s="1"/>
      <c r="D2300" s="1"/>
      <c r="E2300" s="357">
        <v>44641</v>
      </c>
      <c r="F2300" s="344" t="s">
        <v>631</v>
      </c>
      <c r="G2300" s="358">
        <v>14.816000000000001</v>
      </c>
      <c r="H2300" s="344" t="s">
        <v>1209</v>
      </c>
    </row>
    <row r="2301" spans="1:8">
      <c r="A2301" s="1"/>
      <c r="B2301" s="1"/>
      <c r="C2301" s="1"/>
      <c r="D2301" s="1"/>
      <c r="E2301" s="357">
        <v>44642</v>
      </c>
      <c r="F2301" s="344" t="s">
        <v>621</v>
      </c>
      <c r="G2301" s="358">
        <v>15.790900000000001</v>
      </c>
      <c r="H2301" s="344" t="s">
        <v>1210</v>
      </c>
    </row>
    <row r="2302" spans="1:8">
      <c r="A2302" s="1"/>
      <c r="B2302" s="1"/>
      <c r="C2302" s="1"/>
      <c r="D2302" s="1"/>
      <c r="E2302" s="357">
        <v>44642</v>
      </c>
      <c r="F2302" s="344" t="s">
        <v>625</v>
      </c>
      <c r="G2302" s="358">
        <v>16.273399999999999</v>
      </c>
      <c r="H2302" s="344" t="s">
        <v>1210</v>
      </c>
    </row>
    <row r="2303" spans="1:8">
      <c r="A2303" s="1"/>
      <c r="B2303" s="1"/>
      <c r="C2303" s="1"/>
      <c r="D2303" s="1"/>
      <c r="E2303" s="357">
        <v>44642</v>
      </c>
      <c r="F2303" s="344" t="s">
        <v>628</v>
      </c>
      <c r="G2303" s="358">
        <v>19.472999999999999</v>
      </c>
      <c r="H2303" s="344" t="s">
        <v>1210</v>
      </c>
    </row>
    <row r="2304" spans="1:8">
      <c r="A2304" s="1"/>
      <c r="B2304" s="1"/>
      <c r="C2304" s="1"/>
      <c r="D2304" s="1"/>
      <c r="E2304" s="357">
        <v>44642</v>
      </c>
      <c r="F2304" s="344" t="s">
        <v>631</v>
      </c>
      <c r="G2304" s="358">
        <v>14.8041</v>
      </c>
      <c r="H2304" s="344" t="s">
        <v>1210</v>
      </c>
    </row>
    <row r="2305" spans="1:8">
      <c r="A2305" s="1"/>
      <c r="B2305" s="1"/>
      <c r="C2305" s="1"/>
      <c r="D2305" s="1"/>
      <c r="E2305" s="357">
        <v>44643</v>
      </c>
      <c r="F2305" s="344" t="s">
        <v>621</v>
      </c>
      <c r="G2305" s="358">
        <v>15.8034</v>
      </c>
      <c r="H2305" s="344" t="s">
        <v>1211</v>
      </c>
    </row>
    <row r="2306" spans="1:8">
      <c r="A2306" s="1"/>
      <c r="B2306" s="1"/>
      <c r="C2306" s="1"/>
      <c r="D2306" s="1"/>
      <c r="E2306" s="357">
        <v>44643</v>
      </c>
      <c r="F2306" s="344" t="s">
        <v>625</v>
      </c>
      <c r="G2306" s="358">
        <v>16.298500000000001</v>
      </c>
      <c r="H2306" s="344" t="s">
        <v>1211</v>
      </c>
    </row>
    <row r="2307" spans="1:8">
      <c r="A2307" s="1"/>
      <c r="B2307" s="1"/>
      <c r="C2307" s="1"/>
      <c r="D2307" s="1"/>
      <c r="E2307" s="357">
        <v>44643</v>
      </c>
      <c r="F2307" s="344" t="s">
        <v>628</v>
      </c>
      <c r="G2307" s="358">
        <v>19.564</v>
      </c>
      <c r="H2307" s="344" t="s">
        <v>1211</v>
      </c>
    </row>
    <row r="2308" spans="1:8">
      <c r="A2308" s="1"/>
      <c r="B2308" s="1"/>
      <c r="C2308" s="1"/>
      <c r="D2308" s="1"/>
      <c r="E2308" s="357">
        <v>44643</v>
      </c>
      <c r="F2308" s="344" t="s">
        <v>631</v>
      </c>
      <c r="G2308" s="358">
        <v>14.8063</v>
      </c>
      <c r="H2308" s="344" t="s">
        <v>1211</v>
      </c>
    </row>
    <row r="2309" spans="1:8">
      <c r="A2309" s="1"/>
      <c r="B2309" s="1"/>
      <c r="C2309" s="1"/>
      <c r="D2309" s="1"/>
      <c r="E2309" s="357">
        <v>44644</v>
      </c>
      <c r="F2309" s="344" t="s">
        <v>621</v>
      </c>
      <c r="G2309" s="358">
        <v>15.8575</v>
      </c>
      <c r="H2309" s="344" t="s">
        <v>1212</v>
      </c>
    </row>
    <row r="2310" spans="1:8">
      <c r="A2310" s="1"/>
      <c r="B2310" s="1"/>
      <c r="C2310" s="1"/>
      <c r="D2310" s="1"/>
      <c r="E2310" s="357">
        <v>44644</v>
      </c>
      <c r="F2310" s="344" t="s">
        <v>625</v>
      </c>
      <c r="G2310" s="358">
        <v>16.282499999999999</v>
      </c>
      <c r="H2310" s="344" t="s">
        <v>1212</v>
      </c>
    </row>
    <row r="2311" spans="1:8">
      <c r="A2311" s="1"/>
      <c r="B2311" s="1"/>
      <c r="C2311" s="1"/>
      <c r="D2311" s="1"/>
      <c r="E2311" s="357">
        <v>44644</v>
      </c>
      <c r="F2311" s="344" t="s">
        <v>628</v>
      </c>
      <c r="G2311" s="358">
        <v>19.510899999999999</v>
      </c>
      <c r="H2311" s="344" t="s">
        <v>1212</v>
      </c>
    </row>
    <row r="2312" spans="1:8">
      <c r="A2312" s="1"/>
      <c r="B2312" s="1"/>
      <c r="C2312" s="1"/>
      <c r="D2312" s="1"/>
      <c r="E2312" s="357">
        <v>44644</v>
      </c>
      <c r="F2312" s="344" t="s">
        <v>631</v>
      </c>
      <c r="G2312" s="358">
        <v>14.823399999999999</v>
      </c>
      <c r="H2312" s="344" t="s">
        <v>1212</v>
      </c>
    </row>
    <row r="2313" spans="1:8">
      <c r="A2313" s="1"/>
      <c r="B2313" s="1"/>
      <c r="C2313" s="1"/>
      <c r="D2313" s="1"/>
      <c r="E2313" s="357">
        <v>44645</v>
      </c>
      <c r="F2313" s="344" t="s">
        <v>621</v>
      </c>
      <c r="G2313" s="358">
        <v>15.939</v>
      </c>
      <c r="H2313" s="344" t="s">
        <v>1213</v>
      </c>
    </row>
    <row r="2314" spans="1:8">
      <c r="A2314" s="1"/>
      <c r="B2314" s="1"/>
      <c r="C2314" s="1"/>
      <c r="D2314" s="1"/>
      <c r="E2314" s="357">
        <v>44645</v>
      </c>
      <c r="F2314" s="344" t="s">
        <v>625</v>
      </c>
      <c r="G2314" s="358">
        <v>16.313600000000001</v>
      </c>
      <c r="H2314" s="344" t="s">
        <v>1213</v>
      </c>
    </row>
    <row r="2315" spans="1:8">
      <c r="A2315" s="1"/>
      <c r="B2315" s="1"/>
      <c r="C2315" s="1"/>
      <c r="D2315" s="1"/>
      <c r="E2315" s="357">
        <v>44645</v>
      </c>
      <c r="F2315" s="344" t="s">
        <v>628</v>
      </c>
      <c r="G2315" s="358">
        <v>19.491299999999999</v>
      </c>
      <c r="H2315" s="344" t="s">
        <v>1213</v>
      </c>
    </row>
    <row r="2316" spans="1:8">
      <c r="A2316" s="1"/>
      <c r="B2316" s="1"/>
      <c r="C2316" s="1"/>
      <c r="D2316" s="1"/>
      <c r="E2316" s="357">
        <v>44645</v>
      </c>
      <c r="F2316" s="344" t="s">
        <v>631</v>
      </c>
      <c r="G2316" s="358">
        <v>14.806800000000001</v>
      </c>
      <c r="H2316" s="344" t="s">
        <v>1213</v>
      </c>
    </row>
    <row r="2317" spans="1:8">
      <c r="A2317" s="1"/>
      <c r="B2317" s="1"/>
      <c r="C2317" s="1"/>
      <c r="D2317" s="1"/>
      <c r="E2317" s="357">
        <v>44648</v>
      </c>
      <c r="F2317" s="344" t="s">
        <v>621</v>
      </c>
      <c r="G2317" s="358">
        <v>15.8088</v>
      </c>
      <c r="H2317" s="344" t="s">
        <v>1214</v>
      </c>
    </row>
    <row r="2318" spans="1:8">
      <c r="A2318" s="1"/>
      <c r="B2318" s="1"/>
      <c r="C2318" s="1"/>
      <c r="D2318" s="1"/>
      <c r="E2318" s="357">
        <v>44648</v>
      </c>
      <c r="F2318" s="344" t="s">
        <v>625</v>
      </c>
      <c r="G2318" s="358">
        <v>16.262</v>
      </c>
      <c r="H2318" s="344" t="s">
        <v>1214</v>
      </c>
    </row>
    <row r="2319" spans="1:8">
      <c r="A2319" s="1"/>
      <c r="B2319" s="1"/>
      <c r="C2319" s="1"/>
      <c r="D2319" s="1"/>
      <c r="E2319" s="357">
        <v>44648</v>
      </c>
      <c r="F2319" s="344" t="s">
        <v>628</v>
      </c>
      <c r="G2319" s="358">
        <v>19.4497</v>
      </c>
      <c r="H2319" s="344" t="s">
        <v>1214</v>
      </c>
    </row>
    <row r="2320" spans="1:8">
      <c r="A2320" s="1"/>
      <c r="B2320" s="1"/>
      <c r="C2320" s="1"/>
      <c r="D2320" s="1"/>
      <c r="E2320" s="357">
        <v>44648</v>
      </c>
      <c r="F2320" s="344" t="s">
        <v>631</v>
      </c>
      <c r="G2320" s="358">
        <v>14.822100000000001</v>
      </c>
      <c r="H2320" s="344" t="s">
        <v>1214</v>
      </c>
    </row>
    <row r="2321" spans="1:8">
      <c r="A2321" s="1"/>
      <c r="B2321" s="1"/>
      <c r="C2321" s="1"/>
      <c r="D2321" s="1"/>
      <c r="E2321" s="357">
        <v>44649</v>
      </c>
      <c r="F2321" s="344" t="s">
        <v>621</v>
      </c>
      <c r="G2321" s="358">
        <v>15.777100000000001</v>
      </c>
      <c r="H2321" s="344" t="s">
        <v>1215</v>
      </c>
    </row>
    <row r="2322" spans="1:8">
      <c r="A2322" s="1"/>
      <c r="B2322" s="1"/>
      <c r="C2322" s="1"/>
      <c r="D2322" s="1"/>
      <c r="E2322" s="357">
        <v>44649</v>
      </c>
      <c r="F2322" s="344" t="s">
        <v>625</v>
      </c>
      <c r="G2322" s="358">
        <v>16.311699999999998</v>
      </c>
      <c r="H2322" s="344" t="s">
        <v>1215</v>
      </c>
    </row>
    <row r="2323" spans="1:8">
      <c r="A2323" s="1"/>
      <c r="B2323" s="1"/>
      <c r="C2323" s="1"/>
      <c r="D2323" s="1"/>
      <c r="E2323" s="357">
        <v>44649</v>
      </c>
      <c r="F2323" s="344" t="s">
        <v>628</v>
      </c>
      <c r="G2323" s="358">
        <v>19.339200000000002</v>
      </c>
      <c r="H2323" s="344" t="s">
        <v>1215</v>
      </c>
    </row>
    <row r="2324" spans="1:8">
      <c r="A2324" s="1"/>
      <c r="B2324" s="1"/>
      <c r="C2324" s="1"/>
      <c r="D2324" s="1"/>
      <c r="E2324" s="357">
        <v>44649</v>
      </c>
      <c r="F2324" s="344" t="s">
        <v>631</v>
      </c>
      <c r="G2324" s="358">
        <v>14.7933</v>
      </c>
      <c r="H2324" s="344" t="s">
        <v>1215</v>
      </c>
    </row>
    <row r="2325" spans="1:8">
      <c r="A2325" s="1"/>
      <c r="B2325" s="1"/>
      <c r="C2325" s="1"/>
      <c r="D2325" s="1"/>
      <c r="E2325" s="357">
        <v>44650</v>
      </c>
      <c r="F2325" s="344" t="s">
        <v>621</v>
      </c>
      <c r="G2325" s="358">
        <v>15.767099999999999</v>
      </c>
      <c r="H2325" s="344" t="s">
        <v>1216</v>
      </c>
    </row>
    <row r="2326" spans="1:8">
      <c r="A2326" s="1"/>
      <c r="B2326" s="1"/>
      <c r="C2326" s="1"/>
      <c r="D2326" s="1"/>
      <c r="E2326" s="357">
        <v>44650</v>
      </c>
      <c r="F2326" s="344" t="s">
        <v>625</v>
      </c>
      <c r="G2326" s="358">
        <v>16.308599999999998</v>
      </c>
      <c r="H2326" s="344" t="s">
        <v>1216</v>
      </c>
    </row>
    <row r="2327" spans="1:8">
      <c r="A2327" s="1"/>
      <c r="B2327" s="1"/>
      <c r="C2327" s="1"/>
      <c r="D2327" s="1"/>
      <c r="E2327" s="357">
        <v>44650</v>
      </c>
      <c r="F2327" s="344" t="s">
        <v>628</v>
      </c>
      <c r="G2327" s="358">
        <v>19.212900000000001</v>
      </c>
      <c r="H2327" s="344" t="s">
        <v>1216</v>
      </c>
    </row>
    <row r="2328" spans="1:8">
      <c r="A2328" s="1"/>
      <c r="B2328" s="1"/>
      <c r="C2328" s="1"/>
      <c r="D2328" s="1"/>
      <c r="E2328" s="357">
        <v>44650</v>
      </c>
      <c r="F2328" s="344" t="s">
        <v>631</v>
      </c>
      <c r="G2328" s="358">
        <v>14.645799999999999</v>
      </c>
      <c r="H2328" s="344" t="s">
        <v>1216</v>
      </c>
    </row>
    <row r="2329" spans="1:8">
      <c r="A2329" s="1"/>
      <c r="B2329" s="1"/>
      <c r="C2329" s="1"/>
      <c r="D2329" s="1"/>
      <c r="E2329" s="357">
        <v>44651</v>
      </c>
      <c r="F2329" s="344" t="s">
        <v>621</v>
      </c>
      <c r="G2329" s="358">
        <v>15.795400000000001</v>
      </c>
      <c r="H2329" s="344" t="s">
        <v>1217</v>
      </c>
    </row>
    <row r="2330" spans="1:8">
      <c r="A2330" s="1"/>
      <c r="B2330" s="1"/>
      <c r="C2330" s="1"/>
      <c r="D2330" s="1"/>
      <c r="E2330" s="357">
        <v>44651</v>
      </c>
      <c r="F2330" s="344" t="s">
        <v>625</v>
      </c>
      <c r="G2330" s="358">
        <v>16.285499999999999</v>
      </c>
      <c r="H2330" s="344" t="s">
        <v>1217</v>
      </c>
    </row>
    <row r="2331" spans="1:8">
      <c r="A2331" s="1"/>
      <c r="B2331" s="1"/>
      <c r="C2331" s="1"/>
      <c r="D2331" s="1"/>
      <c r="E2331" s="357">
        <v>44651</v>
      </c>
      <c r="F2331" s="344" t="s">
        <v>628</v>
      </c>
      <c r="G2331" s="358">
        <v>19.180700000000002</v>
      </c>
      <c r="H2331" s="344" t="s">
        <v>1217</v>
      </c>
    </row>
    <row r="2332" spans="1:8">
      <c r="A2332" s="1"/>
      <c r="B2332" s="1"/>
      <c r="C2332" s="1"/>
      <c r="D2332" s="1"/>
      <c r="E2332" s="357">
        <v>44651</v>
      </c>
      <c r="F2332" s="344" t="s">
        <v>631</v>
      </c>
      <c r="G2332" s="358">
        <v>14.6371</v>
      </c>
      <c r="H2332" s="344" t="s">
        <v>1217</v>
      </c>
    </row>
    <row r="2333" spans="1:8">
      <c r="A2333" s="1"/>
      <c r="B2333" s="1"/>
      <c r="C2333" s="1"/>
      <c r="D2333" s="1"/>
      <c r="E2333" s="357">
        <v>44652</v>
      </c>
      <c r="F2333" s="344" t="s">
        <v>621</v>
      </c>
      <c r="G2333" s="358">
        <v>15.8325</v>
      </c>
      <c r="H2333" s="344" t="s">
        <v>1218</v>
      </c>
    </row>
    <row r="2334" spans="1:8">
      <c r="A2334" s="1"/>
      <c r="B2334" s="1"/>
      <c r="C2334" s="1"/>
      <c r="D2334" s="1"/>
      <c r="E2334" s="357">
        <v>44652</v>
      </c>
      <c r="F2334" s="344" t="s">
        <v>625</v>
      </c>
      <c r="G2334" s="358">
        <v>16.214500000000001</v>
      </c>
      <c r="H2334" s="344" t="s">
        <v>1218</v>
      </c>
    </row>
    <row r="2335" spans="1:8">
      <c r="A2335" s="1"/>
      <c r="B2335" s="1"/>
      <c r="C2335" s="1"/>
      <c r="D2335" s="1"/>
      <c r="E2335" s="357">
        <v>44652</v>
      </c>
      <c r="F2335" s="344" t="s">
        <v>628</v>
      </c>
      <c r="G2335" s="358">
        <v>19.216100000000001</v>
      </c>
      <c r="H2335" s="344" t="s">
        <v>1218</v>
      </c>
    </row>
    <row r="2336" spans="1:8">
      <c r="A2336" s="1"/>
      <c r="B2336" s="1"/>
      <c r="C2336" s="1"/>
      <c r="D2336" s="1"/>
      <c r="E2336" s="357">
        <v>44652</v>
      </c>
      <c r="F2336" s="344" t="s">
        <v>631</v>
      </c>
      <c r="G2336" s="358">
        <v>14.6609</v>
      </c>
      <c r="H2336" s="344" t="s">
        <v>1218</v>
      </c>
    </row>
    <row r="2337" spans="1:8">
      <c r="A2337" s="1"/>
      <c r="B2337" s="1"/>
      <c r="C2337" s="1"/>
      <c r="D2337" s="1"/>
      <c r="E2337" s="357">
        <v>44655</v>
      </c>
      <c r="F2337" s="344" t="s">
        <v>621</v>
      </c>
      <c r="G2337" s="358">
        <v>15.8124</v>
      </c>
      <c r="H2337" s="344" t="s">
        <v>1219</v>
      </c>
    </row>
    <row r="2338" spans="1:8">
      <c r="A2338" s="1"/>
      <c r="B2338" s="1"/>
      <c r="C2338" s="1"/>
      <c r="D2338" s="1"/>
      <c r="E2338" s="357">
        <v>44655</v>
      </c>
      <c r="F2338" s="344" t="s">
        <v>625</v>
      </c>
      <c r="G2338" s="358">
        <v>16.179600000000001</v>
      </c>
      <c r="H2338" s="344" t="s">
        <v>1219</v>
      </c>
    </row>
    <row r="2339" spans="1:8">
      <c r="A2339" s="1"/>
      <c r="B2339" s="1"/>
      <c r="C2339" s="1"/>
      <c r="D2339" s="1"/>
      <c r="E2339" s="357">
        <v>44655</v>
      </c>
      <c r="F2339" s="344" t="s">
        <v>628</v>
      </c>
      <c r="G2339" s="358">
        <v>19.2257</v>
      </c>
      <c r="H2339" s="344" t="s">
        <v>1219</v>
      </c>
    </row>
    <row r="2340" spans="1:8">
      <c r="A2340" s="1"/>
      <c r="B2340" s="1"/>
      <c r="C2340" s="1"/>
      <c r="D2340" s="1"/>
      <c r="E2340" s="357">
        <v>44655</v>
      </c>
      <c r="F2340" s="344" t="s">
        <v>631</v>
      </c>
      <c r="G2340" s="358">
        <v>14.686199999999999</v>
      </c>
      <c r="H2340" s="344" t="s">
        <v>1219</v>
      </c>
    </row>
    <row r="2341" spans="1:8">
      <c r="A2341" s="1"/>
      <c r="B2341" s="1"/>
      <c r="C2341" s="1"/>
      <c r="D2341" s="1"/>
      <c r="E2341" s="357">
        <v>44656</v>
      </c>
      <c r="F2341" s="344" t="s">
        <v>621</v>
      </c>
      <c r="G2341" s="358">
        <v>15.839399999999999</v>
      </c>
      <c r="H2341" s="344" t="s">
        <v>1220</v>
      </c>
    </row>
    <row r="2342" spans="1:8">
      <c r="A2342" s="1"/>
      <c r="B2342" s="1"/>
      <c r="C2342" s="1"/>
      <c r="D2342" s="1"/>
      <c r="E2342" s="357">
        <v>44656</v>
      </c>
      <c r="F2342" s="344" t="s">
        <v>625</v>
      </c>
      <c r="G2342" s="358">
        <v>16.126200000000001</v>
      </c>
      <c r="H2342" s="344" t="s">
        <v>1220</v>
      </c>
    </row>
    <row r="2343" spans="1:8">
      <c r="A2343" s="1"/>
      <c r="B2343" s="1"/>
      <c r="C2343" s="1"/>
      <c r="D2343" s="1"/>
      <c r="E2343" s="357">
        <v>44656</v>
      </c>
      <c r="F2343" s="344" t="s">
        <v>628</v>
      </c>
      <c r="G2343" s="358">
        <v>19.263500000000001</v>
      </c>
      <c r="H2343" s="344" t="s">
        <v>1220</v>
      </c>
    </row>
    <row r="2344" spans="1:8">
      <c r="A2344" s="1"/>
      <c r="B2344" s="1"/>
      <c r="C2344" s="1"/>
      <c r="D2344" s="1"/>
      <c r="E2344" s="357">
        <v>44656</v>
      </c>
      <c r="F2344" s="344" t="s">
        <v>631</v>
      </c>
      <c r="G2344" s="358">
        <v>14.695499999999999</v>
      </c>
      <c r="H2344" s="344" t="s">
        <v>1220</v>
      </c>
    </row>
    <row r="2345" spans="1:8">
      <c r="A2345" s="1"/>
      <c r="B2345" s="1"/>
      <c r="C2345" s="1"/>
      <c r="D2345" s="1"/>
      <c r="E2345" s="357">
        <v>44657</v>
      </c>
      <c r="F2345" s="344" t="s">
        <v>621</v>
      </c>
      <c r="G2345" s="358">
        <v>15.7347</v>
      </c>
      <c r="H2345" s="344" t="s">
        <v>1221</v>
      </c>
    </row>
    <row r="2346" spans="1:8">
      <c r="A2346" s="1"/>
      <c r="B2346" s="1"/>
      <c r="C2346" s="1"/>
      <c r="D2346" s="1"/>
      <c r="E2346" s="357">
        <v>44657</v>
      </c>
      <c r="F2346" s="344" t="s">
        <v>625</v>
      </c>
      <c r="G2346" s="358">
        <v>16.054300000000001</v>
      </c>
      <c r="H2346" s="344" t="s">
        <v>1221</v>
      </c>
    </row>
    <row r="2347" spans="1:8">
      <c r="A2347" s="1"/>
      <c r="B2347" s="1"/>
      <c r="C2347" s="1"/>
      <c r="D2347" s="1"/>
      <c r="E2347" s="357">
        <v>44657</v>
      </c>
      <c r="F2347" s="344" t="s">
        <v>628</v>
      </c>
      <c r="G2347" s="358">
        <v>19.220500000000001</v>
      </c>
      <c r="H2347" s="344" t="s">
        <v>1221</v>
      </c>
    </row>
    <row r="2348" spans="1:8">
      <c r="A2348" s="1"/>
      <c r="B2348" s="1"/>
      <c r="C2348" s="1"/>
      <c r="D2348" s="1"/>
      <c r="E2348" s="357">
        <v>44657</v>
      </c>
      <c r="F2348" s="344" t="s">
        <v>631</v>
      </c>
      <c r="G2348" s="358">
        <v>14.717599999999999</v>
      </c>
      <c r="H2348" s="344" t="s">
        <v>1221</v>
      </c>
    </row>
    <row r="2349" spans="1:8">
      <c r="A2349" s="1"/>
      <c r="B2349" s="1"/>
      <c r="C2349" s="1"/>
      <c r="D2349" s="1"/>
      <c r="E2349" s="357">
        <v>44658</v>
      </c>
      <c r="F2349" s="344" t="s">
        <v>621</v>
      </c>
      <c r="G2349" s="358">
        <v>15.751099999999999</v>
      </c>
      <c r="H2349" s="344" t="s">
        <v>1222</v>
      </c>
    </row>
    <row r="2350" spans="1:8">
      <c r="A2350" s="1"/>
      <c r="B2350" s="1"/>
      <c r="C2350" s="1"/>
      <c r="D2350" s="1"/>
      <c r="E2350" s="357">
        <v>44658</v>
      </c>
      <c r="F2350" s="344" t="s">
        <v>625</v>
      </c>
      <c r="G2350" s="358">
        <v>16.052299999999999</v>
      </c>
      <c r="H2350" s="344" t="s">
        <v>1222</v>
      </c>
    </row>
    <row r="2351" spans="1:8">
      <c r="A2351" s="1"/>
      <c r="B2351" s="1"/>
      <c r="C2351" s="1"/>
      <c r="D2351" s="1"/>
      <c r="E2351" s="357">
        <v>44658</v>
      </c>
      <c r="F2351" s="344" t="s">
        <v>628</v>
      </c>
      <c r="G2351" s="358">
        <v>19.234200000000001</v>
      </c>
      <c r="H2351" s="344" t="s">
        <v>1222</v>
      </c>
    </row>
    <row r="2352" spans="1:8">
      <c r="A2352" s="1"/>
      <c r="B2352" s="1"/>
      <c r="C2352" s="1"/>
      <c r="D2352" s="1"/>
      <c r="E2352" s="357">
        <v>44658</v>
      </c>
      <c r="F2352" s="344" t="s">
        <v>631</v>
      </c>
      <c r="G2352" s="358">
        <v>14.728899999999999</v>
      </c>
      <c r="H2352" s="344" t="s">
        <v>1222</v>
      </c>
    </row>
    <row r="2353" spans="1:8">
      <c r="A2353" s="1"/>
      <c r="B2353" s="1"/>
      <c r="C2353" s="1"/>
      <c r="D2353" s="1"/>
      <c r="E2353" s="357">
        <v>44659</v>
      </c>
      <c r="F2353" s="344" t="s">
        <v>621</v>
      </c>
      <c r="G2353" s="358">
        <v>15.709899999999999</v>
      </c>
      <c r="H2353" s="344" t="s">
        <v>1223</v>
      </c>
    </row>
    <row r="2354" spans="1:8">
      <c r="A2354" s="1"/>
      <c r="B2354" s="1"/>
      <c r="C2354" s="1"/>
      <c r="D2354" s="1"/>
      <c r="E2354" s="357">
        <v>44659</v>
      </c>
      <c r="F2354" s="344" t="s">
        <v>625</v>
      </c>
      <c r="G2354" s="358">
        <v>16.001200000000001</v>
      </c>
      <c r="H2354" s="344" t="s">
        <v>1223</v>
      </c>
    </row>
    <row r="2355" spans="1:8">
      <c r="A2355" s="1"/>
      <c r="B2355" s="1"/>
      <c r="C2355" s="1"/>
      <c r="D2355" s="1"/>
      <c r="E2355" s="357">
        <v>44659</v>
      </c>
      <c r="F2355" s="344" t="s">
        <v>628</v>
      </c>
      <c r="G2355" s="358">
        <v>19.1645</v>
      </c>
      <c r="H2355" s="344" t="s">
        <v>1223</v>
      </c>
    </row>
    <row r="2356" spans="1:8">
      <c r="A2356" s="1"/>
      <c r="B2356" s="1"/>
      <c r="C2356" s="1"/>
      <c r="D2356" s="1"/>
      <c r="E2356" s="357">
        <v>44659</v>
      </c>
      <c r="F2356" s="344" t="s">
        <v>631</v>
      </c>
      <c r="G2356" s="358">
        <v>14.721299999999999</v>
      </c>
      <c r="H2356" s="344" t="s">
        <v>1223</v>
      </c>
    </row>
    <row r="2357" spans="1:8">
      <c r="A2357" s="1"/>
      <c r="B2357" s="1"/>
      <c r="C2357" s="1"/>
      <c r="D2357" s="1"/>
      <c r="E2357" s="357">
        <v>44662</v>
      </c>
      <c r="F2357" s="344" t="s">
        <v>621</v>
      </c>
      <c r="G2357" s="358">
        <v>15.709300000000001</v>
      </c>
      <c r="H2357" s="344" t="s">
        <v>1224</v>
      </c>
    </row>
    <row r="2358" spans="1:8">
      <c r="A2358" s="1"/>
      <c r="B2358" s="1"/>
      <c r="C2358" s="1"/>
      <c r="D2358" s="1"/>
      <c r="E2358" s="357">
        <v>44662</v>
      </c>
      <c r="F2358" s="344" t="s">
        <v>625</v>
      </c>
      <c r="G2358" s="358">
        <v>16.049700000000001</v>
      </c>
      <c r="H2358" s="344" t="s">
        <v>1224</v>
      </c>
    </row>
    <row r="2359" spans="1:8">
      <c r="A2359" s="1"/>
      <c r="B2359" s="1"/>
      <c r="C2359" s="1"/>
      <c r="D2359" s="1"/>
      <c r="E2359" s="357">
        <v>44662</v>
      </c>
      <c r="F2359" s="344" t="s">
        <v>628</v>
      </c>
      <c r="G2359" s="358">
        <v>19.1417</v>
      </c>
      <c r="H2359" s="344" t="s">
        <v>1224</v>
      </c>
    </row>
    <row r="2360" spans="1:8">
      <c r="A2360" s="1"/>
      <c r="B2360" s="1"/>
      <c r="C2360" s="1"/>
      <c r="D2360" s="1"/>
      <c r="E2360" s="357">
        <v>44662</v>
      </c>
      <c r="F2360" s="344" t="s">
        <v>631</v>
      </c>
      <c r="G2360" s="358">
        <v>14.716200000000001</v>
      </c>
      <c r="H2360" s="344" t="s">
        <v>1224</v>
      </c>
    </row>
    <row r="2361" spans="1:8">
      <c r="A2361" s="1"/>
      <c r="B2361" s="1"/>
      <c r="C2361" s="1"/>
      <c r="D2361" s="1"/>
      <c r="E2361" s="357">
        <v>44663</v>
      </c>
      <c r="F2361" s="344" t="s">
        <v>621</v>
      </c>
      <c r="G2361" s="358">
        <v>15.681900000000001</v>
      </c>
      <c r="H2361" s="344" t="s">
        <v>1225</v>
      </c>
    </row>
    <row r="2362" spans="1:8">
      <c r="A2362" s="1"/>
      <c r="B2362" s="1"/>
      <c r="C2362" s="1"/>
      <c r="D2362" s="1"/>
      <c r="E2362" s="357">
        <v>44663</v>
      </c>
      <c r="F2362" s="344" t="s">
        <v>625</v>
      </c>
      <c r="G2362" s="358">
        <v>15.933</v>
      </c>
      <c r="H2362" s="344" t="s">
        <v>1225</v>
      </c>
    </row>
    <row r="2363" spans="1:8">
      <c r="A2363" s="1"/>
      <c r="B2363" s="1"/>
      <c r="C2363" s="1"/>
      <c r="D2363" s="1"/>
      <c r="E2363" s="357">
        <v>44663</v>
      </c>
      <c r="F2363" s="344" t="s">
        <v>628</v>
      </c>
      <c r="G2363" s="358">
        <v>19.048200000000001</v>
      </c>
      <c r="H2363" s="344" t="s">
        <v>1225</v>
      </c>
    </row>
    <row r="2364" spans="1:8">
      <c r="A2364" s="1"/>
      <c r="B2364" s="1"/>
      <c r="C2364" s="1"/>
      <c r="D2364" s="1"/>
      <c r="E2364" s="357">
        <v>44663</v>
      </c>
      <c r="F2364" s="344" t="s">
        <v>631</v>
      </c>
      <c r="G2364" s="358">
        <v>14.6633</v>
      </c>
      <c r="H2364" s="344" t="s">
        <v>1225</v>
      </c>
    </row>
    <row r="2365" spans="1:8">
      <c r="A2365" s="1"/>
      <c r="B2365" s="1"/>
      <c r="C2365" s="1"/>
      <c r="D2365" s="1"/>
      <c r="E2365" s="357">
        <v>44664</v>
      </c>
      <c r="F2365" s="344" t="s">
        <v>621</v>
      </c>
      <c r="G2365" s="358">
        <v>15.569000000000001</v>
      </c>
      <c r="H2365" s="344" t="s">
        <v>1226</v>
      </c>
    </row>
    <row r="2366" spans="1:8">
      <c r="A2366" s="1"/>
      <c r="B2366" s="1"/>
      <c r="C2366" s="1"/>
      <c r="D2366" s="1"/>
      <c r="E2366" s="357">
        <v>44664</v>
      </c>
      <c r="F2366" s="344" t="s">
        <v>625</v>
      </c>
      <c r="G2366" s="358">
        <v>15.7713</v>
      </c>
      <c r="H2366" s="344" t="s">
        <v>1226</v>
      </c>
    </row>
    <row r="2367" spans="1:8">
      <c r="A2367" s="1"/>
      <c r="B2367" s="1"/>
      <c r="C2367" s="1"/>
      <c r="D2367" s="1"/>
      <c r="E2367" s="357">
        <v>44664</v>
      </c>
      <c r="F2367" s="344" t="s">
        <v>628</v>
      </c>
      <c r="G2367" s="358">
        <v>18.8964</v>
      </c>
      <c r="H2367" s="344" t="s">
        <v>1226</v>
      </c>
    </row>
    <row r="2368" spans="1:8">
      <c r="A2368" s="1"/>
      <c r="B2368" s="1"/>
      <c r="C2368" s="1"/>
      <c r="D2368" s="1"/>
      <c r="E2368" s="357">
        <v>44664</v>
      </c>
      <c r="F2368" s="344" t="s">
        <v>631</v>
      </c>
      <c r="G2368" s="358">
        <v>14.5604</v>
      </c>
      <c r="H2368" s="344" t="s">
        <v>1226</v>
      </c>
    </row>
    <row r="2369" spans="1:8">
      <c r="A2369" s="1"/>
      <c r="B2369" s="1"/>
      <c r="C2369" s="1"/>
      <c r="D2369" s="1"/>
      <c r="E2369" s="357">
        <v>44665</v>
      </c>
      <c r="F2369" s="344" t="s">
        <v>621</v>
      </c>
      <c r="G2369" s="358">
        <v>15.5733</v>
      </c>
      <c r="H2369" s="344" t="s">
        <v>1227</v>
      </c>
    </row>
    <row r="2370" spans="1:8">
      <c r="A2370" s="1"/>
      <c r="B2370" s="1"/>
      <c r="C2370" s="1"/>
      <c r="D2370" s="1"/>
      <c r="E2370" s="357">
        <v>44665</v>
      </c>
      <c r="F2370" s="344" t="s">
        <v>625</v>
      </c>
      <c r="G2370" s="358">
        <v>15.9114</v>
      </c>
      <c r="H2370" s="344" t="s">
        <v>1227</v>
      </c>
    </row>
    <row r="2371" spans="1:8">
      <c r="A2371" s="1"/>
      <c r="B2371" s="1"/>
      <c r="C2371" s="1"/>
      <c r="D2371" s="1"/>
      <c r="E2371" s="357">
        <v>44665</v>
      </c>
      <c r="F2371" s="344" t="s">
        <v>628</v>
      </c>
      <c r="G2371" s="358">
        <v>19.132300000000001</v>
      </c>
      <c r="H2371" s="344" t="s">
        <v>1227</v>
      </c>
    </row>
    <row r="2372" spans="1:8">
      <c r="A2372" s="1"/>
      <c r="B2372" s="1"/>
      <c r="C2372" s="1"/>
      <c r="D2372" s="1"/>
      <c r="E2372" s="357">
        <v>44665</v>
      </c>
      <c r="F2372" s="344" t="s">
        <v>631</v>
      </c>
      <c r="G2372" s="358">
        <v>14.593299999999999</v>
      </c>
      <c r="H2372" s="344" t="s">
        <v>1227</v>
      </c>
    </row>
    <row r="2373" spans="1:8">
      <c r="A2373" s="1"/>
      <c r="B2373" s="1"/>
      <c r="C2373" s="1"/>
      <c r="D2373" s="1"/>
      <c r="E2373" s="357">
        <v>44666</v>
      </c>
      <c r="F2373" s="344" t="s">
        <v>621</v>
      </c>
      <c r="G2373" s="358">
        <v>15.4785</v>
      </c>
      <c r="H2373" s="344" t="s">
        <v>1228</v>
      </c>
    </row>
    <row r="2374" spans="1:8">
      <c r="A2374" s="1"/>
      <c r="B2374" s="1"/>
      <c r="C2374" s="1"/>
      <c r="D2374" s="1"/>
      <c r="E2374" s="357">
        <v>44666</v>
      </c>
      <c r="F2374" s="344" t="s">
        <v>625</v>
      </c>
      <c r="G2374" s="358">
        <v>15.8056</v>
      </c>
      <c r="H2374" s="344" t="s">
        <v>1228</v>
      </c>
    </row>
    <row r="2375" spans="1:8">
      <c r="A2375" s="1"/>
      <c r="B2375" s="1"/>
      <c r="C2375" s="1"/>
      <c r="D2375" s="1"/>
      <c r="E2375" s="357">
        <v>44666</v>
      </c>
      <c r="F2375" s="344" t="s">
        <v>628</v>
      </c>
      <c r="G2375" s="358">
        <v>19.070599999999999</v>
      </c>
      <c r="H2375" s="344" t="s">
        <v>1228</v>
      </c>
    </row>
    <row r="2376" spans="1:8">
      <c r="A2376" s="1"/>
      <c r="B2376" s="1"/>
      <c r="C2376" s="1"/>
      <c r="D2376" s="1"/>
      <c r="E2376" s="357">
        <v>44666</v>
      </c>
      <c r="F2376" s="344" t="s">
        <v>631</v>
      </c>
      <c r="G2376" s="358">
        <v>14.6181</v>
      </c>
      <c r="H2376" s="344" t="s">
        <v>1228</v>
      </c>
    </row>
    <row r="2377" spans="1:8">
      <c r="A2377" s="1"/>
      <c r="B2377" s="1"/>
      <c r="C2377" s="1"/>
      <c r="D2377" s="1"/>
      <c r="E2377" s="357">
        <v>44669</v>
      </c>
      <c r="F2377" s="344" t="s">
        <v>621</v>
      </c>
      <c r="G2377" s="358">
        <v>15.4634</v>
      </c>
      <c r="H2377" s="344" t="s">
        <v>1229</v>
      </c>
    </row>
    <row r="2378" spans="1:8">
      <c r="A2378" s="1"/>
      <c r="B2378" s="1"/>
      <c r="C2378" s="1"/>
      <c r="D2378" s="1"/>
      <c r="E2378" s="357">
        <v>44669</v>
      </c>
      <c r="F2378" s="344" t="s">
        <v>625</v>
      </c>
      <c r="G2378" s="358">
        <v>15.7912</v>
      </c>
      <c r="H2378" s="344" t="s">
        <v>1229</v>
      </c>
    </row>
    <row r="2379" spans="1:8">
      <c r="A2379" s="1"/>
      <c r="B2379" s="1"/>
      <c r="C2379" s="1"/>
      <c r="D2379" s="1"/>
      <c r="E2379" s="357">
        <v>44669</v>
      </c>
      <c r="F2379" s="344" t="s">
        <v>628</v>
      </c>
      <c r="G2379" s="358">
        <v>19.011299999999999</v>
      </c>
      <c r="H2379" s="344" t="s">
        <v>1229</v>
      </c>
    </row>
    <row r="2380" spans="1:8">
      <c r="A2380" s="1"/>
      <c r="B2380" s="1"/>
      <c r="C2380" s="1"/>
      <c r="D2380" s="1"/>
      <c r="E2380" s="357">
        <v>44669</v>
      </c>
      <c r="F2380" s="344" t="s">
        <v>631</v>
      </c>
      <c r="G2380" s="358">
        <v>14.6252</v>
      </c>
      <c r="H2380" s="344" t="s">
        <v>1229</v>
      </c>
    </row>
    <row r="2381" spans="1:8">
      <c r="A2381" s="1"/>
      <c r="B2381" s="1"/>
      <c r="C2381" s="1"/>
      <c r="D2381" s="1"/>
      <c r="E2381" s="357">
        <v>44670</v>
      </c>
      <c r="F2381" s="344" t="s">
        <v>621</v>
      </c>
      <c r="G2381" s="358">
        <v>15.4298</v>
      </c>
      <c r="H2381" s="344" t="s">
        <v>1230</v>
      </c>
    </row>
    <row r="2382" spans="1:8">
      <c r="A2382" s="1"/>
      <c r="B2382" s="1"/>
      <c r="C2382" s="1"/>
      <c r="D2382" s="1"/>
      <c r="E2382" s="357">
        <v>44670</v>
      </c>
      <c r="F2382" s="344" t="s">
        <v>625</v>
      </c>
      <c r="G2382" s="358">
        <v>15.801</v>
      </c>
      <c r="H2382" s="344" t="s">
        <v>1230</v>
      </c>
    </row>
    <row r="2383" spans="1:8">
      <c r="A2383" s="1"/>
      <c r="B2383" s="1"/>
      <c r="C2383" s="1"/>
      <c r="D2383" s="1"/>
      <c r="E2383" s="357">
        <v>44670</v>
      </c>
      <c r="F2383" s="344" t="s">
        <v>628</v>
      </c>
      <c r="G2383" s="358">
        <v>19.0261</v>
      </c>
      <c r="H2383" s="344" t="s">
        <v>1230</v>
      </c>
    </row>
    <row r="2384" spans="1:8">
      <c r="A2384" s="1"/>
      <c r="B2384" s="1"/>
      <c r="C2384" s="1"/>
      <c r="D2384" s="1"/>
      <c r="E2384" s="357">
        <v>44670</v>
      </c>
      <c r="F2384" s="344" t="s">
        <v>631</v>
      </c>
      <c r="G2384" s="358">
        <v>14.6343</v>
      </c>
      <c r="H2384" s="344" t="s">
        <v>1230</v>
      </c>
    </row>
    <row r="2385" spans="1:8">
      <c r="A2385" s="1"/>
      <c r="B2385" s="1"/>
      <c r="C2385" s="1"/>
      <c r="D2385" s="1"/>
      <c r="E2385" s="357">
        <v>44671</v>
      </c>
      <c r="F2385" s="344" t="s">
        <v>621</v>
      </c>
      <c r="G2385" s="358">
        <v>15.400700000000001</v>
      </c>
      <c r="H2385" s="344" t="s">
        <v>1231</v>
      </c>
    </row>
    <row r="2386" spans="1:8">
      <c r="A2386" s="1"/>
      <c r="B2386" s="1"/>
      <c r="C2386" s="1"/>
      <c r="D2386" s="1"/>
      <c r="E2386" s="357">
        <v>44671</v>
      </c>
      <c r="F2386" s="344" t="s">
        <v>625</v>
      </c>
      <c r="G2386" s="358">
        <v>15.863300000000001</v>
      </c>
      <c r="H2386" s="344" t="s">
        <v>1231</v>
      </c>
    </row>
    <row r="2387" spans="1:8">
      <c r="A2387" s="1"/>
      <c r="B2387" s="1"/>
      <c r="C2387" s="1"/>
      <c r="D2387" s="1"/>
      <c r="E2387" s="357">
        <v>44671</v>
      </c>
      <c r="F2387" s="344" t="s">
        <v>628</v>
      </c>
      <c r="G2387" s="358">
        <v>19.050699999999999</v>
      </c>
      <c r="H2387" s="344" t="s">
        <v>1231</v>
      </c>
    </row>
    <row r="2388" spans="1:8">
      <c r="A2388" s="1"/>
      <c r="B2388" s="1"/>
      <c r="C2388" s="1"/>
      <c r="D2388" s="1"/>
      <c r="E2388" s="357">
        <v>44671</v>
      </c>
      <c r="F2388" s="344" t="s">
        <v>631</v>
      </c>
      <c r="G2388" s="358">
        <v>14.6424</v>
      </c>
      <c r="H2388" s="344" t="s">
        <v>1231</v>
      </c>
    </row>
    <row r="2389" spans="1:8">
      <c r="A2389" s="1"/>
      <c r="B2389" s="1"/>
      <c r="C2389" s="1"/>
      <c r="D2389" s="1"/>
      <c r="E2389" s="357">
        <v>44672</v>
      </c>
      <c r="F2389" s="344" t="s">
        <v>621</v>
      </c>
      <c r="G2389" s="358">
        <v>15.431699999999999</v>
      </c>
      <c r="H2389" s="344" t="s">
        <v>1232</v>
      </c>
    </row>
    <row r="2390" spans="1:8">
      <c r="A2390" s="1"/>
      <c r="B2390" s="1"/>
      <c r="C2390" s="1"/>
      <c r="D2390" s="1"/>
      <c r="E2390" s="357">
        <v>44672</v>
      </c>
      <c r="F2390" s="344" t="s">
        <v>625</v>
      </c>
      <c r="G2390" s="358">
        <v>15.9909</v>
      </c>
      <c r="H2390" s="344" t="s">
        <v>1232</v>
      </c>
    </row>
    <row r="2391" spans="1:8">
      <c r="A2391" s="1"/>
      <c r="B2391" s="1"/>
      <c r="C2391" s="1"/>
      <c r="D2391" s="1"/>
      <c r="E2391" s="357">
        <v>44672</v>
      </c>
      <c r="F2391" s="344" t="s">
        <v>628</v>
      </c>
      <c r="G2391" s="358">
        <v>19.1189</v>
      </c>
      <c r="H2391" s="344" t="s">
        <v>1232</v>
      </c>
    </row>
    <row r="2392" spans="1:8">
      <c r="A2392" s="1"/>
      <c r="B2392" s="1"/>
      <c r="C2392" s="1"/>
      <c r="D2392" s="1"/>
      <c r="E2392" s="357">
        <v>44672</v>
      </c>
      <c r="F2392" s="344" t="s">
        <v>631</v>
      </c>
      <c r="G2392" s="358">
        <v>14.660500000000001</v>
      </c>
      <c r="H2392" s="344" t="s">
        <v>1232</v>
      </c>
    </row>
    <row r="2393" spans="1:8">
      <c r="A2393" s="1"/>
      <c r="B2393" s="1"/>
      <c r="C2393" s="1"/>
      <c r="D2393" s="1"/>
      <c r="E2393" s="357">
        <v>44673</v>
      </c>
      <c r="F2393" s="344" t="s">
        <v>621</v>
      </c>
      <c r="G2393" s="358">
        <v>15.3652</v>
      </c>
      <c r="H2393" s="344" t="s">
        <v>1233</v>
      </c>
    </row>
    <row r="2394" spans="1:8">
      <c r="A2394" s="1"/>
      <c r="B2394" s="1"/>
      <c r="C2394" s="1"/>
      <c r="D2394" s="1"/>
      <c r="E2394" s="357">
        <v>44673</v>
      </c>
      <c r="F2394" s="344" t="s">
        <v>625</v>
      </c>
      <c r="G2394" s="358">
        <v>15.9017</v>
      </c>
      <c r="H2394" s="344" t="s">
        <v>1233</v>
      </c>
    </row>
    <row r="2395" spans="1:8">
      <c r="A2395" s="1"/>
      <c r="B2395" s="1"/>
      <c r="C2395" s="1"/>
      <c r="D2395" s="1"/>
      <c r="E2395" s="357">
        <v>44673</v>
      </c>
      <c r="F2395" s="344" t="s">
        <v>628</v>
      </c>
      <c r="G2395" s="358">
        <v>18.9495</v>
      </c>
      <c r="H2395" s="344" t="s">
        <v>1233</v>
      </c>
    </row>
    <row r="2396" spans="1:8">
      <c r="A2396" s="1"/>
      <c r="B2396" s="1"/>
      <c r="C2396" s="1"/>
      <c r="D2396" s="1"/>
      <c r="E2396" s="357">
        <v>44673</v>
      </c>
      <c r="F2396" s="344" t="s">
        <v>631</v>
      </c>
      <c r="G2396" s="358">
        <v>14.706799999999999</v>
      </c>
      <c r="H2396" s="344" t="s">
        <v>1233</v>
      </c>
    </row>
    <row r="2397" spans="1:8">
      <c r="A2397" s="1"/>
      <c r="B2397" s="1"/>
      <c r="C2397" s="1"/>
      <c r="D2397" s="1"/>
      <c r="E2397" s="357">
        <v>44676</v>
      </c>
      <c r="F2397" s="344" t="s">
        <v>621</v>
      </c>
      <c r="G2397" s="358">
        <v>15.353</v>
      </c>
      <c r="H2397" s="344" t="s">
        <v>1234</v>
      </c>
    </row>
    <row r="2398" spans="1:8">
      <c r="A2398" s="1"/>
      <c r="B2398" s="1"/>
      <c r="C2398" s="1"/>
      <c r="D2398" s="1"/>
      <c r="E2398" s="357">
        <v>44676</v>
      </c>
      <c r="F2398" s="344" t="s">
        <v>625</v>
      </c>
      <c r="G2398" s="358">
        <v>15.8262</v>
      </c>
      <c r="H2398" s="344" t="s">
        <v>1234</v>
      </c>
    </row>
    <row r="2399" spans="1:8">
      <c r="A2399" s="1"/>
      <c r="B2399" s="1"/>
      <c r="C2399" s="1"/>
      <c r="D2399" s="1"/>
      <c r="E2399" s="357">
        <v>44676</v>
      </c>
      <c r="F2399" s="344" t="s">
        <v>628</v>
      </c>
      <c r="G2399" s="358">
        <v>18.7454</v>
      </c>
      <c r="H2399" s="344" t="s">
        <v>1234</v>
      </c>
    </row>
    <row r="2400" spans="1:8">
      <c r="A2400" s="1"/>
      <c r="B2400" s="1"/>
      <c r="C2400" s="1"/>
      <c r="D2400" s="1"/>
      <c r="E2400" s="357">
        <v>44676</v>
      </c>
      <c r="F2400" s="344" t="s">
        <v>631</v>
      </c>
      <c r="G2400" s="358">
        <v>14.7439</v>
      </c>
      <c r="H2400" s="344" t="s">
        <v>1234</v>
      </c>
    </row>
    <row r="2401" spans="1:8">
      <c r="A2401" s="1"/>
      <c r="B2401" s="1"/>
      <c r="C2401" s="1"/>
      <c r="D2401" s="1"/>
      <c r="E2401" s="357">
        <v>44677</v>
      </c>
      <c r="F2401" s="344" t="s">
        <v>621</v>
      </c>
      <c r="G2401" s="358">
        <v>15.364800000000001</v>
      </c>
      <c r="H2401" s="344" t="s">
        <v>1235</v>
      </c>
    </row>
    <row r="2402" spans="1:8">
      <c r="A2402" s="1"/>
      <c r="B2402" s="1"/>
      <c r="C2402" s="1"/>
      <c r="D2402" s="1"/>
      <c r="E2402" s="357">
        <v>44677</v>
      </c>
      <c r="F2402" s="344" t="s">
        <v>625</v>
      </c>
      <c r="G2402" s="358">
        <v>15.777900000000001</v>
      </c>
      <c r="H2402" s="344" t="s">
        <v>1235</v>
      </c>
    </row>
    <row r="2403" spans="1:8">
      <c r="A2403" s="1"/>
      <c r="B2403" s="1"/>
      <c r="C2403" s="1"/>
      <c r="D2403" s="1"/>
      <c r="E2403" s="357">
        <v>44677</v>
      </c>
      <c r="F2403" s="344" t="s">
        <v>628</v>
      </c>
      <c r="G2403" s="358">
        <v>18.744</v>
      </c>
      <c r="H2403" s="344" t="s">
        <v>1235</v>
      </c>
    </row>
    <row r="2404" spans="1:8">
      <c r="A2404" s="1"/>
      <c r="B2404" s="1"/>
      <c r="C2404" s="1"/>
      <c r="D2404" s="1"/>
      <c r="E2404" s="357">
        <v>44677</v>
      </c>
      <c r="F2404" s="344" t="s">
        <v>631</v>
      </c>
      <c r="G2404" s="358">
        <v>14.766999999999999</v>
      </c>
      <c r="H2404" s="344" t="s">
        <v>1235</v>
      </c>
    </row>
    <row r="2405" spans="1:8">
      <c r="A2405" s="1"/>
      <c r="B2405" s="1"/>
      <c r="C2405" s="1"/>
      <c r="D2405" s="1"/>
      <c r="E2405" s="357">
        <v>44678</v>
      </c>
      <c r="F2405" s="344" t="s">
        <v>621</v>
      </c>
      <c r="G2405" s="358">
        <v>15.2997</v>
      </c>
      <c r="H2405" s="344" t="s">
        <v>1236</v>
      </c>
    </row>
    <row r="2406" spans="1:8">
      <c r="A2406" s="1"/>
      <c r="B2406" s="1"/>
      <c r="C2406" s="1"/>
      <c r="D2406" s="1"/>
      <c r="E2406" s="357">
        <v>44678</v>
      </c>
      <c r="F2406" s="344" t="s">
        <v>625</v>
      </c>
      <c r="G2406" s="358">
        <v>15.694100000000001</v>
      </c>
      <c r="H2406" s="344" t="s">
        <v>1236</v>
      </c>
    </row>
    <row r="2407" spans="1:8">
      <c r="A2407" s="1"/>
      <c r="B2407" s="1"/>
      <c r="C2407" s="1"/>
      <c r="D2407" s="1"/>
      <c r="E2407" s="357">
        <v>44678</v>
      </c>
      <c r="F2407" s="344" t="s">
        <v>628</v>
      </c>
      <c r="G2407" s="358">
        <v>18.569600000000001</v>
      </c>
      <c r="H2407" s="344" t="s">
        <v>1236</v>
      </c>
    </row>
    <row r="2408" spans="1:8">
      <c r="A2408" s="1"/>
      <c r="B2408" s="1"/>
      <c r="C2408" s="1"/>
      <c r="D2408" s="1"/>
      <c r="E2408" s="357">
        <v>44678</v>
      </c>
      <c r="F2408" s="344" t="s">
        <v>631</v>
      </c>
      <c r="G2408" s="358">
        <v>14.796200000000001</v>
      </c>
      <c r="H2408" s="344" t="s">
        <v>1236</v>
      </c>
    </row>
    <row r="2409" spans="1:8">
      <c r="A2409" s="1"/>
      <c r="B2409" s="1"/>
      <c r="C2409" s="1"/>
      <c r="D2409" s="1"/>
      <c r="E2409" s="357">
        <v>44679</v>
      </c>
      <c r="F2409" s="344" t="s">
        <v>621</v>
      </c>
      <c r="G2409" s="358">
        <v>15.1782</v>
      </c>
      <c r="H2409" s="344" t="s">
        <v>1237</v>
      </c>
    </row>
    <row r="2410" spans="1:8">
      <c r="A2410" s="1"/>
      <c r="B2410" s="1"/>
      <c r="C2410" s="1"/>
      <c r="D2410" s="1"/>
      <c r="E2410" s="357">
        <v>44679</v>
      </c>
      <c r="F2410" s="344" t="s">
        <v>625</v>
      </c>
      <c r="G2410" s="358">
        <v>15.5448</v>
      </c>
      <c r="H2410" s="344" t="s">
        <v>1237</v>
      </c>
    </row>
    <row r="2411" spans="1:8">
      <c r="A2411" s="1"/>
      <c r="B2411" s="1"/>
      <c r="C2411" s="1"/>
      <c r="D2411" s="1"/>
      <c r="E2411" s="357">
        <v>44679</v>
      </c>
      <c r="F2411" s="344" t="s">
        <v>628</v>
      </c>
      <c r="G2411" s="358">
        <v>18.451699999999999</v>
      </c>
      <c r="H2411" s="344" t="s">
        <v>1237</v>
      </c>
    </row>
    <row r="2412" spans="1:8">
      <c r="A2412" s="1"/>
      <c r="B2412" s="1"/>
      <c r="C2412" s="1"/>
      <c r="D2412" s="1"/>
      <c r="E2412" s="357">
        <v>44679</v>
      </c>
      <c r="F2412" s="344" t="s">
        <v>631</v>
      </c>
      <c r="G2412" s="358">
        <v>14.7798</v>
      </c>
      <c r="H2412" s="344" t="s">
        <v>1237</v>
      </c>
    </row>
    <row r="2413" spans="1:8">
      <c r="A2413" s="1"/>
      <c r="B2413" s="1"/>
      <c r="C2413" s="1"/>
      <c r="D2413" s="1"/>
      <c r="E2413" s="357">
        <v>44680</v>
      </c>
      <c r="F2413" s="344" t="s">
        <v>621</v>
      </c>
      <c r="G2413" s="358">
        <v>15.2089</v>
      </c>
      <c r="H2413" s="344" t="s">
        <v>1238</v>
      </c>
    </row>
    <row r="2414" spans="1:8">
      <c r="A2414" s="1"/>
      <c r="B2414" s="1"/>
      <c r="C2414" s="1"/>
      <c r="D2414" s="1"/>
      <c r="E2414" s="357">
        <v>44680</v>
      </c>
      <c r="F2414" s="344" t="s">
        <v>625</v>
      </c>
      <c r="G2414" s="358">
        <v>15.613899999999999</v>
      </c>
      <c r="H2414" s="344" t="s">
        <v>1238</v>
      </c>
    </row>
    <row r="2415" spans="1:8">
      <c r="A2415" s="1"/>
      <c r="B2415" s="1"/>
      <c r="C2415" s="1"/>
      <c r="D2415" s="1"/>
      <c r="E2415" s="357">
        <v>44680</v>
      </c>
      <c r="F2415" s="344" t="s">
        <v>628</v>
      </c>
      <c r="G2415" s="358">
        <v>18.531700000000001</v>
      </c>
      <c r="H2415" s="344" t="s">
        <v>1238</v>
      </c>
    </row>
    <row r="2416" spans="1:8">
      <c r="A2416" s="1"/>
      <c r="B2416" s="1"/>
      <c r="C2416" s="1"/>
      <c r="D2416" s="1"/>
      <c r="E2416" s="357">
        <v>44680</v>
      </c>
      <c r="F2416" s="344" t="s">
        <v>631</v>
      </c>
      <c r="G2416" s="358">
        <v>14.7852</v>
      </c>
      <c r="H2416" s="344" t="s">
        <v>1238</v>
      </c>
    </row>
    <row r="2417" spans="1:8">
      <c r="A2417" s="1"/>
      <c r="B2417" s="1"/>
      <c r="C2417" s="1"/>
      <c r="D2417" s="1"/>
      <c r="E2417" s="357">
        <v>44686</v>
      </c>
      <c r="F2417" s="344" t="s">
        <v>621</v>
      </c>
      <c r="G2417" s="358">
        <v>15.134</v>
      </c>
      <c r="H2417" s="344" t="s">
        <v>1239</v>
      </c>
    </row>
    <row r="2418" spans="1:8">
      <c r="A2418" s="1"/>
      <c r="B2418" s="1"/>
      <c r="C2418" s="1"/>
      <c r="D2418" s="1"/>
      <c r="E2418" s="357">
        <v>44686</v>
      </c>
      <c r="F2418" s="344" t="s">
        <v>625</v>
      </c>
      <c r="G2418" s="358">
        <v>15.705399999999999</v>
      </c>
      <c r="H2418" s="344" t="s">
        <v>1239</v>
      </c>
    </row>
    <row r="2419" spans="1:8">
      <c r="A2419" s="1"/>
      <c r="B2419" s="1"/>
      <c r="C2419" s="1"/>
      <c r="D2419" s="1"/>
      <c r="E2419" s="357">
        <v>44686</v>
      </c>
      <c r="F2419" s="344" t="s">
        <v>628</v>
      </c>
      <c r="G2419" s="358">
        <v>18.5428</v>
      </c>
      <c r="H2419" s="344" t="s">
        <v>1239</v>
      </c>
    </row>
    <row r="2420" spans="1:8">
      <c r="A2420" s="1"/>
      <c r="B2420" s="1"/>
      <c r="C2420" s="1"/>
      <c r="D2420" s="1"/>
      <c r="E2420" s="357">
        <v>44686</v>
      </c>
      <c r="F2420" s="344" t="s">
        <v>631</v>
      </c>
      <c r="G2420" s="358">
        <v>14.831300000000001</v>
      </c>
      <c r="H2420" s="344" t="s">
        <v>1239</v>
      </c>
    </row>
    <row r="2421" spans="1:8">
      <c r="A2421" s="1"/>
      <c r="B2421" s="1"/>
      <c r="C2421" s="1"/>
      <c r="D2421" s="1"/>
      <c r="E2421" s="357">
        <v>44687</v>
      </c>
      <c r="F2421" s="344" t="s">
        <v>621</v>
      </c>
      <c r="G2421" s="358">
        <v>15.084899999999999</v>
      </c>
      <c r="H2421" s="344" t="s">
        <v>1240</v>
      </c>
    </row>
    <row r="2422" spans="1:8">
      <c r="A2422" s="1"/>
      <c r="B2422" s="1"/>
      <c r="C2422" s="1"/>
      <c r="D2422" s="1"/>
      <c r="E2422" s="357">
        <v>44687</v>
      </c>
      <c r="F2422" s="344" t="s">
        <v>625</v>
      </c>
      <c r="G2422" s="358">
        <v>15.714700000000001</v>
      </c>
      <c r="H2422" s="344" t="s">
        <v>1240</v>
      </c>
    </row>
    <row r="2423" spans="1:8">
      <c r="A2423" s="1"/>
      <c r="B2423" s="1"/>
      <c r="C2423" s="1"/>
      <c r="D2423" s="1"/>
      <c r="E2423" s="357">
        <v>44687</v>
      </c>
      <c r="F2423" s="344" t="s">
        <v>628</v>
      </c>
      <c r="G2423" s="358">
        <v>18.339300000000001</v>
      </c>
      <c r="H2423" s="344" t="s">
        <v>1240</v>
      </c>
    </row>
    <row r="2424" spans="1:8">
      <c r="A2424" s="1"/>
      <c r="B2424" s="1"/>
      <c r="C2424" s="1"/>
      <c r="D2424" s="1"/>
      <c r="E2424" s="357">
        <v>44687</v>
      </c>
      <c r="F2424" s="344" t="s">
        <v>631</v>
      </c>
      <c r="G2424" s="358">
        <v>14.8978</v>
      </c>
      <c r="H2424" s="344" t="s">
        <v>1240</v>
      </c>
    </row>
    <row r="2425" spans="1:8">
      <c r="A2425" s="1"/>
      <c r="B2425" s="1"/>
      <c r="C2425" s="1"/>
      <c r="D2425" s="1"/>
      <c r="E2425" s="357">
        <v>44690</v>
      </c>
      <c r="F2425" s="344" t="s">
        <v>621</v>
      </c>
      <c r="G2425" s="358">
        <v>15.045999999999999</v>
      </c>
      <c r="H2425" s="344" t="s">
        <v>1241</v>
      </c>
    </row>
    <row r="2426" spans="1:8">
      <c r="A2426" s="1"/>
      <c r="B2426" s="1"/>
      <c r="C2426" s="1"/>
      <c r="D2426" s="1"/>
      <c r="E2426" s="357">
        <v>44690</v>
      </c>
      <c r="F2426" s="344" t="s">
        <v>625</v>
      </c>
      <c r="G2426" s="358">
        <v>15.758699999999999</v>
      </c>
      <c r="H2426" s="344" t="s">
        <v>1241</v>
      </c>
    </row>
    <row r="2427" spans="1:8">
      <c r="A2427" s="1"/>
      <c r="B2427" s="1"/>
      <c r="C2427" s="1"/>
      <c r="D2427" s="1"/>
      <c r="E2427" s="357">
        <v>44690</v>
      </c>
      <c r="F2427" s="344" t="s">
        <v>628</v>
      </c>
      <c r="G2427" s="358">
        <v>18.399000000000001</v>
      </c>
      <c r="H2427" s="344" t="s">
        <v>1241</v>
      </c>
    </row>
    <row r="2428" spans="1:8">
      <c r="A2428" s="1"/>
      <c r="B2428" s="1"/>
      <c r="C2428" s="1"/>
      <c r="D2428" s="1"/>
      <c r="E2428" s="357">
        <v>44690</v>
      </c>
      <c r="F2428" s="344" t="s">
        <v>631</v>
      </c>
      <c r="G2428" s="358">
        <v>14.974</v>
      </c>
      <c r="H2428" s="344" t="s">
        <v>1241</v>
      </c>
    </row>
    <row r="2429" spans="1:8">
      <c r="A2429" s="1"/>
      <c r="B2429" s="1"/>
      <c r="C2429" s="1"/>
      <c r="D2429" s="1"/>
      <c r="E2429" s="357">
        <v>44691</v>
      </c>
      <c r="F2429" s="344" t="s">
        <v>621</v>
      </c>
      <c r="G2429" s="358">
        <v>15.2455</v>
      </c>
      <c r="H2429" s="344" t="s">
        <v>1242</v>
      </c>
    </row>
    <row r="2430" spans="1:8">
      <c r="A2430" s="1"/>
      <c r="B2430" s="1"/>
      <c r="C2430" s="1"/>
      <c r="D2430" s="1"/>
      <c r="E2430" s="357">
        <v>44691</v>
      </c>
      <c r="F2430" s="344" t="s">
        <v>625</v>
      </c>
      <c r="G2430" s="358">
        <v>16.037400000000002</v>
      </c>
      <c r="H2430" s="344" t="s">
        <v>1242</v>
      </c>
    </row>
    <row r="2431" spans="1:8">
      <c r="A2431" s="1"/>
      <c r="B2431" s="1"/>
      <c r="C2431" s="1"/>
      <c r="D2431" s="1"/>
      <c r="E2431" s="357">
        <v>44691</v>
      </c>
      <c r="F2431" s="344" t="s">
        <v>628</v>
      </c>
      <c r="G2431" s="358">
        <v>18.705100000000002</v>
      </c>
      <c r="H2431" s="344" t="s">
        <v>1242</v>
      </c>
    </row>
    <row r="2432" spans="1:8">
      <c r="A2432" s="1"/>
      <c r="B2432" s="1"/>
      <c r="C2432" s="1"/>
      <c r="D2432" s="1"/>
      <c r="E2432" s="357">
        <v>44691</v>
      </c>
      <c r="F2432" s="344" t="s">
        <v>631</v>
      </c>
      <c r="G2432" s="358">
        <v>15.192600000000001</v>
      </c>
      <c r="H2432" s="344" t="s">
        <v>1242</v>
      </c>
    </row>
    <row r="2433" spans="1:8">
      <c r="A2433" s="1"/>
      <c r="B2433" s="1"/>
      <c r="C2433" s="1"/>
      <c r="D2433" s="1"/>
      <c r="E2433" s="357">
        <v>44692</v>
      </c>
      <c r="F2433" s="344" t="s">
        <v>621</v>
      </c>
      <c r="G2433" s="358">
        <v>15.3992</v>
      </c>
      <c r="H2433" s="344" t="s">
        <v>1243</v>
      </c>
    </row>
    <row r="2434" spans="1:8">
      <c r="A2434" s="1"/>
      <c r="B2434" s="1"/>
      <c r="C2434" s="1"/>
      <c r="D2434" s="1"/>
      <c r="E2434" s="357">
        <v>44692</v>
      </c>
      <c r="F2434" s="344" t="s">
        <v>625</v>
      </c>
      <c r="G2434" s="358">
        <v>16.132999999999999</v>
      </c>
      <c r="H2434" s="344" t="s">
        <v>1243</v>
      </c>
    </row>
    <row r="2435" spans="1:8">
      <c r="A2435" s="1"/>
      <c r="B2435" s="1"/>
      <c r="C2435" s="1"/>
      <c r="D2435" s="1"/>
      <c r="E2435" s="357">
        <v>44692</v>
      </c>
      <c r="F2435" s="344" t="s">
        <v>628</v>
      </c>
      <c r="G2435" s="358">
        <v>18.856200000000001</v>
      </c>
      <c r="H2435" s="344" t="s">
        <v>1243</v>
      </c>
    </row>
    <row r="2436" spans="1:8">
      <c r="A2436" s="1"/>
      <c r="B2436" s="1"/>
      <c r="C2436" s="1"/>
      <c r="D2436" s="1"/>
      <c r="E2436" s="357">
        <v>44692</v>
      </c>
      <c r="F2436" s="344" t="s">
        <v>631</v>
      </c>
      <c r="G2436" s="358">
        <v>15.2882</v>
      </c>
      <c r="H2436" s="344" t="s">
        <v>1243</v>
      </c>
    </row>
    <row r="2437" spans="1:8">
      <c r="A2437" s="1"/>
      <c r="B2437" s="1"/>
      <c r="C2437" s="1"/>
      <c r="D2437" s="1"/>
      <c r="E2437" s="357">
        <v>44693</v>
      </c>
      <c r="F2437" s="344" t="s">
        <v>621</v>
      </c>
      <c r="G2437" s="358">
        <v>15.3802</v>
      </c>
      <c r="H2437" s="344" t="s">
        <v>1244</v>
      </c>
    </row>
    <row r="2438" spans="1:8">
      <c r="A2438" s="1"/>
      <c r="B2438" s="1"/>
      <c r="C2438" s="1"/>
      <c r="D2438" s="1"/>
      <c r="E2438" s="357">
        <v>44693</v>
      </c>
      <c r="F2438" s="344" t="s">
        <v>625</v>
      </c>
      <c r="G2438" s="358">
        <v>16.035399999999999</v>
      </c>
      <c r="H2438" s="344" t="s">
        <v>1244</v>
      </c>
    </row>
    <row r="2439" spans="1:8">
      <c r="A2439" s="1"/>
      <c r="B2439" s="1"/>
      <c r="C2439" s="1"/>
      <c r="D2439" s="1"/>
      <c r="E2439" s="357">
        <v>44693</v>
      </c>
      <c r="F2439" s="344" t="s">
        <v>628</v>
      </c>
      <c r="G2439" s="358">
        <v>18.691800000000001</v>
      </c>
      <c r="H2439" s="344" t="s">
        <v>1244</v>
      </c>
    </row>
    <row r="2440" spans="1:8">
      <c r="A2440" s="1"/>
      <c r="B2440" s="1"/>
      <c r="C2440" s="1"/>
      <c r="D2440" s="1"/>
      <c r="E2440" s="357">
        <v>44693</v>
      </c>
      <c r="F2440" s="344" t="s">
        <v>631</v>
      </c>
      <c r="G2440" s="358">
        <v>15.352600000000001</v>
      </c>
      <c r="H2440" s="344" t="s">
        <v>1244</v>
      </c>
    </row>
    <row r="2441" spans="1:8">
      <c r="A2441" s="1"/>
      <c r="B2441" s="1"/>
      <c r="C2441" s="1"/>
      <c r="D2441" s="1"/>
      <c r="E2441" s="357">
        <v>44694</v>
      </c>
      <c r="F2441" s="344" t="s">
        <v>621</v>
      </c>
      <c r="G2441" s="358">
        <v>15.3924</v>
      </c>
      <c r="H2441" s="344" t="s">
        <v>1245</v>
      </c>
    </row>
    <row r="2442" spans="1:8">
      <c r="A2442" s="1"/>
      <c r="B2442" s="1"/>
      <c r="C2442" s="1"/>
      <c r="D2442" s="1"/>
      <c r="E2442" s="357">
        <v>44694</v>
      </c>
      <c r="F2442" s="344" t="s">
        <v>625</v>
      </c>
      <c r="G2442" s="358">
        <v>16.045500000000001</v>
      </c>
      <c r="H2442" s="344" t="s">
        <v>1245</v>
      </c>
    </row>
    <row r="2443" spans="1:8">
      <c r="A2443" s="1"/>
      <c r="B2443" s="1"/>
      <c r="C2443" s="1"/>
      <c r="D2443" s="1"/>
      <c r="E2443" s="357">
        <v>44694</v>
      </c>
      <c r="F2443" s="344" t="s">
        <v>628</v>
      </c>
      <c r="G2443" s="358">
        <v>18.803999999999998</v>
      </c>
      <c r="H2443" s="344" t="s">
        <v>1245</v>
      </c>
    </row>
    <row r="2444" spans="1:8">
      <c r="A2444" s="1"/>
      <c r="B2444" s="1"/>
      <c r="C2444" s="1"/>
      <c r="D2444" s="1"/>
      <c r="E2444" s="357">
        <v>44694</v>
      </c>
      <c r="F2444" s="344" t="s">
        <v>631</v>
      </c>
      <c r="G2444" s="358">
        <v>15.437799999999999</v>
      </c>
      <c r="H2444" s="344" t="s">
        <v>1245</v>
      </c>
    </row>
    <row r="2445" spans="1:8">
      <c r="A2445" s="1"/>
      <c r="B2445" s="1"/>
      <c r="C2445" s="1"/>
      <c r="D2445" s="1"/>
      <c r="E2445" s="357">
        <v>44697</v>
      </c>
      <c r="F2445" s="344" t="s">
        <v>621</v>
      </c>
      <c r="G2445" s="358">
        <v>15.458500000000001</v>
      </c>
      <c r="H2445" s="344" t="s">
        <v>1246</v>
      </c>
    </row>
    <row r="2446" spans="1:8">
      <c r="A2446" s="1"/>
      <c r="B2446" s="1"/>
      <c r="C2446" s="1"/>
      <c r="D2446" s="1"/>
      <c r="E2446" s="357">
        <v>44697</v>
      </c>
      <c r="F2446" s="344" t="s">
        <v>625</v>
      </c>
      <c r="G2446" s="358">
        <v>16.2166</v>
      </c>
      <c r="H2446" s="344" t="s">
        <v>1246</v>
      </c>
    </row>
    <row r="2447" spans="1:8">
      <c r="A2447" s="1"/>
      <c r="B2447" s="1"/>
      <c r="C2447" s="1"/>
      <c r="D2447" s="1"/>
      <c r="E2447" s="357">
        <v>44697</v>
      </c>
      <c r="F2447" s="344" t="s">
        <v>628</v>
      </c>
      <c r="G2447" s="358">
        <v>19.0167</v>
      </c>
      <c r="H2447" s="344" t="s">
        <v>1246</v>
      </c>
    </row>
    <row r="2448" spans="1:8">
      <c r="A2448" s="1"/>
      <c r="B2448" s="1"/>
      <c r="C2448" s="1"/>
      <c r="D2448" s="1"/>
      <c r="E2448" s="357">
        <v>44697</v>
      </c>
      <c r="F2448" s="344" t="s">
        <v>631</v>
      </c>
      <c r="G2448" s="358">
        <v>15.5639</v>
      </c>
      <c r="H2448" s="344" t="s">
        <v>1246</v>
      </c>
    </row>
    <row r="2449" spans="1:8">
      <c r="A2449" s="1"/>
      <c r="B2449" s="1"/>
      <c r="C2449" s="1"/>
      <c r="D2449" s="1"/>
      <c r="E2449" s="357">
        <v>44698</v>
      </c>
      <c r="F2449" s="344" t="s">
        <v>621</v>
      </c>
      <c r="G2449" s="358">
        <v>15.807499999999999</v>
      </c>
      <c r="H2449" s="344" t="s">
        <v>1247</v>
      </c>
    </row>
    <row r="2450" spans="1:8">
      <c r="A2450" s="1"/>
      <c r="B2450" s="1"/>
      <c r="C2450" s="1"/>
      <c r="D2450" s="1"/>
      <c r="E2450" s="357">
        <v>44698</v>
      </c>
      <c r="F2450" s="344" t="s">
        <v>625</v>
      </c>
      <c r="G2450" s="358">
        <v>16.562799999999999</v>
      </c>
      <c r="H2450" s="344" t="s">
        <v>1247</v>
      </c>
    </row>
    <row r="2451" spans="1:8">
      <c r="A2451" s="1"/>
      <c r="B2451" s="1"/>
      <c r="C2451" s="1"/>
      <c r="D2451" s="1"/>
      <c r="E2451" s="357">
        <v>44698</v>
      </c>
      <c r="F2451" s="344" t="s">
        <v>628</v>
      </c>
      <c r="G2451" s="358">
        <v>19.6206</v>
      </c>
      <c r="H2451" s="344" t="s">
        <v>1247</v>
      </c>
    </row>
    <row r="2452" spans="1:8">
      <c r="A2452" s="1"/>
      <c r="B2452" s="1"/>
      <c r="C2452" s="1"/>
      <c r="D2452" s="1"/>
      <c r="E2452" s="357">
        <v>44698</v>
      </c>
      <c r="F2452" s="344" t="s">
        <v>631</v>
      </c>
      <c r="G2452" s="358">
        <v>15.788600000000001</v>
      </c>
      <c r="H2452" s="344" t="s">
        <v>1247</v>
      </c>
    </row>
    <row r="2453" spans="1:8">
      <c r="A2453" s="1"/>
      <c r="B2453" s="1"/>
      <c r="C2453" s="1"/>
      <c r="D2453" s="1"/>
      <c r="E2453" s="357">
        <v>44699</v>
      </c>
      <c r="F2453" s="344" t="s">
        <v>621</v>
      </c>
      <c r="G2453" s="358">
        <v>15.9358</v>
      </c>
      <c r="H2453" s="344" t="s">
        <v>1248</v>
      </c>
    </row>
    <row r="2454" spans="1:8">
      <c r="A2454" s="1"/>
      <c r="B2454" s="1"/>
      <c r="C2454" s="1"/>
      <c r="D2454" s="1"/>
      <c r="E2454" s="357">
        <v>44699</v>
      </c>
      <c r="F2454" s="344" t="s">
        <v>625</v>
      </c>
      <c r="G2454" s="358">
        <v>16.7425</v>
      </c>
      <c r="H2454" s="344" t="s">
        <v>1248</v>
      </c>
    </row>
    <row r="2455" spans="1:8">
      <c r="A2455" s="1"/>
      <c r="B2455" s="1"/>
      <c r="C2455" s="1"/>
      <c r="D2455" s="1"/>
      <c r="E2455" s="357">
        <v>44699</v>
      </c>
      <c r="F2455" s="344" t="s">
        <v>628</v>
      </c>
      <c r="G2455" s="358">
        <v>19.718299999999999</v>
      </c>
      <c r="H2455" s="344" t="s">
        <v>1248</v>
      </c>
    </row>
    <row r="2456" spans="1:8">
      <c r="A2456" s="1"/>
      <c r="B2456" s="1"/>
      <c r="C2456" s="1"/>
      <c r="D2456" s="1"/>
      <c r="E2456" s="357">
        <v>44699</v>
      </c>
      <c r="F2456" s="344" t="s">
        <v>631</v>
      </c>
      <c r="G2456" s="358">
        <v>15.920500000000001</v>
      </c>
      <c r="H2456" s="344" t="s">
        <v>1248</v>
      </c>
    </row>
    <row r="2457" spans="1:8">
      <c r="A2457" s="1"/>
      <c r="B2457" s="1"/>
      <c r="C2457" s="1"/>
      <c r="D2457" s="1"/>
      <c r="E2457" s="357">
        <v>44701</v>
      </c>
      <c r="F2457" s="344" t="s">
        <v>621</v>
      </c>
      <c r="G2457" s="358">
        <v>16.3445</v>
      </c>
      <c r="H2457" s="344" t="s">
        <v>1249</v>
      </c>
    </row>
    <row r="2458" spans="1:8">
      <c r="A2458" s="1"/>
      <c r="B2458" s="1"/>
      <c r="C2458" s="1"/>
      <c r="D2458" s="1"/>
      <c r="E2458" s="357">
        <v>44701</v>
      </c>
      <c r="F2458" s="344" t="s">
        <v>625</v>
      </c>
      <c r="G2458" s="358">
        <v>16.848299999999998</v>
      </c>
      <c r="H2458" s="344" t="s">
        <v>1249</v>
      </c>
    </row>
    <row r="2459" spans="1:8">
      <c r="A2459" s="1"/>
      <c r="B2459" s="1"/>
      <c r="C2459" s="1"/>
      <c r="D2459" s="1"/>
      <c r="E2459" s="357">
        <v>44701</v>
      </c>
      <c r="F2459" s="344" t="s">
        <v>628</v>
      </c>
      <c r="G2459" s="358">
        <v>19.837199999999999</v>
      </c>
      <c r="H2459" s="344" t="s">
        <v>1249</v>
      </c>
    </row>
    <row r="2460" spans="1:8">
      <c r="A2460" s="1"/>
      <c r="B2460" s="1"/>
      <c r="C2460" s="1"/>
      <c r="D2460" s="1"/>
      <c r="E2460" s="357">
        <v>44701</v>
      </c>
      <c r="F2460" s="344" t="s">
        <v>631</v>
      </c>
      <c r="G2460" s="358">
        <v>15.924899999999999</v>
      </c>
      <c r="H2460" s="344" t="s">
        <v>1249</v>
      </c>
    </row>
    <row r="2461" spans="1:8">
      <c r="A2461" s="1"/>
      <c r="B2461" s="1"/>
      <c r="C2461" s="1"/>
      <c r="D2461" s="1"/>
      <c r="E2461" s="357">
        <v>44704</v>
      </c>
      <c r="F2461" s="344" t="s">
        <v>621</v>
      </c>
      <c r="G2461" s="358">
        <v>16.323699999999999</v>
      </c>
      <c r="H2461" s="344" t="s">
        <v>1250</v>
      </c>
    </row>
    <row r="2462" spans="1:8">
      <c r="A2462" s="1"/>
      <c r="B2462" s="1"/>
      <c r="C2462" s="1"/>
      <c r="D2462" s="1"/>
      <c r="E2462" s="357">
        <v>44704</v>
      </c>
      <c r="F2462" s="344" t="s">
        <v>625</v>
      </c>
      <c r="G2462" s="358">
        <v>16.869800000000001</v>
      </c>
      <c r="H2462" s="344" t="s">
        <v>1250</v>
      </c>
    </row>
    <row r="2463" spans="1:8">
      <c r="A2463" s="1"/>
      <c r="B2463" s="1"/>
      <c r="C2463" s="1"/>
      <c r="D2463" s="1"/>
      <c r="E2463" s="357">
        <v>44704</v>
      </c>
      <c r="F2463" s="344" t="s">
        <v>628</v>
      </c>
      <c r="G2463" s="358">
        <v>19.8901</v>
      </c>
      <c r="H2463" s="344" t="s">
        <v>1250</v>
      </c>
    </row>
    <row r="2464" spans="1:8">
      <c r="A2464" s="1"/>
      <c r="B2464" s="1"/>
      <c r="C2464" s="1"/>
      <c r="D2464" s="1"/>
      <c r="E2464" s="357">
        <v>44704</v>
      </c>
      <c r="F2464" s="344" t="s">
        <v>631</v>
      </c>
      <c r="G2464" s="358">
        <v>15.849399999999999</v>
      </c>
      <c r="H2464" s="344" t="s">
        <v>1250</v>
      </c>
    </row>
    <row r="2465" spans="1:8">
      <c r="A2465" s="1"/>
      <c r="B2465" s="1"/>
      <c r="C2465" s="1"/>
      <c r="D2465" s="1"/>
      <c r="E2465" s="357">
        <v>44705</v>
      </c>
      <c r="F2465" s="344" t="s">
        <v>621</v>
      </c>
      <c r="G2465" s="358">
        <v>16.639600000000002</v>
      </c>
      <c r="H2465" s="344" t="s">
        <v>1251</v>
      </c>
    </row>
    <row r="2466" spans="1:8">
      <c r="A2466" s="1"/>
      <c r="B2466" s="1"/>
      <c r="C2466" s="1"/>
      <c r="D2466" s="1"/>
      <c r="E2466" s="357">
        <v>44705</v>
      </c>
      <c r="F2466" s="344" t="s">
        <v>625</v>
      </c>
      <c r="G2466" s="358">
        <v>17.2255</v>
      </c>
      <c r="H2466" s="344" t="s">
        <v>1251</v>
      </c>
    </row>
    <row r="2467" spans="1:8">
      <c r="A2467" s="1"/>
      <c r="B2467" s="1"/>
      <c r="C2467" s="1"/>
      <c r="D2467" s="1"/>
      <c r="E2467" s="357">
        <v>44705</v>
      </c>
      <c r="F2467" s="344" t="s">
        <v>628</v>
      </c>
      <c r="G2467" s="358">
        <v>20.111599999999999</v>
      </c>
      <c r="H2467" s="344" t="s">
        <v>1251</v>
      </c>
    </row>
    <row r="2468" spans="1:8">
      <c r="A2468" s="1"/>
      <c r="B2468" s="1"/>
      <c r="C2468" s="1"/>
      <c r="D2468" s="1"/>
      <c r="E2468" s="357">
        <v>44705</v>
      </c>
      <c r="F2468" s="344" t="s">
        <v>631</v>
      </c>
      <c r="G2468" s="358">
        <v>16.084599999999998</v>
      </c>
      <c r="H2468" s="344" t="s">
        <v>1251</v>
      </c>
    </row>
    <row r="2469" spans="1:8">
      <c r="A2469" s="1"/>
      <c r="B2469" s="1"/>
      <c r="C2469" s="1"/>
      <c r="D2469" s="1"/>
      <c r="E2469" s="357">
        <v>44706</v>
      </c>
      <c r="F2469" s="344" t="s">
        <v>621</v>
      </c>
      <c r="G2469" s="358">
        <v>16.8536</v>
      </c>
      <c r="H2469" s="344" t="s">
        <v>1252</v>
      </c>
    </row>
    <row r="2470" spans="1:8">
      <c r="A2470" s="1"/>
      <c r="B2470" s="1"/>
      <c r="C2470" s="1"/>
      <c r="D2470" s="1"/>
      <c r="E2470" s="357">
        <v>44706</v>
      </c>
      <c r="F2470" s="344" t="s">
        <v>625</v>
      </c>
      <c r="G2470" s="358">
        <v>17.366</v>
      </c>
      <c r="H2470" s="344" t="s">
        <v>1252</v>
      </c>
    </row>
    <row r="2471" spans="1:8">
      <c r="A2471" s="1"/>
      <c r="B2471" s="1"/>
      <c r="C2471" s="1"/>
      <c r="D2471" s="1"/>
      <c r="E2471" s="357">
        <v>44706</v>
      </c>
      <c r="F2471" s="344" t="s">
        <v>628</v>
      </c>
      <c r="G2471" s="358">
        <v>20.325399999999998</v>
      </c>
      <c r="H2471" s="344" t="s">
        <v>1252</v>
      </c>
    </row>
    <row r="2472" spans="1:8">
      <c r="A2472" s="1"/>
      <c r="B2472" s="1"/>
      <c r="C2472" s="1"/>
      <c r="D2472" s="1"/>
      <c r="E2472" s="357">
        <v>44706</v>
      </c>
      <c r="F2472" s="344" t="s">
        <v>631</v>
      </c>
      <c r="G2472" s="358">
        <v>16.266999999999999</v>
      </c>
      <c r="H2472" s="344" t="s">
        <v>1252</v>
      </c>
    </row>
    <row r="2473" spans="1:8">
      <c r="A2473" s="1"/>
      <c r="B2473" s="1"/>
      <c r="C2473" s="1"/>
      <c r="D2473" s="1"/>
      <c r="E2473" s="357">
        <v>44707</v>
      </c>
      <c r="F2473" s="344" t="s">
        <v>621</v>
      </c>
      <c r="G2473" s="358">
        <v>17.011500000000002</v>
      </c>
      <c r="H2473" s="344" t="s">
        <v>1253</v>
      </c>
    </row>
    <row r="2474" spans="1:8">
      <c r="A2474" s="1"/>
      <c r="B2474" s="1"/>
      <c r="C2474" s="1"/>
      <c r="D2474" s="1"/>
      <c r="E2474" s="357">
        <v>44707</v>
      </c>
      <c r="F2474" s="344" t="s">
        <v>625</v>
      </c>
      <c r="G2474" s="358">
        <v>17.510100000000001</v>
      </c>
      <c r="H2474" s="344" t="s">
        <v>1253</v>
      </c>
    </row>
    <row r="2475" spans="1:8">
      <c r="A2475" s="1"/>
      <c r="B2475" s="1"/>
      <c r="C2475" s="1"/>
      <c r="D2475" s="1"/>
      <c r="E2475" s="357">
        <v>44707</v>
      </c>
      <c r="F2475" s="344" t="s">
        <v>628</v>
      </c>
      <c r="G2475" s="358">
        <v>20.572199999999999</v>
      </c>
      <c r="H2475" s="344" t="s">
        <v>1253</v>
      </c>
    </row>
    <row r="2476" spans="1:8">
      <c r="A2476" s="1"/>
      <c r="B2476" s="1"/>
      <c r="C2476" s="1"/>
      <c r="D2476" s="1"/>
      <c r="E2476" s="357">
        <v>44707</v>
      </c>
      <c r="F2476" s="344" t="s">
        <v>631</v>
      </c>
      <c r="G2476" s="358">
        <v>16.368099999999998</v>
      </c>
      <c r="H2476" s="344" t="s">
        <v>1253</v>
      </c>
    </row>
    <row r="2477" spans="1:8">
      <c r="A2477" s="1"/>
      <c r="B2477" s="1"/>
      <c r="C2477" s="1"/>
      <c r="D2477" s="1"/>
      <c r="E2477" s="357">
        <v>44708</v>
      </c>
      <c r="F2477" s="344" t="s">
        <v>621</v>
      </c>
      <c r="G2477" s="358">
        <v>17.0046</v>
      </c>
      <c r="H2477" s="344" t="s">
        <v>1254</v>
      </c>
    </row>
    <row r="2478" spans="1:8">
      <c r="A2478" s="1"/>
      <c r="B2478" s="1"/>
      <c r="C2478" s="1"/>
      <c r="D2478" s="1"/>
      <c r="E2478" s="357">
        <v>44708</v>
      </c>
      <c r="F2478" s="344" t="s">
        <v>625</v>
      </c>
      <c r="G2478" s="358">
        <v>17.527000000000001</v>
      </c>
      <c r="H2478" s="344" t="s">
        <v>1254</v>
      </c>
    </row>
    <row r="2479" spans="1:8">
      <c r="A2479" s="1"/>
      <c r="B2479" s="1"/>
      <c r="C2479" s="1"/>
      <c r="D2479" s="1"/>
      <c r="E2479" s="357">
        <v>44708</v>
      </c>
      <c r="F2479" s="344" t="s">
        <v>628</v>
      </c>
      <c r="G2479" s="358">
        <v>20.5837</v>
      </c>
      <c r="H2479" s="344" t="s">
        <v>1254</v>
      </c>
    </row>
    <row r="2480" spans="1:8">
      <c r="A2480" s="1"/>
      <c r="B2480" s="1"/>
      <c r="C2480" s="1"/>
      <c r="D2480" s="1"/>
      <c r="E2480" s="357">
        <v>44708</v>
      </c>
      <c r="F2480" s="344" t="s">
        <v>631</v>
      </c>
      <c r="G2480" s="358">
        <v>16.347899999999999</v>
      </c>
      <c r="H2480" s="344" t="s">
        <v>1254</v>
      </c>
    </row>
    <row r="2481" spans="1:8">
      <c r="A2481" s="1"/>
      <c r="B2481" s="1"/>
      <c r="C2481" s="1"/>
      <c r="D2481" s="1"/>
      <c r="E2481" s="357">
        <v>44711</v>
      </c>
      <c r="F2481" s="344" t="s">
        <v>621</v>
      </c>
      <c r="G2481" s="358">
        <v>17.037099999999999</v>
      </c>
      <c r="H2481" s="344" t="s">
        <v>1255</v>
      </c>
    </row>
    <row r="2482" spans="1:8">
      <c r="A2482" s="1"/>
      <c r="B2482" s="1"/>
      <c r="C2482" s="1"/>
      <c r="D2482" s="1"/>
      <c r="E2482" s="357">
        <v>44711</v>
      </c>
      <c r="F2482" s="344" t="s">
        <v>625</v>
      </c>
      <c r="G2482" s="358">
        <v>17.601900000000001</v>
      </c>
      <c r="H2482" s="344" t="s">
        <v>1255</v>
      </c>
    </row>
    <row r="2483" spans="1:8">
      <c r="A2483" s="1"/>
      <c r="B2483" s="1"/>
      <c r="C2483" s="1"/>
      <c r="D2483" s="1"/>
      <c r="E2483" s="357">
        <v>44711</v>
      </c>
      <c r="F2483" s="344" t="s">
        <v>628</v>
      </c>
      <c r="G2483" s="358">
        <v>20.633800000000001</v>
      </c>
      <c r="H2483" s="344" t="s">
        <v>1255</v>
      </c>
    </row>
    <row r="2484" spans="1:8">
      <c r="A2484" s="1"/>
      <c r="B2484" s="1"/>
      <c r="C2484" s="1"/>
      <c r="D2484" s="1"/>
      <c r="E2484" s="357">
        <v>44711</v>
      </c>
      <c r="F2484" s="344" t="s">
        <v>631</v>
      </c>
      <c r="G2484" s="358">
        <v>16.356200000000001</v>
      </c>
      <c r="H2484" s="344" t="s">
        <v>1255</v>
      </c>
    </row>
    <row r="2485" spans="1:8">
      <c r="A2485" s="1"/>
      <c r="B2485" s="1"/>
      <c r="C2485" s="1"/>
      <c r="D2485" s="1"/>
      <c r="E2485" s="357">
        <v>44712</v>
      </c>
      <c r="F2485" s="344" t="s">
        <v>621</v>
      </c>
      <c r="G2485" s="358">
        <v>17.026</v>
      </c>
      <c r="H2485" s="344" t="s">
        <v>1256</v>
      </c>
    </row>
    <row r="2486" spans="1:8">
      <c r="A2486" s="1"/>
      <c r="B2486" s="1"/>
      <c r="C2486" s="1"/>
      <c r="D2486" s="1"/>
      <c r="E2486" s="357">
        <v>44712</v>
      </c>
      <c r="F2486" s="344" t="s">
        <v>625</v>
      </c>
      <c r="G2486" s="358">
        <v>17.5702</v>
      </c>
      <c r="H2486" s="344" t="s">
        <v>1256</v>
      </c>
    </row>
    <row r="2487" spans="1:8">
      <c r="A2487" s="1"/>
      <c r="B2487" s="1"/>
      <c r="C2487" s="1"/>
      <c r="D2487" s="1"/>
      <c r="E2487" s="357">
        <v>44712</v>
      </c>
      <c r="F2487" s="344" t="s">
        <v>628</v>
      </c>
      <c r="G2487" s="358">
        <v>20.611999999999998</v>
      </c>
      <c r="H2487" s="344" t="s">
        <v>1256</v>
      </c>
    </row>
    <row r="2488" spans="1:8">
      <c r="A2488" s="1"/>
      <c r="B2488" s="1"/>
      <c r="C2488" s="1"/>
      <c r="D2488" s="1"/>
      <c r="E2488" s="357">
        <v>44712</v>
      </c>
      <c r="F2488" s="344" t="s">
        <v>631</v>
      </c>
      <c r="G2488" s="358">
        <v>16.387599999999999</v>
      </c>
      <c r="H2488" s="344" t="s">
        <v>1256</v>
      </c>
    </row>
    <row r="2489" spans="1:8">
      <c r="A2489" s="1"/>
      <c r="B2489" s="1"/>
      <c r="C2489" s="1"/>
      <c r="D2489" s="1"/>
      <c r="E2489" s="357">
        <v>44713</v>
      </c>
      <c r="F2489" s="344" t="s">
        <v>621</v>
      </c>
      <c r="G2489" s="358">
        <v>17.033899999999999</v>
      </c>
      <c r="H2489" s="344" t="s">
        <v>1257</v>
      </c>
    </row>
    <row r="2490" spans="1:8">
      <c r="A2490" s="1"/>
      <c r="B2490" s="1"/>
      <c r="C2490" s="1"/>
      <c r="D2490" s="1"/>
      <c r="E2490" s="357">
        <v>44713</v>
      </c>
      <c r="F2490" s="344" t="s">
        <v>625</v>
      </c>
      <c r="G2490" s="358">
        <v>17.5916</v>
      </c>
      <c r="H2490" s="344" t="s">
        <v>1257</v>
      </c>
    </row>
    <row r="2491" spans="1:8">
      <c r="A2491" s="1"/>
      <c r="B2491" s="1"/>
      <c r="C2491" s="1"/>
      <c r="D2491" s="1"/>
      <c r="E2491" s="357">
        <v>44713</v>
      </c>
      <c r="F2491" s="344" t="s">
        <v>628</v>
      </c>
      <c r="G2491" s="358">
        <v>20.6236</v>
      </c>
      <c r="H2491" s="344" t="s">
        <v>1257</v>
      </c>
    </row>
    <row r="2492" spans="1:8">
      <c r="A2492" s="1"/>
      <c r="B2492" s="1"/>
      <c r="C2492" s="1"/>
      <c r="D2492" s="1"/>
      <c r="E2492" s="357">
        <v>44713</v>
      </c>
      <c r="F2492" s="344" t="s">
        <v>631</v>
      </c>
      <c r="G2492" s="358">
        <v>16.412700000000001</v>
      </c>
      <c r="H2492" s="344" t="s">
        <v>1257</v>
      </c>
    </row>
    <row r="2493" spans="1:8">
      <c r="A2493" s="1"/>
      <c r="B2493" s="1"/>
      <c r="C2493" s="1"/>
      <c r="D2493" s="1"/>
      <c r="E2493" s="357">
        <v>44714</v>
      </c>
      <c r="F2493" s="344" t="s">
        <v>621</v>
      </c>
      <c r="G2493" s="358">
        <v>17.0885</v>
      </c>
      <c r="H2493" s="344" t="s">
        <v>1258</v>
      </c>
    </row>
    <row r="2494" spans="1:8">
      <c r="A2494" s="1"/>
      <c r="B2494" s="1"/>
      <c r="C2494" s="1"/>
      <c r="D2494" s="1"/>
      <c r="E2494" s="357">
        <v>44714</v>
      </c>
      <c r="F2494" s="344" t="s">
        <v>625</v>
      </c>
      <c r="G2494" s="358">
        <v>17.57</v>
      </c>
      <c r="H2494" s="344" t="s">
        <v>1258</v>
      </c>
    </row>
    <row r="2495" spans="1:8">
      <c r="A2495" s="1"/>
      <c r="B2495" s="1"/>
      <c r="C2495" s="1"/>
      <c r="D2495" s="1"/>
      <c r="E2495" s="357">
        <v>44714</v>
      </c>
      <c r="F2495" s="344" t="s">
        <v>628</v>
      </c>
      <c r="G2495" s="358">
        <v>20.578199999999999</v>
      </c>
      <c r="H2495" s="344" t="s">
        <v>1258</v>
      </c>
    </row>
    <row r="2496" spans="1:8">
      <c r="A2496" s="1"/>
      <c r="B2496" s="1"/>
      <c r="C2496" s="1"/>
      <c r="D2496" s="1"/>
      <c r="E2496" s="357">
        <v>44714</v>
      </c>
      <c r="F2496" s="344" t="s">
        <v>631</v>
      </c>
      <c r="G2496" s="358">
        <v>16.439</v>
      </c>
      <c r="H2496" s="344" t="s">
        <v>1258</v>
      </c>
    </row>
    <row r="2497" spans="1:8">
      <c r="A2497" s="1"/>
      <c r="B2497" s="1"/>
      <c r="C2497" s="1"/>
      <c r="D2497" s="1"/>
      <c r="E2497" s="357">
        <v>44715</v>
      </c>
      <c r="F2497" s="344" t="s">
        <v>621</v>
      </c>
      <c r="G2497" s="358">
        <v>17.149899999999999</v>
      </c>
      <c r="H2497" s="344" t="s">
        <v>1259</v>
      </c>
    </row>
    <row r="2498" spans="1:8">
      <c r="A2498" s="1"/>
      <c r="B2498" s="1"/>
      <c r="C2498" s="1"/>
      <c r="D2498" s="1"/>
      <c r="E2498" s="357">
        <v>44715</v>
      </c>
      <c r="F2498" s="344" t="s">
        <v>625</v>
      </c>
      <c r="G2498" s="358">
        <v>17.706600000000002</v>
      </c>
      <c r="H2498" s="344" t="s">
        <v>1259</v>
      </c>
    </row>
    <row r="2499" spans="1:8">
      <c r="A2499" s="1"/>
      <c r="B2499" s="1"/>
      <c r="C2499" s="1"/>
      <c r="D2499" s="1"/>
      <c r="E2499" s="357">
        <v>44715</v>
      </c>
      <c r="F2499" s="344" t="s">
        <v>628</v>
      </c>
      <c r="G2499" s="358">
        <v>20.675899999999999</v>
      </c>
      <c r="H2499" s="344" t="s">
        <v>1259</v>
      </c>
    </row>
    <row r="2500" spans="1:8">
      <c r="A2500" s="1"/>
      <c r="B2500" s="1"/>
      <c r="C2500" s="1"/>
      <c r="D2500" s="1"/>
      <c r="E2500" s="357">
        <v>44715</v>
      </c>
      <c r="F2500" s="344" t="s">
        <v>631</v>
      </c>
      <c r="G2500" s="358">
        <v>16.476500000000001</v>
      </c>
      <c r="H2500" s="344" t="s">
        <v>1259</v>
      </c>
    </row>
    <row r="2501" spans="1:8">
      <c r="A2501" s="1"/>
      <c r="B2501" s="1"/>
      <c r="C2501" s="1"/>
      <c r="D2501" s="1"/>
      <c r="E2501" s="357">
        <v>44718</v>
      </c>
      <c r="F2501" s="344" t="s">
        <v>621</v>
      </c>
      <c r="G2501" s="358">
        <v>17.1845</v>
      </c>
      <c r="H2501" s="344" t="s">
        <v>1260</v>
      </c>
    </row>
    <row r="2502" spans="1:8">
      <c r="A2502" s="1"/>
      <c r="B2502" s="1"/>
      <c r="C2502" s="1"/>
      <c r="D2502" s="1"/>
      <c r="E2502" s="357">
        <v>44718</v>
      </c>
      <c r="F2502" s="344" t="s">
        <v>625</v>
      </c>
      <c r="G2502" s="358">
        <v>17.778500000000001</v>
      </c>
      <c r="H2502" s="344" t="s">
        <v>1260</v>
      </c>
    </row>
    <row r="2503" spans="1:8">
      <c r="A2503" s="1"/>
      <c r="B2503" s="1"/>
      <c r="C2503" s="1"/>
      <c r="D2503" s="1"/>
      <c r="E2503" s="357">
        <v>44718</v>
      </c>
      <c r="F2503" s="344" t="s">
        <v>628</v>
      </c>
      <c r="G2503" s="358">
        <v>20.758199999999999</v>
      </c>
      <c r="H2503" s="344" t="s">
        <v>1260</v>
      </c>
    </row>
    <row r="2504" spans="1:8">
      <c r="A2504" s="1"/>
      <c r="B2504" s="1"/>
      <c r="C2504" s="1"/>
      <c r="D2504" s="1"/>
      <c r="E2504" s="357">
        <v>44718</v>
      </c>
      <c r="F2504" s="344" t="s">
        <v>631</v>
      </c>
      <c r="G2504" s="358">
        <v>16.558800000000002</v>
      </c>
      <c r="H2504" s="344" t="s">
        <v>1260</v>
      </c>
    </row>
    <row r="2505" spans="1:8">
      <c r="A2505" s="1"/>
      <c r="B2505" s="1"/>
      <c r="C2505" s="1"/>
      <c r="D2505" s="1"/>
      <c r="E2505" s="357">
        <v>44719</v>
      </c>
      <c r="F2505" s="344" t="s">
        <v>621</v>
      </c>
      <c r="G2505" s="358">
        <v>17.082799999999999</v>
      </c>
      <c r="H2505" s="344" t="s">
        <v>1261</v>
      </c>
    </row>
    <row r="2506" spans="1:8">
      <c r="A2506" s="1"/>
      <c r="B2506" s="1"/>
      <c r="C2506" s="1"/>
      <c r="D2506" s="1"/>
      <c r="E2506" s="357">
        <v>44719</v>
      </c>
      <c r="F2506" s="344" t="s">
        <v>625</v>
      </c>
      <c r="G2506" s="358">
        <v>17.840800000000002</v>
      </c>
      <c r="H2506" s="344" t="s">
        <v>1261</v>
      </c>
    </row>
    <row r="2507" spans="1:8">
      <c r="A2507" s="1"/>
      <c r="B2507" s="1"/>
      <c r="C2507" s="1"/>
      <c r="D2507" s="1"/>
      <c r="E2507" s="357">
        <v>44719</v>
      </c>
      <c r="F2507" s="344" t="s">
        <v>628</v>
      </c>
      <c r="G2507" s="358">
        <v>20.8323</v>
      </c>
      <c r="H2507" s="344" t="s">
        <v>1261</v>
      </c>
    </row>
    <row r="2508" spans="1:8">
      <c r="A2508" s="1"/>
      <c r="B2508" s="1"/>
      <c r="C2508" s="1"/>
      <c r="D2508" s="1"/>
      <c r="E2508" s="357">
        <v>44719</v>
      </c>
      <c r="F2508" s="344" t="s">
        <v>631</v>
      </c>
      <c r="G2508" s="358">
        <v>16.708400000000001</v>
      </c>
      <c r="H2508" s="344" t="s">
        <v>1261</v>
      </c>
    </row>
    <row r="2509" spans="1:8">
      <c r="A2509" s="1"/>
      <c r="B2509" s="1"/>
      <c r="C2509" s="1"/>
      <c r="D2509" s="1"/>
      <c r="E2509" s="357">
        <v>44720</v>
      </c>
      <c r="F2509" s="344" t="s">
        <v>621</v>
      </c>
      <c r="G2509" s="358">
        <v>17.459599999999998</v>
      </c>
      <c r="H2509" s="344" t="s">
        <v>1262</v>
      </c>
    </row>
    <row r="2510" spans="1:8">
      <c r="A2510" s="1"/>
      <c r="B2510" s="1"/>
      <c r="C2510" s="1"/>
      <c r="D2510" s="1"/>
      <c r="E2510" s="357">
        <v>44720</v>
      </c>
      <c r="F2510" s="344" t="s">
        <v>625</v>
      </c>
      <c r="G2510" s="358">
        <v>18.293099999999999</v>
      </c>
      <c r="H2510" s="344" t="s">
        <v>1262</v>
      </c>
    </row>
    <row r="2511" spans="1:8">
      <c r="A2511" s="1"/>
      <c r="B2511" s="1"/>
      <c r="C2511" s="1"/>
      <c r="D2511" s="1"/>
      <c r="E2511" s="357">
        <v>44720</v>
      </c>
      <c r="F2511" s="344" t="s">
        <v>628</v>
      </c>
      <c r="G2511" s="358">
        <v>21.404699999999998</v>
      </c>
      <c r="H2511" s="344" t="s">
        <v>1262</v>
      </c>
    </row>
    <row r="2512" spans="1:8">
      <c r="A2512" s="1"/>
      <c r="B2512" s="1"/>
      <c r="C2512" s="1"/>
      <c r="D2512" s="1"/>
      <c r="E2512" s="357">
        <v>44720</v>
      </c>
      <c r="F2512" s="344" t="s">
        <v>631</v>
      </c>
      <c r="G2512" s="358">
        <v>17.092500000000001</v>
      </c>
      <c r="H2512" s="344" t="s">
        <v>1262</v>
      </c>
    </row>
    <row r="2513" spans="1:8">
      <c r="A2513" s="1"/>
      <c r="B2513" s="1"/>
      <c r="C2513" s="1"/>
      <c r="D2513" s="1"/>
      <c r="E2513" s="357">
        <v>44721</v>
      </c>
      <c r="F2513" s="344" t="s">
        <v>621</v>
      </c>
      <c r="G2513" s="358">
        <v>17.541799999999999</v>
      </c>
      <c r="H2513" s="344" t="s">
        <v>1263</v>
      </c>
    </row>
    <row r="2514" spans="1:8">
      <c r="A2514" s="1"/>
      <c r="B2514" s="1"/>
      <c r="C2514" s="1"/>
      <c r="D2514" s="1"/>
      <c r="E2514" s="357">
        <v>44721</v>
      </c>
      <c r="F2514" s="344" t="s">
        <v>625</v>
      </c>
      <c r="G2514" s="358">
        <v>18.43</v>
      </c>
      <c r="H2514" s="344" t="s">
        <v>1263</v>
      </c>
    </row>
    <row r="2515" spans="1:8">
      <c r="A2515" s="1"/>
      <c r="B2515" s="1"/>
      <c r="C2515" s="1"/>
      <c r="D2515" s="1"/>
      <c r="E2515" s="357">
        <v>44721</v>
      </c>
      <c r="F2515" s="344" t="s">
        <v>628</v>
      </c>
      <c r="G2515" s="358">
        <v>21.4999</v>
      </c>
      <c r="H2515" s="344" t="s">
        <v>1263</v>
      </c>
    </row>
    <row r="2516" spans="1:8">
      <c r="A2516" s="1"/>
      <c r="B2516" s="1"/>
      <c r="C2516" s="1"/>
      <c r="D2516" s="1"/>
      <c r="E2516" s="357">
        <v>44721</v>
      </c>
      <c r="F2516" s="344" t="s">
        <v>631</v>
      </c>
      <c r="G2516" s="358">
        <v>17.198499999999999</v>
      </c>
      <c r="H2516" s="344" t="s">
        <v>1263</v>
      </c>
    </row>
    <row r="2517" spans="1:8">
      <c r="A2517" s="1"/>
      <c r="B2517" s="1"/>
      <c r="C2517" s="1"/>
      <c r="D2517" s="1"/>
      <c r="E2517" s="357">
        <v>44722</v>
      </c>
      <c r="F2517" s="344" t="s">
        <v>621</v>
      </c>
      <c r="G2517" s="358">
        <v>17.362100000000002</v>
      </c>
      <c r="H2517" s="344" t="s">
        <v>1264</v>
      </c>
    </row>
    <row r="2518" spans="1:8">
      <c r="A2518" s="1"/>
      <c r="B2518" s="1"/>
      <c r="C2518" s="1"/>
      <c r="D2518" s="1"/>
      <c r="E2518" s="357">
        <v>44722</v>
      </c>
      <c r="F2518" s="344" t="s">
        <v>625</v>
      </c>
      <c r="G2518" s="358">
        <v>18.092400000000001</v>
      </c>
      <c r="H2518" s="344" t="s">
        <v>1264</v>
      </c>
    </row>
    <row r="2519" spans="1:8">
      <c r="A2519" s="1"/>
      <c r="B2519" s="1"/>
      <c r="C2519" s="1"/>
      <c r="D2519" s="1"/>
      <c r="E2519" s="357">
        <v>44722</v>
      </c>
      <c r="F2519" s="344" t="s">
        <v>628</v>
      </c>
      <c r="G2519" s="358">
        <v>21.222300000000001</v>
      </c>
      <c r="H2519" s="344" t="s">
        <v>1264</v>
      </c>
    </row>
    <row r="2520" spans="1:8">
      <c r="A2520" s="1"/>
      <c r="B2520" s="1"/>
      <c r="C2520" s="1"/>
      <c r="D2520" s="1"/>
      <c r="E2520" s="357">
        <v>44722</v>
      </c>
      <c r="F2520" s="344" t="s">
        <v>631</v>
      </c>
      <c r="G2520" s="358">
        <v>17.058900000000001</v>
      </c>
      <c r="H2520" s="344" t="s">
        <v>1264</v>
      </c>
    </row>
    <row r="2521" spans="1:8">
      <c r="A2521" s="1"/>
      <c r="B2521" s="1"/>
      <c r="C2521" s="1"/>
      <c r="D2521" s="1"/>
      <c r="E2521" s="357">
        <v>44725</v>
      </c>
      <c r="F2521" s="344" t="s">
        <v>621</v>
      </c>
      <c r="G2521" s="358">
        <v>17.3246</v>
      </c>
      <c r="H2521" s="344" t="s">
        <v>1265</v>
      </c>
    </row>
    <row r="2522" spans="1:8">
      <c r="A2522" s="1"/>
      <c r="B2522" s="1"/>
      <c r="C2522" s="1"/>
      <c r="D2522" s="1"/>
      <c r="E2522" s="357">
        <v>44725</v>
      </c>
      <c r="F2522" s="344" t="s">
        <v>625</v>
      </c>
      <c r="G2522" s="358">
        <v>18.035299999999999</v>
      </c>
      <c r="H2522" s="344" t="s">
        <v>1265</v>
      </c>
    </row>
    <row r="2523" spans="1:8">
      <c r="A2523" s="1"/>
      <c r="B2523" s="1"/>
      <c r="C2523" s="1"/>
      <c r="D2523" s="1"/>
      <c r="E2523" s="357">
        <v>44725</v>
      </c>
      <c r="F2523" s="344" t="s">
        <v>628</v>
      </c>
      <c r="G2523" s="358">
        <v>21.014099999999999</v>
      </c>
      <c r="H2523" s="344" t="s">
        <v>1265</v>
      </c>
    </row>
    <row r="2524" spans="1:8">
      <c r="A2524" s="1"/>
      <c r="B2524" s="1"/>
      <c r="C2524" s="1"/>
      <c r="D2524" s="1"/>
      <c r="E2524" s="357">
        <v>44725</v>
      </c>
      <c r="F2524" s="344" t="s">
        <v>631</v>
      </c>
      <c r="G2524" s="358">
        <v>17.234400000000001</v>
      </c>
      <c r="H2524" s="344" t="s">
        <v>1265</v>
      </c>
    </row>
    <row r="2525" spans="1:8">
      <c r="A2525" s="1"/>
      <c r="B2525" s="1"/>
      <c r="C2525" s="1"/>
      <c r="D2525" s="1"/>
      <c r="E2525" s="357">
        <v>44726</v>
      </c>
      <c r="F2525" s="344" t="s">
        <v>621</v>
      </c>
      <c r="G2525" s="358">
        <v>17.324200000000001</v>
      </c>
      <c r="H2525" s="344" t="s">
        <v>1266</v>
      </c>
    </row>
    <row r="2526" spans="1:8">
      <c r="A2526" s="1"/>
      <c r="B2526" s="1"/>
      <c r="C2526" s="1"/>
      <c r="D2526" s="1"/>
      <c r="E2526" s="357">
        <v>44726</v>
      </c>
      <c r="F2526" s="344" t="s">
        <v>625</v>
      </c>
      <c r="G2526" s="358">
        <v>18.005500000000001</v>
      </c>
      <c r="H2526" s="344" t="s">
        <v>1266</v>
      </c>
    </row>
    <row r="2527" spans="1:8">
      <c r="A2527" s="1"/>
      <c r="B2527" s="1"/>
      <c r="C2527" s="1"/>
      <c r="D2527" s="1"/>
      <c r="E2527" s="357">
        <v>44726</v>
      </c>
      <c r="F2527" s="344" t="s">
        <v>628</v>
      </c>
      <c r="G2527" s="358">
        <v>20.864000000000001</v>
      </c>
      <c r="H2527" s="344" t="s">
        <v>1266</v>
      </c>
    </row>
    <row r="2528" spans="1:8">
      <c r="A2528" s="1"/>
      <c r="B2528" s="1"/>
      <c r="C2528" s="1"/>
      <c r="D2528" s="1"/>
      <c r="E2528" s="357">
        <v>44726</v>
      </c>
      <c r="F2528" s="344" t="s">
        <v>631</v>
      </c>
      <c r="G2528" s="358">
        <v>17.234300000000001</v>
      </c>
      <c r="H2528" s="344" t="s">
        <v>1266</v>
      </c>
    </row>
    <row r="2529" spans="1:8">
      <c r="A2529" s="1"/>
      <c r="B2529" s="1"/>
      <c r="C2529" s="1"/>
      <c r="D2529" s="1"/>
      <c r="E2529" s="357">
        <v>44727</v>
      </c>
      <c r="F2529" s="344" t="s">
        <v>621</v>
      </c>
      <c r="G2529" s="358">
        <v>17.247</v>
      </c>
      <c r="H2529" s="344" t="s">
        <v>1267</v>
      </c>
    </row>
    <row r="2530" spans="1:8">
      <c r="A2530" s="1"/>
      <c r="B2530" s="1"/>
      <c r="C2530" s="1"/>
      <c r="D2530" s="1"/>
      <c r="E2530" s="357">
        <v>44727</v>
      </c>
      <c r="F2530" s="344" t="s">
        <v>625</v>
      </c>
      <c r="G2530" s="358">
        <v>18.081800000000001</v>
      </c>
      <c r="H2530" s="344" t="s">
        <v>1267</v>
      </c>
    </row>
    <row r="2531" spans="1:8">
      <c r="A2531" s="1"/>
      <c r="B2531" s="1"/>
      <c r="C2531" s="1"/>
      <c r="D2531" s="1"/>
      <c r="E2531" s="357">
        <v>44727</v>
      </c>
      <c r="F2531" s="344" t="s">
        <v>628</v>
      </c>
      <c r="G2531" s="358">
        <v>20.800999999999998</v>
      </c>
      <c r="H2531" s="344" t="s">
        <v>1267</v>
      </c>
    </row>
    <row r="2532" spans="1:8">
      <c r="A2532" s="1"/>
      <c r="B2532" s="1"/>
      <c r="C2532" s="1"/>
      <c r="D2532" s="1"/>
      <c r="E2532" s="357">
        <v>44727</v>
      </c>
      <c r="F2532" s="344" t="s">
        <v>631</v>
      </c>
      <c r="G2532" s="358">
        <v>17.256799999999998</v>
      </c>
      <c r="H2532" s="344" t="s">
        <v>1267</v>
      </c>
    </row>
    <row r="2533" spans="1:8">
      <c r="A2533" s="1"/>
      <c r="B2533" s="1"/>
      <c r="C2533" s="1"/>
      <c r="D2533" s="1"/>
      <c r="E2533" s="357">
        <v>44728</v>
      </c>
      <c r="F2533" s="344" t="s">
        <v>621</v>
      </c>
      <c r="G2533" s="358">
        <v>17.542300000000001</v>
      </c>
      <c r="H2533" s="344" t="s">
        <v>1268</v>
      </c>
    </row>
    <row r="2534" spans="1:8">
      <c r="A2534" s="1"/>
      <c r="B2534" s="1"/>
      <c r="C2534" s="1"/>
      <c r="D2534" s="1"/>
      <c r="E2534" s="357">
        <v>44728</v>
      </c>
      <c r="F2534" s="344" t="s">
        <v>625</v>
      </c>
      <c r="G2534" s="358">
        <v>17.984000000000002</v>
      </c>
      <c r="H2534" s="344" t="s">
        <v>1268</v>
      </c>
    </row>
    <row r="2535" spans="1:8">
      <c r="A2535" s="1"/>
      <c r="B2535" s="1"/>
      <c r="C2535" s="1"/>
      <c r="D2535" s="1"/>
      <c r="E2535" s="357">
        <v>44728</v>
      </c>
      <c r="F2535" s="344" t="s">
        <v>628</v>
      </c>
      <c r="G2535" s="358">
        <v>20.929200000000002</v>
      </c>
      <c r="H2535" s="344" t="s">
        <v>1268</v>
      </c>
    </row>
    <row r="2536" spans="1:8">
      <c r="A2536" s="1"/>
      <c r="B2536" s="1"/>
      <c r="C2536" s="1"/>
      <c r="D2536" s="1"/>
      <c r="E2536" s="357">
        <v>44728</v>
      </c>
      <c r="F2536" s="344" t="s">
        <v>631</v>
      </c>
      <c r="G2536" s="358">
        <v>17.288</v>
      </c>
      <c r="H2536" s="344" t="s">
        <v>1268</v>
      </c>
    </row>
    <row r="2537" spans="1:8">
      <c r="A2537" s="1"/>
      <c r="B2537" s="1"/>
      <c r="C2537" s="1"/>
      <c r="D2537" s="1"/>
      <c r="E2537" s="357">
        <v>44729</v>
      </c>
      <c r="F2537" s="344" t="s">
        <v>621</v>
      </c>
      <c r="G2537" s="358">
        <v>17.8736</v>
      </c>
      <c r="H2537" s="344" t="s">
        <v>1269</v>
      </c>
    </row>
    <row r="2538" spans="1:8">
      <c r="A2538" s="1"/>
      <c r="B2538" s="1"/>
      <c r="C2538" s="1"/>
      <c r="D2538" s="1"/>
      <c r="E2538" s="357">
        <v>44729</v>
      </c>
      <c r="F2538" s="344" t="s">
        <v>625</v>
      </c>
      <c r="G2538" s="358">
        <v>18.172999999999998</v>
      </c>
      <c r="H2538" s="344" t="s">
        <v>1269</v>
      </c>
    </row>
    <row r="2539" spans="1:8">
      <c r="A2539" s="1"/>
      <c r="B2539" s="1"/>
      <c r="C2539" s="1"/>
      <c r="D2539" s="1"/>
      <c r="E2539" s="357">
        <v>44729</v>
      </c>
      <c r="F2539" s="344" t="s">
        <v>628</v>
      </c>
      <c r="G2539" s="358">
        <v>21.2148</v>
      </c>
      <c r="H2539" s="344" t="s">
        <v>1269</v>
      </c>
    </row>
    <row r="2540" spans="1:8">
      <c r="A2540" s="1"/>
      <c r="B2540" s="1"/>
      <c r="C2540" s="1"/>
      <c r="D2540" s="1"/>
      <c r="E2540" s="357">
        <v>44729</v>
      </c>
      <c r="F2540" s="344" t="s">
        <v>631</v>
      </c>
      <c r="G2540" s="358">
        <v>17.290500000000002</v>
      </c>
      <c r="H2540" s="344" t="s">
        <v>1269</v>
      </c>
    </row>
    <row r="2541" spans="1:8">
      <c r="A2541" s="1"/>
      <c r="B2541" s="1"/>
      <c r="C2541" s="1"/>
      <c r="D2541" s="1"/>
      <c r="E2541" s="357">
        <v>44732</v>
      </c>
      <c r="F2541" s="344" t="s">
        <v>621</v>
      </c>
      <c r="G2541" s="358">
        <v>17.8993</v>
      </c>
      <c r="H2541" s="344" t="s">
        <v>1270</v>
      </c>
    </row>
    <row r="2542" spans="1:8">
      <c r="A2542" s="1"/>
      <c r="B2542" s="1"/>
      <c r="C2542" s="1"/>
      <c r="D2542" s="1"/>
      <c r="E2542" s="357">
        <v>44732</v>
      </c>
      <c r="F2542" s="344" t="s">
        <v>625</v>
      </c>
      <c r="G2542" s="358">
        <v>18.221900000000002</v>
      </c>
      <c r="H2542" s="344" t="s">
        <v>1270</v>
      </c>
    </row>
    <row r="2543" spans="1:8">
      <c r="A2543" s="1"/>
      <c r="B2543" s="1"/>
      <c r="C2543" s="1"/>
      <c r="D2543" s="1"/>
      <c r="E2543" s="357">
        <v>44732</v>
      </c>
      <c r="F2543" s="344" t="s">
        <v>628</v>
      </c>
      <c r="G2543" s="358">
        <v>21.161100000000001</v>
      </c>
      <c r="H2543" s="344" t="s">
        <v>1270</v>
      </c>
    </row>
    <row r="2544" spans="1:8">
      <c r="A2544" s="1"/>
      <c r="B2544" s="1"/>
      <c r="C2544" s="1"/>
      <c r="D2544" s="1"/>
      <c r="E2544" s="357">
        <v>44732</v>
      </c>
      <c r="F2544" s="344" t="s">
        <v>631</v>
      </c>
      <c r="G2544" s="358">
        <v>17.311299999999999</v>
      </c>
      <c r="H2544" s="344" t="s">
        <v>1270</v>
      </c>
    </row>
    <row r="2545" spans="1:8">
      <c r="A2545" s="1"/>
      <c r="B2545" s="1"/>
      <c r="C2545" s="1"/>
      <c r="D2545" s="1"/>
      <c r="E2545" s="357">
        <v>44733</v>
      </c>
      <c r="F2545" s="344" t="s">
        <v>621</v>
      </c>
      <c r="G2545" s="358">
        <v>17.885100000000001</v>
      </c>
      <c r="H2545" s="344" t="s">
        <v>1271</v>
      </c>
    </row>
    <row r="2546" spans="1:8">
      <c r="A2546" s="1"/>
      <c r="B2546" s="1"/>
      <c r="C2546" s="1"/>
      <c r="D2546" s="1"/>
      <c r="E2546" s="357">
        <v>44733</v>
      </c>
      <c r="F2546" s="344" t="s">
        <v>625</v>
      </c>
      <c r="G2546" s="358">
        <v>18.279900000000001</v>
      </c>
      <c r="H2546" s="344" t="s">
        <v>1271</v>
      </c>
    </row>
    <row r="2547" spans="1:8">
      <c r="A2547" s="1"/>
      <c r="B2547" s="1"/>
      <c r="C2547" s="1"/>
      <c r="D2547" s="1"/>
      <c r="E2547" s="357">
        <v>44733</v>
      </c>
      <c r="F2547" s="344" t="s">
        <v>628</v>
      </c>
      <c r="G2547" s="358">
        <v>21.242799999999999</v>
      </c>
      <c r="H2547" s="344" t="s">
        <v>1271</v>
      </c>
    </row>
    <row r="2548" spans="1:8">
      <c r="A2548" s="1"/>
      <c r="B2548" s="1"/>
      <c r="C2548" s="1"/>
      <c r="D2548" s="1"/>
      <c r="E2548" s="357">
        <v>44733</v>
      </c>
      <c r="F2548" s="344" t="s">
        <v>631</v>
      </c>
      <c r="G2548" s="358">
        <v>17.316800000000001</v>
      </c>
      <c r="H2548" s="344" t="s">
        <v>1271</v>
      </c>
    </row>
    <row r="2549" spans="1:8">
      <c r="A2549" s="1"/>
      <c r="B2549" s="1"/>
      <c r="C2549" s="1"/>
      <c r="D2549" s="1"/>
      <c r="E2549" s="357">
        <v>44734</v>
      </c>
      <c r="F2549" s="344" t="s">
        <v>621</v>
      </c>
      <c r="G2549" s="358">
        <v>17.888400000000001</v>
      </c>
      <c r="H2549" s="344" t="s">
        <v>1272</v>
      </c>
    </row>
    <row r="2550" spans="1:8">
      <c r="A2550" s="1"/>
      <c r="B2550" s="1"/>
      <c r="C2550" s="1"/>
      <c r="D2550" s="1"/>
      <c r="E2550" s="357">
        <v>44734</v>
      </c>
      <c r="F2550" s="344" t="s">
        <v>625</v>
      </c>
      <c r="G2550" s="358">
        <v>18.214200000000002</v>
      </c>
      <c r="H2550" s="344" t="s">
        <v>1272</v>
      </c>
    </row>
    <row r="2551" spans="1:8">
      <c r="A2551" s="1"/>
      <c r="B2551" s="1"/>
      <c r="C2551" s="1"/>
      <c r="D2551" s="1"/>
      <c r="E2551" s="357">
        <v>44734</v>
      </c>
      <c r="F2551" s="344" t="s">
        <v>628</v>
      </c>
      <c r="G2551" s="358">
        <v>21.159500000000001</v>
      </c>
      <c r="H2551" s="344" t="s">
        <v>1272</v>
      </c>
    </row>
    <row r="2552" spans="1:8">
      <c r="A2552" s="1"/>
      <c r="B2552" s="1"/>
      <c r="C2552" s="1"/>
      <c r="D2552" s="1"/>
      <c r="E2552" s="357">
        <v>44734</v>
      </c>
      <c r="F2552" s="344" t="s">
        <v>631</v>
      </c>
      <c r="G2552" s="358">
        <v>17.330100000000002</v>
      </c>
      <c r="H2552" s="344" t="s">
        <v>1272</v>
      </c>
    </row>
    <row r="2553" spans="1:8">
      <c r="A2553" s="1"/>
      <c r="B2553" s="1"/>
      <c r="C2553" s="1"/>
      <c r="D2553" s="1"/>
      <c r="E2553" s="357">
        <v>44735</v>
      </c>
      <c r="F2553" s="344" t="s">
        <v>621</v>
      </c>
      <c r="G2553" s="358">
        <v>17.930299999999999</v>
      </c>
      <c r="H2553" s="344" t="s">
        <v>1273</v>
      </c>
    </row>
    <row r="2554" spans="1:8">
      <c r="A2554" s="1"/>
      <c r="B2554" s="1"/>
      <c r="C2554" s="1"/>
      <c r="D2554" s="1"/>
      <c r="E2554" s="357">
        <v>44735</v>
      </c>
      <c r="F2554" s="344" t="s">
        <v>625</v>
      </c>
      <c r="G2554" s="358">
        <v>18.2455</v>
      </c>
      <c r="H2554" s="344" t="s">
        <v>1273</v>
      </c>
    </row>
    <row r="2555" spans="1:8">
      <c r="A2555" s="1"/>
      <c r="B2555" s="1"/>
      <c r="C2555" s="1"/>
      <c r="D2555" s="1"/>
      <c r="E2555" s="357">
        <v>44735</v>
      </c>
      <c r="F2555" s="344" t="s">
        <v>628</v>
      </c>
      <c r="G2555" s="358">
        <v>21.1432</v>
      </c>
      <c r="H2555" s="344" t="s">
        <v>1273</v>
      </c>
    </row>
    <row r="2556" spans="1:8">
      <c r="A2556" s="1"/>
      <c r="B2556" s="1"/>
      <c r="C2556" s="1"/>
      <c r="D2556" s="1"/>
      <c r="E2556" s="357">
        <v>44735</v>
      </c>
      <c r="F2556" s="344" t="s">
        <v>631</v>
      </c>
      <c r="G2556" s="358">
        <v>17.347000000000001</v>
      </c>
      <c r="H2556" s="344" t="s">
        <v>1273</v>
      </c>
    </row>
    <row r="2557" spans="1:8">
      <c r="A2557" s="1"/>
      <c r="B2557" s="1"/>
      <c r="C2557" s="1"/>
      <c r="D2557" s="1"/>
      <c r="E2557" s="357">
        <v>44736</v>
      </c>
      <c r="F2557" s="344" t="s">
        <v>621</v>
      </c>
      <c r="G2557" s="358">
        <v>18.0535</v>
      </c>
      <c r="H2557" s="344" t="s">
        <v>1274</v>
      </c>
    </row>
    <row r="2558" spans="1:8">
      <c r="A2558" s="1"/>
      <c r="B2558" s="1"/>
      <c r="C2558" s="1"/>
      <c r="D2558" s="1"/>
      <c r="E2558" s="357">
        <v>44736</v>
      </c>
      <c r="F2558" s="344" t="s">
        <v>625</v>
      </c>
      <c r="G2558" s="358">
        <v>18.275300000000001</v>
      </c>
      <c r="H2558" s="344" t="s">
        <v>1274</v>
      </c>
    </row>
    <row r="2559" spans="1:8">
      <c r="A2559" s="1"/>
      <c r="B2559" s="1"/>
      <c r="C2559" s="1"/>
      <c r="D2559" s="1"/>
      <c r="E2559" s="357">
        <v>44736</v>
      </c>
      <c r="F2559" s="344" t="s">
        <v>628</v>
      </c>
      <c r="G2559" s="358">
        <v>21.269600000000001</v>
      </c>
      <c r="H2559" s="344" t="s">
        <v>1274</v>
      </c>
    </row>
    <row r="2560" spans="1:8">
      <c r="A2560" s="1"/>
      <c r="B2560" s="1"/>
      <c r="C2560" s="1"/>
      <c r="D2560" s="1"/>
      <c r="E2560" s="357">
        <v>44736</v>
      </c>
      <c r="F2560" s="344" t="s">
        <v>631</v>
      </c>
      <c r="G2560" s="358">
        <v>17.347799999999999</v>
      </c>
      <c r="H2560" s="344" t="s">
        <v>1274</v>
      </c>
    </row>
    <row r="2561" spans="1:8">
      <c r="A2561" s="1"/>
      <c r="B2561" s="1"/>
      <c r="C2561" s="1"/>
      <c r="D2561" s="1"/>
      <c r="E2561" s="357">
        <v>44739</v>
      </c>
      <c r="F2561" s="344" t="s">
        <v>621</v>
      </c>
      <c r="G2561" s="358">
        <v>17.3354</v>
      </c>
      <c r="H2561" s="344" t="s">
        <v>1275</v>
      </c>
    </row>
    <row r="2562" spans="1:8">
      <c r="A2562" s="1"/>
      <c r="B2562" s="1"/>
      <c r="C2562" s="1"/>
      <c r="D2562" s="1"/>
      <c r="E2562" s="357">
        <v>44739</v>
      </c>
      <c r="F2562" s="344" t="s">
        <v>625</v>
      </c>
      <c r="G2562" s="358">
        <v>17.605699999999999</v>
      </c>
      <c r="H2562" s="344" t="s">
        <v>1275</v>
      </c>
    </row>
    <row r="2563" spans="1:8">
      <c r="A2563" s="1"/>
      <c r="B2563" s="1"/>
      <c r="C2563" s="1"/>
      <c r="D2563" s="1"/>
      <c r="E2563" s="357">
        <v>44739</v>
      </c>
      <c r="F2563" s="344" t="s">
        <v>628</v>
      </c>
      <c r="G2563" s="358">
        <v>20.424600000000002</v>
      </c>
      <c r="H2563" s="344" t="s">
        <v>1275</v>
      </c>
    </row>
    <row r="2564" spans="1:8">
      <c r="A2564" s="1"/>
      <c r="B2564" s="1"/>
      <c r="C2564" s="1"/>
      <c r="D2564" s="1"/>
      <c r="E2564" s="357">
        <v>44739</v>
      </c>
      <c r="F2564" s="344" t="s">
        <v>631</v>
      </c>
      <c r="G2564" s="358">
        <v>16.646000000000001</v>
      </c>
      <c r="H2564" s="344" t="s">
        <v>1275</v>
      </c>
    </row>
    <row r="2565" spans="1:8">
      <c r="A2565" s="1"/>
      <c r="B2565" s="1"/>
      <c r="C2565" s="1"/>
      <c r="D2565" s="1"/>
      <c r="E2565" s="357">
        <v>44740</v>
      </c>
      <c r="F2565" s="344" t="s">
        <v>621</v>
      </c>
      <c r="G2565" s="358">
        <v>17.356300000000001</v>
      </c>
      <c r="H2565" s="344" t="s">
        <v>1276</v>
      </c>
    </row>
    <row r="2566" spans="1:8">
      <c r="A2566" s="1"/>
      <c r="B2566" s="1"/>
      <c r="C2566" s="1"/>
      <c r="D2566" s="1"/>
      <c r="E2566" s="357">
        <v>44740</v>
      </c>
      <c r="F2566" s="344" t="s">
        <v>625</v>
      </c>
      <c r="G2566" s="358">
        <v>17.585799999999999</v>
      </c>
      <c r="H2566" s="344" t="s">
        <v>1276</v>
      </c>
    </row>
    <row r="2567" spans="1:8">
      <c r="A2567" s="1"/>
      <c r="B2567" s="1"/>
      <c r="C2567" s="1"/>
      <c r="D2567" s="1"/>
      <c r="E2567" s="357">
        <v>44740</v>
      </c>
      <c r="F2567" s="344" t="s">
        <v>628</v>
      </c>
      <c r="G2567" s="358">
        <v>20.344200000000001</v>
      </c>
      <c r="H2567" s="344" t="s">
        <v>1276</v>
      </c>
    </row>
    <row r="2568" spans="1:8">
      <c r="A2568" s="1"/>
      <c r="B2568" s="1"/>
      <c r="C2568" s="1"/>
      <c r="D2568" s="1"/>
      <c r="E2568" s="357">
        <v>44740</v>
      </c>
      <c r="F2568" s="344" t="s">
        <v>631</v>
      </c>
      <c r="G2568" s="358">
        <v>16.6189</v>
      </c>
      <c r="H2568" s="344" t="s">
        <v>1276</v>
      </c>
    </row>
    <row r="2569" spans="1:8">
      <c r="A2569" s="1"/>
      <c r="B2569" s="1"/>
      <c r="C2569" s="1"/>
      <c r="D2569" s="1"/>
      <c r="E2569" s="357">
        <v>44741</v>
      </c>
      <c r="F2569" s="344" t="s">
        <v>621</v>
      </c>
      <c r="G2569" s="358">
        <v>17.4297</v>
      </c>
      <c r="H2569" s="344" t="s">
        <v>1277</v>
      </c>
    </row>
    <row r="2570" spans="1:8">
      <c r="A2570" s="1"/>
      <c r="B2570" s="1"/>
      <c r="C2570" s="1"/>
      <c r="D2570" s="1"/>
      <c r="E2570" s="357">
        <v>44741</v>
      </c>
      <c r="F2570" s="344" t="s">
        <v>625</v>
      </c>
      <c r="G2570" s="358">
        <v>17.522099999999998</v>
      </c>
      <c r="H2570" s="344" t="s">
        <v>1277</v>
      </c>
    </row>
    <row r="2571" spans="1:8">
      <c r="A2571" s="1"/>
      <c r="B2571" s="1"/>
      <c r="C2571" s="1"/>
      <c r="D2571" s="1"/>
      <c r="E2571" s="357">
        <v>44741</v>
      </c>
      <c r="F2571" s="344" t="s">
        <v>628</v>
      </c>
      <c r="G2571" s="358">
        <v>20.252700000000001</v>
      </c>
      <c r="H2571" s="344" t="s">
        <v>1277</v>
      </c>
    </row>
    <row r="2572" spans="1:8">
      <c r="A2572" s="1"/>
      <c r="B2572" s="1"/>
      <c r="C2572" s="1"/>
      <c r="D2572" s="1"/>
      <c r="E2572" s="357">
        <v>44741</v>
      </c>
      <c r="F2572" s="344" t="s">
        <v>631</v>
      </c>
      <c r="G2572" s="358">
        <v>16.669</v>
      </c>
      <c r="H2572" s="344" t="s">
        <v>1277</v>
      </c>
    </row>
    <row r="2573" spans="1:8">
      <c r="A2573" s="1"/>
      <c r="B2573" s="1"/>
      <c r="C2573" s="1"/>
      <c r="D2573" s="1"/>
      <c r="E2573" s="357">
        <v>44742</v>
      </c>
      <c r="F2573" s="344" t="s">
        <v>621</v>
      </c>
      <c r="G2573" s="358">
        <v>17.369800000000001</v>
      </c>
      <c r="H2573" s="344" t="s">
        <v>1278</v>
      </c>
    </row>
    <row r="2574" spans="1:8">
      <c r="A2574" s="1"/>
      <c r="B2574" s="1"/>
      <c r="C2574" s="1"/>
      <c r="D2574" s="1"/>
      <c r="E2574" s="357">
        <v>44742</v>
      </c>
      <c r="F2574" s="344" t="s">
        <v>625</v>
      </c>
      <c r="G2574" s="358">
        <v>17.370100000000001</v>
      </c>
      <c r="H2574" s="344" t="s">
        <v>1278</v>
      </c>
    </row>
    <row r="2575" spans="1:8">
      <c r="A2575" s="1"/>
      <c r="B2575" s="1"/>
      <c r="C2575" s="1"/>
      <c r="D2575" s="1"/>
      <c r="E2575" s="357">
        <v>44742</v>
      </c>
      <c r="F2575" s="344" t="s">
        <v>628</v>
      </c>
      <c r="G2575" s="358">
        <v>20.1752</v>
      </c>
      <c r="H2575" s="344" t="s">
        <v>1278</v>
      </c>
    </row>
    <row r="2576" spans="1:8">
      <c r="A2576" s="1"/>
      <c r="B2576" s="1"/>
      <c r="C2576" s="1"/>
      <c r="D2576" s="1"/>
      <c r="E2576" s="357">
        <v>44742</v>
      </c>
      <c r="F2576" s="344" t="s">
        <v>631</v>
      </c>
      <c r="G2576" s="358">
        <v>16.6614</v>
      </c>
      <c r="H2576" s="344" t="s">
        <v>1278</v>
      </c>
    </row>
    <row r="2577" spans="1:8">
      <c r="A2577" s="1"/>
      <c r="B2577" s="1"/>
      <c r="C2577" s="1"/>
      <c r="D2577" s="1"/>
      <c r="E2577" s="357">
        <v>44743</v>
      </c>
      <c r="F2577" s="344" t="s">
        <v>621</v>
      </c>
      <c r="G2577" s="358">
        <v>17.395</v>
      </c>
      <c r="H2577" s="344" t="s">
        <v>1279</v>
      </c>
    </row>
    <row r="2578" spans="1:8">
      <c r="A2578" s="1"/>
      <c r="B2578" s="1"/>
      <c r="C2578" s="1"/>
      <c r="D2578" s="1"/>
      <c r="E2578" s="357">
        <v>44743</v>
      </c>
      <c r="F2578" s="344" t="s">
        <v>625</v>
      </c>
      <c r="G2578" s="358">
        <v>17.470300000000002</v>
      </c>
      <c r="H2578" s="344" t="s">
        <v>1279</v>
      </c>
    </row>
    <row r="2579" spans="1:8">
      <c r="A2579" s="1"/>
      <c r="B2579" s="1"/>
      <c r="C2579" s="1"/>
      <c r="D2579" s="1"/>
      <c r="E2579" s="357">
        <v>44743</v>
      </c>
      <c r="F2579" s="344" t="s">
        <v>628</v>
      </c>
      <c r="G2579" s="358">
        <v>20.1631</v>
      </c>
      <c r="H2579" s="344" t="s">
        <v>1279</v>
      </c>
    </row>
    <row r="2580" spans="1:8">
      <c r="A2580" s="1"/>
      <c r="B2580" s="1"/>
      <c r="C2580" s="1"/>
      <c r="D2580" s="1"/>
      <c r="E2580" s="357">
        <v>44743</v>
      </c>
      <c r="F2580" s="344" t="s">
        <v>631</v>
      </c>
      <c r="G2580" s="358">
        <v>16.715499999999999</v>
      </c>
      <c r="H2580" s="344" t="s">
        <v>1279</v>
      </c>
    </row>
    <row r="2581" spans="1:8">
      <c r="A2581" s="1"/>
      <c r="B2581" s="1"/>
      <c r="C2581" s="1"/>
      <c r="D2581" s="1"/>
      <c r="E2581" s="357">
        <v>44746</v>
      </c>
      <c r="F2581" s="344" t="s">
        <v>621</v>
      </c>
      <c r="G2581" s="358">
        <v>17.459900000000001</v>
      </c>
      <c r="H2581" s="344" t="s">
        <v>1280</v>
      </c>
    </row>
    <row r="2582" spans="1:8">
      <c r="A2582" s="1"/>
      <c r="B2582" s="1"/>
      <c r="C2582" s="1"/>
      <c r="D2582" s="1"/>
      <c r="E2582" s="357">
        <v>44746</v>
      </c>
      <c r="F2582" s="344" t="s">
        <v>625</v>
      </c>
      <c r="G2582" s="358">
        <v>17.5322</v>
      </c>
      <c r="H2582" s="344" t="s">
        <v>1280</v>
      </c>
    </row>
    <row r="2583" spans="1:8">
      <c r="A2583" s="1"/>
      <c r="B2583" s="1"/>
      <c r="C2583" s="1"/>
      <c r="D2583" s="1"/>
      <c r="E2583" s="357">
        <v>44746</v>
      </c>
      <c r="F2583" s="344" t="s">
        <v>628</v>
      </c>
      <c r="G2583" s="358">
        <v>20.331099999999999</v>
      </c>
      <c r="H2583" s="344" t="s">
        <v>1280</v>
      </c>
    </row>
    <row r="2584" spans="1:8">
      <c r="A2584" s="1"/>
      <c r="B2584" s="1"/>
      <c r="C2584" s="1"/>
      <c r="D2584" s="1"/>
      <c r="E2584" s="357">
        <v>44746</v>
      </c>
      <c r="F2584" s="344" t="s">
        <v>631</v>
      </c>
      <c r="G2584" s="358">
        <v>16.793500000000002</v>
      </c>
      <c r="H2584" s="344" t="s">
        <v>1280</v>
      </c>
    </row>
    <row r="2585" spans="1:8">
      <c r="A2585" s="1"/>
      <c r="B2585" s="1"/>
      <c r="C2585" s="1"/>
      <c r="D2585" s="1"/>
      <c r="E2585" s="357">
        <v>44747</v>
      </c>
      <c r="F2585" s="344" t="s">
        <v>621</v>
      </c>
      <c r="G2585" s="358">
        <v>17.539200000000001</v>
      </c>
      <c r="H2585" s="344" t="s">
        <v>1281</v>
      </c>
    </row>
    <row r="2586" spans="1:8">
      <c r="A2586" s="1"/>
      <c r="B2586" s="1"/>
      <c r="C2586" s="1"/>
      <c r="D2586" s="1"/>
      <c r="E2586" s="357">
        <v>44747</v>
      </c>
      <c r="F2586" s="344" t="s">
        <v>625</v>
      </c>
      <c r="G2586" s="358">
        <v>17.503599999999999</v>
      </c>
      <c r="H2586" s="344" t="s">
        <v>1281</v>
      </c>
    </row>
    <row r="2587" spans="1:8">
      <c r="A2587" s="1"/>
      <c r="B2587" s="1"/>
      <c r="C2587" s="1"/>
      <c r="D2587" s="1"/>
      <c r="E2587" s="357">
        <v>44747</v>
      </c>
      <c r="F2587" s="344" t="s">
        <v>628</v>
      </c>
      <c r="G2587" s="358">
        <v>20.373699999999999</v>
      </c>
      <c r="H2587" s="344" t="s">
        <v>1281</v>
      </c>
    </row>
    <row r="2588" spans="1:8">
      <c r="A2588" s="1"/>
      <c r="B2588" s="1"/>
      <c r="C2588" s="1"/>
      <c r="D2588" s="1"/>
      <c r="E2588" s="357">
        <v>44747</v>
      </c>
      <c r="F2588" s="344" t="s">
        <v>631</v>
      </c>
      <c r="G2588" s="358">
        <v>16.936900000000001</v>
      </c>
      <c r="H2588" s="344" t="s">
        <v>1281</v>
      </c>
    </row>
    <row r="2589" spans="1:8">
      <c r="A2589" s="1"/>
      <c r="B2589" s="1"/>
      <c r="C2589" s="1"/>
      <c r="D2589" s="1"/>
      <c r="E2589" s="357">
        <v>44748</v>
      </c>
      <c r="F2589" s="344" t="s">
        <v>621</v>
      </c>
      <c r="G2589" s="358">
        <v>17.676600000000001</v>
      </c>
      <c r="H2589" s="344" t="s">
        <v>1282</v>
      </c>
    </row>
    <row r="2590" spans="1:8">
      <c r="A2590" s="1"/>
      <c r="B2590" s="1"/>
      <c r="C2590" s="1"/>
      <c r="D2590" s="1"/>
      <c r="E2590" s="357">
        <v>44748</v>
      </c>
      <c r="F2590" s="344" t="s">
        <v>625</v>
      </c>
      <c r="G2590" s="358">
        <v>17.578299999999999</v>
      </c>
      <c r="H2590" s="344" t="s">
        <v>1282</v>
      </c>
    </row>
    <row r="2591" spans="1:8">
      <c r="A2591" s="1"/>
      <c r="B2591" s="1"/>
      <c r="C2591" s="1"/>
      <c r="D2591" s="1"/>
      <c r="E2591" s="357">
        <v>44748</v>
      </c>
      <c r="F2591" s="344" t="s">
        <v>628</v>
      </c>
      <c r="G2591" s="358">
        <v>20.481200000000001</v>
      </c>
      <c r="H2591" s="344" t="s">
        <v>1282</v>
      </c>
    </row>
    <row r="2592" spans="1:8">
      <c r="A2592" s="1"/>
      <c r="B2592" s="1"/>
      <c r="C2592" s="1"/>
      <c r="D2592" s="1"/>
      <c r="E2592" s="357">
        <v>44748</v>
      </c>
      <c r="F2592" s="344" t="s">
        <v>631</v>
      </c>
      <c r="G2592" s="358">
        <v>17.181799999999999</v>
      </c>
      <c r="H2592" s="344" t="s">
        <v>1282</v>
      </c>
    </row>
    <row r="2593" spans="1:8">
      <c r="A2593" s="1"/>
      <c r="B2593" s="1"/>
      <c r="C2593" s="1"/>
      <c r="D2593" s="1"/>
      <c r="E2593" s="357">
        <v>44749</v>
      </c>
      <c r="F2593" s="344" t="s">
        <v>621</v>
      </c>
      <c r="G2593" s="358">
        <v>17.721699999999998</v>
      </c>
      <c r="H2593" s="344" t="s">
        <v>1283</v>
      </c>
    </row>
    <row r="2594" spans="1:8">
      <c r="A2594" s="1"/>
      <c r="B2594" s="1"/>
      <c r="C2594" s="1"/>
      <c r="D2594" s="1"/>
      <c r="E2594" s="357">
        <v>44749</v>
      </c>
      <c r="F2594" s="344" t="s">
        <v>625</v>
      </c>
      <c r="G2594" s="358">
        <v>17.598800000000001</v>
      </c>
      <c r="H2594" s="344" t="s">
        <v>1283</v>
      </c>
    </row>
    <row r="2595" spans="1:8">
      <c r="A2595" s="1"/>
      <c r="B2595" s="1"/>
      <c r="C2595" s="1"/>
      <c r="D2595" s="1"/>
      <c r="E2595" s="357">
        <v>44749</v>
      </c>
      <c r="F2595" s="344" t="s">
        <v>628</v>
      </c>
      <c r="G2595" s="358">
        <v>20.6267</v>
      </c>
      <c r="H2595" s="344" t="s">
        <v>1283</v>
      </c>
    </row>
    <row r="2596" spans="1:8">
      <c r="A2596" s="1"/>
      <c r="B2596" s="1"/>
      <c r="C2596" s="1"/>
      <c r="D2596" s="1"/>
      <c r="E2596" s="357">
        <v>44749</v>
      </c>
      <c r="F2596" s="344" t="s">
        <v>631</v>
      </c>
      <c r="G2596" s="358">
        <v>17.260100000000001</v>
      </c>
      <c r="H2596" s="344" t="s">
        <v>1283</v>
      </c>
    </row>
    <row r="2597" spans="1:8">
      <c r="A2597" s="1"/>
      <c r="B2597" s="1"/>
      <c r="C2597" s="1"/>
      <c r="D2597" s="1"/>
      <c r="E2597" s="357">
        <v>44755</v>
      </c>
      <c r="F2597" s="344" t="s">
        <v>621</v>
      </c>
      <c r="G2597" s="358">
        <v>17.731300000000001</v>
      </c>
      <c r="H2597" s="344" t="s">
        <v>1284</v>
      </c>
    </row>
    <row r="2598" spans="1:8">
      <c r="A2598" s="1"/>
      <c r="B2598" s="1"/>
      <c r="C2598" s="1"/>
      <c r="D2598" s="1"/>
      <c r="E2598" s="357">
        <v>44755</v>
      </c>
      <c r="F2598" s="344" t="s">
        <v>625</v>
      </c>
      <c r="G2598" s="358">
        <v>17.4693</v>
      </c>
      <c r="H2598" s="344" t="s">
        <v>1284</v>
      </c>
    </row>
    <row r="2599" spans="1:8">
      <c r="A2599" s="1"/>
      <c r="B2599" s="1"/>
      <c r="C2599" s="1"/>
      <c r="D2599" s="1"/>
      <c r="E2599" s="357">
        <v>44755</v>
      </c>
      <c r="F2599" s="344" t="s">
        <v>628</v>
      </c>
      <c r="G2599" s="358">
        <v>20.675999999999998</v>
      </c>
      <c r="H2599" s="344" t="s">
        <v>1284</v>
      </c>
    </row>
    <row r="2600" spans="1:8">
      <c r="A2600" s="1"/>
      <c r="B2600" s="1"/>
      <c r="C2600" s="1"/>
      <c r="D2600" s="1"/>
      <c r="E2600" s="357">
        <v>44755</v>
      </c>
      <c r="F2600" s="344" t="s">
        <v>631</v>
      </c>
      <c r="G2600" s="358">
        <v>17.391300000000001</v>
      </c>
      <c r="H2600" s="344" t="s">
        <v>1284</v>
      </c>
    </row>
    <row r="2601" spans="1:8">
      <c r="A2601" s="1"/>
      <c r="B2601" s="1"/>
      <c r="C2601" s="1"/>
      <c r="D2601" s="1"/>
      <c r="E2601" s="357">
        <v>44756</v>
      </c>
      <c r="F2601" s="344" t="s">
        <v>621</v>
      </c>
      <c r="G2601" s="358">
        <v>17.7043</v>
      </c>
      <c r="H2601" s="344" t="s">
        <v>1285</v>
      </c>
    </row>
    <row r="2602" spans="1:8">
      <c r="A2602" s="1"/>
      <c r="B2602" s="1"/>
      <c r="C2602" s="1"/>
      <c r="D2602" s="1"/>
      <c r="E2602" s="357">
        <v>44756</v>
      </c>
      <c r="F2602" s="344" t="s">
        <v>625</v>
      </c>
      <c r="G2602" s="358">
        <v>17.497699999999998</v>
      </c>
      <c r="H2602" s="344" t="s">
        <v>1285</v>
      </c>
    </row>
    <row r="2603" spans="1:8">
      <c r="A2603" s="1"/>
      <c r="B2603" s="1"/>
      <c r="C2603" s="1"/>
      <c r="D2603" s="1"/>
      <c r="E2603" s="357">
        <v>44756</v>
      </c>
      <c r="F2603" s="344" t="s">
        <v>628</v>
      </c>
      <c r="G2603" s="358">
        <v>20.643699999999999</v>
      </c>
      <c r="H2603" s="344" t="s">
        <v>1285</v>
      </c>
    </row>
    <row r="2604" spans="1:8">
      <c r="A2604" s="1"/>
      <c r="B2604" s="1"/>
      <c r="C2604" s="1"/>
      <c r="D2604" s="1"/>
      <c r="E2604" s="357">
        <v>44756</v>
      </c>
      <c r="F2604" s="344" t="s">
        <v>631</v>
      </c>
      <c r="G2604" s="358">
        <v>17.458100000000002</v>
      </c>
      <c r="H2604" s="344" t="s">
        <v>1285</v>
      </c>
    </row>
    <row r="2605" spans="1:8">
      <c r="A2605" s="1"/>
      <c r="B2605" s="1"/>
      <c r="C2605" s="1"/>
      <c r="D2605" s="1"/>
      <c r="E2605" s="357">
        <v>44760</v>
      </c>
      <c r="F2605" s="344" t="s">
        <v>621</v>
      </c>
      <c r="G2605" s="358">
        <v>17.8583</v>
      </c>
      <c r="H2605" s="344" t="s">
        <v>1286</v>
      </c>
    </row>
    <row r="2606" spans="1:8">
      <c r="A2606" s="1"/>
      <c r="B2606" s="1"/>
      <c r="C2606" s="1"/>
      <c r="D2606" s="1"/>
      <c r="E2606" s="357">
        <v>44760</v>
      </c>
      <c r="F2606" s="344" t="s">
        <v>625</v>
      </c>
      <c r="G2606" s="358">
        <v>17.708300000000001</v>
      </c>
      <c r="H2606" s="344" t="s">
        <v>1286</v>
      </c>
    </row>
    <row r="2607" spans="1:8">
      <c r="A2607" s="1"/>
      <c r="B2607" s="1"/>
      <c r="C2607" s="1"/>
      <c r="D2607" s="1"/>
      <c r="E2607" s="357">
        <v>44760</v>
      </c>
      <c r="F2607" s="344" t="s">
        <v>628</v>
      </c>
      <c r="G2607" s="358">
        <v>20.8428</v>
      </c>
      <c r="H2607" s="344" t="s">
        <v>1286</v>
      </c>
    </row>
    <row r="2608" spans="1:8">
      <c r="A2608" s="1"/>
      <c r="B2608" s="1"/>
      <c r="C2608" s="1"/>
      <c r="D2608" s="1"/>
      <c r="E2608" s="357">
        <v>44760</v>
      </c>
      <c r="F2608" s="344" t="s">
        <v>631</v>
      </c>
      <c r="G2608" s="358">
        <v>17.4635</v>
      </c>
      <c r="H2608" s="344" t="s">
        <v>1286</v>
      </c>
    </row>
    <row r="2609" spans="1:8">
      <c r="A2609" s="1"/>
      <c r="B2609" s="1"/>
      <c r="C2609" s="1"/>
      <c r="D2609" s="1"/>
      <c r="E2609" s="357">
        <v>44761</v>
      </c>
      <c r="F2609" s="344" t="s">
        <v>621</v>
      </c>
      <c r="G2609" s="358">
        <v>18.043399999999998</v>
      </c>
      <c r="H2609" s="344" t="s">
        <v>1287</v>
      </c>
    </row>
    <row r="2610" spans="1:8">
      <c r="A2610" s="1"/>
      <c r="B2610" s="1"/>
      <c r="C2610" s="1"/>
      <c r="D2610" s="1"/>
      <c r="E2610" s="357">
        <v>44761</v>
      </c>
      <c r="F2610" s="344" t="s">
        <v>625</v>
      </c>
      <c r="G2610" s="358">
        <v>17.9559</v>
      </c>
      <c r="H2610" s="344" t="s">
        <v>1287</v>
      </c>
    </row>
    <row r="2611" spans="1:8">
      <c r="A2611" s="1"/>
      <c r="B2611" s="1"/>
      <c r="C2611" s="1"/>
      <c r="D2611" s="1"/>
      <c r="E2611" s="357">
        <v>44761</v>
      </c>
      <c r="F2611" s="344" t="s">
        <v>628</v>
      </c>
      <c r="G2611" s="358">
        <v>21.034199999999998</v>
      </c>
      <c r="H2611" s="344" t="s">
        <v>1287</v>
      </c>
    </row>
    <row r="2612" spans="1:8">
      <c r="A2612" s="1"/>
      <c r="B2612" s="1"/>
      <c r="C2612" s="1"/>
      <c r="D2612" s="1"/>
      <c r="E2612" s="357">
        <v>44761</v>
      </c>
      <c r="F2612" s="344" t="s">
        <v>631</v>
      </c>
      <c r="G2612" s="358">
        <v>17.5425</v>
      </c>
      <c r="H2612" s="344" t="s">
        <v>1287</v>
      </c>
    </row>
    <row r="2613" spans="1:8">
      <c r="A2613" s="1"/>
      <c r="B2613" s="1"/>
      <c r="C2613" s="1"/>
      <c r="D2613" s="1"/>
      <c r="E2613" s="357">
        <v>44762</v>
      </c>
      <c r="F2613" s="344" t="s">
        <v>621</v>
      </c>
      <c r="G2613" s="358">
        <v>18.072099999999999</v>
      </c>
      <c r="H2613" s="344" t="s">
        <v>1288</v>
      </c>
    </row>
    <row r="2614" spans="1:8">
      <c r="A2614" s="1"/>
      <c r="B2614" s="1"/>
      <c r="C2614" s="1"/>
      <c r="D2614" s="1"/>
      <c r="E2614" s="357">
        <v>44762</v>
      </c>
      <c r="F2614" s="344" t="s">
        <v>625</v>
      </c>
      <c r="G2614" s="358">
        <v>17.954899999999999</v>
      </c>
      <c r="H2614" s="344" t="s">
        <v>1288</v>
      </c>
    </row>
    <row r="2615" spans="1:8">
      <c r="A2615" s="1"/>
      <c r="B2615" s="1"/>
      <c r="C2615" s="1"/>
      <c r="D2615" s="1"/>
      <c r="E2615" s="357">
        <v>44762</v>
      </c>
      <c r="F2615" s="344" t="s">
        <v>628</v>
      </c>
      <c r="G2615" s="358">
        <v>21.030899999999999</v>
      </c>
      <c r="H2615" s="344" t="s">
        <v>1288</v>
      </c>
    </row>
    <row r="2616" spans="1:8">
      <c r="A2616" s="1"/>
      <c r="B2616" s="1"/>
      <c r="C2616" s="1"/>
      <c r="D2616" s="1"/>
      <c r="E2616" s="357">
        <v>44762</v>
      </c>
      <c r="F2616" s="344" t="s">
        <v>631</v>
      </c>
      <c r="G2616" s="358">
        <v>17.560500000000001</v>
      </c>
      <c r="H2616" s="344" t="s">
        <v>1288</v>
      </c>
    </row>
    <row r="2617" spans="1:8">
      <c r="A2617" s="1"/>
      <c r="B2617" s="1"/>
      <c r="C2617" s="1"/>
      <c r="D2617" s="1"/>
      <c r="E2617" s="357">
        <v>44763</v>
      </c>
      <c r="F2617" s="344" t="s">
        <v>621</v>
      </c>
      <c r="G2617" s="358">
        <v>18.082899999999999</v>
      </c>
      <c r="H2617" s="344" t="s">
        <v>1289</v>
      </c>
    </row>
    <row r="2618" spans="1:8">
      <c r="A2618" s="1"/>
      <c r="B2618" s="1"/>
      <c r="C2618" s="1"/>
      <c r="D2618" s="1"/>
      <c r="E2618" s="357">
        <v>44763</v>
      </c>
      <c r="F2618" s="344" t="s">
        <v>625</v>
      </c>
      <c r="G2618" s="358">
        <v>17.966000000000001</v>
      </c>
      <c r="H2618" s="344" t="s">
        <v>1289</v>
      </c>
    </row>
    <row r="2619" spans="1:8">
      <c r="A2619" s="1"/>
      <c r="B2619" s="1"/>
      <c r="C2619" s="1"/>
      <c r="D2619" s="1"/>
      <c r="E2619" s="357">
        <v>44763</v>
      </c>
      <c r="F2619" s="344" t="s">
        <v>628</v>
      </c>
      <c r="G2619" s="358">
        <v>21.028500000000001</v>
      </c>
      <c r="H2619" s="344" t="s">
        <v>1289</v>
      </c>
    </row>
    <row r="2620" spans="1:8">
      <c r="A2620" s="1"/>
      <c r="B2620" s="1"/>
      <c r="C2620" s="1"/>
      <c r="D2620" s="1"/>
      <c r="E2620" s="357">
        <v>44763</v>
      </c>
      <c r="F2620" s="344" t="s">
        <v>631</v>
      </c>
      <c r="G2620" s="358">
        <v>17.6282</v>
      </c>
      <c r="H2620" s="344" t="s">
        <v>1289</v>
      </c>
    </row>
    <row r="2621" spans="1:8">
      <c r="A2621" s="1"/>
      <c r="B2621" s="1"/>
      <c r="C2621" s="1"/>
      <c r="D2621" s="1"/>
      <c r="E2621" s="357">
        <v>44764</v>
      </c>
      <c r="F2621" s="344" t="s">
        <v>621</v>
      </c>
      <c r="G2621" s="358">
        <v>18.277000000000001</v>
      </c>
      <c r="H2621" s="344" t="s">
        <v>1290</v>
      </c>
    </row>
    <row r="2622" spans="1:8">
      <c r="A2622" s="1"/>
      <c r="B2622" s="1"/>
      <c r="C2622" s="1"/>
      <c r="D2622" s="1"/>
      <c r="E2622" s="357">
        <v>44764</v>
      </c>
      <c r="F2622" s="344" t="s">
        <v>625</v>
      </c>
      <c r="G2622" s="358">
        <v>18.008700000000001</v>
      </c>
      <c r="H2622" s="344" t="s">
        <v>1290</v>
      </c>
    </row>
    <row r="2623" spans="1:8">
      <c r="A2623" s="1"/>
      <c r="B2623" s="1"/>
      <c r="C2623" s="1"/>
      <c r="D2623" s="1"/>
      <c r="E2623" s="357">
        <v>44764</v>
      </c>
      <c r="F2623" s="344" t="s">
        <v>628</v>
      </c>
      <c r="G2623" s="358">
        <v>21.138200000000001</v>
      </c>
      <c r="H2623" s="344" t="s">
        <v>1290</v>
      </c>
    </row>
    <row r="2624" spans="1:8">
      <c r="A2624" s="1"/>
      <c r="B2624" s="1"/>
      <c r="C2624" s="1"/>
      <c r="D2624" s="1"/>
      <c r="E2624" s="357">
        <v>44764</v>
      </c>
      <c r="F2624" s="344" t="s">
        <v>631</v>
      </c>
      <c r="G2624" s="358">
        <v>17.710999999999999</v>
      </c>
      <c r="H2624" s="344" t="s">
        <v>1290</v>
      </c>
    </row>
    <row r="2625" spans="1:8">
      <c r="A2625" s="1"/>
      <c r="B2625" s="1"/>
      <c r="C2625" s="1"/>
      <c r="D2625" s="1"/>
      <c r="E2625" s="357">
        <v>44767</v>
      </c>
      <c r="F2625" s="344" t="s">
        <v>621</v>
      </c>
      <c r="G2625" s="358">
        <v>18.426400000000001</v>
      </c>
      <c r="H2625" s="344" t="s">
        <v>1291</v>
      </c>
    </row>
    <row r="2626" spans="1:8">
      <c r="A2626" s="1"/>
      <c r="B2626" s="1"/>
      <c r="C2626" s="1"/>
      <c r="D2626" s="1"/>
      <c r="E2626" s="357">
        <v>44767</v>
      </c>
      <c r="F2626" s="344" t="s">
        <v>625</v>
      </c>
      <c r="G2626" s="358">
        <v>18.192699999999999</v>
      </c>
      <c r="H2626" s="344" t="s">
        <v>1291</v>
      </c>
    </row>
    <row r="2627" spans="1:8">
      <c r="A2627" s="1"/>
      <c r="B2627" s="1"/>
      <c r="C2627" s="1"/>
      <c r="D2627" s="1"/>
      <c r="E2627" s="357">
        <v>44767</v>
      </c>
      <c r="F2627" s="344" t="s">
        <v>628</v>
      </c>
      <c r="G2627" s="358">
        <v>21.376200000000001</v>
      </c>
      <c r="H2627" s="344" t="s">
        <v>1291</v>
      </c>
    </row>
    <row r="2628" spans="1:8">
      <c r="A2628" s="1"/>
      <c r="B2628" s="1"/>
      <c r="C2628" s="1"/>
      <c r="D2628" s="1"/>
      <c r="E2628" s="357">
        <v>44767</v>
      </c>
      <c r="F2628" s="344" t="s">
        <v>631</v>
      </c>
      <c r="G2628" s="358">
        <v>17.801100000000002</v>
      </c>
      <c r="H2628" s="344" t="s">
        <v>1291</v>
      </c>
    </row>
    <row r="2629" spans="1:8">
      <c r="A2629" s="1"/>
      <c r="B2629" s="1"/>
      <c r="C2629" s="1"/>
      <c r="D2629" s="1"/>
      <c r="E2629" s="357">
        <v>44768</v>
      </c>
      <c r="F2629" s="344" t="s">
        <v>621</v>
      </c>
      <c r="G2629" s="358">
        <v>18.439599999999999</v>
      </c>
      <c r="H2629" s="344" t="s">
        <v>1292</v>
      </c>
    </row>
    <row r="2630" spans="1:8">
      <c r="A2630" s="1"/>
      <c r="B2630" s="1"/>
      <c r="C2630" s="1"/>
      <c r="D2630" s="1"/>
      <c r="E2630" s="357">
        <v>44768</v>
      </c>
      <c r="F2630" s="344" t="s">
        <v>625</v>
      </c>
      <c r="G2630" s="358">
        <v>18.16</v>
      </c>
      <c r="H2630" s="344" t="s">
        <v>1292</v>
      </c>
    </row>
    <row r="2631" spans="1:8">
      <c r="A2631" s="1"/>
      <c r="B2631" s="1"/>
      <c r="C2631" s="1"/>
      <c r="D2631" s="1"/>
      <c r="E2631" s="357">
        <v>44768</v>
      </c>
      <c r="F2631" s="344" t="s">
        <v>628</v>
      </c>
      <c r="G2631" s="358">
        <v>21.3977</v>
      </c>
      <c r="H2631" s="344" t="s">
        <v>1292</v>
      </c>
    </row>
    <row r="2632" spans="1:8">
      <c r="A2632" s="1"/>
      <c r="B2632" s="1"/>
      <c r="C2632" s="1"/>
      <c r="D2632" s="1"/>
      <c r="E2632" s="357">
        <v>44768</v>
      </c>
      <c r="F2632" s="344" t="s">
        <v>631</v>
      </c>
      <c r="G2632" s="358">
        <v>17.833500000000001</v>
      </c>
      <c r="H2632" s="344" t="s">
        <v>1292</v>
      </c>
    </row>
    <row r="2633" spans="1:8">
      <c r="A2633" s="1"/>
      <c r="B2633" s="1"/>
      <c r="C2633" s="1"/>
      <c r="D2633" s="1"/>
      <c r="E2633" s="357">
        <v>44769</v>
      </c>
      <c r="F2633" s="344" t="s">
        <v>621</v>
      </c>
      <c r="G2633" s="358">
        <v>18.532599999999999</v>
      </c>
      <c r="H2633" s="344" t="s">
        <v>1293</v>
      </c>
    </row>
    <row r="2634" spans="1:8">
      <c r="A2634" s="1"/>
      <c r="B2634" s="1"/>
      <c r="C2634" s="1"/>
      <c r="D2634" s="1"/>
      <c r="E2634" s="357">
        <v>44769</v>
      </c>
      <c r="F2634" s="344" t="s">
        <v>625</v>
      </c>
      <c r="G2634" s="358">
        <v>18.128599999999999</v>
      </c>
      <c r="H2634" s="344" t="s">
        <v>1293</v>
      </c>
    </row>
    <row r="2635" spans="1:8">
      <c r="A2635" s="1"/>
      <c r="B2635" s="1"/>
      <c r="C2635" s="1"/>
      <c r="D2635" s="1"/>
      <c r="E2635" s="357">
        <v>44769</v>
      </c>
      <c r="F2635" s="344" t="s">
        <v>628</v>
      </c>
      <c r="G2635" s="358">
        <v>21.511099999999999</v>
      </c>
      <c r="H2635" s="344" t="s">
        <v>1293</v>
      </c>
    </row>
    <row r="2636" spans="1:8">
      <c r="A2636" s="1"/>
      <c r="B2636" s="1"/>
      <c r="C2636" s="1"/>
      <c r="D2636" s="1"/>
      <c r="E2636" s="357">
        <v>44769</v>
      </c>
      <c r="F2636" s="344" t="s">
        <v>631</v>
      </c>
      <c r="G2636" s="358">
        <v>17.870100000000001</v>
      </c>
      <c r="H2636" s="344" t="s">
        <v>1293</v>
      </c>
    </row>
    <row r="2637" spans="1:8">
      <c r="A2637" s="1"/>
      <c r="B2637" s="1"/>
      <c r="C2637" s="1"/>
      <c r="D2637" s="1"/>
      <c r="E2637" s="357">
        <v>44770</v>
      </c>
      <c r="F2637" s="344" t="s">
        <v>621</v>
      </c>
      <c r="G2637" s="358">
        <v>18.611799999999999</v>
      </c>
      <c r="H2637" s="344" t="s">
        <v>1294</v>
      </c>
    </row>
    <row r="2638" spans="1:8">
      <c r="A2638" s="1"/>
      <c r="B2638" s="1"/>
      <c r="C2638" s="1"/>
      <c r="D2638" s="1"/>
      <c r="E2638" s="357">
        <v>44770</v>
      </c>
      <c r="F2638" s="344" t="s">
        <v>625</v>
      </c>
      <c r="G2638" s="358">
        <v>18.217600000000001</v>
      </c>
      <c r="H2638" s="344" t="s">
        <v>1294</v>
      </c>
    </row>
    <row r="2639" spans="1:8">
      <c r="A2639" s="1"/>
      <c r="B2639" s="1"/>
      <c r="C2639" s="1"/>
      <c r="D2639" s="1"/>
      <c r="E2639" s="357">
        <v>44770</v>
      </c>
      <c r="F2639" s="344" t="s">
        <v>628</v>
      </c>
      <c r="G2639" s="358">
        <v>21.719799999999999</v>
      </c>
      <c r="H2639" s="344" t="s">
        <v>1294</v>
      </c>
    </row>
    <row r="2640" spans="1:8">
      <c r="A2640" s="1"/>
      <c r="B2640" s="1"/>
      <c r="C2640" s="1"/>
      <c r="D2640" s="1"/>
      <c r="E2640" s="357">
        <v>44770</v>
      </c>
      <c r="F2640" s="344" t="s">
        <v>631</v>
      </c>
      <c r="G2640" s="358">
        <v>17.904399999999999</v>
      </c>
      <c r="H2640" s="344" t="s">
        <v>1294</v>
      </c>
    </row>
    <row r="2641" spans="1:8">
      <c r="A2641" s="1"/>
      <c r="B2641" s="1"/>
      <c r="C2641" s="1"/>
      <c r="D2641" s="1"/>
      <c r="E2641" s="357">
        <v>44771</v>
      </c>
      <c r="F2641" s="344" t="s">
        <v>621</v>
      </c>
      <c r="G2641" s="358">
        <v>18.744599999999998</v>
      </c>
      <c r="H2641" s="344" t="s">
        <v>1295</v>
      </c>
    </row>
    <row r="2642" spans="1:8">
      <c r="A2642" s="1"/>
      <c r="B2642" s="1"/>
      <c r="C2642" s="1"/>
      <c r="D2642" s="1"/>
      <c r="E2642" s="357">
        <v>44771</v>
      </c>
      <c r="F2642" s="344" t="s">
        <v>625</v>
      </c>
      <c r="G2642" s="358">
        <v>18.297699999999999</v>
      </c>
      <c r="H2642" s="344" t="s">
        <v>1295</v>
      </c>
    </row>
    <row r="2643" spans="1:8">
      <c r="A2643" s="1"/>
      <c r="B2643" s="1"/>
      <c r="C2643" s="1"/>
      <c r="D2643" s="1"/>
      <c r="E2643" s="357">
        <v>44771</v>
      </c>
      <c r="F2643" s="344" t="s">
        <v>628</v>
      </c>
      <c r="G2643" s="358">
        <v>21.766999999999999</v>
      </c>
      <c r="H2643" s="344" t="s">
        <v>1295</v>
      </c>
    </row>
    <row r="2644" spans="1:8">
      <c r="A2644" s="1"/>
      <c r="B2644" s="1"/>
      <c r="C2644" s="1"/>
      <c r="D2644" s="1"/>
      <c r="E2644" s="357">
        <v>44771</v>
      </c>
      <c r="F2644" s="344" t="s">
        <v>631</v>
      </c>
      <c r="G2644" s="358">
        <v>17.893899999999999</v>
      </c>
      <c r="H2644" s="344" t="s">
        <v>1295</v>
      </c>
    </row>
    <row r="2645" spans="1:8">
      <c r="A2645" s="1"/>
      <c r="B2645" s="1"/>
      <c r="C2645" s="1"/>
      <c r="D2645" s="1"/>
      <c r="E2645" s="357">
        <v>44774</v>
      </c>
      <c r="F2645" s="344" t="s">
        <v>621</v>
      </c>
      <c r="G2645" s="358">
        <v>18.828099999999999</v>
      </c>
      <c r="H2645" s="344" t="s">
        <v>1296</v>
      </c>
    </row>
    <row r="2646" spans="1:8">
      <c r="A2646" s="1"/>
      <c r="B2646" s="1"/>
      <c r="C2646" s="1"/>
      <c r="D2646" s="1"/>
      <c r="E2646" s="357">
        <v>44774</v>
      </c>
      <c r="F2646" s="344" t="s">
        <v>625</v>
      </c>
      <c r="G2646" s="358">
        <v>18.3644</v>
      </c>
      <c r="H2646" s="344" t="s">
        <v>1296</v>
      </c>
    </row>
    <row r="2647" spans="1:8">
      <c r="A2647" s="1"/>
      <c r="B2647" s="1"/>
      <c r="C2647" s="1"/>
      <c r="D2647" s="1"/>
      <c r="E2647" s="357">
        <v>44774</v>
      </c>
      <c r="F2647" s="344" t="s">
        <v>628</v>
      </c>
      <c r="G2647" s="358">
        <v>21.873100000000001</v>
      </c>
      <c r="H2647" s="344" t="s">
        <v>1296</v>
      </c>
    </row>
    <row r="2648" spans="1:8">
      <c r="A2648" s="1"/>
      <c r="B2648" s="1"/>
      <c r="C2648" s="1"/>
      <c r="D2648" s="1"/>
      <c r="E2648" s="357">
        <v>44774</v>
      </c>
      <c r="F2648" s="344" t="s">
        <v>631</v>
      </c>
      <c r="G2648" s="358">
        <v>17.9254</v>
      </c>
      <c r="H2648" s="344" t="s">
        <v>1296</v>
      </c>
    </row>
    <row r="2649" spans="1:8">
      <c r="A2649" s="1"/>
      <c r="B2649" s="1"/>
      <c r="C2649" s="1"/>
      <c r="D2649" s="1"/>
      <c r="E2649" s="357">
        <v>44775</v>
      </c>
      <c r="F2649" s="344" t="s">
        <v>621</v>
      </c>
      <c r="G2649" s="358">
        <v>18.7925</v>
      </c>
      <c r="H2649" s="344" t="s">
        <v>1297</v>
      </c>
    </row>
    <row r="2650" spans="1:8">
      <c r="A2650" s="1"/>
      <c r="B2650" s="1"/>
      <c r="C2650" s="1"/>
      <c r="D2650" s="1"/>
      <c r="E2650" s="357">
        <v>44775</v>
      </c>
      <c r="F2650" s="344" t="s">
        <v>625</v>
      </c>
      <c r="G2650" s="358">
        <v>18.350200000000001</v>
      </c>
      <c r="H2650" s="344" t="s">
        <v>1297</v>
      </c>
    </row>
    <row r="2651" spans="1:8">
      <c r="A2651" s="1"/>
      <c r="B2651" s="1"/>
      <c r="C2651" s="1"/>
      <c r="D2651" s="1"/>
      <c r="E2651" s="357">
        <v>44775</v>
      </c>
      <c r="F2651" s="344" t="s">
        <v>628</v>
      </c>
      <c r="G2651" s="358">
        <v>21.857399999999998</v>
      </c>
      <c r="H2651" s="344" t="s">
        <v>1297</v>
      </c>
    </row>
    <row r="2652" spans="1:8">
      <c r="A2652" s="1"/>
      <c r="B2652" s="1"/>
      <c r="C2652" s="1"/>
      <c r="D2652" s="1"/>
      <c r="E2652" s="357">
        <v>44775</v>
      </c>
      <c r="F2652" s="344" t="s">
        <v>631</v>
      </c>
      <c r="G2652" s="358">
        <v>17.932700000000001</v>
      </c>
      <c r="H2652" s="344" t="s">
        <v>1297</v>
      </c>
    </row>
    <row r="2653" spans="1:8">
      <c r="A2653" s="1"/>
      <c r="B2653" s="1"/>
      <c r="C2653" s="1"/>
      <c r="D2653" s="1"/>
      <c r="E2653" s="357">
        <v>44776</v>
      </c>
      <c r="F2653" s="344" t="s">
        <v>621</v>
      </c>
      <c r="G2653" s="358">
        <v>18.663399999999999</v>
      </c>
      <c r="H2653" s="344" t="s">
        <v>1298</v>
      </c>
    </row>
    <row r="2654" spans="1:8">
      <c r="A2654" s="1"/>
      <c r="B2654" s="1"/>
      <c r="C2654" s="1"/>
      <c r="D2654" s="1"/>
      <c r="E2654" s="357">
        <v>44776</v>
      </c>
      <c r="F2654" s="344" t="s">
        <v>625</v>
      </c>
      <c r="G2654" s="358">
        <v>18.2593</v>
      </c>
      <c r="H2654" s="344" t="s">
        <v>1298</v>
      </c>
    </row>
    <row r="2655" spans="1:8">
      <c r="A2655" s="1"/>
      <c r="B2655" s="1"/>
      <c r="C2655" s="1"/>
      <c r="D2655" s="1"/>
      <c r="E2655" s="357">
        <v>44776</v>
      </c>
      <c r="F2655" s="344" t="s">
        <v>628</v>
      </c>
      <c r="G2655" s="358">
        <v>21.808599999999998</v>
      </c>
      <c r="H2655" s="344" t="s">
        <v>1298</v>
      </c>
    </row>
    <row r="2656" spans="1:8">
      <c r="A2656" s="1"/>
      <c r="B2656" s="1"/>
      <c r="C2656" s="1"/>
      <c r="D2656" s="1"/>
      <c r="E2656" s="357">
        <v>44776</v>
      </c>
      <c r="F2656" s="344" t="s">
        <v>631</v>
      </c>
      <c r="G2656" s="358">
        <v>17.9358</v>
      </c>
      <c r="H2656" s="344" t="s">
        <v>1298</v>
      </c>
    </row>
    <row r="2657" spans="1:8">
      <c r="A2657" s="1"/>
      <c r="B2657" s="1"/>
      <c r="C2657" s="1"/>
      <c r="D2657" s="1"/>
      <c r="E2657" s="357">
        <v>44777</v>
      </c>
      <c r="F2657" s="344" t="s">
        <v>621</v>
      </c>
      <c r="G2657" s="358">
        <v>18.629200000000001</v>
      </c>
      <c r="H2657" s="344" t="s">
        <v>1299</v>
      </c>
    </row>
    <row r="2658" spans="1:8">
      <c r="A2658" s="1"/>
      <c r="B2658" s="1"/>
      <c r="C2658" s="1"/>
      <c r="D2658" s="1"/>
      <c r="E2658" s="357">
        <v>44777</v>
      </c>
      <c r="F2658" s="344" t="s">
        <v>625</v>
      </c>
      <c r="G2658" s="358">
        <v>18.261700000000001</v>
      </c>
      <c r="H2658" s="344" t="s">
        <v>1299</v>
      </c>
    </row>
    <row r="2659" spans="1:8">
      <c r="A2659" s="1"/>
      <c r="B2659" s="1"/>
      <c r="C2659" s="1"/>
      <c r="D2659" s="1"/>
      <c r="E2659" s="357">
        <v>44777</v>
      </c>
      <c r="F2659" s="344" t="s">
        <v>628</v>
      </c>
      <c r="G2659" s="358">
        <v>21.761500000000002</v>
      </c>
      <c r="H2659" s="344" t="s">
        <v>1299</v>
      </c>
    </row>
    <row r="2660" spans="1:8">
      <c r="A2660" s="1"/>
      <c r="B2660" s="1"/>
      <c r="C2660" s="1"/>
      <c r="D2660" s="1"/>
      <c r="E2660" s="357">
        <v>44777</v>
      </c>
      <c r="F2660" s="344" t="s">
        <v>631</v>
      </c>
      <c r="G2660" s="358">
        <v>17.934999999999999</v>
      </c>
      <c r="H2660" s="344" t="s">
        <v>1299</v>
      </c>
    </row>
    <row r="2661" spans="1:8">
      <c r="A2661" s="1"/>
      <c r="B2661" s="1"/>
      <c r="C2661" s="1"/>
      <c r="D2661" s="1"/>
      <c r="E2661" s="357">
        <v>44778</v>
      </c>
      <c r="F2661" s="344" t="s">
        <v>621</v>
      </c>
      <c r="G2661" s="358">
        <v>18.724799999999998</v>
      </c>
      <c r="H2661" s="344" t="s">
        <v>1300</v>
      </c>
    </row>
    <row r="2662" spans="1:8">
      <c r="A2662" s="1"/>
      <c r="B2662" s="1"/>
      <c r="C2662" s="1"/>
      <c r="D2662" s="1"/>
      <c r="E2662" s="357">
        <v>44778</v>
      </c>
      <c r="F2662" s="344" t="s">
        <v>625</v>
      </c>
      <c r="G2662" s="358">
        <v>18.351500000000001</v>
      </c>
      <c r="H2662" s="344" t="s">
        <v>1300</v>
      </c>
    </row>
    <row r="2663" spans="1:8">
      <c r="A2663" s="1"/>
      <c r="B2663" s="1"/>
      <c r="C2663" s="1"/>
      <c r="D2663" s="1"/>
      <c r="E2663" s="357">
        <v>44778</v>
      </c>
      <c r="F2663" s="344" t="s">
        <v>628</v>
      </c>
      <c r="G2663" s="358">
        <v>21.748899999999999</v>
      </c>
      <c r="H2663" s="344" t="s">
        <v>1300</v>
      </c>
    </row>
    <row r="2664" spans="1:8">
      <c r="A2664" s="1"/>
      <c r="B2664" s="1"/>
      <c r="C2664" s="1"/>
      <c r="D2664" s="1"/>
      <c r="E2664" s="357">
        <v>44778</v>
      </c>
      <c r="F2664" s="344" t="s">
        <v>631</v>
      </c>
      <c r="G2664" s="358">
        <v>17.936199999999999</v>
      </c>
      <c r="H2664" s="344" t="s">
        <v>1300</v>
      </c>
    </row>
    <row r="2665" spans="1:8">
      <c r="A2665" s="1"/>
      <c r="B2665" s="1"/>
      <c r="C2665" s="1"/>
      <c r="D2665" s="1"/>
      <c r="E2665" s="357">
        <v>44781</v>
      </c>
      <c r="F2665" s="344" t="s">
        <v>621</v>
      </c>
      <c r="G2665" s="358">
        <v>18.678599999999999</v>
      </c>
      <c r="H2665" s="344" t="s">
        <v>1301</v>
      </c>
    </row>
    <row r="2666" spans="1:8">
      <c r="A2666" s="1"/>
      <c r="B2666" s="1"/>
      <c r="C2666" s="1"/>
      <c r="D2666" s="1"/>
      <c r="E2666" s="357">
        <v>44781</v>
      </c>
      <c r="F2666" s="344" t="s">
        <v>625</v>
      </c>
      <c r="G2666" s="358">
        <v>18.285</v>
      </c>
      <c r="H2666" s="344" t="s">
        <v>1301</v>
      </c>
    </row>
    <row r="2667" spans="1:8">
      <c r="A2667" s="1"/>
      <c r="B2667" s="1"/>
      <c r="C2667" s="1"/>
      <c r="D2667" s="1"/>
      <c r="E2667" s="357">
        <v>44781</v>
      </c>
      <c r="F2667" s="344" t="s">
        <v>628</v>
      </c>
      <c r="G2667" s="358">
        <v>21.667400000000001</v>
      </c>
      <c r="H2667" s="344" t="s">
        <v>1301</v>
      </c>
    </row>
    <row r="2668" spans="1:8">
      <c r="A2668" s="1"/>
      <c r="B2668" s="1"/>
      <c r="C2668" s="1"/>
      <c r="D2668" s="1"/>
      <c r="E2668" s="357">
        <v>44781</v>
      </c>
      <c r="F2668" s="344" t="s">
        <v>631</v>
      </c>
      <c r="G2668" s="358">
        <v>17.939299999999999</v>
      </c>
      <c r="H2668" s="344" t="s">
        <v>1301</v>
      </c>
    </row>
    <row r="2669" spans="1:8">
      <c r="A2669" s="1"/>
      <c r="B2669" s="1"/>
      <c r="C2669" s="1"/>
      <c r="D2669" s="1"/>
      <c r="E2669" s="357">
        <v>44782</v>
      </c>
      <c r="F2669" s="344" t="s">
        <v>621</v>
      </c>
      <c r="G2669" s="358">
        <v>18.7669</v>
      </c>
      <c r="H2669" s="344" t="s">
        <v>1302</v>
      </c>
    </row>
    <row r="2670" spans="1:8">
      <c r="A2670" s="1"/>
      <c r="B2670" s="1"/>
      <c r="C2670" s="1"/>
      <c r="D2670" s="1"/>
      <c r="E2670" s="357">
        <v>44782</v>
      </c>
      <c r="F2670" s="344" t="s">
        <v>625</v>
      </c>
      <c r="G2670" s="358">
        <v>18.332899999999999</v>
      </c>
      <c r="H2670" s="344" t="s">
        <v>1302</v>
      </c>
    </row>
    <row r="2671" spans="1:8">
      <c r="A2671" s="1"/>
      <c r="B2671" s="1"/>
      <c r="C2671" s="1"/>
      <c r="D2671" s="1"/>
      <c r="E2671" s="357">
        <v>44782</v>
      </c>
      <c r="F2671" s="344" t="s">
        <v>628</v>
      </c>
      <c r="G2671" s="358">
        <v>21.6676</v>
      </c>
      <c r="H2671" s="344" t="s">
        <v>1302</v>
      </c>
    </row>
    <row r="2672" spans="1:8">
      <c r="A2672" s="1"/>
      <c r="B2672" s="1"/>
      <c r="C2672" s="1"/>
      <c r="D2672" s="1"/>
      <c r="E2672" s="357">
        <v>44782</v>
      </c>
      <c r="F2672" s="344" t="s">
        <v>631</v>
      </c>
      <c r="G2672" s="358">
        <v>17.931899999999999</v>
      </c>
      <c r="H2672" s="344" t="s">
        <v>1302</v>
      </c>
    </row>
    <row r="2673" spans="1:8">
      <c r="A2673" s="1"/>
      <c r="B2673" s="1"/>
      <c r="C2673" s="1"/>
      <c r="D2673" s="1"/>
      <c r="E2673" s="357">
        <v>44783</v>
      </c>
      <c r="F2673" s="344" t="s">
        <v>621</v>
      </c>
      <c r="G2673" s="358">
        <v>18.822199999999999</v>
      </c>
      <c r="H2673" s="344" t="s">
        <v>1303</v>
      </c>
    </row>
    <row r="2674" spans="1:8">
      <c r="A2674" s="1"/>
      <c r="B2674" s="1"/>
      <c r="C2674" s="1"/>
      <c r="D2674" s="1"/>
      <c r="E2674" s="357">
        <v>44783</v>
      </c>
      <c r="F2674" s="344" t="s">
        <v>625</v>
      </c>
      <c r="G2674" s="358">
        <v>18.341100000000001</v>
      </c>
      <c r="H2674" s="344" t="s">
        <v>1303</v>
      </c>
    </row>
    <row r="2675" spans="1:8">
      <c r="A2675" s="1"/>
      <c r="B2675" s="1"/>
      <c r="C2675" s="1"/>
      <c r="D2675" s="1"/>
      <c r="E2675" s="357">
        <v>44783</v>
      </c>
      <c r="F2675" s="344" t="s">
        <v>628</v>
      </c>
      <c r="G2675" s="358">
        <v>21.650300000000001</v>
      </c>
      <c r="H2675" s="344" t="s">
        <v>1303</v>
      </c>
    </row>
    <row r="2676" spans="1:8">
      <c r="A2676" s="1"/>
      <c r="B2676" s="1"/>
      <c r="C2676" s="1"/>
      <c r="D2676" s="1"/>
      <c r="E2676" s="357">
        <v>44783</v>
      </c>
      <c r="F2676" s="344" t="s">
        <v>631</v>
      </c>
      <c r="G2676" s="358">
        <v>17.930800000000001</v>
      </c>
      <c r="H2676" s="344" t="s">
        <v>1303</v>
      </c>
    </row>
    <row r="2677" spans="1:8">
      <c r="A2677" s="1"/>
      <c r="B2677" s="1"/>
      <c r="C2677" s="1"/>
      <c r="D2677" s="1"/>
      <c r="E2677" s="357">
        <v>44784</v>
      </c>
      <c r="F2677" s="344" t="s">
        <v>621</v>
      </c>
      <c r="G2677" s="358">
        <v>19.0261</v>
      </c>
      <c r="H2677" s="344" t="s">
        <v>1304</v>
      </c>
    </row>
    <row r="2678" spans="1:8">
      <c r="A2678" s="1"/>
      <c r="B2678" s="1"/>
      <c r="C2678" s="1"/>
      <c r="D2678" s="1"/>
      <c r="E2678" s="357">
        <v>44784</v>
      </c>
      <c r="F2678" s="344" t="s">
        <v>625</v>
      </c>
      <c r="G2678" s="358">
        <v>18.526299999999999</v>
      </c>
      <c r="H2678" s="344" t="s">
        <v>1304</v>
      </c>
    </row>
    <row r="2679" spans="1:8">
      <c r="A2679" s="1"/>
      <c r="B2679" s="1"/>
      <c r="C2679" s="1"/>
      <c r="D2679" s="1"/>
      <c r="E2679" s="357">
        <v>44784</v>
      </c>
      <c r="F2679" s="344" t="s">
        <v>628</v>
      </c>
      <c r="G2679" s="358">
        <v>21.8826</v>
      </c>
      <c r="H2679" s="344" t="s">
        <v>1304</v>
      </c>
    </row>
    <row r="2680" spans="1:8">
      <c r="A2680" s="1"/>
      <c r="B2680" s="1"/>
      <c r="C2680" s="1"/>
      <c r="D2680" s="1"/>
      <c r="E2680" s="357">
        <v>44784</v>
      </c>
      <c r="F2680" s="344" t="s">
        <v>631</v>
      </c>
      <c r="G2680" s="358">
        <v>17.935600000000001</v>
      </c>
      <c r="H2680" s="344" t="s">
        <v>1304</v>
      </c>
    </row>
    <row r="2681" spans="1:8">
      <c r="A2681" s="1"/>
      <c r="B2681" s="1"/>
      <c r="C2681" s="1"/>
      <c r="D2681" s="1"/>
      <c r="E2681" s="357">
        <v>44785</v>
      </c>
      <c r="F2681" s="344" t="s">
        <v>621</v>
      </c>
      <c r="G2681" s="358">
        <v>18.9954</v>
      </c>
      <c r="H2681" s="344" t="s">
        <v>1305</v>
      </c>
    </row>
    <row r="2682" spans="1:8">
      <c r="A2682" s="1"/>
      <c r="B2682" s="1"/>
      <c r="C2682" s="1"/>
      <c r="D2682" s="1"/>
      <c r="E2682" s="357">
        <v>44785</v>
      </c>
      <c r="F2682" s="344" t="s">
        <v>625</v>
      </c>
      <c r="G2682" s="358">
        <v>18.468699999999998</v>
      </c>
      <c r="H2682" s="344" t="s">
        <v>1305</v>
      </c>
    </row>
    <row r="2683" spans="1:8">
      <c r="A2683" s="1"/>
      <c r="B2683" s="1"/>
      <c r="C2683" s="1"/>
      <c r="D2683" s="1"/>
      <c r="E2683" s="357">
        <v>44785</v>
      </c>
      <c r="F2683" s="344" t="s">
        <v>628</v>
      </c>
      <c r="G2683" s="358">
        <v>21.776</v>
      </c>
      <c r="H2683" s="344" t="s">
        <v>1305</v>
      </c>
    </row>
    <row r="2684" spans="1:8">
      <c r="A2684" s="1"/>
      <c r="B2684" s="1"/>
      <c r="C2684" s="1"/>
      <c r="D2684" s="1"/>
      <c r="E2684" s="357">
        <v>44785</v>
      </c>
      <c r="F2684" s="344" t="s">
        <v>631</v>
      </c>
      <c r="G2684" s="358">
        <v>17.936599999999999</v>
      </c>
      <c r="H2684" s="344" t="s">
        <v>1305</v>
      </c>
    </row>
    <row r="2685" spans="1:8">
      <c r="A2685" s="1"/>
      <c r="B2685" s="1"/>
      <c r="C2685" s="1"/>
      <c r="D2685" s="1"/>
      <c r="E2685" s="357">
        <v>44788</v>
      </c>
      <c r="F2685" s="344" t="s">
        <v>621</v>
      </c>
      <c r="G2685" s="358">
        <v>18.950199999999999</v>
      </c>
      <c r="H2685" s="344" t="s">
        <v>1306</v>
      </c>
    </row>
    <row r="2686" spans="1:8">
      <c r="A2686" s="1"/>
      <c r="B2686" s="1"/>
      <c r="C2686" s="1"/>
      <c r="D2686" s="1"/>
      <c r="E2686" s="357">
        <v>44788</v>
      </c>
      <c r="F2686" s="344" t="s">
        <v>625</v>
      </c>
      <c r="G2686" s="358">
        <v>18.323799999999999</v>
      </c>
      <c r="H2686" s="344" t="s">
        <v>1306</v>
      </c>
    </row>
    <row r="2687" spans="1:8">
      <c r="A2687" s="1"/>
      <c r="B2687" s="1"/>
      <c r="C2687" s="1"/>
      <c r="D2687" s="1"/>
      <c r="E2687" s="357">
        <v>44788</v>
      </c>
      <c r="F2687" s="344" t="s">
        <v>628</v>
      </c>
      <c r="G2687" s="358">
        <v>21.6511</v>
      </c>
      <c r="H2687" s="344" t="s">
        <v>1306</v>
      </c>
    </row>
    <row r="2688" spans="1:8">
      <c r="A2688" s="1"/>
      <c r="B2688" s="1"/>
      <c r="C2688" s="1"/>
      <c r="D2688" s="1"/>
      <c r="E2688" s="357">
        <v>44788</v>
      </c>
      <c r="F2688" s="344" t="s">
        <v>631</v>
      </c>
      <c r="G2688" s="358">
        <v>17.941099999999999</v>
      </c>
      <c r="H2688" s="344" t="s">
        <v>1306</v>
      </c>
    </row>
    <row r="2689" spans="1:8">
      <c r="A2689" s="1"/>
      <c r="B2689" s="1"/>
      <c r="C2689" s="1"/>
      <c r="D2689" s="1"/>
      <c r="E2689" s="357">
        <v>44789</v>
      </c>
      <c r="F2689" s="344" t="s">
        <v>621</v>
      </c>
      <c r="G2689" s="358">
        <v>18.866399999999999</v>
      </c>
      <c r="H2689" s="344" t="s">
        <v>1307</v>
      </c>
    </row>
    <row r="2690" spans="1:8">
      <c r="A2690" s="1"/>
      <c r="B2690" s="1"/>
      <c r="C2690" s="1"/>
      <c r="D2690" s="1"/>
      <c r="E2690" s="357">
        <v>44789</v>
      </c>
      <c r="F2690" s="344" t="s">
        <v>625</v>
      </c>
      <c r="G2690" s="358">
        <v>18.195799999999998</v>
      </c>
      <c r="H2690" s="344" t="s">
        <v>1307</v>
      </c>
    </row>
    <row r="2691" spans="1:8">
      <c r="A2691" s="1"/>
      <c r="B2691" s="1"/>
      <c r="C2691" s="1"/>
      <c r="D2691" s="1"/>
      <c r="E2691" s="357">
        <v>44789</v>
      </c>
      <c r="F2691" s="344" t="s">
        <v>628</v>
      </c>
      <c r="G2691" s="358">
        <v>21.5532</v>
      </c>
      <c r="H2691" s="344" t="s">
        <v>1307</v>
      </c>
    </row>
    <row r="2692" spans="1:8">
      <c r="A2692" s="1"/>
      <c r="B2692" s="1"/>
      <c r="C2692" s="1"/>
      <c r="D2692" s="1"/>
      <c r="E2692" s="357">
        <v>44789</v>
      </c>
      <c r="F2692" s="344" t="s">
        <v>631</v>
      </c>
      <c r="G2692" s="358">
        <v>17.942</v>
      </c>
      <c r="H2692" s="344" t="s">
        <v>1307</v>
      </c>
    </row>
    <row r="2693" spans="1:8">
      <c r="A2693" s="1"/>
      <c r="B2693" s="1"/>
      <c r="C2693" s="1"/>
      <c r="D2693" s="1"/>
      <c r="E2693" s="357">
        <v>44790</v>
      </c>
      <c r="F2693" s="344" t="s">
        <v>621</v>
      </c>
      <c r="G2693" s="358">
        <v>18.817</v>
      </c>
      <c r="H2693" s="344" t="s">
        <v>1308</v>
      </c>
    </row>
    <row r="2694" spans="1:8">
      <c r="A2694" s="1"/>
      <c r="B2694" s="1"/>
      <c r="C2694" s="1"/>
      <c r="D2694" s="1"/>
      <c r="E2694" s="357">
        <v>44790</v>
      </c>
      <c r="F2694" s="344" t="s">
        <v>625</v>
      </c>
      <c r="G2694" s="358">
        <v>18.248699999999999</v>
      </c>
      <c r="H2694" s="344" t="s">
        <v>1308</v>
      </c>
    </row>
    <row r="2695" spans="1:8">
      <c r="A2695" s="1"/>
      <c r="B2695" s="1"/>
      <c r="C2695" s="1"/>
      <c r="D2695" s="1"/>
      <c r="E2695" s="357">
        <v>44790</v>
      </c>
      <c r="F2695" s="344" t="s">
        <v>628</v>
      </c>
      <c r="G2695" s="358">
        <v>21.6724</v>
      </c>
      <c r="H2695" s="344" t="s">
        <v>1308</v>
      </c>
    </row>
    <row r="2696" spans="1:8">
      <c r="A2696" s="1"/>
      <c r="B2696" s="1"/>
      <c r="C2696" s="1"/>
      <c r="D2696" s="1"/>
      <c r="E2696" s="357">
        <v>44790</v>
      </c>
      <c r="F2696" s="344" t="s">
        <v>631</v>
      </c>
      <c r="G2696" s="358">
        <v>17.941099999999999</v>
      </c>
      <c r="H2696" s="344" t="s">
        <v>1308</v>
      </c>
    </row>
    <row r="2697" spans="1:8">
      <c r="A2697" s="1"/>
      <c r="B2697" s="1"/>
      <c r="C2697" s="1"/>
      <c r="D2697" s="1"/>
      <c r="E2697" s="357">
        <v>44791</v>
      </c>
      <c r="F2697" s="344" t="s">
        <v>621</v>
      </c>
      <c r="G2697" s="358">
        <v>18.8066</v>
      </c>
      <c r="H2697" s="344" t="s">
        <v>1309</v>
      </c>
    </row>
    <row r="2698" spans="1:8">
      <c r="A2698" s="1"/>
      <c r="B2698" s="1"/>
      <c r="C2698" s="1"/>
      <c r="D2698" s="1"/>
      <c r="E2698" s="357">
        <v>44791</v>
      </c>
      <c r="F2698" s="344" t="s">
        <v>625</v>
      </c>
      <c r="G2698" s="358">
        <v>18.269400000000001</v>
      </c>
      <c r="H2698" s="344" t="s">
        <v>1309</v>
      </c>
    </row>
    <row r="2699" spans="1:8">
      <c r="A2699" s="1"/>
      <c r="B2699" s="1"/>
      <c r="C2699" s="1"/>
      <c r="D2699" s="1"/>
      <c r="E2699" s="357">
        <v>44791</v>
      </c>
      <c r="F2699" s="344" t="s">
        <v>628</v>
      </c>
      <c r="G2699" s="358">
        <v>21.606300000000001</v>
      </c>
      <c r="H2699" s="344" t="s">
        <v>1309</v>
      </c>
    </row>
    <row r="2700" spans="1:8">
      <c r="A2700" s="1"/>
      <c r="B2700" s="1"/>
      <c r="C2700" s="1"/>
      <c r="D2700" s="1"/>
      <c r="E2700" s="357">
        <v>44791</v>
      </c>
      <c r="F2700" s="344" t="s">
        <v>631</v>
      </c>
      <c r="G2700" s="358">
        <v>17.968800000000002</v>
      </c>
      <c r="H2700" s="344" t="s">
        <v>1309</v>
      </c>
    </row>
    <row r="2701" spans="1:8">
      <c r="A2701" s="1"/>
      <c r="B2701" s="1"/>
      <c r="C2701" s="1"/>
      <c r="D2701" s="1"/>
      <c r="E2701" s="357">
        <v>44792</v>
      </c>
      <c r="F2701" s="344" t="s">
        <v>621</v>
      </c>
      <c r="G2701" s="358">
        <v>18.847100000000001</v>
      </c>
      <c r="H2701" s="344" t="s">
        <v>1310</v>
      </c>
    </row>
    <row r="2702" spans="1:8">
      <c r="A2702" s="1"/>
      <c r="B2702" s="1"/>
      <c r="C2702" s="1"/>
      <c r="D2702" s="1"/>
      <c r="E2702" s="357">
        <v>44792</v>
      </c>
      <c r="F2702" s="344" t="s">
        <v>625</v>
      </c>
      <c r="G2702" s="358">
        <v>18.209299999999999</v>
      </c>
      <c r="H2702" s="344" t="s">
        <v>1310</v>
      </c>
    </row>
    <row r="2703" spans="1:8">
      <c r="A2703" s="1"/>
      <c r="B2703" s="1"/>
      <c r="C2703" s="1"/>
      <c r="D2703" s="1"/>
      <c r="E2703" s="357">
        <v>44792</v>
      </c>
      <c r="F2703" s="344" t="s">
        <v>628</v>
      </c>
      <c r="G2703" s="358">
        <v>21.4329</v>
      </c>
      <c r="H2703" s="344" t="s">
        <v>1310</v>
      </c>
    </row>
    <row r="2704" spans="1:8">
      <c r="A2704" s="1"/>
      <c r="B2704" s="1"/>
      <c r="C2704" s="1"/>
      <c r="D2704" s="1"/>
      <c r="E2704" s="357">
        <v>44792</v>
      </c>
      <c r="F2704" s="344" t="s">
        <v>631</v>
      </c>
      <c r="G2704" s="358">
        <v>18.076699999999999</v>
      </c>
      <c r="H2704" s="344" t="s">
        <v>1310</v>
      </c>
    </row>
    <row r="2705" spans="1:8">
      <c r="A2705" s="1"/>
      <c r="B2705" s="1"/>
      <c r="C2705" s="1"/>
      <c r="D2705" s="1"/>
      <c r="E2705" s="357">
        <v>44795</v>
      </c>
      <c r="F2705" s="344" t="s">
        <v>621</v>
      </c>
      <c r="G2705" s="358">
        <v>18.829599999999999</v>
      </c>
      <c r="H2705" s="344" t="s">
        <v>1311</v>
      </c>
    </row>
    <row r="2706" spans="1:8">
      <c r="A2706" s="1"/>
      <c r="B2706" s="1"/>
      <c r="C2706" s="1"/>
      <c r="D2706" s="1"/>
      <c r="E2706" s="357">
        <v>44795</v>
      </c>
      <c r="F2706" s="344" t="s">
        <v>625</v>
      </c>
      <c r="G2706" s="358">
        <v>18.118400000000001</v>
      </c>
      <c r="H2706" s="344" t="s">
        <v>1311</v>
      </c>
    </row>
    <row r="2707" spans="1:8">
      <c r="A2707" s="1"/>
      <c r="B2707" s="1"/>
      <c r="C2707" s="1"/>
      <c r="D2707" s="1"/>
      <c r="E2707" s="357">
        <v>44795</v>
      </c>
      <c r="F2707" s="344" t="s">
        <v>628</v>
      </c>
      <c r="G2707" s="358">
        <v>21.333600000000001</v>
      </c>
      <c r="H2707" s="344" t="s">
        <v>1311</v>
      </c>
    </row>
    <row r="2708" spans="1:8">
      <c r="A2708" s="1"/>
      <c r="B2708" s="1"/>
      <c r="C2708" s="1"/>
      <c r="D2708" s="1"/>
      <c r="E2708" s="357">
        <v>44795</v>
      </c>
      <c r="F2708" s="344" t="s">
        <v>631</v>
      </c>
      <c r="G2708" s="358">
        <v>18.098800000000001</v>
      </c>
      <c r="H2708" s="344" t="s">
        <v>1311</v>
      </c>
    </row>
    <row r="2709" spans="1:8">
      <c r="A2709" s="1"/>
      <c r="B2709" s="1"/>
      <c r="C2709" s="1"/>
      <c r="D2709" s="1"/>
      <c r="E2709" s="357">
        <v>44796</v>
      </c>
      <c r="F2709" s="344" t="s">
        <v>621</v>
      </c>
      <c r="G2709" s="358">
        <v>18.6966</v>
      </c>
      <c r="H2709" s="344" t="s">
        <v>1312</v>
      </c>
    </row>
    <row r="2710" spans="1:8">
      <c r="A2710" s="1"/>
      <c r="B2710" s="1"/>
      <c r="C2710" s="1"/>
      <c r="D2710" s="1"/>
      <c r="E2710" s="357">
        <v>44796</v>
      </c>
      <c r="F2710" s="344" t="s">
        <v>625</v>
      </c>
      <c r="G2710" s="358">
        <v>17.9664</v>
      </c>
      <c r="H2710" s="344" t="s">
        <v>1312</v>
      </c>
    </row>
    <row r="2711" spans="1:8">
      <c r="A2711" s="1"/>
      <c r="B2711" s="1"/>
      <c r="C2711" s="1"/>
      <c r="D2711" s="1"/>
      <c r="E2711" s="357">
        <v>44796</v>
      </c>
      <c r="F2711" s="344" t="s">
        <v>628</v>
      </c>
      <c r="G2711" s="358">
        <v>21.257999999999999</v>
      </c>
      <c r="H2711" s="344" t="s">
        <v>1312</v>
      </c>
    </row>
    <row r="2712" spans="1:8">
      <c r="A2712" s="1"/>
      <c r="B2712" s="1"/>
      <c r="C2712" s="1"/>
      <c r="D2712" s="1"/>
      <c r="E2712" s="357">
        <v>44796</v>
      </c>
      <c r="F2712" s="344" t="s">
        <v>631</v>
      </c>
      <c r="G2712" s="358">
        <v>18.101800000000001</v>
      </c>
      <c r="H2712" s="344" t="s">
        <v>1312</v>
      </c>
    </row>
    <row r="2713" spans="1:8">
      <c r="A2713" s="1"/>
      <c r="B2713" s="1"/>
      <c r="C2713" s="1"/>
      <c r="D2713" s="1"/>
      <c r="E2713" s="357">
        <v>44797</v>
      </c>
      <c r="F2713" s="344" t="s">
        <v>621</v>
      </c>
      <c r="G2713" s="358">
        <v>18.7654</v>
      </c>
      <c r="H2713" s="344" t="s">
        <v>1313</v>
      </c>
    </row>
    <row r="2714" spans="1:8">
      <c r="A2714" s="1"/>
      <c r="B2714" s="1"/>
      <c r="C2714" s="1"/>
      <c r="D2714" s="1"/>
      <c r="E2714" s="357">
        <v>44797</v>
      </c>
      <c r="F2714" s="344" t="s">
        <v>625</v>
      </c>
      <c r="G2714" s="358">
        <v>18.011299999999999</v>
      </c>
      <c r="H2714" s="344" t="s">
        <v>1313</v>
      </c>
    </row>
    <row r="2715" spans="1:8">
      <c r="A2715" s="1"/>
      <c r="B2715" s="1"/>
      <c r="C2715" s="1"/>
      <c r="D2715" s="1"/>
      <c r="E2715" s="357">
        <v>44797</v>
      </c>
      <c r="F2715" s="344" t="s">
        <v>628</v>
      </c>
      <c r="G2715" s="358">
        <v>21.35</v>
      </c>
      <c r="H2715" s="344" t="s">
        <v>1313</v>
      </c>
    </row>
    <row r="2716" spans="1:8">
      <c r="A2716" s="1"/>
      <c r="B2716" s="1"/>
      <c r="C2716" s="1"/>
      <c r="D2716" s="1"/>
      <c r="E2716" s="357">
        <v>44797</v>
      </c>
      <c r="F2716" s="344" t="s">
        <v>631</v>
      </c>
      <c r="G2716" s="358">
        <v>18.117599999999999</v>
      </c>
      <c r="H2716" s="344" t="s">
        <v>1313</v>
      </c>
    </row>
    <row r="2717" spans="1:8">
      <c r="A2717" s="1"/>
      <c r="B2717" s="1"/>
      <c r="C2717" s="1"/>
      <c r="D2717" s="1"/>
      <c r="E2717" s="357">
        <v>44798</v>
      </c>
      <c r="F2717" s="344" t="s">
        <v>621</v>
      </c>
      <c r="G2717" s="358">
        <v>18.802299999999999</v>
      </c>
      <c r="H2717" s="344" t="s">
        <v>1314</v>
      </c>
    </row>
    <row r="2718" spans="1:8">
      <c r="A2718" s="1"/>
      <c r="B2718" s="1"/>
      <c r="C2718" s="1"/>
      <c r="D2718" s="1"/>
      <c r="E2718" s="357">
        <v>44798</v>
      </c>
      <c r="F2718" s="344" t="s">
        <v>625</v>
      </c>
      <c r="G2718" s="358">
        <v>18.138000000000002</v>
      </c>
      <c r="H2718" s="344" t="s">
        <v>1314</v>
      </c>
    </row>
    <row r="2719" spans="1:8">
      <c r="A2719" s="1"/>
      <c r="B2719" s="1"/>
      <c r="C2719" s="1"/>
      <c r="D2719" s="1"/>
      <c r="E2719" s="357">
        <v>44798</v>
      </c>
      <c r="F2719" s="344" t="s">
        <v>628</v>
      </c>
      <c r="G2719" s="358">
        <v>21.446300000000001</v>
      </c>
      <c r="H2719" s="344" t="s">
        <v>1314</v>
      </c>
    </row>
    <row r="2720" spans="1:8">
      <c r="A2720" s="1"/>
      <c r="B2720" s="1"/>
      <c r="C2720" s="1"/>
      <c r="D2720" s="1"/>
      <c r="E2720" s="357">
        <v>44798</v>
      </c>
      <c r="F2720" s="344" t="s">
        <v>631</v>
      </c>
      <c r="G2720" s="358">
        <v>18.146599999999999</v>
      </c>
      <c r="H2720" s="344" t="s">
        <v>1314</v>
      </c>
    </row>
    <row r="2721" spans="1:8">
      <c r="A2721" s="1"/>
      <c r="B2721" s="1"/>
      <c r="C2721" s="1"/>
      <c r="D2721" s="1"/>
      <c r="E2721" s="357">
        <v>44799</v>
      </c>
      <c r="F2721" s="344" t="s">
        <v>621</v>
      </c>
      <c r="G2721" s="358">
        <v>18.785599999999999</v>
      </c>
      <c r="H2721" s="344" t="s">
        <v>1315</v>
      </c>
    </row>
    <row r="2722" spans="1:8">
      <c r="A2722" s="1"/>
      <c r="B2722" s="1"/>
      <c r="C2722" s="1"/>
      <c r="D2722" s="1"/>
      <c r="E2722" s="357">
        <v>44799</v>
      </c>
      <c r="F2722" s="344" t="s">
        <v>625</v>
      </c>
      <c r="G2722" s="358">
        <v>18.135400000000001</v>
      </c>
      <c r="H2722" s="344" t="s">
        <v>1315</v>
      </c>
    </row>
    <row r="2723" spans="1:8">
      <c r="A2723" s="1"/>
      <c r="B2723" s="1"/>
      <c r="C2723" s="1"/>
      <c r="D2723" s="1"/>
      <c r="E2723" s="357">
        <v>44799</v>
      </c>
      <c r="F2723" s="344" t="s">
        <v>628</v>
      </c>
      <c r="G2723" s="358">
        <v>21.410399999999999</v>
      </c>
      <c r="H2723" s="344" t="s">
        <v>1315</v>
      </c>
    </row>
    <row r="2724" spans="1:8">
      <c r="A2724" s="1"/>
      <c r="B2724" s="1"/>
      <c r="C2724" s="1"/>
      <c r="D2724" s="1"/>
      <c r="E2724" s="357">
        <v>44799</v>
      </c>
      <c r="F2724" s="344" t="s">
        <v>631</v>
      </c>
      <c r="G2724" s="358">
        <v>18.156400000000001</v>
      </c>
      <c r="H2724" s="344" t="s">
        <v>1315</v>
      </c>
    </row>
    <row r="2725" spans="1:8">
      <c r="A2725" s="1"/>
      <c r="B2725" s="1"/>
      <c r="C2725" s="1"/>
      <c r="D2725" s="1"/>
      <c r="E2725" s="357">
        <v>44802</v>
      </c>
      <c r="F2725" s="344" t="s">
        <v>621</v>
      </c>
      <c r="G2725" s="358">
        <v>18.710799999999999</v>
      </c>
      <c r="H2725" s="344" t="s">
        <v>1316</v>
      </c>
    </row>
    <row r="2726" spans="1:8">
      <c r="A2726" s="1"/>
      <c r="B2726" s="1"/>
      <c r="C2726" s="1"/>
      <c r="D2726" s="1"/>
      <c r="E2726" s="357">
        <v>44802</v>
      </c>
      <c r="F2726" s="344" t="s">
        <v>625</v>
      </c>
      <c r="G2726" s="358">
        <v>18.093299999999999</v>
      </c>
      <c r="H2726" s="344" t="s">
        <v>1316</v>
      </c>
    </row>
    <row r="2727" spans="1:8">
      <c r="A2727" s="1"/>
      <c r="B2727" s="1"/>
      <c r="C2727" s="1"/>
      <c r="D2727" s="1"/>
      <c r="E2727" s="357">
        <v>44802</v>
      </c>
      <c r="F2727" s="344" t="s">
        <v>628</v>
      </c>
      <c r="G2727" s="358">
        <v>21.1799</v>
      </c>
      <c r="H2727" s="344" t="s">
        <v>1316</v>
      </c>
    </row>
    <row r="2728" spans="1:8">
      <c r="A2728" s="1"/>
      <c r="B2728" s="1"/>
      <c r="C2728" s="1"/>
      <c r="D2728" s="1"/>
      <c r="E2728" s="357">
        <v>44802</v>
      </c>
      <c r="F2728" s="344" t="s">
        <v>631</v>
      </c>
      <c r="G2728" s="358">
        <v>18.1648</v>
      </c>
      <c r="H2728" s="344" t="s">
        <v>1316</v>
      </c>
    </row>
    <row r="2729" spans="1:8">
      <c r="A2729" s="1"/>
      <c r="B2729" s="1"/>
      <c r="C2729" s="1"/>
      <c r="D2729" s="1"/>
      <c r="E2729" s="357">
        <v>44804</v>
      </c>
      <c r="F2729" s="344" t="s">
        <v>621</v>
      </c>
      <c r="G2729" s="358">
        <v>18.541899999999998</v>
      </c>
      <c r="H2729" s="344" t="s">
        <v>1317</v>
      </c>
    </row>
    <row r="2730" spans="1:8">
      <c r="A2730" s="1"/>
      <c r="B2730" s="1"/>
      <c r="C2730" s="1"/>
      <c r="D2730" s="1"/>
      <c r="E2730" s="357">
        <v>44804</v>
      </c>
      <c r="F2730" s="344" t="s">
        <v>625</v>
      </c>
      <c r="G2730" s="358">
        <v>18.157399999999999</v>
      </c>
      <c r="H2730" s="344" t="s">
        <v>1317</v>
      </c>
    </row>
    <row r="2731" spans="1:8">
      <c r="A2731" s="1"/>
      <c r="B2731" s="1"/>
      <c r="C2731" s="1"/>
      <c r="D2731" s="1"/>
      <c r="E2731" s="357">
        <v>44804</v>
      </c>
      <c r="F2731" s="344" t="s">
        <v>628</v>
      </c>
      <c r="G2731" s="358">
        <v>21.1098</v>
      </c>
      <c r="H2731" s="344" t="s">
        <v>1317</v>
      </c>
    </row>
    <row r="2732" spans="1:8">
      <c r="A2732" s="1"/>
      <c r="B2732" s="1"/>
      <c r="C2732" s="1"/>
      <c r="D2732" s="1"/>
      <c r="E2732" s="357">
        <v>44804</v>
      </c>
      <c r="F2732" s="344" t="s">
        <v>631</v>
      </c>
      <c r="G2732" s="358">
        <v>18.170400000000001</v>
      </c>
      <c r="H2732" s="344" t="s">
        <v>1317</v>
      </c>
    </row>
    <row r="2733" spans="1:8">
      <c r="A2733" s="1"/>
      <c r="B2733" s="1"/>
      <c r="C2733" s="1"/>
      <c r="D2733" s="1"/>
      <c r="E2733" s="357">
        <v>44805</v>
      </c>
      <c r="F2733" s="344" t="s">
        <v>621</v>
      </c>
      <c r="G2733" s="358">
        <v>18.5595</v>
      </c>
      <c r="H2733" s="344" t="s">
        <v>1318</v>
      </c>
    </row>
    <row r="2734" spans="1:8">
      <c r="A2734" s="1"/>
      <c r="B2734" s="1"/>
      <c r="C2734" s="1"/>
      <c r="D2734" s="1"/>
      <c r="E2734" s="357">
        <v>44805</v>
      </c>
      <c r="F2734" s="344" t="s">
        <v>625</v>
      </c>
      <c r="G2734" s="358">
        <v>18.2226</v>
      </c>
      <c r="H2734" s="344" t="s">
        <v>1318</v>
      </c>
    </row>
    <row r="2735" spans="1:8">
      <c r="A2735" s="1"/>
      <c r="B2735" s="1"/>
      <c r="C2735" s="1"/>
      <c r="D2735" s="1"/>
      <c r="E2735" s="357">
        <v>44805</v>
      </c>
      <c r="F2735" s="344" t="s">
        <v>628</v>
      </c>
      <c r="G2735" s="358">
        <v>21.028700000000001</v>
      </c>
      <c r="H2735" s="344" t="s">
        <v>1318</v>
      </c>
    </row>
    <row r="2736" spans="1:8">
      <c r="A2736" s="1"/>
      <c r="B2736" s="1"/>
      <c r="C2736" s="1"/>
      <c r="D2736" s="1"/>
      <c r="E2736" s="357">
        <v>44805</v>
      </c>
      <c r="F2736" s="344" t="s">
        <v>631</v>
      </c>
      <c r="G2736" s="358">
        <v>18.180499999999999</v>
      </c>
      <c r="H2736" s="344" t="s">
        <v>1318</v>
      </c>
    </row>
    <row r="2737" spans="1:8">
      <c r="A2737" s="1"/>
      <c r="B2737" s="1"/>
      <c r="C2737" s="1"/>
      <c r="D2737" s="1"/>
      <c r="E2737" s="357">
        <v>44806</v>
      </c>
      <c r="F2737" s="344" t="s">
        <v>621</v>
      </c>
      <c r="G2737" s="358">
        <v>18.511399999999998</v>
      </c>
      <c r="H2737" s="344" t="s">
        <v>1319</v>
      </c>
    </row>
    <row r="2738" spans="1:8">
      <c r="A2738" s="1"/>
      <c r="B2738" s="1"/>
      <c r="C2738" s="1"/>
      <c r="D2738" s="1"/>
      <c r="E2738" s="357">
        <v>44806</v>
      </c>
      <c r="F2738" s="344" t="s">
        <v>625</v>
      </c>
      <c r="G2738" s="358">
        <v>18.1797</v>
      </c>
      <c r="H2738" s="344" t="s">
        <v>1319</v>
      </c>
    </row>
    <row r="2739" spans="1:8">
      <c r="A2739" s="1"/>
      <c r="B2739" s="1"/>
      <c r="C2739" s="1"/>
      <c r="D2739" s="1"/>
      <c r="E2739" s="357">
        <v>44806</v>
      </c>
      <c r="F2739" s="344" t="s">
        <v>628</v>
      </c>
      <c r="G2739" s="358">
        <v>21.004899999999999</v>
      </c>
      <c r="H2739" s="344" t="s">
        <v>1319</v>
      </c>
    </row>
    <row r="2740" spans="1:8">
      <c r="A2740" s="1"/>
      <c r="B2740" s="1"/>
      <c r="C2740" s="1"/>
      <c r="D2740" s="1"/>
      <c r="E2740" s="357">
        <v>44806</v>
      </c>
      <c r="F2740" s="344" t="s">
        <v>631</v>
      </c>
      <c r="G2740" s="358">
        <v>18.200900000000001</v>
      </c>
      <c r="H2740" s="344" t="s">
        <v>1319</v>
      </c>
    </row>
    <row r="2741" spans="1:8">
      <c r="A2741" s="1"/>
      <c r="B2741" s="1"/>
      <c r="C2741" s="1"/>
      <c r="D2741" s="1"/>
      <c r="E2741" s="357">
        <v>44809</v>
      </c>
      <c r="F2741" s="344" t="s">
        <v>621</v>
      </c>
      <c r="G2741" s="358">
        <v>18.491299999999999</v>
      </c>
      <c r="H2741" s="344" t="s">
        <v>1320</v>
      </c>
    </row>
    <row r="2742" spans="1:8">
      <c r="A2742" s="1"/>
      <c r="B2742" s="1"/>
      <c r="C2742" s="1"/>
      <c r="D2742" s="1"/>
      <c r="E2742" s="357">
        <v>44809</v>
      </c>
      <c r="F2742" s="344" t="s">
        <v>625</v>
      </c>
      <c r="G2742" s="358">
        <v>18.054500000000001</v>
      </c>
      <c r="H2742" s="344" t="s">
        <v>1320</v>
      </c>
    </row>
    <row r="2743" spans="1:8">
      <c r="A2743" s="1"/>
      <c r="B2743" s="1"/>
      <c r="C2743" s="1"/>
      <c r="D2743" s="1"/>
      <c r="E2743" s="357">
        <v>44809</v>
      </c>
      <c r="F2743" s="344" t="s">
        <v>628</v>
      </c>
      <c r="G2743" s="358">
        <v>20.8916</v>
      </c>
      <c r="H2743" s="344" t="s">
        <v>1320</v>
      </c>
    </row>
    <row r="2744" spans="1:8">
      <c r="A2744" s="1"/>
      <c r="B2744" s="1"/>
      <c r="C2744" s="1"/>
      <c r="D2744" s="1"/>
      <c r="E2744" s="357">
        <v>44809</v>
      </c>
      <c r="F2744" s="344" t="s">
        <v>631</v>
      </c>
      <c r="G2744" s="358">
        <v>18.204999999999998</v>
      </c>
      <c r="H2744" s="344" t="s">
        <v>1320</v>
      </c>
    </row>
    <row r="2745" spans="1:8">
      <c r="A2745" s="1"/>
      <c r="B2745" s="1"/>
      <c r="C2745" s="1"/>
      <c r="D2745" s="1"/>
      <c r="E2745" s="357">
        <v>44810</v>
      </c>
      <c r="F2745" s="344" t="s">
        <v>621</v>
      </c>
      <c r="G2745" s="358">
        <v>18.524999999999999</v>
      </c>
      <c r="H2745" s="344" t="s">
        <v>1321</v>
      </c>
    </row>
    <row r="2746" spans="1:8">
      <c r="A2746" s="1"/>
      <c r="B2746" s="1"/>
      <c r="C2746" s="1"/>
      <c r="D2746" s="1"/>
      <c r="E2746" s="357">
        <v>44810</v>
      </c>
      <c r="F2746" s="344" t="s">
        <v>625</v>
      </c>
      <c r="G2746" s="358">
        <v>18.115300000000001</v>
      </c>
      <c r="H2746" s="344" t="s">
        <v>1321</v>
      </c>
    </row>
    <row r="2747" spans="1:8">
      <c r="A2747" s="1"/>
      <c r="B2747" s="1"/>
      <c r="C2747" s="1"/>
      <c r="D2747" s="1"/>
      <c r="E2747" s="357">
        <v>44810</v>
      </c>
      <c r="F2747" s="344" t="s">
        <v>628</v>
      </c>
      <c r="G2747" s="358">
        <v>21.050599999999999</v>
      </c>
      <c r="H2747" s="344" t="s">
        <v>1321</v>
      </c>
    </row>
    <row r="2748" spans="1:8">
      <c r="A2748" s="1"/>
      <c r="B2748" s="1"/>
      <c r="C2748" s="1"/>
      <c r="D2748" s="1"/>
      <c r="E2748" s="357">
        <v>44810</v>
      </c>
      <c r="F2748" s="344" t="s">
        <v>631</v>
      </c>
      <c r="G2748" s="358">
        <v>18.204799999999999</v>
      </c>
      <c r="H2748" s="344" t="s">
        <v>1321</v>
      </c>
    </row>
    <row r="2749" spans="1:8">
      <c r="A2749" s="1"/>
      <c r="B2749" s="1"/>
      <c r="C2749" s="1"/>
      <c r="D2749" s="1"/>
      <c r="E2749" s="357">
        <v>44811</v>
      </c>
      <c r="F2749" s="344" t="s">
        <v>621</v>
      </c>
      <c r="G2749" s="358">
        <v>18.463899999999999</v>
      </c>
      <c r="H2749" s="344" t="s">
        <v>1322</v>
      </c>
    </row>
    <row r="2750" spans="1:8">
      <c r="A2750" s="1"/>
      <c r="B2750" s="1"/>
      <c r="C2750" s="1"/>
      <c r="D2750" s="1"/>
      <c r="E2750" s="357">
        <v>44811</v>
      </c>
      <c r="F2750" s="344" t="s">
        <v>625</v>
      </c>
      <c r="G2750" s="358">
        <v>18.037800000000001</v>
      </c>
      <c r="H2750" s="344" t="s">
        <v>1322</v>
      </c>
    </row>
    <row r="2751" spans="1:8">
      <c r="A2751" s="1"/>
      <c r="B2751" s="1"/>
      <c r="C2751" s="1"/>
      <c r="D2751" s="1"/>
      <c r="E2751" s="357">
        <v>44811</v>
      </c>
      <c r="F2751" s="344" t="s">
        <v>628</v>
      </c>
      <c r="G2751" s="358">
        <v>20.868500000000001</v>
      </c>
      <c r="H2751" s="344" t="s">
        <v>1322</v>
      </c>
    </row>
    <row r="2752" spans="1:8">
      <c r="A2752" s="1"/>
      <c r="B2752" s="1"/>
      <c r="C2752" s="1"/>
      <c r="D2752" s="1"/>
      <c r="E2752" s="357">
        <v>44811</v>
      </c>
      <c r="F2752" s="344" t="s">
        <v>631</v>
      </c>
      <c r="G2752" s="358">
        <v>18.213999999999999</v>
      </c>
      <c r="H2752" s="344" t="s">
        <v>1322</v>
      </c>
    </row>
    <row r="2753" spans="1:8">
      <c r="A2753" s="1"/>
      <c r="B2753" s="1"/>
      <c r="C2753" s="1"/>
      <c r="D2753" s="1"/>
      <c r="E2753" s="357">
        <v>44812</v>
      </c>
      <c r="F2753" s="344" t="s">
        <v>621</v>
      </c>
      <c r="G2753" s="358">
        <v>18.6479</v>
      </c>
      <c r="H2753" s="344" t="s">
        <v>1323</v>
      </c>
    </row>
    <row r="2754" spans="1:8">
      <c r="A2754" s="1"/>
      <c r="B2754" s="1"/>
      <c r="C2754" s="1"/>
      <c r="D2754" s="1"/>
      <c r="E2754" s="357">
        <v>44812</v>
      </c>
      <c r="F2754" s="344" t="s">
        <v>625</v>
      </c>
      <c r="G2754" s="358">
        <v>18.221800000000002</v>
      </c>
      <c r="H2754" s="344" t="s">
        <v>1323</v>
      </c>
    </row>
    <row r="2755" spans="1:8">
      <c r="A2755" s="1"/>
      <c r="B2755" s="1"/>
      <c r="C2755" s="1"/>
      <c r="D2755" s="1"/>
      <c r="E2755" s="357">
        <v>44812</v>
      </c>
      <c r="F2755" s="344" t="s">
        <v>628</v>
      </c>
      <c r="G2755" s="358">
        <v>20.942399999999999</v>
      </c>
      <c r="H2755" s="344" t="s">
        <v>1323</v>
      </c>
    </row>
    <row r="2756" spans="1:8">
      <c r="A2756" s="1"/>
      <c r="B2756" s="1"/>
      <c r="C2756" s="1"/>
      <c r="D2756" s="1"/>
      <c r="E2756" s="357">
        <v>44812</v>
      </c>
      <c r="F2756" s="344" t="s">
        <v>631</v>
      </c>
      <c r="G2756" s="358">
        <v>18.2195</v>
      </c>
      <c r="H2756" s="344" t="s">
        <v>1323</v>
      </c>
    </row>
    <row r="2757" spans="1:8">
      <c r="A2757" s="1"/>
      <c r="B2757" s="1"/>
      <c r="C2757" s="1"/>
      <c r="D2757" s="1"/>
      <c r="E2757" s="357">
        <v>44813</v>
      </c>
      <c r="F2757" s="344" t="s">
        <v>621</v>
      </c>
      <c r="G2757" s="358">
        <v>18.942900000000002</v>
      </c>
      <c r="H2757" s="344" t="s">
        <v>1324</v>
      </c>
    </row>
    <row r="2758" spans="1:8">
      <c r="A2758" s="1"/>
      <c r="B2758" s="1"/>
      <c r="C2758" s="1"/>
      <c r="D2758" s="1"/>
      <c r="E2758" s="357">
        <v>44813</v>
      </c>
      <c r="F2758" s="344" t="s">
        <v>625</v>
      </c>
      <c r="G2758" s="358">
        <v>18.362200000000001</v>
      </c>
      <c r="H2758" s="344" t="s">
        <v>1324</v>
      </c>
    </row>
    <row r="2759" spans="1:8">
      <c r="A2759" s="1"/>
      <c r="B2759" s="1"/>
      <c r="C2759" s="1"/>
      <c r="D2759" s="1"/>
      <c r="E2759" s="357">
        <v>44813</v>
      </c>
      <c r="F2759" s="344" t="s">
        <v>628</v>
      </c>
      <c r="G2759" s="358">
        <v>21.114799999999999</v>
      </c>
      <c r="H2759" s="344" t="s">
        <v>1324</v>
      </c>
    </row>
    <row r="2760" spans="1:8">
      <c r="A2760" s="1"/>
      <c r="B2760" s="1"/>
      <c r="C2760" s="1"/>
      <c r="D2760" s="1"/>
      <c r="E2760" s="357">
        <v>44813</v>
      </c>
      <c r="F2760" s="344" t="s">
        <v>631</v>
      </c>
      <c r="G2760" s="358">
        <v>18.218900000000001</v>
      </c>
      <c r="H2760" s="344" t="s">
        <v>1324</v>
      </c>
    </row>
    <row r="2761" spans="1:8">
      <c r="A2761" s="1"/>
      <c r="B2761" s="1"/>
      <c r="C2761" s="1"/>
      <c r="D2761" s="1"/>
      <c r="E2761" s="357">
        <v>44816</v>
      </c>
      <c r="F2761" s="344" t="s">
        <v>621</v>
      </c>
      <c r="G2761" s="358">
        <v>19.032299999999999</v>
      </c>
      <c r="H2761" s="344" t="s">
        <v>1325</v>
      </c>
    </row>
    <row r="2762" spans="1:8">
      <c r="A2762" s="1"/>
      <c r="B2762" s="1"/>
      <c r="C2762" s="1"/>
      <c r="D2762" s="1"/>
      <c r="E2762" s="357">
        <v>44816</v>
      </c>
      <c r="F2762" s="344" t="s">
        <v>625</v>
      </c>
      <c r="G2762" s="358">
        <v>18.504100000000001</v>
      </c>
      <c r="H2762" s="344" t="s">
        <v>1325</v>
      </c>
    </row>
    <row r="2763" spans="1:8">
      <c r="A2763" s="1"/>
      <c r="B2763" s="1"/>
      <c r="C2763" s="1"/>
      <c r="D2763" s="1"/>
      <c r="E2763" s="357">
        <v>44816</v>
      </c>
      <c r="F2763" s="344" t="s">
        <v>628</v>
      </c>
      <c r="G2763" s="358">
        <v>21.2454</v>
      </c>
      <c r="H2763" s="344" t="s">
        <v>1325</v>
      </c>
    </row>
    <row r="2764" spans="1:8">
      <c r="A2764" s="1"/>
      <c r="B2764" s="1"/>
      <c r="C2764" s="1"/>
      <c r="D2764" s="1"/>
      <c r="E2764" s="357">
        <v>44816</v>
      </c>
      <c r="F2764" s="344" t="s">
        <v>631</v>
      </c>
      <c r="G2764" s="358">
        <v>18.218699999999998</v>
      </c>
      <c r="H2764" s="344" t="s">
        <v>1325</v>
      </c>
    </row>
    <row r="2765" spans="1:8">
      <c r="A2765" s="1"/>
      <c r="B2765" s="1"/>
      <c r="C2765" s="1"/>
      <c r="D2765" s="1"/>
      <c r="E2765" s="357">
        <v>44817</v>
      </c>
      <c r="F2765" s="344" t="s">
        <v>621</v>
      </c>
      <c r="G2765" s="358">
        <v>19.129300000000001</v>
      </c>
      <c r="H2765" s="344" t="s">
        <v>1326</v>
      </c>
    </row>
    <row r="2766" spans="1:8">
      <c r="A2766" s="1"/>
      <c r="B2766" s="1"/>
      <c r="C2766" s="1"/>
      <c r="D2766" s="1"/>
      <c r="E2766" s="357">
        <v>44817</v>
      </c>
      <c r="F2766" s="344" t="s">
        <v>625</v>
      </c>
      <c r="G2766" s="358">
        <v>18.513000000000002</v>
      </c>
      <c r="H2766" s="344" t="s">
        <v>1326</v>
      </c>
    </row>
    <row r="2767" spans="1:8">
      <c r="A2767" s="1"/>
      <c r="B2767" s="1"/>
      <c r="C2767" s="1"/>
      <c r="D2767" s="1"/>
      <c r="E2767" s="357">
        <v>44817</v>
      </c>
      <c r="F2767" s="344" t="s">
        <v>628</v>
      </c>
      <c r="G2767" s="358">
        <v>21.3202</v>
      </c>
      <c r="H2767" s="344" t="s">
        <v>1326</v>
      </c>
    </row>
    <row r="2768" spans="1:8">
      <c r="A2768" s="1"/>
      <c r="B2768" s="1"/>
      <c r="C2768" s="1"/>
      <c r="D2768" s="1"/>
      <c r="E2768" s="357">
        <v>44817</v>
      </c>
      <c r="F2768" s="344" t="s">
        <v>631</v>
      </c>
      <c r="G2768" s="358">
        <v>18.220500000000001</v>
      </c>
      <c r="H2768" s="344" t="s">
        <v>1326</v>
      </c>
    </row>
    <row r="2769" spans="1:8">
      <c r="A2769" s="1"/>
      <c r="B2769" s="1"/>
      <c r="C2769" s="1"/>
      <c r="D2769" s="1"/>
      <c r="E2769" s="357">
        <v>44818</v>
      </c>
      <c r="F2769" s="344" t="s">
        <v>621</v>
      </c>
      <c r="G2769" s="358">
        <v>18.9255</v>
      </c>
      <c r="H2769" s="344" t="s">
        <v>1327</v>
      </c>
    </row>
    <row r="2770" spans="1:8">
      <c r="A2770" s="1"/>
      <c r="B2770" s="1"/>
      <c r="C2770" s="1"/>
      <c r="D2770" s="1"/>
      <c r="E2770" s="357">
        <v>44818</v>
      </c>
      <c r="F2770" s="344" t="s">
        <v>625</v>
      </c>
      <c r="G2770" s="358">
        <v>18.2196</v>
      </c>
      <c r="H2770" s="344" t="s">
        <v>1327</v>
      </c>
    </row>
    <row r="2771" spans="1:8">
      <c r="A2771" s="1"/>
      <c r="B2771" s="1"/>
      <c r="C2771" s="1"/>
      <c r="D2771" s="1"/>
      <c r="E2771" s="357">
        <v>44818</v>
      </c>
      <c r="F2771" s="344" t="s">
        <v>628</v>
      </c>
      <c r="G2771" s="358">
        <v>20.9971</v>
      </c>
      <c r="H2771" s="344" t="s">
        <v>1327</v>
      </c>
    </row>
    <row r="2772" spans="1:8">
      <c r="A2772" s="1"/>
      <c r="B2772" s="1"/>
      <c r="C2772" s="1"/>
      <c r="D2772" s="1"/>
      <c r="E2772" s="357">
        <v>44818</v>
      </c>
      <c r="F2772" s="344" t="s">
        <v>631</v>
      </c>
      <c r="G2772" s="358">
        <v>18.232099999999999</v>
      </c>
      <c r="H2772" s="344" t="s">
        <v>1327</v>
      </c>
    </row>
    <row r="2773" spans="1:8">
      <c r="A2773" s="1"/>
      <c r="B2773" s="1"/>
      <c r="C2773" s="1"/>
      <c r="D2773" s="1"/>
      <c r="E2773" s="357">
        <v>44819</v>
      </c>
      <c r="F2773" s="344" t="s">
        <v>621</v>
      </c>
      <c r="G2773" s="358">
        <v>18.969200000000001</v>
      </c>
      <c r="H2773" s="344" t="s">
        <v>1328</v>
      </c>
    </row>
    <row r="2774" spans="1:8">
      <c r="A2774" s="1"/>
      <c r="B2774" s="1"/>
      <c r="C2774" s="1"/>
      <c r="D2774" s="1"/>
      <c r="E2774" s="357">
        <v>44819</v>
      </c>
      <c r="F2774" s="344" t="s">
        <v>625</v>
      </c>
      <c r="G2774" s="358">
        <v>18.209499999999998</v>
      </c>
      <c r="H2774" s="344" t="s">
        <v>1328</v>
      </c>
    </row>
    <row r="2775" spans="1:8">
      <c r="A2775" s="1"/>
      <c r="B2775" s="1"/>
      <c r="C2775" s="1"/>
      <c r="D2775" s="1"/>
      <c r="E2775" s="357">
        <v>44819</v>
      </c>
      <c r="F2775" s="344" t="s">
        <v>628</v>
      </c>
      <c r="G2775" s="358">
        <v>20.973600000000001</v>
      </c>
      <c r="H2775" s="344" t="s">
        <v>1328</v>
      </c>
    </row>
    <row r="2776" spans="1:8">
      <c r="A2776" s="1"/>
      <c r="B2776" s="1"/>
      <c r="C2776" s="1"/>
      <c r="D2776" s="1"/>
      <c r="E2776" s="357">
        <v>44819</v>
      </c>
      <c r="F2776" s="344" t="s">
        <v>631</v>
      </c>
      <c r="G2776" s="358">
        <v>18.242699999999999</v>
      </c>
      <c r="H2776" s="344" t="s">
        <v>1328</v>
      </c>
    </row>
    <row r="2777" spans="1:8">
      <c r="A2777" s="1"/>
      <c r="B2777" s="1"/>
      <c r="C2777" s="1"/>
      <c r="D2777" s="1"/>
      <c r="E2777" s="357">
        <v>44820</v>
      </c>
      <c r="F2777" s="344" t="s">
        <v>621</v>
      </c>
      <c r="G2777" s="358">
        <v>18.899100000000001</v>
      </c>
      <c r="H2777" s="344" t="s">
        <v>1329</v>
      </c>
    </row>
    <row r="2778" spans="1:8">
      <c r="A2778" s="1"/>
      <c r="B2778" s="1"/>
      <c r="C2778" s="1"/>
      <c r="D2778" s="1"/>
      <c r="E2778" s="357">
        <v>44820</v>
      </c>
      <c r="F2778" s="344" t="s">
        <v>625</v>
      </c>
      <c r="G2778" s="358">
        <v>18.195399999999999</v>
      </c>
      <c r="H2778" s="344" t="s">
        <v>1329</v>
      </c>
    </row>
    <row r="2779" spans="1:8">
      <c r="A2779" s="1"/>
      <c r="B2779" s="1"/>
      <c r="C2779" s="1"/>
      <c r="D2779" s="1"/>
      <c r="E2779" s="357">
        <v>44820</v>
      </c>
      <c r="F2779" s="344" t="s">
        <v>628</v>
      </c>
      <c r="G2779" s="358">
        <v>20.749700000000001</v>
      </c>
      <c r="H2779" s="344" t="s">
        <v>1329</v>
      </c>
    </row>
    <row r="2780" spans="1:8">
      <c r="A2780" s="1"/>
      <c r="B2780" s="1"/>
      <c r="C2780" s="1"/>
      <c r="D2780" s="1"/>
      <c r="E2780" s="357">
        <v>44820</v>
      </c>
      <c r="F2780" s="344" t="s">
        <v>631</v>
      </c>
      <c r="G2780" s="358">
        <v>18.247399999999999</v>
      </c>
      <c r="H2780" s="344" t="s">
        <v>1329</v>
      </c>
    </row>
    <row r="2781" spans="1:8">
      <c r="A2781" s="1"/>
      <c r="B2781" s="1"/>
      <c r="C2781" s="1"/>
      <c r="D2781" s="1"/>
      <c r="E2781" s="357">
        <v>44823</v>
      </c>
      <c r="F2781" s="344" t="s">
        <v>621</v>
      </c>
      <c r="G2781" s="358">
        <v>18.841699999999999</v>
      </c>
      <c r="H2781" s="344" t="s">
        <v>1330</v>
      </c>
    </row>
    <row r="2782" spans="1:8">
      <c r="A2782" s="1"/>
      <c r="B2782" s="1"/>
      <c r="C2782" s="1"/>
      <c r="D2782" s="1"/>
      <c r="E2782" s="357">
        <v>44823</v>
      </c>
      <c r="F2782" s="344" t="s">
        <v>625</v>
      </c>
      <c r="G2782" s="358">
        <v>18.2271</v>
      </c>
      <c r="H2782" s="344" t="s">
        <v>1330</v>
      </c>
    </row>
    <row r="2783" spans="1:8">
      <c r="A2783" s="1"/>
      <c r="B2783" s="1"/>
      <c r="C2783" s="1"/>
      <c r="D2783" s="1"/>
      <c r="E2783" s="357">
        <v>44823</v>
      </c>
      <c r="F2783" s="344" t="s">
        <v>628</v>
      </c>
      <c r="G2783" s="358">
        <v>20.740400000000001</v>
      </c>
      <c r="H2783" s="344" t="s">
        <v>1330</v>
      </c>
    </row>
    <row r="2784" spans="1:8">
      <c r="A2784" s="1"/>
      <c r="B2784" s="1"/>
      <c r="C2784" s="1"/>
      <c r="D2784" s="1"/>
      <c r="E2784" s="357">
        <v>44823</v>
      </c>
      <c r="F2784" s="344" t="s">
        <v>631</v>
      </c>
      <c r="G2784" s="358">
        <v>18.265799999999999</v>
      </c>
      <c r="H2784" s="344" t="s">
        <v>1330</v>
      </c>
    </row>
    <row r="2785" spans="1:8">
      <c r="A2785" s="1"/>
      <c r="B2785" s="1"/>
      <c r="C2785" s="1"/>
      <c r="D2785" s="1"/>
      <c r="E2785" s="357">
        <v>44824</v>
      </c>
      <c r="F2785" s="344" t="s">
        <v>621</v>
      </c>
      <c r="G2785" s="358">
        <v>18.8964</v>
      </c>
      <c r="H2785" s="344" t="s">
        <v>1331</v>
      </c>
    </row>
    <row r="2786" spans="1:8">
      <c r="A2786" s="1"/>
      <c r="B2786" s="1"/>
      <c r="C2786" s="1"/>
      <c r="D2786" s="1"/>
      <c r="E2786" s="357">
        <v>44824</v>
      </c>
      <c r="F2786" s="344" t="s">
        <v>625</v>
      </c>
      <c r="G2786" s="358">
        <v>18.301400000000001</v>
      </c>
      <c r="H2786" s="344" t="s">
        <v>1331</v>
      </c>
    </row>
    <row r="2787" spans="1:8">
      <c r="A2787" s="1"/>
      <c r="B2787" s="1"/>
      <c r="C2787" s="1"/>
      <c r="D2787" s="1"/>
      <c r="E2787" s="357">
        <v>44824</v>
      </c>
      <c r="F2787" s="344" t="s">
        <v>628</v>
      </c>
      <c r="G2787" s="358">
        <v>20.8673</v>
      </c>
      <c r="H2787" s="344" t="s">
        <v>1331</v>
      </c>
    </row>
    <row r="2788" spans="1:8">
      <c r="A2788" s="1"/>
      <c r="B2788" s="1"/>
      <c r="C2788" s="1"/>
      <c r="D2788" s="1"/>
      <c r="E2788" s="357">
        <v>44824</v>
      </c>
      <c r="F2788" s="344" t="s">
        <v>631</v>
      </c>
      <c r="G2788" s="358">
        <v>18.278600000000001</v>
      </c>
      <c r="H2788" s="344" t="s">
        <v>1331</v>
      </c>
    </row>
    <row r="2789" spans="1:8">
      <c r="A2789" s="1"/>
      <c r="B2789" s="1"/>
      <c r="C2789" s="1"/>
      <c r="D2789" s="1"/>
      <c r="E2789" s="357">
        <v>44825</v>
      </c>
      <c r="F2789" s="344" t="s">
        <v>621</v>
      </c>
      <c r="G2789" s="358">
        <v>18.918900000000001</v>
      </c>
      <c r="H2789" s="344" t="s">
        <v>1332</v>
      </c>
    </row>
    <row r="2790" spans="1:8">
      <c r="A2790" s="1"/>
      <c r="B2790" s="1"/>
      <c r="C2790" s="1"/>
      <c r="D2790" s="1"/>
      <c r="E2790" s="357">
        <v>44825</v>
      </c>
      <c r="F2790" s="344" t="s">
        <v>625</v>
      </c>
      <c r="G2790" s="358">
        <v>18.1312</v>
      </c>
      <c r="H2790" s="344" t="s">
        <v>1332</v>
      </c>
    </row>
    <row r="2791" spans="1:8">
      <c r="A2791" s="1"/>
      <c r="B2791" s="1"/>
      <c r="C2791" s="1"/>
      <c r="D2791" s="1"/>
      <c r="E2791" s="357">
        <v>44825</v>
      </c>
      <c r="F2791" s="344" t="s">
        <v>628</v>
      </c>
      <c r="G2791" s="358">
        <v>20.706900000000001</v>
      </c>
      <c r="H2791" s="344" t="s">
        <v>1332</v>
      </c>
    </row>
    <row r="2792" spans="1:8">
      <c r="A2792" s="1"/>
      <c r="B2792" s="1"/>
      <c r="C2792" s="1"/>
      <c r="D2792" s="1"/>
      <c r="E2792" s="357">
        <v>44825</v>
      </c>
      <c r="F2792" s="344" t="s">
        <v>631</v>
      </c>
      <c r="G2792" s="358">
        <v>18.294899999999998</v>
      </c>
      <c r="H2792" s="344" t="s">
        <v>1332</v>
      </c>
    </row>
    <row r="2793" spans="1:8">
      <c r="A2793" s="1"/>
      <c r="B2793" s="1"/>
      <c r="C2793" s="1"/>
      <c r="D2793" s="1"/>
      <c r="E2793" s="357">
        <v>44826</v>
      </c>
      <c r="F2793" s="344" t="s">
        <v>621</v>
      </c>
      <c r="G2793" s="358">
        <v>18.748200000000001</v>
      </c>
      <c r="H2793" s="344" t="s">
        <v>1333</v>
      </c>
    </row>
    <row r="2794" spans="1:8">
      <c r="A2794" s="1"/>
      <c r="B2794" s="1"/>
      <c r="C2794" s="1"/>
      <c r="D2794" s="1"/>
      <c r="E2794" s="357">
        <v>44826</v>
      </c>
      <c r="F2794" s="344" t="s">
        <v>625</v>
      </c>
      <c r="G2794" s="358">
        <v>18.078499999999998</v>
      </c>
      <c r="H2794" s="344" t="s">
        <v>1333</v>
      </c>
    </row>
    <row r="2795" spans="1:8">
      <c r="A2795" s="1"/>
      <c r="B2795" s="1"/>
      <c r="C2795" s="1"/>
      <c r="D2795" s="1"/>
      <c r="E2795" s="357">
        <v>44826</v>
      </c>
      <c r="F2795" s="344" t="s">
        <v>628</v>
      </c>
      <c r="G2795" s="358">
        <v>20.682200000000002</v>
      </c>
      <c r="H2795" s="344" t="s">
        <v>1333</v>
      </c>
    </row>
    <row r="2796" spans="1:8">
      <c r="A2796" s="1"/>
      <c r="B2796" s="1"/>
      <c r="C2796" s="1"/>
      <c r="D2796" s="1"/>
      <c r="E2796" s="357">
        <v>44826</v>
      </c>
      <c r="F2796" s="344" t="s">
        <v>631</v>
      </c>
      <c r="G2796" s="358">
        <v>18.3401</v>
      </c>
      <c r="H2796" s="344" t="s">
        <v>1333</v>
      </c>
    </row>
    <row r="2797" spans="1:8">
      <c r="A2797" s="1"/>
      <c r="B2797" s="1"/>
      <c r="C2797" s="1"/>
      <c r="D2797" s="1"/>
      <c r="E2797" s="357">
        <v>44827</v>
      </c>
      <c r="F2797" s="344" t="s">
        <v>621</v>
      </c>
      <c r="G2797" s="358">
        <v>18.686900000000001</v>
      </c>
      <c r="H2797" s="344" t="s">
        <v>1334</v>
      </c>
    </row>
    <row r="2798" spans="1:8">
      <c r="A2798" s="1"/>
      <c r="B2798" s="1"/>
      <c r="C2798" s="1"/>
      <c r="D2798" s="1"/>
      <c r="E2798" s="357">
        <v>44827</v>
      </c>
      <c r="F2798" s="344" t="s">
        <v>625</v>
      </c>
      <c r="G2798" s="358">
        <v>17.943100000000001</v>
      </c>
      <c r="H2798" s="344" t="s">
        <v>1334</v>
      </c>
    </row>
    <row r="2799" spans="1:8">
      <c r="A2799" s="1"/>
      <c r="B2799" s="1"/>
      <c r="C2799" s="1"/>
      <c r="D2799" s="1"/>
      <c r="E2799" s="357">
        <v>44827</v>
      </c>
      <c r="F2799" s="344" t="s">
        <v>628</v>
      </c>
      <c r="G2799" s="358">
        <v>20.413900000000002</v>
      </c>
      <c r="H2799" s="344" t="s">
        <v>1334</v>
      </c>
    </row>
    <row r="2800" spans="1:8">
      <c r="A2800" s="1"/>
      <c r="B2800" s="1"/>
      <c r="C2800" s="1"/>
      <c r="D2800" s="1"/>
      <c r="E2800" s="357">
        <v>44827</v>
      </c>
      <c r="F2800" s="344" t="s">
        <v>631</v>
      </c>
      <c r="G2800" s="358">
        <v>18.370200000000001</v>
      </c>
      <c r="H2800" s="344" t="s">
        <v>1334</v>
      </c>
    </row>
    <row r="2801" spans="1:8">
      <c r="A2801" s="1"/>
      <c r="B2801" s="1"/>
      <c r="C2801" s="1"/>
      <c r="D2801" s="1"/>
      <c r="E2801" s="357">
        <v>44830</v>
      </c>
      <c r="F2801" s="344" t="s">
        <v>621</v>
      </c>
      <c r="G2801" s="358">
        <v>18.62</v>
      </c>
      <c r="H2801" s="344" t="s">
        <v>1335</v>
      </c>
    </row>
    <row r="2802" spans="1:8">
      <c r="A2802" s="1"/>
      <c r="B2802" s="1"/>
      <c r="C2802" s="1"/>
      <c r="D2802" s="1"/>
      <c r="E2802" s="357">
        <v>44830</v>
      </c>
      <c r="F2802" s="344" t="s">
        <v>625</v>
      </c>
      <c r="G2802" s="358">
        <v>17.790900000000001</v>
      </c>
      <c r="H2802" s="344" t="s">
        <v>1335</v>
      </c>
    </row>
    <row r="2803" spans="1:8">
      <c r="A2803" s="1"/>
      <c r="B2803" s="1"/>
      <c r="C2803" s="1"/>
      <c r="D2803" s="1"/>
      <c r="E2803" s="357">
        <v>44830</v>
      </c>
      <c r="F2803" s="344" t="s">
        <v>628</v>
      </c>
      <c r="G2803" s="358">
        <v>19.706800000000001</v>
      </c>
      <c r="H2803" s="344" t="s">
        <v>1335</v>
      </c>
    </row>
    <row r="2804" spans="1:8">
      <c r="A2804" s="1"/>
      <c r="B2804" s="1"/>
      <c r="C2804" s="1"/>
      <c r="D2804" s="1"/>
      <c r="E2804" s="357">
        <v>44830</v>
      </c>
      <c r="F2804" s="344" t="s">
        <v>631</v>
      </c>
      <c r="G2804" s="358">
        <v>18.426600000000001</v>
      </c>
      <c r="H2804" s="344" t="s">
        <v>1335</v>
      </c>
    </row>
    <row r="2805" spans="1:8">
      <c r="A2805" s="1"/>
      <c r="B2805" s="1"/>
      <c r="C2805" s="1"/>
      <c r="D2805" s="1"/>
      <c r="E2805" s="357">
        <v>44831</v>
      </c>
      <c r="F2805" s="344" t="s">
        <v>621</v>
      </c>
      <c r="G2805" s="358">
        <v>18.632200000000001</v>
      </c>
      <c r="H2805" s="344" t="s">
        <v>1336</v>
      </c>
    </row>
    <row r="2806" spans="1:8">
      <c r="A2806" s="1"/>
      <c r="B2806" s="1"/>
      <c r="C2806" s="1"/>
      <c r="D2806" s="1"/>
      <c r="E2806" s="357">
        <v>44831</v>
      </c>
      <c r="F2806" s="344" t="s">
        <v>625</v>
      </c>
      <c r="G2806" s="358">
        <v>17.771899999999999</v>
      </c>
      <c r="H2806" s="344" t="s">
        <v>1336</v>
      </c>
    </row>
    <row r="2807" spans="1:8">
      <c r="A2807" s="1"/>
      <c r="B2807" s="1"/>
      <c r="C2807" s="1"/>
      <c r="D2807" s="1"/>
      <c r="E2807" s="357">
        <v>44831</v>
      </c>
      <c r="F2807" s="344" t="s">
        <v>628</v>
      </c>
      <c r="G2807" s="358">
        <v>19.883299999999998</v>
      </c>
      <c r="H2807" s="344" t="s">
        <v>1336</v>
      </c>
    </row>
    <row r="2808" spans="1:8">
      <c r="A2808" s="1"/>
      <c r="B2808" s="1"/>
      <c r="C2808" s="1"/>
      <c r="D2808" s="1"/>
      <c r="E2808" s="357">
        <v>44831</v>
      </c>
      <c r="F2808" s="344" t="s">
        <v>631</v>
      </c>
      <c r="G2808" s="358">
        <v>18.450900000000001</v>
      </c>
      <c r="H2808" s="344" t="s">
        <v>1336</v>
      </c>
    </row>
    <row r="2809" spans="1:8">
      <c r="A2809" s="1"/>
      <c r="B2809" s="1"/>
      <c r="C2809" s="1"/>
      <c r="D2809" s="1"/>
      <c r="E2809" s="357">
        <v>44832</v>
      </c>
      <c r="F2809" s="344" t="s">
        <v>621</v>
      </c>
      <c r="G2809" s="358">
        <v>18.595199999999998</v>
      </c>
      <c r="H2809" s="344" t="s">
        <v>1337</v>
      </c>
    </row>
    <row r="2810" spans="1:8">
      <c r="A2810" s="1"/>
      <c r="B2810" s="1"/>
      <c r="C2810" s="1"/>
      <c r="D2810" s="1"/>
      <c r="E2810" s="357">
        <v>44832</v>
      </c>
      <c r="F2810" s="344" t="s">
        <v>625</v>
      </c>
      <c r="G2810" s="358">
        <v>17.671099999999999</v>
      </c>
      <c r="H2810" s="344" t="s">
        <v>1337</v>
      </c>
    </row>
    <row r="2811" spans="1:8">
      <c r="A2811" s="1"/>
      <c r="B2811" s="1"/>
      <c r="C2811" s="1"/>
      <c r="D2811" s="1"/>
      <c r="E2811" s="357">
        <v>44832</v>
      </c>
      <c r="F2811" s="344" t="s">
        <v>628</v>
      </c>
      <c r="G2811" s="358">
        <v>19.6738</v>
      </c>
      <c r="H2811" s="344" t="s">
        <v>1337</v>
      </c>
    </row>
    <row r="2812" spans="1:8">
      <c r="A2812" s="1"/>
      <c r="B2812" s="1"/>
      <c r="C2812" s="1"/>
      <c r="D2812" s="1"/>
      <c r="E2812" s="357">
        <v>44832</v>
      </c>
      <c r="F2812" s="344" t="s">
        <v>631</v>
      </c>
      <c r="G2812" s="358">
        <v>18.4862</v>
      </c>
      <c r="H2812" s="344" t="s">
        <v>1337</v>
      </c>
    </row>
    <row r="2813" spans="1:8">
      <c r="A2813" s="1"/>
      <c r="B2813" s="1"/>
      <c r="C2813" s="1"/>
      <c r="D2813" s="1"/>
      <c r="E2813" s="357">
        <v>44833</v>
      </c>
      <c r="F2813" s="344" t="s">
        <v>621</v>
      </c>
      <c r="G2813" s="358">
        <v>18.809200000000001</v>
      </c>
      <c r="H2813" s="344" t="s">
        <v>1338</v>
      </c>
    </row>
    <row r="2814" spans="1:8">
      <c r="A2814" s="1"/>
      <c r="B2814" s="1"/>
      <c r="C2814" s="1"/>
      <c r="D2814" s="1"/>
      <c r="E2814" s="357">
        <v>44833</v>
      </c>
      <c r="F2814" s="344" t="s">
        <v>625</v>
      </c>
      <c r="G2814" s="358">
        <v>17.923200000000001</v>
      </c>
      <c r="H2814" s="344" t="s">
        <v>1338</v>
      </c>
    </row>
    <row r="2815" spans="1:8">
      <c r="A2815" s="1"/>
      <c r="B2815" s="1"/>
      <c r="C2815" s="1"/>
      <c r="D2815" s="1"/>
      <c r="E2815" s="357">
        <v>44833</v>
      </c>
      <c r="F2815" s="344" t="s">
        <v>628</v>
      </c>
      <c r="G2815" s="358">
        <v>19.999500000000001</v>
      </c>
      <c r="H2815" s="344" t="s">
        <v>1338</v>
      </c>
    </row>
    <row r="2816" spans="1:8">
      <c r="A2816" s="1"/>
      <c r="B2816" s="1"/>
      <c r="C2816" s="1"/>
      <c r="D2816" s="1"/>
      <c r="E2816" s="357">
        <v>44833</v>
      </c>
      <c r="F2816" s="344" t="s">
        <v>631</v>
      </c>
      <c r="G2816" s="358">
        <v>18.503799999999998</v>
      </c>
      <c r="H2816" s="344" t="s">
        <v>1338</v>
      </c>
    </row>
    <row r="2817" spans="1:8">
      <c r="A2817" s="1"/>
      <c r="B2817" s="1"/>
      <c r="C2817" s="1"/>
      <c r="D2817" s="1"/>
      <c r="E2817" s="357">
        <v>44834</v>
      </c>
      <c r="F2817" s="344" t="s">
        <v>621</v>
      </c>
      <c r="G2817" s="358">
        <v>18.8888</v>
      </c>
      <c r="H2817" s="344" t="s">
        <v>1339</v>
      </c>
    </row>
    <row r="2818" spans="1:8">
      <c r="A2818" s="1"/>
      <c r="B2818" s="1"/>
      <c r="C2818" s="1"/>
      <c r="D2818" s="1"/>
      <c r="E2818" s="357">
        <v>44834</v>
      </c>
      <c r="F2818" s="344" t="s">
        <v>625</v>
      </c>
      <c r="G2818" s="358">
        <v>18.139500000000002</v>
      </c>
      <c r="H2818" s="344" t="s">
        <v>1339</v>
      </c>
    </row>
    <row r="2819" spans="1:8">
      <c r="A2819" s="1"/>
      <c r="B2819" s="1"/>
      <c r="C2819" s="1"/>
      <c r="D2819" s="1"/>
      <c r="E2819" s="357">
        <v>44834</v>
      </c>
      <c r="F2819" s="344" t="s">
        <v>628</v>
      </c>
      <c r="G2819" s="358">
        <v>20.581600000000002</v>
      </c>
      <c r="H2819" s="344" t="s">
        <v>1339</v>
      </c>
    </row>
    <row r="2820" spans="1:8">
      <c r="A2820" s="1"/>
      <c r="B2820" s="1"/>
      <c r="C2820" s="1"/>
      <c r="D2820" s="1"/>
      <c r="E2820" s="357">
        <v>44834</v>
      </c>
      <c r="F2820" s="344" t="s">
        <v>631</v>
      </c>
      <c r="G2820" s="358">
        <v>18.518699999999999</v>
      </c>
      <c r="H2820" s="344" t="s">
        <v>1339</v>
      </c>
    </row>
    <row r="2821" spans="1:8">
      <c r="A2821" s="1"/>
      <c r="B2821" s="1"/>
      <c r="C2821" s="1"/>
      <c r="D2821" s="1"/>
      <c r="E2821" s="357">
        <v>44837</v>
      </c>
      <c r="F2821" s="344" t="s">
        <v>621</v>
      </c>
      <c r="G2821" s="358">
        <v>18.710799999999999</v>
      </c>
      <c r="H2821" s="344" t="s">
        <v>1340</v>
      </c>
    </row>
    <row r="2822" spans="1:8">
      <c r="A2822" s="1"/>
      <c r="B2822" s="1"/>
      <c r="C2822" s="1"/>
      <c r="D2822" s="1"/>
      <c r="E2822" s="357">
        <v>44837</v>
      </c>
      <c r="F2822" s="344" t="s">
        <v>625</v>
      </c>
      <c r="G2822" s="358">
        <v>18.147400000000001</v>
      </c>
      <c r="H2822" s="344" t="s">
        <v>1340</v>
      </c>
    </row>
    <row r="2823" spans="1:8">
      <c r="A2823" s="1"/>
      <c r="B2823" s="1"/>
      <c r="C2823" s="1"/>
      <c r="D2823" s="1"/>
      <c r="E2823" s="357">
        <v>44837</v>
      </c>
      <c r="F2823" s="344" t="s">
        <v>628</v>
      </c>
      <c r="G2823" s="358">
        <v>20.7316</v>
      </c>
      <c r="H2823" s="344" t="s">
        <v>1340</v>
      </c>
    </row>
    <row r="2824" spans="1:8">
      <c r="A2824" s="1"/>
      <c r="B2824" s="1"/>
      <c r="C2824" s="1"/>
      <c r="D2824" s="1"/>
      <c r="E2824" s="357">
        <v>44837</v>
      </c>
      <c r="F2824" s="344" t="s">
        <v>631</v>
      </c>
      <c r="G2824" s="358">
        <v>18.5397</v>
      </c>
      <c r="H2824" s="344" t="s">
        <v>1340</v>
      </c>
    </row>
    <row r="2825" spans="1:8">
      <c r="A2825" s="1"/>
      <c r="B2825" s="1"/>
      <c r="C2825" s="1"/>
      <c r="D2825" s="1"/>
      <c r="E2825" s="357">
        <v>44838</v>
      </c>
      <c r="F2825" s="344" t="s">
        <v>621</v>
      </c>
      <c r="G2825" s="358">
        <v>18.715199999999999</v>
      </c>
      <c r="H2825" s="344" t="s">
        <v>1341</v>
      </c>
    </row>
    <row r="2826" spans="1:8">
      <c r="A2826" s="1"/>
      <c r="B2826" s="1"/>
      <c r="C2826" s="1"/>
      <c r="D2826" s="1"/>
      <c r="E2826" s="357">
        <v>44838</v>
      </c>
      <c r="F2826" s="344" t="s">
        <v>625</v>
      </c>
      <c r="G2826" s="358">
        <v>18.3233</v>
      </c>
      <c r="H2826" s="344" t="s">
        <v>1341</v>
      </c>
    </row>
    <row r="2827" spans="1:8">
      <c r="A2827" s="1"/>
      <c r="B2827" s="1"/>
      <c r="C2827" s="1"/>
      <c r="D2827" s="1"/>
      <c r="E2827" s="357">
        <v>44838</v>
      </c>
      <c r="F2827" s="344" t="s">
        <v>628</v>
      </c>
      <c r="G2827" s="358">
        <v>21.037600000000001</v>
      </c>
      <c r="H2827" s="344" t="s">
        <v>1341</v>
      </c>
    </row>
    <row r="2828" spans="1:8">
      <c r="A2828" s="1"/>
      <c r="B2828" s="1"/>
      <c r="C2828" s="1"/>
      <c r="D2828" s="1"/>
      <c r="E2828" s="357">
        <v>44838</v>
      </c>
      <c r="F2828" s="344" t="s">
        <v>631</v>
      </c>
      <c r="G2828" s="358">
        <v>18.544699999999999</v>
      </c>
      <c r="H2828" s="344" t="s">
        <v>1341</v>
      </c>
    </row>
    <row r="2829" spans="1:8">
      <c r="A2829" s="1"/>
      <c r="B2829" s="1"/>
      <c r="C2829" s="1"/>
      <c r="D2829" s="1"/>
      <c r="E2829" s="357">
        <v>44839</v>
      </c>
      <c r="F2829" s="344" t="s">
        <v>621</v>
      </c>
      <c r="G2829" s="358">
        <v>18.834099999999999</v>
      </c>
      <c r="H2829" s="344" t="s">
        <v>1342</v>
      </c>
    </row>
    <row r="2830" spans="1:8">
      <c r="A2830" s="1"/>
      <c r="B2830" s="1"/>
      <c r="C2830" s="1"/>
      <c r="D2830" s="1"/>
      <c r="E2830" s="357">
        <v>44839</v>
      </c>
      <c r="F2830" s="344" t="s">
        <v>625</v>
      </c>
      <c r="G2830" s="358">
        <v>18.438800000000001</v>
      </c>
      <c r="H2830" s="344" t="s">
        <v>1342</v>
      </c>
    </row>
    <row r="2831" spans="1:8">
      <c r="A2831" s="1"/>
      <c r="B2831" s="1"/>
      <c r="C2831" s="1"/>
      <c r="D2831" s="1"/>
      <c r="E2831" s="357">
        <v>44839</v>
      </c>
      <c r="F2831" s="344" t="s">
        <v>628</v>
      </c>
      <c r="G2831" s="358">
        <v>21.115400000000001</v>
      </c>
      <c r="H2831" s="344" t="s">
        <v>1342</v>
      </c>
    </row>
    <row r="2832" spans="1:8">
      <c r="A2832" s="1"/>
      <c r="B2832" s="1"/>
      <c r="C2832" s="1"/>
      <c r="D2832" s="1"/>
      <c r="E2832" s="357">
        <v>44839</v>
      </c>
      <c r="F2832" s="344" t="s">
        <v>631</v>
      </c>
      <c r="G2832" s="358">
        <v>18.555</v>
      </c>
      <c r="H2832" s="344" t="s">
        <v>1342</v>
      </c>
    </row>
    <row r="2833" spans="1:8">
      <c r="A2833" s="1"/>
      <c r="B2833" s="1"/>
      <c r="C2833" s="1"/>
      <c r="D2833" s="1"/>
      <c r="E2833" s="357">
        <v>44840</v>
      </c>
      <c r="F2833" s="344" t="s">
        <v>621</v>
      </c>
      <c r="G2833" s="358">
        <v>18.853200000000001</v>
      </c>
      <c r="H2833" s="344" t="s">
        <v>1343</v>
      </c>
    </row>
    <row r="2834" spans="1:8">
      <c r="A2834" s="1"/>
      <c r="B2834" s="1"/>
      <c r="C2834" s="1"/>
      <c r="D2834" s="1"/>
      <c r="E2834" s="357">
        <v>44840</v>
      </c>
      <c r="F2834" s="344" t="s">
        <v>625</v>
      </c>
      <c r="G2834" s="358">
        <v>18.354299999999999</v>
      </c>
      <c r="H2834" s="344" t="s">
        <v>1343</v>
      </c>
    </row>
    <row r="2835" spans="1:8">
      <c r="A2835" s="1"/>
      <c r="B2835" s="1"/>
      <c r="C2835" s="1"/>
      <c r="D2835" s="1"/>
      <c r="E2835" s="357">
        <v>44840</v>
      </c>
      <c r="F2835" s="344" t="s">
        <v>628</v>
      </c>
      <c r="G2835" s="358">
        <v>20.912199999999999</v>
      </c>
      <c r="H2835" s="344" t="s">
        <v>1343</v>
      </c>
    </row>
    <row r="2836" spans="1:8">
      <c r="A2836" s="1"/>
      <c r="B2836" s="1"/>
      <c r="C2836" s="1"/>
      <c r="D2836" s="1"/>
      <c r="E2836" s="357">
        <v>44840</v>
      </c>
      <c r="F2836" s="344" t="s">
        <v>631</v>
      </c>
      <c r="G2836" s="358">
        <v>18.558900000000001</v>
      </c>
      <c r="H2836" s="344" t="s">
        <v>1343</v>
      </c>
    </row>
    <row r="2837" spans="1:8">
      <c r="A2837" s="1"/>
      <c r="B2837" s="1"/>
      <c r="C2837" s="1"/>
      <c r="D2837" s="1"/>
      <c r="E2837" s="357">
        <v>44841</v>
      </c>
      <c r="F2837" s="344" t="s">
        <v>621</v>
      </c>
      <c r="G2837" s="358">
        <v>18.6936</v>
      </c>
      <c r="H2837" s="344" t="s">
        <v>1344</v>
      </c>
    </row>
    <row r="2838" spans="1:8">
      <c r="A2838" s="1"/>
      <c r="B2838" s="1"/>
      <c r="C2838" s="1"/>
      <c r="D2838" s="1"/>
      <c r="E2838" s="357">
        <v>44841</v>
      </c>
      <c r="F2838" s="344" t="s">
        <v>625</v>
      </c>
      <c r="G2838" s="358">
        <v>18.179500000000001</v>
      </c>
      <c r="H2838" s="344" t="s">
        <v>1344</v>
      </c>
    </row>
    <row r="2839" spans="1:8">
      <c r="A2839" s="1"/>
      <c r="B2839" s="1"/>
      <c r="C2839" s="1"/>
      <c r="D2839" s="1"/>
      <c r="E2839" s="357">
        <v>44841</v>
      </c>
      <c r="F2839" s="344" t="s">
        <v>628</v>
      </c>
      <c r="G2839" s="358">
        <v>20.7227</v>
      </c>
      <c r="H2839" s="344" t="s">
        <v>1344</v>
      </c>
    </row>
    <row r="2840" spans="1:8">
      <c r="A2840" s="1"/>
      <c r="B2840" s="1"/>
      <c r="C2840" s="1"/>
      <c r="D2840" s="1"/>
      <c r="E2840" s="357">
        <v>44841</v>
      </c>
      <c r="F2840" s="344" t="s">
        <v>631</v>
      </c>
      <c r="G2840" s="358">
        <v>18.559200000000001</v>
      </c>
      <c r="H2840" s="344" t="s">
        <v>1344</v>
      </c>
    </row>
    <row r="2841" spans="1:8">
      <c r="A2841" s="1"/>
      <c r="B2841" s="1"/>
      <c r="C2841" s="1"/>
      <c r="D2841" s="1"/>
      <c r="E2841" s="357">
        <v>44844</v>
      </c>
      <c r="F2841" s="344" t="s">
        <v>621</v>
      </c>
      <c r="G2841" s="358">
        <v>18.561499999999999</v>
      </c>
      <c r="H2841" s="344" t="s">
        <v>1345</v>
      </c>
    </row>
    <row r="2842" spans="1:8">
      <c r="A2842" s="1"/>
      <c r="B2842" s="1"/>
      <c r="C2842" s="1"/>
      <c r="D2842" s="1"/>
      <c r="E2842" s="357">
        <v>44844</v>
      </c>
      <c r="F2842" s="344" t="s">
        <v>625</v>
      </c>
      <c r="G2842" s="358">
        <v>18.004799999999999</v>
      </c>
      <c r="H2842" s="344" t="s">
        <v>1345</v>
      </c>
    </row>
    <row r="2843" spans="1:8">
      <c r="A2843" s="1"/>
      <c r="B2843" s="1"/>
      <c r="C2843" s="1"/>
      <c r="D2843" s="1"/>
      <c r="E2843" s="357">
        <v>44844</v>
      </c>
      <c r="F2843" s="344" t="s">
        <v>628</v>
      </c>
      <c r="G2843" s="358">
        <v>20.497</v>
      </c>
      <c r="H2843" s="344" t="s">
        <v>1345</v>
      </c>
    </row>
    <row r="2844" spans="1:8">
      <c r="A2844" s="1"/>
      <c r="B2844" s="1"/>
      <c r="C2844" s="1"/>
      <c r="D2844" s="1"/>
      <c r="E2844" s="357">
        <v>44844</v>
      </c>
      <c r="F2844" s="344" t="s">
        <v>631</v>
      </c>
      <c r="G2844" s="358">
        <v>18.5581</v>
      </c>
      <c r="H2844" s="344" t="s">
        <v>1345</v>
      </c>
    </row>
    <row r="2845" spans="1:8">
      <c r="A2845" s="1"/>
      <c r="B2845" s="1"/>
      <c r="C2845" s="1"/>
      <c r="D2845" s="1"/>
      <c r="E2845" s="357">
        <v>44845</v>
      </c>
      <c r="F2845" s="344" t="s">
        <v>621</v>
      </c>
      <c r="G2845" s="358">
        <v>18.539899999999999</v>
      </c>
      <c r="H2845" s="344" t="s">
        <v>1346</v>
      </c>
    </row>
    <row r="2846" spans="1:8">
      <c r="A2846" s="1"/>
      <c r="B2846" s="1"/>
      <c r="C2846" s="1"/>
      <c r="D2846" s="1"/>
      <c r="E2846" s="357">
        <v>44845</v>
      </c>
      <c r="F2846" s="344" t="s">
        <v>625</v>
      </c>
      <c r="G2846" s="358">
        <v>18.0168</v>
      </c>
      <c r="H2846" s="344" t="s">
        <v>1346</v>
      </c>
    </row>
    <row r="2847" spans="1:8">
      <c r="A2847" s="1"/>
      <c r="B2847" s="1"/>
      <c r="C2847" s="1"/>
      <c r="D2847" s="1"/>
      <c r="E2847" s="357">
        <v>44845</v>
      </c>
      <c r="F2847" s="344" t="s">
        <v>628</v>
      </c>
      <c r="G2847" s="358">
        <v>20.468900000000001</v>
      </c>
      <c r="H2847" s="344" t="s">
        <v>1346</v>
      </c>
    </row>
    <row r="2848" spans="1:8">
      <c r="A2848" s="1"/>
      <c r="B2848" s="1"/>
      <c r="C2848" s="1"/>
      <c r="D2848" s="1"/>
      <c r="E2848" s="357">
        <v>44845</v>
      </c>
      <c r="F2848" s="344" t="s">
        <v>631</v>
      </c>
      <c r="G2848" s="358">
        <v>18.561499999999999</v>
      </c>
      <c r="H2848" s="344" t="s">
        <v>1346</v>
      </c>
    </row>
    <row r="2849" spans="1:8">
      <c r="A2849" s="1"/>
      <c r="B2849" s="1"/>
      <c r="C2849" s="1"/>
      <c r="D2849" s="1"/>
      <c r="E2849" s="357">
        <v>44846</v>
      </c>
      <c r="F2849" s="344" t="s">
        <v>621</v>
      </c>
      <c r="G2849" s="358">
        <v>18.6144</v>
      </c>
      <c r="H2849" s="344" t="s">
        <v>1347</v>
      </c>
    </row>
    <row r="2850" spans="1:8">
      <c r="A2850" s="1"/>
      <c r="B2850" s="1"/>
      <c r="C2850" s="1"/>
      <c r="D2850" s="1"/>
      <c r="E2850" s="357">
        <v>44846</v>
      </c>
      <c r="F2850" s="344" t="s">
        <v>625</v>
      </c>
      <c r="G2850" s="358">
        <v>18.029699999999998</v>
      </c>
      <c r="H2850" s="344" t="s">
        <v>1347</v>
      </c>
    </row>
    <row r="2851" spans="1:8">
      <c r="A2851" s="1"/>
      <c r="B2851" s="1"/>
      <c r="C2851" s="1"/>
      <c r="D2851" s="1"/>
      <c r="E2851" s="357">
        <v>44846</v>
      </c>
      <c r="F2851" s="344" t="s">
        <v>628</v>
      </c>
      <c r="G2851" s="358">
        <v>20.451799999999999</v>
      </c>
      <c r="H2851" s="344" t="s">
        <v>1347</v>
      </c>
    </row>
    <row r="2852" spans="1:8">
      <c r="A2852" s="1"/>
      <c r="B2852" s="1"/>
      <c r="C2852" s="1"/>
      <c r="D2852" s="1"/>
      <c r="E2852" s="357">
        <v>44846</v>
      </c>
      <c r="F2852" s="344" t="s">
        <v>631</v>
      </c>
      <c r="G2852" s="358">
        <v>18.566400000000002</v>
      </c>
      <c r="H2852" s="344" t="s">
        <v>1347</v>
      </c>
    </row>
    <row r="2853" spans="1:8">
      <c r="A2853" s="1"/>
      <c r="B2853" s="1"/>
      <c r="C2853" s="1"/>
      <c r="D2853" s="1"/>
      <c r="E2853" s="357">
        <v>44847</v>
      </c>
      <c r="F2853" s="344" t="s">
        <v>621</v>
      </c>
      <c r="G2853" s="358">
        <v>18.5487</v>
      </c>
      <c r="H2853" s="344" t="s">
        <v>1348</v>
      </c>
    </row>
    <row r="2854" spans="1:8">
      <c r="A2854" s="1"/>
      <c r="B2854" s="1"/>
      <c r="C2854" s="1"/>
      <c r="D2854" s="1"/>
      <c r="E2854" s="357">
        <v>44847</v>
      </c>
      <c r="F2854" s="344" t="s">
        <v>625</v>
      </c>
      <c r="G2854" s="358">
        <v>18.040500000000002</v>
      </c>
      <c r="H2854" s="344" t="s">
        <v>1348</v>
      </c>
    </row>
    <row r="2855" spans="1:8">
      <c r="A2855" s="1"/>
      <c r="B2855" s="1"/>
      <c r="C2855" s="1"/>
      <c r="D2855" s="1"/>
      <c r="E2855" s="357">
        <v>44847</v>
      </c>
      <c r="F2855" s="344" t="s">
        <v>628</v>
      </c>
      <c r="G2855" s="358">
        <v>20.640699999999999</v>
      </c>
      <c r="H2855" s="344" t="s">
        <v>1348</v>
      </c>
    </row>
    <row r="2856" spans="1:8">
      <c r="A2856" s="1"/>
      <c r="B2856" s="1"/>
      <c r="C2856" s="1"/>
      <c r="D2856" s="1"/>
      <c r="E2856" s="357">
        <v>44847</v>
      </c>
      <c r="F2856" s="344" t="s">
        <v>631</v>
      </c>
      <c r="G2856" s="358">
        <v>18.5656</v>
      </c>
      <c r="H2856" s="344" t="s">
        <v>1348</v>
      </c>
    </row>
    <row r="2857" spans="1:8">
      <c r="A2857" s="1"/>
      <c r="B2857" s="1"/>
      <c r="C2857" s="1"/>
      <c r="D2857" s="1"/>
      <c r="E2857" s="357">
        <v>44848</v>
      </c>
      <c r="F2857" s="344" t="s">
        <v>621</v>
      </c>
      <c r="G2857" s="358">
        <v>18.499300000000002</v>
      </c>
      <c r="H2857" s="344" t="s">
        <v>1349</v>
      </c>
    </row>
    <row r="2858" spans="1:8">
      <c r="A2858" s="1"/>
      <c r="B2858" s="1"/>
      <c r="C2858" s="1"/>
      <c r="D2858" s="1"/>
      <c r="E2858" s="357">
        <v>44848</v>
      </c>
      <c r="F2858" s="344" t="s">
        <v>625</v>
      </c>
      <c r="G2858" s="358">
        <v>18.093</v>
      </c>
      <c r="H2858" s="344" t="s">
        <v>1349</v>
      </c>
    </row>
    <row r="2859" spans="1:8">
      <c r="A2859" s="1"/>
      <c r="B2859" s="1"/>
      <c r="C2859" s="1"/>
      <c r="D2859" s="1"/>
      <c r="E2859" s="357">
        <v>44848</v>
      </c>
      <c r="F2859" s="344" t="s">
        <v>628</v>
      </c>
      <c r="G2859" s="358">
        <v>20.870100000000001</v>
      </c>
      <c r="H2859" s="344" t="s">
        <v>1349</v>
      </c>
    </row>
    <row r="2860" spans="1:8">
      <c r="A2860" s="1"/>
      <c r="B2860" s="1"/>
      <c r="C2860" s="1"/>
      <c r="D2860" s="1"/>
      <c r="E2860" s="357">
        <v>44848</v>
      </c>
      <c r="F2860" s="344" t="s">
        <v>631</v>
      </c>
      <c r="G2860" s="358">
        <v>18.5596</v>
      </c>
      <c r="H2860" s="344" t="s">
        <v>1349</v>
      </c>
    </row>
    <row r="2861" spans="1:8">
      <c r="A2861" s="1"/>
      <c r="B2861" s="1"/>
      <c r="C2861" s="1"/>
      <c r="D2861" s="1"/>
      <c r="E2861" s="357">
        <v>44851</v>
      </c>
      <c r="F2861" s="344" t="s">
        <v>621</v>
      </c>
      <c r="G2861" s="358">
        <v>18.488900000000001</v>
      </c>
      <c r="H2861" s="344" t="s">
        <v>1350</v>
      </c>
    </row>
    <row r="2862" spans="1:8">
      <c r="A2862" s="1"/>
      <c r="B2862" s="1"/>
      <c r="C2862" s="1"/>
      <c r="D2862" s="1"/>
      <c r="E2862" s="357">
        <v>44851</v>
      </c>
      <c r="F2862" s="344" t="s">
        <v>625</v>
      </c>
      <c r="G2862" s="358">
        <v>18.089700000000001</v>
      </c>
      <c r="H2862" s="344" t="s">
        <v>1350</v>
      </c>
    </row>
    <row r="2863" spans="1:8">
      <c r="A2863" s="1"/>
      <c r="B2863" s="1"/>
      <c r="C2863" s="1"/>
      <c r="D2863" s="1"/>
      <c r="E2863" s="357">
        <v>44851</v>
      </c>
      <c r="F2863" s="344" t="s">
        <v>628</v>
      </c>
      <c r="G2863" s="358">
        <v>20.895700000000001</v>
      </c>
      <c r="H2863" s="344" t="s">
        <v>1350</v>
      </c>
    </row>
    <row r="2864" spans="1:8">
      <c r="A2864" s="1"/>
      <c r="B2864" s="1"/>
      <c r="C2864" s="1"/>
      <c r="D2864" s="1"/>
      <c r="E2864" s="357">
        <v>44851</v>
      </c>
      <c r="F2864" s="344" t="s">
        <v>631</v>
      </c>
      <c r="G2864" s="358">
        <v>18.566299999999998</v>
      </c>
      <c r="H2864" s="344" t="s">
        <v>1350</v>
      </c>
    </row>
    <row r="2865" spans="1:8">
      <c r="A2865" s="1"/>
      <c r="B2865" s="1"/>
      <c r="C2865" s="1"/>
      <c r="D2865" s="1"/>
      <c r="E2865" s="357">
        <v>44852</v>
      </c>
      <c r="F2865" s="344" t="s">
        <v>621</v>
      </c>
      <c r="G2865" s="358">
        <v>18.6112</v>
      </c>
      <c r="H2865" s="344" t="s">
        <v>1351</v>
      </c>
    </row>
    <row r="2866" spans="1:8">
      <c r="A2866" s="1"/>
      <c r="B2866" s="1"/>
      <c r="C2866" s="1"/>
      <c r="D2866" s="1"/>
      <c r="E2866" s="357">
        <v>44852</v>
      </c>
      <c r="F2866" s="344" t="s">
        <v>625</v>
      </c>
      <c r="G2866" s="358">
        <v>18.269600000000001</v>
      </c>
      <c r="H2866" s="344" t="s">
        <v>1351</v>
      </c>
    </row>
    <row r="2867" spans="1:8">
      <c r="A2867" s="1"/>
      <c r="B2867" s="1"/>
      <c r="C2867" s="1"/>
      <c r="D2867" s="1"/>
      <c r="E2867" s="357">
        <v>44852</v>
      </c>
      <c r="F2867" s="344" t="s">
        <v>628</v>
      </c>
      <c r="G2867" s="358">
        <v>20.957100000000001</v>
      </c>
      <c r="H2867" s="344" t="s">
        <v>1351</v>
      </c>
    </row>
    <row r="2868" spans="1:8">
      <c r="A2868" s="1"/>
      <c r="B2868" s="1"/>
      <c r="C2868" s="1"/>
      <c r="D2868" s="1"/>
      <c r="E2868" s="357">
        <v>44852</v>
      </c>
      <c r="F2868" s="344" t="s">
        <v>631</v>
      </c>
      <c r="G2868" s="358">
        <v>18.566299999999998</v>
      </c>
      <c r="H2868" s="344" t="s">
        <v>1351</v>
      </c>
    </row>
    <row r="2869" spans="1:8">
      <c r="A2869" s="1"/>
      <c r="B2869" s="1"/>
      <c r="C2869" s="1"/>
      <c r="D2869" s="1"/>
      <c r="E2869" s="357">
        <v>44853</v>
      </c>
      <c r="F2869" s="344" t="s">
        <v>621</v>
      </c>
      <c r="G2869" s="358">
        <v>18.5185</v>
      </c>
      <c r="H2869" s="344" t="s">
        <v>1352</v>
      </c>
    </row>
    <row r="2870" spans="1:8">
      <c r="A2870" s="1"/>
      <c r="B2870" s="1"/>
      <c r="C2870" s="1"/>
      <c r="D2870" s="1"/>
      <c r="E2870" s="357">
        <v>44853</v>
      </c>
      <c r="F2870" s="344" t="s">
        <v>625</v>
      </c>
      <c r="G2870" s="358">
        <v>18.215699999999998</v>
      </c>
      <c r="H2870" s="344" t="s">
        <v>1352</v>
      </c>
    </row>
    <row r="2871" spans="1:8">
      <c r="A2871" s="1"/>
      <c r="B2871" s="1"/>
      <c r="C2871" s="1"/>
      <c r="D2871" s="1"/>
      <c r="E2871" s="357">
        <v>44853</v>
      </c>
      <c r="F2871" s="344" t="s">
        <v>628</v>
      </c>
      <c r="G2871" s="358">
        <v>20.884699999999999</v>
      </c>
      <c r="H2871" s="344" t="s">
        <v>1352</v>
      </c>
    </row>
    <row r="2872" spans="1:8">
      <c r="A2872" s="1"/>
      <c r="B2872" s="1"/>
      <c r="C2872" s="1"/>
      <c r="D2872" s="1"/>
      <c r="E2872" s="357">
        <v>44853</v>
      </c>
      <c r="F2872" s="344" t="s">
        <v>631</v>
      </c>
      <c r="G2872" s="358">
        <v>18.566099999999999</v>
      </c>
      <c r="H2872" s="344" t="s">
        <v>1352</v>
      </c>
    </row>
    <row r="2873" spans="1:8">
      <c r="A2873" s="1"/>
      <c r="B2873" s="1"/>
      <c r="C2873" s="1"/>
      <c r="D2873" s="1"/>
      <c r="E2873" s="357">
        <v>44854</v>
      </c>
      <c r="F2873" s="344" t="s">
        <v>621</v>
      </c>
      <c r="G2873" s="358">
        <v>18.446300000000001</v>
      </c>
      <c r="H2873" s="344" t="s">
        <v>1353</v>
      </c>
    </row>
    <row r="2874" spans="1:8">
      <c r="A2874" s="1"/>
      <c r="B2874" s="1"/>
      <c r="C2874" s="1"/>
      <c r="D2874" s="1"/>
      <c r="E2874" s="357">
        <v>44854</v>
      </c>
      <c r="F2874" s="344" t="s">
        <v>625</v>
      </c>
      <c r="G2874" s="358">
        <v>18.186</v>
      </c>
      <c r="H2874" s="344" t="s">
        <v>1353</v>
      </c>
    </row>
    <row r="2875" spans="1:8">
      <c r="A2875" s="1"/>
      <c r="B2875" s="1"/>
      <c r="C2875" s="1"/>
      <c r="D2875" s="1"/>
      <c r="E2875" s="357">
        <v>44854</v>
      </c>
      <c r="F2875" s="344" t="s">
        <v>628</v>
      </c>
      <c r="G2875" s="358">
        <v>20.793299999999999</v>
      </c>
      <c r="H2875" s="344" t="s">
        <v>1353</v>
      </c>
    </row>
    <row r="2876" spans="1:8">
      <c r="A2876" s="1"/>
      <c r="B2876" s="1"/>
      <c r="C2876" s="1"/>
      <c r="D2876" s="1"/>
      <c r="E2876" s="357">
        <v>44854</v>
      </c>
      <c r="F2876" s="344" t="s">
        <v>631</v>
      </c>
      <c r="G2876" s="358">
        <v>18.5687</v>
      </c>
      <c r="H2876" s="344" t="s">
        <v>1353</v>
      </c>
    </row>
    <row r="2877" spans="1:8">
      <c r="A2877" s="1"/>
      <c r="B2877" s="1"/>
      <c r="C2877" s="1"/>
      <c r="D2877" s="1"/>
      <c r="E2877" s="357">
        <v>44855</v>
      </c>
      <c r="F2877" s="344" t="s">
        <v>621</v>
      </c>
      <c r="G2877" s="358">
        <v>18.3565</v>
      </c>
      <c r="H2877" s="344" t="s">
        <v>1354</v>
      </c>
    </row>
    <row r="2878" spans="1:8">
      <c r="A2878" s="1"/>
      <c r="B2878" s="1"/>
      <c r="C2878" s="1"/>
      <c r="D2878" s="1"/>
      <c r="E2878" s="357">
        <v>44855</v>
      </c>
      <c r="F2878" s="344" t="s">
        <v>625</v>
      </c>
      <c r="G2878" s="358">
        <v>18.124600000000001</v>
      </c>
      <c r="H2878" s="344" t="s">
        <v>1354</v>
      </c>
    </row>
    <row r="2879" spans="1:8">
      <c r="A2879" s="1"/>
      <c r="B2879" s="1"/>
      <c r="C2879" s="1"/>
      <c r="D2879" s="1"/>
      <c r="E2879" s="357">
        <v>44855</v>
      </c>
      <c r="F2879" s="344" t="s">
        <v>628</v>
      </c>
      <c r="G2879" s="358">
        <v>20.659300000000002</v>
      </c>
      <c r="H2879" s="344" t="s">
        <v>1354</v>
      </c>
    </row>
    <row r="2880" spans="1:8">
      <c r="A2880" s="1"/>
      <c r="B2880" s="1"/>
      <c r="C2880" s="1"/>
      <c r="D2880" s="1"/>
      <c r="E2880" s="357">
        <v>44855</v>
      </c>
      <c r="F2880" s="344" t="s">
        <v>631</v>
      </c>
      <c r="G2880" s="358">
        <v>18.574100000000001</v>
      </c>
      <c r="H2880" s="344" t="s">
        <v>1354</v>
      </c>
    </row>
    <row r="2881" spans="1:8">
      <c r="A2881" s="1"/>
      <c r="B2881" s="1"/>
      <c r="C2881" s="1"/>
      <c r="D2881" s="1"/>
      <c r="E2881" s="357">
        <v>44858</v>
      </c>
      <c r="F2881" s="344" t="s">
        <v>621</v>
      </c>
      <c r="G2881" s="358">
        <v>18.527899999999999</v>
      </c>
      <c r="H2881" s="344" t="s">
        <v>1355</v>
      </c>
    </row>
    <row r="2882" spans="1:8">
      <c r="A2882" s="1"/>
      <c r="B2882" s="1"/>
      <c r="C2882" s="1"/>
      <c r="D2882" s="1"/>
      <c r="E2882" s="357">
        <v>44858</v>
      </c>
      <c r="F2882" s="344" t="s">
        <v>625</v>
      </c>
      <c r="G2882" s="358">
        <v>18.2761</v>
      </c>
      <c r="H2882" s="344" t="s">
        <v>1355</v>
      </c>
    </row>
    <row r="2883" spans="1:8">
      <c r="A2883" s="1"/>
      <c r="B2883" s="1"/>
      <c r="C2883" s="1"/>
      <c r="D2883" s="1"/>
      <c r="E2883" s="357">
        <v>44858</v>
      </c>
      <c r="F2883" s="344" t="s">
        <v>628</v>
      </c>
      <c r="G2883" s="358">
        <v>21.011299999999999</v>
      </c>
      <c r="H2883" s="344" t="s">
        <v>1355</v>
      </c>
    </row>
    <row r="2884" spans="1:8">
      <c r="A2884" s="1"/>
      <c r="B2884" s="1"/>
      <c r="C2884" s="1"/>
      <c r="D2884" s="1"/>
      <c r="E2884" s="357">
        <v>44858</v>
      </c>
      <c r="F2884" s="344" t="s">
        <v>631</v>
      </c>
      <c r="G2884" s="358">
        <v>18.582999999999998</v>
      </c>
      <c r="H2884" s="344" t="s">
        <v>1355</v>
      </c>
    </row>
    <row r="2885" spans="1:8">
      <c r="A2885" s="1"/>
      <c r="B2885" s="1"/>
      <c r="C2885" s="1"/>
      <c r="D2885" s="1"/>
      <c r="E2885" s="357">
        <v>44859</v>
      </c>
      <c r="F2885" s="344" t="s">
        <v>621</v>
      </c>
      <c r="G2885" s="358">
        <v>18.491700000000002</v>
      </c>
      <c r="H2885" s="344" t="s">
        <v>1356</v>
      </c>
    </row>
    <row r="2886" spans="1:8">
      <c r="A2886" s="1"/>
      <c r="B2886" s="1"/>
      <c r="C2886" s="1"/>
      <c r="D2886" s="1"/>
      <c r="E2886" s="357">
        <v>44859</v>
      </c>
      <c r="F2886" s="344" t="s">
        <v>625</v>
      </c>
      <c r="G2886" s="358">
        <v>18.3231</v>
      </c>
      <c r="H2886" s="344" t="s">
        <v>1356</v>
      </c>
    </row>
    <row r="2887" spans="1:8">
      <c r="A2887" s="1"/>
      <c r="B2887" s="1"/>
      <c r="C2887" s="1"/>
      <c r="D2887" s="1"/>
      <c r="E2887" s="357">
        <v>44859</v>
      </c>
      <c r="F2887" s="344" t="s">
        <v>628</v>
      </c>
      <c r="G2887" s="358">
        <v>20.986899999999999</v>
      </c>
      <c r="H2887" s="344" t="s">
        <v>1356</v>
      </c>
    </row>
    <row r="2888" spans="1:8">
      <c r="A2888" s="1"/>
      <c r="B2888" s="1"/>
      <c r="C2888" s="1"/>
      <c r="D2888" s="1"/>
      <c r="E2888" s="357">
        <v>44859</v>
      </c>
      <c r="F2888" s="344" t="s">
        <v>631</v>
      </c>
      <c r="G2888" s="358">
        <v>18.5825</v>
      </c>
      <c r="H2888" s="344" t="s">
        <v>1356</v>
      </c>
    </row>
    <row r="2889" spans="1:8">
      <c r="A2889" s="1"/>
      <c r="B2889" s="1"/>
      <c r="C2889" s="1"/>
      <c r="D2889" s="1"/>
      <c r="E2889" s="357">
        <v>44860</v>
      </c>
      <c r="F2889" s="344" t="s">
        <v>621</v>
      </c>
      <c r="G2889" s="358">
        <v>18.744399999999999</v>
      </c>
      <c r="H2889" s="344" t="s">
        <v>1357</v>
      </c>
    </row>
    <row r="2890" spans="1:8">
      <c r="A2890" s="1"/>
      <c r="B2890" s="1"/>
      <c r="C2890" s="1"/>
      <c r="D2890" s="1"/>
      <c r="E2890" s="357">
        <v>44860</v>
      </c>
      <c r="F2890" s="344" t="s">
        <v>625</v>
      </c>
      <c r="G2890" s="358">
        <v>18.625299999999999</v>
      </c>
      <c r="H2890" s="344" t="s">
        <v>1357</v>
      </c>
    </row>
    <row r="2891" spans="1:8">
      <c r="A2891" s="1"/>
      <c r="B2891" s="1"/>
      <c r="C2891" s="1"/>
      <c r="D2891" s="1"/>
      <c r="E2891" s="357">
        <v>44860</v>
      </c>
      <c r="F2891" s="344" t="s">
        <v>628</v>
      </c>
      <c r="G2891" s="358">
        <v>21.447399999999998</v>
      </c>
      <c r="H2891" s="344" t="s">
        <v>1357</v>
      </c>
    </row>
    <row r="2892" spans="1:8">
      <c r="A2892" s="1"/>
      <c r="B2892" s="1"/>
      <c r="C2892" s="1"/>
      <c r="D2892" s="1"/>
      <c r="E2892" s="357">
        <v>44860</v>
      </c>
      <c r="F2892" s="344" t="s">
        <v>631</v>
      </c>
      <c r="G2892" s="358">
        <v>18.586500000000001</v>
      </c>
      <c r="H2892" s="344" t="s">
        <v>1357</v>
      </c>
    </row>
    <row r="2893" spans="1:8">
      <c r="A2893" s="1"/>
      <c r="B2893" s="1"/>
      <c r="C2893" s="1"/>
      <c r="D2893" s="1"/>
      <c r="E2893" s="357">
        <v>44861</v>
      </c>
      <c r="F2893" s="344" t="s">
        <v>621</v>
      </c>
      <c r="G2893" s="358">
        <v>18.754300000000001</v>
      </c>
      <c r="H2893" s="344" t="s">
        <v>1358</v>
      </c>
    </row>
    <row r="2894" spans="1:8">
      <c r="A2894" s="1"/>
      <c r="B2894" s="1"/>
      <c r="C2894" s="1"/>
      <c r="D2894" s="1"/>
      <c r="E2894" s="357">
        <v>44861</v>
      </c>
      <c r="F2894" s="344" t="s">
        <v>625</v>
      </c>
      <c r="G2894" s="358">
        <v>18.683700000000002</v>
      </c>
      <c r="H2894" s="344" t="s">
        <v>1358</v>
      </c>
    </row>
    <row r="2895" spans="1:8">
      <c r="A2895" s="1"/>
      <c r="B2895" s="1"/>
      <c r="C2895" s="1"/>
      <c r="D2895" s="1"/>
      <c r="E2895" s="357">
        <v>44861</v>
      </c>
      <c r="F2895" s="344" t="s">
        <v>628</v>
      </c>
      <c r="G2895" s="358">
        <v>21.487300000000001</v>
      </c>
      <c r="H2895" s="344" t="s">
        <v>1358</v>
      </c>
    </row>
    <row r="2896" spans="1:8">
      <c r="A2896" s="1"/>
      <c r="B2896" s="1"/>
      <c r="C2896" s="1"/>
      <c r="D2896" s="1"/>
      <c r="E2896" s="357">
        <v>44861</v>
      </c>
      <c r="F2896" s="344" t="s">
        <v>631</v>
      </c>
      <c r="G2896" s="358">
        <v>18.588000000000001</v>
      </c>
      <c r="H2896" s="344" t="s">
        <v>1358</v>
      </c>
    </row>
    <row r="2897" spans="1:8">
      <c r="A2897" s="1"/>
      <c r="B2897" s="1"/>
      <c r="C2897" s="1"/>
      <c r="D2897" s="1"/>
      <c r="E2897" s="357">
        <v>44865</v>
      </c>
      <c r="F2897" s="344" t="s">
        <v>621</v>
      </c>
      <c r="G2897" s="358">
        <v>18.559999999999999</v>
      </c>
      <c r="H2897" s="344" t="s">
        <v>1359</v>
      </c>
    </row>
    <row r="2898" spans="1:8">
      <c r="A2898" s="1"/>
      <c r="B2898" s="1"/>
      <c r="C2898" s="1"/>
      <c r="D2898" s="1"/>
      <c r="E2898" s="357">
        <v>44865</v>
      </c>
      <c r="F2898" s="344" t="s">
        <v>625</v>
      </c>
      <c r="G2898" s="358">
        <v>18.4742</v>
      </c>
      <c r="H2898" s="344" t="s">
        <v>1359</v>
      </c>
    </row>
    <row r="2899" spans="1:8">
      <c r="A2899" s="1"/>
      <c r="B2899" s="1"/>
      <c r="C2899" s="1"/>
      <c r="D2899" s="1"/>
      <c r="E2899" s="357">
        <v>44865</v>
      </c>
      <c r="F2899" s="344" t="s">
        <v>628</v>
      </c>
      <c r="G2899" s="358">
        <v>21.461200000000002</v>
      </c>
      <c r="H2899" s="344" t="s">
        <v>1359</v>
      </c>
    </row>
    <row r="2900" spans="1:8">
      <c r="A2900" s="1"/>
      <c r="B2900" s="1"/>
      <c r="C2900" s="1"/>
      <c r="D2900" s="1"/>
      <c r="E2900" s="357">
        <v>44865</v>
      </c>
      <c r="F2900" s="344" t="s">
        <v>631</v>
      </c>
      <c r="G2900" s="358">
        <v>18.5915</v>
      </c>
      <c r="H2900" s="344" t="s">
        <v>1359</v>
      </c>
    </row>
    <row r="2901" spans="1:8">
      <c r="A2901" s="1"/>
      <c r="B2901" s="1"/>
      <c r="C2901" s="1"/>
      <c r="D2901" s="1"/>
      <c r="E2901" s="357">
        <v>44866</v>
      </c>
      <c r="F2901" s="344" t="s">
        <v>621</v>
      </c>
      <c r="G2901" s="358">
        <v>18.645299999999999</v>
      </c>
      <c r="H2901" s="344" t="s">
        <v>1360</v>
      </c>
    </row>
    <row r="2902" spans="1:8">
      <c r="A2902" s="1"/>
      <c r="B2902" s="1"/>
      <c r="C2902" s="1"/>
      <c r="D2902" s="1"/>
      <c r="E2902" s="357">
        <v>44866</v>
      </c>
      <c r="F2902" s="344" t="s">
        <v>625</v>
      </c>
      <c r="G2902" s="358">
        <v>18.468</v>
      </c>
      <c r="H2902" s="344" t="s">
        <v>1360</v>
      </c>
    </row>
    <row r="2903" spans="1:8">
      <c r="A2903" s="1"/>
      <c r="B2903" s="1"/>
      <c r="C2903" s="1"/>
      <c r="D2903" s="1"/>
      <c r="E2903" s="357">
        <v>44866</v>
      </c>
      <c r="F2903" s="344" t="s">
        <v>628</v>
      </c>
      <c r="G2903" s="358">
        <v>21.414200000000001</v>
      </c>
      <c r="H2903" s="344" t="s">
        <v>1360</v>
      </c>
    </row>
    <row r="2904" spans="1:8">
      <c r="A2904" s="1"/>
      <c r="B2904" s="1"/>
      <c r="C2904" s="1"/>
      <c r="D2904" s="1"/>
      <c r="E2904" s="357">
        <v>44866</v>
      </c>
      <c r="F2904" s="344" t="s">
        <v>631</v>
      </c>
      <c r="G2904" s="358">
        <v>18.595600000000001</v>
      </c>
      <c r="H2904" s="344" t="s">
        <v>1360</v>
      </c>
    </row>
    <row r="2905" spans="1:8">
      <c r="A2905" s="1"/>
      <c r="B2905" s="1"/>
      <c r="C2905" s="1"/>
      <c r="D2905" s="1"/>
      <c r="E2905" s="357">
        <v>44867</v>
      </c>
      <c r="F2905" s="344" t="s">
        <v>621</v>
      </c>
      <c r="G2905" s="358">
        <v>18.602699999999999</v>
      </c>
      <c r="H2905" s="344" t="s">
        <v>1361</v>
      </c>
    </row>
    <row r="2906" spans="1:8">
      <c r="A2906" s="1"/>
      <c r="B2906" s="1"/>
      <c r="C2906" s="1"/>
      <c r="D2906" s="1"/>
      <c r="E2906" s="357">
        <v>44867</v>
      </c>
      <c r="F2906" s="344" t="s">
        <v>625</v>
      </c>
      <c r="G2906" s="358">
        <v>18.404299999999999</v>
      </c>
      <c r="H2906" s="344" t="s">
        <v>1361</v>
      </c>
    </row>
    <row r="2907" spans="1:8">
      <c r="A2907" s="1"/>
      <c r="B2907" s="1"/>
      <c r="C2907" s="1"/>
      <c r="D2907" s="1"/>
      <c r="E2907" s="357">
        <v>44867</v>
      </c>
      <c r="F2907" s="344" t="s">
        <v>628</v>
      </c>
      <c r="G2907" s="358">
        <v>21.356000000000002</v>
      </c>
      <c r="H2907" s="344" t="s">
        <v>1361</v>
      </c>
    </row>
    <row r="2908" spans="1:8">
      <c r="A2908" s="1"/>
      <c r="B2908" s="1"/>
      <c r="C2908" s="1"/>
      <c r="D2908" s="1"/>
      <c r="E2908" s="357">
        <v>44867</v>
      </c>
      <c r="F2908" s="344" t="s">
        <v>631</v>
      </c>
      <c r="G2908" s="358">
        <v>18.598099999999999</v>
      </c>
      <c r="H2908" s="344" t="s">
        <v>1361</v>
      </c>
    </row>
    <row r="2909" spans="1:8">
      <c r="A2909" s="1"/>
      <c r="B2909" s="1"/>
      <c r="C2909" s="1"/>
      <c r="D2909" s="1"/>
      <c r="E2909" s="357">
        <v>44868</v>
      </c>
      <c r="F2909" s="344" t="s">
        <v>621</v>
      </c>
      <c r="G2909" s="358">
        <v>18.3658</v>
      </c>
      <c r="H2909" s="344" t="s">
        <v>1362</v>
      </c>
    </row>
    <row r="2910" spans="1:8">
      <c r="A2910" s="1"/>
      <c r="B2910" s="1"/>
      <c r="C2910" s="1"/>
      <c r="D2910" s="1"/>
      <c r="E2910" s="357">
        <v>44868</v>
      </c>
      <c r="F2910" s="344" t="s">
        <v>625</v>
      </c>
      <c r="G2910" s="358">
        <v>18.163900000000002</v>
      </c>
      <c r="H2910" s="344" t="s">
        <v>1362</v>
      </c>
    </row>
    <row r="2911" spans="1:8">
      <c r="A2911" s="1"/>
      <c r="B2911" s="1"/>
      <c r="C2911" s="1"/>
      <c r="D2911" s="1"/>
      <c r="E2911" s="357">
        <v>44868</v>
      </c>
      <c r="F2911" s="344" t="s">
        <v>628</v>
      </c>
      <c r="G2911" s="358">
        <v>20.965900000000001</v>
      </c>
      <c r="H2911" s="344" t="s">
        <v>1362</v>
      </c>
    </row>
    <row r="2912" spans="1:8">
      <c r="A2912" s="1"/>
      <c r="B2912" s="1"/>
      <c r="C2912" s="1"/>
      <c r="D2912" s="1"/>
      <c r="E2912" s="357">
        <v>44868</v>
      </c>
      <c r="F2912" s="344" t="s">
        <v>631</v>
      </c>
      <c r="G2912" s="358">
        <v>18.597200000000001</v>
      </c>
      <c r="H2912" s="344" t="s">
        <v>1362</v>
      </c>
    </row>
    <row r="2913" spans="1:8">
      <c r="A2913" s="1"/>
      <c r="B2913" s="1"/>
      <c r="C2913" s="1"/>
      <c r="D2913" s="1"/>
      <c r="E2913" s="357">
        <v>44869</v>
      </c>
      <c r="F2913" s="344" t="s">
        <v>621</v>
      </c>
      <c r="G2913" s="358">
        <v>18.383099999999999</v>
      </c>
      <c r="H2913" s="344" t="s">
        <v>1363</v>
      </c>
    </row>
    <row r="2914" spans="1:8">
      <c r="A2914" s="1"/>
      <c r="B2914" s="1"/>
      <c r="C2914" s="1"/>
      <c r="D2914" s="1"/>
      <c r="E2914" s="357">
        <v>44869</v>
      </c>
      <c r="F2914" s="344" t="s">
        <v>625</v>
      </c>
      <c r="G2914" s="358">
        <v>18.184999999999999</v>
      </c>
      <c r="H2914" s="344" t="s">
        <v>1363</v>
      </c>
    </row>
    <row r="2915" spans="1:8">
      <c r="A2915" s="1"/>
      <c r="B2915" s="1"/>
      <c r="C2915" s="1"/>
      <c r="D2915" s="1"/>
      <c r="E2915" s="357">
        <v>44869</v>
      </c>
      <c r="F2915" s="344" t="s">
        <v>628</v>
      </c>
      <c r="G2915" s="358">
        <v>20.817299999999999</v>
      </c>
      <c r="H2915" s="344" t="s">
        <v>1363</v>
      </c>
    </row>
    <row r="2916" spans="1:8">
      <c r="A2916" s="1"/>
      <c r="B2916" s="1"/>
      <c r="C2916" s="1"/>
      <c r="D2916" s="1"/>
      <c r="E2916" s="357">
        <v>44869</v>
      </c>
      <c r="F2916" s="344" t="s">
        <v>631</v>
      </c>
      <c r="G2916" s="358">
        <v>18.593599999999999</v>
      </c>
      <c r="H2916" s="344" t="s">
        <v>1363</v>
      </c>
    </row>
    <row r="2917" spans="1:8">
      <c r="A2917" s="1"/>
      <c r="B2917" s="1"/>
      <c r="C2917" s="1"/>
      <c r="D2917" s="1"/>
      <c r="E2917" s="357">
        <v>44872</v>
      </c>
      <c r="F2917" s="344" t="s">
        <v>621</v>
      </c>
      <c r="G2917" s="358">
        <v>18.675799999999999</v>
      </c>
      <c r="H2917" s="344" t="s">
        <v>1364</v>
      </c>
    </row>
    <row r="2918" spans="1:8">
      <c r="A2918" s="1"/>
      <c r="B2918" s="1"/>
      <c r="C2918" s="1"/>
      <c r="D2918" s="1"/>
      <c r="E2918" s="357">
        <v>44872</v>
      </c>
      <c r="F2918" s="344" t="s">
        <v>625</v>
      </c>
      <c r="G2918" s="358">
        <v>18.522600000000001</v>
      </c>
      <c r="H2918" s="344" t="s">
        <v>1364</v>
      </c>
    </row>
    <row r="2919" spans="1:8">
      <c r="A2919" s="1"/>
      <c r="B2919" s="1"/>
      <c r="C2919" s="1"/>
      <c r="D2919" s="1"/>
      <c r="E2919" s="357">
        <v>44872</v>
      </c>
      <c r="F2919" s="344" t="s">
        <v>628</v>
      </c>
      <c r="G2919" s="358">
        <v>21.1449</v>
      </c>
      <c r="H2919" s="344" t="s">
        <v>1364</v>
      </c>
    </row>
    <row r="2920" spans="1:8">
      <c r="A2920" s="1"/>
      <c r="B2920" s="1"/>
      <c r="C2920" s="1"/>
      <c r="D2920" s="1"/>
      <c r="E2920" s="357">
        <v>44872</v>
      </c>
      <c r="F2920" s="344" t="s">
        <v>631</v>
      </c>
      <c r="G2920" s="358">
        <v>18.583300000000001</v>
      </c>
      <c r="H2920" s="344" t="s">
        <v>1364</v>
      </c>
    </row>
    <row r="2921" spans="1:8">
      <c r="A2921" s="1"/>
      <c r="B2921" s="1"/>
      <c r="C2921" s="1"/>
      <c r="D2921" s="1"/>
      <c r="E2921" s="357">
        <v>44873</v>
      </c>
      <c r="F2921" s="344" t="s">
        <v>621</v>
      </c>
      <c r="G2921" s="358">
        <v>18.7178</v>
      </c>
      <c r="H2921" s="344" t="s">
        <v>1365</v>
      </c>
    </row>
    <row r="2922" spans="1:8">
      <c r="A2922" s="1"/>
      <c r="B2922" s="1"/>
      <c r="C2922" s="1"/>
      <c r="D2922" s="1"/>
      <c r="E2922" s="357">
        <v>44873</v>
      </c>
      <c r="F2922" s="344" t="s">
        <v>625</v>
      </c>
      <c r="G2922" s="358">
        <v>18.574400000000001</v>
      </c>
      <c r="H2922" s="344" t="s">
        <v>1365</v>
      </c>
    </row>
    <row r="2923" spans="1:8">
      <c r="A2923" s="1"/>
      <c r="B2923" s="1"/>
      <c r="C2923" s="1"/>
      <c r="D2923" s="1"/>
      <c r="E2923" s="357">
        <v>44873</v>
      </c>
      <c r="F2923" s="344" t="s">
        <v>628</v>
      </c>
      <c r="G2923" s="358">
        <v>21.2773</v>
      </c>
      <c r="H2923" s="344" t="s">
        <v>1365</v>
      </c>
    </row>
    <row r="2924" spans="1:8">
      <c r="A2924" s="1"/>
      <c r="B2924" s="1"/>
      <c r="C2924" s="1"/>
      <c r="D2924" s="1"/>
      <c r="E2924" s="357">
        <v>44873</v>
      </c>
      <c r="F2924" s="344" t="s">
        <v>631</v>
      </c>
      <c r="G2924" s="358">
        <v>18.580300000000001</v>
      </c>
      <c r="H2924" s="344" t="s">
        <v>1365</v>
      </c>
    </row>
    <row r="2925" spans="1:8">
      <c r="A2925" s="1"/>
      <c r="B2925" s="1"/>
      <c r="C2925" s="1"/>
      <c r="D2925" s="1"/>
      <c r="E2925" s="357">
        <v>44874</v>
      </c>
      <c r="F2925" s="344" t="s">
        <v>621</v>
      </c>
      <c r="G2925" s="358">
        <v>18.817699999999999</v>
      </c>
      <c r="H2925" s="344" t="s">
        <v>1366</v>
      </c>
    </row>
    <row r="2926" spans="1:8">
      <c r="A2926" s="1"/>
      <c r="B2926" s="1"/>
      <c r="C2926" s="1"/>
      <c r="D2926" s="1"/>
      <c r="E2926" s="357">
        <v>44874</v>
      </c>
      <c r="F2926" s="344" t="s">
        <v>625</v>
      </c>
      <c r="G2926" s="358">
        <v>18.684999999999999</v>
      </c>
      <c r="H2926" s="344" t="s">
        <v>1366</v>
      </c>
    </row>
    <row r="2927" spans="1:8">
      <c r="A2927" s="1"/>
      <c r="B2927" s="1"/>
      <c r="C2927" s="1"/>
      <c r="D2927" s="1"/>
      <c r="E2927" s="357">
        <v>44874</v>
      </c>
      <c r="F2927" s="344" t="s">
        <v>628</v>
      </c>
      <c r="G2927" s="358">
        <v>21.3142</v>
      </c>
      <c r="H2927" s="344" t="s">
        <v>1366</v>
      </c>
    </row>
    <row r="2928" spans="1:8">
      <c r="A2928" s="1"/>
      <c r="B2928" s="1"/>
      <c r="C2928" s="1"/>
      <c r="D2928" s="1"/>
      <c r="E2928" s="357">
        <v>44874</v>
      </c>
      <c r="F2928" s="344" t="s">
        <v>631</v>
      </c>
      <c r="G2928" s="358">
        <v>18.5791</v>
      </c>
      <c r="H2928" s="344" t="s">
        <v>1366</v>
      </c>
    </row>
    <row r="2929" spans="1:8">
      <c r="A2929" s="1"/>
      <c r="B2929" s="1"/>
      <c r="C2929" s="1"/>
      <c r="D2929" s="1"/>
      <c r="E2929" s="357">
        <v>44875</v>
      </c>
      <c r="F2929" s="344" t="s">
        <v>621</v>
      </c>
      <c r="G2929" s="358">
        <v>18.7836</v>
      </c>
      <c r="H2929" s="344" t="s">
        <v>1367</v>
      </c>
    </row>
    <row r="2930" spans="1:8">
      <c r="A2930" s="1"/>
      <c r="B2930" s="1"/>
      <c r="C2930" s="1"/>
      <c r="D2930" s="1"/>
      <c r="E2930" s="357">
        <v>44875</v>
      </c>
      <c r="F2930" s="344" t="s">
        <v>625</v>
      </c>
      <c r="G2930" s="358">
        <v>18.541799999999999</v>
      </c>
      <c r="H2930" s="344" t="s">
        <v>1367</v>
      </c>
    </row>
    <row r="2931" spans="1:8">
      <c r="A2931" s="1"/>
      <c r="B2931" s="1"/>
      <c r="C2931" s="1"/>
      <c r="D2931" s="1"/>
      <c r="E2931" s="357">
        <v>44875</v>
      </c>
      <c r="F2931" s="344" t="s">
        <v>628</v>
      </c>
      <c r="G2931" s="358">
        <v>21.1145</v>
      </c>
      <c r="H2931" s="344" t="s">
        <v>1367</v>
      </c>
    </row>
    <row r="2932" spans="1:8">
      <c r="A2932" s="1"/>
      <c r="B2932" s="1"/>
      <c r="C2932" s="1"/>
      <c r="D2932" s="1"/>
      <c r="E2932" s="357">
        <v>44875</v>
      </c>
      <c r="F2932" s="344" t="s">
        <v>631</v>
      </c>
      <c r="G2932" s="358">
        <v>18.5793</v>
      </c>
      <c r="H2932" s="344" t="s">
        <v>1367</v>
      </c>
    </row>
    <row r="2933" spans="1:8">
      <c r="A2933" s="1"/>
      <c r="B2933" s="1"/>
      <c r="C2933" s="1"/>
      <c r="D2933" s="1"/>
      <c r="E2933" s="357">
        <v>44876</v>
      </c>
      <c r="F2933" s="344" t="s">
        <v>621</v>
      </c>
      <c r="G2933" s="358">
        <v>19.2166</v>
      </c>
      <c r="H2933" s="344" t="s">
        <v>1368</v>
      </c>
    </row>
    <row r="2934" spans="1:8">
      <c r="A2934" s="1"/>
      <c r="B2934" s="1"/>
      <c r="C2934" s="1"/>
      <c r="D2934" s="1"/>
      <c r="E2934" s="357">
        <v>44876</v>
      </c>
      <c r="F2934" s="344" t="s">
        <v>625</v>
      </c>
      <c r="G2934" s="358">
        <v>18.988800000000001</v>
      </c>
      <c r="H2934" s="344" t="s">
        <v>1368</v>
      </c>
    </row>
    <row r="2935" spans="1:8">
      <c r="A2935" s="1"/>
      <c r="B2935" s="1"/>
      <c r="C2935" s="1"/>
      <c r="D2935" s="1"/>
      <c r="E2935" s="357">
        <v>44876</v>
      </c>
      <c r="F2935" s="344" t="s">
        <v>628</v>
      </c>
      <c r="G2935" s="358">
        <v>21.701699999999999</v>
      </c>
      <c r="H2935" s="344" t="s">
        <v>1368</v>
      </c>
    </row>
    <row r="2936" spans="1:8">
      <c r="A2936" s="1"/>
      <c r="B2936" s="1"/>
      <c r="C2936" s="1"/>
      <c r="D2936" s="1"/>
      <c r="E2936" s="357">
        <v>44876</v>
      </c>
      <c r="F2936" s="344" t="s">
        <v>631</v>
      </c>
      <c r="G2936" s="358">
        <v>18.511500000000002</v>
      </c>
      <c r="H2936" s="344" t="s">
        <v>1368</v>
      </c>
    </row>
    <row r="2937" spans="1:8">
      <c r="A2937" s="1"/>
      <c r="B2937" s="1"/>
      <c r="C2937" s="1"/>
      <c r="D2937" s="1"/>
      <c r="E2937" s="357">
        <v>44879</v>
      </c>
      <c r="F2937" s="344" t="s">
        <v>621</v>
      </c>
      <c r="G2937" s="358">
        <v>19.595800000000001</v>
      </c>
      <c r="H2937" s="344" t="s">
        <v>1369</v>
      </c>
    </row>
    <row r="2938" spans="1:8">
      <c r="A2938" s="1"/>
      <c r="B2938" s="1"/>
      <c r="C2938" s="1"/>
      <c r="D2938" s="1"/>
      <c r="E2938" s="357">
        <v>44879</v>
      </c>
      <c r="F2938" s="344" t="s">
        <v>625</v>
      </c>
      <c r="G2938" s="358">
        <v>19.1661</v>
      </c>
      <c r="H2938" s="344" t="s">
        <v>1369</v>
      </c>
    </row>
    <row r="2939" spans="1:8">
      <c r="A2939" s="1"/>
      <c r="B2939" s="1"/>
      <c r="C2939" s="1"/>
      <c r="D2939" s="1"/>
      <c r="E2939" s="357">
        <v>44879</v>
      </c>
      <c r="F2939" s="344" t="s">
        <v>628</v>
      </c>
      <c r="G2939" s="358">
        <v>21.859300000000001</v>
      </c>
      <c r="H2939" s="344" t="s">
        <v>1369</v>
      </c>
    </row>
    <row r="2940" spans="1:8">
      <c r="A2940" s="1"/>
      <c r="B2940" s="1"/>
      <c r="C2940" s="1"/>
      <c r="D2940" s="1"/>
      <c r="E2940" s="357">
        <v>44879</v>
      </c>
      <c r="F2940" s="344" t="s">
        <v>631</v>
      </c>
      <c r="G2940" s="358">
        <v>18.581900000000001</v>
      </c>
      <c r="H2940" s="344" t="s">
        <v>1369</v>
      </c>
    </row>
    <row r="2941" spans="1:8">
      <c r="A2941" s="1"/>
      <c r="B2941" s="1"/>
      <c r="C2941" s="1"/>
      <c r="D2941" s="1"/>
      <c r="E2941" s="357">
        <v>44880</v>
      </c>
      <c r="F2941" s="344" t="s">
        <v>621</v>
      </c>
      <c r="G2941" s="358">
        <v>19.720300000000002</v>
      </c>
      <c r="H2941" s="344" t="s">
        <v>1370</v>
      </c>
    </row>
    <row r="2942" spans="1:8">
      <c r="A2942" s="1"/>
      <c r="B2942" s="1"/>
      <c r="C2942" s="1"/>
      <c r="D2942" s="1"/>
      <c r="E2942" s="357">
        <v>44880</v>
      </c>
      <c r="F2942" s="344" t="s">
        <v>625</v>
      </c>
      <c r="G2942" s="358">
        <v>19.332699999999999</v>
      </c>
      <c r="H2942" s="344" t="s">
        <v>1370</v>
      </c>
    </row>
    <row r="2943" spans="1:8">
      <c r="A2943" s="1"/>
      <c r="B2943" s="1"/>
      <c r="C2943" s="1"/>
      <c r="D2943" s="1"/>
      <c r="E2943" s="357">
        <v>44880</v>
      </c>
      <c r="F2943" s="344" t="s">
        <v>628</v>
      </c>
      <c r="G2943" s="358">
        <v>21.967500000000001</v>
      </c>
      <c r="H2943" s="344" t="s">
        <v>1370</v>
      </c>
    </row>
    <row r="2944" spans="1:8">
      <c r="A2944" s="1"/>
      <c r="B2944" s="1"/>
      <c r="C2944" s="1"/>
      <c r="D2944" s="1"/>
      <c r="E2944" s="357">
        <v>44880</v>
      </c>
      <c r="F2944" s="344" t="s">
        <v>631</v>
      </c>
      <c r="G2944" s="358">
        <v>18.586400000000001</v>
      </c>
      <c r="H2944" s="344" t="s">
        <v>1370</v>
      </c>
    </row>
    <row r="2945" spans="1:8">
      <c r="A2945" s="1"/>
      <c r="B2945" s="1"/>
      <c r="C2945" s="1"/>
      <c r="D2945" s="1"/>
      <c r="E2945" s="357">
        <v>44881</v>
      </c>
      <c r="F2945" s="344" t="s">
        <v>621</v>
      </c>
      <c r="G2945" s="358">
        <v>19.704599999999999</v>
      </c>
      <c r="H2945" s="344" t="s">
        <v>1371</v>
      </c>
    </row>
    <row r="2946" spans="1:8">
      <c r="A2946" s="1"/>
      <c r="B2946" s="1"/>
      <c r="C2946" s="1"/>
      <c r="D2946" s="1"/>
      <c r="E2946" s="357">
        <v>44881</v>
      </c>
      <c r="F2946" s="344" t="s">
        <v>625</v>
      </c>
      <c r="G2946" s="358">
        <v>19.352399999999999</v>
      </c>
      <c r="H2946" s="344" t="s">
        <v>1371</v>
      </c>
    </row>
    <row r="2947" spans="1:8">
      <c r="A2947" s="1"/>
      <c r="B2947" s="1"/>
      <c r="C2947" s="1"/>
      <c r="D2947" s="1"/>
      <c r="E2947" s="357">
        <v>44881</v>
      </c>
      <c r="F2947" s="344" t="s">
        <v>628</v>
      </c>
      <c r="G2947" s="358">
        <v>22.079499999999999</v>
      </c>
      <c r="H2947" s="344" t="s">
        <v>1371</v>
      </c>
    </row>
    <row r="2948" spans="1:8">
      <c r="A2948" s="1"/>
      <c r="B2948" s="1"/>
      <c r="C2948" s="1"/>
      <c r="D2948" s="1"/>
      <c r="E2948" s="357">
        <v>44881</v>
      </c>
      <c r="F2948" s="344" t="s">
        <v>631</v>
      </c>
      <c r="G2948" s="358">
        <v>18.5916</v>
      </c>
      <c r="H2948" s="344" t="s">
        <v>1371</v>
      </c>
    </row>
    <row r="2949" spans="1:8">
      <c r="A2949" s="1"/>
      <c r="B2949" s="1"/>
      <c r="C2949" s="1"/>
      <c r="D2949" s="1"/>
      <c r="E2949" s="357">
        <v>44882</v>
      </c>
      <c r="F2949" s="344" t="s">
        <v>621</v>
      </c>
      <c r="G2949" s="358">
        <v>19.594000000000001</v>
      </c>
      <c r="H2949" s="344" t="s">
        <v>1372</v>
      </c>
    </row>
    <row r="2950" spans="1:8">
      <c r="A2950" s="1"/>
      <c r="B2950" s="1"/>
      <c r="C2950" s="1"/>
      <c r="D2950" s="1"/>
      <c r="E2950" s="357">
        <v>44882</v>
      </c>
      <c r="F2950" s="344" t="s">
        <v>625</v>
      </c>
      <c r="G2950" s="358">
        <v>19.2822</v>
      </c>
      <c r="H2950" s="344" t="s">
        <v>1372</v>
      </c>
    </row>
    <row r="2951" spans="1:8">
      <c r="A2951" s="1"/>
      <c r="B2951" s="1"/>
      <c r="C2951" s="1"/>
      <c r="D2951" s="1"/>
      <c r="E2951" s="357">
        <v>44882</v>
      </c>
      <c r="F2951" s="344" t="s">
        <v>628</v>
      </c>
      <c r="G2951" s="358">
        <v>22.084800000000001</v>
      </c>
      <c r="H2951" s="344" t="s">
        <v>1372</v>
      </c>
    </row>
    <row r="2952" spans="1:8">
      <c r="A2952" s="1"/>
      <c r="B2952" s="1"/>
      <c r="C2952" s="1"/>
      <c r="D2952" s="1"/>
      <c r="E2952" s="357">
        <v>44882</v>
      </c>
      <c r="F2952" s="344" t="s">
        <v>631</v>
      </c>
      <c r="G2952" s="358">
        <v>18.5959</v>
      </c>
      <c r="H2952" s="344" t="s">
        <v>1372</v>
      </c>
    </row>
    <row r="2953" spans="1:8">
      <c r="A2953" s="1"/>
      <c r="B2953" s="1"/>
      <c r="C2953" s="1"/>
      <c r="D2953" s="1"/>
      <c r="E2953" s="357">
        <v>44883</v>
      </c>
      <c r="F2953" s="344" t="s">
        <v>621</v>
      </c>
      <c r="G2953" s="358">
        <v>19.496099999999998</v>
      </c>
      <c r="H2953" s="344" t="s">
        <v>1373</v>
      </c>
    </row>
    <row r="2954" spans="1:8">
      <c r="A2954" s="1"/>
      <c r="B2954" s="1"/>
      <c r="C2954" s="1"/>
      <c r="D2954" s="1"/>
      <c r="E2954" s="357">
        <v>44883</v>
      </c>
      <c r="F2954" s="344" t="s">
        <v>625</v>
      </c>
      <c r="G2954" s="358">
        <v>19.284199999999998</v>
      </c>
      <c r="H2954" s="344" t="s">
        <v>1373</v>
      </c>
    </row>
    <row r="2955" spans="1:8">
      <c r="A2955" s="1"/>
      <c r="B2955" s="1"/>
      <c r="C2955" s="1"/>
      <c r="D2955" s="1"/>
      <c r="E2955" s="357">
        <v>44883</v>
      </c>
      <c r="F2955" s="344" t="s">
        <v>628</v>
      </c>
      <c r="G2955" s="358">
        <v>22.115300000000001</v>
      </c>
      <c r="H2955" s="344" t="s">
        <v>1373</v>
      </c>
    </row>
    <row r="2956" spans="1:8">
      <c r="A2956" s="1"/>
      <c r="B2956" s="1"/>
      <c r="C2956" s="1"/>
      <c r="D2956" s="1"/>
      <c r="E2956" s="357">
        <v>44883</v>
      </c>
      <c r="F2956" s="344" t="s">
        <v>631</v>
      </c>
      <c r="G2956" s="358">
        <v>18.5945</v>
      </c>
      <c r="H2956" s="344" t="s">
        <v>1373</v>
      </c>
    </row>
    <row r="2957" spans="1:8">
      <c r="A2957" s="1"/>
      <c r="B2957" s="1"/>
      <c r="C2957" s="1"/>
      <c r="D2957" s="1"/>
      <c r="E2957" s="357">
        <v>44886</v>
      </c>
      <c r="F2957" s="344" t="s">
        <v>621</v>
      </c>
      <c r="G2957" s="358">
        <v>19.3748</v>
      </c>
      <c r="H2957" s="344" t="s">
        <v>1374</v>
      </c>
    </row>
    <row r="2958" spans="1:8">
      <c r="A2958" s="1"/>
      <c r="B2958" s="1"/>
      <c r="C2958" s="1"/>
      <c r="D2958" s="1"/>
      <c r="E2958" s="357">
        <v>44886</v>
      </c>
      <c r="F2958" s="344" t="s">
        <v>625</v>
      </c>
      <c r="G2958" s="358">
        <v>19.0548</v>
      </c>
      <c r="H2958" s="344" t="s">
        <v>1374</v>
      </c>
    </row>
    <row r="2959" spans="1:8">
      <c r="A2959" s="1"/>
      <c r="B2959" s="1"/>
      <c r="C2959" s="1"/>
      <c r="D2959" s="1"/>
      <c r="E2959" s="357">
        <v>44886</v>
      </c>
      <c r="F2959" s="344" t="s">
        <v>628</v>
      </c>
      <c r="G2959" s="358">
        <v>21.9328</v>
      </c>
      <c r="H2959" s="344" t="s">
        <v>1374</v>
      </c>
    </row>
    <row r="2960" spans="1:8">
      <c r="A2960" s="1"/>
      <c r="B2960" s="1"/>
      <c r="C2960" s="1"/>
      <c r="D2960" s="1"/>
      <c r="E2960" s="357">
        <v>44886</v>
      </c>
      <c r="F2960" s="344" t="s">
        <v>631</v>
      </c>
      <c r="G2960" s="358">
        <v>18.597899999999999</v>
      </c>
      <c r="H2960" s="344" t="s">
        <v>1374</v>
      </c>
    </row>
    <row r="2961" spans="1:8">
      <c r="A2961" s="1"/>
      <c r="B2961" s="1"/>
      <c r="C2961" s="1"/>
      <c r="D2961" s="1"/>
      <c r="E2961" s="357">
        <v>44887</v>
      </c>
      <c r="F2961" s="344" t="s">
        <v>621</v>
      </c>
      <c r="G2961" s="358">
        <v>19.413599999999999</v>
      </c>
      <c r="H2961" s="344" t="s">
        <v>1375</v>
      </c>
    </row>
    <row r="2962" spans="1:8">
      <c r="A2962" s="1"/>
      <c r="B2962" s="1"/>
      <c r="C2962" s="1"/>
      <c r="D2962" s="1"/>
      <c r="E2962" s="357">
        <v>44887</v>
      </c>
      <c r="F2962" s="344" t="s">
        <v>625</v>
      </c>
      <c r="G2962" s="358">
        <v>19.100000000000001</v>
      </c>
      <c r="H2962" s="344" t="s">
        <v>1375</v>
      </c>
    </row>
    <row r="2963" spans="1:8">
      <c r="A2963" s="1"/>
      <c r="B2963" s="1"/>
      <c r="C2963" s="1"/>
      <c r="D2963" s="1"/>
      <c r="E2963" s="357">
        <v>44887</v>
      </c>
      <c r="F2963" s="344" t="s">
        <v>628</v>
      </c>
      <c r="G2963" s="358">
        <v>22.011900000000001</v>
      </c>
      <c r="H2963" s="344" t="s">
        <v>1375</v>
      </c>
    </row>
    <row r="2964" spans="1:8">
      <c r="A2964" s="1"/>
      <c r="B2964" s="1"/>
      <c r="C2964" s="1"/>
      <c r="D2964" s="1"/>
      <c r="E2964" s="357">
        <v>44887</v>
      </c>
      <c r="F2964" s="344" t="s">
        <v>631</v>
      </c>
      <c r="G2964" s="358">
        <v>18.603300000000001</v>
      </c>
      <c r="H2964" s="344" t="s">
        <v>1375</v>
      </c>
    </row>
    <row r="2965" spans="1:8">
      <c r="A2965" s="1"/>
      <c r="B2965" s="1"/>
      <c r="C2965" s="1"/>
      <c r="D2965" s="1"/>
      <c r="E2965" s="357">
        <v>44888</v>
      </c>
      <c r="F2965" s="344" t="s">
        <v>621</v>
      </c>
      <c r="G2965" s="358">
        <v>19.510400000000001</v>
      </c>
      <c r="H2965" s="344" t="s">
        <v>1376</v>
      </c>
    </row>
    <row r="2966" spans="1:8">
      <c r="A2966" s="1"/>
      <c r="B2966" s="1"/>
      <c r="C2966" s="1"/>
      <c r="D2966" s="1"/>
      <c r="E2966" s="357">
        <v>44888</v>
      </c>
      <c r="F2966" s="344" t="s">
        <v>625</v>
      </c>
      <c r="G2966" s="358">
        <v>19.210100000000001</v>
      </c>
      <c r="H2966" s="344" t="s">
        <v>1376</v>
      </c>
    </row>
    <row r="2967" spans="1:8">
      <c r="A2967" s="1"/>
      <c r="B2967" s="1"/>
      <c r="C2967" s="1"/>
      <c r="D2967" s="1"/>
      <c r="E2967" s="357">
        <v>44888</v>
      </c>
      <c r="F2967" s="344" t="s">
        <v>628</v>
      </c>
      <c r="G2967" s="358">
        <v>22.124300000000002</v>
      </c>
      <c r="H2967" s="344" t="s">
        <v>1376</v>
      </c>
    </row>
    <row r="2968" spans="1:8">
      <c r="A2968" s="1"/>
      <c r="B2968" s="1"/>
      <c r="C2968" s="1"/>
      <c r="D2968" s="1"/>
      <c r="E2968" s="357">
        <v>44888</v>
      </c>
      <c r="F2968" s="344" t="s">
        <v>631</v>
      </c>
      <c r="G2968" s="358">
        <v>18.606200000000001</v>
      </c>
      <c r="H2968" s="344" t="s">
        <v>1376</v>
      </c>
    </row>
    <row r="2969" spans="1:8">
      <c r="A2969" s="1"/>
      <c r="B2969" s="1"/>
      <c r="C2969" s="1"/>
      <c r="D2969" s="1"/>
      <c r="E2969" s="357">
        <v>44889</v>
      </c>
      <c r="F2969" s="344" t="s">
        <v>621</v>
      </c>
      <c r="G2969" s="358">
        <v>19.691800000000001</v>
      </c>
      <c r="H2969" s="344" t="s">
        <v>1377</v>
      </c>
    </row>
    <row r="2970" spans="1:8">
      <c r="A2970" s="1"/>
      <c r="B2970" s="1"/>
      <c r="C2970" s="1"/>
      <c r="D2970" s="1"/>
      <c r="E2970" s="357">
        <v>44889</v>
      </c>
      <c r="F2970" s="344" t="s">
        <v>625</v>
      </c>
      <c r="G2970" s="358">
        <v>19.3736</v>
      </c>
      <c r="H2970" s="344" t="s">
        <v>1377</v>
      </c>
    </row>
    <row r="2971" spans="1:8">
      <c r="A2971" s="1"/>
      <c r="B2971" s="1"/>
      <c r="C2971" s="1"/>
      <c r="D2971" s="1"/>
      <c r="E2971" s="357">
        <v>44889</v>
      </c>
      <c r="F2971" s="344" t="s">
        <v>628</v>
      </c>
      <c r="G2971" s="358">
        <v>22.461500000000001</v>
      </c>
      <c r="H2971" s="344" t="s">
        <v>1377</v>
      </c>
    </row>
    <row r="2972" spans="1:8">
      <c r="A2972" s="1"/>
      <c r="B2972" s="1"/>
      <c r="C2972" s="1"/>
      <c r="D2972" s="1"/>
      <c r="E2972" s="357">
        <v>44889</v>
      </c>
      <c r="F2972" s="344" t="s">
        <v>631</v>
      </c>
      <c r="G2972" s="358">
        <v>18.604500000000002</v>
      </c>
      <c r="H2972" s="344" t="s">
        <v>1377</v>
      </c>
    </row>
    <row r="2973" spans="1:8">
      <c r="A2973" s="1"/>
      <c r="B2973" s="1"/>
      <c r="C2973" s="1"/>
      <c r="D2973" s="1"/>
      <c r="E2973" s="357">
        <v>44890</v>
      </c>
      <c r="F2973" s="344" t="s">
        <v>621</v>
      </c>
      <c r="G2973" s="358">
        <v>19.648</v>
      </c>
      <c r="H2973" s="344" t="s">
        <v>1378</v>
      </c>
    </row>
    <row r="2974" spans="1:8">
      <c r="A2974" s="1"/>
      <c r="B2974" s="1"/>
      <c r="C2974" s="1"/>
      <c r="D2974" s="1"/>
      <c r="E2974" s="357">
        <v>44890</v>
      </c>
      <c r="F2974" s="344" t="s">
        <v>625</v>
      </c>
      <c r="G2974" s="358">
        <v>19.367000000000001</v>
      </c>
      <c r="H2974" s="344" t="s">
        <v>1378</v>
      </c>
    </row>
    <row r="2975" spans="1:8">
      <c r="A2975" s="1"/>
      <c r="B2975" s="1"/>
      <c r="C2975" s="1"/>
      <c r="D2975" s="1"/>
      <c r="E2975" s="357">
        <v>44890</v>
      </c>
      <c r="F2975" s="344" t="s">
        <v>628</v>
      </c>
      <c r="G2975" s="358">
        <v>22.473800000000001</v>
      </c>
      <c r="H2975" s="344" t="s">
        <v>1378</v>
      </c>
    </row>
    <row r="2976" spans="1:8">
      <c r="A2976" s="1"/>
      <c r="B2976" s="1"/>
      <c r="C2976" s="1"/>
      <c r="D2976" s="1"/>
      <c r="E2976" s="357">
        <v>44890</v>
      </c>
      <c r="F2976" s="344" t="s">
        <v>631</v>
      </c>
      <c r="G2976" s="358">
        <v>18.607099999999999</v>
      </c>
      <c r="H2976" s="344" t="s">
        <v>1378</v>
      </c>
    </row>
    <row r="2977" spans="1:8">
      <c r="A2977" s="1"/>
      <c r="B2977" s="1"/>
      <c r="C2977" s="1"/>
      <c r="D2977" s="1"/>
      <c r="E2977" s="357">
        <v>44893</v>
      </c>
      <c r="F2977" s="344" t="s">
        <v>621</v>
      </c>
      <c r="G2977" s="358">
        <v>19.6739</v>
      </c>
      <c r="H2977" s="344" t="s">
        <v>1379</v>
      </c>
    </row>
    <row r="2978" spans="1:8">
      <c r="A2978" s="1"/>
      <c r="B2978" s="1"/>
      <c r="C2978" s="1"/>
      <c r="D2978" s="1"/>
      <c r="E2978" s="357">
        <v>44893</v>
      </c>
      <c r="F2978" s="344" t="s">
        <v>625</v>
      </c>
      <c r="G2978" s="358">
        <v>19.407299999999999</v>
      </c>
      <c r="H2978" s="344" t="s">
        <v>1379</v>
      </c>
    </row>
    <row r="2979" spans="1:8">
      <c r="A2979" s="1"/>
      <c r="B2979" s="1"/>
      <c r="C2979" s="1"/>
      <c r="D2979" s="1"/>
      <c r="E2979" s="357">
        <v>44893</v>
      </c>
      <c r="F2979" s="344" t="s">
        <v>628</v>
      </c>
      <c r="G2979" s="358">
        <v>22.445900000000002</v>
      </c>
      <c r="H2979" s="344" t="s">
        <v>1379</v>
      </c>
    </row>
    <row r="2980" spans="1:8">
      <c r="A2980" s="1"/>
      <c r="B2980" s="1"/>
      <c r="C2980" s="1"/>
      <c r="D2980" s="1"/>
      <c r="E2980" s="357">
        <v>44893</v>
      </c>
      <c r="F2980" s="344" t="s">
        <v>631</v>
      </c>
      <c r="G2980" s="358">
        <v>18.6069</v>
      </c>
      <c r="H2980" s="344" t="s">
        <v>1379</v>
      </c>
    </row>
    <row r="2981" spans="1:8">
      <c r="A2981" s="1"/>
      <c r="B2981" s="1"/>
      <c r="C2981" s="1"/>
      <c r="D2981" s="1"/>
      <c r="E2981" s="357">
        <v>44894</v>
      </c>
      <c r="F2981" s="344" t="s">
        <v>621</v>
      </c>
      <c r="G2981" s="358">
        <v>19.563199999999998</v>
      </c>
      <c r="H2981" s="344" t="s">
        <v>1380</v>
      </c>
    </row>
    <row r="2982" spans="1:8">
      <c r="A2982" s="1"/>
      <c r="B2982" s="1"/>
      <c r="C2982" s="1"/>
      <c r="D2982" s="1"/>
      <c r="E2982" s="357">
        <v>44894</v>
      </c>
      <c r="F2982" s="344" t="s">
        <v>625</v>
      </c>
      <c r="G2982" s="358">
        <v>19.311599999999999</v>
      </c>
      <c r="H2982" s="344" t="s">
        <v>1380</v>
      </c>
    </row>
    <row r="2983" spans="1:8">
      <c r="A2983" s="1"/>
      <c r="B2983" s="1"/>
      <c r="C2983" s="1"/>
      <c r="D2983" s="1"/>
      <c r="E2983" s="357">
        <v>44894</v>
      </c>
      <c r="F2983" s="344" t="s">
        <v>628</v>
      </c>
      <c r="G2983" s="358">
        <v>22.328499999999998</v>
      </c>
      <c r="H2983" s="344" t="s">
        <v>1380</v>
      </c>
    </row>
    <row r="2984" spans="1:8">
      <c r="A2984" s="1"/>
      <c r="B2984" s="1"/>
      <c r="C2984" s="1"/>
      <c r="D2984" s="1"/>
      <c r="E2984" s="357">
        <v>44894</v>
      </c>
      <c r="F2984" s="344" t="s">
        <v>631</v>
      </c>
      <c r="G2984" s="358">
        <v>18.614000000000001</v>
      </c>
      <c r="H2984" s="344" t="s">
        <v>1380</v>
      </c>
    </row>
    <row r="2985" spans="1:8">
      <c r="A2985" s="1"/>
      <c r="B2985" s="1"/>
      <c r="C2985" s="1"/>
      <c r="D2985" s="1"/>
      <c r="E2985" s="357">
        <v>44895</v>
      </c>
      <c r="F2985" s="344" t="s">
        <v>621</v>
      </c>
      <c r="G2985" s="358">
        <v>19.5276</v>
      </c>
      <c r="H2985" s="344" t="s">
        <v>1381</v>
      </c>
    </row>
    <row r="2986" spans="1:8">
      <c r="A2986" s="1"/>
      <c r="B2986" s="1"/>
      <c r="C2986" s="1"/>
      <c r="D2986" s="1"/>
      <c r="E2986" s="357">
        <v>44895</v>
      </c>
      <c r="F2986" s="344" t="s">
        <v>625</v>
      </c>
      <c r="G2986" s="358">
        <v>19.282399999999999</v>
      </c>
      <c r="H2986" s="344" t="s">
        <v>1381</v>
      </c>
    </row>
    <row r="2987" spans="1:8">
      <c r="A2987" s="1"/>
      <c r="B2987" s="1"/>
      <c r="C2987" s="1"/>
      <c r="D2987" s="1"/>
      <c r="E2987" s="357">
        <v>44895</v>
      </c>
      <c r="F2987" s="344" t="s">
        <v>628</v>
      </c>
      <c r="G2987" s="358">
        <v>22.284199999999998</v>
      </c>
      <c r="H2987" s="344" t="s">
        <v>1381</v>
      </c>
    </row>
    <row r="2988" spans="1:8">
      <c r="A2988" s="1"/>
      <c r="B2988" s="1"/>
      <c r="C2988" s="1"/>
      <c r="D2988" s="1"/>
      <c r="E2988" s="357">
        <v>44895</v>
      </c>
      <c r="F2988" s="344" t="s">
        <v>631</v>
      </c>
      <c r="G2988" s="358">
        <v>18.619399999999999</v>
      </c>
      <c r="H2988" s="344" t="s">
        <v>1381</v>
      </c>
    </row>
    <row r="2989" spans="1:8">
      <c r="A2989" s="1"/>
      <c r="B2989" s="1"/>
      <c r="C2989" s="1"/>
      <c r="D2989" s="1"/>
      <c r="E2989" s="357">
        <v>44896</v>
      </c>
      <c r="F2989" s="344" t="s">
        <v>621</v>
      </c>
      <c r="G2989" s="358">
        <v>19.670999999999999</v>
      </c>
      <c r="H2989" s="344" t="s">
        <v>1382</v>
      </c>
    </row>
    <row r="2990" spans="1:8">
      <c r="A2990" s="1"/>
      <c r="B2990" s="1"/>
      <c r="C2990" s="1"/>
      <c r="D2990" s="1"/>
      <c r="E2990" s="357">
        <v>44896</v>
      </c>
      <c r="F2990" s="344" t="s">
        <v>625</v>
      </c>
      <c r="G2990" s="358">
        <v>19.4206</v>
      </c>
      <c r="H2990" s="344" t="s">
        <v>1382</v>
      </c>
    </row>
    <row r="2991" spans="1:8">
      <c r="A2991" s="1"/>
      <c r="B2991" s="1"/>
      <c r="C2991" s="1"/>
      <c r="D2991" s="1"/>
      <c r="E2991" s="357">
        <v>44896</v>
      </c>
      <c r="F2991" s="344" t="s">
        <v>628</v>
      </c>
      <c r="G2991" s="358">
        <v>22.536899999999999</v>
      </c>
      <c r="H2991" s="344" t="s">
        <v>1382</v>
      </c>
    </row>
    <row r="2992" spans="1:8">
      <c r="A2992" s="1"/>
      <c r="B2992" s="1"/>
      <c r="C2992" s="1"/>
      <c r="D2992" s="1"/>
      <c r="E2992" s="357">
        <v>44896</v>
      </c>
      <c r="F2992" s="344" t="s">
        <v>631</v>
      </c>
      <c r="G2992" s="358">
        <v>18.612300000000001</v>
      </c>
      <c r="H2992" s="344" t="s">
        <v>1382</v>
      </c>
    </row>
    <row r="2993" spans="1:8">
      <c r="A2993" s="1"/>
      <c r="B2993" s="1"/>
      <c r="C2993" s="1"/>
      <c r="D2993" s="1"/>
      <c r="E2993" s="357">
        <v>44897</v>
      </c>
      <c r="F2993" s="344" t="s">
        <v>621</v>
      </c>
      <c r="G2993" s="358">
        <v>19.8598</v>
      </c>
      <c r="H2993" s="344" t="s">
        <v>1383</v>
      </c>
    </row>
    <row r="2994" spans="1:8">
      <c r="A2994" s="1"/>
      <c r="B2994" s="1"/>
      <c r="C2994" s="1"/>
      <c r="D2994" s="1"/>
      <c r="E2994" s="357">
        <v>44897</v>
      </c>
      <c r="F2994" s="344" t="s">
        <v>625</v>
      </c>
      <c r="G2994" s="358">
        <v>19.6004</v>
      </c>
      <c r="H2994" s="344" t="s">
        <v>1383</v>
      </c>
    </row>
    <row r="2995" spans="1:8">
      <c r="A2995" s="1"/>
      <c r="B2995" s="1"/>
      <c r="C2995" s="1"/>
      <c r="D2995" s="1"/>
      <c r="E2995" s="357">
        <v>44897</v>
      </c>
      <c r="F2995" s="344" t="s">
        <v>628</v>
      </c>
      <c r="G2995" s="358">
        <v>22.792000000000002</v>
      </c>
      <c r="H2995" s="344" t="s">
        <v>1383</v>
      </c>
    </row>
    <row r="2996" spans="1:8">
      <c r="A2996" s="1"/>
      <c r="B2996" s="1"/>
      <c r="C2996" s="1"/>
      <c r="D2996" s="1"/>
      <c r="E2996" s="357">
        <v>44897</v>
      </c>
      <c r="F2996" s="344" t="s">
        <v>631</v>
      </c>
      <c r="G2996" s="358">
        <v>18.610299999999999</v>
      </c>
      <c r="H2996" s="344" t="s">
        <v>1383</v>
      </c>
    </row>
    <row r="2997" spans="1:8">
      <c r="A2997" s="1"/>
      <c r="B2997" s="1"/>
      <c r="C2997" s="1"/>
      <c r="D2997" s="1"/>
      <c r="E2997" s="357">
        <v>44900</v>
      </c>
      <c r="F2997" s="344" t="s">
        <v>621</v>
      </c>
      <c r="G2997" s="358">
        <v>19.856400000000001</v>
      </c>
      <c r="H2997" s="344" t="s">
        <v>1384</v>
      </c>
    </row>
    <row r="2998" spans="1:8">
      <c r="A2998" s="1"/>
      <c r="B2998" s="1"/>
      <c r="C2998" s="1"/>
      <c r="D2998" s="1"/>
      <c r="E2998" s="357">
        <v>44900</v>
      </c>
      <c r="F2998" s="344" t="s">
        <v>625</v>
      </c>
      <c r="G2998" s="358">
        <v>19.643599999999999</v>
      </c>
      <c r="H2998" s="344" t="s">
        <v>1384</v>
      </c>
    </row>
    <row r="2999" spans="1:8">
      <c r="A2999" s="1"/>
      <c r="B2999" s="1"/>
      <c r="C2999" s="1"/>
      <c r="D2999" s="1"/>
      <c r="E2999" s="357">
        <v>44900</v>
      </c>
      <c r="F2999" s="344" t="s">
        <v>628</v>
      </c>
      <c r="G2999" s="358">
        <v>22.8292</v>
      </c>
      <c r="H2999" s="344" t="s">
        <v>1384</v>
      </c>
    </row>
    <row r="3000" spans="1:8">
      <c r="A3000" s="1"/>
      <c r="B3000" s="1"/>
      <c r="C3000" s="1"/>
      <c r="D3000" s="1"/>
      <c r="E3000" s="357">
        <v>44900</v>
      </c>
      <c r="F3000" s="344" t="s">
        <v>631</v>
      </c>
      <c r="G3000" s="358">
        <v>18.613</v>
      </c>
      <c r="H3000" s="344" t="s">
        <v>1384</v>
      </c>
    </row>
    <row r="3001" spans="1:8">
      <c r="A3001" s="1"/>
      <c r="B3001" s="1"/>
      <c r="C3001" s="1"/>
      <c r="D3001" s="1"/>
      <c r="E3001" s="357">
        <v>44901</v>
      </c>
      <c r="F3001" s="344" t="s">
        <v>621</v>
      </c>
      <c r="G3001" s="358">
        <v>19.694700000000001</v>
      </c>
      <c r="H3001" s="344" t="s">
        <v>1385</v>
      </c>
    </row>
    <row r="3002" spans="1:8">
      <c r="A3002" s="1"/>
      <c r="B3002" s="1"/>
      <c r="C3002" s="1"/>
      <c r="D3002" s="1"/>
      <c r="E3002" s="357">
        <v>44901</v>
      </c>
      <c r="F3002" s="344" t="s">
        <v>625</v>
      </c>
      <c r="G3002" s="358">
        <v>19.537500000000001</v>
      </c>
      <c r="H3002" s="344" t="s">
        <v>1385</v>
      </c>
    </row>
    <row r="3003" spans="1:8">
      <c r="A3003" s="1"/>
      <c r="B3003" s="1"/>
      <c r="C3003" s="1"/>
      <c r="D3003" s="1"/>
      <c r="E3003" s="357">
        <v>44901</v>
      </c>
      <c r="F3003" s="344" t="s">
        <v>628</v>
      </c>
      <c r="G3003" s="358">
        <v>22.6496</v>
      </c>
      <c r="H3003" s="344" t="s">
        <v>1385</v>
      </c>
    </row>
    <row r="3004" spans="1:8">
      <c r="A3004" s="1"/>
      <c r="B3004" s="1"/>
      <c r="C3004" s="1"/>
      <c r="D3004" s="1"/>
      <c r="E3004" s="357">
        <v>44901</v>
      </c>
      <c r="F3004" s="344" t="s">
        <v>631</v>
      </c>
      <c r="G3004" s="358">
        <v>18.6143</v>
      </c>
      <c r="H3004" s="344" t="s">
        <v>1385</v>
      </c>
    </row>
    <row r="3005" spans="1:8">
      <c r="A3005" s="1"/>
      <c r="B3005" s="1"/>
      <c r="C3005" s="1"/>
      <c r="D3005" s="1"/>
      <c r="E3005" s="357">
        <v>44902</v>
      </c>
      <c r="F3005" s="344" t="s">
        <v>621</v>
      </c>
      <c r="G3005" s="358">
        <v>19.715599999999998</v>
      </c>
      <c r="H3005" s="344" t="s">
        <v>1386</v>
      </c>
    </row>
    <row r="3006" spans="1:8">
      <c r="A3006" s="1"/>
      <c r="B3006" s="1"/>
      <c r="C3006" s="1"/>
      <c r="D3006" s="1"/>
      <c r="E3006" s="357">
        <v>44902</v>
      </c>
      <c r="F3006" s="344" t="s">
        <v>625</v>
      </c>
      <c r="G3006" s="358">
        <v>19.5015</v>
      </c>
      <c r="H3006" s="344" t="s">
        <v>1386</v>
      </c>
    </row>
    <row r="3007" spans="1:8">
      <c r="A3007" s="1"/>
      <c r="B3007" s="1"/>
      <c r="C3007" s="1"/>
      <c r="D3007" s="1"/>
      <c r="E3007" s="357">
        <v>44902</v>
      </c>
      <c r="F3007" s="344" t="s">
        <v>628</v>
      </c>
      <c r="G3007" s="358">
        <v>22.567499999999999</v>
      </c>
      <c r="H3007" s="344" t="s">
        <v>1386</v>
      </c>
    </row>
    <row r="3008" spans="1:8">
      <c r="A3008" s="1"/>
      <c r="B3008" s="1"/>
      <c r="C3008" s="1"/>
      <c r="D3008" s="1"/>
      <c r="E3008" s="357">
        <v>44902</v>
      </c>
      <c r="F3008" s="344" t="s">
        <v>631</v>
      </c>
      <c r="G3008" s="358">
        <v>18.616599999999998</v>
      </c>
      <c r="H3008" s="344" t="s">
        <v>1386</v>
      </c>
    </row>
    <row r="3009" spans="1:8">
      <c r="A3009" s="1"/>
      <c r="B3009" s="1"/>
      <c r="C3009" s="1"/>
      <c r="D3009" s="1"/>
      <c r="E3009" s="357">
        <v>44903</v>
      </c>
      <c r="F3009" s="344" t="s">
        <v>621</v>
      </c>
      <c r="G3009" s="358">
        <v>19.7378</v>
      </c>
      <c r="H3009" s="344" t="s">
        <v>1387</v>
      </c>
    </row>
    <row r="3010" spans="1:8">
      <c r="A3010" s="1"/>
      <c r="B3010" s="1"/>
      <c r="C3010" s="1"/>
      <c r="D3010" s="1"/>
      <c r="E3010" s="357">
        <v>44903</v>
      </c>
      <c r="F3010" s="344" t="s">
        <v>625</v>
      </c>
      <c r="G3010" s="358">
        <v>19.5764</v>
      </c>
      <c r="H3010" s="344" t="s">
        <v>1387</v>
      </c>
    </row>
    <row r="3011" spans="1:8">
      <c r="A3011" s="1"/>
      <c r="B3011" s="1"/>
      <c r="C3011" s="1"/>
      <c r="D3011" s="1"/>
      <c r="E3011" s="357">
        <v>44903</v>
      </c>
      <c r="F3011" s="344" t="s">
        <v>628</v>
      </c>
      <c r="G3011" s="358">
        <v>22.648499999999999</v>
      </c>
      <c r="H3011" s="344" t="s">
        <v>1387</v>
      </c>
    </row>
    <row r="3012" spans="1:8">
      <c r="A3012" s="1"/>
      <c r="B3012" s="1"/>
      <c r="C3012" s="1"/>
      <c r="D3012" s="1"/>
      <c r="E3012" s="357">
        <v>44903</v>
      </c>
      <c r="F3012" s="344" t="s">
        <v>631</v>
      </c>
      <c r="G3012" s="358">
        <v>18.620200000000001</v>
      </c>
      <c r="H3012" s="344" t="s">
        <v>1387</v>
      </c>
    </row>
    <row r="3013" spans="1:8">
      <c r="A3013" s="1"/>
      <c r="B3013" s="1"/>
      <c r="C3013" s="1"/>
      <c r="D3013" s="1"/>
      <c r="E3013" s="357">
        <v>44904</v>
      </c>
      <c r="F3013" s="344" t="s">
        <v>621</v>
      </c>
      <c r="G3013" s="358">
        <v>19.9023</v>
      </c>
      <c r="H3013" s="344" t="s">
        <v>1388</v>
      </c>
    </row>
    <row r="3014" spans="1:8">
      <c r="A3014" s="1"/>
      <c r="B3014" s="1"/>
      <c r="C3014" s="1"/>
      <c r="D3014" s="1"/>
      <c r="E3014" s="357">
        <v>44904</v>
      </c>
      <c r="F3014" s="344" t="s">
        <v>625</v>
      </c>
      <c r="G3014" s="358">
        <v>19.668399999999998</v>
      </c>
      <c r="H3014" s="344" t="s">
        <v>1388</v>
      </c>
    </row>
    <row r="3015" spans="1:8">
      <c r="A3015" s="1"/>
      <c r="B3015" s="1"/>
      <c r="C3015" s="1"/>
      <c r="D3015" s="1"/>
      <c r="E3015" s="357">
        <v>44904</v>
      </c>
      <c r="F3015" s="344" t="s">
        <v>628</v>
      </c>
      <c r="G3015" s="358">
        <v>22.780100000000001</v>
      </c>
      <c r="H3015" s="344" t="s">
        <v>1388</v>
      </c>
    </row>
    <row r="3016" spans="1:8">
      <c r="A3016" s="1"/>
      <c r="B3016" s="1"/>
      <c r="C3016" s="1"/>
      <c r="D3016" s="1"/>
      <c r="E3016" s="357">
        <v>44904</v>
      </c>
      <c r="F3016" s="344" t="s">
        <v>631</v>
      </c>
      <c r="G3016" s="358">
        <v>18.620799999999999</v>
      </c>
      <c r="H3016" s="344" t="s">
        <v>1388</v>
      </c>
    </row>
    <row r="3017" spans="1:8">
      <c r="A3017" s="1"/>
      <c r="B3017" s="1"/>
      <c r="C3017" s="1"/>
      <c r="D3017" s="1"/>
      <c r="E3017" s="357">
        <v>44907</v>
      </c>
      <c r="F3017" s="344" t="s">
        <v>621</v>
      </c>
      <c r="G3017" s="358">
        <v>19.895299999999999</v>
      </c>
      <c r="H3017" s="344" t="s">
        <v>1389</v>
      </c>
    </row>
    <row r="3018" spans="1:8">
      <c r="A3018" s="1"/>
      <c r="B3018" s="1"/>
      <c r="C3018" s="1"/>
      <c r="D3018" s="1"/>
      <c r="E3018" s="357">
        <v>44907</v>
      </c>
      <c r="F3018" s="344" t="s">
        <v>625</v>
      </c>
      <c r="G3018" s="358">
        <v>19.6386</v>
      </c>
      <c r="H3018" s="344" t="s">
        <v>1389</v>
      </c>
    </row>
    <row r="3019" spans="1:8">
      <c r="A3019" s="1"/>
      <c r="B3019" s="1"/>
      <c r="C3019" s="1"/>
      <c r="D3019" s="1"/>
      <c r="E3019" s="357">
        <v>44907</v>
      </c>
      <c r="F3019" s="344" t="s">
        <v>628</v>
      </c>
      <c r="G3019" s="358">
        <v>22.794599999999999</v>
      </c>
      <c r="H3019" s="344" t="s">
        <v>1389</v>
      </c>
    </row>
    <row r="3020" spans="1:8">
      <c r="A3020" s="1"/>
      <c r="B3020" s="1"/>
      <c r="C3020" s="1"/>
      <c r="D3020" s="1"/>
      <c r="E3020" s="357">
        <v>44907</v>
      </c>
      <c r="F3020" s="344" t="s">
        <v>631</v>
      </c>
      <c r="G3020" s="358">
        <v>18.619900000000001</v>
      </c>
      <c r="H3020" s="344" t="s">
        <v>1389</v>
      </c>
    </row>
    <row r="3021" spans="1:8">
      <c r="A3021" s="1"/>
      <c r="B3021" s="1"/>
      <c r="C3021" s="1"/>
      <c r="D3021" s="1"/>
      <c r="E3021" s="357">
        <v>44908</v>
      </c>
      <c r="F3021" s="344" t="s">
        <v>621</v>
      </c>
      <c r="G3021" s="358">
        <v>19.849699999999999</v>
      </c>
      <c r="H3021" s="344" t="s">
        <v>1390</v>
      </c>
    </row>
    <row r="3022" spans="1:8">
      <c r="A3022" s="1"/>
      <c r="B3022" s="1"/>
      <c r="C3022" s="1"/>
      <c r="D3022" s="1"/>
      <c r="E3022" s="357">
        <v>44908</v>
      </c>
      <c r="F3022" s="344" t="s">
        <v>625</v>
      </c>
      <c r="G3022" s="358">
        <v>19.638200000000001</v>
      </c>
      <c r="H3022" s="344" t="s">
        <v>1390</v>
      </c>
    </row>
    <row r="3023" spans="1:8">
      <c r="A3023" s="1"/>
      <c r="B3023" s="1"/>
      <c r="C3023" s="1"/>
      <c r="D3023" s="1"/>
      <c r="E3023" s="357">
        <v>44908</v>
      </c>
      <c r="F3023" s="344" t="s">
        <v>628</v>
      </c>
      <c r="G3023" s="358">
        <v>22.833300000000001</v>
      </c>
      <c r="H3023" s="344" t="s">
        <v>1390</v>
      </c>
    </row>
    <row r="3024" spans="1:8">
      <c r="A3024" s="1"/>
      <c r="B3024" s="1"/>
      <c r="C3024" s="1"/>
      <c r="D3024" s="1"/>
      <c r="E3024" s="357">
        <v>44908</v>
      </c>
      <c r="F3024" s="344" t="s">
        <v>631</v>
      </c>
      <c r="G3024" s="358">
        <v>18.624600000000001</v>
      </c>
      <c r="H3024" s="344" t="s">
        <v>1390</v>
      </c>
    </row>
    <row r="3025" spans="1:8">
      <c r="A3025" s="1"/>
      <c r="B3025" s="1"/>
      <c r="C3025" s="1"/>
      <c r="D3025" s="1"/>
      <c r="E3025" s="357">
        <v>44909</v>
      </c>
      <c r="F3025" s="344" t="s">
        <v>621</v>
      </c>
      <c r="G3025" s="358">
        <v>20.031199999999998</v>
      </c>
      <c r="H3025" s="344" t="s">
        <v>1391</v>
      </c>
    </row>
    <row r="3026" spans="1:8">
      <c r="A3026" s="1"/>
      <c r="B3026" s="1"/>
      <c r="C3026" s="1"/>
      <c r="D3026" s="1"/>
      <c r="E3026" s="357">
        <v>44909</v>
      </c>
      <c r="F3026" s="344" t="s">
        <v>625</v>
      </c>
      <c r="G3026" s="358">
        <v>19.834900000000001</v>
      </c>
      <c r="H3026" s="344" t="s">
        <v>1391</v>
      </c>
    </row>
    <row r="3027" spans="1:8">
      <c r="A3027" s="1"/>
      <c r="B3027" s="1"/>
      <c r="C3027" s="1"/>
      <c r="D3027" s="1"/>
      <c r="E3027" s="357">
        <v>44909</v>
      </c>
      <c r="F3027" s="344" t="s">
        <v>628</v>
      </c>
      <c r="G3027" s="358">
        <v>23.0167</v>
      </c>
      <c r="H3027" s="344" t="s">
        <v>1391</v>
      </c>
    </row>
    <row r="3028" spans="1:8">
      <c r="A3028" s="1"/>
      <c r="B3028" s="1"/>
      <c r="C3028" s="1"/>
      <c r="D3028" s="1"/>
      <c r="E3028" s="357">
        <v>44909</v>
      </c>
      <c r="F3028" s="344" t="s">
        <v>631</v>
      </c>
      <c r="G3028" s="358">
        <v>18.6266</v>
      </c>
      <c r="H3028" s="344" t="s">
        <v>1391</v>
      </c>
    </row>
    <row r="3029" spans="1:8">
      <c r="A3029" s="1"/>
      <c r="B3029" s="1"/>
      <c r="C3029" s="1"/>
      <c r="D3029" s="1"/>
      <c r="E3029" s="357">
        <v>44910</v>
      </c>
      <c r="F3029" s="344" t="s">
        <v>621</v>
      </c>
      <c r="G3029" s="358">
        <v>20.024999999999999</v>
      </c>
      <c r="H3029" s="344" t="s">
        <v>1392</v>
      </c>
    </row>
    <row r="3030" spans="1:8">
      <c r="A3030" s="1"/>
      <c r="B3030" s="1"/>
      <c r="C3030" s="1"/>
      <c r="D3030" s="1"/>
      <c r="E3030" s="357">
        <v>44910</v>
      </c>
      <c r="F3030" s="344" t="s">
        <v>625</v>
      </c>
      <c r="G3030" s="358">
        <v>19.798500000000001</v>
      </c>
      <c r="H3030" s="344" t="s">
        <v>1392</v>
      </c>
    </row>
    <row r="3031" spans="1:8">
      <c r="A3031" s="1"/>
      <c r="B3031" s="1"/>
      <c r="C3031" s="1"/>
      <c r="D3031" s="1"/>
      <c r="E3031" s="357">
        <v>44910</v>
      </c>
      <c r="F3031" s="344" t="s">
        <v>628</v>
      </c>
      <c r="G3031" s="358">
        <v>22.961600000000001</v>
      </c>
      <c r="H3031" s="344" t="s">
        <v>1392</v>
      </c>
    </row>
    <row r="3032" spans="1:8">
      <c r="A3032" s="1"/>
      <c r="B3032" s="1"/>
      <c r="C3032" s="1"/>
      <c r="D3032" s="1"/>
      <c r="E3032" s="357">
        <v>44910</v>
      </c>
      <c r="F3032" s="344" t="s">
        <v>631</v>
      </c>
      <c r="G3032" s="358">
        <v>18.625399999999999</v>
      </c>
      <c r="H3032" s="344" t="s">
        <v>1392</v>
      </c>
    </row>
    <row r="3033" spans="1:8">
      <c r="A3033" s="1"/>
      <c r="B3033" s="1"/>
      <c r="C3033" s="1"/>
      <c r="D3033" s="1"/>
      <c r="E3033" s="357">
        <v>44911</v>
      </c>
      <c r="F3033" s="344" t="s">
        <v>621</v>
      </c>
      <c r="G3033" s="358">
        <v>20.0137</v>
      </c>
      <c r="H3033" s="344" t="s">
        <v>1393</v>
      </c>
    </row>
    <row r="3034" spans="1:8">
      <c r="A3034" s="1"/>
      <c r="B3034" s="1"/>
      <c r="C3034" s="1"/>
      <c r="D3034" s="1"/>
      <c r="E3034" s="357">
        <v>44911</v>
      </c>
      <c r="F3034" s="344" t="s">
        <v>625</v>
      </c>
      <c r="G3034" s="358">
        <v>19.811399999999999</v>
      </c>
      <c r="H3034" s="344" t="s">
        <v>1393</v>
      </c>
    </row>
    <row r="3035" spans="1:8">
      <c r="A3035" s="1"/>
      <c r="B3035" s="1"/>
      <c r="C3035" s="1"/>
      <c r="D3035" s="1"/>
      <c r="E3035" s="357">
        <v>44911</v>
      </c>
      <c r="F3035" s="344" t="s">
        <v>628</v>
      </c>
      <c r="G3035" s="358">
        <v>22.6465</v>
      </c>
      <c r="H3035" s="344" t="s">
        <v>1393</v>
      </c>
    </row>
    <row r="3036" spans="1:8">
      <c r="A3036" s="1"/>
      <c r="B3036" s="1"/>
      <c r="C3036" s="1"/>
      <c r="D3036" s="1"/>
      <c r="E3036" s="357">
        <v>44911</v>
      </c>
      <c r="F3036" s="344" t="s">
        <v>631</v>
      </c>
      <c r="G3036" s="358">
        <v>18.626799999999999</v>
      </c>
      <c r="H3036" s="344" t="s">
        <v>1393</v>
      </c>
    </row>
    <row r="3037" spans="1:8">
      <c r="A3037" s="1"/>
      <c r="B3037" s="1"/>
      <c r="C3037" s="1"/>
      <c r="D3037" s="1"/>
      <c r="E3037" s="357">
        <v>44914</v>
      </c>
      <c r="F3037" s="344" t="s">
        <v>621</v>
      </c>
      <c r="G3037" s="358">
        <v>19.969200000000001</v>
      </c>
      <c r="H3037" s="344" t="s">
        <v>1394</v>
      </c>
    </row>
    <row r="3038" spans="1:8">
      <c r="A3038" s="1"/>
      <c r="B3038" s="1"/>
      <c r="C3038" s="1"/>
      <c r="D3038" s="1"/>
      <c r="E3038" s="357">
        <v>44914</v>
      </c>
      <c r="F3038" s="344" t="s">
        <v>625</v>
      </c>
      <c r="G3038" s="358">
        <v>19.7925</v>
      </c>
      <c r="H3038" s="344" t="s">
        <v>1394</v>
      </c>
    </row>
    <row r="3039" spans="1:8">
      <c r="A3039" s="1"/>
      <c r="B3039" s="1"/>
      <c r="C3039" s="1"/>
      <c r="D3039" s="1"/>
      <c r="E3039" s="357">
        <v>44914</v>
      </c>
      <c r="F3039" s="344" t="s">
        <v>628</v>
      </c>
      <c r="G3039" s="358">
        <v>22.689800000000002</v>
      </c>
      <c r="H3039" s="344" t="s">
        <v>1394</v>
      </c>
    </row>
    <row r="3040" spans="1:8">
      <c r="A3040" s="1"/>
      <c r="B3040" s="1"/>
      <c r="C3040" s="1"/>
      <c r="D3040" s="1"/>
      <c r="E3040" s="357">
        <v>44914</v>
      </c>
      <c r="F3040" s="344" t="s">
        <v>631</v>
      </c>
      <c r="G3040" s="358">
        <v>18.6312</v>
      </c>
      <c r="H3040" s="344" t="s">
        <v>1394</v>
      </c>
    </row>
    <row r="3041" spans="1:8">
      <c r="A3041" s="1"/>
      <c r="B3041" s="1"/>
      <c r="C3041" s="1"/>
      <c r="D3041" s="1"/>
      <c r="E3041" s="357">
        <v>44915</v>
      </c>
      <c r="F3041" s="344" t="s">
        <v>621</v>
      </c>
      <c r="G3041" s="358">
        <v>20.0642</v>
      </c>
      <c r="H3041" s="344" t="s">
        <v>1395</v>
      </c>
    </row>
    <row r="3042" spans="1:8">
      <c r="A3042" s="1"/>
      <c r="B3042" s="1"/>
      <c r="C3042" s="1"/>
      <c r="D3042" s="1"/>
      <c r="E3042" s="357">
        <v>44915</v>
      </c>
      <c r="F3042" s="344" t="s">
        <v>625</v>
      </c>
      <c r="G3042" s="358">
        <v>19.802499999999998</v>
      </c>
      <c r="H3042" s="344" t="s">
        <v>1395</v>
      </c>
    </row>
    <row r="3043" spans="1:8">
      <c r="A3043" s="1"/>
      <c r="B3043" s="1"/>
      <c r="C3043" s="1"/>
      <c r="D3043" s="1"/>
      <c r="E3043" s="357">
        <v>44915</v>
      </c>
      <c r="F3043" s="344" t="s">
        <v>628</v>
      </c>
      <c r="G3043" s="358">
        <v>22.624300000000002</v>
      </c>
      <c r="H3043" s="344" t="s">
        <v>1395</v>
      </c>
    </row>
    <row r="3044" spans="1:8">
      <c r="A3044" s="1"/>
      <c r="B3044" s="1"/>
      <c r="C3044" s="1"/>
      <c r="D3044" s="1"/>
      <c r="E3044" s="357">
        <v>44915</v>
      </c>
      <c r="F3044" s="344" t="s">
        <v>631</v>
      </c>
      <c r="G3044" s="358">
        <v>18.638100000000001</v>
      </c>
      <c r="H3044" s="344" t="s">
        <v>1395</v>
      </c>
    </row>
    <row r="3045" spans="1:8">
      <c r="A3045" s="1"/>
      <c r="B3045" s="1"/>
      <c r="C3045" s="1"/>
      <c r="D3045" s="1"/>
      <c r="E3045" s="357">
        <v>44916</v>
      </c>
      <c r="F3045" s="344" t="s">
        <v>621</v>
      </c>
      <c r="G3045" s="358">
        <v>20.070599999999999</v>
      </c>
      <c r="H3045" s="344" t="s">
        <v>1396</v>
      </c>
    </row>
    <row r="3046" spans="1:8">
      <c r="A3046" s="1"/>
      <c r="B3046" s="1"/>
      <c r="C3046" s="1"/>
      <c r="D3046" s="1"/>
      <c r="E3046" s="357">
        <v>44916</v>
      </c>
      <c r="F3046" s="344" t="s">
        <v>625</v>
      </c>
      <c r="G3046" s="358">
        <v>19.7987</v>
      </c>
      <c r="H3046" s="344" t="s">
        <v>1396</v>
      </c>
    </row>
    <row r="3047" spans="1:8">
      <c r="A3047" s="1"/>
      <c r="B3047" s="1"/>
      <c r="C3047" s="1"/>
      <c r="D3047" s="1"/>
      <c r="E3047" s="357">
        <v>44916</v>
      </c>
      <c r="F3047" s="344" t="s">
        <v>628</v>
      </c>
      <c r="G3047" s="358">
        <v>22.6007</v>
      </c>
      <c r="H3047" s="344" t="s">
        <v>1396</v>
      </c>
    </row>
    <row r="3048" spans="1:8">
      <c r="A3048" s="1"/>
      <c r="B3048" s="1"/>
      <c r="C3048" s="1"/>
      <c r="D3048" s="1"/>
      <c r="E3048" s="357">
        <v>44916</v>
      </c>
      <c r="F3048" s="344" t="s">
        <v>631</v>
      </c>
      <c r="G3048" s="358">
        <v>18.6432</v>
      </c>
      <c r="H3048" s="344" t="s">
        <v>1396</v>
      </c>
    </row>
    <row r="3049" spans="1:8">
      <c r="A3049" s="1"/>
      <c r="B3049" s="1"/>
      <c r="C3049" s="1"/>
      <c r="D3049" s="1"/>
      <c r="E3049" s="357">
        <v>44917</v>
      </c>
      <c r="F3049" s="344" t="s">
        <v>621</v>
      </c>
      <c r="G3049" s="358">
        <v>20.1267</v>
      </c>
      <c r="H3049" s="344" t="s">
        <v>1397</v>
      </c>
    </row>
    <row r="3050" spans="1:8">
      <c r="A3050" s="1"/>
      <c r="B3050" s="1"/>
      <c r="C3050" s="1"/>
      <c r="D3050" s="1"/>
      <c r="E3050" s="357">
        <v>44917</v>
      </c>
      <c r="F3050" s="344" t="s">
        <v>625</v>
      </c>
      <c r="G3050" s="358">
        <v>19.8354</v>
      </c>
      <c r="H3050" s="344" t="s">
        <v>1397</v>
      </c>
    </row>
    <row r="3051" spans="1:8">
      <c r="A3051" s="1"/>
      <c r="B3051" s="1"/>
      <c r="C3051" s="1"/>
      <c r="D3051" s="1"/>
      <c r="E3051" s="357">
        <v>44917</v>
      </c>
      <c r="F3051" s="344" t="s">
        <v>628</v>
      </c>
      <c r="G3051" s="358">
        <v>22.5291</v>
      </c>
      <c r="H3051" s="344" t="s">
        <v>1397</v>
      </c>
    </row>
    <row r="3052" spans="1:8">
      <c r="A3052" s="1"/>
      <c r="B3052" s="1"/>
      <c r="C3052" s="1"/>
      <c r="D3052" s="1"/>
      <c r="E3052" s="357">
        <v>44917</v>
      </c>
      <c r="F3052" s="344" t="s">
        <v>631</v>
      </c>
      <c r="G3052" s="358">
        <v>18.652200000000001</v>
      </c>
      <c r="H3052" s="344" t="s">
        <v>1397</v>
      </c>
    </row>
    <row r="3053" spans="1:8">
      <c r="A3053" s="1"/>
      <c r="B3053" s="1"/>
      <c r="C3053" s="1"/>
      <c r="D3053" s="1"/>
      <c r="E3053" s="357">
        <v>44918</v>
      </c>
      <c r="F3053" s="344" t="s">
        <v>621</v>
      </c>
      <c r="G3053" s="358">
        <v>20.0001</v>
      </c>
      <c r="H3053" s="344" t="s">
        <v>1398</v>
      </c>
    </row>
    <row r="3054" spans="1:8">
      <c r="A3054" s="1"/>
      <c r="B3054" s="1"/>
      <c r="C3054" s="1"/>
      <c r="D3054" s="1"/>
      <c r="E3054" s="357">
        <v>44918</v>
      </c>
      <c r="F3054" s="344" t="s">
        <v>625</v>
      </c>
      <c r="G3054" s="358">
        <v>19.804400000000001</v>
      </c>
      <c r="H3054" s="344" t="s">
        <v>1398</v>
      </c>
    </row>
    <row r="3055" spans="1:8">
      <c r="A3055" s="1"/>
      <c r="B3055" s="1"/>
      <c r="C3055" s="1"/>
      <c r="D3055" s="1"/>
      <c r="E3055" s="357">
        <v>44918</v>
      </c>
      <c r="F3055" s="344" t="s">
        <v>628</v>
      </c>
      <c r="G3055" s="358">
        <v>22.467500000000001</v>
      </c>
      <c r="H3055" s="344" t="s">
        <v>1398</v>
      </c>
    </row>
    <row r="3056" spans="1:8">
      <c r="A3056" s="1"/>
      <c r="B3056" s="1"/>
      <c r="C3056" s="1"/>
      <c r="D3056" s="1"/>
      <c r="E3056" s="357">
        <v>44918</v>
      </c>
      <c r="F3056" s="344" t="s">
        <v>631</v>
      </c>
      <c r="G3056" s="358">
        <v>18.659199999999998</v>
      </c>
      <c r="H3056" s="344" t="s">
        <v>1398</v>
      </c>
    </row>
    <row r="3057" spans="1:8">
      <c r="A3057" s="1"/>
      <c r="B3057" s="1"/>
      <c r="C3057" s="1"/>
      <c r="D3057" s="1"/>
      <c r="E3057" s="357">
        <v>44921</v>
      </c>
      <c r="F3057" s="344" t="s">
        <v>621</v>
      </c>
      <c r="G3057" s="358">
        <v>19.972799999999999</v>
      </c>
      <c r="H3057" s="344" t="s">
        <v>1399</v>
      </c>
    </row>
    <row r="3058" spans="1:8">
      <c r="A3058" s="1"/>
      <c r="B3058" s="1"/>
      <c r="C3058" s="1"/>
      <c r="D3058" s="1"/>
      <c r="E3058" s="357">
        <v>44921</v>
      </c>
      <c r="F3058" s="344" t="s">
        <v>625</v>
      </c>
      <c r="G3058" s="358">
        <v>19.8324</v>
      </c>
      <c r="H3058" s="344" t="s">
        <v>1399</v>
      </c>
    </row>
    <row r="3059" spans="1:8">
      <c r="A3059" s="1"/>
      <c r="B3059" s="1"/>
      <c r="C3059" s="1"/>
      <c r="D3059" s="1"/>
      <c r="E3059" s="357">
        <v>44921</v>
      </c>
      <c r="F3059" s="344" t="s">
        <v>628</v>
      </c>
      <c r="G3059" s="358">
        <v>22.4831</v>
      </c>
      <c r="H3059" s="344" t="s">
        <v>1399</v>
      </c>
    </row>
    <row r="3060" spans="1:8">
      <c r="A3060" s="1"/>
      <c r="B3060" s="1"/>
      <c r="C3060" s="1"/>
      <c r="D3060" s="1"/>
      <c r="E3060" s="357">
        <v>44921</v>
      </c>
      <c r="F3060" s="344" t="s">
        <v>631</v>
      </c>
      <c r="G3060" s="358">
        <v>18.664899999999999</v>
      </c>
      <c r="H3060" s="344" t="s">
        <v>1399</v>
      </c>
    </row>
    <row r="3061" spans="1:8">
      <c r="A3061" s="1"/>
      <c r="B3061" s="1"/>
      <c r="C3061" s="1"/>
      <c r="D3061" s="1"/>
      <c r="E3061" s="357">
        <v>44922</v>
      </c>
      <c r="F3061" s="344" t="s">
        <v>621</v>
      </c>
      <c r="G3061" s="358">
        <v>20.056899999999999</v>
      </c>
      <c r="H3061" s="344" t="s">
        <v>1400</v>
      </c>
    </row>
    <row r="3062" spans="1:8">
      <c r="A3062" s="1"/>
      <c r="B3062" s="1"/>
      <c r="C3062" s="1"/>
      <c r="D3062" s="1"/>
      <c r="E3062" s="357">
        <v>44922</v>
      </c>
      <c r="F3062" s="344" t="s">
        <v>625</v>
      </c>
      <c r="G3062" s="358">
        <v>19.9087</v>
      </c>
      <c r="H3062" s="344" t="s">
        <v>1400</v>
      </c>
    </row>
    <row r="3063" spans="1:8">
      <c r="A3063" s="1"/>
      <c r="B3063" s="1"/>
      <c r="C3063" s="1"/>
      <c r="D3063" s="1"/>
      <c r="E3063" s="357">
        <v>44922</v>
      </c>
      <c r="F3063" s="344" t="s">
        <v>628</v>
      </c>
      <c r="G3063" s="358">
        <v>22.514199999999999</v>
      </c>
      <c r="H3063" s="344" t="s">
        <v>1400</v>
      </c>
    </row>
    <row r="3064" spans="1:8">
      <c r="A3064" s="1"/>
      <c r="B3064" s="1"/>
      <c r="C3064" s="1"/>
      <c r="D3064" s="1"/>
      <c r="E3064" s="357">
        <v>44922</v>
      </c>
      <c r="F3064" s="344" t="s">
        <v>631</v>
      </c>
      <c r="G3064" s="358">
        <v>18.6813</v>
      </c>
      <c r="H3064" s="344" t="s">
        <v>1400</v>
      </c>
    </row>
    <row r="3065" spans="1:8">
      <c r="A3065" s="1"/>
      <c r="B3065" s="1"/>
      <c r="C3065" s="1"/>
      <c r="D3065" s="1"/>
      <c r="E3065" s="357">
        <v>44923</v>
      </c>
      <c r="F3065" s="344" t="s">
        <v>621</v>
      </c>
      <c r="G3065" s="358">
        <v>20.077000000000002</v>
      </c>
      <c r="H3065" s="344" t="s">
        <v>1401</v>
      </c>
    </row>
    <row r="3066" spans="1:8">
      <c r="A3066" s="1"/>
      <c r="B3066" s="1"/>
      <c r="C3066" s="1"/>
      <c r="D3066" s="1"/>
      <c r="E3066" s="357">
        <v>44923</v>
      </c>
      <c r="F3066" s="344" t="s">
        <v>625</v>
      </c>
      <c r="G3066" s="358">
        <v>19.894600000000001</v>
      </c>
      <c r="H3066" s="344" t="s">
        <v>1401</v>
      </c>
    </row>
    <row r="3067" spans="1:8">
      <c r="A3067" s="1"/>
      <c r="B3067" s="1"/>
      <c r="C3067" s="1"/>
      <c r="D3067" s="1"/>
      <c r="E3067" s="357">
        <v>44923</v>
      </c>
      <c r="F3067" s="344" t="s">
        <v>628</v>
      </c>
      <c r="G3067" s="358">
        <v>22.480399999999999</v>
      </c>
      <c r="H3067" s="344" t="s">
        <v>1401</v>
      </c>
    </row>
    <row r="3068" spans="1:8">
      <c r="A3068" s="1"/>
      <c r="B3068" s="1"/>
      <c r="C3068" s="1"/>
      <c r="D3068" s="1"/>
      <c r="E3068" s="357">
        <v>44923</v>
      </c>
      <c r="F3068" s="344" t="s">
        <v>631</v>
      </c>
      <c r="G3068" s="358">
        <v>18.696400000000001</v>
      </c>
      <c r="H3068" s="344" t="s">
        <v>1401</v>
      </c>
    </row>
    <row r="3069" spans="1:8">
      <c r="A3069" s="1"/>
      <c r="B3069" s="1"/>
      <c r="C3069" s="1"/>
      <c r="D3069" s="1"/>
      <c r="E3069" s="357">
        <v>44924</v>
      </c>
      <c r="F3069" s="344" t="s">
        <v>621</v>
      </c>
      <c r="G3069" s="358">
        <v>20.1435</v>
      </c>
      <c r="H3069" s="344" t="s">
        <v>1402</v>
      </c>
    </row>
    <row r="3070" spans="1:8">
      <c r="A3070" s="1"/>
      <c r="B3070" s="1"/>
      <c r="C3070" s="1"/>
      <c r="D3070" s="1"/>
      <c r="E3070" s="357">
        <v>44924</v>
      </c>
      <c r="F3070" s="344" t="s">
        <v>625</v>
      </c>
      <c r="G3070" s="358">
        <v>19.881599999999999</v>
      </c>
      <c r="H3070" s="344" t="s">
        <v>1402</v>
      </c>
    </row>
    <row r="3071" spans="1:8">
      <c r="A3071" s="1"/>
      <c r="B3071" s="1"/>
      <c r="C3071" s="1"/>
      <c r="D3071" s="1"/>
      <c r="E3071" s="357">
        <v>44924</v>
      </c>
      <c r="F3071" s="344" t="s">
        <v>628</v>
      </c>
      <c r="G3071" s="358">
        <v>22.4663</v>
      </c>
      <c r="H3071" s="344" t="s">
        <v>1402</v>
      </c>
    </row>
    <row r="3072" spans="1:8">
      <c r="A3072" s="1"/>
      <c r="B3072" s="1"/>
      <c r="C3072" s="1"/>
      <c r="D3072" s="1"/>
      <c r="E3072" s="357">
        <v>44924</v>
      </c>
      <c r="F3072" s="344" t="s">
        <v>631</v>
      </c>
      <c r="G3072" s="358">
        <v>18.6966</v>
      </c>
      <c r="H3072" s="344" t="s">
        <v>1402</v>
      </c>
    </row>
    <row r="3073" spans="1:8">
      <c r="A3073" s="1"/>
      <c r="B3073" s="1"/>
      <c r="C3073" s="1"/>
      <c r="D3073" s="1"/>
      <c r="E3073" s="357">
        <v>44925</v>
      </c>
      <c r="F3073" s="344" t="s">
        <v>621</v>
      </c>
      <c r="G3073" s="358">
        <v>20.201899999999998</v>
      </c>
      <c r="H3073" s="344" t="s">
        <v>1403</v>
      </c>
    </row>
    <row r="3074" spans="1:8">
      <c r="A3074" s="1"/>
      <c r="B3074" s="1"/>
      <c r="C3074" s="1"/>
      <c r="D3074" s="1"/>
      <c r="E3074" s="357">
        <v>44925</v>
      </c>
      <c r="F3074" s="344" t="s">
        <v>625</v>
      </c>
      <c r="G3074" s="358">
        <v>19.934899999999999</v>
      </c>
      <c r="H3074" s="344" t="s">
        <v>1403</v>
      </c>
    </row>
    <row r="3075" spans="1:8">
      <c r="A3075" s="1"/>
      <c r="B3075" s="1"/>
      <c r="C3075" s="1"/>
      <c r="D3075" s="1"/>
      <c r="E3075" s="357">
        <v>44925</v>
      </c>
      <c r="F3075" s="344" t="s">
        <v>628</v>
      </c>
      <c r="G3075" s="358">
        <v>22.4892</v>
      </c>
      <c r="H3075" s="344" t="s">
        <v>1403</v>
      </c>
    </row>
    <row r="3076" spans="1:8">
      <c r="A3076" s="1"/>
      <c r="B3076" s="1"/>
      <c r="C3076" s="1"/>
      <c r="D3076" s="1"/>
      <c r="E3076" s="357">
        <v>44925</v>
      </c>
      <c r="F3076" s="344" t="s">
        <v>631</v>
      </c>
      <c r="G3076" s="358">
        <v>18.6983</v>
      </c>
      <c r="H3076" s="344" t="s">
        <v>1403</v>
      </c>
    </row>
    <row r="3077" spans="1:8">
      <c r="A3077" s="1"/>
      <c r="B3077" s="1"/>
      <c r="C3077" s="1"/>
      <c r="D3077" s="1"/>
      <c r="E3077" s="357">
        <v>44928</v>
      </c>
      <c r="F3077" s="344" t="s">
        <v>621</v>
      </c>
      <c r="G3077" s="358">
        <v>20.181000000000001</v>
      </c>
      <c r="H3077" s="344" t="s">
        <v>1404</v>
      </c>
    </row>
    <row r="3078" spans="1:8">
      <c r="A3078" s="1"/>
      <c r="B3078" s="1"/>
      <c r="C3078" s="1"/>
      <c r="D3078" s="1"/>
      <c r="E3078" s="357">
        <v>44928</v>
      </c>
      <c r="F3078" s="344" t="s">
        <v>625</v>
      </c>
      <c r="G3078" s="358">
        <v>19.980599999999999</v>
      </c>
      <c r="H3078" s="344" t="s">
        <v>1404</v>
      </c>
    </row>
    <row r="3079" spans="1:8">
      <c r="A3079" s="1"/>
      <c r="B3079" s="1"/>
      <c r="C3079" s="1"/>
      <c r="D3079" s="1"/>
      <c r="E3079" s="357">
        <v>44928</v>
      </c>
      <c r="F3079" s="344" t="s">
        <v>628</v>
      </c>
      <c r="G3079" s="358">
        <v>22.510899999999999</v>
      </c>
      <c r="H3079" s="344" t="s">
        <v>1404</v>
      </c>
    </row>
    <row r="3080" spans="1:8">
      <c r="A3080" s="1"/>
      <c r="B3080" s="1"/>
      <c r="C3080" s="1"/>
      <c r="D3080" s="1"/>
      <c r="E3080" s="357">
        <v>44928</v>
      </c>
      <c r="F3080" s="344" t="s">
        <v>631</v>
      </c>
      <c r="G3080" s="358">
        <v>18.7029</v>
      </c>
      <c r="H3080" s="344" t="s">
        <v>1404</v>
      </c>
    </row>
    <row r="3081" spans="1:8">
      <c r="A3081" s="1"/>
      <c r="B3081" s="1"/>
      <c r="C3081" s="1"/>
      <c r="D3081" s="1"/>
      <c r="E3081" s="357">
        <v>44929</v>
      </c>
      <c r="F3081" s="344" t="s">
        <v>621</v>
      </c>
      <c r="G3081" s="358">
        <v>19.994399999999999</v>
      </c>
      <c r="H3081" s="344" t="s">
        <v>1405</v>
      </c>
    </row>
    <row r="3082" spans="1:8">
      <c r="A3082" s="1"/>
      <c r="B3082" s="1"/>
      <c r="C3082" s="1"/>
      <c r="D3082" s="1"/>
      <c r="E3082" s="357">
        <v>44929</v>
      </c>
      <c r="F3082" s="344" t="s">
        <v>625</v>
      </c>
      <c r="G3082" s="358">
        <v>19.7818</v>
      </c>
      <c r="H3082" s="344" t="s">
        <v>1405</v>
      </c>
    </row>
    <row r="3083" spans="1:8">
      <c r="A3083" s="1"/>
      <c r="B3083" s="1"/>
      <c r="C3083" s="1"/>
      <c r="D3083" s="1"/>
      <c r="E3083" s="357">
        <v>44929</v>
      </c>
      <c r="F3083" s="344" t="s">
        <v>628</v>
      </c>
      <c r="G3083" s="358">
        <v>22.3431</v>
      </c>
      <c r="H3083" s="344" t="s">
        <v>1405</v>
      </c>
    </row>
    <row r="3084" spans="1:8">
      <c r="A3084" s="1"/>
      <c r="B3084" s="1"/>
      <c r="C3084" s="1"/>
      <c r="D3084" s="1"/>
      <c r="E3084" s="357">
        <v>44929</v>
      </c>
      <c r="F3084" s="344" t="s">
        <v>631</v>
      </c>
      <c r="G3084" s="358">
        <v>18.7105</v>
      </c>
      <c r="H3084" s="344" t="s">
        <v>1405</v>
      </c>
    </row>
    <row r="3085" spans="1:8">
      <c r="A3085" s="1"/>
      <c r="B3085" s="1"/>
      <c r="C3085" s="1"/>
      <c r="D3085" s="1"/>
      <c r="E3085" s="357">
        <v>44930</v>
      </c>
      <c r="F3085" s="344" t="s">
        <v>621</v>
      </c>
      <c r="G3085" s="358">
        <v>20.1143</v>
      </c>
      <c r="H3085" s="344" t="s">
        <v>1406</v>
      </c>
    </row>
    <row r="3086" spans="1:8">
      <c r="A3086" s="1"/>
      <c r="B3086" s="1"/>
      <c r="C3086" s="1"/>
      <c r="D3086" s="1"/>
      <c r="E3086" s="357">
        <v>44930</v>
      </c>
      <c r="F3086" s="344" t="s">
        <v>625</v>
      </c>
      <c r="G3086" s="358">
        <v>19.847200000000001</v>
      </c>
      <c r="H3086" s="344" t="s">
        <v>1406</v>
      </c>
    </row>
    <row r="3087" spans="1:8">
      <c r="A3087" s="1"/>
      <c r="B3087" s="1"/>
      <c r="C3087" s="1"/>
      <c r="D3087" s="1"/>
      <c r="E3087" s="357">
        <v>44930</v>
      </c>
      <c r="F3087" s="344" t="s">
        <v>628</v>
      </c>
      <c r="G3087" s="358">
        <v>22.500900000000001</v>
      </c>
      <c r="H3087" s="344" t="s">
        <v>1406</v>
      </c>
    </row>
    <row r="3088" spans="1:8">
      <c r="A3088" s="1"/>
      <c r="B3088" s="1"/>
      <c r="C3088" s="1"/>
      <c r="D3088" s="1"/>
      <c r="E3088" s="357">
        <v>44930</v>
      </c>
      <c r="F3088" s="344" t="s">
        <v>631</v>
      </c>
      <c r="G3088" s="358">
        <v>18.7194</v>
      </c>
      <c r="H3088" s="344" t="s">
        <v>1406</v>
      </c>
    </row>
    <row r="3089" spans="1:8">
      <c r="A3089" s="1"/>
      <c r="B3089" s="1"/>
      <c r="C3089" s="1"/>
      <c r="D3089" s="1"/>
      <c r="E3089" s="357">
        <v>44931</v>
      </c>
      <c r="F3089" s="344" t="s">
        <v>621</v>
      </c>
      <c r="G3089" s="358">
        <v>20.1508</v>
      </c>
      <c r="H3089" s="344" t="s">
        <v>1407</v>
      </c>
    </row>
    <row r="3090" spans="1:8">
      <c r="A3090" s="1"/>
      <c r="B3090" s="1"/>
      <c r="C3090" s="1"/>
      <c r="D3090" s="1"/>
      <c r="E3090" s="357">
        <v>44931</v>
      </c>
      <c r="F3090" s="344" t="s">
        <v>625</v>
      </c>
      <c r="G3090" s="358">
        <v>19.8886</v>
      </c>
      <c r="H3090" s="344" t="s">
        <v>1407</v>
      </c>
    </row>
    <row r="3091" spans="1:8">
      <c r="A3091" s="1"/>
      <c r="B3091" s="1"/>
      <c r="C3091" s="1"/>
      <c r="D3091" s="1"/>
      <c r="E3091" s="357">
        <v>44931</v>
      </c>
      <c r="F3091" s="344" t="s">
        <v>628</v>
      </c>
      <c r="G3091" s="358">
        <v>22.4879</v>
      </c>
      <c r="H3091" s="344" t="s">
        <v>1407</v>
      </c>
    </row>
    <row r="3092" spans="1:8">
      <c r="A3092" s="1"/>
      <c r="B3092" s="1"/>
      <c r="C3092" s="1"/>
      <c r="D3092" s="1"/>
      <c r="E3092" s="357">
        <v>44931</v>
      </c>
      <c r="F3092" s="344" t="s">
        <v>631</v>
      </c>
      <c r="G3092" s="358">
        <v>18.738700000000001</v>
      </c>
      <c r="H3092" s="344" t="s">
        <v>1407</v>
      </c>
    </row>
    <row r="3093" spans="1:8">
      <c r="A3093" s="1"/>
      <c r="B3093" s="1"/>
      <c r="C3093" s="1"/>
      <c r="D3093" s="1"/>
      <c r="E3093" s="357">
        <v>44932</v>
      </c>
      <c r="F3093" s="344" t="s">
        <v>621</v>
      </c>
      <c r="G3093" s="358">
        <v>19.920999999999999</v>
      </c>
      <c r="H3093" s="344" t="s">
        <v>1408</v>
      </c>
    </row>
    <row r="3094" spans="1:8">
      <c r="A3094" s="1"/>
      <c r="B3094" s="1"/>
      <c r="C3094" s="1"/>
      <c r="D3094" s="1"/>
      <c r="E3094" s="357">
        <v>44932</v>
      </c>
      <c r="F3094" s="344" t="s">
        <v>625</v>
      </c>
      <c r="G3094" s="358">
        <v>19.704000000000001</v>
      </c>
      <c r="H3094" s="344" t="s">
        <v>1408</v>
      </c>
    </row>
    <row r="3095" spans="1:8">
      <c r="A3095" s="1"/>
      <c r="B3095" s="1"/>
      <c r="C3095" s="1"/>
      <c r="D3095" s="1"/>
      <c r="E3095" s="357">
        <v>44932</v>
      </c>
      <c r="F3095" s="344" t="s">
        <v>628</v>
      </c>
      <c r="G3095" s="358">
        <v>22.2271</v>
      </c>
      <c r="H3095" s="344" t="s">
        <v>1408</v>
      </c>
    </row>
    <row r="3096" spans="1:8">
      <c r="A3096" s="1"/>
      <c r="B3096" s="1"/>
      <c r="C3096" s="1"/>
      <c r="D3096" s="1"/>
      <c r="E3096" s="357">
        <v>44932</v>
      </c>
      <c r="F3096" s="344" t="s">
        <v>631</v>
      </c>
      <c r="G3096" s="358">
        <v>18.7498</v>
      </c>
      <c r="H3096" s="344" t="s">
        <v>1408</v>
      </c>
    </row>
    <row r="3097" spans="1:8">
      <c r="A3097" s="1"/>
      <c r="B3097" s="1"/>
      <c r="C3097" s="1"/>
      <c r="D3097" s="1"/>
      <c r="E3097" s="357">
        <v>44935</v>
      </c>
      <c r="F3097" s="344" t="s">
        <v>621</v>
      </c>
      <c r="G3097" s="358">
        <v>20.240300000000001</v>
      </c>
      <c r="H3097" s="344" t="s">
        <v>1409</v>
      </c>
    </row>
    <row r="3098" spans="1:8">
      <c r="A3098" s="1"/>
      <c r="B3098" s="1"/>
      <c r="C3098" s="1"/>
      <c r="D3098" s="1"/>
      <c r="E3098" s="357">
        <v>44935</v>
      </c>
      <c r="F3098" s="344" t="s">
        <v>625</v>
      </c>
      <c r="G3098" s="358">
        <v>20.026900000000001</v>
      </c>
      <c r="H3098" s="344" t="s">
        <v>1409</v>
      </c>
    </row>
    <row r="3099" spans="1:8">
      <c r="A3099" s="1"/>
      <c r="B3099" s="1"/>
      <c r="C3099" s="1"/>
      <c r="D3099" s="1"/>
      <c r="E3099" s="357">
        <v>44935</v>
      </c>
      <c r="F3099" s="344" t="s">
        <v>628</v>
      </c>
      <c r="G3099" s="358">
        <v>22.736000000000001</v>
      </c>
      <c r="H3099" s="344" t="s">
        <v>1409</v>
      </c>
    </row>
    <row r="3100" spans="1:8">
      <c r="A3100" s="1"/>
      <c r="B3100" s="1"/>
      <c r="C3100" s="1"/>
      <c r="D3100" s="1"/>
      <c r="E3100" s="357">
        <v>44935</v>
      </c>
      <c r="F3100" s="344" t="s">
        <v>631</v>
      </c>
      <c r="G3100" s="358">
        <v>18.753799999999998</v>
      </c>
      <c r="H3100" s="344" t="s">
        <v>1409</v>
      </c>
    </row>
    <row r="3101" spans="1:8">
      <c r="A3101" s="1"/>
      <c r="B3101" s="1"/>
      <c r="C3101" s="1"/>
      <c r="D3101" s="1"/>
      <c r="E3101" s="357">
        <v>44936</v>
      </c>
      <c r="F3101" s="344" t="s">
        <v>621</v>
      </c>
      <c r="G3101" s="358">
        <v>20.3172</v>
      </c>
      <c r="H3101" s="344" t="s">
        <v>1410</v>
      </c>
    </row>
    <row r="3102" spans="1:8">
      <c r="A3102" s="1"/>
      <c r="B3102" s="1"/>
      <c r="C3102" s="1"/>
      <c r="D3102" s="1"/>
      <c r="E3102" s="357">
        <v>44936</v>
      </c>
      <c r="F3102" s="344" t="s">
        <v>625</v>
      </c>
      <c r="G3102" s="358">
        <v>20.1386</v>
      </c>
      <c r="H3102" s="344" t="s">
        <v>1410</v>
      </c>
    </row>
    <row r="3103" spans="1:8">
      <c r="A3103" s="1"/>
      <c r="B3103" s="1"/>
      <c r="C3103" s="1"/>
      <c r="D3103" s="1"/>
      <c r="E3103" s="357">
        <v>44936</v>
      </c>
      <c r="F3103" s="344" t="s">
        <v>628</v>
      </c>
      <c r="G3103" s="358">
        <v>22.7818</v>
      </c>
      <c r="H3103" s="344" t="s">
        <v>1410</v>
      </c>
    </row>
    <row r="3104" spans="1:8">
      <c r="A3104" s="1"/>
      <c r="B3104" s="1"/>
      <c r="C3104" s="1"/>
      <c r="D3104" s="1"/>
      <c r="E3104" s="357">
        <v>44936</v>
      </c>
      <c r="F3104" s="344" t="s">
        <v>631</v>
      </c>
      <c r="G3104" s="358">
        <v>18.755500000000001</v>
      </c>
      <c r="H3104" s="344" t="s">
        <v>1410</v>
      </c>
    </row>
    <row r="3105" spans="1:8">
      <c r="A3105" s="1"/>
      <c r="B3105" s="1"/>
      <c r="C3105" s="1"/>
      <c r="D3105" s="1"/>
      <c r="E3105" s="357">
        <v>44937</v>
      </c>
      <c r="F3105" s="344" t="s">
        <v>621</v>
      </c>
      <c r="G3105" s="358">
        <v>20.276900000000001</v>
      </c>
      <c r="H3105" s="344" t="s">
        <v>1411</v>
      </c>
    </row>
    <row r="3106" spans="1:8">
      <c r="A3106" s="1"/>
      <c r="B3106" s="1"/>
      <c r="C3106" s="1"/>
      <c r="D3106" s="1"/>
      <c r="E3106" s="357">
        <v>44937</v>
      </c>
      <c r="F3106" s="344" t="s">
        <v>625</v>
      </c>
      <c r="G3106" s="358">
        <v>20.152799999999999</v>
      </c>
      <c r="H3106" s="344" t="s">
        <v>1411</v>
      </c>
    </row>
    <row r="3107" spans="1:8">
      <c r="A3107" s="1"/>
      <c r="B3107" s="1"/>
      <c r="C3107" s="1"/>
      <c r="D3107" s="1"/>
      <c r="E3107" s="357">
        <v>44937</v>
      </c>
      <c r="F3107" s="344" t="s">
        <v>628</v>
      </c>
      <c r="G3107" s="358">
        <v>22.7361</v>
      </c>
      <c r="H3107" s="344" t="s">
        <v>1411</v>
      </c>
    </row>
    <row r="3108" spans="1:8">
      <c r="A3108" s="1"/>
      <c r="B3108" s="1"/>
      <c r="C3108" s="1"/>
      <c r="D3108" s="1"/>
      <c r="E3108" s="357">
        <v>44937</v>
      </c>
      <c r="F3108" s="344" t="s">
        <v>631</v>
      </c>
      <c r="G3108" s="358">
        <v>18.758099999999999</v>
      </c>
      <c r="H3108" s="344" t="s">
        <v>1411</v>
      </c>
    </row>
    <row r="3109" spans="1:8">
      <c r="A3109" s="1"/>
      <c r="B3109" s="1"/>
      <c r="C3109" s="1"/>
      <c r="D3109" s="1"/>
      <c r="E3109" s="357">
        <v>44938</v>
      </c>
      <c r="F3109" s="344" t="s">
        <v>621</v>
      </c>
      <c r="G3109" s="358">
        <v>20.0748</v>
      </c>
      <c r="H3109" s="344" t="s">
        <v>1412</v>
      </c>
    </row>
    <row r="3110" spans="1:8">
      <c r="A3110" s="1"/>
      <c r="B3110" s="1"/>
      <c r="C3110" s="1"/>
      <c r="D3110" s="1"/>
      <c r="E3110" s="357">
        <v>44938</v>
      </c>
      <c r="F3110" s="344" t="s">
        <v>625</v>
      </c>
      <c r="G3110" s="358">
        <v>20.1858</v>
      </c>
      <c r="H3110" s="344" t="s">
        <v>1412</v>
      </c>
    </row>
    <row r="3111" spans="1:8">
      <c r="A3111" s="1"/>
      <c r="B3111" s="1"/>
      <c r="C3111" s="1"/>
      <c r="D3111" s="1"/>
      <c r="E3111" s="357">
        <v>44938</v>
      </c>
      <c r="F3111" s="344" t="s">
        <v>628</v>
      </c>
      <c r="G3111" s="358">
        <v>22.773099999999999</v>
      </c>
      <c r="H3111" s="344" t="s">
        <v>1412</v>
      </c>
    </row>
    <row r="3112" spans="1:8">
      <c r="A3112" s="1"/>
      <c r="B3112" s="1"/>
      <c r="C3112" s="1"/>
      <c r="D3112" s="1"/>
      <c r="E3112" s="357">
        <v>44938</v>
      </c>
      <c r="F3112" s="344" t="s">
        <v>631</v>
      </c>
      <c r="G3112" s="358">
        <v>18.7608</v>
      </c>
      <c r="H3112" s="344" t="s">
        <v>1412</v>
      </c>
    </row>
    <row r="3113" spans="1:8">
      <c r="A3113" s="1"/>
      <c r="B3113" s="1"/>
      <c r="C3113" s="1"/>
      <c r="D3113" s="1"/>
      <c r="E3113" s="357">
        <v>44939</v>
      </c>
      <c r="F3113" s="344" t="s">
        <v>621</v>
      </c>
      <c r="G3113" s="358">
        <v>20.158899999999999</v>
      </c>
      <c r="H3113" s="344" t="s">
        <v>1413</v>
      </c>
    </row>
    <row r="3114" spans="1:8">
      <c r="A3114" s="1"/>
      <c r="B3114" s="1"/>
      <c r="C3114" s="1"/>
      <c r="D3114" s="1"/>
      <c r="E3114" s="357">
        <v>44939</v>
      </c>
      <c r="F3114" s="344" t="s">
        <v>625</v>
      </c>
      <c r="G3114" s="358">
        <v>20.3386</v>
      </c>
      <c r="H3114" s="344" t="s">
        <v>1413</v>
      </c>
    </row>
    <row r="3115" spans="1:8">
      <c r="A3115" s="1"/>
      <c r="B3115" s="1"/>
      <c r="C3115" s="1"/>
      <c r="D3115" s="1"/>
      <c r="E3115" s="357">
        <v>44939</v>
      </c>
      <c r="F3115" s="344" t="s">
        <v>628</v>
      </c>
      <c r="G3115" s="358">
        <v>22.8749</v>
      </c>
      <c r="H3115" s="344" t="s">
        <v>1413</v>
      </c>
    </row>
    <row r="3116" spans="1:8">
      <c r="A3116" s="1"/>
      <c r="B3116" s="1"/>
      <c r="C3116" s="1"/>
      <c r="D3116" s="1"/>
      <c r="E3116" s="357">
        <v>44939</v>
      </c>
      <c r="F3116" s="344" t="s">
        <v>631</v>
      </c>
      <c r="G3116" s="358">
        <v>18.7592</v>
      </c>
      <c r="H3116" s="344" t="s">
        <v>1413</v>
      </c>
    </row>
    <row r="3117" spans="1:8">
      <c r="A3117" s="1"/>
      <c r="B3117" s="1"/>
      <c r="C3117" s="1"/>
      <c r="D3117" s="1"/>
      <c r="E3117" s="357">
        <v>44942</v>
      </c>
      <c r="F3117" s="344" t="s">
        <v>621</v>
      </c>
      <c r="G3117" s="358">
        <v>20.218599999999999</v>
      </c>
      <c r="H3117" s="344" t="s">
        <v>1414</v>
      </c>
    </row>
    <row r="3118" spans="1:8">
      <c r="A3118" s="1"/>
      <c r="B3118" s="1"/>
      <c r="C3118" s="1"/>
      <c r="D3118" s="1"/>
      <c r="E3118" s="357">
        <v>44942</v>
      </c>
      <c r="F3118" s="344" t="s">
        <v>625</v>
      </c>
      <c r="G3118" s="358">
        <v>20.316299999999998</v>
      </c>
      <c r="H3118" s="344" t="s">
        <v>1414</v>
      </c>
    </row>
    <row r="3119" spans="1:8">
      <c r="A3119" s="1"/>
      <c r="B3119" s="1"/>
      <c r="C3119" s="1"/>
      <c r="D3119" s="1"/>
      <c r="E3119" s="357">
        <v>44942</v>
      </c>
      <c r="F3119" s="344" t="s">
        <v>628</v>
      </c>
      <c r="G3119" s="358">
        <v>22.878399999999999</v>
      </c>
      <c r="H3119" s="344" t="s">
        <v>1414</v>
      </c>
    </row>
    <row r="3120" spans="1:8">
      <c r="A3120" s="1"/>
      <c r="B3120" s="1"/>
      <c r="C3120" s="1"/>
      <c r="D3120" s="1"/>
      <c r="E3120" s="357">
        <v>44942</v>
      </c>
      <c r="F3120" s="344" t="s">
        <v>631</v>
      </c>
      <c r="G3120" s="358">
        <v>18.7681</v>
      </c>
      <c r="H3120" s="344" t="s">
        <v>1414</v>
      </c>
    </row>
    <row r="3121" spans="1:8">
      <c r="A3121" s="1"/>
      <c r="B3121" s="1"/>
      <c r="C3121" s="1"/>
      <c r="D3121" s="1"/>
      <c r="E3121" s="357">
        <v>44943</v>
      </c>
      <c r="F3121" s="344" t="s">
        <v>621</v>
      </c>
      <c r="G3121" s="358">
        <v>20.2789</v>
      </c>
      <c r="H3121" s="344" t="s">
        <v>1415</v>
      </c>
    </row>
    <row r="3122" spans="1:8">
      <c r="A3122" s="1"/>
      <c r="B3122" s="1"/>
      <c r="C3122" s="1"/>
      <c r="D3122" s="1"/>
      <c r="E3122" s="357">
        <v>44943</v>
      </c>
      <c r="F3122" s="344" t="s">
        <v>625</v>
      </c>
      <c r="G3122" s="358">
        <v>20.3157</v>
      </c>
      <c r="H3122" s="344" t="s">
        <v>1415</v>
      </c>
    </row>
    <row r="3123" spans="1:8">
      <c r="A3123" s="1"/>
      <c r="B3123" s="1"/>
      <c r="C3123" s="1"/>
      <c r="D3123" s="1"/>
      <c r="E3123" s="357">
        <v>44943</v>
      </c>
      <c r="F3123" s="344" t="s">
        <v>628</v>
      </c>
      <c r="G3123" s="358">
        <v>22.8857</v>
      </c>
      <c r="H3123" s="344" t="s">
        <v>1415</v>
      </c>
    </row>
    <row r="3124" spans="1:8">
      <c r="A3124" s="1"/>
      <c r="B3124" s="1"/>
      <c r="C3124" s="1"/>
      <c r="D3124" s="1"/>
      <c r="E3124" s="357">
        <v>44943</v>
      </c>
      <c r="F3124" s="344" t="s">
        <v>631</v>
      </c>
      <c r="G3124" s="358">
        <v>18.769100000000002</v>
      </c>
      <c r="H3124" s="344" t="s">
        <v>1415</v>
      </c>
    </row>
    <row r="3125" spans="1:8">
      <c r="A3125" s="1"/>
      <c r="B3125" s="1"/>
      <c r="C3125" s="1"/>
      <c r="D3125" s="1"/>
      <c r="E3125" s="357">
        <v>44944</v>
      </c>
      <c r="F3125" s="344" t="s">
        <v>621</v>
      </c>
      <c r="G3125" s="358">
        <v>20.444800000000001</v>
      </c>
      <c r="H3125" s="344" t="s">
        <v>1416</v>
      </c>
    </row>
    <row r="3126" spans="1:8">
      <c r="A3126" s="1"/>
      <c r="B3126" s="1"/>
      <c r="C3126" s="1"/>
      <c r="D3126" s="1"/>
      <c r="E3126" s="357">
        <v>44944</v>
      </c>
      <c r="F3126" s="344" t="s">
        <v>625</v>
      </c>
      <c r="G3126" s="358">
        <v>20.332899999999999</v>
      </c>
      <c r="H3126" s="344" t="s">
        <v>1416</v>
      </c>
    </row>
    <row r="3127" spans="1:8">
      <c r="A3127" s="1"/>
      <c r="B3127" s="1"/>
      <c r="C3127" s="1"/>
      <c r="D3127" s="1"/>
      <c r="E3127" s="357">
        <v>44944</v>
      </c>
      <c r="F3127" s="344" t="s">
        <v>628</v>
      </c>
      <c r="G3127" s="358">
        <v>23.1189</v>
      </c>
      <c r="H3127" s="344" t="s">
        <v>1416</v>
      </c>
    </row>
    <row r="3128" spans="1:8">
      <c r="A3128" s="1"/>
      <c r="B3128" s="1"/>
      <c r="C3128" s="1"/>
      <c r="D3128" s="1"/>
      <c r="E3128" s="357">
        <v>44944</v>
      </c>
      <c r="F3128" s="344" t="s">
        <v>631</v>
      </c>
      <c r="G3128" s="358">
        <v>18.770099999999999</v>
      </c>
      <c r="H3128" s="344" t="s">
        <v>1416</v>
      </c>
    </row>
    <row r="3129" spans="1:8">
      <c r="A3129" s="1"/>
      <c r="B3129" s="1"/>
      <c r="C3129" s="1"/>
      <c r="D3129" s="1"/>
      <c r="E3129" s="357">
        <v>44945</v>
      </c>
      <c r="F3129" s="344" t="s">
        <v>621</v>
      </c>
      <c r="G3129" s="358">
        <v>20.439900000000002</v>
      </c>
      <c r="H3129" s="344" t="s">
        <v>1417</v>
      </c>
    </row>
    <row r="3130" spans="1:8">
      <c r="A3130" s="1"/>
      <c r="B3130" s="1"/>
      <c r="C3130" s="1"/>
      <c r="D3130" s="1"/>
      <c r="E3130" s="357">
        <v>44945</v>
      </c>
      <c r="F3130" s="344" t="s">
        <v>625</v>
      </c>
      <c r="G3130" s="358">
        <v>20.305399999999999</v>
      </c>
      <c r="H3130" s="344" t="s">
        <v>1417</v>
      </c>
    </row>
    <row r="3131" spans="1:8">
      <c r="A3131" s="1"/>
      <c r="B3131" s="1"/>
      <c r="C3131" s="1"/>
      <c r="D3131" s="1"/>
      <c r="E3131" s="357">
        <v>44945</v>
      </c>
      <c r="F3131" s="344" t="s">
        <v>628</v>
      </c>
      <c r="G3131" s="358">
        <v>23.122900000000001</v>
      </c>
      <c r="H3131" s="344" t="s">
        <v>1417</v>
      </c>
    </row>
    <row r="3132" spans="1:8">
      <c r="A3132" s="1"/>
      <c r="B3132" s="1"/>
      <c r="C3132" s="1"/>
      <c r="D3132" s="1"/>
      <c r="E3132" s="357">
        <v>44945</v>
      </c>
      <c r="F3132" s="344" t="s">
        <v>631</v>
      </c>
      <c r="G3132" s="358">
        <v>18.7742</v>
      </c>
      <c r="H3132" s="344" t="s">
        <v>1417</v>
      </c>
    </row>
    <row r="3133" spans="1:8">
      <c r="A3133" s="1"/>
      <c r="B3133" s="1"/>
      <c r="C3133" s="1"/>
      <c r="D3133" s="1"/>
      <c r="E3133" s="357">
        <v>44946</v>
      </c>
      <c r="F3133" s="344" t="s">
        <v>621</v>
      </c>
      <c r="G3133" s="358">
        <v>20.393999999999998</v>
      </c>
      <c r="H3133" s="344" t="s">
        <v>1418</v>
      </c>
    </row>
    <row r="3134" spans="1:8">
      <c r="A3134" s="1"/>
      <c r="B3134" s="1"/>
      <c r="C3134" s="1"/>
      <c r="D3134" s="1"/>
      <c r="E3134" s="357">
        <v>44946</v>
      </c>
      <c r="F3134" s="344" t="s">
        <v>625</v>
      </c>
      <c r="G3134" s="358">
        <v>20.341899999999999</v>
      </c>
      <c r="H3134" s="344" t="s">
        <v>1418</v>
      </c>
    </row>
    <row r="3135" spans="1:8">
      <c r="A3135" s="1"/>
      <c r="B3135" s="1"/>
      <c r="C3135" s="1"/>
      <c r="D3135" s="1"/>
      <c r="E3135" s="357">
        <v>44946</v>
      </c>
      <c r="F3135" s="344" t="s">
        <v>628</v>
      </c>
      <c r="G3135" s="358">
        <v>23.1645</v>
      </c>
      <c r="H3135" s="344" t="s">
        <v>1418</v>
      </c>
    </row>
    <row r="3136" spans="1:8">
      <c r="A3136" s="1"/>
      <c r="B3136" s="1"/>
      <c r="C3136" s="1"/>
      <c r="D3136" s="1"/>
      <c r="E3136" s="357">
        <v>44946</v>
      </c>
      <c r="F3136" s="344" t="s">
        <v>631</v>
      </c>
      <c r="G3136" s="358">
        <v>18.777100000000001</v>
      </c>
      <c r="H3136" s="344" t="s">
        <v>1418</v>
      </c>
    </row>
    <row r="3137" spans="1:8">
      <c r="A3137" s="1"/>
      <c r="B3137" s="1"/>
      <c r="C3137" s="1"/>
      <c r="D3137" s="1"/>
      <c r="E3137" s="357">
        <v>44949</v>
      </c>
      <c r="F3137" s="344" t="s">
        <v>621</v>
      </c>
      <c r="G3137" s="358">
        <v>20.405100000000001</v>
      </c>
      <c r="H3137" s="344" t="s">
        <v>1419</v>
      </c>
    </row>
    <row r="3138" spans="1:8">
      <c r="A3138" s="1"/>
      <c r="B3138" s="1"/>
      <c r="C3138" s="1"/>
      <c r="D3138" s="1"/>
      <c r="E3138" s="357">
        <v>44949</v>
      </c>
      <c r="F3138" s="344" t="s">
        <v>625</v>
      </c>
      <c r="G3138" s="358">
        <v>20.476800000000001</v>
      </c>
      <c r="H3138" s="344" t="s">
        <v>1419</v>
      </c>
    </row>
    <row r="3139" spans="1:8">
      <c r="A3139" s="1"/>
      <c r="B3139" s="1"/>
      <c r="C3139" s="1"/>
      <c r="D3139" s="1"/>
      <c r="E3139" s="357">
        <v>44949</v>
      </c>
      <c r="F3139" s="344" t="s">
        <v>628</v>
      </c>
      <c r="G3139" s="358">
        <v>23.247</v>
      </c>
      <c r="H3139" s="344" t="s">
        <v>1419</v>
      </c>
    </row>
    <row r="3140" spans="1:8">
      <c r="A3140" s="1"/>
      <c r="B3140" s="1"/>
      <c r="C3140" s="1"/>
      <c r="D3140" s="1"/>
      <c r="E3140" s="357">
        <v>44949</v>
      </c>
      <c r="F3140" s="344" t="s">
        <v>631</v>
      </c>
      <c r="G3140" s="358">
        <v>18.784400000000002</v>
      </c>
      <c r="H3140" s="344" t="s">
        <v>1419</v>
      </c>
    </row>
    <row r="3141" spans="1:8">
      <c r="A3141" s="1"/>
      <c r="B3141" s="1"/>
      <c r="C3141" s="1"/>
      <c r="D3141" s="1"/>
      <c r="E3141" s="357">
        <v>44950</v>
      </c>
      <c r="F3141" s="344" t="s">
        <v>621</v>
      </c>
      <c r="G3141" s="358">
        <v>20.3262</v>
      </c>
      <c r="H3141" s="344" t="s">
        <v>1420</v>
      </c>
    </row>
    <row r="3142" spans="1:8">
      <c r="A3142" s="1"/>
      <c r="B3142" s="1"/>
      <c r="C3142" s="1"/>
      <c r="D3142" s="1"/>
      <c r="E3142" s="357">
        <v>44950</v>
      </c>
      <c r="F3142" s="344" t="s">
        <v>625</v>
      </c>
      <c r="G3142" s="358">
        <v>20.414200000000001</v>
      </c>
      <c r="H3142" s="344" t="s">
        <v>1420</v>
      </c>
    </row>
    <row r="3143" spans="1:8">
      <c r="A3143" s="1"/>
      <c r="B3143" s="1"/>
      <c r="C3143" s="1"/>
      <c r="D3143" s="1"/>
      <c r="E3143" s="357">
        <v>44950</v>
      </c>
      <c r="F3143" s="344" t="s">
        <v>628</v>
      </c>
      <c r="G3143" s="358">
        <v>23.165800000000001</v>
      </c>
      <c r="H3143" s="344" t="s">
        <v>1420</v>
      </c>
    </row>
    <row r="3144" spans="1:8">
      <c r="A3144" s="1"/>
      <c r="B3144" s="1"/>
      <c r="C3144" s="1"/>
      <c r="D3144" s="1"/>
      <c r="E3144" s="357">
        <v>44950</v>
      </c>
      <c r="F3144" s="344" t="s">
        <v>631</v>
      </c>
      <c r="G3144" s="358">
        <v>18.773499999999999</v>
      </c>
      <c r="H3144" s="344" t="s">
        <v>1420</v>
      </c>
    </row>
    <row r="3145" spans="1:8">
      <c r="A3145" s="1"/>
      <c r="B3145" s="1"/>
      <c r="C3145" s="1"/>
      <c r="D3145" s="1"/>
      <c r="E3145" s="357">
        <v>44951</v>
      </c>
      <c r="F3145" s="344" t="s">
        <v>621</v>
      </c>
      <c r="G3145" s="358">
        <v>20.301600000000001</v>
      </c>
      <c r="H3145" s="344" t="s">
        <v>1421</v>
      </c>
    </row>
    <row r="3146" spans="1:8">
      <c r="A3146" s="1"/>
      <c r="B3146" s="1"/>
      <c r="C3146" s="1"/>
      <c r="D3146" s="1"/>
      <c r="E3146" s="357">
        <v>44951</v>
      </c>
      <c r="F3146" s="344" t="s">
        <v>625</v>
      </c>
      <c r="G3146" s="358">
        <v>20.437000000000001</v>
      </c>
      <c r="H3146" s="344" t="s">
        <v>1421</v>
      </c>
    </row>
    <row r="3147" spans="1:8">
      <c r="A3147" s="1"/>
      <c r="B3147" s="1"/>
      <c r="C3147" s="1"/>
      <c r="D3147" s="1"/>
      <c r="E3147" s="357">
        <v>44951</v>
      </c>
      <c r="F3147" s="344" t="s">
        <v>628</v>
      </c>
      <c r="G3147" s="358">
        <v>23.0914</v>
      </c>
      <c r="H3147" s="344" t="s">
        <v>1421</v>
      </c>
    </row>
    <row r="3148" spans="1:8">
      <c r="A3148" s="1"/>
      <c r="B3148" s="1"/>
      <c r="C3148" s="1"/>
      <c r="D3148" s="1"/>
      <c r="E3148" s="357">
        <v>44951</v>
      </c>
      <c r="F3148" s="344" t="s">
        <v>631</v>
      </c>
      <c r="G3148" s="358">
        <v>18.785</v>
      </c>
      <c r="H3148" s="344" t="s">
        <v>1421</v>
      </c>
    </row>
    <row r="3149" spans="1:8">
      <c r="A3149" s="1"/>
      <c r="B3149" s="1"/>
      <c r="C3149" s="1"/>
      <c r="D3149" s="1"/>
      <c r="E3149" s="357">
        <v>44952</v>
      </c>
      <c r="F3149" s="344" t="s">
        <v>621</v>
      </c>
      <c r="G3149" s="358">
        <v>20.416499999999999</v>
      </c>
      <c r="H3149" s="344" t="s">
        <v>1422</v>
      </c>
    </row>
    <row r="3150" spans="1:8">
      <c r="A3150" s="1"/>
      <c r="B3150" s="1"/>
      <c r="C3150" s="1"/>
      <c r="D3150" s="1"/>
      <c r="E3150" s="357">
        <v>44952</v>
      </c>
      <c r="F3150" s="344" t="s">
        <v>625</v>
      </c>
      <c r="G3150" s="358">
        <v>20.493099999999998</v>
      </c>
      <c r="H3150" s="344" t="s">
        <v>1422</v>
      </c>
    </row>
    <row r="3151" spans="1:8">
      <c r="A3151" s="1"/>
      <c r="B3151" s="1"/>
      <c r="C3151" s="1"/>
      <c r="D3151" s="1"/>
      <c r="E3151" s="357">
        <v>44952</v>
      </c>
      <c r="F3151" s="344" t="s">
        <v>628</v>
      </c>
      <c r="G3151" s="358">
        <v>23.245999999999999</v>
      </c>
      <c r="H3151" s="344" t="s">
        <v>1422</v>
      </c>
    </row>
    <row r="3152" spans="1:8">
      <c r="A3152" s="1"/>
      <c r="B3152" s="1"/>
      <c r="C3152" s="1"/>
      <c r="D3152" s="1"/>
      <c r="E3152" s="357">
        <v>44952</v>
      </c>
      <c r="F3152" s="344" t="s">
        <v>631</v>
      </c>
      <c r="G3152" s="358">
        <v>18.785299999999999</v>
      </c>
      <c r="H3152" s="344" t="s">
        <v>1422</v>
      </c>
    </row>
    <row r="3153" spans="1:8">
      <c r="A3153" s="1"/>
      <c r="B3153" s="1"/>
      <c r="C3153" s="1"/>
      <c r="D3153" s="1"/>
      <c r="E3153" s="357">
        <v>44953</v>
      </c>
      <c r="F3153" s="344" t="s">
        <v>621</v>
      </c>
      <c r="G3153" s="358">
        <v>20.335599999999999</v>
      </c>
      <c r="H3153" s="344" t="s">
        <v>1423</v>
      </c>
    </row>
    <row r="3154" spans="1:8">
      <c r="A3154" s="1"/>
      <c r="B3154" s="1"/>
      <c r="C3154" s="1"/>
      <c r="D3154" s="1"/>
      <c r="E3154" s="357">
        <v>44953</v>
      </c>
      <c r="F3154" s="344" t="s">
        <v>625</v>
      </c>
      <c r="G3154" s="358">
        <v>20.440100000000001</v>
      </c>
      <c r="H3154" s="344" t="s">
        <v>1423</v>
      </c>
    </row>
    <row r="3155" spans="1:8">
      <c r="A3155" s="1"/>
      <c r="B3155" s="1"/>
      <c r="C3155" s="1"/>
      <c r="D3155" s="1"/>
      <c r="E3155" s="357">
        <v>44953</v>
      </c>
      <c r="F3155" s="344" t="s">
        <v>628</v>
      </c>
      <c r="G3155" s="358">
        <v>23.204999999999998</v>
      </c>
      <c r="H3155" s="344" t="s">
        <v>1423</v>
      </c>
    </row>
    <row r="3156" spans="1:8">
      <c r="A3156" s="1"/>
      <c r="B3156" s="1"/>
      <c r="C3156" s="1"/>
      <c r="D3156" s="1"/>
      <c r="E3156" s="357">
        <v>44953</v>
      </c>
      <c r="F3156" s="344" t="s">
        <v>631</v>
      </c>
      <c r="G3156" s="358">
        <v>18.7852</v>
      </c>
      <c r="H3156" s="344" t="s">
        <v>1423</v>
      </c>
    </row>
    <row r="3157" spans="1:8">
      <c r="A3157" s="1"/>
      <c r="B3157" s="1"/>
      <c r="C3157" s="1"/>
      <c r="D3157" s="1"/>
      <c r="E3157" s="357">
        <v>44956</v>
      </c>
      <c r="F3157" s="344" t="s">
        <v>621</v>
      </c>
      <c r="G3157" s="358">
        <v>20.356999999999999</v>
      </c>
      <c r="H3157" s="344" t="s">
        <v>1424</v>
      </c>
    </row>
    <row r="3158" spans="1:8">
      <c r="A3158" s="1"/>
      <c r="B3158" s="1"/>
      <c r="C3158" s="1"/>
      <c r="D3158" s="1"/>
      <c r="E3158" s="357">
        <v>44956</v>
      </c>
      <c r="F3158" s="344" t="s">
        <v>625</v>
      </c>
      <c r="G3158" s="358">
        <v>20.452500000000001</v>
      </c>
      <c r="H3158" s="344" t="s">
        <v>1424</v>
      </c>
    </row>
    <row r="3159" spans="1:8">
      <c r="A3159" s="1"/>
      <c r="B3159" s="1"/>
      <c r="C3159" s="1"/>
      <c r="D3159" s="1"/>
      <c r="E3159" s="357">
        <v>44956</v>
      </c>
      <c r="F3159" s="344" t="s">
        <v>628</v>
      </c>
      <c r="G3159" s="358">
        <v>23.235600000000002</v>
      </c>
      <c r="H3159" s="344" t="s">
        <v>1424</v>
      </c>
    </row>
    <row r="3160" spans="1:8">
      <c r="A3160" s="1"/>
      <c r="B3160" s="1"/>
      <c r="C3160" s="1"/>
      <c r="D3160" s="1"/>
      <c r="E3160" s="357">
        <v>44956</v>
      </c>
      <c r="F3160" s="344" t="s">
        <v>631</v>
      </c>
      <c r="G3160" s="358">
        <v>18.787600000000001</v>
      </c>
      <c r="H3160" s="344" t="s">
        <v>1424</v>
      </c>
    </row>
    <row r="3161" spans="1:8">
      <c r="A3161" s="1"/>
      <c r="B3161" s="1"/>
      <c r="C3161" s="1"/>
      <c r="D3161" s="1"/>
      <c r="E3161" s="357">
        <v>44957</v>
      </c>
      <c r="F3161" s="344" t="s">
        <v>621</v>
      </c>
      <c r="G3161" s="358">
        <v>20.223199999999999</v>
      </c>
      <c r="H3161" s="344" t="s">
        <v>1425</v>
      </c>
    </row>
    <row r="3162" spans="1:8">
      <c r="A3162" s="1"/>
      <c r="B3162" s="1"/>
      <c r="C3162" s="1"/>
      <c r="D3162" s="1"/>
      <c r="E3162" s="357">
        <v>44957</v>
      </c>
      <c r="F3162" s="344" t="s">
        <v>625</v>
      </c>
      <c r="G3162" s="358">
        <v>20.345800000000001</v>
      </c>
      <c r="H3162" s="344" t="s">
        <v>1425</v>
      </c>
    </row>
    <row r="3163" spans="1:8">
      <c r="A3163" s="1"/>
      <c r="B3163" s="1"/>
      <c r="C3163" s="1"/>
      <c r="D3163" s="1"/>
      <c r="E3163" s="357">
        <v>44957</v>
      </c>
      <c r="F3163" s="344" t="s">
        <v>628</v>
      </c>
      <c r="G3163" s="358">
        <v>23.123899999999999</v>
      </c>
      <c r="H3163" s="344" t="s">
        <v>1425</v>
      </c>
    </row>
    <row r="3164" spans="1:8">
      <c r="A3164" s="1"/>
      <c r="B3164" s="1"/>
      <c r="C3164" s="1"/>
      <c r="D3164" s="1"/>
      <c r="E3164" s="357">
        <v>44957</v>
      </c>
      <c r="F3164" s="344" t="s">
        <v>631</v>
      </c>
      <c r="G3164" s="358">
        <v>18.787800000000001</v>
      </c>
      <c r="H3164" s="344" t="s">
        <v>1425</v>
      </c>
    </row>
    <row r="3165" spans="1:8">
      <c r="A3165" s="1"/>
      <c r="B3165" s="1"/>
      <c r="C3165" s="1"/>
      <c r="D3165" s="1"/>
      <c r="E3165" s="357">
        <v>44958</v>
      </c>
      <c r="F3165" s="344" t="s">
        <v>621</v>
      </c>
      <c r="G3165" s="358">
        <v>20.467199999999998</v>
      </c>
      <c r="H3165" s="344" t="s">
        <v>1426</v>
      </c>
    </row>
    <row r="3166" spans="1:8">
      <c r="A3166" s="1"/>
      <c r="B3166" s="1"/>
      <c r="C3166" s="1"/>
      <c r="D3166" s="1"/>
      <c r="E3166" s="357">
        <v>44958</v>
      </c>
      <c r="F3166" s="344" t="s">
        <v>625</v>
      </c>
      <c r="G3166" s="358">
        <v>20.4512</v>
      </c>
      <c r="H3166" s="344" t="s">
        <v>1426</v>
      </c>
    </row>
    <row r="3167" spans="1:8">
      <c r="A3167" s="1"/>
      <c r="B3167" s="1"/>
      <c r="C3167" s="1"/>
      <c r="D3167" s="1"/>
      <c r="E3167" s="357">
        <v>44958</v>
      </c>
      <c r="F3167" s="344" t="s">
        <v>628</v>
      </c>
      <c r="G3167" s="358">
        <v>23.111799999999999</v>
      </c>
      <c r="H3167" s="344" t="s">
        <v>1426</v>
      </c>
    </row>
    <row r="3168" spans="1:8">
      <c r="A3168" s="1"/>
      <c r="B3168" s="1"/>
      <c r="C3168" s="1"/>
      <c r="D3168" s="1"/>
      <c r="E3168" s="357">
        <v>44958</v>
      </c>
      <c r="F3168" s="344" t="s">
        <v>631</v>
      </c>
      <c r="G3168" s="358">
        <v>18.7897</v>
      </c>
      <c r="H3168" s="344" t="s">
        <v>1426</v>
      </c>
    </row>
    <row r="3169" spans="1:8">
      <c r="A3169" s="1"/>
      <c r="B3169" s="1"/>
      <c r="C3169" s="1"/>
      <c r="D3169" s="1"/>
      <c r="E3169" s="357">
        <v>44959</v>
      </c>
      <c r="F3169" s="344" t="s">
        <v>621</v>
      </c>
      <c r="G3169" s="358">
        <v>20.633099999999999</v>
      </c>
      <c r="H3169" s="344" t="s">
        <v>1427</v>
      </c>
    </row>
    <row r="3170" spans="1:8">
      <c r="A3170" s="1"/>
      <c r="B3170" s="1"/>
      <c r="C3170" s="1"/>
      <c r="D3170" s="1"/>
      <c r="E3170" s="357">
        <v>44959</v>
      </c>
      <c r="F3170" s="344" t="s">
        <v>625</v>
      </c>
      <c r="G3170" s="358">
        <v>20.6661</v>
      </c>
      <c r="H3170" s="344" t="s">
        <v>1427</v>
      </c>
    </row>
    <row r="3171" spans="1:8">
      <c r="A3171" s="1"/>
      <c r="B3171" s="1"/>
      <c r="C3171" s="1"/>
      <c r="D3171" s="1"/>
      <c r="E3171" s="357">
        <v>44959</v>
      </c>
      <c r="F3171" s="344" t="s">
        <v>628</v>
      </c>
      <c r="G3171" s="358">
        <v>23.174499999999998</v>
      </c>
      <c r="H3171" s="344" t="s">
        <v>1427</v>
      </c>
    </row>
    <row r="3172" spans="1:8">
      <c r="A3172" s="1"/>
      <c r="B3172" s="1"/>
      <c r="C3172" s="1"/>
      <c r="D3172" s="1"/>
      <c r="E3172" s="357">
        <v>44959</v>
      </c>
      <c r="F3172" s="344" t="s">
        <v>631</v>
      </c>
      <c r="G3172" s="358">
        <v>18.7913</v>
      </c>
      <c r="H3172" s="344" t="s">
        <v>1427</v>
      </c>
    </row>
    <row r="3173" spans="1:8">
      <c r="A3173" s="1"/>
      <c r="B3173" s="1"/>
      <c r="C3173" s="1"/>
      <c r="D3173" s="1"/>
      <c r="E3173" s="357">
        <v>44960</v>
      </c>
      <c r="F3173" s="344" t="s">
        <v>621</v>
      </c>
      <c r="G3173" s="358">
        <v>20.515599999999999</v>
      </c>
      <c r="H3173" s="344" t="s">
        <v>1428</v>
      </c>
    </row>
    <row r="3174" spans="1:8">
      <c r="A3174" s="1"/>
      <c r="B3174" s="1"/>
      <c r="C3174" s="1"/>
      <c r="D3174" s="1"/>
      <c r="E3174" s="357">
        <v>44960</v>
      </c>
      <c r="F3174" s="344" t="s">
        <v>625</v>
      </c>
      <c r="G3174" s="358">
        <v>20.516300000000001</v>
      </c>
      <c r="H3174" s="344" t="s">
        <v>1428</v>
      </c>
    </row>
    <row r="3175" spans="1:8">
      <c r="A3175" s="1"/>
      <c r="B3175" s="1"/>
      <c r="C3175" s="1"/>
      <c r="D3175" s="1"/>
      <c r="E3175" s="357">
        <v>44960</v>
      </c>
      <c r="F3175" s="344" t="s">
        <v>628</v>
      </c>
      <c r="G3175" s="358">
        <v>22.947600000000001</v>
      </c>
      <c r="H3175" s="344" t="s">
        <v>1428</v>
      </c>
    </row>
    <row r="3176" spans="1:8">
      <c r="A3176" s="1"/>
      <c r="B3176" s="1"/>
      <c r="C3176" s="1"/>
      <c r="D3176" s="1"/>
      <c r="E3176" s="357">
        <v>44960</v>
      </c>
      <c r="F3176" s="344" t="s">
        <v>631</v>
      </c>
      <c r="G3176" s="358">
        <v>18.794799999999999</v>
      </c>
      <c r="H3176" s="344" t="s">
        <v>1428</v>
      </c>
    </row>
    <row r="3177" spans="1:8">
      <c r="A3177" s="1"/>
      <c r="B3177" s="1"/>
      <c r="C3177" s="1"/>
      <c r="D3177" s="1"/>
      <c r="E3177" s="357">
        <v>44963</v>
      </c>
      <c r="F3177" s="344" t="s">
        <v>621</v>
      </c>
      <c r="G3177" s="358">
        <v>20.281600000000001</v>
      </c>
      <c r="H3177" s="344" t="s">
        <v>1429</v>
      </c>
    </row>
    <row r="3178" spans="1:8">
      <c r="A3178" s="1"/>
      <c r="B3178" s="1"/>
      <c r="C3178" s="1"/>
      <c r="D3178" s="1"/>
      <c r="E3178" s="357">
        <v>44963</v>
      </c>
      <c r="F3178" s="344" t="s">
        <v>625</v>
      </c>
      <c r="G3178" s="358">
        <v>20.266200000000001</v>
      </c>
      <c r="H3178" s="344" t="s">
        <v>1429</v>
      </c>
    </row>
    <row r="3179" spans="1:8">
      <c r="A3179" s="1"/>
      <c r="B3179" s="1"/>
      <c r="C3179" s="1"/>
      <c r="D3179" s="1"/>
      <c r="E3179" s="357">
        <v>44963</v>
      </c>
      <c r="F3179" s="344" t="s">
        <v>628</v>
      </c>
      <c r="G3179" s="358">
        <v>22.6219</v>
      </c>
      <c r="H3179" s="344" t="s">
        <v>1429</v>
      </c>
    </row>
    <row r="3180" spans="1:8">
      <c r="A3180" s="1"/>
      <c r="B3180" s="1"/>
      <c r="C3180" s="1"/>
      <c r="D3180" s="1"/>
      <c r="E3180" s="357">
        <v>44963</v>
      </c>
      <c r="F3180" s="344" t="s">
        <v>631</v>
      </c>
      <c r="G3180" s="358">
        <v>18.809200000000001</v>
      </c>
      <c r="H3180" s="344" t="s">
        <v>1429</v>
      </c>
    </row>
    <row r="3181" spans="1:8">
      <c r="A3181" s="1"/>
      <c r="B3181" s="1"/>
      <c r="C3181" s="1"/>
      <c r="D3181" s="1"/>
      <c r="E3181" s="357">
        <v>44964</v>
      </c>
      <c r="F3181" s="344" t="s">
        <v>621</v>
      </c>
      <c r="G3181" s="358">
        <v>20.250599999999999</v>
      </c>
      <c r="H3181" s="344" t="s">
        <v>1430</v>
      </c>
    </row>
    <row r="3182" spans="1:8">
      <c r="A3182" s="1"/>
      <c r="B3182" s="1"/>
      <c r="C3182" s="1"/>
      <c r="D3182" s="1"/>
      <c r="E3182" s="357">
        <v>44964</v>
      </c>
      <c r="F3182" s="344" t="s">
        <v>625</v>
      </c>
      <c r="G3182" s="358">
        <v>20.160599999999999</v>
      </c>
      <c r="H3182" s="344" t="s">
        <v>1430</v>
      </c>
    </row>
    <row r="3183" spans="1:8">
      <c r="A3183" s="1"/>
      <c r="B3183" s="1"/>
      <c r="C3183" s="1"/>
      <c r="D3183" s="1"/>
      <c r="E3183" s="357">
        <v>44964</v>
      </c>
      <c r="F3183" s="344" t="s">
        <v>628</v>
      </c>
      <c r="G3183" s="358">
        <v>22.555800000000001</v>
      </c>
      <c r="H3183" s="344" t="s">
        <v>1430</v>
      </c>
    </row>
    <row r="3184" spans="1:8">
      <c r="A3184" s="1"/>
      <c r="B3184" s="1"/>
      <c r="C3184" s="1"/>
      <c r="D3184" s="1"/>
      <c r="E3184" s="357">
        <v>44964</v>
      </c>
      <c r="F3184" s="344" t="s">
        <v>631</v>
      </c>
      <c r="G3184" s="358">
        <v>18.808700000000002</v>
      </c>
      <c r="H3184" s="344" t="s">
        <v>1430</v>
      </c>
    </row>
    <row r="3185" spans="1:8">
      <c r="A3185" s="1"/>
      <c r="B3185" s="1"/>
      <c r="C3185" s="1"/>
      <c r="D3185" s="1"/>
      <c r="E3185" s="357">
        <v>44965</v>
      </c>
      <c r="F3185" s="344" t="s">
        <v>621</v>
      </c>
      <c r="G3185" s="358">
        <v>20.411100000000001</v>
      </c>
      <c r="H3185" s="344" t="s">
        <v>1431</v>
      </c>
    </row>
    <row r="3186" spans="1:8">
      <c r="A3186" s="1"/>
      <c r="B3186" s="1"/>
      <c r="C3186" s="1"/>
      <c r="D3186" s="1"/>
      <c r="E3186" s="357">
        <v>44965</v>
      </c>
      <c r="F3186" s="344" t="s">
        <v>625</v>
      </c>
      <c r="G3186" s="358">
        <v>20.212700000000002</v>
      </c>
      <c r="H3186" s="344" t="s">
        <v>1431</v>
      </c>
    </row>
    <row r="3187" spans="1:8">
      <c r="A3187" s="1"/>
      <c r="B3187" s="1"/>
      <c r="C3187" s="1"/>
      <c r="D3187" s="1"/>
      <c r="E3187" s="357">
        <v>44965</v>
      </c>
      <c r="F3187" s="344" t="s">
        <v>628</v>
      </c>
      <c r="G3187" s="358">
        <v>22.697900000000001</v>
      </c>
      <c r="H3187" s="344" t="s">
        <v>1431</v>
      </c>
    </row>
    <row r="3188" spans="1:8">
      <c r="A3188" s="1"/>
      <c r="B3188" s="1"/>
      <c r="C3188" s="1"/>
      <c r="D3188" s="1"/>
      <c r="E3188" s="357">
        <v>44965</v>
      </c>
      <c r="F3188" s="344" t="s">
        <v>631</v>
      </c>
      <c r="G3188" s="358">
        <v>18.809999999999999</v>
      </c>
      <c r="H3188" s="344" t="s">
        <v>1431</v>
      </c>
    </row>
    <row r="3189" spans="1:8">
      <c r="A3189" s="1"/>
      <c r="B3189" s="1"/>
      <c r="C3189" s="1"/>
      <c r="D3189" s="1"/>
      <c r="E3189" s="357">
        <v>44966</v>
      </c>
      <c r="F3189" s="344" t="s">
        <v>621</v>
      </c>
      <c r="G3189" s="358">
        <v>20.4269</v>
      </c>
      <c r="H3189" s="344" t="s">
        <v>1432</v>
      </c>
    </row>
    <row r="3190" spans="1:8">
      <c r="A3190" s="1"/>
      <c r="B3190" s="1"/>
      <c r="C3190" s="1"/>
      <c r="D3190" s="1"/>
      <c r="E3190" s="357">
        <v>44966</v>
      </c>
      <c r="F3190" s="344" t="s">
        <v>625</v>
      </c>
      <c r="G3190" s="358">
        <v>20.231300000000001</v>
      </c>
      <c r="H3190" s="344" t="s">
        <v>1432</v>
      </c>
    </row>
    <row r="3191" spans="1:8">
      <c r="A3191" s="1"/>
      <c r="B3191" s="1"/>
      <c r="C3191" s="1"/>
      <c r="D3191" s="1"/>
      <c r="E3191" s="357">
        <v>44966</v>
      </c>
      <c r="F3191" s="344" t="s">
        <v>628</v>
      </c>
      <c r="G3191" s="358">
        <v>22.771899999999999</v>
      </c>
      <c r="H3191" s="344" t="s">
        <v>1432</v>
      </c>
    </row>
    <row r="3192" spans="1:8">
      <c r="A3192" s="1"/>
      <c r="B3192" s="1"/>
      <c r="C3192" s="1"/>
      <c r="D3192" s="1"/>
      <c r="E3192" s="357">
        <v>44966</v>
      </c>
      <c r="F3192" s="344" t="s">
        <v>631</v>
      </c>
      <c r="G3192" s="358">
        <v>18.8109</v>
      </c>
      <c r="H3192" s="344" t="s">
        <v>1432</v>
      </c>
    </row>
    <row r="3193" spans="1:8">
      <c r="A3193" s="1"/>
      <c r="B3193" s="1"/>
      <c r="C3193" s="1"/>
      <c r="D3193" s="1"/>
      <c r="E3193" s="357">
        <v>44967</v>
      </c>
      <c r="F3193" s="344" t="s">
        <v>621</v>
      </c>
      <c r="G3193" s="358">
        <v>20.347899999999999</v>
      </c>
      <c r="H3193" s="344" t="s">
        <v>1433</v>
      </c>
    </row>
    <row r="3194" spans="1:8">
      <c r="A3194" s="1"/>
      <c r="B3194" s="1"/>
      <c r="C3194" s="1"/>
      <c r="D3194" s="1"/>
      <c r="E3194" s="357">
        <v>44967</v>
      </c>
      <c r="F3194" s="344" t="s">
        <v>625</v>
      </c>
      <c r="G3194" s="358">
        <v>20.166399999999999</v>
      </c>
      <c r="H3194" s="344" t="s">
        <v>1433</v>
      </c>
    </row>
    <row r="3195" spans="1:8">
      <c r="A3195" s="1"/>
      <c r="B3195" s="1"/>
      <c r="C3195" s="1"/>
      <c r="D3195" s="1"/>
      <c r="E3195" s="357">
        <v>44967</v>
      </c>
      <c r="F3195" s="344" t="s">
        <v>628</v>
      </c>
      <c r="G3195" s="358">
        <v>22.747800000000002</v>
      </c>
      <c r="H3195" s="344" t="s">
        <v>1433</v>
      </c>
    </row>
    <row r="3196" spans="1:8">
      <c r="A3196" s="1"/>
      <c r="B3196" s="1"/>
      <c r="C3196" s="1"/>
      <c r="D3196" s="1"/>
      <c r="E3196" s="357">
        <v>44967</v>
      </c>
      <c r="F3196" s="344" t="s">
        <v>631</v>
      </c>
      <c r="G3196" s="358">
        <v>18.811199999999999</v>
      </c>
      <c r="H3196" s="344" t="s">
        <v>1433</v>
      </c>
    </row>
    <row r="3197" spans="1:8">
      <c r="A3197" s="1"/>
      <c r="B3197" s="1"/>
      <c r="C3197" s="1"/>
      <c r="D3197" s="1"/>
      <c r="E3197" s="357">
        <v>44970</v>
      </c>
      <c r="F3197" s="344" t="s">
        <v>621</v>
      </c>
      <c r="G3197" s="358">
        <v>20.3277</v>
      </c>
      <c r="H3197" s="344" t="s">
        <v>1434</v>
      </c>
    </row>
    <row r="3198" spans="1:8">
      <c r="A3198" s="1"/>
      <c r="B3198" s="1"/>
      <c r="C3198" s="1"/>
      <c r="D3198" s="1"/>
      <c r="E3198" s="357">
        <v>44970</v>
      </c>
      <c r="F3198" s="344" t="s">
        <v>625</v>
      </c>
      <c r="G3198" s="358">
        <v>20.092199999999998</v>
      </c>
      <c r="H3198" s="344" t="s">
        <v>1434</v>
      </c>
    </row>
    <row r="3199" spans="1:8">
      <c r="A3199" s="1"/>
      <c r="B3199" s="1"/>
      <c r="C3199" s="1"/>
      <c r="D3199" s="1"/>
      <c r="E3199" s="357">
        <v>44970</v>
      </c>
      <c r="F3199" s="344" t="s">
        <v>628</v>
      </c>
      <c r="G3199" s="358">
        <v>22.637499999999999</v>
      </c>
      <c r="H3199" s="344" t="s">
        <v>1434</v>
      </c>
    </row>
    <row r="3200" spans="1:8">
      <c r="A3200" s="1"/>
      <c r="B3200" s="1"/>
      <c r="C3200" s="1"/>
      <c r="D3200" s="1"/>
      <c r="E3200" s="357">
        <v>44970</v>
      </c>
      <c r="F3200" s="344" t="s">
        <v>631</v>
      </c>
      <c r="G3200" s="358">
        <v>18.8184</v>
      </c>
      <c r="H3200" s="344" t="s">
        <v>1434</v>
      </c>
    </row>
    <row r="3201" spans="1:8">
      <c r="A3201" s="1"/>
      <c r="B3201" s="1"/>
      <c r="C3201" s="1"/>
      <c r="D3201" s="1"/>
      <c r="E3201" s="357">
        <v>44971</v>
      </c>
      <c r="F3201" s="344" t="s">
        <v>621</v>
      </c>
      <c r="G3201" s="358">
        <v>20.462</v>
      </c>
      <c r="H3201" s="344" t="s">
        <v>1435</v>
      </c>
    </row>
    <row r="3202" spans="1:8">
      <c r="A3202" s="1"/>
      <c r="B3202" s="1"/>
      <c r="C3202" s="1"/>
      <c r="D3202" s="1"/>
      <c r="E3202" s="357">
        <v>44971</v>
      </c>
      <c r="F3202" s="344" t="s">
        <v>625</v>
      </c>
      <c r="G3202" s="358">
        <v>20.2332</v>
      </c>
      <c r="H3202" s="344" t="s">
        <v>1435</v>
      </c>
    </row>
    <row r="3203" spans="1:8">
      <c r="A3203" s="1"/>
      <c r="B3203" s="1"/>
      <c r="C3203" s="1"/>
      <c r="D3203" s="1"/>
      <c r="E3203" s="357">
        <v>44971</v>
      </c>
      <c r="F3203" s="344" t="s">
        <v>628</v>
      </c>
      <c r="G3203" s="358">
        <v>22.8764</v>
      </c>
      <c r="H3203" s="344" t="s">
        <v>1435</v>
      </c>
    </row>
    <row r="3204" spans="1:8">
      <c r="A3204" s="1"/>
      <c r="B3204" s="1"/>
      <c r="C3204" s="1"/>
      <c r="D3204" s="1"/>
      <c r="E3204" s="357">
        <v>44971</v>
      </c>
      <c r="F3204" s="344" t="s">
        <v>631</v>
      </c>
      <c r="G3204" s="358">
        <v>18.822500000000002</v>
      </c>
      <c r="H3204" s="344" t="s">
        <v>1435</v>
      </c>
    </row>
    <row r="3205" spans="1:8">
      <c r="A3205" s="1"/>
      <c r="B3205" s="1"/>
      <c r="C3205" s="1"/>
      <c r="D3205" s="1"/>
      <c r="E3205" s="357">
        <v>44972</v>
      </c>
      <c r="F3205" s="344" t="s">
        <v>621</v>
      </c>
      <c r="G3205" s="358">
        <v>20.3462</v>
      </c>
      <c r="H3205" s="344" t="s">
        <v>1436</v>
      </c>
    </row>
    <row r="3206" spans="1:8">
      <c r="A3206" s="1"/>
      <c r="B3206" s="1"/>
      <c r="C3206" s="1"/>
      <c r="D3206" s="1"/>
      <c r="E3206" s="357">
        <v>44972</v>
      </c>
      <c r="F3206" s="344" t="s">
        <v>625</v>
      </c>
      <c r="G3206" s="358">
        <v>20.174600000000002</v>
      </c>
      <c r="H3206" s="344" t="s">
        <v>1436</v>
      </c>
    </row>
    <row r="3207" spans="1:8">
      <c r="A3207" s="1"/>
      <c r="B3207" s="1"/>
      <c r="C3207" s="1"/>
      <c r="D3207" s="1"/>
      <c r="E3207" s="357">
        <v>44972</v>
      </c>
      <c r="F3207" s="344" t="s">
        <v>628</v>
      </c>
      <c r="G3207" s="358">
        <v>22.721399999999999</v>
      </c>
      <c r="H3207" s="344" t="s">
        <v>1436</v>
      </c>
    </row>
    <row r="3208" spans="1:8">
      <c r="A3208" s="1"/>
      <c r="B3208" s="1"/>
      <c r="C3208" s="1"/>
      <c r="D3208" s="1"/>
      <c r="E3208" s="357">
        <v>44972</v>
      </c>
      <c r="F3208" s="344" t="s">
        <v>631</v>
      </c>
      <c r="G3208" s="358">
        <v>18.828199999999999</v>
      </c>
      <c r="H3208" s="344" t="s">
        <v>1436</v>
      </c>
    </row>
    <row r="3209" spans="1:8">
      <c r="A3209" s="1"/>
      <c r="B3209" s="1"/>
      <c r="C3209" s="1"/>
      <c r="D3209" s="1"/>
      <c r="E3209" s="357">
        <v>44973</v>
      </c>
      <c r="F3209" s="344" t="s">
        <v>621</v>
      </c>
      <c r="G3209" s="358">
        <v>20.367999999999999</v>
      </c>
      <c r="H3209" s="344" t="s">
        <v>1437</v>
      </c>
    </row>
    <row r="3210" spans="1:8">
      <c r="A3210" s="1"/>
      <c r="B3210" s="1"/>
      <c r="C3210" s="1"/>
      <c r="D3210" s="1"/>
      <c r="E3210" s="357">
        <v>44973</v>
      </c>
      <c r="F3210" s="344" t="s">
        <v>625</v>
      </c>
      <c r="G3210" s="358">
        <v>20.157900000000001</v>
      </c>
      <c r="H3210" s="344" t="s">
        <v>1437</v>
      </c>
    </row>
    <row r="3211" spans="1:8">
      <c r="A3211" s="1"/>
      <c r="B3211" s="1"/>
      <c r="C3211" s="1"/>
      <c r="D3211" s="1"/>
      <c r="E3211" s="357">
        <v>44973</v>
      </c>
      <c r="F3211" s="344" t="s">
        <v>628</v>
      </c>
      <c r="G3211" s="358">
        <v>22.653500000000001</v>
      </c>
      <c r="H3211" s="344" t="s">
        <v>1437</v>
      </c>
    </row>
    <row r="3212" spans="1:8">
      <c r="A3212" s="1"/>
      <c r="B3212" s="1"/>
      <c r="C3212" s="1"/>
      <c r="D3212" s="1"/>
      <c r="E3212" s="357">
        <v>44973</v>
      </c>
      <c r="F3212" s="344" t="s">
        <v>631</v>
      </c>
      <c r="G3212" s="358">
        <v>18.832000000000001</v>
      </c>
      <c r="H3212" s="344" t="s">
        <v>1437</v>
      </c>
    </row>
    <row r="3213" spans="1:8">
      <c r="A3213" s="1"/>
      <c r="B3213" s="1"/>
      <c r="C3213" s="1"/>
      <c r="D3213" s="1"/>
      <c r="E3213" s="357">
        <v>44974</v>
      </c>
      <c r="F3213" s="344" t="s">
        <v>621</v>
      </c>
      <c r="G3213" s="358">
        <v>20.176600000000001</v>
      </c>
      <c r="H3213" s="344" t="s">
        <v>1438</v>
      </c>
    </row>
    <row r="3214" spans="1:8">
      <c r="A3214" s="1"/>
      <c r="B3214" s="1"/>
      <c r="C3214" s="1"/>
      <c r="D3214" s="1"/>
      <c r="E3214" s="357">
        <v>44974</v>
      </c>
      <c r="F3214" s="344" t="s">
        <v>625</v>
      </c>
      <c r="G3214" s="358">
        <v>20.037600000000001</v>
      </c>
      <c r="H3214" s="344" t="s">
        <v>1438</v>
      </c>
    </row>
    <row r="3215" spans="1:8">
      <c r="A3215" s="1"/>
      <c r="B3215" s="1"/>
      <c r="C3215" s="1"/>
      <c r="D3215" s="1"/>
      <c r="E3215" s="357">
        <v>44974</v>
      </c>
      <c r="F3215" s="344" t="s">
        <v>628</v>
      </c>
      <c r="G3215" s="358">
        <v>22.447900000000001</v>
      </c>
      <c r="H3215" s="344" t="s">
        <v>1438</v>
      </c>
    </row>
    <row r="3216" spans="1:8">
      <c r="A3216" s="1"/>
      <c r="B3216" s="1"/>
      <c r="C3216" s="1"/>
      <c r="D3216" s="1"/>
      <c r="E3216" s="357">
        <v>44974</v>
      </c>
      <c r="F3216" s="344" t="s">
        <v>631</v>
      </c>
      <c r="G3216" s="358">
        <v>18.835999999999999</v>
      </c>
      <c r="H3216" s="344" t="s">
        <v>1438</v>
      </c>
    </row>
    <row r="3217" spans="1:8">
      <c r="A3217" s="1"/>
      <c r="B3217" s="1"/>
      <c r="C3217" s="1"/>
      <c r="D3217" s="1"/>
      <c r="E3217" s="357">
        <v>44977</v>
      </c>
      <c r="F3217" s="344" t="s">
        <v>621</v>
      </c>
      <c r="G3217" s="358">
        <v>20.360299999999999</v>
      </c>
      <c r="H3217" s="344" t="s">
        <v>1439</v>
      </c>
    </row>
    <row r="3218" spans="1:8">
      <c r="A3218" s="1"/>
      <c r="B3218" s="1"/>
      <c r="C3218" s="1"/>
      <c r="D3218" s="1"/>
      <c r="E3218" s="357">
        <v>44977</v>
      </c>
      <c r="F3218" s="344" t="s">
        <v>625</v>
      </c>
      <c r="G3218" s="358">
        <v>20.1432</v>
      </c>
      <c r="H3218" s="344" t="s">
        <v>1439</v>
      </c>
    </row>
    <row r="3219" spans="1:8">
      <c r="A3219" s="1"/>
      <c r="B3219" s="1"/>
      <c r="C3219" s="1"/>
      <c r="D3219" s="1"/>
      <c r="E3219" s="357">
        <v>44977</v>
      </c>
      <c r="F3219" s="344" t="s">
        <v>628</v>
      </c>
      <c r="G3219" s="358">
        <v>22.635000000000002</v>
      </c>
      <c r="H3219" s="344" t="s">
        <v>1439</v>
      </c>
    </row>
    <row r="3220" spans="1:8">
      <c r="A3220" s="1"/>
      <c r="B3220" s="1"/>
      <c r="C3220" s="1"/>
      <c r="D3220" s="1"/>
      <c r="E3220" s="357">
        <v>44977</v>
      </c>
      <c r="F3220" s="344" t="s">
        <v>631</v>
      </c>
      <c r="G3220" s="358">
        <v>18.843800000000002</v>
      </c>
      <c r="H3220" s="344" t="s">
        <v>1439</v>
      </c>
    </row>
    <row r="3221" spans="1:8">
      <c r="A3221" s="1"/>
      <c r="B3221" s="1"/>
      <c r="C3221" s="1"/>
      <c r="D3221" s="1"/>
      <c r="E3221" s="357">
        <v>44978</v>
      </c>
      <c r="F3221" s="344" t="s">
        <v>621</v>
      </c>
      <c r="G3221" s="358">
        <v>20.329799999999999</v>
      </c>
      <c r="H3221" s="344" t="s">
        <v>1440</v>
      </c>
    </row>
    <row r="3222" spans="1:8">
      <c r="A3222" s="1"/>
      <c r="B3222" s="1"/>
      <c r="C3222" s="1"/>
      <c r="D3222" s="1"/>
      <c r="E3222" s="357">
        <v>44978</v>
      </c>
      <c r="F3222" s="344" t="s">
        <v>625</v>
      </c>
      <c r="G3222" s="358">
        <v>20.094999999999999</v>
      </c>
      <c r="H3222" s="344" t="s">
        <v>1440</v>
      </c>
    </row>
    <row r="3223" spans="1:8">
      <c r="A3223" s="1"/>
      <c r="B3223" s="1"/>
      <c r="C3223" s="1"/>
      <c r="D3223" s="1"/>
      <c r="E3223" s="357">
        <v>44978</v>
      </c>
      <c r="F3223" s="344" t="s">
        <v>628</v>
      </c>
      <c r="G3223" s="358">
        <v>22.6846</v>
      </c>
      <c r="H3223" s="344" t="s">
        <v>1440</v>
      </c>
    </row>
    <row r="3224" spans="1:8">
      <c r="A3224" s="1"/>
      <c r="B3224" s="1"/>
      <c r="C3224" s="1"/>
      <c r="D3224" s="1"/>
      <c r="E3224" s="357">
        <v>44978</v>
      </c>
      <c r="F3224" s="344" t="s">
        <v>631</v>
      </c>
      <c r="G3224" s="358">
        <v>18.846399999999999</v>
      </c>
      <c r="H3224" s="344" t="s">
        <v>1440</v>
      </c>
    </row>
    <row r="3225" spans="1:8">
      <c r="A3225" s="1"/>
      <c r="B3225" s="1"/>
      <c r="C3225" s="1"/>
      <c r="D3225" s="1"/>
      <c r="E3225" s="357">
        <v>44979</v>
      </c>
      <c r="F3225" s="344" t="s">
        <v>621</v>
      </c>
      <c r="G3225" s="358">
        <v>20.282299999999999</v>
      </c>
      <c r="H3225" s="344" t="s">
        <v>1441</v>
      </c>
    </row>
    <row r="3226" spans="1:8">
      <c r="A3226" s="1"/>
      <c r="B3226" s="1"/>
      <c r="C3226" s="1"/>
      <c r="D3226" s="1"/>
      <c r="E3226" s="357">
        <v>44979</v>
      </c>
      <c r="F3226" s="344" t="s">
        <v>625</v>
      </c>
      <c r="G3226" s="358">
        <v>20.059899999999999</v>
      </c>
      <c r="H3226" s="344" t="s">
        <v>1441</v>
      </c>
    </row>
    <row r="3227" spans="1:8">
      <c r="A3227" s="1"/>
      <c r="B3227" s="1"/>
      <c r="C3227" s="1"/>
      <c r="D3227" s="1"/>
      <c r="E3227" s="357">
        <v>44979</v>
      </c>
      <c r="F3227" s="344" t="s">
        <v>628</v>
      </c>
      <c r="G3227" s="358">
        <v>22.752600000000001</v>
      </c>
      <c r="H3227" s="344" t="s">
        <v>1441</v>
      </c>
    </row>
    <row r="3228" spans="1:8">
      <c r="A3228" s="1"/>
      <c r="B3228" s="1"/>
      <c r="C3228" s="1"/>
      <c r="D3228" s="1"/>
      <c r="E3228" s="357">
        <v>44979</v>
      </c>
      <c r="F3228" s="344" t="s">
        <v>631</v>
      </c>
      <c r="G3228" s="358">
        <v>18.8506</v>
      </c>
      <c r="H3228" s="344" t="s">
        <v>1441</v>
      </c>
    </row>
    <row r="3229" spans="1:8">
      <c r="A3229" s="1"/>
      <c r="B3229" s="1"/>
      <c r="C3229" s="1"/>
      <c r="D3229" s="1"/>
      <c r="E3229" s="357">
        <v>44980</v>
      </c>
      <c r="F3229" s="344" t="s">
        <v>621</v>
      </c>
      <c r="G3229" s="358">
        <v>20.189800000000002</v>
      </c>
      <c r="H3229" s="344" t="s">
        <v>1442</v>
      </c>
    </row>
    <row r="3230" spans="1:8">
      <c r="A3230" s="1"/>
      <c r="B3230" s="1"/>
      <c r="C3230" s="1"/>
      <c r="D3230" s="1"/>
      <c r="E3230" s="357">
        <v>44980</v>
      </c>
      <c r="F3230" s="344" t="s">
        <v>625</v>
      </c>
      <c r="G3230" s="358">
        <v>19.997699999999998</v>
      </c>
      <c r="H3230" s="344" t="s">
        <v>1442</v>
      </c>
    </row>
    <row r="3231" spans="1:8">
      <c r="A3231" s="1"/>
      <c r="B3231" s="1"/>
      <c r="C3231" s="1"/>
      <c r="D3231" s="1"/>
      <c r="E3231" s="357">
        <v>44980</v>
      </c>
      <c r="F3231" s="344" t="s">
        <v>628</v>
      </c>
      <c r="G3231" s="358">
        <v>22.668299999999999</v>
      </c>
      <c r="H3231" s="344" t="s">
        <v>1442</v>
      </c>
    </row>
    <row r="3232" spans="1:8">
      <c r="A3232" s="1"/>
      <c r="B3232" s="1"/>
      <c r="C3232" s="1"/>
      <c r="D3232" s="1"/>
      <c r="E3232" s="357">
        <v>44980</v>
      </c>
      <c r="F3232" s="344" t="s">
        <v>631</v>
      </c>
      <c r="G3232" s="358">
        <v>18.854800000000001</v>
      </c>
      <c r="H3232" s="344" t="s">
        <v>1442</v>
      </c>
    </row>
    <row r="3233" spans="1:8">
      <c r="A3233" s="1"/>
      <c r="B3233" s="1"/>
      <c r="C3233" s="1"/>
      <c r="D3233" s="1"/>
      <c r="E3233" s="357">
        <v>44981</v>
      </c>
      <c r="F3233" s="344" t="s">
        <v>621</v>
      </c>
      <c r="G3233" s="358">
        <v>20.120899999999999</v>
      </c>
      <c r="H3233" s="344" t="s">
        <v>1443</v>
      </c>
    </row>
    <row r="3234" spans="1:8">
      <c r="A3234" s="1"/>
      <c r="B3234" s="1"/>
      <c r="C3234" s="1"/>
      <c r="D3234" s="1"/>
      <c r="E3234" s="357">
        <v>44981</v>
      </c>
      <c r="F3234" s="344" t="s">
        <v>625</v>
      </c>
      <c r="G3234" s="358">
        <v>19.965299999999999</v>
      </c>
      <c r="H3234" s="344" t="s">
        <v>1443</v>
      </c>
    </row>
    <row r="3235" spans="1:8">
      <c r="A3235" s="1"/>
      <c r="B3235" s="1"/>
      <c r="C3235" s="1"/>
      <c r="D3235" s="1"/>
      <c r="E3235" s="357">
        <v>44981</v>
      </c>
      <c r="F3235" s="344" t="s">
        <v>628</v>
      </c>
      <c r="G3235" s="358">
        <v>22.616</v>
      </c>
      <c r="H3235" s="344" t="s">
        <v>1443</v>
      </c>
    </row>
    <row r="3236" spans="1:8">
      <c r="A3236" s="1"/>
      <c r="B3236" s="1"/>
      <c r="C3236" s="1"/>
      <c r="D3236" s="1"/>
      <c r="E3236" s="357">
        <v>44981</v>
      </c>
      <c r="F3236" s="344" t="s">
        <v>631</v>
      </c>
      <c r="G3236" s="358">
        <v>18.8567</v>
      </c>
      <c r="H3236" s="344" t="s">
        <v>1443</v>
      </c>
    </row>
    <row r="3237" spans="1:8">
      <c r="A3237" s="1"/>
      <c r="B3237" s="1"/>
      <c r="C3237" s="1"/>
      <c r="D3237" s="1"/>
      <c r="E3237" s="357">
        <v>44984</v>
      </c>
      <c r="F3237" s="344" t="s">
        <v>621</v>
      </c>
      <c r="G3237" s="358">
        <v>19.993400000000001</v>
      </c>
      <c r="H3237" s="344" t="s">
        <v>1444</v>
      </c>
    </row>
    <row r="3238" spans="1:8">
      <c r="A3238" s="1"/>
      <c r="B3238" s="1"/>
      <c r="C3238" s="1"/>
      <c r="D3238" s="1"/>
      <c r="E3238" s="357">
        <v>44984</v>
      </c>
      <c r="F3238" s="344" t="s">
        <v>625</v>
      </c>
      <c r="G3238" s="358">
        <v>19.906099999999999</v>
      </c>
      <c r="H3238" s="344" t="s">
        <v>1444</v>
      </c>
    </row>
    <row r="3239" spans="1:8">
      <c r="A3239" s="1"/>
      <c r="B3239" s="1"/>
      <c r="C3239" s="1"/>
      <c r="D3239" s="1"/>
      <c r="E3239" s="357">
        <v>44984</v>
      </c>
      <c r="F3239" s="344" t="s">
        <v>628</v>
      </c>
      <c r="G3239" s="358">
        <v>22.527200000000001</v>
      </c>
      <c r="H3239" s="344" t="s">
        <v>1444</v>
      </c>
    </row>
    <row r="3240" spans="1:8">
      <c r="A3240" s="1"/>
      <c r="B3240" s="1"/>
      <c r="C3240" s="1"/>
      <c r="D3240" s="1"/>
      <c r="E3240" s="357">
        <v>44984</v>
      </c>
      <c r="F3240" s="344" t="s">
        <v>631</v>
      </c>
      <c r="G3240" s="358">
        <v>18.863199999999999</v>
      </c>
      <c r="H3240" s="344" t="s">
        <v>1444</v>
      </c>
    </row>
    <row r="3241" spans="1:8">
      <c r="A3241" s="1"/>
      <c r="B3241" s="1"/>
      <c r="C3241" s="1"/>
      <c r="D3241" s="1"/>
      <c r="E3241" s="357">
        <v>44985</v>
      </c>
      <c r="F3241" s="344" t="s">
        <v>621</v>
      </c>
      <c r="G3241" s="358">
        <v>20.069199999999999</v>
      </c>
      <c r="H3241" s="344" t="s">
        <v>1445</v>
      </c>
    </row>
    <row r="3242" spans="1:8">
      <c r="A3242" s="1"/>
      <c r="B3242" s="1"/>
      <c r="C3242" s="1"/>
      <c r="D3242" s="1"/>
      <c r="E3242" s="357">
        <v>44985</v>
      </c>
      <c r="F3242" s="344" t="s">
        <v>625</v>
      </c>
      <c r="G3242" s="358">
        <v>20.004200000000001</v>
      </c>
      <c r="H3242" s="344" t="s">
        <v>1445</v>
      </c>
    </row>
    <row r="3243" spans="1:8">
      <c r="A3243" s="1"/>
      <c r="B3243" s="1"/>
      <c r="C3243" s="1"/>
      <c r="D3243" s="1"/>
      <c r="E3243" s="357">
        <v>44985</v>
      </c>
      <c r="F3243" s="344" t="s">
        <v>628</v>
      </c>
      <c r="G3243" s="358">
        <v>22.738099999999999</v>
      </c>
      <c r="H3243" s="344" t="s">
        <v>1445</v>
      </c>
    </row>
    <row r="3244" spans="1:8">
      <c r="A3244" s="1"/>
      <c r="B3244" s="1"/>
      <c r="C3244" s="1"/>
      <c r="D3244" s="1"/>
      <c r="E3244" s="357">
        <v>44985</v>
      </c>
      <c r="F3244" s="344" t="s">
        <v>631</v>
      </c>
      <c r="G3244" s="358">
        <v>18.864699999999999</v>
      </c>
      <c r="H3244" s="344" t="s">
        <v>1445</v>
      </c>
    </row>
    <row r="3245" spans="1:8">
      <c r="A3245" s="1"/>
      <c r="B3245" s="1"/>
      <c r="C3245" s="1"/>
      <c r="D3245" s="1"/>
      <c r="E3245" s="357">
        <v>44986</v>
      </c>
      <c r="F3245" s="344" t="s">
        <v>621</v>
      </c>
      <c r="G3245" s="358">
        <v>20.067399999999999</v>
      </c>
      <c r="H3245" s="344" t="s">
        <v>1446</v>
      </c>
    </row>
    <row r="3246" spans="1:8">
      <c r="A3246" s="1"/>
      <c r="B3246" s="1"/>
      <c r="C3246" s="1"/>
      <c r="D3246" s="1"/>
      <c r="E3246" s="357">
        <v>44986</v>
      </c>
      <c r="F3246" s="344" t="s">
        <v>625</v>
      </c>
      <c r="G3246" s="358">
        <v>20.084499999999998</v>
      </c>
      <c r="H3246" s="344" t="s">
        <v>1446</v>
      </c>
    </row>
    <row r="3247" spans="1:8">
      <c r="A3247" s="1"/>
      <c r="B3247" s="1"/>
      <c r="C3247" s="1"/>
      <c r="D3247" s="1"/>
      <c r="E3247" s="357">
        <v>44986</v>
      </c>
      <c r="F3247" s="344" t="s">
        <v>628</v>
      </c>
      <c r="G3247" s="358">
        <v>22.7194</v>
      </c>
      <c r="H3247" s="344" t="s">
        <v>1446</v>
      </c>
    </row>
    <row r="3248" spans="1:8">
      <c r="A3248" s="1"/>
      <c r="B3248" s="1"/>
      <c r="C3248" s="1"/>
      <c r="D3248" s="1"/>
      <c r="E3248" s="357">
        <v>44986</v>
      </c>
      <c r="F3248" s="344" t="s">
        <v>631</v>
      </c>
      <c r="G3248" s="358">
        <v>18.865200000000002</v>
      </c>
      <c r="H3248" s="344" t="s">
        <v>1446</v>
      </c>
    </row>
    <row r="3249" spans="1:8">
      <c r="A3249" s="1"/>
      <c r="B3249" s="1"/>
      <c r="C3249" s="1"/>
      <c r="D3249" s="1"/>
      <c r="E3249" s="357">
        <v>44987</v>
      </c>
      <c r="F3249" s="344" t="s">
        <v>621</v>
      </c>
      <c r="G3249" s="358">
        <v>19.985700000000001</v>
      </c>
      <c r="H3249" s="344" t="s">
        <v>1447</v>
      </c>
    </row>
    <row r="3250" spans="1:8">
      <c r="A3250" s="1"/>
      <c r="B3250" s="1"/>
      <c r="C3250" s="1"/>
      <c r="D3250" s="1"/>
      <c r="E3250" s="357">
        <v>44987</v>
      </c>
      <c r="F3250" s="344" t="s">
        <v>625</v>
      </c>
      <c r="G3250" s="358">
        <v>20.054500000000001</v>
      </c>
      <c r="H3250" s="344" t="s">
        <v>1447</v>
      </c>
    </row>
    <row r="3251" spans="1:8">
      <c r="A3251" s="1"/>
      <c r="B3251" s="1"/>
      <c r="C3251" s="1"/>
      <c r="D3251" s="1"/>
      <c r="E3251" s="357">
        <v>44987</v>
      </c>
      <c r="F3251" s="344" t="s">
        <v>628</v>
      </c>
      <c r="G3251" s="358">
        <v>22.559899999999999</v>
      </c>
      <c r="H3251" s="344" t="s">
        <v>1447</v>
      </c>
    </row>
    <row r="3252" spans="1:8">
      <c r="A3252" s="1"/>
      <c r="B3252" s="1"/>
      <c r="C3252" s="1"/>
      <c r="D3252" s="1"/>
      <c r="E3252" s="357">
        <v>44987</v>
      </c>
      <c r="F3252" s="344" t="s">
        <v>631</v>
      </c>
      <c r="G3252" s="358">
        <v>18.867000000000001</v>
      </c>
      <c r="H3252" s="344" t="s">
        <v>1447</v>
      </c>
    </row>
    <row r="3253" spans="1:8">
      <c r="A3253" s="1"/>
      <c r="B3253" s="1"/>
      <c r="C3253" s="1"/>
      <c r="D3253" s="1"/>
      <c r="E3253" s="357">
        <v>44988</v>
      </c>
      <c r="F3253" s="344" t="s">
        <v>621</v>
      </c>
      <c r="G3253" s="358">
        <v>20.046500000000002</v>
      </c>
      <c r="H3253" s="344" t="s">
        <v>1448</v>
      </c>
    </row>
    <row r="3254" spans="1:8">
      <c r="A3254" s="1"/>
      <c r="B3254" s="1"/>
      <c r="C3254" s="1"/>
      <c r="D3254" s="1"/>
      <c r="E3254" s="357">
        <v>44988</v>
      </c>
      <c r="F3254" s="344" t="s">
        <v>625</v>
      </c>
      <c r="G3254" s="358">
        <v>20.019500000000001</v>
      </c>
      <c r="H3254" s="344" t="s">
        <v>1448</v>
      </c>
    </row>
    <row r="3255" spans="1:8">
      <c r="A3255" s="1"/>
      <c r="B3255" s="1"/>
      <c r="C3255" s="1"/>
      <c r="D3255" s="1"/>
      <c r="E3255" s="357">
        <v>44988</v>
      </c>
      <c r="F3255" s="344" t="s">
        <v>628</v>
      </c>
      <c r="G3255" s="358">
        <v>22.563700000000001</v>
      </c>
      <c r="H3255" s="344" t="s">
        <v>1448</v>
      </c>
    </row>
    <row r="3256" spans="1:8">
      <c r="A3256" s="1"/>
      <c r="B3256" s="1"/>
      <c r="C3256" s="1"/>
      <c r="D3256" s="1"/>
      <c r="E3256" s="357">
        <v>44988</v>
      </c>
      <c r="F3256" s="344" t="s">
        <v>631</v>
      </c>
      <c r="G3256" s="358">
        <v>18.858699999999999</v>
      </c>
      <c r="H3256" s="344" t="s">
        <v>1448</v>
      </c>
    </row>
    <row r="3257" spans="1:8">
      <c r="A3257" s="1"/>
      <c r="B3257" s="1"/>
      <c r="C3257" s="1"/>
      <c r="D3257" s="1"/>
      <c r="E3257" s="357">
        <v>44991</v>
      </c>
      <c r="F3257" s="344" t="s">
        <v>621</v>
      </c>
      <c r="G3257" s="358">
        <v>20.158300000000001</v>
      </c>
      <c r="H3257" s="344" t="s">
        <v>1449</v>
      </c>
    </row>
    <row r="3258" spans="1:8">
      <c r="A3258" s="1"/>
      <c r="B3258" s="1"/>
      <c r="C3258" s="1"/>
      <c r="D3258" s="1"/>
      <c r="E3258" s="357">
        <v>44991</v>
      </c>
      <c r="F3258" s="344" t="s">
        <v>625</v>
      </c>
      <c r="G3258" s="358">
        <v>20.085699999999999</v>
      </c>
      <c r="H3258" s="344" t="s">
        <v>1449</v>
      </c>
    </row>
    <row r="3259" spans="1:8">
      <c r="A3259" s="1"/>
      <c r="B3259" s="1"/>
      <c r="C3259" s="1"/>
      <c r="D3259" s="1"/>
      <c r="E3259" s="357">
        <v>44991</v>
      </c>
      <c r="F3259" s="344" t="s">
        <v>628</v>
      </c>
      <c r="G3259" s="358">
        <v>22.659199999999998</v>
      </c>
      <c r="H3259" s="344" t="s">
        <v>1449</v>
      </c>
    </row>
    <row r="3260" spans="1:8">
      <c r="A3260" s="1"/>
      <c r="B3260" s="1"/>
      <c r="C3260" s="1"/>
      <c r="D3260" s="1"/>
      <c r="E3260" s="357">
        <v>44991</v>
      </c>
      <c r="F3260" s="344" t="s">
        <v>631</v>
      </c>
      <c r="G3260" s="358">
        <v>18.880099999999999</v>
      </c>
      <c r="H3260" s="344" t="s">
        <v>1449</v>
      </c>
    </row>
    <row r="3261" spans="1:8">
      <c r="A3261" s="1"/>
      <c r="B3261" s="1"/>
      <c r="C3261" s="1"/>
      <c r="D3261" s="1"/>
      <c r="E3261" s="357">
        <v>44992</v>
      </c>
      <c r="F3261" s="344" t="s">
        <v>621</v>
      </c>
      <c r="G3261" s="358">
        <v>20.228300000000001</v>
      </c>
      <c r="H3261" s="344" t="s">
        <v>1450</v>
      </c>
    </row>
    <row r="3262" spans="1:8">
      <c r="A3262" s="1"/>
      <c r="B3262" s="1"/>
      <c r="C3262" s="1"/>
      <c r="D3262" s="1"/>
      <c r="E3262" s="357">
        <v>44992</v>
      </c>
      <c r="F3262" s="344" t="s">
        <v>625</v>
      </c>
      <c r="G3262" s="358">
        <v>20.154900000000001</v>
      </c>
      <c r="H3262" s="344" t="s">
        <v>1450</v>
      </c>
    </row>
    <row r="3263" spans="1:8">
      <c r="A3263" s="1"/>
      <c r="B3263" s="1"/>
      <c r="C3263" s="1"/>
      <c r="D3263" s="1"/>
      <c r="E3263" s="357">
        <v>44992</v>
      </c>
      <c r="F3263" s="344" t="s">
        <v>628</v>
      </c>
      <c r="G3263" s="358">
        <v>22.67</v>
      </c>
      <c r="H3263" s="344" t="s">
        <v>1450</v>
      </c>
    </row>
    <row r="3264" spans="1:8">
      <c r="A3264" s="1"/>
      <c r="B3264" s="1"/>
      <c r="C3264" s="1"/>
      <c r="D3264" s="1"/>
      <c r="E3264" s="357">
        <v>44992</v>
      </c>
      <c r="F3264" s="344" t="s">
        <v>631</v>
      </c>
      <c r="G3264" s="358">
        <v>18.890699999999999</v>
      </c>
      <c r="H3264" s="344" t="s">
        <v>1450</v>
      </c>
    </row>
    <row r="3265" spans="1:8">
      <c r="A3265" s="1"/>
      <c r="B3265" s="1"/>
      <c r="C3265" s="1"/>
      <c r="D3265" s="1"/>
      <c r="E3265" s="357">
        <v>44993</v>
      </c>
      <c r="F3265" s="344" t="s">
        <v>621</v>
      </c>
      <c r="G3265" s="358">
        <v>20.015699999999999</v>
      </c>
      <c r="H3265" s="344" t="s">
        <v>1451</v>
      </c>
    </row>
    <row r="3266" spans="1:8">
      <c r="A3266" s="1"/>
      <c r="B3266" s="1"/>
      <c r="C3266" s="1"/>
      <c r="D3266" s="1"/>
      <c r="E3266" s="357">
        <v>44993</v>
      </c>
      <c r="F3266" s="344" t="s">
        <v>625</v>
      </c>
      <c r="G3266" s="358">
        <v>19.932300000000001</v>
      </c>
      <c r="H3266" s="344" t="s">
        <v>1451</v>
      </c>
    </row>
    <row r="3267" spans="1:8">
      <c r="A3267" s="1"/>
      <c r="B3267" s="1"/>
      <c r="C3267" s="1"/>
      <c r="D3267" s="1"/>
      <c r="E3267" s="357">
        <v>44993</v>
      </c>
      <c r="F3267" s="344" t="s">
        <v>628</v>
      </c>
      <c r="G3267" s="358">
        <v>22.3432</v>
      </c>
      <c r="H3267" s="344" t="s">
        <v>1451</v>
      </c>
    </row>
    <row r="3268" spans="1:8">
      <c r="A3268" s="1"/>
      <c r="B3268" s="1"/>
      <c r="C3268" s="1"/>
      <c r="D3268" s="1"/>
      <c r="E3268" s="357">
        <v>44993</v>
      </c>
      <c r="F3268" s="344" t="s">
        <v>631</v>
      </c>
      <c r="G3268" s="358">
        <v>18.913499999999999</v>
      </c>
      <c r="H3268" s="344" t="s">
        <v>1451</v>
      </c>
    </row>
    <row r="3269" spans="1:8">
      <c r="A3269" s="1"/>
      <c r="B3269" s="1"/>
      <c r="C3269" s="1"/>
      <c r="D3269" s="1"/>
      <c r="E3269" s="357">
        <v>44994</v>
      </c>
      <c r="F3269" s="344" t="s">
        <v>621</v>
      </c>
      <c r="G3269" s="358">
        <v>20.1267</v>
      </c>
      <c r="H3269" s="344" t="s">
        <v>1452</v>
      </c>
    </row>
    <row r="3270" spans="1:8">
      <c r="A3270" s="1"/>
      <c r="B3270" s="1"/>
      <c r="C3270" s="1"/>
      <c r="D3270" s="1"/>
      <c r="E3270" s="357">
        <v>44994</v>
      </c>
      <c r="F3270" s="344" t="s">
        <v>625</v>
      </c>
      <c r="G3270" s="358">
        <v>19.9895</v>
      </c>
      <c r="H3270" s="344" t="s">
        <v>1452</v>
      </c>
    </row>
    <row r="3271" spans="1:8">
      <c r="A3271" s="1"/>
      <c r="B3271" s="1"/>
      <c r="C3271" s="1"/>
      <c r="D3271" s="1"/>
      <c r="E3271" s="357">
        <v>44994</v>
      </c>
      <c r="F3271" s="344" t="s">
        <v>628</v>
      </c>
      <c r="G3271" s="358">
        <v>22.430599999999998</v>
      </c>
      <c r="H3271" s="344" t="s">
        <v>1452</v>
      </c>
    </row>
    <row r="3272" spans="1:8">
      <c r="A3272" s="1"/>
      <c r="B3272" s="1"/>
      <c r="C3272" s="1"/>
      <c r="D3272" s="1"/>
      <c r="E3272" s="357">
        <v>44994</v>
      </c>
      <c r="F3272" s="344" t="s">
        <v>631</v>
      </c>
      <c r="G3272" s="358">
        <v>18.929500000000001</v>
      </c>
      <c r="H3272" s="344" t="s">
        <v>1452</v>
      </c>
    </row>
    <row r="3273" spans="1:8">
      <c r="A3273" s="1"/>
      <c r="B3273" s="1"/>
      <c r="C3273" s="1"/>
      <c r="D3273" s="1"/>
      <c r="E3273" s="357">
        <v>44995</v>
      </c>
      <c r="F3273" s="344" t="s">
        <v>621</v>
      </c>
      <c r="G3273" s="358">
        <v>20.322299999999998</v>
      </c>
      <c r="H3273" s="344" t="s">
        <v>1453</v>
      </c>
    </row>
    <row r="3274" spans="1:8">
      <c r="A3274" s="1"/>
      <c r="B3274" s="1"/>
      <c r="C3274" s="1"/>
      <c r="D3274" s="1"/>
      <c r="E3274" s="357">
        <v>44995</v>
      </c>
      <c r="F3274" s="344" t="s">
        <v>625</v>
      </c>
      <c r="G3274" s="358">
        <v>20.051100000000002</v>
      </c>
      <c r="H3274" s="344" t="s">
        <v>1453</v>
      </c>
    </row>
    <row r="3275" spans="1:8">
      <c r="A3275" s="1"/>
      <c r="B3275" s="1"/>
      <c r="C3275" s="1"/>
      <c r="D3275" s="1"/>
      <c r="E3275" s="357">
        <v>44995</v>
      </c>
      <c r="F3275" s="344" t="s">
        <v>628</v>
      </c>
      <c r="G3275" s="358">
        <v>22.616800000000001</v>
      </c>
      <c r="H3275" s="344" t="s">
        <v>1453</v>
      </c>
    </row>
    <row r="3276" spans="1:8">
      <c r="A3276" s="1"/>
      <c r="B3276" s="1"/>
      <c r="C3276" s="1"/>
      <c r="D3276" s="1"/>
      <c r="E3276" s="357">
        <v>44995</v>
      </c>
      <c r="F3276" s="344" t="s">
        <v>631</v>
      </c>
      <c r="G3276" s="358">
        <v>18.9374</v>
      </c>
      <c r="H3276" s="344" t="s">
        <v>1453</v>
      </c>
    </row>
    <row r="3277" spans="1:8">
      <c r="A3277" s="1"/>
      <c r="B3277" s="1"/>
      <c r="C3277" s="1"/>
      <c r="D3277" s="1"/>
      <c r="E3277" s="357">
        <v>44998</v>
      </c>
      <c r="F3277" s="344" t="s">
        <v>621</v>
      </c>
      <c r="G3277" s="358">
        <v>20.658799999999999</v>
      </c>
      <c r="H3277" s="344" t="s">
        <v>1454</v>
      </c>
    </row>
    <row r="3278" spans="1:8">
      <c r="A3278" s="1"/>
      <c r="B3278" s="1"/>
      <c r="C3278" s="1"/>
      <c r="D3278" s="1"/>
      <c r="E3278" s="357">
        <v>44998</v>
      </c>
      <c r="F3278" s="344" t="s">
        <v>625</v>
      </c>
      <c r="G3278" s="358">
        <v>20.264500000000002</v>
      </c>
      <c r="H3278" s="344" t="s">
        <v>1454</v>
      </c>
    </row>
    <row r="3279" spans="1:8">
      <c r="A3279" s="1"/>
      <c r="B3279" s="1"/>
      <c r="C3279" s="1"/>
      <c r="D3279" s="1"/>
      <c r="E3279" s="357">
        <v>44998</v>
      </c>
      <c r="F3279" s="344" t="s">
        <v>628</v>
      </c>
      <c r="G3279" s="358">
        <v>22.866700000000002</v>
      </c>
      <c r="H3279" s="344" t="s">
        <v>1454</v>
      </c>
    </row>
    <row r="3280" spans="1:8">
      <c r="A3280" s="1"/>
      <c r="B3280" s="1"/>
      <c r="C3280" s="1"/>
      <c r="D3280" s="1"/>
      <c r="E3280" s="357">
        <v>44998</v>
      </c>
      <c r="F3280" s="344" t="s">
        <v>631</v>
      </c>
      <c r="G3280" s="358">
        <v>18.949400000000001</v>
      </c>
      <c r="H3280" s="344" t="s">
        <v>1454</v>
      </c>
    </row>
    <row r="3281" spans="1:8">
      <c r="A3281" s="1"/>
      <c r="B3281" s="1"/>
      <c r="C3281" s="1"/>
      <c r="D3281" s="1"/>
      <c r="E3281" s="357">
        <v>44999</v>
      </c>
      <c r="F3281" s="344" t="s">
        <v>621</v>
      </c>
      <c r="G3281" s="358">
        <v>20.734300000000001</v>
      </c>
      <c r="H3281" s="344" t="s">
        <v>1455</v>
      </c>
    </row>
    <row r="3282" spans="1:8">
      <c r="A3282" s="1"/>
      <c r="B3282" s="1"/>
      <c r="C3282" s="1"/>
      <c r="D3282" s="1"/>
      <c r="E3282" s="357">
        <v>44999</v>
      </c>
      <c r="F3282" s="344" t="s">
        <v>625</v>
      </c>
      <c r="G3282" s="358">
        <v>20.2927</v>
      </c>
      <c r="H3282" s="344" t="s">
        <v>1455</v>
      </c>
    </row>
    <row r="3283" spans="1:8">
      <c r="A3283" s="1"/>
      <c r="B3283" s="1"/>
      <c r="C3283" s="1"/>
      <c r="D3283" s="1"/>
      <c r="E3283" s="357">
        <v>44999</v>
      </c>
      <c r="F3283" s="344" t="s">
        <v>628</v>
      </c>
      <c r="G3283" s="358">
        <v>23.007000000000001</v>
      </c>
      <c r="H3283" s="344" t="s">
        <v>1455</v>
      </c>
    </row>
    <row r="3284" spans="1:8">
      <c r="A3284" s="1"/>
      <c r="B3284" s="1"/>
      <c r="C3284" s="1"/>
      <c r="D3284" s="1"/>
      <c r="E3284" s="357">
        <v>44999</v>
      </c>
      <c r="F3284" s="344" t="s">
        <v>631</v>
      </c>
      <c r="G3284" s="358">
        <v>18.9514</v>
      </c>
      <c r="H3284" s="344" t="s">
        <v>1455</v>
      </c>
    </row>
    <row r="3285" spans="1:8">
      <c r="A3285" s="1"/>
      <c r="B3285" s="1"/>
      <c r="C3285" s="1"/>
      <c r="D3285" s="1"/>
      <c r="E3285" s="357">
        <v>45000</v>
      </c>
      <c r="F3285" s="344" t="s">
        <v>621</v>
      </c>
      <c r="G3285" s="358">
        <v>20.602499999999999</v>
      </c>
      <c r="H3285" s="344" t="s">
        <v>1456</v>
      </c>
    </row>
    <row r="3286" spans="1:8">
      <c r="A3286" s="1"/>
      <c r="B3286" s="1"/>
      <c r="C3286" s="1"/>
      <c r="D3286" s="1"/>
      <c r="E3286" s="357">
        <v>45000</v>
      </c>
      <c r="F3286" s="344" t="s">
        <v>625</v>
      </c>
      <c r="G3286" s="358">
        <v>20.252300000000002</v>
      </c>
      <c r="H3286" s="344" t="s">
        <v>1456</v>
      </c>
    </row>
    <row r="3287" spans="1:8">
      <c r="A3287" s="1"/>
      <c r="B3287" s="1"/>
      <c r="C3287" s="1"/>
      <c r="D3287" s="1"/>
      <c r="E3287" s="357">
        <v>45000</v>
      </c>
      <c r="F3287" s="344" t="s">
        <v>628</v>
      </c>
      <c r="G3287" s="358">
        <v>22.9391</v>
      </c>
      <c r="H3287" s="344" t="s">
        <v>1456</v>
      </c>
    </row>
    <row r="3288" spans="1:8">
      <c r="A3288" s="1"/>
      <c r="B3288" s="1"/>
      <c r="C3288" s="1"/>
      <c r="D3288" s="1"/>
      <c r="E3288" s="357">
        <v>45000</v>
      </c>
      <c r="F3288" s="344" t="s">
        <v>631</v>
      </c>
      <c r="G3288" s="358">
        <v>18.958300000000001</v>
      </c>
      <c r="H3288" s="344" t="s">
        <v>1456</v>
      </c>
    </row>
    <row r="3289" spans="1:8">
      <c r="A3289" s="1"/>
      <c r="B3289" s="1"/>
      <c r="C3289" s="1"/>
      <c r="D3289" s="1"/>
      <c r="E3289" s="357">
        <v>45001</v>
      </c>
      <c r="F3289" s="344" t="s">
        <v>621</v>
      </c>
      <c r="G3289" s="358">
        <v>20.418600000000001</v>
      </c>
      <c r="H3289" s="344" t="s">
        <v>1457</v>
      </c>
    </row>
    <row r="3290" spans="1:8">
      <c r="A3290" s="1"/>
      <c r="B3290" s="1"/>
      <c r="C3290" s="1"/>
      <c r="D3290" s="1"/>
      <c r="E3290" s="357">
        <v>45001</v>
      </c>
      <c r="F3290" s="344" t="s">
        <v>625</v>
      </c>
      <c r="G3290" s="358">
        <v>20.141999999999999</v>
      </c>
      <c r="H3290" s="344" t="s">
        <v>1457</v>
      </c>
    </row>
    <row r="3291" spans="1:8">
      <c r="A3291" s="1"/>
      <c r="B3291" s="1"/>
      <c r="C3291" s="1"/>
      <c r="D3291" s="1"/>
      <c r="E3291" s="357">
        <v>45001</v>
      </c>
      <c r="F3291" s="344" t="s">
        <v>628</v>
      </c>
      <c r="G3291" s="358">
        <v>22.864000000000001</v>
      </c>
      <c r="H3291" s="344" t="s">
        <v>1457</v>
      </c>
    </row>
    <row r="3292" spans="1:8">
      <c r="A3292" s="1"/>
      <c r="B3292" s="1"/>
      <c r="C3292" s="1"/>
      <c r="D3292" s="1"/>
      <c r="E3292" s="357">
        <v>45001</v>
      </c>
      <c r="F3292" s="344" t="s">
        <v>631</v>
      </c>
      <c r="G3292" s="358">
        <v>18.9756</v>
      </c>
      <c r="H3292" s="344" t="s">
        <v>1457</v>
      </c>
    </row>
    <row r="3293" spans="1:8">
      <c r="A3293" s="1"/>
      <c r="B3293" s="1"/>
      <c r="C3293" s="1"/>
      <c r="D3293" s="1"/>
      <c r="E3293" s="357">
        <v>45002</v>
      </c>
      <c r="F3293" s="344" t="s">
        <v>621</v>
      </c>
      <c r="G3293" s="358">
        <v>20.447099999999999</v>
      </c>
      <c r="H3293" s="344" t="s">
        <v>1458</v>
      </c>
    </row>
    <row r="3294" spans="1:8">
      <c r="A3294" s="1"/>
      <c r="B3294" s="1"/>
      <c r="C3294" s="1"/>
      <c r="D3294" s="1"/>
      <c r="E3294" s="357">
        <v>45002</v>
      </c>
      <c r="F3294" s="344" t="s">
        <v>625</v>
      </c>
      <c r="G3294" s="358">
        <v>20.207699999999999</v>
      </c>
      <c r="H3294" s="344" t="s">
        <v>1458</v>
      </c>
    </row>
    <row r="3295" spans="1:8">
      <c r="A3295" s="1"/>
      <c r="B3295" s="1"/>
      <c r="C3295" s="1"/>
      <c r="D3295" s="1"/>
      <c r="E3295" s="357">
        <v>45002</v>
      </c>
      <c r="F3295" s="344" t="s">
        <v>628</v>
      </c>
      <c r="G3295" s="358">
        <v>23.008900000000001</v>
      </c>
      <c r="H3295" s="344" t="s">
        <v>1458</v>
      </c>
    </row>
    <row r="3296" spans="1:8">
      <c r="A3296" s="1"/>
      <c r="B3296" s="1"/>
      <c r="C3296" s="1"/>
      <c r="D3296" s="1"/>
      <c r="E3296" s="357">
        <v>45002</v>
      </c>
      <c r="F3296" s="344" t="s">
        <v>631</v>
      </c>
      <c r="G3296" s="358">
        <v>18.9785</v>
      </c>
      <c r="H3296" s="344" t="s">
        <v>1458</v>
      </c>
    </row>
    <row r="3297" spans="1:8">
      <c r="A3297" s="1"/>
      <c r="B3297" s="1"/>
      <c r="C3297" s="1"/>
      <c r="D3297" s="1"/>
      <c r="E3297" s="357">
        <v>45005</v>
      </c>
      <c r="F3297" s="344" t="s">
        <v>621</v>
      </c>
      <c r="G3297" s="358">
        <v>20.423300000000001</v>
      </c>
      <c r="H3297" s="344" t="s">
        <v>1459</v>
      </c>
    </row>
    <row r="3298" spans="1:8">
      <c r="A3298" s="1"/>
      <c r="B3298" s="1"/>
      <c r="C3298" s="1"/>
      <c r="D3298" s="1"/>
      <c r="E3298" s="357">
        <v>45005</v>
      </c>
      <c r="F3298" s="344" t="s">
        <v>625</v>
      </c>
      <c r="G3298" s="358">
        <v>20.275300000000001</v>
      </c>
      <c r="H3298" s="344" t="s">
        <v>1459</v>
      </c>
    </row>
    <row r="3299" spans="1:8">
      <c r="A3299" s="1"/>
      <c r="B3299" s="1"/>
      <c r="C3299" s="1"/>
      <c r="D3299" s="1"/>
      <c r="E3299" s="357">
        <v>45005</v>
      </c>
      <c r="F3299" s="344" t="s">
        <v>628</v>
      </c>
      <c r="G3299" s="358">
        <v>23.1416</v>
      </c>
      <c r="H3299" s="344" t="s">
        <v>1459</v>
      </c>
    </row>
    <row r="3300" spans="1:8">
      <c r="A3300" s="1"/>
      <c r="B3300" s="1"/>
      <c r="C3300" s="1"/>
      <c r="D3300" s="1"/>
      <c r="E3300" s="357">
        <v>45005</v>
      </c>
      <c r="F3300" s="344" t="s">
        <v>631</v>
      </c>
      <c r="G3300" s="358">
        <v>18.991900000000001</v>
      </c>
      <c r="H3300" s="344" t="s">
        <v>1459</v>
      </c>
    </row>
    <row r="3301" spans="1:8">
      <c r="A3301" s="1"/>
      <c r="B3301" s="1"/>
      <c r="C3301" s="1"/>
      <c r="D3301" s="1"/>
      <c r="E3301" s="357">
        <v>45006</v>
      </c>
      <c r="F3301" s="344" t="s">
        <v>621</v>
      </c>
      <c r="G3301" s="358">
        <v>20.4373</v>
      </c>
      <c r="H3301" s="344" t="s">
        <v>1460</v>
      </c>
    </row>
    <row r="3302" spans="1:8">
      <c r="A3302" s="1"/>
      <c r="B3302" s="1"/>
      <c r="C3302" s="1"/>
      <c r="D3302" s="1"/>
      <c r="E3302" s="357">
        <v>45006</v>
      </c>
      <c r="F3302" s="344" t="s">
        <v>625</v>
      </c>
      <c r="G3302" s="358">
        <v>20.409400000000002</v>
      </c>
      <c r="H3302" s="344" t="s">
        <v>1460</v>
      </c>
    </row>
    <row r="3303" spans="1:8">
      <c r="A3303" s="1"/>
      <c r="B3303" s="1"/>
      <c r="C3303" s="1"/>
      <c r="D3303" s="1"/>
      <c r="E3303" s="357">
        <v>45006</v>
      </c>
      <c r="F3303" s="344" t="s">
        <v>628</v>
      </c>
      <c r="G3303" s="358">
        <v>23.231000000000002</v>
      </c>
      <c r="H3303" s="344" t="s">
        <v>1460</v>
      </c>
    </row>
    <row r="3304" spans="1:8">
      <c r="A3304" s="1"/>
      <c r="B3304" s="1"/>
      <c r="C3304" s="1"/>
      <c r="D3304" s="1"/>
      <c r="E3304" s="357">
        <v>45006</v>
      </c>
      <c r="F3304" s="344" t="s">
        <v>631</v>
      </c>
      <c r="G3304" s="358">
        <v>19.0014</v>
      </c>
      <c r="H3304" s="344" t="s">
        <v>1460</v>
      </c>
    </row>
    <row r="3305" spans="1:8">
      <c r="A3305" s="1"/>
      <c r="B3305" s="1"/>
      <c r="C3305" s="1"/>
      <c r="D3305" s="1"/>
      <c r="E3305" s="357">
        <v>45007</v>
      </c>
      <c r="F3305" s="344" t="s">
        <v>621</v>
      </c>
      <c r="G3305" s="358">
        <v>20.5685</v>
      </c>
      <c r="H3305" s="344" t="s">
        <v>1461</v>
      </c>
    </row>
    <row r="3306" spans="1:8">
      <c r="A3306" s="1"/>
      <c r="B3306" s="1"/>
      <c r="C3306" s="1"/>
      <c r="D3306" s="1"/>
      <c r="E3306" s="357">
        <v>45007</v>
      </c>
      <c r="F3306" s="344" t="s">
        <v>625</v>
      </c>
      <c r="G3306" s="358">
        <v>20.501899999999999</v>
      </c>
      <c r="H3306" s="344" t="s">
        <v>1461</v>
      </c>
    </row>
    <row r="3307" spans="1:8">
      <c r="A3307" s="1"/>
      <c r="B3307" s="1"/>
      <c r="C3307" s="1"/>
      <c r="D3307" s="1"/>
      <c r="E3307" s="357">
        <v>45007</v>
      </c>
      <c r="F3307" s="344" t="s">
        <v>628</v>
      </c>
      <c r="G3307" s="358">
        <v>23.287099999999999</v>
      </c>
      <c r="H3307" s="344" t="s">
        <v>1461</v>
      </c>
    </row>
    <row r="3308" spans="1:8">
      <c r="A3308" s="1"/>
      <c r="B3308" s="1"/>
      <c r="C3308" s="1"/>
      <c r="D3308" s="1"/>
      <c r="E3308" s="357">
        <v>45007</v>
      </c>
      <c r="F3308" s="344" t="s">
        <v>631</v>
      </c>
      <c r="G3308" s="358">
        <v>19.016500000000001</v>
      </c>
      <c r="H3308" s="344" t="s">
        <v>1461</v>
      </c>
    </row>
    <row r="3309" spans="1:8">
      <c r="A3309" s="1"/>
      <c r="B3309" s="1"/>
      <c r="C3309" s="1"/>
      <c r="D3309" s="1"/>
      <c r="E3309" s="357">
        <v>45008</v>
      </c>
      <c r="F3309" s="344" t="s">
        <v>621</v>
      </c>
      <c r="G3309" s="358">
        <v>20.7257</v>
      </c>
      <c r="H3309" s="344" t="s">
        <v>1462</v>
      </c>
    </row>
    <row r="3310" spans="1:8">
      <c r="A3310" s="1"/>
      <c r="B3310" s="1"/>
      <c r="C3310" s="1"/>
      <c r="D3310" s="1"/>
      <c r="E3310" s="357">
        <v>45008</v>
      </c>
      <c r="F3310" s="344" t="s">
        <v>625</v>
      </c>
      <c r="G3310" s="358">
        <v>20.722000000000001</v>
      </c>
      <c r="H3310" s="344" t="s">
        <v>1462</v>
      </c>
    </row>
    <row r="3311" spans="1:8">
      <c r="A3311" s="1"/>
      <c r="B3311" s="1"/>
      <c r="C3311" s="1"/>
      <c r="D3311" s="1"/>
      <c r="E3311" s="357">
        <v>45008</v>
      </c>
      <c r="F3311" s="344" t="s">
        <v>628</v>
      </c>
      <c r="G3311" s="358">
        <v>23.378900000000002</v>
      </c>
      <c r="H3311" s="344" t="s">
        <v>1462</v>
      </c>
    </row>
    <row r="3312" spans="1:8">
      <c r="A3312" s="1"/>
      <c r="B3312" s="1"/>
      <c r="C3312" s="1"/>
      <c r="D3312" s="1"/>
      <c r="E3312" s="357">
        <v>45008</v>
      </c>
      <c r="F3312" s="344" t="s">
        <v>631</v>
      </c>
      <c r="G3312" s="358">
        <v>19.022300000000001</v>
      </c>
      <c r="H3312" s="344" t="s">
        <v>1462</v>
      </c>
    </row>
    <row r="3313" spans="1:8">
      <c r="A3313" s="1"/>
      <c r="B3313" s="1"/>
      <c r="C3313" s="1"/>
      <c r="D3313" s="1"/>
      <c r="E3313" s="357">
        <v>45009</v>
      </c>
      <c r="F3313" s="344" t="s">
        <v>621</v>
      </c>
      <c r="G3313" s="358">
        <v>20.672699999999999</v>
      </c>
      <c r="H3313" s="344" t="s">
        <v>1463</v>
      </c>
    </row>
    <row r="3314" spans="1:8">
      <c r="A3314" s="1"/>
      <c r="B3314" s="1"/>
      <c r="C3314" s="1"/>
      <c r="D3314" s="1"/>
      <c r="E3314" s="357">
        <v>45009</v>
      </c>
      <c r="F3314" s="344" t="s">
        <v>625</v>
      </c>
      <c r="G3314" s="358">
        <v>20.505500000000001</v>
      </c>
      <c r="H3314" s="344" t="s">
        <v>1463</v>
      </c>
    </row>
    <row r="3315" spans="1:8">
      <c r="A3315" s="1"/>
      <c r="B3315" s="1"/>
      <c r="C3315" s="1"/>
      <c r="D3315" s="1"/>
      <c r="E3315" s="357">
        <v>45009</v>
      </c>
      <c r="F3315" s="344" t="s">
        <v>628</v>
      </c>
      <c r="G3315" s="358">
        <v>23.2563</v>
      </c>
      <c r="H3315" s="344" t="s">
        <v>1463</v>
      </c>
    </row>
    <row r="3316" spans="1:8">
      <c r="A3316" s="1"/>
      <c r="B3316" s="1"/>
      <c r="C3316" s="1"/>
      <c r="D3316" s="1"/>
      <c r="E3316" s="357">
        <v>45009</v>
      </c>
      <c r="F3316" s="344" t="s">
        <v>631</v>
      </c>
      <c r="G3316" s="358">
        <v>19.037099999999999</v>
      </c>
      <c r="H3316" s="344" t="s">
        <v>1463</v>
      </c>
    </row>
    <row r="3317" spans="1:8">
      <c r="A3317" s="1"/>
      <c r="B3317" s="1"/>
      <c r="C3317" s="1"/>
      <c r="D3317" s="1"/>
      <c r="E3317" s="357">
        <v>45012</v>
      </c>
      <c r="F3317" s="344" t="s">
        <v>621</v>
      </c>
      <c r="G3317" s="358">
        <v>20.747699999999998</v>
      </c>
      <c r="H3317" s="344" t="s">
        <v>1464</v>
      </c>
    </row>
    <row r="3318" spans="1:8">
      <c r="A3318" s="1"/>
      <c r="B3318" s="1"/>
      <c r="C3318" s="1"/>
      <c r="D3318" s="1"/>
      <c r="E3318" s="357">
        <v>45012</v>
      </c>
      <c r="F3318" s="344" t="s">
        <v>625</v>
      </c>
      <c r="G3318" s="358">
        <v>20.525200000000002</v>
      </c>
      <c r="H3318" s="344" t="s">
        <v>1464</v>
      </c>
    </row>
    <row r="3319" spans="1:8">
      <c r="A3319" s="1"/>
      <c r="B3319" s="1"/>
      <c r="C3319" s="1"/>
      <c r="D3319" s="1"/>
      <c r="E3319" s="357">
        <v>45012</v>
      </c>
      <c r="F3319" s="344" t="s">
        <v>628</v>
      </c>
      <c r="G3319" s="358">
        <v>23.3261</v>
      </c>
      <c r="H3319" s="344" t="s">
        <v>1464</v>
      </c>
    </row>
    <row r="3320" spans="1:8">
      <c r="A3320" s="1"/>
      <c r="B3320" s="1"/>
      <c r="C3320" s="1"/>
      <c r="D3320" s="1"/>
      <c r="E3320" s="357">
        <v>45012</v>
      </c>
      <c r="F3320" s="344" t="s">
        <v>631</v>
      </c>
      <c r="G3320" s="358">
        <v>19.068000000000001</v>
      </c>
      <c r="H3320" s="344" t="s">
        <v>1464</v>
      </c>
    </row>
    <row r="3321" spans="1:8">
      <c r="A3321" s="1"/>
      <c r="B3321" s="1"/>
      <c r="C3321" s="1"/>
      <c r="D3321" s="1"/>
      <c r="E3321" s="357">
        <v>45013</v>
      </c>
      <c r="F3321" s="344" t="s">
        <v>621</v>
      </c>
      <c r="G3321" s="358">
        <v>20.7529</v>
      </c>
      <c r="H3321" s="344" t="s">
        <v>1465</v>
      </c>
    </row>
    <row r="3322" spans="1:8">
      <c r="A3322" s="1"/>
      <c r="B3322" s="1"/>
      <c r="C3322" s="1"/>
      <c r="D3322" s="1"/>
      <c r="E3322" s="357">
        <v>45013</v>
      </c>
      <c r="F3322" s="344" t="s">
        <v>625</v>
      </c>
      <c r="G3322" s="358">
        <v>20.646699999999999</v>
      </c>
      <c r="H3322" s="344" t="s">
        <v>1465</v>
      </c>
    </row>
    <row r="3323" spans="1:8">
      <c r="A3323" s="1"/>
      <c r="B3323" s="1"/>
      <c r="C3323" s="1"/>
      <c r="D3323" s="1"/>
      <c r="E3323" s="357">
        <v>45013</v>
      </c>
      <c r="F3323" s="344" t="s">
        <v>628</v>
      </c>
      <c r="G3323" s="358">
        <v>23.4483</v>
      </c>
      <c r="H3323" s="344" t="s">
        <v>1465</v>
      </c>
    </row>
    <row r="3324" spans="1:8">
      <c r="A3324" s="1"/>
      <c r="B3324" s="1"/>
      <c r="C3324" s="1"/>
      <c r="D3324" s="1"/>
      <c r="E3324" s="357">
        <v>45013</v>
      </c>
      <c r="F3324" s="344" t="s">
        <v>631</v>
      </c>
      <c r="G3324" s="358">
        <v>19.0839</v>
      </c>
      <c r="H3324" s="344" t="s">
        <v>1465</v>
      </c>
    </row>
    <row r="3325" spans="1:8">
      <c r="A3325" s="1"/>
      <c r="B3325" s="1"/>
      <c r="C3325" s="1"/>
      <c r="D3325" s="1"/>
      <c r="E3325" s="357">
        <v>45014</v>
      </c>
      <c r="F3325" s="344" t="s">
        <v>621</v>
      </c>
      <c r="G3325" s="358">
        <v>20.7376</v>
      </c>
      <c r="H3325" s="344" t="s">
        <v>1466</v>
      </c>
    </row>
    <row r="3326" spans="1:8">
      <c r="A3326" s="1"/>
      <c r="B3326" s="1"/>
      <c r="C3326" s="1"/>
      <c r="D3326" s="1"/>
      <c r="E3326" s="357">
        <v>45014</v>
      </c>
      <c r="F3326" s="344" t="s">
        <v>625</v>
      </c>
      <c r="G3326" s="358">
        <v>20.720099999999999</v>
      </c>
      <c r="H3326" s="344" t="s">
        <v>1466</v>
      </c>
    </row>
    <row r="3327" spans="1:8">
      <c r="A3327" s="1"/>
      <c r="B3327" s="1"/>
      <c r="C3327" s="1"/>
      <c r="D3327" s="1"/>
      <c r="E3327" s="357">
        <v>45014</v>
      </c>
      <c r="F3327" s="344" t="s">
        <v>628</v>
      </c>
      <c r="G3327" s="358">
        <v>23.529499999999999</v>
      </c>
      <c r="H3327" s="344" t="s">
        <v>1466</v>
      </c>
    </row>
    <row r="3328" spans="1:8">
      <c r="A3328" s="1"/>
      <c r="B3328" s="1"/>
      <c r="C3328" s="1"/>
      <c r="D3328" s="1"/>
      <c r="E3328" s="357">
        <v>45014</v>
      </c>
      <c r="F3328" s="344" t="s">
        <v>631</v>
      </c>
      <c r="G3328" s="358">
        <v>19.106999999999999</v>
      </c>
      <c r="H3328" s="344" t="s">
        <v>1466</v>
      </c>
    </row>
    <row r="3329" spans="1:8">
      <c r="A3329" s="1"/>
      <c r="B3329" s="1"/>
      <c r="C3329" s="1"/>
      <c r="D3329" s="1"/>
      <c r="E3329" s="357">
        <v>45015</v>
      </c>
      <c r="F3329" s="344" t="s">
        <v>621</v>
      </c>
      <c r="G3329" s="358">
        <v>20.8521</v>
      </c>
      <c r="H3329" s="344" t="s">
        <v>1467</v>
      </c>
    </row>
    <row r="3330" spans="1:8">
      <c r="A3330" s="1"/>
      <c r="B3330" s="1"/>
      <c r="C3330" s="1"/>
      <c r="D3330" s="1"/>
      <c r="E3330" s="357">
        <v>45015</v>
      </c>
      <c r="F3330" s="344" t="s">
        <v>625</v>
      </c>
      <c r="G3330" s="358">
        <v>20.802099999999999</v>
      </c>
      <c r="H3330" s="344" t="s">
        <v>1467</v>
      </c>
    </row>
    <row r="3331" spans="1:8">
      <c r="A3331" s="1"/>
      <c r="B3331" s="1"/>
      <c r="C3331" s="1"/>
      <c r="D3331" s="1"/>
      <c r="E3331" s="357">
        <v>45015</v>
      </c>
      <c r="F3331" s="344" t="s">
        <v>628</v>
      </c>
      <c r="G3331" s="358">
        <v>23.5943</v>
      </c>
      <c r="H3331" s="344" t="s">
        <v>1467</v>
      </c>
    </row>
    <row r="3332" spans="1:8">
      <c r="A3332" s="1"/>
      <c r="B3332" s="1"/>
      <c r="C3332" s="1"/>
      <c r="D3332" s="1"/>
      <c r="E3332" s="357">
        <v>45015</v>
      </c>
      <c r="F3332" s="344" t="s">
        <v>631</v>
      </c>
      <c r="G3332" s="358">
        <v>19.146000000000001</v>
      </c>
      <c r="H3332" s="344" t="s">
        <v>1467</v>
      </c>
    </row>
    <row r="3333" spans="1:8">
      <c r="A3333" s="1"/>
      <c r="B3333" s="1"/>
      <c r="C3333" s="1"/>
      <c r="D3333" s="1"/>
      <c r="E3333" s="357">
        <v>45016</v>
      </c>
      <c r="F3333" s="344" t="s">
        <v>621</v>
      </c>
      <c r="G3333" s="358">
        <v>20.861499999999999</v>
      </c>
      <c r="H3333" s="344" t="s">
        <v>1468</v>
      </c>
    </row>
    <row r="3334" spans="1:8">
      <c r="A3334" s="1"/>
      <c r="B3334" s="1"/>
      <c r="C3334" s="1"/>
      <c r="D3334" s="1"/>
      <c r="E3334" s="357">
        <v>45016</v>
      </c>
      <c r="F3334" s="344" t="s">
        <v>625</v>
      </c>
      <c r="G3334" s="358">
        <v>20.844999999999999</v>
      </c>
      <c r="H3334" s="344" t="s">
        <v>1468</v>
      </c>
    </row>
    <row r="3335" spans="1:8">
      <c r="A3335" s="1"/>
      <c r="B3335" s="1"/>
      <c r="C3335" s="1"/>
      <c r="D3335" s="1"/>
      <c r="E3335" s="357">
        <v>45016</v>
      </c>
      <c r="F3335" s="344" t="s">
        <v>628</v>
      </c>
      <c r="G3335" s="358">
        <v>23.6602</v>
      </c>
      <c r="H3335" s="344" t="s">
        <v>1468</v>
      </c>
    </row>
    <row r="3336" spans="1:8">
      <c r="A3336" s="1"/>
      <c r="B3336" s="1"/>
      <c r="C3336" s="1"/>
      <c r="D3336" s="1"/>
      <c r="E3336" s="357">
        <v>45016</v>
      </c>
      <c r="F3336" s="344" t="s">
        <v>631</v>
      </c>
      <c r="G3336" s="358">
        <v>19.153199999999998</v>
      </c>
      <c r="H3336" s="344" t="s">
        <v>1468</v>
      </c>
    </row>
    <row r="3337" spans="1:8">
      <c r="A3337" s="1"/>
      <c r="B3337" s="1"/>
      <c r="C3337" s="1"/>
      <c r="D3337" s="1"/>
      <c r="E3337" s="357">
        <v>45019</v>
      </c>
      <c r="F3337" s="344" t="s">
        <v>621</v>
      </c>
      <c r="G3337" s="358">
        <v>20.864799999999999</v>
      </c>
      <c r="H3337" s="344" t="s">
        <v>1469</v>
      </c>
    </row>
    <row r="3338" spans="1:8">
      <c r="A3338" s="1"/>
      <c r="B3338" s="1"/>
      <c r="C3338" s="1"/>
      <c r="D3338" s="1"/>
      <c r="E3338" s="357">
        <v>45019</v>
      </c>
      <c r="F3338" s="344" t="s">
        <v>625</v>
      </c>
      <c r="G3338" s="358">
        <v>20.807400000000001</v>
      </c>
      <c r="H3338" s="344" t="s">
        <v>1469</v>
      </c>
    </row>
    <row r="3339" spans="1:8">
      <c r="A3339" s="1"/>
      <c r="B3339" s="1"/>
      <c r="C3339" s="1"/>
      <c r="D3339" s="1"/>
      <c r="E3339" s="357">
        <v>45019</v>
      </c>
      <c r="F3339" s="344" t="s">
        <v>628</v>
      </c>
      <c r="G3339" s="358">
        <v>23.629799999999999</v>
      </c>
      <c r="H3339" s="344" t="s">
        <v>1469</v>
      </c>
    </row>
    <row r="3340" spans="1:8">
      <c r="A3340" s="1"/>
      <c r="B3340" s="1"/>
      <c r="C3340" s="1"/>
      <c r="D3340" s="1"/>
      <c r="E3340" s="357">
        <v>45019</v>
      </c>
      <c r="F3340" s="344" t="s">
        <v>631</v>
      </c>
      <c r="G3340" s="358">
        <v>19.178799999999999</v>
      </c>
      <c r="H3340" s="344" t="s">
        <v>1469</v>
      </c>
    </row>
    <row r="3341" spans="1:8">
      <c r="A3341" s="1"/>
      <c r="B3341" s="1"/>
      <c r="C3341" s="1"/>
      <c r="D3341" s="1"/>
      <c r="E3341" s="357">
        <v>45020</v>
      </c>
      <c r="F3341" s="344" t="s">
        <v>621</v>
      </c>
      <c r="G3341" s="358">
        <v>21.0014</v>
      </c>
      <c r="H3341" s="344" t="s">
        <v>1470</v>
      </c>
    </row>
    <row r="3342" spans="1:8">
      <c r="A3342" s="1"/>
      <c r="B3342" s="1"/>
      <c r="C3342" s="1"/>
      <c r="D3342" s="1"/>
      <c r="E3342" s="357">
        <v>45020</v>
      </c>
      <c r="F3342" s="344" t="s">
        <v>625</v>
      </c>
      <c r="G3342" s="358">
        <v>20.959700000000002</v>
      </c>
      <c r="H3342" s="344" t="s">
        <v>1470</v>
      </c>
    </row>
    <row r="3343" spans="1:8">
      <c r="A3343" s="1"/>
      <c r="B3343" s="1"/>
      <c r="C3343" s="1"/>
      <c r="D3343" s="1"/>
      <c r="E3343" s="357">
        <v>45020</v>
      </c>
      <c r="F3343" s="344" t="s">
        <v>628</v>
      </c>
      <c r="G3343" s="358">
        <v>23.9162</v>
      </c>
      <c r="H3343" s="344" t="s">
        <v>1470</v>
      </c>
    </row>
    <row r="3344" spans="1:8">
      <c r="A3344" s="1"/>
      <c r="B3344" s="1"/>
      <c r="C3344" s="1"/>
      <c r="D3344" s="1"/>
      <c r="E3344" s="357">
        <v>45020</v>
      </c>
      <c r="F3344" s="344" t="s">
        <v>631</v>
      </c>
      <c r="G3344" s="358">
        <v>19.200099999999999</v>
      </c>
      <c r="H3344" s="344" t="s">
        <v>1470</v>
      </c>
    </row>
    <row r="3345" spans="1:8">
      <c r="A3345" s="1"/>
      <c r="B3345" s="1"/>
      <c r="C3345" s="1"/>
      <c r="D3345" s="1"/>
      <c r="E3345" s="357">
        <v>45021</v>
      </c>
      <c r="F3345" s="344" t="s">
        <v>621</v>
      </c>
      <c r="G3345" s="358">
        <v>21.192299999999999</v>
      </c>
      <c r="H3345" s="344" t="s">
        <v>1471</v>
      </c>
    </row>
    <row r="3346" spans="1:8">
      <c r="A3346" s="1"/>
      <c r="B3346" s="1"/>
      <c r="C3346" s="1"/>
      <c r="D3346" s="1"/>
      <c r="E3346" s="357">
        <v>45021</v>
      </c>
      <c r="F3346" s="344" t="s">
        <v>625</v>
      </c>
      <c r="G3346" s="358">
        <v>21.0501</v>
      </c>
      <c r="H3346" s="344" t="s">
        <v>1471</v>
      </c>
    </row>
    <row r="3347" spans="1:8">
      <c r="A3347" s="1"/>
      <c r="B3347" s="1"/>
      <c r="C3347" s="1"/>
      <c r="D3347" s="1"/>
      <c r="E3347" s="357">
        <v>45021</v>
      </c>
      <c r="F3347" s="344" t="s">
        <v>628</v>
      </c>
      <c r="G3347" s="358">
        <v>23.956199999999999</v>
      </c>
      <c r="H3347" s="344" t="s">
        <v>1471</v>
      </c>
    </row>
    <row r="3348" spans="1:8">
      <c r="A3348" s="1"/>
      <c r="B3348" s="1"/>
      <c r="C3348" s="1"/>
      <c r="D3348" s="1"/>
      <c r="E3348" s="357">
        <v>45021</v>
      </c>
      <c r="F3348" s="344" t="s">
        <v>631</v>
      </c>
      <c r="G3348" s="358">
        <v>19.226600000000001</v>
      </c>
      <c r="H3348" s="344" t="s">
        <v>1471</v>
      </c>
    </row>
    <row r="3349" spans="1:8">
      <c r="A3349" s="1"/>
      <c r="B3349" s="1"/>
      <c r="C3349" s="1"/>
      <c r="D3349" s="1"/>
      <c r="E3349" s="357">
        <v>45022</v>
      </c>
      <c r="F3349" s="344" t="s">
        <v>621</v>
      </c>
      <c r="G3349" s="358">
        <v>21.200399999999998</v>
      </c>
      <c r="H3349" s="344" t="s">
        <v>1472</v>
      </c>
    </row>
    <row r="3350" spans="1:8">
      <c r="A3350" s="1"/>
      <c r="B3350" s="1"/>
      <c r="C3350" s="1"/>
      <c r="D3350" s="1"/>
      <c r="E3350" s="357">
        <v>45022</v>
      </c>
      <c r="F3350" s="344" t="s">
        <v>625</v>
      </c>
      <c r="G3350" s="358">
        <v>20.978200000000001</v>
      </c>
      <c r="H3350" s="344" t="s">
        <v>1472</v>
      </c>
    </row>
    <row r="3351" spans="1:8">
      <c r="A3351" s="1"/>
      <c r="B3351" s="1"/>
      <c r="C3351" s="1"/>
      <c r="D3351" s="1"/>
      <c r="E3351" s="357">
        <v>45022</v>
      </c>
      <c r="F3351" s="344" t="s">
        <v>628</v>
      </c>
      <c r="G3351" s="358">
        <v>23.9405</v>
      </c>
      <c r="H3351" s="344" t="s">
        <v>1472</v>
      </c>
    </row>
    <row r="3352" spans="1:8">
      <c r="A3352" s="1"/>
      <c r="B3352" s="1"/>
      <c r="C3352" s="1"/>
      <c r="D3352" s="1"/>
      <c r="E3352" s="357">
        <v>45022</v>
      </c>
      <c r="F3352" s="344" t="s">
        <v>631</v>
      </c>
      <c r="G3352" s="358">
        <v>19.2361</v>
      </c>
      <c r="H3352" s="344" t="s">
        <v>1472</v>
      </c>
    </row>
    <row r="3353" spans="1:8">
      <c r="A3353" s="1"/>
      <c r="B3353" s="1"/>
      <c r="C3353" s="1"/>
      <c r="D3353" s="1"/>
      <c r="E3353" s="357">
        <v>45023</v>
      </c>
      <c r="F3353" s="344" t="s">
        <v>621</v>
      </c>
      <c r="G3353" s="358">
        <v>21.226099999999999</v>
      </c>
      <c r="H3353" s="344" t="s">
        <v>1473</v>
      </c>
    </row>
    <row r="3354" spans="1:8">
      <c r="A3354" s="1"/>
      <c r="B3354" s="1"/>
      <c r="C3354" s="1"/>
      <c r="D3354" s="1"/>
      <c r="E3354" s="357">
        <v>45023</v>
      </c>
      <c r="F3354" s="344" t="s">
        <v>625</v>
      </c>
      <c r="G3354" s="358">
        <v>20.996400000000001</v>
      </c>
      <c r="H3354" s="344" t="s">
        <v>1473</v>
      </c>
    </row>
    <row r="3355" spans="1:8">
      <c r="A3355" s="1"/>
      <c r="B3355" s="1"/>
      <c r="C3355" s="1"/>
      <c r="D3355" s="1"/>
      <c r="E3355" s="357">
        <v>45023</v>
      </c>
      <c r="F3355" s="344" t="s">
        <v>628</v>
      </c>
      <c r="G3355" s="358">
        <v>23.884599999999999</v>
      </c>
      <c r="H3355" s="344" t="s">
        <v>1473</v>
      </c>
    </row>
    <row r="3356" spans="1:8">
      <c r="A3356" s="1"/>
      <c r="B3356" s="1"/>
      <c r="C3356" s="1"/>
      <c r="D3356" s="1"/>
      <c r="E3356" s="357">
        <v>45023</v>
      </c>
      <c r="F3356" s="344" t="s">
        <v>631</v>
      </c>
      <c r="G3356" s="358">
        <v>19.2332</v>
      </c>
      <c r="H3356" s="344" t="s">
        <v>1473</v>
      </c>
    </row>
    <row r="3357" spans="1:8">
      <c r="A3357" s="1"/>
      <c r="B3357" s="1"/>
      <c r="C3357" s="1"/>
      <c r="D3357" s="1"/>
      <c r="E3357" s="357">
        <v>45026</v>
      </c>
      <c r="F3357" s="344" t="s">
        <v>621</v>
      </c>
      <c r="G3357" s="358">
        <v>21.184200000000001</v>
      </c>
      <c r="H3357" s="344" t="s">
        <v>1474</v>
      </c>
    </row>
    <row r="3358" spans="1:8">
      <c r="A3358" s="1"/>
      <c r="B3358" s="1"/>
      <c r="C3358" s="1"/>
      <c r="D3358" s="1"/>
      <c r="E3358" s="357">
        <v>45026</v>
      </c>
      <c r="F3358" s="344" t="s">
        <v>625</v>
      </c>
      <c r="G3358" s="358">
        <v>20.981000000000002</v>
      </c>
      <c r="H3358" s="344" t="s">
        <v>1474</v>
      </c>
    </row>
    <row r="3359" spans="1:8">
      <c r="A3359" s="1"/>
      <c r="B3359" s="1"/>
      <c r="C3359" s="1"/>
      <c r="D3359" s="1"/>
      <c r="E3359" s="357">
        <v>45026</v>
      </c>
      <c r="F3359" s="344" t="s">
        <v>628</v>
      </c>
      <c r="G3359" s="358">
        <v>23.863199999999999</v>
      </c>
      <c r="H3359" s="344" t="s">
        <v>1474</v>
      </c>
    </row>
    <row r="3360" spans="1:8">
      <c r="A3360" s="1"/>
      <c r="B3360" s="1"/>
      <c r="C3360" s="1"/>
      <c r="D3360" s="1"/>
      <c r="E3360" s="357">
        <v>45026</v>
      </c>
      <c r="F3360" s="344" t="s">
        <v>631</v>
      </c>
      <c r="G3360" s="358">
        <v>19.238</v>
      </c>
      <c r="H3360" s="344" t="s">
        <v>1474</v>
      </c>
    </row>
    <row r="3361" spans="1:8">
      <c r="A3361" s="1"/>
      <c r="B3361" s="1"/>
      <c r="C3361" s="1"/>
      <c r="D3361" s="1"/>
      <c r="E3361" s="357">
        <v>45027</v>
      </c>
      <c r="F3361" s="344" t="s">
        <v>621</v>
      </c>
      <c r="G3361" s="358">
        <v>21.236599999999999</v>
      </c>
      <c r="H3361" s="344" t="s">
        <v>1475</v>
      </c>
    </row>
    <row r="3362" spans="1:8">
      <c r="A3362" s="1"/>
      <c r="B3362" s="1"/>
      <c r="C3362" s="1"/>
      <c r="D3362" s="1"/>
      <c r="E3362" s="357">
        <v>45027</v>
      </c>
      <c r="F3362" s="344" t="s">
        <v>625</v>
      </c>
      <c r="G3362" s="358">
        <v>21.004300000000001</v>
      </c>
      <c r="H3362" s="344" t="s">
        <v>1475</v>
      </c>
    </row>
    <row r="3363" spans="1:8">
      <c r="A3363" s="1"/>
      <c r="B3363" s="1"/>
      <c r="C3363" s="1"/>
      <c r="D3363" s="1"/>
      <c r="E3363" s="357">
        <v>45027</v>
      </c>
      <c r="F3363" s="344" t="s">
        <v>628</v>
      </c>
      <c r="G3363" s="358">
        <v>23.9055</v>
      </c>
      <c r="H3363" s="344" t="s">
        <v>1475</v>
      </c>
    </row>
    <row r="3364" spans="1:8">
      <c r="A3364" s="1"/>
      <c r="B3364" s="1"/>
      <c r="C3364" s="1"/>
      <c r="D3364" s="1"/>
      <c r="E3364" s="357">
        <v>45027</v>
      </c>
      <c r="F3364" s="344" t="s">
        <v>631</v>
      </c>
      <c r="G3364" s="358">
        <v>19.261900000000001</v>
      </c>
      <c r="H3364" s="344" t="s">
        <v>1475</v>
      </c>
    </row>
    <row r="3365" spans="1:8">
      <c r="A3365" s="1"/>
      <c r="B3365" s="1"/>
      <c r="C3365" s="1"/>
      <c r="D3365" s="1"/>
      <c r="E3365" s="357">
        <v>45028</v>
      </c>
      <c r="F3365" s="344" t="s">
        <v>621</v>
      </c>
      <c r="G3365" s="358">
        <v>21.324200000000001</v>
      </c>
      <c r="H3365" s="344" t="s">
        <v>1476</v>
      </c>
    </row>
    <row r="3366" spans="1:8">
      <c r="A3366" s="1"/>
      <c r="B3366" s="1"/>
      <c r="C3366" s="1"/>
      <c r="D3366" s="1"/>
      <c r="E3366" s="357">
        <v>45028</v>
      </c>
      <c r="F3366" s="344" t="s">
        <v>625</v>
      </c>
      <c r="G3366" s="358">
        <v>21.074100000000001</v>
      </c>
      <c r="H3366" s="344" t="s">
        <v>1476</v>
      </c>
    </row>
    <row r="3367" spans="1:8">
      <c r="A3367" s="1"/>
      <c r="B3367" s="1"/>
      <c r="C3367" s="1"/>
      <c r="D3367" s="1"/>
      <c r="E3367" s="357">
        <v>45028</v>
      </c>
      <c r="F3367" s="344" t="s">
        <v>628</v>
      </c>
      <c r="G3367" s="358">
        <v>23.9115</v>
      </c>
      <c r="H3367" s="344" t="s">
        <v>1476</v>
      </c>
    </row>
    <row r="3368" spans="1:8">
      <c r="A3368" s="1"/>
      <c r="B3368" s="1"/>
      <c r="C3368" s="1"/>
      <c r="D3368" s="1"/>
      <c r="E3368" s="357">
        <v>45028</v>
      </c>
      <c r="F3368" s="344" t="s">
        <v>631</v>
      </c>
      <c r="G3368" s="358">
        <v>19.288499999999999</v>
      </c>
      <c r="H3368" s="344" t="s">
        <v>1476</v>
      </c>
    </row>
    <row r="3369" spans="1:8">
      <c r="A3369" s="1"/>
      <c r="B3369" s="1"/>
      <c r="C3369" s="1"/>
      <c r="D3369" s="1"/>
      <c r="E3369" s="357">
        <v>45029</v>
      </c>
      <c r="F3369" s="344" t="s">
        <v>621</v>
      </c>
      <c r="G3369" s="358">
        <v>21.589500000000001</v>
      </c>
      <c r="H3369" s="344" t="s">
        <v>1477</v>
      </c>
    </row>
    <row r="3370" spans="1:8">
      <c r="A3370" s="1"/>
      <c r="B3370" s="1"/>
      <c r="C3370" s="1"/>
      <c r="D3370" s="1"/>
      <c r="E3370" s="357">
        <v>45029</v>
      </c>
      <c r="F3370" s="344" t="s">
        <v>625</v>
      </c>
      <c r="G3370" s="358">
        <v>21.251200000000001</v>
      </c>
      <c r="H3370" s="344" t="s">
        <v>1477</v>
      </c>
    </row>
    <row r="3371" spans="1:8">
      <c r="A3371" s="1"/>
      <c r="B3371" s="1"/>
      <c r="C3371" s="1"/>
      <c r="D3371" s="1"/>
      <c r="E3371" s="357">
        <v>45029</v>
      </c>
      <c r="F3371" s="344" t="s">
        <v>628</v>
      </c>
      <c r="G3371" s="358">
        <v>24.100999999999999</v>
      </c>
      <c r="H3371" s="344" t="s">
        <v>1477</v>
      </c>
    </row>
    <row r="3372" spans="1:8">
      <c r="A3372" s="1"/>
      <c r="B3372" s="1"/>
      <c r="C3372" s="1"/>
      <c r="D3372" s="1"/>
      <c r="E3372" s="357">
        <v>45029</v>
      </c>
      <c r="F3372" s="344" t="s">
        <v>631</v>
      </c>
      <c r="G3372" s="358">
        <v>19.306999999999999</v>
      </c>
      <c r="H3372" s="344" t="s">
        <v>1477</v>
      </c>
    </row>
    <row r="3373" spans="1:8">
      <c r="A3373" s="1"/>
      <c r="B3373" s="1"/>
      <c r="C3373" s="1"/>
      <c r="D3373" s="1"/>
      <c r="E3373" s="357">
        <v>45030</v>
      </c>
      <c r="F3373" s="344" t="s">
        <v>621</v>
      </c>
      <c r="G3373" s="358">
        <v>21.7242</v>
      </c>
      <c r="H3373" s="344" t="s">
        <v>1478</v>
      </c>
    </row>
    <row r="3374" spans="1:8">
      <c r="A3374" s="1"/>
      <c r="B3374" s="1"/>
      <c r="C3374" s="1"/>
      <c r="D3374" s="1"/>
      <c r="E3374" s="357">
        <v>45030</v>
      </c>
      <c r="F3374" s="344" t="s">
        <v>625</v>
      </c>
      <c r="G3374" s="358">
        <v>21.3873</v>
      </c>
      <c r="H3374" s="344" t="s">
        <v>1478</v>
      </c>
    </row>
    <row r="3375" spans="1:8">
      <c r="A3375" s="1"/>
      <c r="B3375" s="1"/>
      <c r="C3375" s="1"/>
      <c r="D3375" s="1"/>
      <c r="E3375" s="357">
        <v>45030</v>
      </c>
      <c r="F3375" s="344" t="s">
        <v>628</v>
      </c>
      <c r="G3375" s="358">
        <v>24.154900000000001</v>
      </c>
      <c r="H3375" s="344" t="s">
        <v>1478</v>
      </c>
    </row>
    <row r="3376" spans="1:8">
      <c r="A3376" s="1"/>
      <c r="B3376" s="1"/>
      <c r="C3376" s="1"/>
      <c r="D3376" s="1"/>
      <c r="E3376" s="357">
        <v>45030</v>
      </c>
      <c r="F3376" s="344" t="s">
        <v>631</v>
      </c>
      <c r="G3376" s="358">
        <v>19.336300000000001</v>
      </c>
      <c r="H3376" s="344" t="s">
        <v>1478</v>
      </c>
    </row>
    <row r="3377" spans="1:8">
      <c r="A3377" s="1"/>
      <c r="B3377" s="1"/>
      <c r="C3377" s="1"/>
      <c r="D3377" s="1"/>
      <c r="E3377" s="357">
        <v>45033</v>
      </c>
      <c r="F3377" s="344" t="s">
        <v>621</v>
      </c>
      <c r="G3377" s="358">
        <v>21.599900000000002</v>
      </c>
      <c r="H3377" s="344" t="s">
        <v>1479</v>
      </c>
    </row>
    <row r="3378" spans="1:8">
      <c r="A3378" s="1"/>
      <c r="B3378" s="1"/>
      <c r="C3378" s="1"/>
      <c r="D3378" s="1"/>
      <c r="E3378" s="357">
        <v>45033</v>
      </c>
      <c r="F3378" s="344" t="s">
        <v>625</v>
      </c>
      <c r="G3378" s="358">
        <v>21.251899999999999</v>
      </c>
      <c r="H3378" s="344" t="s">
        <v>1479</v>
      </c>
    </row>
    <row r="3379" spans="1:8">
      <c r="A3379" s="1"/>
      <c r="B3379" s="1"/>
      <c r="C3379" s="1"/>
      <c r="D3379" s="1"/>
      <c r="E3379" s="357">
        <v>45033</v>
      </c>
      <c r="F3379" s="344" t="s">
        <v>628</v>
      </c>
      <c r="G3379" s="358">
        <v>23.973199999999999</v>
      </c>
      <c r="H3379" s="344" t="s">
        <v>1479</v>
      </c>
    </row>
    <row r="3380" spans="1:8">
      <c r="A3380" s="1"/>
      <c r="B3380" s="1"/>
      <c r="C3380" s="1"/>
      <c r="D3380" s="1"/>
      <c r="E3380" s="357">
        <v>45033</v>
      </c>
      <c r="F3380" s="344" t="s">
        <v>631</v>
      </c>
      <c r="G3380" s="358">
        <v>19.354199999999999</v>
      </c>
      <c r="H3380" s="344" t="s">
        <v>1479</v>
      </c>
    </row>
    <row r="3381" spans="1:8">
      <c r="A3381" s="1"/>
      <c r="B3381" s="1"/>
      <c r="C3381" s="1"/>
      <c r="D3381" s="1"/>
      <c r="E3381" s="357">
        <v>45034</v>
      </c>
      <c r="F3381" s="344" t="s">
        <v>621</v>
      </c>
      <c r="G3381" s="358">
        <v>21.562799999999999</v>
      </c>
      <c r="H3381" s="344" t="s">
        <v>1480</v>
      </c>
    </row>
    <row r="3382" spans="1:8">
      <c r="A3382" s="1"/>
      <c r="B3382" s="1"/>
      <c r="C3382" s="1"/>
      <c r="D3382" s="1"/>
      <c r="E3382" s="357">
        <v>45034</v>
      </c>
      <c r="F3382" s="344" t="s">
        <v>625</v>
      </c>
      <c r="G3382" s="358">
        <v>21.255400000000002</v>
      </c>
      <c r="H3382" s="344" t="s">
        <v>1480</v>
      </c>
    </row>
    <row r="3383" spans="1:8">
      <c r="A3383" s="1"/>
      <c r="B3383" s="1"/>
      <c r="C3383" s="1"/>
      <c r="D3383" s="1"/>
      <c r="E3383" s="357">
        <v>45034</v>
      </c>
      <c r="F3383" s="344" t="s">
        <v>628</v>
      </c>
      <c r="G3383" s="358">
        <v>24.046600000000002</v>
      </c>
      <c r="H3383" s="344" t="s">
        <v>1480</v>
      </c>
    </row>
    <row r="3384" spans="1:8">
      <c r="A3384" s="1"/>
      <c r="B3384" s="1"/>
      <c r="C3384" s="1"/>
      <c r="D3384" s="1"/>
      <c r="E3384" s="357">
        <v>45034</v>
      </c>
      <c r="F3384" s="344" t="s">
        <v>631</v>
      </c>
      <c r="G3384" s="358">
        <v>19.375499999999999</v>
      </c>
      <c r="H3384" s="344" t="s">
        <v>1480</v>
      </c>
    </row>
    <row r="3385" spans="1:8">
      <c r="A3385" s="1"/>
      <c r="B3385" s="1"/>
      <c r="C3385" s="1"/>
      <c r="D3385" s="1"/>
      <c r="E3385" s="357">
        <v>45035</v>
      </c>
      <c r="F3385" s="344" t="s">
        <v>621</v>
      </c>
      <c r="G3385" s="358">
        <v>21.513500000000001</v>
      </c>
      <c r="H3385" s="344" t="s">
        <v>1481</v>
      </c>
    </row>
    <row r="3386" spans="1:8">
      <c r="A3386" s="1"/>
      <c r="B3386" s="1"/>
      <c r="C3386" s="1"/>
      <c r="D3386" s="1"/>
      <c r="E3386" s="357">
        <v>45035</v>
      </c>
      <c r="F3386" s="344" t="s">
        <v>625</v>
      </c>
      <c r="G3386" s="358">
        <v>21.2121</v>
      </c>
      <c r="H3386" s="344" t="s">
        <v>1481</v>
      </c>
    </row>
    <row r="3387" spans="1:8">
      <c r="A3387" s="1"/>
      <c r="B3387" s="1"/>
      <c r="C3387" s="1"/>
      <c r="D3387" s="1"/>
      <c r="E3387" s="357">
        <v>45035</v>
      </c>
      <c r="F3387" s="344" t="s">
        <v>628</v>
      </c>
      <c r="G3387" s="358">
        <v>24.051600000000001</v>
      </c>
      <c r="H3387" s="344" t="s">
        <v>1481</v>
      </c>
    </row>
    <row r="3388" spans="1:8">
      <c r="A3388" s="1"/>
      <c r="B3388" s="1"/>
      <c r="C3388" s="1"/>
      <c r="D3388" s="1"/>
      <c r="E3388" s="357">
        <v>45035</v>
      </c>
      <c r="F3388" s="344" t="s">
        <v>631</v>
      </c>
      <c r="G3388" s="358">
        <v>19.380600000000001</v>
      </c>
      <c r="H3388" s="344" t="s">
        <v>1481</v>
      </c>
    </row>
    <row r="3389" spans="1:8">
      <c r="A3389" s="1"/>
      <c r="B3389" s="1"/>
      <c r="C3389" s="1"/>
      <c r="D3389" s="1"/>
      <c r="E3389" s="357">
        <v>45040</v>
      </c>
      <c r="F3389" s="344" t="s">
        <v>621</v>
      </c>
      <c r="G3389" s="358">
        <v>21.723500000000001</v>
      </c>
      <c r="H3389" s="344" t="s">
        <v>1482</v>
      </c>
    </row>
    <row r="3390" spans="1:8">
      <c r="A3390" s="1"/>
      <c r="B3390" s="1"/>
      <c r="C3390" s="1"/>
      <c r="D3390" s="1"/>
      <c r="E3390" s="357">
        <v>45040</v>
      </c>
      <c r="F3390" s="344" t="s">
        <v>625</v>
      </c>
      <c r="G3390" s="358">
        <v>21.320399999999999</v>
      </c>
      <c r="H3390" s="344" t="s">
        <v>1482</v>
      </c>
    </row>
    <row r="3391" spans="1:8">
      <c r="A3391" s="1"/>
      <c r="B3391" s="1"/>
      <c r="C3391" s="1"/>
      <c r="D3391" s="1"/>
      <c r="E3391" s="357">
        <v>45040</v>
      </c>
      <c r="F3391" s="344" t="s">
        <v>628</v>
      </c>
      <c r="G3391" s="358">
        <v>24.069600000000001</v>
      </c>
      <c r="H3391" s="344" t="s">
        <v>1482</v>
      </c>
    </row>
    <row r="3392" spans="1:8">
      <c r="A3392" s="1"/>
      <c r="B3392" s="1"/>
      <c r="C3392" s="1"/>
      <c r="D3392" s="1"/>
      <c r="E3392" s="357">
        <v>45040</v>
      </c>
      <c r="F3392" s="344" t="s">
        <v>631</v>
      </c>
      <c r="G3392" s="358">
        <v>19.385300000000001</v>
      </c>
      <c r="H3392" s="344" t="s">
        <v>1482</v>
      </c>
    </row>
    <row r="3393" spans="1:8">
      <c r="A3393" s="1"/>
      <c r="B3393" s="1"/>
      <c r="C3393" s="1"/>
      <c r="D3393" s="1"/>
      <c r="E3393" s="357">
        <v>45041</v>
      </c>
      <c r="F3393" s="344" t="s">
        <v>621</v>
      </c>
      <c r="G3393" s="358">
        <v>21.8005</v>
      </c>
      <c r="H3393" s="344" t="s">
        <v>1483</v>
      </c>
    </row>
    <row r="3394" spans="1:8">
      <c r="A3394" s="1"/>
      <c r="B3394" s="1"/>
      <c r="C3394" s="1"/>
      <c r="D3394" s="1"/>
      <c r="E3394" s="357">
        <v>45041</v>
      </c>
      <c r="F3394" s="344" t="s">
        <v>625</v>
      </c>
      <c r="G3394" s="358">
        <v>21.395</v>
      </c>
      <c r="H3394" s="344" t="s">
        <v>1483</v>
      </c>
    </row>
    <row r="3395" spans="1:8">
      <c r="A3395" s="1"/>
      <c r="B3395" s="1"/>
      <c r="C3395" s="1"/>
      <c r="D3395" s="1"/>
      <c r="E3395" s="357">
        <v>45041</v>
      </c>
      <c r="F3395" s="344" t="s">
        <v>628</v>
      </c>
      <c r="G3395" s="358">
        <v>24.125699999999998</v>
      </c>
      <c r="H3395" s="344" t="s">
        <v>1483</v>
      </c>
    </row>
    <row r="3396" spans="1:8">
      <c r="A3396" s="1"/>
      <c r="B3396" s="1"/>
      <c r="C3396" s="1"/>
      <c r="D3396" s="1"/>
      <c r="E3396" s="357">
        <v>45041</v>
      </c>
      <c r="F3396" s="344" t="s">
        <v>631</v>
      </c>
      <c r="G3396" s="358">
        <v>19.393699999999999</v>
      </c>
      <c r="H3396" s="344" t="s">
        <v>1483</v>
      </c>
    </row>
    <row r="3397" spans="1:8">
      <c r="A3397" s="1"/>
      <c r="B3397" s="1"/>
      <c r="C3397" s="1"/>
      <c r="D3397" s="1"/>
      <c r="E3397" s="357">
        <v>45042</v>
      </c>
      <c r="F3397" s="344" t="s">
        <v>621</v>
      </c>
      <c r="G3397" s="358">
        <v>21.75</v>
      </c>
      <c r="H3397" s="344" t="s">
        <v>1484</v>
      </c>
    </row>
    <row r="3398" spans="1:8">
      <c r="A3398" s="1"/>
      <c r="B3398" s="1"/>
      <c r="C3398" s="1"/>
      <c r="D3398" s="1"/>
      <c r="E3398" s="357">
        <v>45042</v>
      </c>
      <c r="F3398" s="344" t="s">
        <v>625</v>
      </c>
      <c r="G3398" s="358">
        <v>21.407399999999999</v>
      </c>
      <c r="H3398" s="344" t="s">
        <v>1484</v>
      </c>
    </row>
    <row r="3399" spans="1:8">
      <c r="A3399" s="1"/>
      <c r="B3399" s="1"/>
      <c r="C3399" s="1"/>
      <c r="D3399" s="1"/>
      <c r="E3399" s="357">
        <v>45042</v>
      </c>
      <c r="F3399" s="344" t="s">
        <v>628</v>
      </c>
      <c r="G3399" s="358">
        <v>24.1494</v>
      </c>
      <c r="H3399" s="344" t="s">
        <v>1484</v>
      </c>
    </row>
    <row r="3400" spans="1:8">
      <c r="A3400" s="1"/>
      <c r="B3400" s="1"/>
      <c r="C3400" s="1"/>
      <c r="D3400" s="1"/>
      <c r="E3400" s="357">
        <v>45042</v>
      </c>
      <c r="F3400" s="344" t="s">
        <v>631</v>
      </c>
      <c r="G3400" s="358">
        <v>19.402899999999999</v>
      </c>
      <c r="H3400" s="344" t="s">
        <v>1484</v>
      </c>
    </row>
    <row r="3401" spans="1:8">
      <c r="A3401" s="1"/>
      <c r="B3401" s="1"/>
      <c r="C3401" s="1"/>
      <c r="D3401" s="1"/>
      <c r="E3401" s="357">
        <v>45043</v>
      </c>
      <c r="F3401" s="344" t="s">
        <v>621</v>
      </c>
      <c r="G3401" s="358">
        <v>21.6966</v>
      </c>
      <c r="H3401" s="344" t="s">
        <v>1485</v>
      </c>
    </row>
    <row r="3402" spans="1:8">
      <c r="A3402" s="1"/>
      <c r="B3402" s="1"/>
      <c r="C3402" s="1"/>
      <c r="D3402" s="1"/>
      <c r="E3402" s="357">
        <v>45043</v>
      </c>
      <c r="F3402" s="344" t="s">
        <v>625</v>
      </c>
      <c r="G3402" s="358">
        <v>21.440300000000001</v>
      </c>
      <c r="H3402" s="344" t="s">
        <v>1485</v>
      </c>
    </row>
    <row r="3403" spans="1:8">
      <c r="A3403" s="1"/>
      <c r="B3403" s="1"/>
      <c r="C3403" s="1"/>
      <c r="D3403" s="1"/>
      <c r="E3403" s="357">
        <v>45043</v>
      </c>
      <c r="F3403" s="344" t="s">
        <v>628</v>
      </c>
      <c r="G3403" s="358">
        <v>24.156600000000001</v>
      </c>
      <c r="H3403" s="344" t="s">
        <v>1485</v>
      </c>
    </row>
    <row r="3404" spans="1:8">
      <c r="A3404" s="1"/>
      <c r="B3404" s="1"/>
      <c r="C3404" s="1"/>
      <c r="D3404" s="1"/>
      <c r="E3404" s="357">
        <v>45043</v>
      </c>
      <c r="F3404" s="344" t="s">
        <v>631</v>
      </c>
      <c r="G3404" s="358">
        <v>19.410299999999999</v>
      </c>
      <c r="H3404" s="344" t="s">
        <v>1485</v>
      </c>
    </row>
    <row r="3405" spans="1:8">
      <c r="A3405" s="1"/>
      <c r="B3405" s="1"/>
      <c r="C3405" s="1"/>
      <c r="D3405" s="1"/>
      <c r="E3405" s="357">
        <v>45044</v>
      </c>
      <c r="F3405" s="344" t="s">
        <v>621</v>
      </c>
      <c r="G3405" s="358">
        <v>21.6477</v>
      </c>
      <c r="H3405" s="344" t="s">
        <v>1486</v>
      </c>
    </row>
    <row r="3406" spans="1:8">
      <c r="A3406" s="1"/>
      <c r="B3406" s="1"/>
      <c r="C3406" s="1"/>
      <c r="D3406" s="1"/>
      <c r="E3406" s="357">
        <v>45044</v>
      </c>
      <c r="F3406" s="344" t="s">
        <v>625</v>
      </c>
      <c r="G3406" s="358">
        <v>21.360399999999998</v>
      </c>
      <c r="H3406" s="344" t="s">
        <v>1486</v>
      </c>
    </row>
    <row r="3407" spans="1:8">
      <c r="A3407" s="1"/>
      <c r="B3407" s="1"/>
      <c r="C3407" s="1"/>
      <c r="D3407" s="1"/>
      <c r="E3407" s="357">
        <v>45044</v>
      </c>
      <c r="F3407" s="344" t="s">
        <v>628</v>
      </c>
      <c r="G3407" s="358">
        <v>24.1829</v>
      </c>
      <c r="H3407" s="344" t="s">
        <v>1486</v>
      </c>
    </row>
    <row r="3408" spans="1:8">
      <c r="A3408" s="1"/>
      <c r="B3408" s="1"/>
      <c r="C3408" s="1"/>
      <c r="D3408" s="1"/>
      <c r="E3408" s="357">
        <v>45044</v>
      </c>
      <c r="F3408" s="344" t="s">
        <v>631</v>
      </c>
      <c r="G3408" s="358">
        <v>19.4268</v>
      </c>
      <c r="H3408" s="344" t="s">
        <v>1486</v>
      </c>
    </row>
    <row r="3409" spans="1:8">
      <c r="A3409" s="1"/>
      <c r="B3409" s="1"/>
      <c r="C3409" s="1"/>
      <c r="D3409" s="1"/>
      <c r="E3409" s="357">
        <v>45048</v>
      </c>
      <c r="F3409" s="344" t="s">
        <v>621</v>
      </c>
      <c r="G3409" s="358">
        <v>21.6036</v>
      </c>
      <c r="H3409" s="344" t="s">
        <v>1487</v>
      </c>
    </row>
    <row r="3410" spans="1:8">
      <c r="A3410" s="1"/>
      <c r="B3410" s="1"/>
      <c r="C3410" s="1"/>
      <c r="D3410" s="1"/>
      <c r="E3410" s="357">
        <v>45048</v>
      </c>
      <c r="F3410" s="344" t="s">
        <v>625</v>
      </c>
      <c r="G3410" s="358">
        <v>21.3306</v>
      </c>
      <c r="H3410" s="344" t="s">
        <v>1487</v>
      </c>
    </row>
    <row r="3411" spans="1:8">
      <c r="A3411" s="1"/>
      <c r="B3411" s="1"/>
      <c r="C3411" s="1"/>
      <c r="D3411" s="1"/>
      <c r="E3411" s="357">
        <v>45048</v>
      </c>
      <c r="F3411" s="344" t="s">
        <v>628</v>
      </c>
      <c r="G3411" s="358">
        <v>24.221299999999999</v>
      </c>
      <c r="H3411" s="344" t="s">
        <v>1487</v>
      </c>
    </row>
    <row r="3412" spans="1:8">
      <c r="A3412" s="1"/>
      <c r="B3412" s="1"/>
      <c r="C3412" s="1"/>
      <c r="D3412" s="1"/>
      <c r="E3412" s="357">
        <v>45048</v>
      </c>
      <c r="F3412" s="344" t="s">
        <v>631</v>
      </c>
      <c r="G3412" s="358">
        <v>19.441700000000001</v>
      </c>
      <c r="H3412" s="344" t="s">
        <v>1487</v>
      </c>
    </row>
    <row r="3413" spans="1:8">
      <c r="A3413" s="1"/>
      <c r="B3413" s="1"/>
      <c r="C3413" s="1"/>
      <c r="D3413" s="1"/>
      <c r="E3413" s="357">
        <v>45049</v>
      </c>
      <c r="F3413" s="344" t="s">
        <v>621</v>
      </c>
      <c r="G3413" s="358">
        <v>21.837399999999999</v>
      </c>
      <c r="H3413" s="344" t="s">
        <v>1488</v>
      </c>
    </row>
    <row r="3414" spans="1:8">
      <c r="A3414" s="1"/>
      <c r="B3414" s="1"/>
      <c r="C3414" s="1"/>
      <c r="D3414" s="1"/>
      <c r="E3414" s="357">
        <v>45049</v>
      </c>
      <c r="F3414" s="344" t="s">
        <v>625</v>
      </c>
      <c r="G3414" s="358">
        <v>21.467199999999998</v>
      </c>
      <c r="H3414" s="344" t="s">
        <v>1488</v>
      </c>
    </row>
    <row r="3415" spans="1:8">
      <c r="A3415" s="1"/>
      <c r="B3415" s="1"/>
      <c r="C3415" s="1"/>
      <c r="D3415" s="1"/>
      <c r="E3415" s="357">
        <v>45049</v>
      </c>
      <c r="F3415" s="344" t="s">
        <v>628</v>
      </c>
      <c r="G3415" s="358">
        <v>24.292400000000001</v>
      </c>
      <c r="H3415" s="344" t="s">
        <v>1488</v>
      </c>
    </row>
    <row r="3416" spans="1:8">
      <c r="A3416" s="1"/>
      <c r="B3416" s="1"/>
      <c r="C3416" s="1"/>
      <c r="D3416" s="1"/>
      <c r="E3416" s="357">
        <v>45049</v>
      </c>
      <c r="F3416" s="344" t="s">
        <v>631</v>
      </c>
      <c r="G3416" s="358">
        <v>19.4511</v>
      </c>
      <c r="H3416" s="344" t="s">
        <v>1488</v>
      </c>
    </row>
    <row r="3417" spans="1:8">
      <c r="A3417" s="1"/>
      <c r="B3417" s="1"/>
      <c r="C3417" s="1"/>
      <c r="D3417" s="1"/>
      <c r="E3417" s="357">
        <v>45050</v>
      </c>
      <c r="F3417" s="344" t="s">
        <v>621</v>
      </c>
      <c r="G3417" s="358">
        <v>21.919499999999999</v>
      </c>
      <c r="H3417" s="344" t="s">
        <v>1489</v>
      </c>
    </row>
    <row r="3418" spans="1:8">
      <c r="A3418" s="1"/>
      <c r="B3418" s="1"/>
      <c r="C3418" s="1"/>
      <c r="D3418" s="1"/>
      <c r="E3418" s="357">
        <v>45050</v>
      </c>
      <c r="F3418" s="344" t="s">
        <v>625</v>
      </c>
      <c r="G3418" s="358">
        <v>21.529299999999999</v>
      </c>
      <c r="H3418" s="344" t="s">
        <v>1489</v>
      </c>
    </row>
    <row r="3419" spans="1:8">
      <c r="A3419" s="1"/>
      <c r="B3419" s="1"/>
      <c r="C3419" s="1"/>
      <c r="D3419" s="1"/>
      <c r="E3419" s="357">
        <v>45050</v>
      </c>
      <c r="F3419" s="344" t="s">
        <v>628</v>
      </c>
      <c r="G3419" s="358">
        <v>24.4283</v>
      </c>
      <c r="H3419" s="344" t="s">
        <v>1489</v>
      </c>
    </row>
    <row r="3420" spans="1:8">
      <c r="A3420" s="1"/>
      <c r="B3420" s="1"/>
      <c r="C3420" s="1"/>
      <c r="D3420" s="1"/>
      <c r="E3420" s="357">
        <v>45050</v>
      </c>
      <c r="F3420" s="344" t="s">
        <v>631</v>
      </c>
      <c r="G3420" s="358">
        <v>19.464700000000001</v>
      </c>
      <c r="H3420" s="344" t="s">
        <v>1489</v>
      </c>
    </row>
    <row r="3421" spans="1:8">
      <c r="A3421" s="1"/>
      <c r="B3421" s="1"/>
      <c r="C3421" s="1"/>
      <c r="D3421" s="1"/>
      <c r="E3421" s="357">
        <v>45051</v>
      </c>
      <c r="F3421" s="344" t="s">
        <v>621</v>
      </c>
      <c r="G3421" s="358">
        <v>21.818200000000001</v>
      </c>
      <c r="H3421" s="344" t="s">
        <v>1490</v>
      </c>
    </row>
    <row r="3422" spans="1:8">
      <c r="A3422" s="1"/>
      <c r="B3422" s="1"/>
      <c r="C3422" s="1"/>
      <c r="D3422" s="1"/>
      <c r="E3422" s="357">
        <v>45051</v>
      </c>
      <c r="F3422" s="344" t="s">
        <v>625</v>
      </c>
      <c r="G3422" s="358">
        <v>21.474900000000002</v>
      </c>
      <c r="H3422" s="344" t="s">
        <v>1490</v>
      </c>
    </row>
    <row r="3423" spans="1:8">
      <c r="A3423" s="1"/>
      <c r="B3423" s="1"/>
      <c r="C3423" s="1"/>
      <c r="D3423" s="1"/>
      <c r="E3423" s="357">
        <v>45051</v>
      </c>
      <c r="F3423" s="344" t="s">
        <v>628</v>
      </c>
      <c r="G3423" s="358">
        <v>24.520499999999998</v>
      </c>
      <c r="H3423" s="344" t="s">
        <v>1490</v>
      </c>
    </row>
    <row r="3424" spans="1:8">
      <c r="A3424" s="1"/>
      <c r="B3424" s="1"/>
      <c r="C3424" s="1"/>
      <c r="D3424" s="1"/>
      <c r="E3424" s="357">
        <v>45051</v>
      </c>
      <c r="F3424" s="344" t="s">
        <v>631</v>
      </c>
      <c r="G3424" s="358">
        <v>19.474699999999999</v>
      </c>
      <c r="H3424" s="344" t="s">
        <v>1490</v>
      </c>
    </row>
    <row r="3425" spans="1:8">
      <c r="A3425" s="1"/>
      <c r="B3425" s="1"/>
      <c r="C3425" s="1"/>
      <c r="D3425" s="1"/>
      <c r="E3425" s="357">
        <v>45054</v>
      </c>
      <c r="F3425" s="344" t="s">
        <v>621</v>
      </c>
      <c r="G3425" s="358">
        <v>21.881599999999999</v>
      </c>
      <c r="H3425" s="344" t="s">
        <v>1491</v>
      </c>
    </row>
    <row r="3426" spans="1:8">
      <c r="A3426" s="1"/>
      <c r="B3426" s="1"/>
      <c r="C3426" s="1"/>
      <c r="D3426" s="1"/>
      <c r="E3426" s="357">
        <v>45054</v>
      </c>
      <c r="F3426" s="344" t="s">
        <v>625</v>
      </c>
      <c r="G3426" s="358">
        <v>21.514099999999999</v>
      </c>
      <c r="H3426" s="344" t="s">
        <v>1491</v>
      </c>
    </row>
    <row r="3427" spans="1:8">
      <c r="A3427" s="1"/>
      <c r="B3427" s="1"/>
      <c r="C3427" s="1"/>
      <c r="D3427" s="1"/>
      <c r="E3427" s="357">
        <v>45054</v>
      </c>
      <c r="F3427" s="344" t="s">
        <v>628</v>
      </c>
      <c r="G3427" s="358">
        <v>24.599799999999998</v>
      </c>
      <c r="H3427" s="344" t="s">
        <v>1491</v>
      </c>
    </row>
    <row r="3428" spans="1:8">
      <c r="A3428" s="1"/>
      <c r="B3428" s="1"/>
      <c r="C3428" s="1"/>
      <c r="D3428" s="1"/>
      <c r="E3428" s="357">
        <v>45054</v>
      </c>
      <c r="F3428" s="344" t="s">
        <v>631</v>
      </c>
      <c r="G3428" s="358">
        <v>19.483699999999999</v>
      </c>
      <c r="H3428" s="344" t="s">
        <v>1491</v>
      </c>
    </row>
    <row r="3429" spans="1:8">
      <c r="A3429" s="1"/>
      <c r="B3429" s="1"/>
      <c r="C3429" s="1"/>
      <c r="D3429" s="1"/>
      <c r="E3429" s="357">
        <v>45055</v>
      </c>
      <c r="F3429" s="344" t="s">
        <v>621</v>
      </c>
      <c r="G3429" s="358">
        <v>21.8066</v>
      </c>
      <c r="H3429" s="344" t="s">
        <v>1492</v>
      </c>
    </row>
    <row r="3430" spans="1:8">
      <c r="A3430" s="1"/>
      <c r="B3430" s="1"/>
      <c r="C3430" s="1"/>
      <c r="D3430" s="1"/>
      <c r="E3430" s="357">
        <v>45055</v>
      </c>
      <c r="F3430" s="344" t="s">
        <v>625</v>
      </c>
      <c r="G3430" s="358">
        <v>21.4008</v>
      </c>
      <c r="H3430" s="344" t="s">
        <v>1492</v>
      </c>
    </row>
    <row r="3431" spans="1:8">
      <c r="A3431" s="1"/>
      <c r="B3431" s="1"/>
      <c r="C3431" s="1"/>
      <c r="D3431" s="1"/>
      <c r="E3431" s="357">
        <v>45055</v>
      </c>
      <c r="F3431" s="344" t="s">
        <v>628</v>
      </c>
      <c r="G3431" s="358">
        <v>24.546399999999998</v>
      </c>
      <c r="H3431" s="344" t="s">
        <v>1492</v>
      </c>
    </row>
    <row r="3432" spans="1:8">
      <c r="A3432" s="1"/>
      <c r="B3432" s="1"/>
      <c r="C3432" s="1"/>
      <c r="D3432" s="1"/>
      <c r="E3432" s="357">
        <v>45055</v>
      </c>
      <c r="F3432" s="344" t="s">
        <v>631</v>
      </c>
      <c r="G3432" s="358">
        <v>19.4909</v>
      </c>
      <c r="H3432" s="344" t="s">
        <v>1492</v>
      </c>
    </row>
    <row r="3433" spans="1:8">
      <c r="A3433" s="1"/>
      <c r="B3433" s="1"/>
      <c r="C3433" s="1"/>
      <c r="D3433" s="1"/>
      <c r="E3433" s="357">
        <v>45056</v>
      </c>
      <c r="F3433" s="344" t="s">
        <v>621</v>
      </c>
      <c r="G3433" s="358">
        <v>21.857700000000001</v>
      </c>
      <c r="H3433" s="344" t="s">
        <v>1493</v>
      </c>
    </row>
    <row r="3434" spans="1:8">
      <c r="A3434" s="1"/>
      <c r="B3434" s="1"/>
      <c r="C3434" s="1"/>
      <c r="D3434" s="1"/>
      <c r="E3434" s="357">
        <v>45056</v>
      </c>
      <c r="F3434" s="344" t="s">
        <v>625</v>
      </c>
      <c r="G3434" s="358">
        <v>21.382100000000001</v>
      </c>
      <c r="H3434" s="344" t="s">
        <v>1493</v>
      </c>
    </row>
    <row r="3435" spans="1:8">
      <c r="A3435" s="1"/>
      <c r="B3435" s="1"/>
      <c r="C3435" s="1"/>
      <c r="D3435" s="1"/>
      <c r="E3435" s="357">
        <v>45056</v>
      </c>
      <c r="F3435" s="344" t="s">
        <v>628</v>
      </c>
      <c r="G3435" s="358">
        <v>24.581399999999999</v>
      </c>
      <c r="H3435" s="344" t="s">
        <v>1493</v>
      </c>
    </row>
    <row r="3436" spans="1:8">
      <c r="A3436" s="1"/>
      <c r="B3436" s="1"/>
      <c r="C3436" s="1"/>
      <c r="D3436" s="1"/>
      <c r="E3436" s="357">
        <v>45056</v>
      </c>
      <c r="F3436" s="344" t="s">
        <v>631</v>
      </c>
      <c r="G3436" s="358">
        <v>19.513400000000001</v>
      </c>
      <c r="H3436" s="344" t="s">
        <v>1493</v>
      </c>
    </row>
    <row r="3437" spans="1:8">
      <c r="A3437" s="1"/>
      <c r="B3437" s="1"/>
      <c r="C3437" s="1"/>
      <c r="D3437" s="1"/>
      <c r="E3437" s="357">
        <v>45057</v>
      </c>
      <c r="F3437" s="344" t="s">
        <v>621</v>
      </c>
      <c r="G3437" s="358">
        <v>21.809100000000001</v>
      </c>
      <c r="H3437" s="344" t="s">
        <v>1494</v>
      </c>
    </row>
    <row r="3438" spans="1:8">
      <c r="A3438" s="1"/>
      <c r="B3438" s="1"/>
      <c r="C3438" s="1"/>
      <c r="D3438" s="1"/>
      <c r="E3438" s="357">
        <v>45057</v>
      </c>
      <c r="F3438" s="344" t="s">
        <v>625</v>
      </c>
      <c r="G3438" s="358">
        <v>21.353400000000001</v>
      </c>
      <c r="H3438" s="344" t="s">
        <v>1494</v>
      </c>
    </row>
    <row r="3439" spans="1:8">
      <c r="A3439" s="1"/>
      <c r="B3439" s="1"/>
      <c r="C3439" s="1"/>
      <c r="D3439" s="1"/>
      <c r="E3439" s="357">
        <v>45057</v>
      </c>
      <c r="F3439" s="344" t="s">
        <v>628</v>
      </c>
      <c r="G3439" s="358">
        <v>24.54</v>
      </c>
      <c r="H3439" s="344" t="s">
        <v>1494</v>
      </c>
    </row>
    <row r="3440" spans="1:8">
      <c r="A3440" s="1"/>
      <c r="B3440" s="1"/>
      <c r="C3440" s="1"/>
      <c r="D3440" s="1"/>
      <c r="E3440" s="357">
        <v>45057</v>
      </c>
      <c r="F3440" s="344" t="s">
        <v>631</v>
      </c>
      <c r="G3440" s="358">
        <v>19.538900000000002</v>
      </c>
      <c r="H3440" s="344" t="s">
        <v>1494</v>
      </c>
    </row>
    <row r="3441" spans="1:8">
      <c r="A3441" s="1"/>
      <c r="B3441" s="1"/>
      <c r="C3441" s="1"/>
      <c r="D3441" s="1"/>
      <c r="E3441" s="357">
        <v>45058</v>
      </c>
      <c r="F3441" s="344" t="s">
        <v>621</v>
      </c>
      <c r="G3441" s="358">
        <v>21.863299999999999</v>
      </c>
      <c r="H3441" s="344" t="s">
        <v>1495</v>
      </c>
    </row>
    <row r="3442" spans="1:8">
      <c r="A3442" s="1"/>
      <c r="B3442" s="1"/>
      <c r="C3442" s="1"/>
      <c r="D3442" s="1"/>
      <c r="E3442" s="357">
        <v>45058</v>
      </c>
      <c r="F3442" s="344" t="s">
        <v>625</v>
      </c>
      <c r="G3442" s="358">
        <v>21.3447</v>
      </c>
      <c r="H3442" s="344" t="s">
        <v>1495</v>
      </c>
    </row>
    <row r="3443" spans="1:8">
      <c r="A3443" s="1"/>
      <c r="B3443" s="1"/>
      <c r="C3443" s="1"/>
      <c r="D3443" s="1"/>
      <c r="E3443" s="357">
        <v>45058</v>
      </c>
      <c r="F3443" s="344" t="s">
        <v>628</v>
      </c>
      <c r="G3443" s="358">
        <v>24.4663</v>
      </c>
      <c r="H3443" s="344" t="s">
        <v>1495</v>
      </c>
    </row>
    <row r="3444" spans="1:8">
      <c r="A3444" s="1"/>
      <c r="B3444" s="1"/>
      <c r="C3444" s="1"/>
      <c r="D3444" s="1"/>
      <c r="E3444" s="357">
        <v>45058</v>
      </c>
      <c r="F3444" s="344" t="s">
        <v>631</v>
      </c>
      <c r="G3444" s="358">
        <v>19.564900000000002</v>
      </c>
      <c r="H3444" s="344" t="s">
        <v>1495</v>
      </c>
    </row>
    <row r="3445" spans="1:8">
      <c r="A3445" s="1"/>
      <c r="B3445" s="1"/>
      <c r="C3445" s="1"/>
      <c r="D3445" s="1"/>
      <c r="E3445" s="357">
        <v>45061</v>
      </c>
      <c r="F3445" s="344" t="s">
        <v>621</v>
      </c>
      <c r="G3445" s="358">
        <v>21.8506</v>
      </c>
      <c r="H3445" s="344" t="s">
        <v>1496</v>
      </c>
    </row>
    <row r="3446" spans="1:8">
      <c r="A3446" s="1"/>
      <c r="B3446" s="1"/>
      <c r="C3446" s="1"/>
      <c r="D3446" s="1"/>
      <c r="E3446" s="357">
        <v>45061</v>
      </c>
      <c r="F3446" s="344" t="s">
        <v>625</v>
      </c>
      <c r="G3446" s="358">
        <v>21.352399999999999</v>
      </c>
      <c r="H3446" s="344" t="s">
        <v>1496</v>
      </c>
    </row>
    <row r="3447" spans="1:8">
      <c r="A3447" s="1"/>
      <c r="B3447" s="1"/>
      <c r="C3447" s="1"/>
      <c r="D3447" s="1"/>
      <c r="E3447" s="357">
        <v>45061</v>
      </c>
      <c r="F3447" s="344" t="s">
        <v>628</v>
      </c>
      <c r="G3447" s="358">
        <v>24.492000000000001</v>
      </c>
      <c r="H3447" s="344" t="s">
        <v>1496</v>
      </c>
    </row>
    <row r="3448" spans="1:8">
      <c r="A3448" s="1"/>
      <c r="B3448" s="1"/>
      <c r="C3448" s="1"/>
      <c r="D3448" s="1"/>
      <c r="E3448" s="357">
        <v>45061</v>
      </c>
      <c r="F3448" s="344" t="s">
        <v>631</v>
      </c>
      <c r="G3448" s="358">
        <v>19.6386</v>
      </c>
      <c r="H3448" s="344" t="s">
        <v>1496</v>
      </c>
    </row>
    <row r="3449" spans="1:8">
      <c r="A3449" s="1"/>
      <c r="B3449" s="1"/>
      <c r="C3449" s="1"/>
      <c r="D3449" s="1"/>
      <c r="E3449" s="357">
        <v>45062</v>
      </c>
      <c r="F3449" s="344" t="s">
        <v>621</v>
      </c>
      <c r="G3449" s="358">
        <v>21.977499999999999</v>
      </c>
      <c r="H3449" s="344" t="s">
        <v>1497</v>
      </c>
    </row>
    <row r="3450" spans="1:8">
      <c r="A3450" s="1"/>
      <c r="B3450" s="1"/>
      <c r="C3450" s="1"/>
      <c r="D3450" s="1"/>
      <c r="E3450" s="357">
        <v>45062</v>
      </c>
      <c r="F3450" s="344" t="s">
        <v>625</v>
      </c>
      <c r="G3450" s="358">
        <v>21.427700000000002</v>
      </c>
      <c r="H3450" s="344" t="s">
        <v>1497</v>
      </c>
    </row>
    <row r="3451" spans="1:8">
      <c r="A3451" s="1"/>
      <c r="B3451" s="1"/>
      <c r="C3451" s="1"/>
      <c r="D3451" s="1"/>
      <c r="E3451" s="357">
        <v>45062</v>
      </c>
      <c r="F3451" s="344" t="s">
        <v>628</v>
      </c>
      <c r="G3451" s="358">
        <v>24.592500000000001</v>
      </c>
      <c r="H3451" s="344" t="s">
        <v>1497</v>
      </c>
    </row>
    <row r="3452" spans="1:8">
      <c r="A3452" s="1"/>
      <c r="B3452" s="1"/>
      <c r="C3452" s="1"/>
      <c r="D3452" s="1"/>
      <c r="E3452" s="357">
        <v>45062</v>
      </c>
      <c r="F3452" s="344" t="s">
        <v>631</v>
      </c>
      <c r="G3452" s="358">
        <v>19.68</v>
      </c>
      <c r="H3452" s="344" t="s">
        <v>1497</v>
      </c>
    </row>
    <row r="3453" spans="1:8">
      <c r="A3453" s="1"/>
      <c r="B3453" s="1"/>
      <c r="C3453" s="1"/>
      <c r="D3453" s="1"/>
      <c r="E3453" s="357">
        <v>45063</v>
      </c>
      <c r="F3453" s="344" t="s">
        <v>621</v>
      </c>
      <c r="G3453" s="358">
        <v>21.901700000000002</v>
      </c>
      <c r="H3453" s="344" t="s">
        <v>1498</v>
      </c>
    </row>
    <row r="3454" spans="1:8">
      <c r="A3454" s="1"/>
      <c r="B3454" s="1"/>
      <c r="C3454" s="1"/>
      <c r="D3454" s="1"/>
      <c r="E3454" s="357">
        <v>45063</v>
      </c>
      <c r="F3454" s="344" t="s">
        <v>625</v>
      </c>
      <c r="G3454" s="358">
        <v>21.378599999999999</v>
      </c>
      <c r="H3454" s="344" t="s">
        <v>1498</v>
      </c>
    </row>
    <row r="3455" spans="1:8">
      <c r="A3455" s="1"/>
      <c r="B3455" s="1"/>
      <c r="C3455" s="1"/>
      <c r="D3455" s="1"/>
      <c r="E3455" s="357">
        <v>45063</v>
      </c>
      <c r="F3455" s="344" t="s">
        <v>628</v>
      </c>
      <c r="G3455" s="358">
        <v>24.511900000000001</v>
      </c>
      <c r="H3455" s="344" t="s">
        <v>1498</v>
      </c>
    </row>
    <row r="3456" spans="1:8">
      <c r="A3456" s="1"/>
      <c r="B3456" s="1"/>
      <c r="C3456" s="1"/>
      <c r="D3456" s="1"/>
      <c r="E3456" s="357">
        <v>45063</v>
      </c>
      <c r="F3456" s="344" t="s">
        <v>631</v>
      </c>
      <c r="G3456" s="358">
        <v>19.733599999999999</v>
      </c>
      <c r="H3456" s="344" t="s">
        <v>1498</v>
      </c>
    </row>
    <row r="3457" spans="1:8">
      <c r="A3457" s="1"/>
      <c r="B3457" s="1"/>
      <c r="C3457" s="1"/>
      <c r="D3457" s="1"/>
      <c r="E3457" s="357">
        <v>45064</v>
      </c>
      <c r="F3457" s="344" t="s">
        <v>621</v>
      </c>
      <c r="G3457" s="358">
        <v>21.9039</v>
      </c>
      <c r="H3457" s="344" t="s">
        <v>1499</v>
      </c>
    </row>
    <row r="3458" spans="1:8">
      <c r="A3458" s="1"/>
      <c r="B3458" s="1"/>
      <c r="C3458" s="1"/>
      <c r="D3458" s="1"/>
      <c r="E3458" s="357">
        <v>45064</v>
      </c>
      <c r="F3458" s="344" t="s">
        <v>625</v>
      </c>
      <c r="G3458" s="358">
        <v>21.377400000000002</v>
      </c>
      <c r="H3458" s="344" t="s">
        <v>1499</v>
      </c>
    </row>
    <row r="3459" spans="1:8">
      <c r="A3459" s="1"/>
      <c r="B3459" s="1"/>
      <c r="C3459" s="1"/>
      <c r="D3459" s="1"/>
      <c r="E3459" s="357">
        <v>45064</v>
      </c>
      <c r="F3459" s="344" t="s">
        <v>628</v>
      </c>
      <c r="G3459" s="358">
        <v>24.549199999999999</v>
      </c>
      <c r="H3459" s="344" t="s">
        <v>1499</v>
      </c>
    </row>
    <row r="3460" spans="1:8">
      <c r="A3460" s="1"/>
      <c r="B3460" s="1"/>
      <c r="C3460" s="1"/>
      <c r="D3460" s="1"/>
      <c r="E3460" s="357">
        <v>45064</v>
      </c>
      <c r="F3460" s="344" t="s">
        <v>631</v>
      </c>
      <c r="G3460" s="358">
        <v>19.7607</v>
      </c>
      <c r="H3460" s="344" t="s">
        <v>1499</v>
      </c>
    </row>
    <row r="3461" spans="1:8">
      <c r="A3461" s="1"/>
      <c r="B3461" s="1"/>
      <c r="C3461" s="1"/>
      <c r="D3461" s="1"/>
      <c r="E3461" s="357">
        <v>45068</v>
      </c>
      <c r="F3461" s="344" t="s">
        <v>621</v>
      </c>
      <c r="G3461" s="358">
        <v>22.045000000000002</v>
      </c>
      <c r="H3461" s="344" t="s">
        <v>1500</v>
      </c>
    </row>
    <row r="3462" spans="1:8">
      <c r="A3462" s="1"/>
      <c r="B3462" s="1"/>
      <c r="C3462" s="1"/>
      <c r="D3462" s="1"/>
      <c r="E3462" s="357">
        <v>45068</v>
      </c>
      <c r="F3462" s="344" t="s">
        <v>625</v>
      </c>
      <c r="G3462" s="358">
        <v>21.418600000000001</v>
      </c>
      <c r="H3462" s="344" t="s">
        <v>1500</v>
      </c>
    </row>
    <row r="3463" spans="1:8">
      <c r="A3463" s="1"/>
      <c r="B3463" s="1"/>
      <c r="C3463" s="1"/>
      <c r="D3463" s="1"/>
      <c r="E3463" s="357">
        <v>45068</v>
      </c>
      <c r="F3463" s="344" t="s">
        <v>628</v>
      </c>
      <c r="G3463" s="358">
        <v>24.6037</v>
      </c>
      <c r="H3463" s="344" t="s">
        <v>1500</v>
      </c>
    </row>
    <row r="3464" spans="1:8">
      <c r="A3464" s="1"/>
      <c r="B3464" s="1"/>
      <c r="C3464" s="1"/>
      <c r="D3464" s="1"/>
      <c r="E3464" s="357">
        <v>45068</v>
      </c>
      <c r="F3464" s="344" t="s">
        <v>631</v>
      </c>
      <c r="G3464" s="358">
        <v>19.8047</v>
      </c>
      <c r="H3464" s="344" t="s">
        <v>1500</v>
      </c>
    </row>
    <row r="3465" spans="1:8">
      <c r="A3465" s="1"/>
      <c r="B3465" s="1"/>
      <c r="C3465" s="1"/>
      <c r="D3465" s="1"/>
      <c r="E3465" s="357">
        <v>45069</v>
      </c>
      <c r="F3465" s="344" t="s">
        <v>621</v>
      </c>
      <c r="G3465" s="358">
        <v>21.971299999999999</v>
      </c>
      <c r="H3465" s="344" t="s">
        <v>1501</v>
      </c>
    </row>
    <row r="3466" spans="1:8">
      <c r="A3466" s="1"/>
      <c r="B3466" s="1"/>
      <c r="C3466" s="1"/>
      <c r="D3466" s="1"/>
      <c r="E3466" s="357">
        <v>45069</v>
      </c>
      <c r="F3466" s="344" t="s">
        <v>625</v>
      </c>
      <c r="G3466" s="358">
        <v>21.394600000000001</v>
      </c>
      <c r="H3466" s="344" t="s">
        <v>1501</v>
      </c>
    </row>
    <row r="3467" spans="1:8">
      <c r="A3467" s="1"/>
      <c r="B3467" s="1"/>
      <c r="C3467" s="1"/>
      <c r="D3467" s="1"/>
      <c r="E3467" s="357">
        <v>45069</v>
      </c>
      <c r="F3467" s="344" t="s">
        <v>628</v>
      </c>
      <c r="G3467" s="358">
        <v>24.546199999999999</v>
      </c>
      <c r="H3467" s="344" t="s">
        <v>1501</v>
      </c>
    </row>
    <row r="3468" spans="1:8">
      <c r="A3468" s="1"/>
      <c r="B3468" s="1"/>
      <c r="C3468" s="1"/>
      <c r="D3468" s="1"/>
      <c r="E3468" s="357">
        <v>45069</v>
      </c>
      <c r="F3468" s="344" t="s">
        <v>631</v>
      </c>
      <c r="G3468" s="358">
        <v>19.827000000000002</v>
      </c>
      <c r="H3468" s="344" t="s">
        <v>1501</v>
      </c>
    </row>
    <row r="3469" spans="1:8">
      <c r="A3469" s="1"/>
      <c r="B3469" s="1"/>
      <c r="C3469" s="1"/>
      <c r="D3469" s="1"/>
      <c r="E3469" s="357">
        <v>45070</v>
      </c>
      <c r="F3469" s="344" t="s">
        <v>621</v>
      </c>
      <c r="G3469" s="358">
        <v>21.9603</v>
      </c>
      <c r="H3469" s="344" t="s">
        <v>1502</v>
      </c>
    </row>
    <row r="3470" spans="1:8">
      <c r="A3470" s="1"/>
      <c r="B3470" s="1"/>
      <c r="C3470" s="1"/>
      <c r="D3470" s="1"/>
      <c r="E3470" s="357">
        <v>45070</v>
      </c>
      <c r="F3470" s="344" t="s">
        <v>625</v>
      </c>
      <c r="G3470" s="358">
        <v>21.398599999999998</v>
      </c>
      <c r="H3470" s="344" t="s">
        <v>1502</v>
      </c>
    </row>
    <row r="3471" spans="1:8">
      <c r="A3471" s="1"/>
      <c r="B3471" s="1"/>
      <c r="C3471" s="1"/>
      <c r="D3471" s="1"/>
      <c r="E3471" s="357">
        <v>45070</v>
      </c>
      <c r="F3471" s="344" t="s">
        <v>628</v>
      </c>
      <c r="G3471" s="358">
        <v>24.599</v>
      </c>
      <c r="H3471" s="344" t="s">
        <v>1502</v>
      </c>
    </row>
    <row r="3472" spans="1:8">
      <c r="A3472" s="1"/>
      <c r="B3472" s="1"/>
      <c r="C3472" s="1"/>
      <c r="D3472" s="1"/>
      <c r="E3472" s="357">
        <v>45070</v>
      </c>
      <c r="F3472" s="344" t="s">
        <v>631</v>
      </c>
      <c r="G3472" s="358">
        <v>19.86</v>
      </c>
      <c r="H3472" s="344" t="s">
        <v>1502</v>
      </c>
    </row>
    <row r="3473" spans="1:8">
      <c r="A3473" s="1"/>
      <c r="B3473" s="1"/>
      <c r="C3473" s="1"/>
      <c r="D3473" s="1"/>
      <c r="E3473" s="357">
        <v>45071</v>
      </c>
      <c r="F3473" s="344" t="s">
        <v>621</v>
      </c>
      <c r="G3473" s="358">
        <v>21.9254</v>
      </c>
      <c r="H3473" s="344" t="s">
        <v>1503</v>
      </c>
    </row>
    <row r="3474" spans="1:8">
      <c r="A3474" s="1"/>
      <c r="B3474" s="1"/>
      <c r="C3474" s="1"/>
      <c r="D3474" s="1"/>
      <c r="E3474" s="357">
        <v>45071</v>
      </c>
      <c r="F3474" s="344" t="s">
        <v>625</v>
      </c>
      <c r="G3474" s="358">
        <v>21.3507</v>
      </c>
      <c r="H3474" s="344" t="s">
        <v>1503</v>
      </c>
    </row>
    <row r="3475" spans="1:8">
      <c r="A3475" s="1"/>
      <c r="B3475" s="1"/>
      <c r="C3475" s="1"/>
      <c r="D3475" s="1"/>
      <c r="E3475" s="357">
        <v>45071</v>
      </c>
      <c r="F3475" s="344" t="s">
        <v>628</v>
      </c>
      <c r="G3475" s="358">
        <v>24.565100000000001</v>
      </c>
      <c r="H3475" s="344" t="s">
        <v>1503</v>
      </c>
    </row>
    <row r="3476" spans="1:8">
      <c r="A3476" s="1"/>
      <c r="B3476" s="1"/>
      <c r="C3476" s="1"/>
      <c r="D3476" s="1"/>
      <c r="E3476" s="357">
        <v>45071</v>
      </c>
      <c r="F3476" s="344" t="s">
        <v>631</v>
      </c>
      <c r="G3476" s="358">
        <v>19.902699999999999</v>
      </c>
      <c r="H3476" s="344" t="s">
        <v>1503</v>
      </c>
    </row>
    <row r="3477" spans="1:8">
      <c r="A3477" s="1"/>
      <c r="B3477" s="1"/>
      <c r="C3477" s="1"/>
      <c r="D3477" s="1"/>
      <c r="E3477" s="357">
        <v>45072</v>
      </c>
      <c r="F3477" s="344" t="s">
        <v>621</v>
      </c>
      <c r="G3477" s="358">
        <v>22.0352</v>
      </c>
      <c r="H3477" s="344" t="s">
        <v>1504</v>
      </c>
    </row>
    <row r="3478" spans="1:8">
      <c r="A3478" s="1"/>
      <c r="B3478" s="1"/>
      <c r="C3478" s="1"/>
      <c r="D3478" s="1"/>
      <c r="E3478" s="357">
        <v>45072</v>
      </c>
      <c r="F3478" s="344" t="s">
        <v>625</v>
      </c>
      <c r="G3478" s="358">
        <v>21.4251</v>
      </c>
      <c r="H3478" s="344" t="s">
        <v>1504</v>
      </c>
    </row>
    <row r="3479" spans="1:8">
      <c r="A3479" s="1"/>
      <c r="B3479" s="1"/>
      <c r="C3479" s="1"/>
      <c r="D3479" s="1"/>
      <c r="E3479" s="357">
        <v>45072</v>
      </c>
      <c r="F3479" s="344" t="s">
        <v>628</v>
      </c>
      <c r="G3479" s="358">
        <v>24.622399999999999</v>
      </c>
      <c r="H3479" s="344" t="s">
        <v>1504</v>
      </c>
    </row>
    <row r="3480" spans="1:8">
      <c r="A3480" s="1"/>
      <c r="B3480" s="1"/>
      <c r="C3480" s="1"/>
      <c r="D3480" s="1"/>
      <c r="E3480" s="357">
        <v>45072</v>
      </c>
      <c r="F3480" s="344" t="s">
        <v>631</v>
      </c>
      <c r="G3480" s="358">
        <v>19.9512</v>
      </c>
      <c r="H3480" s="344" t="s">
        <v>1504</v>
      </c>
    </row>
    <row r="3481" spans="1:8">
      <c r="A3481" s="1"/>
      <c r="B3481" s="1"/>
      <c r="C3481" s="1"/>
      <c r="D3481" s="1"/>
      <c r="E3481" s="357">
        <v>45075</v>
      </c>
      <c r="F3481" s="344" t="s">
        <v>621</v>
      </c>
      <c r="G3481" s="358">
        <v>22.125599999999999</v>
      </c>
      <c r="H3481" s="344" t="s">
        <v>1505</v>
      </c>
    </row>
    <row r="3482" spans="1:8">
      <c r="A3482" s="1"/>
      <c r="B3482" s="1"/>
      <c r="C3482" s="1"/>
      <c r="D3482" s="1"/>
      <c r="E3482" s="357">
        <v>45075</v>
      </c>
      <c r="F3482" s="344" t="s">
        <v>625</v>
      </c>
      <c r="G3482" s="358">
        <v>21.493200000000002</v>
      </c>
      <c r="H3482" s="344" t="s">
        <v>1505</v>
      </c>
    </row>
    <row r="3483" spans="1:8">
      <c r="A3483" s="1"/>
      <c r="B3483" s="1"/>
      <c r="C3483" s="1"/>
      <c r="D3483" s="1"/>
      <c r="E3483" s="357">
        <v>45075</v>
      </c>
      <c r="F3483" s="344" t="s">
        <v>628</v>
      </c>
      <c r="G3483" s="358">
        <v>24.709299999999999</v>
      </c>
      <c r="H3483" s="344" t="s">
        <v>1505</v>
      </c>
    </row>
    <row r="3484" spans="1:8">
      <c r="A3484" s="1"/>
      <c r="B3484" s="1"/>
      <c r="C3484" s="1"/>
      <c r="D3484" s="1"/>
      <c r="E3484" s="357">
        <v>45075</v>
      </c>
      <c r="F3484" s="344" t="s">
        <v>631</v>
      </c>
      <c r="G3484" s="358">
        <v>20.045300000000001</v>
      </c>
      <c r="H3484" s="344" t="s">
        <v>1505</v>
      </c>
    </row>
    <row r="3485" spans="1:8">
      <c r="A3485" s="1"/>
      <c r="B3485" s="1"/>
      <c r="C3485" s="1"/>
      <c r="D3485" s="1"/>
      <c r="E3485" s="357">
        <v>45076</v>
      </c>
      <c r="F3485" s="344" t="s">
        <v>621</v>
      </c>
      <c r="G3485" s="358">
        <v>22.415500000000002</v>
      </c>
      <c r="H3485" s="344" t="s">
        <v>1506</v>
      </c>
    </row>
    <row r="3486" spans="1:8">
      <c r="A3486" s="1"/>
      <c r="B3486" s="1"/>
      <c r="C3486" s="1"/>
      <c r="D3486" s="1"/>
      <c r="E3486" s="357">
        <v>45076</v>
      </c>
      <c r="F3486" s="344" t="s">
        <v>625</v>
      </c>
      <c r="G3486" s="358">
        <v>21.7607</v>
      </c>
      <c r="H3486" s="344" t="s">
        <v>1506</v>
      </c>
    </row>
    <row r="3487" spans="1:8">
      <c r="A3487" s="1"/>
      <c r="B3487" s="1"/>
      <c r="C3487" s="1"/>
      <c r="D3487" s="1"/>
      <c r="E3487" s="357">
        <v>45076</v>
      </c>
      <c r="F3487" s="344" t="s">
        <v>628</v>
      </c>
      <c r="G3487" s="358">
        <v>25.128</v>
      </c>
      <c r="H3487" s="344" t="s">
        <v>1506</v>
      </c>
    </row>
    <row r="3488" spans="1:8">
      <c r="A3488" s="1"/>
      <c r="B3488" s="1"/>
      <c r="C3488" s="1"/>
      <c r="D3488" s="1"/>
      <c r="E3488" s="357">
        <v>45076</v>
      </c>
      <c r="F3488" s="344" t="s">
        <v>631</v>
      </c>
      <c r="G3488" s="358">
        <v>20.310400000000001</v>
      </c>
      <c r="H3488" s="344" t="s">
        <v>1506</v>
      </c>
    </row>
    <row r="3489" spans="1:8">
      <c r="A3489" s="1"/>
      <c r="B3489" s="1"/>
      <c r="C3489" s="1"/>
      <c r="D3489" s="1"/>
      <c r="E3489" s="357">
        <v>45077</v>
      </c>
      <c r="F3489" s="344" t="s">
        <v>621</v>
      </c>
      <c r="G3489" s="358">
        <v>22.641300000000001</v>
      </c>
      <c r="H3489" s="344" t="s">
        <v>1507</v>
      </c>
    </row>
    <row r="3490" spans="1:8">
      <c r="A3490" s="1"/>
      <c r="B3490" s="1"/>
      <c r="C3490" s="1"/>
      <c r="D3490" s="1"/>
      <c r="E3490" s="357">
        <v>45077</v>
      </c>
      <c r="F3490" s="344" t="s">
        <v>625</v>
      </c>
      <c r="G3490" s="358">
        <v>22.058199999999999</v>
      </c>
      <c r="H3490" s="344" t="s">
        <v>1507</v>
      </c>
    </row>
    <row r="3491" spans="1:8">
      <c r="A3491" s="1"/>
      <c r="B3491" s="1"/>
      <c r="C3491" s="1"/>
      <c r="D3491" s="1"/>
      <c r="E3491" s="357">
        <v>45077</v>
      </c>
      <c r="F3491" s="344" t="s">
        <v>628</v>
      </c>
      <c r="G3491" s="358">
        <v>25.503</v>
      </c>
      <c r="H3491" s="344" t="s">
        <v>1507</v>
      </c>
    </row>
    <row r="3492" spans="1:8">
      <c r="A3492" s="1"/>
      <c r="B3492" s="1"/>
      <c r="C3492" s="1"/>
      <c r="D3492" s="1"/>
      <c r="E3492" s="357">
        <v>45077</v>
      </c>
      <c r="F3492" s="344" t="s">
        <v>631</v>
      </c>
      <c r="G3492" s="358">
        <v>20.6632</v>
      </c>
      <c r="H3492" s="344" t="s">
        <v>1507</v>
      </c>
    </row>
    <row r="3493" spans="1:8">
      <c r="A3493" s="1"/>
      <c r="B3493" s="1"/>
      <c r="C3493" s="1"/>
      <c r="D3493" s="1"/>
      <c r="E3493" s="357">
        <v>45078</v>
      </c>
      <c r="F3493" s="344" t="s">
        <v>621</v>
      </c>
      <c r="G3493" s="358">
        <v>22.7654</v>
      </c>
      <c r="H3493" s="344" t="s">
        <v>1508</v>
      </c>
    </row>
    <row r="3494" spans="1:8">
      <c r="A3494" s="1"/>
      <c r="B3494" s="1"/>
      <c r="C3494" s="1"/>
      <c r="D3494" s="1"/>
      <c r="E3494" s="357">
        <v>45078</v>
      </c>
      <c r="F3494" s="344" t="s">
        <v>625</v>
      </c>
      <c r="G3494" s="358">
        <v>22.193200000000001</v>
      </c>
      <c r="H3494" s="344" t="s">
        <v>1508</v>
      </c>
    </row>
    <row r="3495" spans="1:8">
      <c r="A3495" s="1"/>
      <c r="B3495" s="1"/>
      <c r="C3495" s="1"/>
      <c r="D3495" s="1"/>
      <c r="E3495" s="357">
        <v>45078</v>
      </c>
      <c r="F3495" s="344" t="s">
        <v>628</v>
      </c>
      <c r="G3495" s="358">
        <v>25.781700000000001</v>
      </c>
      <c r="H3495" s="344" t="s">
        <v>1508</v>
      </c>
    </row>
    <row r="3496" spans="1:8">
      <c r="A3496" s="1"/>
      <c r="B3496" s="1"/>
      <c r="C3496" s="1"/>
      <c r="D3496" s="1"/>
      <c r="E3496" s="357">
        <v>45078</v>
      </c>
      <c r="F3496" s="344" t="s">
        <v>631</v>
      </c>
      <c r="G3496" s="358">
        <v>20.7529</v>
      </c>
      <c r="H3496" s="344" t="s">
        <v>1508</v>
      </c>
    </row>
    <row r="3497" spans="1:8">
      <c r="A3497" s="1"/>
      <c r="B3497" s="1"/>
      <c r="C3497" s="1"/>
      <c r="D3497" s="1"/>
      <c r="E3497" s="357">
        <v>45079</v>
      </c>
      <c r="F3497" s="344" t="s">
        <v>621</v>
      </c>
      <c r="G3497" s="358">
        <v>22.972799999999999</v>
      </c>
      <c r="H3497" s="344" t="s">
        <v>1509</v>
      </c>
    </row>
    <row r="3498" spans="1:8">
      <c r="A3498" s="1"/>
      <c r="B3498" s="1"/>
      <c r="C3498" s="1"/>
      <c r="D3498" s="1"/>
      <c r="E3498" s="357">
        <v>45079</v>
      </c>
      <c r="F3498" s="344" t="s">
        <v>625</v>
      </c>
      <c r="G3498" s="358">
        <v>22.443300000000001</v>
      </c>
      <c r="H3498" s="344" t="s">
        <v>1509</v>
      </c>
    </row>
    <row r="3499" spans="1:8">
      <c r="A3499" s="1"/>
      <c r="B3499" s="1"/>
      <c r="C3499" s="1"/>
      <c r="D3499" s="1"/>
      <c r="E3499" s="357">
        <v>45079</v>
      </c>
      <c r="F3499" s="344" t="s">
        <v>628</v>
      </c>
      <c r="G3499" s="358">
        <v>26.076599999999999</v>
      </c>
      <c r="H3499" s="344" t="s">
        <v>1509</v>
      </c>
    </row>
    <row r="3500" spans="1:8">
      <c r="A3500" s="1"/>
      <c r="B3500" s="1"/>
      <c r="C3500" s="1"/>
      <c r="D3500" s="1"/>
      <c r="E3500" s="357">
        <v>45079</v>
      </c>
      <c r="F3500" s="344" t="s">
        <v>631</v>
      </c>
      <c r="G3500" s="358">
        <v>20.8447</v>
      </c>
      <c r="H3500" s="344" t="s">
        <v>1509</v>
      </c>
    </row>
    <row r="3501" spans="1:8">
      <c r="A3501" s="1"/>
      <c r="B3501" s="1"/>
      <c r="C3501" s="1"/>
      <c r="D3501" s="1"/>
      <c r="E3501" s="357">
        <v>45082</v>
      </c>
      <c r="F3501" s="344" t="s">
        <v>621</v>
      </c>
      <c r="G3501" s="358">
        <v>23.166399999999999</v>
      </c>
      <c r="H3501" s="344" t="s">
        <v>1510</v>
      </c>
    </row>
    <row r="3502" spans="1:8">
      <c r="A3502" s="1"/>
      <c r="B3502" s="1"/>
      <c r="C3502" s="1"/>
      <c r="D3502" s="1"/>
      <c r="E3502" s="357">
        <v>45082</v>
      </c>
      <c r="F3502" s="344" t="s">
        <v>625</v>
      </c>
      <c r="G3502" s="358">
        <v>22.610499999999998</v>
      </c>
      <c r="H3502" s="344" t="s">
        <v>1510</v>
      </c>
    </row>
    <row r="3503" spans="1:8">
      <c r="A3503" s="1"/>
      <c r="B3503" s="1"/>
      <c r="C3503" s="1"/>
      <c r="D3503" s="1"/>
      <c r="E3503" s="357">
        <v>45082</v>
      </c>
      <c r="F3503" s="344" t="s">
        <v>628</v>
      </c>
      <c r="G3503" s="358">
        <v>26.171199999999999</v>
      </c>
      <c r="H3503" s="344" t="s">
        <v>1510</v>
      </c>
    </row>
    <row r="3504" spans="1:8">
      <c r="A3504" s="1"/>
      <c r="B3504" s="1"/>
      <c r="C3504" s="1"/>
      <c r="D3504" s="1"/>
      <c r="E3504" s="357">
        <v>45082</v>
      </c>
      <c r="F3504" s="344" t="s">
        <v>631</v>
      </c>
      <c r="G3504" s="358">
        <v>21.1465</v>
      </c>
      <c r="H3504" s="344" t="s">
        <v>1510</v>
      </c>
    </row>
    <row r="3505" spans="1:8">
      <c r="A3505" s="1"/>
      <c r="B3505" s="1"/>
      <c r="C3505" s="1"/>
      <c r="D3505" s="1"/>
      <c r="E3505" s="357">
        <v>45083</v>
      </c>
      <c r="F3505" s="344" t="s">
        <v>621</v>
      </c>
      <c r="G3505" s="358">
        <v>23.613399999999999</v>
      </c>
      <c r="H3505" s="344" t="s">
        <v>1511</v>
      </c>
    </row>
    <row r="3506" spans="1:8">
      <c r="A3506" s="1"/>
      <c r="B3506" s="1"/>
      <c r="C3506" s="1"/>
      <c r="D3506" s="1"/>
      <c r="E3506" s="357">
        <v>45083</v>
      </c>
      <c r="F3506" s="344" t="s">
        <v>625</v>
      </c>
      <c r="G3506" s="358">
        <v>22.958100000000002</v>
      </c>
      <c r="H3506" s="344" t="s">
        <v>1511</v>
      </c>
    </row>
    <row r="3507" spans="1:8">
      <c r="A3507" s="1"/>
      <c r="B3507" s="1"/>
      <c r="C3507" s="1"/>
      <c r="D3507" s="1"/>
      <c r="E3507" s="357">
        <v>45083</v>
      </c>
      <c r="F3507" s="344" t="s">
        <v>628</v>
      </c>
      <c r="G3507" s="358">
        <v>26.601700000000001</v>
      </c>
      <c r="H3507" s="344" t="s">
        <v>1511</v>
      </c>
    </row>
    <row r="3508" spans="1:8">
      <c r="A3508" s="1"/>
      <c r="B3508" s="1"/>
      <c r="C3508" s="1"/>
      <c r="D3508" s="1"/>
      <c r="E3508" s="357">
        <v>45083</v>
      </c>
      <c r="F3508" s="344" t="s">
        <v>631</v>
      </c>
      <c r="G3508" s="358">
        <v>21.456499999999998</v>
      </c>
      <c r="H3508" s="344" t="s">
        <v>1511</v>
      </c>
    </row>
    <row r="3509" spans="1:8">
      <c r="A3509" s="1"/>
      <c r="B3509" s="1"/>
      <c r="C3509" s="1"/>
      <c r="D3509" s="1"/>
      <c r="E3509" s="357">
        <v>45084</v>
      </c>
      <c r="F3509" s="344" t="s">
        <v>621</v>
      </c>
      <c r="G3509" s="358">
        <v>25.334</v>
      </c>
      <c r="H3509" s="344" t="s">
        <v>1512</v>
      </c>
    </row>
    <row r="3510" spans="1:8">
      <c r="A3510" s="1"/>
      <c r="B3510" s="1"/>
      <c r="C3510" s="1"/>
      <c r="D3510" s="1"/>
      <c r="E3510" s="357">
        <v>45084</v>
      </c>
      <c r="F3510" s="344" t="s">
        <v>625</v>
      </c>
      <c r="G3510" s="358">
        <v>24.6248</v>
      </c>
      <c r="H3510" s="344" t="s">
        <v>1512</v>
      </c>
    </row>
    <row r="3511" spans="1:8">
      <c r="A3511" s="1"/>
      <c r="B3511" s="1"/>
      <c r="C3511" s="1"/>
      <c r="D3511" s="1"/>
      <c r="E3511" s="357">
        <v>45084</v>
      </c>
      <c r="F3511" s="344" t="s">
        <v>628</v>
      </c>
      <c r="G3511" s="358">
        <v>28.5854</v>
      </c>
      <c r="H3511" s="344" t="s">
        <v>1512</v>
      </c>
    </row>
    <row r="3512" spans="1:8">
      <c r="A3512" s="1"/>
      <c r="B3512" s="1"/>
      <c r="C3512" s="1"/>
      <c r="D3512" s="1"/>
      <c r="E3512" s="357">
        <v>45084</v>
      </c>
      <c r="F3512" s="344" t="s">
        <v>631</v>
      </c>
      <c r="G3512" s="358">
        <v>23.021000000000001</v>
      </c>
      <c r="H3512" s="344" t="s">
        <v>1512</v>
      </c>
    </row>
    <row r="3513" spans="1:8">
      <c r="A3513" s="1"/>
      <c r="B3513" s="1"/>
      <c r="C3513" s="1"/>
      <c r="D3513" s="1"/>
      <c r="E3513" s="357">
        <v>45085</v>
      </c>
      <c r="F3513" s="344" t="s">
        <v>621</v>
      </c>
      <c r="G3513" s="358">
        <v>25.5854</v>
      </c>
      <c r="H3513" s="344" t="s">
        <v>1513</v>
      </c>
    </row>
    <row r="3514" spans="1:8">
      <c r="A3514" s="1"/>
      <c r="B3514" s="1"/>
      <c r="C3514" s="1"/>
      <c r="D3514" s="1"/>
      <c r="E3514" s="357">
        <v>45085</v>
      </c>
      <c r="F3514" s="344" t="s">
        <v>625</v>
      </c>
      <c r="G3514" s="358">
        <v>25.010300000000001</v>
      </c>
      <c r="H3514" s="344" t="s">
        <v>1513</v>
      </c>
    </row>
    <row r="3515" spans="1:8">
      <c r="A3515" s="1"/>
      <c r="B3515" s="1"/>
      <c r="C3515" s="1"/>
      <c r="D3515" s="1"/>
      <c r="E3515" s="357">
        <v>45085</v>
      </c>
      <c r="F3515" s="344" t="s">
        <v>628</v>
      </c>
      <c r="G3515" s="358">
        <v>29.014800000000001</v>
      </c>
      <c r="H3515" s="344" t="s">
        <v>1513</v>
      </c>
    </row>
    <row r="3516" spans="1:8">
      <c r="A3516" s="1"/>
      <c r="B3516" s="1"/>
      <c r="C3516" s="1"/>
      <c r="D3516" s="1"/>
      <c r="E3516" s="357">
        <v>45085</v>
      </c>
      <c r="F3516" s="344" t="s">
        <v>631</v>
      </c>
      <c r="G3516" s="358">
        <v>23.321200000000001</v>
      </c>
      <c r="H3516" s="344" t="s">
        <v>1513</v>
      </c>
    </row>
    <row r="3517" spans="1:8">
      <c r="A3517" s="1"/>
      <c r="B3517" s="1"/>
      <c r="C3517" s="1"/>
      <c r="D3517" s="1"/>
      <c r="E3517" s="357">
        <v>45086</v>
      </c>
      <c r="F3517" s="344" t="s">
        <v>621</v>
      </c>
      <c r="G3517" s="358">
        <v>25.954499999999999</v>
      </c>
      <c r="H3517" s="344" t="s">
        <v>1514</v>
      </c>
    </row>
    <row r="3518" spans="1:8">
      <c r="A3518" s="1"/>
      <c r="B3518" s="1"/>
      <c r="C3518" s="1"/>
      <c r="D3518" s="1"/>
      <c r="E3518" s="357">
        <v>45086</v>
      </c>
      <c r="F3518" s="344" t="s">
        <v>625</v>
      </c>
      <c r="G3518" s="358">
        <v>25.232299999999999</v>
      </c>
      <c r="H3518" s="344" t="s">
        <v>1514</v>
      </c>
    </row>
    <row r="3519" spans="1:8">
      <c r="A3519" s="1"/>
      <c r="B3519" s="1"/>
      <c r="C3519" s="1"/>
      <c r="D3519" s="1"/>
      <c r="E3519" s="357">
        <v>45086</v>
      </c>
      <c r="F3519" s="344" t="s">
        <v>628</v>
      </c>
      <c r="G3519" s="358">
        <v>29.357099999999999</v>
      </c>
      <c r="H3519" s="344" t="s">
        <v>1514</v>
      </c>
    </row>
    <row r="3520" spans="1:8">
      <c r="A3520" s="1"/>
      <c r="B3520" s="1"/>
      <c r="C3520" s="1"/>
      <c r="D3520" s="1"/>
      <c r="E3520" s="357">
        <v>45086</v>
      </c>
      <c r="F3520" s="344" t="s">
        <v>631</v>
      </c>
      <c r="G3520" s="358">
        <v>23.4314</v>
      </c>
      <c r="H3520" s="344" t="s">
        <v>1514</v>
      </c>
    </row>
    <row r="3521" spans="1:8">
      <c r="A3521" s="1"/>
      <c r="B3521" s="1"/>
      <c r="C3521" s="1"/>
      <c r="D3521" s="1"/>
      <c r="E3521" s="357">
        <v>45089</v>
      </c>
      <c r="F3521" s="344" t="s">
        <v>621</v>
      </c>
      <c r="G3521" s="358">
        <v>26.068899999999999</v>
      </c>
      <c r="H3521" s="344" t="s">
        <v>1515</v>
      </c>
    </row>
    <row r="3522" spans="1:8">
      <c r="A3522" s="1"/>
      <c r="B3522" s="1"/>
      <c r="C3522" s="1"/>
      <c r="D3522" s="1"/>
      <c r="E3522" s="357">
        <v>45089</v>
      </c>
      <c r="F3522" s="344" t="s">
        <v>625</v>
      </c>
      <c r="G3522" s="358">
        <v>25.4282</v>
      </c>
      <c r="H3522" s="344" t="s">
        <v>1515</v>
      </c>
    </row>
    <row r="3523" spans="1:8">
      <c r="A3523" s="1"/>
      <c r="B3523" s="1"/>
      <c r="C3523" s="1"/>
      <c r="D3523" s="1"/>
      <c r="E3523" s="357">
        <v>45089</v>
      </c>
      <c r="F3523" s="344" t="s">
        <v>628</v>
      </c>
      <c r="G3523" s="358">
        <v>29.6555</v>
      </c>
      <c r="H3523" s="344" t="s">
        <v>1515</v>
      </c>
    </row>
    <row r="3524" spans="1:8">
      <c r="A3524" s="1"/>
      <c r="B3524" s="1"/>
      <c r="C3524" s="1"/>
      <c r="D3524" s="1"/>
      <c r="E3524" s="357">
        <v>45089</v>
      </c>
      <c r="F3524" s="344" t="s">
        <v>631</v>
      </c>
      <c r="G3524" s="358">
        <v>23.611699999999999</v>
      </c>
      <c r="H3524" s="344" t="s">
        <v>1515</v>
      </c>
    </row>
    <row r="3525" spans="1:8">
      <c r="A3525" s="1"/>
      <c r="B3525" s="1"/>
      <c r="C3525" s="1"/>
      <c r="D3525" s="1"/>
      <c r="E3525" s="357">
        <v>45090</v>
      </c>
      <c r="F3525" s="344" t="s">
        <v>621</v>
      </c>
      <c r="G3525" s="358">
        <v>26.046399999999998</v>
      </c>
      <c r="H3525" s="344" t="s">
        <v>1516</v>
      </c>
    </row>
    <row r="3526" spans="1:8">
      <c r="A3526" s="1"/>
      <c r="B3526" s="1"/>
      <c r="C3526" s="1"/>
      <c r="D3526" s="1"/>
      <c r="E3526" s="357">
        <v>45090</v>
      </c>
      <c r="F3526" s="344" t="s">
        <v>625</v>
      </c>
      <c r="G3526" s="358">
        <v>25.530200000000001</v>
      </c>
      <c r="H3526" s="344" t="s">
        <v>1516</v>
      </c>
    </row>
    <row r="3527" spans="1:8">
      <c r="A3527" s="1"/>
      <c r="B3527" s="1"/>
      <c r="C3527" s="1"/>
      <c r="D3527" s="1"/>
      <c r="E3527" s="357">
        <v>45090</v>
      </c>
      <c r="F3527" s="344" t="s">
        <v>628</v>
      </c>
      <c r="G3527" s="358">
        <v>29.656500000000001</v>
      </c>
      <c r="H3527" s="344" t="s">
        <v>1516</v>
      </c>
    </row>
    <row r="3528" spans="1:8">
      <c r="A3528" s="1"/>
      <c r="B3528" s="1"/>
      <c r="C3528" s="1"/>
      <c r="D3528" s="1"/>
      <c r="E3528" s="357">
        <v>45090</v>
      </c>
      <c r="F3528" s="344" t="s">
        <v>631</v>
      </c>
      <c r="G3528" s="358">
        <v>23.6387</v>
      </c>
      <c r="H3528" s="344" t="s">
        <v>1516</v>
      </c>
    </row>
    <row r="3529" spans="1:8">
      <c r="A3529" s="1"/>
      <c r="B3529" s="1"/>
      <c r="C3529" s="1"/>
      <c r="D3529" s="1"/>
      <c r="E3529" s="357">
        <v>45091</v>
      </c>
      <c r="F3529" s="344" t="s">
        <v>621</v>
      </c>
      <c r="G3529" s="358">
        <v>26.055399999999999</v>
      </c>
      <c r="H3529" s="344" t="s">
        <v>1517</v>
      </c>
    </row>
    <row r="3530" spans="1:8">
      <c r="A3530" s="1"/>
      <c r="B3530" s="1"/>
      <c r="C3530" s="1"/>
      <c r="D3530" s="1"/>
      <c r="E3530" s="357">
        <v>45091</v>
      </c>
      <c r="F3530" s="344" t="s">
        <v>625</v>
      </c>
      <c r="G3530" s="358">
        <v>25.484200000000001</v>
      </c>
      <c r="H3530" s="344" t="s">
        <v>1517</v>
      </c>
    </row>
    <row r="3531" spans="1:8">
      <c r="A3531" s="1"/>
      <c r="B3531" s="1"/>
      <c r="C3531" s="1"/>
      <c r="D3531" s="1"/>
      <c r="E3531" s="357">
        <v>45091</v>
      </c>
      <c r="F3531" s="344" t="s">
        <v>628</v>
      </c>
      <c r="G3531" s="358">
        <v>29.759399999999999</v>
      </c>
      <c r="H3531" s="344" t="s">
        <v>1517</v>
      </c>
    </row>
    <row r="3532" spans="1:8">
      <c r="A3532" s="1"/>
      <c r="B3532" s="1"/>
      <c r="C3532" s="1"/>
      <c r="D3532" s="1"/>
      <c r="E3532" s="357">
        <v>45091</v>
      </c>
      <c r="F3532" s="344" t="s">
        <v>631</v>
      </c>
      <c r="G3532" s="358">
        <v>23.5989</v>
      </c>
      <c r="H3532" s="344" t="s">
        <v>1517</v>
      </c>
    </row>
    <row r="3533" spans="1:8">
      <c r="A3533" s="1"/>
      <c r="B3533" s="1"/>
      <c r="C3533" s="1"/>
      <c r="D3533" s="1"/>
      <c r="E3533" s="357">
        <v>45092</v>
      </c>
      <c r="F3533" s="344" t="s">
        <v>621</v>
      </c>
      <c r="G3533" s="358">
        <v>26.130299999999998</v>
      </c>
      <c r="H3533" s="344" t="s">
        <v>1518</v>
      </c>
    </row>
    <row r="3534" spans="1:8">
      <c r="A3534" s="1"/>
      <c r="B3534" s="1"/>
      <c r="C3534" s="1"/>
      <c r="D3534" s="1"/>
      <c r="E3534" s="357">
        <v>45092</v>
      </c>
      <c r="F3534" s="344" t="s">
        <v>625</v>
      </c>
      <c r="G3534" s="358">
        <v>25.6004</v>
      </c>
      <c r="H3534" s="344" t="s">
        <v>1518</v>
      </c>
    </row>
    <row r="3535" spans="1:8">
      <c r="A3535" s="1"/>
      <c r="B3535" s="1"/>
      <c r="C3535" s="1"/>
      <c r="D3535" s="1"/>
      <c r="E3535" s="357">
        <v>45092</v>
      </c>
      <c r="F3535" s="344" t="s">
        <v>628</v>
      </c>
      <c r="G3535" s="358">
        <v>29.866900000000001</v>
      </c>
      <c r="H3535" s="344" t="s">
        <v>1518</v>
      </c>
    </row>
    <row r="3536" spans="1:8">
      <c r="A3536" s="1"/>
      <c r="B3536" s="1"/>
      <c r="C3536" s="1"/>
      <c r="D3536" s="1"/>
      <c r="E3536" s="357">
        <v>45092</v>
      </c>
      <c r="F3536" s="344" t="s">
        <v>631</v>
      </c>
      <c r="G3536" s="358">
        <v>23.6389</v>
      </c>
      <c r="H3536" s="344" t="s">
        <v>1518</v>
      </c>
    </row>
    <row r="3537" spans="1:8">
      <c r="A3537" s="1"/>
      <c r="B3537" s="1"/>
      <c r="C3537" s="1"/>
      <c r="D3537" s="1"/>
      <c r="E3537" s="357">
        <v>45093</v>
      </c>
      <c r="F3537" s="344" t="s">
        <v>621</v>
      </c>
      <c r="G3537" s="358">
        <v>26.4574</v>
      </c>
      <c r="H3537" s="344" t="s">
        <v>1519</v>
      </c>
    </row>
    <row r="3538" spans="1:8">
      <c r="A3538" s="1"/>
      <c r="B3538" s="1"/>
      <c r="C3538" s="1"/>
      <c r="D3538" s="1"/>
      <c r="E3538" s="357">
        <v>45093</v>
      </c>
      <c r="F3538" s="344" t="s">
        <v>625</v>
      </c>
      <c r="G3538" s="358">
        <v>25.880700000000001</v>
      </c>
      <c r="H3538" s="344" t="s">
        <v>1519</v>
      </c>
    </row>
    <row r="3539" spans="1:8">
      <c r="A3539" s="1"/>
      <c r="B3539" s="1"/>
      <c r="C3539" s="1"/>
      <c r="D3539" s="1"/>
      <c r="E3539" s="357">
        <v>45093</v>
      </c>
      <c r="F3539" s="344" t="s">
        <v>628</v>
      </c>
      <c r="G3539" s="358">
        <v>30.200600000000001</v>
      </c>
      <c r="H3539" s="344" t="s">
        <v>1519</v>
      </c>
    </row>
    <row r="3540" spans="1:8">
      <c r="A3540" s="1"/>
      <c r="B3540" s="1"/>
      <c r="C3540" s="1"/>
      <c r="D3540" s="1"/>
      <c r="E3540" s="357">
        <v>45093</v>
      </c>
      <c r="F3540" s="344" t="s">
        <v>631</v>
      </c>
      <c r="G3540" s="358">
        <v>23.6388</v>
      </c>
      <c r="H3540" s="344" t="s">
        <v>1519</v>
      </c>
    </row>
    <row r="3541" spans="1:8">
      <c r="A3541" s="1"/>
      <c r="B3541" s="1"/>
      <c r="C3541" s="1"/>
      <c r="D3541" s="1"/>
      <c r="E3541" s="357">
        <v>45096</v>
      </c>
      <c r="F3541" s="344" t="s">
        <v>621</v>
      </c>
      <c r="G3541" s="358">
        <v>26.355499999999999</v>
      </c>
      <c r="H3541" s="344" t="s">
        <v>1520</v>
      </c>
    </row>
    <row r="3542" spans="1:8">
      <c r="A3542" s="1"/>
      <c r="B3542" s="1"/>
      <c r="C3542" s="1"/>
      <c r="D3542" s="1"/>
      <c r="E3542" s="357">
        <v>45096</v>
      </c>
      <c r="F3542" s="344" t="s">
        <v>625</v>
      </c>
      <c r="G3542" s="358">
        <v>25.8186</v>
      </c>
      <c r="H3542" s="344" t="s">
        <v>1520</v>
      </c>
    </row>
    <row r="3543" spans="1:8">
      <c r="A3543" s="1"/>
      <c r="B3543" s="1"/>
      <c r="C3543" s="1"/>
      <c r="D3543" s="1"/>
      <c r="E3543" s="357">
        <v>45096</v>
      </c>
      <c r="F3543" s="344" t="s">
        <v>628</v>
      </c>
      <c r="G3543" s="358">
        <v>30.2333</v>
      </c>
      <c r="H3543" s="344" t="s">
        <v>1520</v>
      </c>
    </row>
    <row r="3544" spans="1:8">
      <c r="A3544" s="1"/>
      <c r="B3544" s="1"/>
      <c r="C3544" s="1"/>
      <c r="D3544" s="1"/>
      <c r="E3544" s="357">
        <v>45096</v>
      </c>
      <c r="F3544" s="344" t="s">
        <v>631</v>
      </c>
      <c r="G3544" s="358">
        <v>23.6371</v>
      </c>
      <c r="H3544" s="344" t="s">
        <v>1520</v>
      </c>
    </row>
    <row r="3545" spans="1:8">
      <c r="A3545" s="1"/>
      <c r="B3545" s="1"/>
      <c r="C3545" s="1"/>
      <c r="D3545" s="1"/>
      <c r="E3545" s="357">
        <v>45097</v>
      </c>
      <c r="F3545" s="344" t="s">
        <v>621</v>
      </c>
      <c r="G3545" s="358">
        <v>26.224699999999999</v>
      </c>
      <c r="H3545" s="344" t="s">
        <v>1521</v>
      </c>
    </row>
    <row r="3546" spans="1:8">
      <c r="A3546" s="1"/>
      <c r="B3546" s="1"/>
      <c r="C3546" s="1"/>
      <c r="D3546" s="1"/>
      <c r="E3546" s="357">
        <v>45097</v>
      </c>
      <c r="F3546" s="344" t="s">
        <v>625</v>
      </c>
      <c r="G3546" s="358">
        <v>25.771999999999998</v>
      </c>
      <c r="H3546" s="344" t="s">
        <v>1521</v>
      </c>
    </row>
    <row r="3547" spans="1:8">
      <c r="A3547" s="1"/>
      <c r="B3547" s="1"/>
      <c r="C3547" s="1"/>
      <c r="D3547" s="1"/>
      <c r="E3547" s="357">
        <v>45097</v>
      </c>
      <c r="F3547" s="344" t="s">
        <v>628</v>
      </c>
      <c r="G3547" s="358">
        <v>30.068899999999999</v>
      </c>
      <c r="H3547" s="344" t="s">
        <v>1521</v>
      </c>
    </row>
    <row r="3548" spans="1:8">
      <c r="A3548" s="1"/>
      <c r="B3548" s="1"/>
      <c r="C3548" s="1"/>
      <c r="D3548" s="1"/>
      <c r="E3548" s="357">
        <v>45097</v>
      </c>
      <c r="F3548" s="344" t="s">
        <v>631</v>
      </c>
      <c r="G3548" s="358">
        <v>23.577000000000002</v>
      </c>
      <c r="H3548" s="344" t="s">
        <v>1521</v>
      </c>
    </row>
    <row r="3549" spans="1:8">
      <c r="A3549" s="1"/>
      <c r="B3549" s="1"/>
      <c r="C3549" s="1"/>
      <c r="D3549" s="1"/>
      <c r="E3549" s="357">
        <v>45098</v>
      </c>
      <c r="F3549" s="344" t="s">
        <v>621</v>
      </c>
      <c r="G3549" s="358">
        <v>26.165500000000002</v>
      </c>
      <c r="H3549" s="344" t="s">
        <v>1522</v>
      </c>
    </row>
    <row r="3550" spans="1:8">
      <c r="A3550" s="1"/>
      <c r="B3550" s="1"/>
      <c r="C3550" s="1"/>
      <c r="D3550" s="1"/>
      <c r="E3550" s="357">
        <v>45098</v>
      </c>
      <c r="F3550" s="344" t="s">
        <v>625</v>
      </c>
      <c r="G3550" s="358">
        <v>25.711300000000001</v>
      </c>
      <c r="H3550" s="344" t="s">
        <v>1522</v>
      </c>
    </row>
    <row r="3551" spans="1:8">
      <c r="A3551" s="1"/>
      <c r="B3551" s="1"/>
      <c r="C3551" s="1"/>
      <c r="D3551" s="1"/>
      <c r="E3551" s="357">
        <v>45098</v>
      </c>
      <c r="F3551" s="344" t="s">
        <v>628</v>
      </c>
      <c r="G3551" s="358">
        <v>29.924099999999999</v>
      </c>
      <c r="H3551" s="344" t="s">
        <v>1522</v>
      </c>
    </row>
    <row r="3552" spans="1:8">
      <c r="A3552" s="1"/>
      <c r="B3552" s="1"/>
      <c r="C3552" s="1"/>
      <c r="D3552" s="1"/>
      <c r="E3552" s="357">
        <v>45098</v>
      </c>
      <c r="F3552" s="344" t="s">
        <v>631</v>
      </c>
      <c r="G3552" s="358">
        <v>23.549299999999999</v>
      </c>
      <c r="H3552" s="344" t="s">
        <v>1522</v>
      </c>
    </row>
    <row r="3553" spans="1:8">
      <c r="A3553" s="1"/>
      <c r="B3553" s="1"/>
      <c r="C3553" s="1"/>
      <c r="D3553" s="1"/>
      <c r="E3553" s="357">
        <v>45099</v>
      </c>
      <c r="F3553" s="344" t="s">
        <v>621</v>
      </c>
      <c r="G3553" s="358">
        <v>26.379899999999999</v>
      </c>
      <c r="H3553" s="344" t="s">
        <v>1523</v>
      </c>
    </row>
    <row r="3554" spans="1:8">
      <c r="A3554" s="1"/>
      <c r="B3554" s="1"/>
      <c r="C3554" s="1"/>
      <c r="D3554" s="1"/>
      <c r="E3554" s="357">
        <v>45099</v>
      </c>
      <c r="F3554" s="344" t="s">
        <v>625</v>
      </c>
      <c r="G3554" s="358">
        <v>25.973199999999999</v>
      </c>
      <c r="H3554" s="344" t="s">
        <v>1523</v>
      </c>
    </row>
    <row r="3555" spans="1:8">
      <c r="A3555" s="1"/>
      <c r="B3555" s="1"/>
      <c r="C3555" s="1"/>
      <c r="D3555" s="1"/>
      <c r="E3555" s="357">
        <v>45099</v>
      </c>
      <c r="F3555" s="344" t="s">
        <v>628</v>
      </c>
      <c r="G3555" s="358">
        <v>30.1221</v>
      </c>
      <c r="H3555" s="344" t="s">
        <v>1523</v>
      </c>
    </row>
    <row r="3556" spans="1:8">
      <c r="A3556" s="1"/>
      <c r="B3556" s="1"/>
      <c r="C3556" s="1"/>
      <c r="D3556" s="1"/>
      <c r="E3556" s="357">
        <v>45099</v>
      </c>
      <c r="F3556" s="344" t="s">
        <v>631</v>
      </c>
      <c r="G3556" s="358">
        <v>23.623899999999999</v>
      </c>
      <c r="H3556" s="344" t="s">
        <v>1523</v>
      </c>
    </row>
    <row r="3557" spans="1:8">
      <c r="A3557" s="1"/>
      <c r="B3557" s="1"/>
      <c r="C3557" s="1"/>
      <c r="D3557" s="1"/>
      <c r="E3557" s="357">
        <v>45100</v>
      </c>
      <c r="F3557" s="344" t="s">
        <v>621</v>
      </c>
      <c r="G3557" s="358">
        <v>28.011800000000001</v>
      </c>
      <c r="H3557" s="344" t="s">
        <v>1524</v>
      </c>
    </row>
    <row r="3558" spans="1:8">
      <c r="A3558" s="1"/>
      <c r="B3558" s="1"/>
      <c r="C3558" s="1"/>
      <c r="D3558" s="1"/>
      <c r="E3558" s="357">
        <v>45100</v>
      </c>
      <c r="F3558" s="344" t="s">
        <v>625</v>
      </c>
      <c r="G3558" s="358">
        <v>27.457899999999999</v>
      </c>
      <c r="H3558" s="344" t="s">
        <v>1524</v>
      </c>
    </row>
    <row r="3559" spans="1:8">
      <c r="A3559" s="1"/>
      <c r="B3559" s="1"/>
      <c r="C3559" s="1"/>
      <c r="D3559" s="1"/>
      <c r="E3559" s="357">
        <v>45100</v>
      </c>
      <c r="F3559" s="344" t="s">
        <v>628</v>
      </c>
      <c r="G3559" s="358">
        <v>32.051000000000002</v>
      </c>
      <c r="H3559" s="344" t="s">
        <v>1524</v>
      </c>
    </row>
    <row r="3560" spans="1:8">
      <c r="A3560" s="1"/>
      <c r="B3560" s="1"/>
      <c r="C3560" s="1"/>
      <c r="D3560" s="1"/>
      <c r="E3560" s="357">
        <v>45100</v>
      </c>
      <c r="F3560" s="344" t="s">
        <v>631</v>
      </c>
      <c r="G3560" s="358">
        <v>25.250499999999999</v>
      </c>
      <c r="H3560" s="344" t="s">
        <v>1524</v>
      </c>
    </row>
    <row r="3561" spans="1:8">
      <c r="A3561" s="1"/>
      <c r="B3561" s="1"/>
      <c r="C3561" s="1"/>
      <c r="D3561" s="1"/>
      <c r="E3561" s="357">
        <v>45103</v>
      </c>
      <c r="F3561" s="344" t="s">
        <v>621</v>
      </c>
      <c r="G3561" s="358">
        <v>28.8079</v>
      </c>
      <c r="H3561" s="344" t="s">
        <v>1525</v>
      </c>
    </row>
    <row r="3562" spans="1:8">
      <c r="A3562" s="1"/>
      <c r="B3562" s="1"/>
      <c r="C3562" s="1"/>
      <c r="D3562" s="1"/>
      <c r="E3562" s="357">
        <v>45103</v>
      </c>
      <c r="F3562" s="344" t="s">
        <v>625</v>
      </c>
      <c r="G3562" s="358">
        <v>28.154</v>
      </c>
      <c r="H3562" s="344" t="s">
        <v>1525</v>
      </c>
    </row>
    <row r="3563" spans="1:8">
      <c r="A3563" s="1"/>
      <c r="B3563" s="1"/>
      <c r="C3563" s="1"/>
      <c r="D3563" s="1"/>
      <c r="E3563" s="357">
        <v>45103</v>
      </c>
      <c r="F3563" s="344" t="s">
        <v>628</v>
      </c>
      <c r="G3563" s="358">
        <v>32.807600000000001</v>
      </c>
      <c r="H3563" s="344" t="s">
        <v>1525</v>
      </c>
    </row>
    <row r="3564" spans="1:8">
      <c r="A3564" s="1"/>
      <c r="B3564" s="1"/>
      <c r="C3564" s="1"/>
      <c r="D3564" s="1"/>
      <c r="E3564" s="357">
        <v>45103</v>
      </c>
      <c r="F3564" s="344" t="s">
        <v>631</v>
      </c>
      <c r="G3564" s="358">
        <v>25.8231</v>
      </c>
      <c r="H3564" s="344" t="s">
        <v>1525</v>
      </c>
    </row>
    <row r="3565" spans="1:8">
      <c r="A3565" s="1"/>
      <c r="B3565" s="1"/>
      <c r="C3565" s="1"/>
      <c r="D3565" s="1"/>
      <c r="E3565" s="357">
        <v>45110</v>
      </c>
      <c r="F3565" s="344" t="s">
        <v>621</v>
      </c>
      <c r="G3565" s="358">
        <v>28.889399999999998</v>
      </c>
      <c r="H3565" s="344" t="s">
        <v>1526</v>
      </c>
    </row>
    <row r="3566" spans="1:8">
      <c r="A3566" s="1"/>
      <c r="B3566" s="1"/>
      <c r="C3566" s="1"/>
      <c r="D3566" s="1"/>
      <c r="E3566" s="357">
        <v>45110</v>
      </c>
      <c r="F3566" s="344" t="s">
        <v>625</v>
      </c>
      <c r="G3566" s="358">
        <v>28.344799999999999</v>
      </c>
      <c r="H3566" s="344" t="s">
        <v>1526</v>
      </c>
    </row>
    <row r="3567" spans="1:8">
      <c r="A3567" s="1"/>
      <c r="B3567" s="1"/>
      <c r="C3567" s="1"/>
      <c r="D3567" s="1"/>
      <c r="E3567" s="357">
        <v>45110</v>
      </c>
      <c r="F3567" s="344" t="s">
        <v>628</v>
      </c>
      <c r="G3567" s="358">
        <v>32.935699999999997</v>
      </c>
      <c r="H3567" s="344" t="s">
        <v>1526</v>
      </c>
    </row>
    <row r="3568" spans="1:8">
      <c r="A3568" s="1"/>
      <c r="B3568" s="1"/>
      <c r="C3568" s="1"/>
      <c r="D3568" s="1"/>
      <c r="E3568" s="357">
        <v>45110</v>
      </c>
      <c r="F3568" s="344" t="s">
        <v>631</v>
      </c>
      <c r="G3568" s="358">
        <v>26.031199999999998</v>
      </c>
      <c r="H3568" s="344" t="s">
        <v>1526</v>
      </c>
    </row>
    <row r="3569" spans="1:8">
      <c r="A3569" s="1"/>
      <c r="B3569" s="1"/>
      <c r="C3569" s="1"/>
      <c r="D3569" s="1"/>
      <c r="E3569" s="357">
        <v>45111</v>
      </c>
      <c r="F3569" s="344" t="s">
        <v>621</v>
      </c>
      <c r="G3569" s="358">
        <v>28.963799999999999</v>
      </c>
      <c r="H3569" s="344" t="s">
        <v>1527</v>
      </c>
    </row>
    <row r="3570" spans="1:8">
      <c r="A3570" s="1"/>
      <c r="B3570" s="1"/>
      <c r="C3570" s="1"/>
      <c r="D3570" s="1"/>
      <c r="E3570" s="357">
        <v>45111</v>
      </c>
      <c r="F3570" s="344" t="s">
        <v>625</v>
      </c>
      <c r="G3570" s="358">
        <v>28.346399999999999</v>
      </c>
      <c r="H3570" s="344" t="s">
        <v>1527</v>
      </c>
    </row>
    <row r="3571" spans="1:8">
      <c r="A3571" s="1"/>
      <c r="B3571" s="1"/>
      <c r="C3571" s="1"/>
      <c r="D3571" s="1"/>
      <c r="E3571" s="357">
        <v>45111</v>
      </c>
      <c r="F3571" s="344" t="s">
        <v>628</v>
      </c>
      <c r="G3571" s="358">
        <v>32.976399999999998</v>
      </c>
      <c r="H3571" s="344" t="s">
        <v>1527</v>
      </c>
    </row>
    <row r="3572" spans="1:8">
      <c r="A3572" s="1"/>
      <c r="B3572" s="1"/>
      <c r="C3572" s="1"/>
      <c r="D3572" s="1"/>
      <c r="E3572" s="357">
        <v>45111</v>
      </c>
      <c r="F3572" s="344" t="s">
        <v>631</v>
      </c>
      <c r="G3572" s="358">
        <v>26.003499999999999</v>
      </c>
      <c r="H3572" s="344" t="s">
        <v>1527</v>
      </c>
    </row>
    <row r="3573" spans="1:8">
      <c r="A3573" s="1"/>
      <c r="B3573" s="1"/>
      <c r="C3573" s="1"/>
      <c r="D3573" s="1"/>
      <c r="E3573" s="357">
        <v>45112</v>
      </c>
      <c r="F3573" s="344" t="s">
        <v>621</v>
      </c>
      <c r="G3573" s="358">
        <v>28.9299</v>
      </c>
      <c r="H3573" s="344" t="s">
        <v>1528</v>
      </c>
    </row>
    <row r="3574" spans="1:8">
      <c r="A3574" s="1"/>
      <c r="B3574" s="1"/>
      <c r="C3574" s="1"/>
      <c r="D3574" s="1"/>
      <c r="E3574" s="357">
        <v>45112</v>
      </c>
      <c r="F3574" s="344" t="s">
        <v>625</v>
      </c>
      <c r="G3574" s="358">
        <v>28.351800000000001</v>
      </c>
      <c r="H3574" s="344" t="s">
        <v>1528</v>
      </c>
    </row>
    <row r="3575" spans="1:8">
      <c r="A3575" s="1"/>
      <c r="B3575" s="1"/>
      <c r="C3575" s="1"/>
      <c r="D3575" s="1"/>
      <c r="E3575" s="357">
        <v>45112</v>
      </c>
      <c r="F3575" s="344" t="s">
        <v>628</v>
      </c>
      <c r="G3575" s="358">
        <v>33.0413</v>
      </c>
      <c r="H3575" s="344" t="s">
        <v>1528</v>
      </c>
    </row>
    <row r="3576" spans="1:8">
      <c r="A3576" s="1"/>
      <c r="B3576" s="1"/>
      <c r="C3576" s="1"/>
      <c r="D3576" s="1"/>
      <c r="E3576" s="357">
        <v>45112</v>
      </c>
      <c r="F3576" s="344" t="s">
        <v>631</v>
      </c>
      <c r="G3576" s="358">
        <v>26.0474</v>
      </c>
      <c r="H3576" s="344" t="s">
        <v>1528</v>
      </c>
    </row>
    <row r="3577" spans="1:8">
      <c r="A3577" s="1"/>
      <c r="B3577" s="1"/>
      <c r="C3577" s="1"/>
      <c r="D3577" s="1"/>
      <c r="E3577" s="357">
        <v>45113</v>
      </c>
      <c r="F3577" s="344" t="s">
        <v>621</v>
      </c>
      <c r="G3577" s="358">
        <v>28.9693</v>
      </c>
      <c r="H3577" s="344" t="s">
        <v>1529</v>
      </c>
    </row>
    <row r="3578" spans="1:8">
      <c r="A3578" s="1"/>
      <c r="B3578" s="1"/>
      <c r="C3578" s="1"/>
      <c r="D3578" s="1"/>
      <c r="E3578" s="357">
        <v>45113</v>
      </c>
      <c r="F3578" s="344" t="s">
        <v>625</v>
      </c>
      <c r="G3578" s="358">
        <v>28.316099999999999</v>
      </c>
      <c r="H3578" s="344" t="s">
        <v>1529</v>
      </c>
    </row>
    <row r="3579" spans="1:8">
      <c r="A3579" s="1"/>
      <c r="B3579" s="1"/>
      <c r="C3579" s="1"/>
      <c r="D3579" s="1"/>
      <c r="E3579" s="357">
        <v>45113</v>
      </c>
      <c r="F3579" s="344" t="s">
        <v>628</v>
      </c>
      <c r="G3579" s="358">
        <v>33.1188</v>
      </c>
      <c r="H3579" s="344" t="s">
        <v>1529</v>
      </c>
    </row>
    <row r="3580" spans="1:8">
      <c r="A3580" s="1"/>
      <c r="B3580" s="1"/>
      <c r="C3580" s="1"/>
      <c r="D3580" s="1"/>
      <c r="E3580" s="357">
        <v>45113</v>
      </c>
      <c r="F3580" s="344" t="s">
        <v>631</v>
      </c>
      <c r="G3580" s="358">
        <v>26.045200000000001</v>
      </c>
      <c r="H3580" s="344" t="s">
        <v>1529</v>
      </c>
    </row>
    <row r="3581" spans="1:8">
      <c r="A3581" s="1"/>
      <c r="B3581" s="1"/>
      <c r="C3581" s="1"/>
      <c r="D3581" s="1"/>
      <c r="E3581" s="357">
        <v>45114</v>
      </c>
      <c r="F3581" s="344" t="s">
        <v>621</v>
      </c>
      <c r="G3581" s="358">
        <v>29.004200000000001</v>
      </c>
      <c r="H3581" s="344" t="s">
        <v>1530</v>
      </c>
    </row>
    <row r="3582" spans="1:8">
      <c r="A3582" s="1"/>
      <c r="B3582" s="1"/>
      <c r="C3582" s="1"/>
      <c r="D3582" s="1"/>
      <c r="E3582" s="357">
        <v>45114</v>
      </c>
      <c r="F3582" s="344" t="s">
        <v>625</v>
      </c>
      <c r="G3582" s="358">
        <v>28.337</v>
      </c>
      <c r="H3582" s="344" t="s">
        <v>1530</v>
      </c>
    </row>
    <row r="3583" spans="1:8">
      <c r="A3583" s="1"/>
      <c r="B3583" s="1"/>
      <c r="C3583" s="1"/>
      <c r="D3583" s="1"/>
      <c r="E3583" s="357">
        <v>45114</v>
      </c>
      <c r="F3583" s="344" t="s">
        <v>628</v>
      </c>
      <c r="G3583" s="358">
        <v>33.131599999999999</v>
      </c>
      <c r="H3583" s="344" t="s">
        <v>1530</v>
      </c>
    </row>
    <row r="3584" spans="1:8">
      <c r="A3584" s="1"/>
      <c r="B3584" s="1"/>
      <c r="C3584" s="1"/>
      <c r="D3584" s="1"/>
      <c r="E3584" s="357">
        <v>45114</v>
      </c>
      <c r="F3584" s="344" t="s">
        <v>631</v>
      </c>
      <c r="G3584" s="358">
        <v>26.0381</v>
      </c>
      <c r="H3584" s="344" t="s">
        <v>1530</v>
      </c>
    </row>
    <row r="3585" spans="1:8">
      <c r="A3585" s="1"/>
      <c r="B3585" s="1"/>
      <c r="C3585" s="1"/>
      <c r="D3585" s="1"/>
      <c r="E3585" s="357">
        <v>45117</v>
      </c>
      <c r="F3585" s="344" t="s">
        <v>621</v>
      </c>
      <c r="G3585" s="358">
        <v>29.2075</v>
      </c>
      <c r="H3585" s="344" t="s">
        <v>1531</v>
      </c>
    </row>
    <row r="3586" spans="1:8">
      <c r="A3586" s="1"/>
      <c r="B3586" s="1"/>
      <c r="C3586" s="1"/>
      <c r="D3586" s="1"/>
      <c r="E3586" s="357">
        <v>45117</v>
      </c>
      <c r="F3586" s="344" t="s">
        <v>625</v>
      </c>
      <c r="G3586" s="358">
        <v>28.551500000000001</v>
      </c>
      <c r="H3586" s="344" t="s">
        <v>1531</v>
      </c>
    </row>
    <row r="3587" spans="1:8">
      <c r="A3587" s="1"/>
      <c r="B3587" s="1"/>
      <c r="C3587" s="1"/>
      <c r="D3587" s="1"/>
      <c r="E3587" s="357">
        <v>45117</v>
      </c>
      <c r="F3587" s="344" t="s">
        <v>628</v>
      </c>
      <c r="G3587" s="358">
        <v>33.301699999999997</v>
      </c>
      <c r="H3587" s="344" t="s">
        <v>1531</v>
      </c>
    </row>
    <row r="3588" spans="1:8">
      <c r="A3588" s="1"/>
      <c r="B3588" s="1"/>
      <c r="C3588" s="1"/>
      <c r="D3588" s="1"/>
      <c r="E3588" s="357">
        <v>45117</v>
      </c>
      <c r="F3588" s="344" t="s">
        <v>631</v>
      </c>
      <c r="G3588" s="358">
        <v>26.0564</v>
      </c>
      <c r="H3588" s="344" t="s">
        <v>1531</v>
      </c>
    </row>
    <row r="3589" spans="1:8">
      <c r="A3589" s="1"/>
      <c r="B3589" s="1"/>
      <c r="C3589" s="1"/>
      <c r="D3589" s="1"/>
      <c r="E3589" s="357">
        <v>45118</v>
      </c>
      <c r="F3589" s="344" t="s">
        <v>621</v>
      </c>
      <c r="G3589" s="358">
        <v>29.4819</v>
      </c>
      <c r="H3589" s="344" t="s">
        <v>1532</v>
      </c>
    </row>
    <row r="3590" spans="1:8">
      <c r="A3590" s="1"/>
      <c r="B3590" s="1"/>
      <c r="C3590" s="1"/>
      <c r="D3590" s="1"/>
      <c r="E3590" s="357">
        <v>45118</v>
      </c>
      <c r="F3590" s="344" t="s">
        <v>625</v>
      </c>
      <c r="G3590" s="358">
        <v>28.691299999999998</v>
      </c>
      <c r="H3590" s="344" t="s">
        <v>1532</v>
      </c>
    </row>
    <row r="3591" spans="1:8">
      <c r="A3591" s="1"/>
      <c r="B3591" s="1"/>
      <c r="C3591" s="1"/>
      <c r="D3591" s="1"/>
      <c r="E3591" s="357">
        <v>45118</v>
      </c>
      <c r="F3591" s="344" t="s">
        <v>628</v>
      </c>
      <c r="G3591" s="358">
        <v>33.572800000000001</v>
      </c>
      <c r="H3591" s="344" t="s">
        <v>1532</v>
      </c>
    </row>
    <row r="3592" spans="1:8">
      <c r="A3592" s="1"/>
      <c r="B3592" s="1"/>
      <c r="C3592" s="1"/>
      <c r="D3592" s="1"/>
      <c r="E3592" s="357">
        <v>45118</v>
      </c>
      <c r="F3592" s="344" t="s">
        <v>631</v>
      </c>
      <c r="G3592" s="358">
        <v>26.072099999999999</v>
      </c>
      <c r="H3592" s="344" t="s">
        <v>1532</v>
      </c>
    </row>
    <row r="3593" spans="1:8">
      <c r="A3593" s="1"/>
      <c r="B3593" s="1"/>
      <c r="C3593" s="1"/>
      <c r="D3593" s="1"/>
      <c r="E3593" s="357">
        <v>45119</v>
      </c>
      <c r="F3593" s="344" t="s">
        <v>621</v>
      </c>
      <c r="G3593" s="358">
        <v>29.658200000000001</v>
      </c>
      <c r="H3593" s="344" t="s">
        <v>1533</v>
      </c>
    </row>
    <row r="3594" spans="1:8">
      <c r="A3594" s="1"/>
      <c r="B3594" s="1"/>
      <c r="C3594" s="1"/>
      <c r="D3594" s="1"/>
      <c r="E3594" s="357">
        <v>45119</v>
      </c>
      <c r="F3594" s="344" t="s">
        <v>625</v>
      </c>
      <c r="G3594" s="358">
        <v>28.778700000000001</v>
      </c>
      <c r="H3594" s="344" t="s">
        <v>1533</v>
      </c>
    </row>
    <row r="3595" spans="1:8">
      <c r="A3595" s="1"/>
      <c r="B3595" s="1"/>
      <c r="C3595" s="1"/>
      <c r="D3595" s="1"/>
      <c r="E3595" s="357">
        <v>45119</v>
      </c>
      <c r="F3595" s="344" t="s">
        <v>628</v>
      </c>
      <c r="G3595" s="358">
        <v>33.700400000000002</v>
      </c>
      <c r="H3595" s="344" t="s">
        <v>1533</v>
      </c>
    </row>
    <row r="3596" spans="1:8">
      <c r="A3596" s="1"/>
      <c r="B3596" s="1"/>
      <c r="C3596" s="1"/>
      <c r="D3596" s="1"/>
      <c r="E3596" s="357">
        <v>45119</v>
      </c>
      <c r="F3596" s="344" t="s">
        <v>631</v>
      </c>
      <c r="G3596" s="358">
        <v>26.1099</v>
      </c>
      <c r="H3596" s="344" t="s">
        <v>1533</v>
      </c>
    </row>
    <row r="3597" spans="1:8">
      <c r="A3597" s="1"/>
      <c r="B3597" s="1"/>
      <c r="C3597" s="1"/>
      <c r="D3597" s="1"/>
      <c r="E3597" s="357">
        <v>45120</v>
      </c>
      <c r="F3597" s="344" t="s">
        <v>621</v>
      </c>
      <c r="G3597" s="358">
        <v>30.1921</v>
      </c>
      <c r="H3597" s="344" t="s">
        <v>1534</v>
      </c>
    </row>
    <row r="3598" spans="1:8">
      <c r="A3598" s="1"/>
      <c r="B3598" s="1"/>
      <c r="C3598" s="1"/>
      <c r="D3598" s="1"/>
      <c r="E3598" s="357">
        <v>45120</v>
      </c>
      <c r="F3598" s="344" t="s">
        <v>625</v>
      </c>
      <c r="G3598" s="358">
        <v>29.159800000000001</v>
      </c>
      <c r="H3598" s="344" t="s">
        <v>1534</v>
      </c>
    </row>
    <row r="3599" spans="1:8">
      <c r="A3599" s="1"/>
      <c r="B3599" s="1"/>
      <c r="C3599" s="1"/>
      <c r="D3599" s="1"/>
      <c r="E3599" s="357">
        <v>45120</v>
      </c>
      <c r="F3599" s="344" t="s">
        <v>628</v>
      </c>
      <c r="G3599" s="358">
        <v>34.019199999999998</v>
      </c>
      <c r="H3599" s="344" t="s">
        <v>1534</v>
      </c>
    </row>
    <row r="3600" spans="1:8">
      <c r="A3600" s="1"/>
      <c r="B3600" s="1"/>
      <c r="C3600" s="1"/>
      <c r="D3600" s="1"/>
      <c r="E3600" s="357">
        <v>45120</v>
      </c>
      <c r="F3600" s="344" t="s">
        <v>631</v>
      </c>
      <c r="G3600" s="358">
        <v>26.119499999999999</v>
      </c>
      <c r="H3600" s="344" t="s">
        <v>1534</v>
      </c>
    </row>
    <row r="3601" spans="1:8">
      <c r="A3601" s="1"/>
      <c r="B3601" s="1"/>
      <c r="C3601" s="1"/>
      <c r="D3601" s="1"/>
      <c r="E3601" s="357">
        <v>45121</v>
      </c>
      <c r="F3601" s="344" t="s">
        <v>621</v>
      </c>
      <c r="G3601" s="358">
        <v>30.3748</v>
      </c>
      <c r="H3601" s="344" t="s">
        <v>1535</v>
      </c>
    </row>
    <row r="3602" spans="1:8">
      <c r="A3602" s="1"/>
      <c r="B3602" s="1"/>
      <c r="C3602" s="1"/>
      <c r="D3602" s="1"/>
      <c r="E3602" s="357">
        <v>45121</v>
      </c>
      <c r="F3602" s="344" t="s">
        <v>625</v>
      </c>
      <c r="G3602" s="358">
        <v>29.338999999999999</v>
      </c>
      <c r="H3602" s="344" t="s">
        <v>1535</v>
      </c>
    </row>
    <row r="3603" spans="1:8">
      <c r="A3603" s="1"/>
      <c r="B3603" s="1"/>
      <c r="C3603" s="1"/>
      <c r="D3603" s="1"/>
      <c r="E3603" s="357">
        <v>45121</v>
      </c>
      <c r="F3603" s="344" t="s">
        <v>628</v>
      </c>
      <c r="G3603" s="358">
        <v>34.222000000000001</v>
      </c>
      <c r="H3603" s="344" t="s">
        <v>1535</v>
      </c>
    </row>
    <row r="3604" spans="1:8">
      <c r="A3604" s="1"/>
      <c r="B3604" s="1"/>
      <c r="C3604" s="1"/>
      <c r="D3604" s="1"/>
      <c r="E3604" s="357">
        <v>45121</v>
      </c>
      <c r="F3604" s="344" t="s">
        <v>631</v>
      </c>
      <c r="G3604" s="358">
        <v>26.144600000000001</v>
      </c>
      <c r="H3604" s="344" t="s">
        <v>1535</v>
      </c>
    </row>
    <row r="3605" spans="1:8">
      <c r="A3605" s="1"/>
      <c r="B3605" s="1"/>
      <c r="C3605" s="1"/>
      <c r="D3605" s="1"/>
      <c r="E3605" s="357">
        <v>45124</v>
      </c>
      <c r="F3605" s="344" t="s">
        <v>621</v>
      </c>
      <c r="G3605" s="358">
        <v>30.4681</v>
      </c>
      <c r="H3605" s="344" t="s">
        <v>1536</v>
      </c>
    </row>
    <row r="3606" spans="1:8">
      <c r="A3606" s="1"/>
      <c r="B3606" s="1"/>
      <c r="C3606" s="1"/>
      <c r="D3606" s="1"/>
      <c r="E3606" s="357">
        <v>45124</v>
      </c>
      <c r="F3606" s="344" t="s">
        <v>625</v>
      </c>
      <c r="G3606" s="358">
        <v>29.486799999999999</v>
      </c>
      <c r="H3606" s="344" t="s">
        <v>1536</v>
      </c>
    </row>
    <row r="3607" spans="1:8">
      <c r="A3607" s="1"/>
      <c r="B3607" s="1"/>
      <c r="C3607" s="1"/>
      <c r="D3607" s="1"/>
      <c r="E3607" s="357">
        <v>45124</v>
      </c>
      <c r="F3607" s="344" t="s">
        <v>628</v>
      </c>
      <c r="G3607" s="358">
        <v>34.2864</v>
      </c>
      <c r="H3607" s="344" t="s">
        <v>1536</v>
      </c>
    </row>
    <row r="3608" spans="1:8">
      <c r="A3608" s="1"/>
      <c r="B3608" s="1"/>
      <c r="C3608" s="1"/>
      <c r="D3608" s="1"/>
      <c r="E3608" s="357">
        <v>45124</v>
      </c>
      <c r="F3608" s="344" t="s">
        <v>631</v>
      </c>
      <c r="G3608" s="358">
        <v>26.238800000000001</v>
      </c>
      <c r="H3608" s="344" t="s">
        <v>1536</v>
      </c>
    </row>
    <row r="3609" spans="1:8">
      <c r="A3609" s="1"/>
      <c r="B3609" s="1"/>
      <c r="C3609" s="1"/>
      <c r="D3609" s="1"/>
      <c r="E3609" s="357">
        <v>45125</v>
      </c>
      <c r="F3609" s="344" t="s">
        <v>621</v>
      </c>
      <c r="G3609" s="358">
        <v>31.185700000000001</v>
      </c>
      <c r="H3609" s="344" t="s">
        <v>1537</v>
      </c>
    </row>
    <row r="3610" spans="1:8">
      <c r="A3610" s="1"/>
      <c r="B3610" s="1"/>
      <c r="C3610" s="1"/>
      <c r="D3610" s="1"/>
      <c r="E3610" s="357">
        <v>45125</v>
      </c>
      <c r="F3610" s="344" t="s">
        <v>625</v>
      </c>
      <c r="G3610" s="358">
        <v>30.179099999999998</v>
      </c>
      <c r="H3610" s="344" t="s">
        <v>1537</v>
      </c>
    </row>
    <row r="3611" spans="1:8">
      <c r="A3611" s="1"/>
      <c r="B3611" s="1"/>
      <c r="C3611" s="1"/>
      <c r="D3611" s="1"/>
      <c r="E3611" s="357">
        <v>45125</v>
      </c>
      <c r="F3611" s="344" t="s">
        <v>628</v>
      </c>
      <c r="G3611" s="358">
        <v>35.073500000000003</v>
      </c>
      <c r="H3611" s="344" t="s">
        <v>1537</v>
      </c>
    </row>
    <row r="3612" spans="1:8">
      <c r="A3612" s="1"/>
      <c r="B3612" s="1"/>
      <c r="C3612" s="1"/>
      <c r="D3612" s="1"/>
      <c r="E3612" s="357">
        <v>45125</v>
      </c>
      <c r="F3612" s="344" t="s">
        <v>631</v>
      </c>
      <c r="G3612" s="358">
        <v>26.8232</v>
      </c>
      <c r="H3612" s="344" t="s">
        <v>1537</v>
      </c>
    </row>
    <row r="3613" spans="1:8">
      <c r="A3613" s="1"/>
      <c r="B3613" s="1"/>
      <c r="C3613" s="1"/>
      <c r="D3613" s="1"/>
      <c r="E3613" s="357">
        <v>45126</v>
      </c>
      <c r="F3613" s="344" t="s">
        <v>621</v>
      </c>
      <c r="G3613" s="358">
        <v>31.2576</v>
      </c>
      <c r="H3613" s="344" t="s">
        <v>1538</v>
      </c>
    </row>
    <row r="3614" spans="1:8">
      <c r="A3614" s="1"/>
      <c r="B3614" s="1"/>
      <c r="C3614" s="1"/>
      <c r="D3614" s="1"/>
      <c r="E3614" s="357">
        <v>45126</v>
      </c>
      <c r="F3614" s="344" t="s">
        <v>625</v>
      </c>
      <c r="G3614" s="358">
        <v>30.183</v>
      </c>
      <c r="H3614" s="344" t="s">
        <v>1538</v>
      </c>
    </row>
    <row r="3615" spans="1:8">
      <c r="A3615" s="1"/>
      <c r="B3615" s="1"/>
      <c r="C3615" s="1"/>
      <c r="D3615" s="1"/>
      <c r="E3615" s="357">
        <v>45126</v>
      </c>
      <c r="F3615" s="344" t="s">
        <v>628</v>
      </c>
      <c r="G3615" s="358">
        <v>34.729999999999997</v>
      </c>
      <c r="H3615" s="344" t="s">
        <v>1538</v>
      </c>
    </row>
    <row r="3616" spans="1:8">
      <c r="A3616" s="1"/>
      <c r="B3616" s="1"/>
      <c r="C3616" s="1"/>
      <c r="D3616" s="1"/>
      <c r="E3616" s="357">
        <v>45126</v>
      </c>
      <c r="F3616" s="344" t="s">
        <v>631</v>
      </c>
      <c r="G3616" s="358">
        <v>26.8963</v>
      </c>
      <c r="H3616" s="344" t="s">
        <v>1538</v>
      </c>
    </row>
    <row r="3617" spans="1:8">
      <c r="A3617" s="1"/>
      <c r="B3617" s="1"/>
      <c r="C3617" s="1"/>
      <c r="D3617" s="1"/>
      <c r="E3617" s="357">
        <v>45127</v>
      </c>
      <c r="F3617" s="344" t="s">
        <v>621</v>
      </c>
      <c r="G3617" s="358">
        <v>31.254300000000001</v>
      </c>
      <c r="H3617" s="344" t="s">
        <v>1539</v>
      </c>
    </row>
    <row r="3618" spans="1:8">
      <c r="A3618" s="1"/>
      <c r="B3618" s="1"/>
      <c r="C3618" s="1"/>
      <c r="D3618" s="1"/>
      <c r="E3618" s="357">
        <v>45127</v>
      </c>
      <c r="F3618" s="344" t="s">
        <v>625</v>
      </c>
      <c r="G3618" s="358">
        <v>30.1356</v>
      </c>
      <c r="H3618" s="344" t="s">
        <v>1539</v>
      </c>
    </row>
    <row r="3619" spans="1:8">
      <c r="A3619" s="1"/>
      <c r="B3619" s="1"/>
      <c r="C3619" s="1"/>
      <c r="D3619" s="1"/>
      <c r="E3619" s="357">
        <v>45127</v>
      </c>
      <c r="F3619" s="344" t="s">
        <v>628</v>
      </c>
      <c r="G3619" s="358">
        <v>34.646999999999998</v>
      </c>
      <c r="H3619" s="344" t="s">
        <v>1539</v>
      </c>
    </row>
    <row r="3620" spans="1:8">
      <c r="A3620" s="1"/>
      <c r="B3620" s="1"/>
      <c r="C3620" s="1"/>
      <c r="D3620" s="1"/>
      <c r="E3620" s="357">
        <v>45127</v>
      </c>
      <c r="F3620" s="344" t="s">
        <v>631</v>
      </c>
      <c r="G3620" s="358">
        <v>26.887799999999999</v>
      </c>
      <c r="H3620" s="344" t="s">
        <v>1539</v>
      </c>
    </row>
    <row r="3621" spans="1:8">
      <c r="A3621" s="1"/>
      <c r="B3621" s="1"/>
      <c r="C3621" s="1"/>
      <c r="D3621" s="1"/>
      <c r="E3621" s="357">
        <v>45128</v>
      </c>
      <c r="F3621" s="344" t="s">
        <v>621</v>
      </c>
      <c r="G3621" s="358">
        <v>30.9727</v>
      </c>
      <c r="H3621" s="344" t="s">
        <v>1540</v>
      </c>
    </row>
    <row r="3622" spans="1:8">
      <c r="A3622" s="1"/>
      <c r="B3622" s="1"/>
      <c r="C3622" s="1"/>
      <c r="D3622" s="1"/>
      <c r="E3622" s="357">
        <v>45128</v>
      </c>
      <c r="F3622" s="344" t="s">
        <v>625</v>
      </c>
      <c r="G3622" s="358">
        <v>29.928999999999998</v>
      </c>
      <c r="H3622" s="344" t="s">
        <v>1540</v>
      </c>
    </row>
    <row r="3623" spans="1:8">
      <c r="A3623" s="1"/>
      <c r="B3623" s="1"/>
      <c r="C3623" s="1"/>
      <c r="D3623" s="1"/>
      <c r="E3623" s="357">
        <v>45128</v>
      </c>
      <c r="F3623" s="344" t="s">
        <v>628</v>
      </c>
      <c r="G3623" s="358">
        <v>34.526699999999998</v>
      </c>
      <c r="H3623" s="344" t="s">
        <v>1540</v>
      </c>
    </row>
    <row r="3624" spans="1:8">
      <c r="A3624" s="1"/>
      <c r="B3624" s="1"/>
      <c r="C3624" s="1"/>
      <c r="D3624" s="1"/>
      <c r="E3624" s="357">
        <v>45128</v>
      </c>
      <c r="F3624" s="344" t="s">
        <v>631</v>
      </c>
      <c r="G3624" s="358">
        <v>26.894400000000001</v>
      </c>
      <c r="H3624" s="344" t="s">
        <v>1540</v>
      </c>
    </row>
    <row r="3625" spans="1:8">
      <c r="A3625" s="1"/>
      <c r="B3625" s="1"/>
      <c r="C3625" s="1"/>
      <c r="D3625" s="1"/>
      <c r="E3625" s="357">
        <v>45131</v>
      </c>
      <c r="F3625" s="344" t="s">
        <v>621</v>
      </c>
      <c r="G3625" s="358">
        <v>31.0123</v>
      </c>
      <c r="H3625" s="344" t="s">
        <v>1541</v>
      </c>
    </row>
    <row r="3626" spans="1:8">
      <c r="A3626" s="1"/>
      <c r="B3626" s="1"/>
      <c r="C3626" s="1"/>
      <c r="D3626" s="1"/>
      <c r="E3626" s="357">
        <v>45131</v>
      </c>
      <c r="F3626" s="344" t="s">
        <v>625</v>
      </c>
      <c r="G3626" s="358">
        <v>29.864599999999999</v>
      </c>
      <c r="H3626" s="344" t="s">
        <v>1541</v>
      </c>
    </row>
    <row r="3627" spans="1:8">
      <c r="A3627" s="1"/>
      <c r="B3627" s="1"/>
      <c r="C3627" s="1"/>
      <c r="D3627" s="1"/>
      <c r="E3627" s="357">
        <v>45131</v>
      </c>
      <c r="F3627" s="344" t="s">
        <v>628</v>
      </c>
      <c r="G3627" s="358">
        <v>34.515000000000001</v>
      </c>
      <c r="H3627" s="344" t="s">
        <v>1541</v>
      </c>
    </row>
    <row r="3628" spans="1:8">
      <c r="A3628" s="1"/>
      <c r="B3628" s="1"/>
      <c r="C3628" s="1"/>
      <c r="D3628" s="1"/>
      <c r="E3628" s="357">
        <v>45131</v>
      </c>
      <c r="F3628" s="344" t="s">
        <v>631</v>
      </c>
      <c r="G3628" s="358">
        <v>26.921199999999999</v>
      </c>
      <c r="H3628" s="344" t="s">
        <v>1541</v>
      </c>
    </row>
    <row r="3629" spans="1:8">
      <c r="A3629" s="1"/>
      <c r="B3629" s="1"/>
      <c r="C3629" s="1"/>
      <c r="D3629" s="1"/>
      <c r="E3629" s="357">
        <v>45132</v>
      </c>
      <c r="F3629" s="344" t="s">
        <v>621</v>
      </c>
      <c r="G3629" s="358">
        <v>30.931000000000001</v>
      </c>
      <c r="H3629" s="344" t="s">
        <v>1542</v>
      </c>
    </row>
    <row r="3630" spans="1:8">
      <c r="A3630" s="1"/>
      <c r="B3630" s="1"/>
      <c r="C3630" s="1"/>
      <c r="D3630" s="1"/>
      <c r="E3630" s="357">
        <v>45132</v>
      </c>
      <c r="F3630" s="344" t="s">
        <v>625</v>
      </c>
      <c r="G3630" s="358">
        <v>29.777799999999999</v>
      </c>
      <c r="H3630" s="344" t="s">
        <v>1542</v>
      </c>
    </row>
    <row r="3631" spans="1:8">
      <c r="A3631" s="1"/>
      <c r="B3631" s="1"/>
      <c r="C3631" s="1"/>
      <c r="D3631" s="1"/>
      <c r="E3631" s="357">
        <v>45132</v>
      </c>
      <c r="F3631" s="344" t="s">
        <v>628</v>
      </c>
      <c r="G3631" s="358">
        <v>34.526000000000003</v>
      </c>
      <c r="H3631" s="344" t="s">
        <v>1542</v>
      </c>
    </row>
    <row r="3632" spans="1:8">
      <c r="A3632" s="1"/>
      <c r="B3632" s="1"/>
      <c r="C3632" s="1"/>
      <c r="D3632" s="1"/>
      <c r="E3632" s="357">
        <v>45132</v>
      </c>
      <c r="F3632" s="344" t="s">
        <v>631</v>
      </c>
      <c r="G3632" s="358">
        <v>26.926300000000001</v>
      </c>
      <c r="H3632" s="344" t="s">
        <v>1542</v>
      </c>
    </row>
    <row r="3633" spans="1:8">
      <c r="A3633" s="1"/>
      <c r="B3633" s="1"/>
      <c r="C3633" s="1"/>
      <c r="D3633" s="1"/>
      <c r="E3633" s="357">
        <v>45133</v>
      </c>
      <c r="F3633" s="344" t="s">
        <v>621</v>
      </c>
      <c r="G3633" s="358">
        <v>31.160499999999999</v>
      </c>
      <c r="H3633" s="344" t="s">
        <v>1543</v>
      </c>
    </row>
    <row r="3634" spans="1:8">
      <c r="A3634" s="1"/>
      <c r="B3634" s="1"/>
      <c r="C3634" s="1"/>
      <c r="D3634" s="1"/>
      <c r="E3634" s="357">
        <v>45133</v>
      </c>
      <c r="F3634" s="344" t="s">
        <v>625</v>
      </c>
      <c r="G3634" s="358">
        <v>29.8139</v>
      </c>
      <c r="H3634" s="344" t="s">
        <v>1543</v>
      </c>
    </row>
    <row r="3635" spans="1:8">
      <c r="A3635" s="1"/>
      <c r="B3635" s="1"/>
      <c r="C3635" s="1"/>
      <c r="D3635" s="1"/>
      <c r="E3635" s="357">
        <v>45133</v>
      </c>
      <c r="F3635" s="344" t="s">
        <v>628</v>
      </c>
      <c r="G3635" s="358">
        <v>34.700400000000002</v>
      </c>
      <c r="H3635" s="344" t="s">
        <v>1543</v>
      </c>
    </row>
    <row r="3636" spans="1:8">
      <c r="A3636" s="1"/>
      <c r="B3636" s="1"/>
      <c r="C3636" s="1"/>
      <c r="D3636" s="1"/>
      <c r="E3636" s="357">
        <v>45133</v>
      </c>
      <c r="F3636" s="344" t="s">
        <v>631</v>
      </c>
      <c r="G3636" s="358">
        <v>26.9283</v>
      </c>
      <c r="H3636" s="344" t="s">
        <v>1543</v>
      </c>
    </row>
    <row r="3637" spans="1:8">
      <c r="A3637" s="1"/>
      <c r="B3637" s="1"/>
      <c r="C3637" s="1"/>
      <c r="D3637" s="1"/>
      <c r="E3637" s="357">
        <v>45134</v>
      </c>
      <c r="F3637" s="344" t="s">
        <v>621</v>
      </c>
      <c r="G3637" s="358">
        <v>31.3492</v>
      </c>
      <c r="H3637" s="344" t="s">
        <v>1544</v>
      </c>
    </row>
    <row r="3638" spans="1:8">
      <c r="A3638" s="1"/>
      <c r="B3638" s="1"/>
      <c r="C3638" s="1"/>
      <c r="D3638" s="1"/>
      <c r="E3638" s="357">
        <v>45134</v>
      </c>
      <c r="F3638" s="344" t="s">
        <v>625</v>
      </c>
      <c r="G3638" s="358">
        <v>29.9756</v>
      </c>
      <c r="H3638" s="344" t="s">
        <v>1544</v>
      </c>
    </row>
    <row r="3639" spans="1:8">
      <c r="A3639" s="1"/>
      <c r="B3639" s="1"/>
      <c r="C3639" s="1"/>
      <c r="D3639" s="1"/>
      <c r="E3639" s="357">
        <v>45134</v>
      </c>
      <c r="F3639" s="344" t="s">
        <v>628</v>
      </c>
      <c r="G3639" s="358">
        <v>34.875500000000002</v>
      </c>
      <c r="H3639" s="344" t="s">
        <v>1544</v>
      </c>
    </row>
    <row r="3640" spans="1:8">
      <c r="A3640" s="1"/>
      <c r="B3640" s="1"/>
      <c r="C3640" s="1"/>
      <c r="D3640" s="1"/>
      <c r="E3640" s="357">
        <v>45134</v>
      </c>
      <c r="F3640" s="344" t="s">
        <v>631</v>
      </c>
      <c r="G3640" s="358">
        <v>26.930800000000001</v>
      </c>
      <c r="H3640" s="344" t="s">
        <v>1544</v>
      </c>
    </row>
    <row r="3641" spans="1:8">
      <c r="A3641" s="1"/>
      <c r="B3641" s="1"/>
      <c r="C3641" s="1"/>
      <c r="D3641" s="1"/>
      <c r="E3641" s="357">
        <v>45135</v>
      </c>
      <c r="F3641" s="344" t="s">
        <v>621</v>
      </c>
      <c r="G3641" s="358">
        <v>30.8767</v>
      </c>
      <c r="H3641" s="344" t="s">
        <v>1545</v>
      </c>
    </row>
    <row r="3642" spans="1:8">
      <c r="A3642" s="1"/>
      <c r="B3642" s="1"/>
      <c r="C3642" s="1"/>
      <c r="D3642" s="1"/>
      <c r="E3642" s="357">
        <v>45135</v>
      </c>
      <c r="F3642" s="344" t="s">
        <v>625</v>
      </c>
      <c r="G3642" s="358">
        <v>29.57</v>
      </c>
      <c r="H3642" s="344" t="s">
        <v>1545</v>
      </c>
    </row>
    <row r="3643" spans="1:8">
      <c r="A3643" s="1"/>
      <c r="B3643" s="1"/>
      <c r="C3643" s="1"/>
      <c r="D3643" s="1"/>
      <c r="E3643" s="357">
        <v>45135</v>
      </c>
      <c r="F3643" s="344" t="s">
        <v>628</v>
      </c>
      <c r="G3643" s="358">
        <v>34.473999999999997</v>
      </c>
      <c r="H3643" s="344" t="s">
        <v>1545</v>
      </c>
    </row>
    <row r="3644" spans="1:8">
      <c r="A3644" s="1"/>
      <c r="B3644" s="1"/>
      <c r="C3644" s="1"/>
      <c r="D3644" s="1"/>
      <c r="E3644" s="357">
        <v>45135</v>
      </c>
      <c r="F3644" s="344" t="s">
        <v>631</v>
      </c>
      <c r="G3644" s="358">
        <v>26.939399999999999</v>
      </c>
      <c r="H3644" s="344" t="s">
        <v>1545</v>
      </c>
    </row>
    <row r="3645" spans="1:8">
      <c r="A3645" s="1"/>
      <c r="B3645" s="1"/>
      <c r="C3645" s="1"/>
      <c r="D3645" s="1"/>
      <c r="E3645" s="357">
        <v>45138</v>
      </c>
      <c r="F3645" s="344" t="s">
        <v>621</v>
      </c>
      <c r="G3645" s="358">
        <v>30.866800000000001</v>
      </c>
      <c r="H3645" s="344" t="s">
        <v>1546</v>
      </c>
    </row>
    <row r="3646" spans="1:8">
      <c r="A3646" s="1"/>
      <c r="B3646" s="1"/>
      <c r="C3646" s="1"/>
      <c r="D3646" s="1"/>
      <c r="E3646" s="357">
        <v>45138</v>
      </c>
      <c r="F3646" s="344" t="s">
        <v>625</v>
      </c>
      <c r="G3646" s="358">
        <v>29.698899999999998</v>
      </c>
      <c r="H3646" s="344" t="s">
        <v>1546</v>
      </c>
    </row>
    <row r="3647" spans="1:8">
      <c r="A3647" s="1"/>
      <c r="B3647" s="1"/>
      <c r="C3647" s="1"/>
      <c r="D3647" s="1"/>
      <c r="E3647" s="357">
        <v>45138</v>
      </c>
      <c r="F3647" s="344" t="s">
        <v>628</v>
      </c>
      <c r="G3647" s="358">
        <v>34.572200000000002</v>
      </c>
      <c r="H3647" s="344" t="s">
        <v>1546</v>
      </c>
    </row>
    <row r="3648" spans="1:8">
      <c r="A3648" s="1"/>
      <c r="B3648" s="1"/>
      <c r="C3648" s="1"/>
      <c r="D3648" s="1"/>
      <c r="E3648" s="357">
        <v>45138</v>
      </c>
      <c r="F3648" s="344" t="s">
        <v>631</v>
      </c>
      <c r="G3648" s="358">
        <v>26.932300000000001</v>
      </c>
      <c r="H3648" s="344" t="s">
        <v>1546</v>
      </c>
    </row>
    <row r="3649" spans="1:8">
      <c r="A3649" s="1"/>
      <c r="B3649" s="1"/>
      <c r="C3649" s="1"/>
      <c r="D3649" s="1"/>
      <c r="E3649" s="357">
        <v>45139</v>
      </c>
      <c r="F3649" s="344" t="s">
        <v>621</v>
      </c>
      <c r="G3649" s="358">
        <v>30.728100000000001</v>
      </c>
      <c r="H3649" s="344" t="s">
        <v>1547</v>
      </c>
    </row>
    <row r="3650" spans="1:8">
      <c r="A3650" s="1"/>
      <c r="B3650" s="1"/>
      <c r="C3650" s="1"/>
      <c r="D3650" s="1"/>
      <c r="E3650" s="357">
        <v>45139</v>
      </c>
      <c r="F3650" s="344" t="s">
        <v>625</v>
      </c>
      <c r="G3650" s="358">
        <v>29.5733</v>
      </c>
      <c r="H3650" s="344" t="s">
        <v>1547</v>
      </c>
    </row>
    <row r="3651" spans="1:8">
      <c r="A3651" s="1"/>
      <c r="B3651" s="1"/>
      <c r="C3651" s="1"/>
      <c r="D3651" s="1"/>
      <c r="E3651" s="357">
        <v>45139</v>
      </c>
      <c r="F3651" s="344" t="s">
        <v>628</v>
      </c>
      <c r="G3651" s="358">
        <v>34.450899999999997</v>
      </c>
      <c r="H3651" s="344" t="s">
        <v>1547</v>
      </c>
    </row>
    <row r="3652" spans="1:8">
      <c r="A3652" s="1"/>
      <c r="B3652" s="1"/>
      <c r="C3652" s="1"/>
      <c r="D3652" s="1"/>
      <c r="E3652" s="357">
        <v>45139</v>
      </c>
      <c r="F3652" s="344" t="s">
        <v>631</v>
      </c>
      <c r="G3652" s="358">
        <v>26.9329</v>
      </c>
      <c r="H3652" s="344" t="s">
        <v>1547</v>
      </c>
    </row>
    <row r="3653" spans="1:8">
      <c r="A3653" s="1"/>
      <c r="B3653" s="1"/>
      <c r="C3653" s="1"/>
      <c r="D3653" s="1"/>
      <c r="E3653" s="357">
        <v>45140</v>
      </c>
      <c r="F3653" s="344" t="s">
        <v>621</v>
      </c>
      <c r="G3653" s="358">
        <v>30.6465</v>
      </c>
      <c r="H3653" s="344" t="s">
        <v>1548</v>
      </c>
    </row>
    <row r="3654" spans="1:8">
      <c r="A3654" s="1"/>
      <c r="B3654" s="1"/>
      <c r="C3654" s="1"/>
      <c r="D3654" s="1"/>
      <c r="E3654" s="357">
        <v>45140</v>
      </c>
      <c r="F3654" s="344" t="s">
        <v>625</v>
      </c>
      <c r="G3654" s="358">
        <v>29.588699999999999</v>
      </c>
      <c r="H3654" s="344" t="s">
        <v>1548</v>
      </c>
    </row>
    <row r="3655" spans="1:8">
      <c r="A3655" s="1"/>
      <c r="B3655" s="1"/>
      <c r="C3655" s="1"/>
      <c r="D3655" s="1"/>
      <c r="E3655" s="357">
        <v>45140</v>
      </c>
      <c r="F3655" s="344" t="s">
        <v>628</v>
      </c>
      <c r="G3655" s="358">
        <v>34.367400000000004</v>
      </c>
      <c r="H3655" s="344" t="s">
        <v>1548</v>
      </c>
    </row>
    <row r="3656" spans="1:8">
      <c r="A3656" s="1"/>
      <c r="B3656" s="1"/>
      <c r="C3656" s="1"/>
      <c r="D3656" s="1"/>
      <c r="E3656" s="357">
        <v>45140</v>
      </c>
      <c r="F3656" s="344" t="s">
        <v>631</v>
      </c>
      <c r="G3656" s="358">
        <v>26.938199999999998</v>
      </c>
      <c r="H3656" s="344" t="s">
        <v>1548</v>
      </c>
    </row>
    <row r="3657" spans="1:8">
      <c r="A3657" s="1"/>
      <c r="B3657" s="1"/>
      <c r="C3657" s="1"/>
      <c r="D3657" s="1"/>
      <c r="E3657" s="357">
        <v>45141</v>
      </c>
      <c r="F3657" s="344" t="s">
        <v>621</v>
      </c>
      <c r="G3657" s="358">
        <v>30.648900000000001</v>
      </c>
      <c r="H3657" s="344" t="s">
        <v>1549</v>
      </c>
    </row>
    <row r="3658" spans="1:8">
      <c r="A3658" s="1"/>
      <c r="B3658" s="1"/>
      <c r="C3658" s="1"/>
      <c r="D3658" s="1"/>
      <c r="E3658" s="357">
        <v>45141</v>
      </c>
      <c r="F3658" s="344" t="s">
        <v>625</v>
      </c>
      <c r="G3658" s="358">
        <v>29.450700000000001</v>
      </c>
      <c r="H3658" s="344" t="s">
        <v>1549</v>
      </c>
    </row>
    <row r="3659" spans="1:8">
      <c r="A3659" s="1"/>
      <c r="B3659" s="1"/>
      <c r="C3659" s="1"/>
      <c r="D3659" s="1"/>
      <c r="E3659" s="357">
        <v>45141</v>
      </c>
      <c r="F3659" s="344" t="s">
        <v>628</v>
      </c>
      <c r="G3659" s="358">
        <v>34.094700000000003</v>
      </c>
      <c r="H3659" s="344" t="s">
        <v>1549</v>
      </c>
    </row>
    <row r="3660" spans="1:8">
      <c r="A3660" s="1"/>
      <c r="B3660" s="1"/>
      <c r="C3660" s="1"/>
      <c r="D3660" s="1"/>
      <c r="E3660" s="357">
        <v>45141</v>
      </c>
      <c r="F3660" s="344" t="s">
        <v>631</v>
      </c>
      <c r="G3660" s="358">
        <v>26.9498</v>
      </c>
      <c r="H3660" s="344" t="s">
        <v>1549</v>
      </c>
    </row>
    <row r="3661" spans="1:8">
      <c r="A3661" s="1"/>
      <c r="B3661" s="1"/>
      <c r="C3661" s="1"/>
      <c r="D3661" s="1"/>
      <c r="E3661" s="357">
        <v>45142</v>
      </c>
      <c r="F3661" s="344" t="s">
        <v>621</v>
      </c>
      <c r="G3661" s="358">
        <v>30.662700000000001</v>
      </c>
      <c r="H3661" s="344" t="s">
        <v>1550</v>
      </c>
    </row>
    <row r="3662" spans="1:8">
      <c r="A3662" s="1"/>
      <c r="B3662" s="1"/>
      <c r="C3662" s="1"/>
      <c r="D3662" s="1"/>
      <c r="E3662" s="357">
        <v>45142</v>
      </c>
      <c r="F3662" s="344" t="s">
        <v>625</v>
      </c>
      <c r="G3662" s="358">
        <v>29.497900000000001</v>
      </c>
      <c r="H3662" s="344" t="s">
        <v>1550</v>
      </c>
    </row>
    <row r="3663" spans="1:8">
      <c r="A3663" s="1"/>
      <c r="B3663" s="1"/>
      <c r="C3663" s="1"/>
      <c r="D3663" s="1"/>
      <c r="E3663" s="357">
        <v>45142</v>
      </c>
      <c r="F3663" s="344" t="s">
        <v>628</v>
      </c>
      <c r="G3663" s="358">
        <v>34.182499999999997</v>
      </c>
      <c r="H3663" s="344" t="s">
        <v>1550</v>
      </c>
    </row>
    <row r="3664" spans="1:8">
      <c r="A3664" s="1"/>
      <c r="B3664" s="1"/>
      <c r="C3664" s="1"/>
      <c r="D3664" s="1"/>
      <c r="E3664" s="357">
        <v>45142</v>
      </c>
      <c r="F3664" s="344" t="s">
        <v>631</v>
      </c>
      <c r="G3664" s="358">
        <v>26.954499999999999</v>
      </c>
      <c r="H3664" s="344" t="s">
        <v>1550</v>
      </c>
    </row>
    <row r="3665" spans="1:8">
      <c r="A3665" s="1"/>
      <c r="B3665" s="1"/>
      <c r="C3665" s="1"/>
      <c r="D3665" s="1"/>
      <c r="E3665" s="357">
        <v>45145</v>
      </c>
      <c r="F3665" s="344" t="s">
        <v>621</v>
      </c>
      <c r="G3665" s="358">
        <v>30.712399999999999</v>
      </c>
      <c r="H3665" s="344" t="s">
        <v>1551</v>
      </c>
    </row>
    <row r="3666" spans="1:8">
      <c r="A3666" s="1"/>
      <c r="B3666" s="1"/>
      <c r="C3666" s="1"/>
      <c r="D3666" s="1"/>
      <c r="E3666" s="357">
        <v>45145</v>
      </c>
      <c r="F3666" s="344" t="s">
        <v>625</v>
      </c>
      <c r="G3666" s="358">
        <v>29.603400000000001</v>
      </c>
      <c r="H3666" s="344" t="s">
        <v>1551</v>
      </c>
    </row>
    <row r="3667" spans="1:8">
      <c r="A3667" s="1"/>
      <c r="B3667" s="1"/>
      <c r="C3667" s="1"/>
      <c r="D3667" s="1"/>
      <c r="E3667" s="357">
        <v>45145</v>
      </c>
      <c r="F3667" s="344" t="s">
        <v>628</v>
      </c>
      <c r="G3667" s="358">
        <v>34.272599999999997</v>
      </c>
      <c r="H3667" s="344" t="s">
        <v>1551</v>
      </c>
    </row>
    <row r="3668" spans="1:8">
      <c r="A3668" s="1"/>
      <c r="B3668" s="1"/>
      <c r="C3668" s="1"/>
      <c r="D3668" s="1"/>
      <c r="E3668" s="357">
        <v>45145</v>
      </c>
      <c r="F3668" s="344" t="s">
        <v>631</v>
      </c>
      <c r="G3668" s="358">
        <v>26.9651</v>
      </c>
      <c r="H3668" s="344" t="s">
        <v>1551</v>
      </c>
    </row>
    <row r="3669" spans="1:8">
      <c r="A3669" s="1"/>
      <c r="B3669" s="1"/>
      <c r="C3669" s="1"/>
      <c r="D3669" s="1"/>
      <c r="E3669" s="357">
        <v>45146</v>
      </c>
      <c r="F3669" s="344" t="s">
        <v>621</v>
      </c>
      <c r="G3669" s="358">
        <v>30.758800000000001</v>
      </c>
      <c r="H3669" s="344" t="s">
        <v>1552</v>
      </c>
    </row>
    <row r="3670" spans="1:8">
      <c r="A3670" s="1"/>
      <c r="B3670" s="1"/>
      <c r="C3670" s="1"/>
      <c r="D3670" s="1"/>
      <c r="E3670" s="357">
        <v>45146</v>
      </c>
      <c r="F3670" s="344" t="s">
        <v>625</v>
      </c>
      <c r="G3670" s="358">
        <v>29.602399999999999</v>
      </c>
      <c r="H3670" s="344" t="s">
        <v>1552</v>
      </c>
    </row>
    <row r="3671" spans="1:8">
      <c r="A3671" s="1"/>
      <c r="B3671" s="1"/>
      <c r="C3671" s="1"/>
      <c r="D3671" s="1"/>
      <c r="E3671" s="357">
        <v>45146</v>
      </c>
      <c r="F3671" s="344" t="s">
        <v>628</v>
      </c>
      <c r="G3671" s="358">
        <v>34.306399999999996</v>
      </c>
      <c r="H3671" s="344" t="s">
        <v>1552</v>
      </c>
    </row>
    <row r="3672" spans="1:8">
      <c r="A3672" s="1"/>
      <c r="B3672" s="1"/>
      <c r="C3672" s="1"/>
      <c r="D3672" s="1"/>
      <c r="E3672" s="357">
        <v>45146</v>
      </c>
      <c r="F3672" s="344" t="s">
        <v>631</v>
      </c>
      <c r="G3672" s="358">
        <v>26.981999999999999</v>
      </c>
      <c r="H3672" s="344" t="s">
        <v>1552</v>
      </c>
    </row>
    <row r="3673" spans="1:8">
      <c r="A3673" s="1"/>
      <c r="B3673" s="1"/>
      <c r="C3673" s="1"/>
      <c r="D3673" s="1"/>
      <c r="E3673" s="357">
        <v>45147</v>
      </c>
      <c r="F3673" s="344" t="s">
        <v>621</v>
      </c>
      <c r="G3673" s="358">
        <v>30.758600000000001</v>
      </c>
      <c r="H3673" s="344" t="s">
        <v>1553</v>
      </c>
    </row>
    <row r="3674" spans="1:8">
      <c r="A3674" s="1"/>
      <c r="B3674" s="1"/>
      <c r="C3674" s="1"/>
      <c r="D3674" s="1"/>
      <c r="E3674" s="357">
        <v>45147</v>
      </c>
      <c r="F3674" s="344" t="s">
        <v>625</v>
      </c>
      <c r="G3674" s="358">
        <v>29.6279</v>
      </c>
      <c r="H3674" s="344" t="s">
        <v>1553</v>
      </c>
    </row>
    <row r="3675" spans="1:8">
      <c r="A3675" s="1"/>
      <c r="B3675" s="1"/>
      <c r="C3675" s="1"/>
      <c r="D3675" s="1"/>
      <c r="E3675" s="357">
        <v>45147</v>
      </c>
      <c r="F3675" s="344" t="s">
        <v>628</v>
      </c>
      <c r="G3675" s="358">
        <v>34.3536</v>
      </c>
      <c r="H3675" s="344" t="s">
        <v>1553</v>
      </c>
    </row>
    <row r="3676" spans="1:8">
      <c r="A3676" s="1"/>
      <c r="B3676" s="1"/>
      <c r="C3676" s="1"/>
      <c r="D3676" s="1"/>
      <c r="E3676" s="357">
        <v>45147</v>
      </c>
      <c r="F3676" s="344" t="s">
        <v>631</v>
      </c>
      <c r="G3676" s="358">
        <v>26.9892</v>
      </c>
      <c r="H3676" s="344" t="s">
        <v>1553</v>
      </c>
    </row>
    <row r="3677" spans="1:8">
      <c r="A3677" s="1"/>
      <c r="B3677" s="1"/>
      <c r="C3677" s="1"/>
      <c r="D3677" s="1"/>
      <c r="E3677" s="357">
        <v>45148</v>
      </c>
      <c r="F3677" s="344" t="s">
        <v>621</v>
      </c>
      <c r="G3677" s="358">
        <v>30.822299999999998</v>
      </c>
      <c r="H3677" s="344" t="s">
        <v>1554</v>
      </c>
    </row>
    <row r="3678" spans="1:8">
      <c r="A3678" s="1"/>
      <c r="B3678" s="1"/>
      <c r="C3678" s="1"/>
      <c r="D3678" s="1"/>
      <c r="E3678" s="357">
        <v>45148</v>
      </c>
      <c r="F3678" s="344" t="s">
        <v>625</v>
      </c>
      <c r="G3678" s="358">
        <v>29.736499999999999</v>
      </c>
      <c r="H3678" s="344" t="s">
        <v>1554</v>
      </c>
    </row>
    <row r="3679" spans="1:8">
      <c r="A3679" s="1"/>
      <c r="B3679" s="1"/>
      <c r="C3679" s="1"/>
      <c r="D3679" s="1"/>
      <c r="E3679" s="357">
        <v>45148</v>
      </c>
      <c r="F3679" s="344" t="s">
        <v>628</v>
      </c>
      <c r="G3679" s="358">
        <v>34.376199999999997</v>
      </c>
      <c r="H3679" s="344" t="s">
        <v>1554</v>
      </c>
    </row>
    <row r="3680" spans="1:8">
      <c r="A3680" s="1"/>
      <c r="B3680" s="1"/>
      <c r="C3680" s="1"/>
      <c r="D3680" s="1"/>
      <c r="E3680" s="357">
        <v>45148</v>
      </c>
      <c r="F3680" s="344" t="s">
        <v>631</v>
      </c>
      <c r="G3680" s="358">
        <v>26.997800000000002</v>
      </c>
      <c r="H3680" s="344" t="s">
        <v>1554</v>
      </c>
    </row>
    <row r="3681" spans="1:8">
      <c r="A3681" s="1"/>
      <c r="B3681" s="1"/>
      <c r="C3681" s="1"/>
      <c r="D3681" s="1"/>
      <c r="E3681" s="357">
        <v>45149</v>
      </c>
      <c r="F3681" s="344" t="s">
        <v>621</v>
      </c>
      <c r="G3681" s="358">
        <v>30.745100000000001</v>
      </c>
      <c r="H3681" s="344" t="s">
        <v>1555</v>
      </c>
    </row>
    <row r="3682" spans="1:8">
      <c r="A3682" s="1"/>
      <c r="B3682" s="1"/>
      <c r="C3682" s="1"/>
      <c r="D3682" s="1"/>
      <c r="E3682" s="357">
        <v>45149</v>
      </c>
      <c r="F3682" s="344" t="s">
        <v>625</v>
      </c>
      <c r="G3682" s="358">
        <v>29.6845</v>
      </c>
      <c r="H3682" s="344" t="s">
        <v>1555</v>
      </c>
    </row>
    <row r="3683" spans="1:8">
      <c r="A3683" s="1"/>
      <c r="B3683" s="1"/>
      <c r="C3683" s="1"/>
      <c r="D3683" s="1"/>
      <c r="E3683" s="357">
        <v>45149</v>
      </c>
      <c r="F3683" s="344" t="s">
        <v>628</v>
      </c>
      <c r="G3683" s="358">
        <v>34.267200000000003</v>
      </c>
      <c r="H3683" s="344" t="s">
        <v>1555</v>
      </c>
    </row>
    <row r="3684" spans="1:8">
      <c r="A3684" s="1"/>
      <c r="B3684" s="1"/>
      <c r="C3684" s="1"/>
      <c r="D3684" s="1"/>
      <c r="E3684" s="357">
        <v>45149</v>
      </c>
      <c r="F3684" s="344" t="s">
        <v>631</v>
      </c>
      <c r="G3684" s="358">
        <v>27.0059</v>
      </c>
      <c r="H3684" s="344" t="s">
        <v>1555</v>
      </c>
    </row>
    <row r="3685" spans="1:8">
      <c r="A3685" s="1"/>
      <c r="B3685" s="1"/>
      <c r="C3685" s="1"/>
      <c r="D3685" s="1"/>
      <c r="E3685" s="357">
        <v>45152</v>
      </c>
      <c r="F3685" s="344" t="s">
        <v>621</v>
      </c>
      <c r="G3685" s="358">
        <v>30.738399999999999</v>
      </c>
      <c r="H3685" s="344" t="s">
        <v>1556</v>
      </c>
    </row>
    <row r="3686" spans="1:8">
      <c r="A3686" s="1"/>
      <c r="B3686" s="1"/>
      <c r="C3686" s="1"/>
      <c r="D3686" s="1"/>
      <c r="E3686" s="357">
        <v>45152</v>
      </c>
      <c r="F3686" s="344" t="s">
        <v>625</v>
      </c>
      <c r="G3686" s="358">
        <v>29.5687</v>
      </c>
      <c r="H3686" s="344" t="s">
        <v>1556</v>
      </c>
    </row>
    <row r="3687" spans="1:8">
      <c r="A3687" s="1"/>
      <c r="B3687" s="1"/>
      <c r="C3687" s="1"/>
      <c r="D3687" s="1"/>
      <c r="E3687" s="357">
        <v>45152</v>
      </c>
      <c r="F3687" s="344" t="s">
        <v>628</v>
      </c>
      <c r="G3687" s="358">
        <v>34.235199999999999</v>
      </c>
      <c r="H3687" s="344" t="s">
        <v>1556</v>
      </c>
    </row>
    <row r="3688" spans="1:8">
      <c r="A3688" s="1"/>
      <c r="B3688" s="1"/>
      <c r="C3688" s="1"/>
      <c r="D3688" s="1"/>
      <c r="E3688" s="357">
        <v>45152</v>
      </c>
      <c r="F3688" s="344" t="s">
        <v>631</v>
      </c>
      <c r="G3688" s="358">
        <v>27.016999999999999</v>
      </c>
      <c r="H3688" s="344" t="s">
        <v>1556</v>
      </c>
    </row>
    <row r="3689" spans="1:8">
      <c r="A3689" s="1"/>
      <c r="B3689" s="1"/>
      <c r="C3689" s="1"/>
      <c r="D3689" s="1"/>
      <c r="E3689" s="357">
        <v>45153</v>
      </c>
      <c r="F3689" s="344" t="s">
        <v>621</v>
      </c>
      <c r="G3689" s="358">
        <v>30.761399999999998</v>
      </c>
      <c r="H3689" s="344" t="s">
        <v>1557</v>
      </c>
    </row>
    <row r="3690" spans="1:8">
      <c r="A3690" s="1"/>
      <c r="B3690" s="1"/>
      <c r="C3690" s="1"/>
      <c r="D3690" s="1"/>
      <c r="E3690" s="357">
        <v>45153</v>
      </c>
      <c r="F3690" s="344" t="s">
        <v>625</v>
      </c>
      <c r="G3690" s="358">
        <v>29.535299999999999</v>
      </c>
      <c r="H3690" s="344" t="s">
        <v>1557</v>
      </c>
    </row>
    <row r="3691" spans="1:8">
      <c r="A3691" s="1"/>
      <c r="B3691" s="1"/>
      <c r="C3691" s="1"/>
      <c r="D3691" s="1"/>
      <c r="E3691" s="357">
        <v>45153</v>
      </c>
      <c r="F3691" s="344" t="s">
        <v>628</v>
      </c>
      <c r="G3691" s="358">
        <v>34.286799999999999</v>
      </c>
      <c r="H3691" s="344" t="s">
        <v>1557</v>
      </c>
    </row>
    <row r="3692" spans="1:8">
      <c r="A3692" s="1"/>
      <c r="B3692" s="1"/>
      <c r="C3692" s="1"/>
      <c r="D3692" s="1"/>
      <c r="E3692" s="357">
        <v>45153</v>
      </c>
      <c r="F3692" s="344" t="s">
        <v>631</v>
      </c>
      <c r="G3692" s="358">
        <v>27.021999999999998</v>
      </c>
      <c r="H3692" s="344" t="s">
        <v>1557</v>
      </c>
    </row>
    <row r="3693" spans="1:8">
      <c r="A3693" s="1"/>
      <c r="B3693" s="1"/>
      <c r="C3693" s="1"/>
      <c r="D3693" s="1"/>
      <c r="E3693" s="357">
        <v>45154</v>
      </c>
      <c r="F3693" s="344" t="s">
        <v>621</v>
      </c>
      <c r="G3693" s="358">
        <v>30.686800000000002</v>
      </c>
      <c r="H3693" s="344" t="s">
        <v>1558</v>
      </c>
    </row>
    <row r="3694" spans="1:8">
      <c r="A3694" s="1"/>
      <c r="B3694" s="1"/>
      <c r="C3694" s="1"/>
      <c r="D3694" s="1"/>
      <c r="E3694" s="357">
        <v>45154</v>
      </c>
      <c r="F3694" s="344" t="s">
        <v>625</v>
      </c>
      <c r="G3694" s="358">
        <v>29.515999999999998</v>
      </c>
      <c r="H3694" s="344" t="s">
        <v>1558</v>
      </c>
    </row>
    <row r="3695" spans="1:8">
      <c r="A3695" s="1"/>
      <c r="B3695" s="1"/>
      <c r="C3695" s="1"/>
      <c r="D3695" s="1"/>
      <c r="E3695" s="357">
        <v>45154</v>
      </c>
      <c r="F3695" s="344" t="s">
        <v>628</v>
      </c>
      <c r="G3695" s="358">
        <v>34.383699999999997</v>
      </c>
      <c r="H3695" s="344" t="s">
        <v>1558</v>
      </c>
    </row>
    <row r="3696" spans="1:8">
      <c r="A3696" s="1"/>
      <c r="B3696" s="1"/>
      <c r="C3696" s="1"/>
      <c r="D3696" s="1"/>
      <c r="E3696" s="357">
        <v>45154</v>
      </c>
      <c r="F3696" s="344" t="s">
        <v>631</v>
      </c>
      <c r="G3696" s="358">
        <v>27.025400000000001</v>
      </c>
      <c r="H3696" s="344" t="s">
        <v>1558</v>
      </c>
    </row>
    <row r="3697" spans="1:8">
      <c r="A3697" s="1"/>
      <c r="B3697" s="1"/>
      <c r="C3697" s="1"/>
      <c r="D3697" s="1"/>
      <c r="E3697" s="357">
        <v>45155</v>
      </c>
      <c r="F3697" s="344" t="s">
        <v>621</v>
      </c>
      <c r="G3697" s="358">
        <v>30.7227</v>
      </c>
      <c r="H3697" s="344" t="s">
        <v>1559</v>
      </c>
    </row>
    <row r="3698" spans="1:8">
      <c r="A3698" s="1"/>
      <c r="B3698" s="1"/>
      <c r="C3698" s="1"/>
      <c r="D3698" s="1"/>
      <c r="E3698" s="357">
        <v>45155</v>
      </c>
      <c r="F3698" s="344" t="s">
        <v>625</v>
      </c>
      <c r="G3698" s="358">
        <v>29.454999999999998</v>
      </c>
      <c r="H3698" s="344" t="s">
        <v>1559</v>
      </c>
    </row>
    <row r="3699" spans="1:8">
      <c r="A3699" s="1"/>
      <c r="B3699" s="1"/>
      <c r="C3699" s="1"/>
      <c r="D3699" s="1"/>
      <c r="E3699" s="357">
        <v>45155</v>
      </c>
      <c r="F3699" s="344" t="s">
        <v>628</v>
      </c>
      <c r="G3699" s="358">
        <v>34.417299999999997</v>
      </c>
      <c r="H3699" s="344" t="s">
        <v>1559</v>
      </c>
    </row>
    <row r="3700" spans="1:8">
      <c r="A3700" s="1"/>
      <c r="B3700" s="1"/>
      <c r="C3700" s="1"/>
      <c r="D3700" s="1"/>
      <c r="E3700" s="357">
        <v>45155</v>
      </c>
      <c r="F3700" s="344" t="s">
        <v>631</v>
      </c>
      <c r="G3700" s="358">
        <v>27.068100000000001</v>
      </c>
      <c r="H3700" s="344" t="s">
        <v>1559</v>
      </c>
    </row>
    <row r="3701" spans="1:8">
      <c r="A3701" s="1"/>
      <c r="B3701" s="1"/>
      <c r="C3701" s="1"/>
      <c r="D3701" s="1"/>
      <c r="E3701" s="357">
        <v>45156</v>
      </c>
      <c r="F3701" s="344" t="s">
        <v>621</v>
      </c>
      <c r="G3701" s="358">
        <v>30.671500000000002</v>
      </c>
      <c r="H3701" s="344" t="s">
        <v>1560</v>
      </c>
    </row>
    <row r="3702" spans="1:8">
      <c r="A3702" s="1"/>
      <c r="B3702" s="1"/>
      <c r="C3702" s="1"/>
      <c r="D3702" s="1"/>
      <c r="E3702" s="357">
        <v>45156</v>
      </c>
      <c r="F3702" s="344" t="s">
        <v>625</v>
      </c>
      <c r="G3702" s="358">
        <v>29.409199999999998</v>
      </c>
      <c r="H3702" s="344" t="s">
        <v>1560</v>
      </c>
    </row>
    <row r="3703" spans="1:8">
      <c r="A3703" s="1"/>
      <c r="B3703" s="1"/>
      <c r="C3703" s="1"/>
      <c r="D3703" s="1"/>
      <c r="E3703" s="357">
        <v>45156</v>
      </c>
      <c r="F3703" s="344" t="s">
        <v>628</v>
      </c>
      <c r="G3703" s="358">
        <v>34.3504</v>
      </c>
      <c r="H3703" s="344" t="s">
        <v>1560</v>
      </c>
    </row>
    <row r="3704" spans="1:8">
      <c r="A3704" s="1"/>
      <c r="B3704" s="1"/>
      <c r="C3704" s="1"/>
      <c r="D3704" s="1"/>
      <c r="E3704" s="357">
        <v>45156</v>
      </c>
      <c r="F3704" s="344" t="s">
        <v>631</v>
      </c>
      <c r="G3704" s="358">
        <v>27.060600000000001</v>
      </c>
      <c r="H3704" s="344" t="s">
        <v>1560</v>
      </c>
    </row>
    <row r="3705" spans="1:8">
      <c r="A3705" s="1"/>
      <c r="B3705" s="1"/>
      <c r="C3705" s="1"/>
      <c r="D3705" s="1"/>
      <c r="E3705" s="357">
        <v>45159</v>
      </c>
      <c r="F3705" s="344" t="s">
        <v>621</v>
      </c>
      <c r="G3705" s="358">
        <v>30.759499999999999</v>
      </c>
      <c r="H3705" s="344" t="s">
        <v>1561</v>
      </c>
    </row>
    <row r="3706" spans="1:8">
      <c r="A3706" s="1"/>
      <c r="B3706" s="1"/>
      <c r="C3706" s="1"/>
      <c r="D3706" s="1"/>
      <c r="E3706" s="357">
        <v>45159</v>
      </c>
      <c r="F3706" s="344" t="s">
        <v>625</v>
      </c>
      <c r="G3706" s="358">
        <v>29.5518</v>
      </c>
      <c r="H3706" s="344" t="s">
        <v>1561</v>
      </c>
    </row>
    <row r="3707" spans="1:8">
      <c r="A3707" s="1"/>
      <c r="B3707" s="1"/>
      <c r="C3707" s="1"/>
      <c r="D3707" s="1"/>
      <c r="E3707" s="357">
        <v>45159</v>
      </c>
      <c r="F3707" s="344" t="s">
        <v>628</v>
      </c>
      <c r="G3707" s="358">
        <v>34.492600000000003</v>
      </c>
      <c r="H3707" s="344" t="s">
        <v>1561</v>
      </c>
    </row>
    <row r="3708" spans="1:8">
      <c r="A3708" s="1"/>
      <c r="B3708" s="1"/>
      <c r="C3708" s="1"/>
      <c r="D3708" s="1"/>
      <c r="E3708" s="357">
        <v>45159</v>
      </c>
      <c r="F3708" s="344" t="s">
        <v>631</v>
      </c>
      <c r="G3708" s="358">
        <v>27.127500000000001</v>
      </c>
      <c r="H3708" s="344" t="s">
        <v>1561</v>
      </c>
    </row>
    <row r="3709" spans="1:8">
      <c r="A3709" s="1"/>
      <c r="B3709" s="1"/>
      <c r="C3709" s="1"/>
      <c r="D3709" s="1"/>
      <c r="E3709" s="357">
        <v>45160</v>
      </c>
      <c r="F3709" s="344" t="s">
        <v>621</v>
      </c>
      <c r="G3709" s="358">
        <v>30.887799999999999</v>
      </c>
      <c r="H3709" s="344" t="s">
        <v>1562</v>
      </c>
    </row>
    <row r="3710" spans="1:8">
      <c r="A3710" s="1"/>
      <c r="B3710" s="1"/>
      <c r="C3710" s="1"/>
      <c r="D3710" s="1"/>
      <c r="E3710" s="357">
        <v>45160</v>
      </c>
      <c r="F3710" s="344" t="s">
        <v>625</v>
      </c>
      <c r="G3710" s="358">
        <v>29.627400000000002</v>
      </c>
      <c r="H3710" s="344" t="s">
        <v>1562</v>
      </c>
    </row>
    <row r="3711" spans="1:8">
      <c r="A3711" s="1"/>
      <c r="B3711" s="1"/>
      <c r="C3711" s="1"/>
      <c r="D3711" s="1"/>
      <c r="E3711" s="357">
        <v>45160</v>
      </c>
      <c r="F3711" s="344" t="s">
        <v>628</v>
      </c>
      <c r="G3711" s="358">
        <v>34.662199999999999</v>
      </c>
      <c r="H3711" s="344" t="s">
        <v>1562</v>
      </c>
    </row>
    <row r="3712" spans="1:8">
      <c r="A3712" s="1"/>
      <c r="B3712" s="1"/>
      <c r="C3712" s="1"/>
      <c r="D3712" s="1"/>
      <c r="E3712" s="357">
        <v>45160</v>
      </c>
      <c r="F3712" s="344" t="s">
        <v>631</v>
      </c>
      <c r="G3712" s="358">
        <v>27.1676</v>
      </c>
      <c r="H3712" s="344" t="s">
        <v>1562</v>
      </c>
    </row>
    <row r="3713" spans="1:8">
      <c r="A3713" s="1"/>
      <c r="B3713" s="1"/>
      <c r="C3713" s="1"/>
      <c r="D3713" s="1"/>
      <c r="E3713" s="357">
        <v>45161</v>
      </c>
      <c r="F3713" s="344" t="s">
        <v>621</v>
      </c>
      <c r="G3713" s="358">
        <v>30.785299999999999</v>
      </c>
      <c r="H3713" s="344" t="s">
        <v>1563</v>
      </c>
    </row>
    <row r="3714" spans="1:8">
      <c r="A3714" s="1"/>
      <c r="B3714" s="1"/>
      <c r="C3714" s="1"/>
      <c r="D3714" s="1"/>
      <c r="E3714" s="357">
        <v>45161</v>
      </c>
      <c r="F3714" s="344" t="s">
        <v>625</v>
      </c>
      <c r="G3714" s="358">
        <v>29.406199999999998</v>
      </c>
      <c r="H3714" s="344" t="s">
        <v>1563</v>
      </c>
    </row>
    <row r="3715" spans="1:8">
      <c r="A3715" s="1"/>
      <c r="B3715" s="1"/>
      <c r="C3715" s="1"/>
      <c r="D3715" s="1"/>
      <c r="E3715" s="357">
        <v>45161</v>
      </c>
      <c r="F3715" s="344" t="s">
        <v>628</v>
      </c>
      <c r="G3715" s="358">
        <v>34.385599999999997</v>
      </c>
      <c r="H3715" s="344" t="s">
        <v>1563</v>
      </c>
    </row>
    <row r="3716" spans="1:8">
      <c r="A3716" s="1"/>
      <c r="B3716" s="1"/>
      <c r="C3716" s="1"/>
      <c r="D3716" s="1"/>
      <c r="E3716" s="357">
        <v>45161</v>
      </c>
      <c r="F3716" s="344" t="s">
        <v>631</v>
      </c>
      <c r="G3716" s="358">
        <v>27.1737</v>
      </c>
      <c r="H3716" s="344" t="s">
        <v>1563</v>
      </c>
    </row>
    <row r="3717" spans="1:8">
      <c r="A3717" s="1"/>
      <c r="B3717" s="1"/>
      <c r="C3717" s="1"/>
      <c r="D3717" s="1"/>
      <c r="E3717" s="357">
        <v>45162</v>
      </c>
      <c r="F3717" s="344" t="s">
        <v>621</v>
      </c>
      <c r="G3717" s="358">
        <v>30.722899999999999</v>
      </c>
      <c r="H3717" s="344" t="s">
        <v>1564</v>
      </c>
    </row>
    <row r="3718" spans="1:8">
      <c r="A3718" s="1"/>
      <c r="B3718" s="1"/>
      <c r="C3718" s="1"/>
      <c r="D3718" s="1"/>
      <c r="E3718" s="357">
        <v>45162</v>
      </c>
      <c r="F3718" s="344" t="s">
        <v>625</v>
      </c>
      <c r="G3718" s="358">
        <v>29.4057</v>
      </c>
      <c r="H3718" s="344" t="s">
        <v>1564</v>
      </c>
    </row>
    <row r="3719" spans="1:8">
      <c r="A3719" s="1"/>
      <c r="B3719" s="1"/>
      <c r="C3719" s="1"/>
      <c r="D3719" s="1"/>
      <c r="E3719" s="357">
        <v>45162</v>
      </c>
      <c r="F3719" s="344" t="s">
        <v>628</v>
      </c>
      <c r="G3719" s="358">
        <v>34.314599999999999</v>
      </c>
      <c r="H3719" s="344" t="s">
        <v>1564</v>
      </c>
    </row>
    <row r="3720" spans="1:8">
      <c r="A3720" s="1"/>
      <c r="B3720" s="1"/>
      <c r="C3720" s="1"/>
      <c r="D3720" s="1"/>
      <c r="E3720" s="357">
        <v>45162</v>
      </c>
      <c r="F3720" s="344" t="s">
        <v>631</v>
      </c>
      <c r="G3720" s="358">
        <v>27.093699999999998</v>
      </c>
      <c r="H3720" s="344" t="s">
        <v>1564</v>
      </c>
    </row>
    <row r="3721" spans="1:8">
      <c r="A3721" s="1"/>
      <c r="B3721" s="1"/>
      <c r="C3721" s="1"/>
      <c r="D3721" s="1"/>
      <c r="E3721" s="357">
        <v>45163</v>
      </c>
      <c r="F3721" s="344" t="s">
        <v>621</v>
      </c>
      <c r="G3721" s="358">
        <v>29.742599999999999</v>
      </c>
      <c r="H3721" s="344" t="s">
        <v>1565</v>
      </c>
    </row>
    <row r="3722" spans="1:8">
      <c r="A3722" s="1"/>
      <c r="B3722" s="1"/>
      <c r="C3722" s="1"/>
      <c r="D3722" s="1"/>
      <c r="E3722" s="357">
        <v>45163</v>
      </c>
      <c r="F3722" s="344" t="s">
        <v>625</v>
      </c>
      <c r="G3722" s="358">
        <v>28.489899999999999</v>
      </c>
      <c r="H3722" s="344" t="s">
        <v>1565</v>
      </c>
    </row>
    <row r="3723" spans="1:8">
      <c r="A3723" s="1"/>
      <c r="B3723" s="1"/>
      <c r="C3723" s="1"/>
      <c r="D3723" s="1"/>
      <c r="E3723" s="357">
        <v>45163</v>
      </c>
      <c r="F3723" s="344" t="s">
        <v>628</v>
      </c>
      <c r="G3723" s="358">
        <v>33.191499999999998</v>
      </c>
      <c r="H3723" s="344" t="s">
        <v>1565</v>
      </c>
    </row>
    <row r="3724" spans="1:8">
      <c r="A3724" s="1"/>
      <c r="B3724" s="1"/>
      <c r="C3724" s="1"/>
      <c r="D3724" s="1"/>
      <c r="E3724" s="357">
        <v>45163</v>
      </c>
      <c r="F3724" s="344" t="s">
        <v>631</v>
      </c>
      <c r="G3724" s="358">
        <v>26.405999999999999</v>
      </c>
      <c r="H3724" s="344" t="s">
        <v>1565</v>
      </c>
    </row>
    <row r="3725" spans="1:8">
      <c r="A3725" s="1"/>
      <c r="B3725" s="1"/>
      <c r="C3725" s="1"/>
      <c r="D3725" s="1"/>
      <c r="E3725" s="357">
        <v>45166</v>
      </c>
      <c r="F3725" s="344" t="s">
        <v>621</v>
      </c>
      <c r="G3725" s="358">
        <v>29.945499999999999</v>
      </c>
      <c r="H3725" s="344" t="s">
        <v>1566</v>
      </c>
    </row>
    <row r="3726" spans="1:8">
      <c r="A3726" s="1"/>
      <c r="B3726" s="1"/>
      <c r="C3726" s="1"/>
      <c r="D3726" s="1"/>
      <c r="E3726" s="357">
        <v>45166</v>
      </c>
      <c r="F3726" s="344" t="s">
        <v>625</v>
      </c>
      <c r="G3726" s="358">
        <v>28.671199999999999</v>
      </c>
      <c r="H3726" s="344" t="s">
        <v>1566</v>
      </c>
    </row>
    <row r="3727" spans="1:8">
      <c r="A3727" s="1"/>
      <c r="B3727" s="1"/>
      <c r="C3727" s="1"/>
      <c r="D3727" s="1"/>
      <c r="E3727" s="357">
        <v>45166</v>
      </c>
      <c r="F3727" s="344" t="s">
        <v>628</v>
      </c>
      <c r="G3727" s="358">
        <v>33.325400000000002</v>
      </c>
      <c r="H3727" s="344" t="s">
        <v>1566</v>
      </c>
    </row>
    <row r="3728" spans="1:8">
      <c r="A3728" s="1"/>
      <c r="B3728" s="1"/>
      <c r="C3728" s="1"/>
      <c r="D3728" s="1"/>
      <c r="E3728" s="357">
        <v>45166</v>
      </c>
      <c r="F3728" s="344" t="s">
        <v>631</v>
      </c>
      <c r="G3728" s="358">
        <v>26.527100000000001</v>
      </c>
      <c r="H3728" s="344" t="s">
        <v>1566</v>
      </c>
    </row>
    <row r="3729" spans="1:8">
      <c r="A3729" s="1"/>
      <c r="B3729" s="1"/>
      <c r="C3729" s="1"/>
      <c r="D3729" s="1"/>
      <c r="E3729" s="357">
        <v>45167</v>
      </c>
      <c r="F3729" s="344" t="s">
        <v>621</v>
      </c>
      <c r="G3729" s="358">
        <v>29.9756</v>
      </c>
      <c r="H3729" s="344" t="s">
        <v>1567</v>
      </c>
    </row>
    <row r="3730" spans="1:8">
      <c r="A3730" s="1"/>
      <c r="B3730" s="1"/>
      <c r="C3730" s="1"/>
      <c r="D3730" s="1"/>
      <c r="E3730" s="357">
        <v>45167</v>
      </c>
      <c r="F3730" s="344" t="s">
        <v>625</v>
      </c>
      <c r="G3730" s="358">
        <v>28.730799999999999</v>
      </c>
      <c r="H3730" s="344" t="s">
        <v>1567</v>
      </c>
    </row>
    <row r="3731" spans="1:8">
      <c r="A3731" s="1"/>
      <c r="B3731" s="1"/>
      <c r="C3731" s="1"/>
      <c r="D3731" s="1"/>
      <c r="E3731" s="357">
        <v>45167</v>
      </c>
      <c r="F3731" s="344" t="s">
        <v>628</v>
      </c>
      <c r="G3731" s="358">
        <v>33.442700000000002</v>
      </c>
      <c r="H3731" s="344" t="s">
        <v>1567</v>
      </c>
    </row>
    <row r="3732" spans="1:8">
      <c r="A3732" s="1"/>
      <c r="B3732" s="1"/>
      <c r="C3732" s="1"/>
      <c r="D3732" s="1"/>
      <c r="E3732" s="357">
        <v>45167</v>
      </c>
      <c r="F3732" s="344" t="s">
        <v>631</v>
      </c>
      <c r="G3732" s="358">
        <v>26.5763</v>
      </c>
      <c r="H3732" s="344" t="s">
        <v>1567</v>
      </c>
    </row>
    <row r="3733" spans="1:8">
      <c r="A3733" s="1"/>
      <c r="B3733" s="1"/>
      <c r="C3733" s="1"/>
      <c r="D3733" s="1"/>
      <c r="E3733" s="357">
        <v>45169</v>
      </c>
      <c r="F3733" s="344" t="s">
        <v>621</v>
      </c>
      <c r="G3733" s="358">
        <v>30.2014</v>
      </c>
      <c r="H3733" s="344" t="s">
        <v>1568</v>
      </c>
    </row>
    <row r="3734" spans="1:8">
      <c r="A3734" s="1"/>
      <c r="B3734" s="1"/>
      <c r="C3734" s="1"/>
      <c r="D3734" s="1"/>
      <c r="E3734" s="357">
        <v>45169</v>
      </c>
      <c r="F3734" s="344" t="s">
        <v>625</v>
      </c>
      <c r="G3734" s="358">
        <v>29.0184</v>
      </c>
      <c r="H3734" s="344" t="s">
        <v>1568</v>
      </c>
    </row>
    <row r="3735" spans="1:8">
      <c r="A3735" s="1"/>
      <c r="B3735" s="1"/>
      <c r="C3735" s="1"/>
      <c r="D3735" s="1"/>
      <c r="E3735" s="357">
        <v>45169</v>
      </c>
      <c r="F3735" s="344" t="s">
        <v>628</v>
      </c>
      <c r="G3735" s="358">
        <v>33.788600000000002</v>
      </c>
      <c r="H3735" s="344" t="s">
        <v>1568</v>
      </c>
    </row>
    <row r="3736" spans="1:8">
      <c r="A3736" s="1"/>
      <c r="B3736" s="1"/>
      <c r="C3736" s="1"/>
      <c r="D3736" s="1"/>
      <c r="E3736" s="357">
        <v>45169</v>
      </c>
      <c r="F3736" s="344" t="s">
        <v>631</v>
      </c>
      <c r="G3736" s="358">
        <v>26.665800000000001</v>
      </c>
      <c r="H3736" s="344" t="s">
        <v>1568</v>
      </c>
    </row>
    <row r="3737" spans="1:8">
      <c r="A3737" s="1"/>
      <c r="B3737" s="1"/>
      <c r="C3737" s="1"/>
      <c r="D3737" s="1"/>
      <c r="E3737" s="357">
        <v>45170</v>
      </c>
      <c r="F3737" s="344" t="s">
        <v>621</v>
      </c>
      <c r="G3737" s="358">
        <v>30.1571</v>
      </c>
      <c r="H3737" s="344" t="s">
        <v>1569</v>
      </c>
    </row>
    <row r="3738" spans="1:8">
      <c r="A3738" s="1"/>
      <c r="B3738" s="1"/>
      <c r="C3738" s="1"/>
      <c r="D3738" s="1"/>
      <c r="E3738" s="357">
        <v>45170</v>
      </c>
      <c r="F3738" s="344" t="s">
        <v>625</v>
      </c>
      <c r="G3738" s="358">
        <v>28.9377</v>
      </c>
      <c r="H3738" s="344" t="s">
        <v>1569</v>
      </c>
    </row>
    <row r="3739" spans="1:8">
      <c r="A3739" s="1"/>
      <c r="B3739" s="1"/>
      <c r="C3739" s="1"/>
      <c r="D3739" s="1"/>
      <c r="E3739" s="357">
        <v>45170</v>
      </c>
      <c r="F3739" s="344" t="s">
        <v>628</v>
      </c>
      <c r="G3739" s="358">
        <v>33.752299999999998</v>
      </c>
      <c r="H3739" s="344" t="s">
        <v>1569</v>
      </c>
    </row>
    <row r="3740" spans="1:8">
      <c r="A3740" s="1"/>
      <c r="B3740" s="1"/>
      <c r="C3740" s="1"/>
      <c r="D3740" s="1"/>
      <c r="E3740" s="357">
        <v>45170</v>
      </c>
      <c r="F3740" s="344" t="s">
        <v>631</v>
      </c>
      <c r="G3740" s="358">
        <v>26.6783</v>
      </c>
      <c r="H3740" s="344" t="s">
        <v>1569</v>
      </c>
    </row>
    <row r="3741" spans="1:8">
      <c r="A3741" s="1"/>
      <c r="B3741" s="1"/>
      <c r="C3741" s="1"/>
      <c r="D3741" s="1"/>
      <c r="E3741" s="357">
        <v>45173</v>
      </c>
      <c r="F3741" s="344" t="s">
        <v>621</v>
      </c>
      <c r="G3741" s="358">
        <v>30.169</v>
      </c>
      <c r="H3741" s="344" t="s">
        <v>1570</v>
      </c>
    </row>
    <row r="3742" spans="1:8">
      <c r="A3742" s="1"/>
      <c r="B3742" s="1"/>
      <c r="C3742" s="1"/>
      <c r="D3742" s="1"/>
      <c r="E3742" s="357">
        <v>45173</v>
      </c>
      <c r="F3742" s="344" t="s">
        <v>625</v>
      </c>
      <c r="G3742" s="358">
        <v>28.866</v>
      </c>
      <c r="H3742" s="344" t="s">
        <v>1570</v>
      </c>
    </row>
    <row r="3743" spans="1:8">
      <c r="A3743" s="1"/>
      <c r="B3743" s="1"/>
      <c r="C3743" s="1"/>
      <c r="D3743" s="1"/>
      <c r="E3743" s="357">
        <v>45173</v>
      </c>
      <c r="F3743" s="344" t="s">
        <v>628</v>
      </c>
      <c r="G3743" s="358">
        <v>33.702100000000002</v>
      </c>
      <c r="H3743" s="344" t="s">
        <v>1570</v>
      </c>
    </row>
    <row r="3744" spans="1:8">
      <c r="A3744" s="1"/>
      <c r="B3744" s="1"/>
      <c r="C3744" s="1"/>
      <c r="D3744" s="1"/>
      <c r="E3744" s="357">
        <v>45173</v>
      </c>
      <c r="F3744" s="344" t="s">
        <v>631</v>
      </c>
      <c r="G3744" s="358">
        <v>26.734999999999999</v>
      </c>
      <c r="H3744" s="344" t="s">
        <v>1570</v>
      </c>
    </row>
    <row r="3745" spans="1:8">
      <c r="A3745" s="1"/>
      <c r="B3745" s="1"/>
      <c r="C3745" s="1"/>
      <c r="D3745" s="1"/>
      <c r="E3745" s="357">
        <v>45174</v>
      </c>
      <c r="F3745" s="344" t="s">
        <v>621</v>
      </c>
      <c r="G3745" s="358">
        <v>30.065999999999999</v>
      </c>
      <c r="H3745" s="344" t="s">
        <v>1571</v>
      </c>
    </row>
    <row r="3746" spans="1:8">
      <c r="A3746" s="1"/>
      <c r="B3746" s="1"/>
      <c r="C3746" s="1"/>
      <c r="D3746" s="1"/>
      <c r="E3746" s="357">
        <v>45174</v>
      </c>
      <c r="F3746" s="344" t="s">
        <v>625</v>
      </c>
      <c r="G3746" s="358">
        <v>28.764199999999999</v>
      </c>
      <c r="H3746" s="344" t="s">
        <v>1571</v>
      </c>
    </row>
    <row r="3747" spans="1:8">
      <c r="A3747" s="1"/>
      <c r="B3747" s="1"/>
      <c r="C3747" s="1"/>
      <c r="D3747" s="1"/>
      <c r="E3747" s="357">
        <v>45174</v>
      </c>
      <c r="F3747" s="344" t="s">
        <v>628</v>
      </c>
      <c r="G3747" s="358">
        <v>33.545099999999998</v>
      </c>
      <c r="H3747" s="344" t="s">
        <v>1571</v>
      </c>
    </row>
    <row r="3748" spans="1:8">
      <c r="A3748" s="1"/>
      <c r="B3748" s="1"/>
      <c r="C3748" s="1"/>
      <c r="D3748" s="1"/>
      <c r="E3748" s="357">
        <v>45174</v>
      </c>
      <c r="F3748" s="344" t="s">
        <v>631</v>
      </c>
      <c r="G3748" s="358">
        <v>26.7605</v>
      </c>
      <c r="H3748" s="344" t="s">
        <v>1571</v>
      </c>
    </row>
    <row r="3749" spans="1:8">
      <c r="A3749" s="1"/>
      <c r="B3749" s="1"/>
      <c r="C3749" s="1"/>
      <c r="D3749" s="1"/>
      <c r="E3749" s="357">
        <v>45175</v>
      </c>
      <c r="F3749" s="344" t="s">
        <v>621</v>
      </c>
      <c r="G3749" s="358">
        <v>30.0137</v>
      </c>
      <c r="H3749" s="344" t="s">
        <v>1572</v>
      </c>
    </row>
    <row r="3750" spans="1:8">
      <c r="A3750" s="1"/>
      <c r="B3750" s="1"/>
      <c r="C3750" s="1"/>
      <c r="D3750" s="1"/>
      <c r="E3750" s="357">
        <v>45175</v>
      </c>
      <c r="F3750" s="344" t="s">
        <v>625</v>
      </c>
      <c r="G3750" s="358">
        <v>28.736799999999999</v>
      </c>
      <c r="H3750" s="344" t="s">
        <v>1572</v>
      </c>
    </row>
    <row r="3751" spans="1:8">
      <c r="A3751" s="1"/>
      <c r="B3751" s="1"/>
      <c r="C3751" s="1"/>
      <c r="D3751" s="1"/>
      <c r="E3751" s="357">
        <v>45175</v>
      </c>
      <c r="F3751" s="344" t="s">
        <v>628</v>
      </c>
      <c r="G3751" s="358">
        <v>33.5625</v>
      </c>
      <c r="H3751" s="344" t="s">
        <v>1572</v>
      </c>
    </row>
    <row r="3752" spans="1:8">
      <c r="A3752" s="1"/>
      <c r="B3752" s="1"/>
      <c r="C3752" s="1"/>
      <c r="D3752" s="1"/>
      <c r="E3752" s="357">
        <v>45175</v>
      </c>
      <c r="F3752" s="344" t="s">
        <v>631</v>
      </c>
      <c r="G3752" s="358">
        <v>26.770099999999999</v>
      </c>
      <c r="H3752" s="344" t="s">
        <v>1572</v>
      </c>
    </row>
    <row r="3753" spans="1:8">
      <c r="A3753" s="1"/>
      <c r="B3753" s="1"/>
      <c r="C3753" s="1"/>
      <c r="D3753" s="1"/>
      <c r="E3753" s="357">
        <v>45176</v>
      </c>
      <c r="F3753" s="344" t="s">
        <v>621</v>
      </c>
      <c r="G3753" s="358">
        <v>29.977699999999999</v>
      </c>
      <c r="H3753" s="344" t="s">
        <v>1573</v>
      </c>
    </row>
    <row r="3754" spans="1:8">
      <c r="A3754" s="1"/>
      <c r="B3754" s="1"/>
      <c r="C3754" s="1"/>
      <c r="D3754" s="1"/>
      <c r="E3754" s="357">
        <v>45176</v>
      </c>
      <c r="F3754" s="344" t="s">
        <v>625</v>
      </c>
      <c r="G3754" s="358">
        <v>28.7117</v>
      </c>
      <c r="H3754" s="344" t="s">
        <v>1573</v>
      </c>
    </row>
    <row r="3755" spans="1:8">
      <c r="A3755" s="1"/>
      <c r="B3755" s="1"/>
      <c r="C3755" s="1"/>
      <c r="D3755" s="1"/>
      <c r="E3755" s="357">
        <v>45176</v>
      </c>
      <c r="F3755" s="344" t="s">
        <v>628</v>
      </c>
      <c r="G3755" s="358">
        <v>33.367600000000003</v>
      </c>
      <c r="H3755" s="344" t="s">
        <v>1573</v>
      </c>
    </row>
    <row r="3756" spans="1:8">
      <c r="A3756" s="1"/>
      <c r="B3756" s="1"/>
      <c r="C3756" s="1"/>
      <c r="D3756" s="1"/>
      <c r="E3756" s="357">
        <v>45176</v>
      </c>
      <c r="F3756" s="344" t="s">
        <v>631</v>
      </c>
      <c r="G3756" s="358">
        <v>26.8048</v>
      </c>
      <c r="H3756" s="344" t="s">
        <v>1573</v>
      </c>
    </row>
    <row r="3757" spans="1:8">
      <c r="A3757" s="1"/>
      <c r="B3757" s="1"/>
      <c r="C3757" s="1"/>
      <c r="D3757" s="1"/>
      <c r="E3757" s="357">
        <v>45177</v>
      </c>
      <c r="F3757" s="344" t="s">
        <v>621</v>
      </c>
      <c r="G3757" s="358">
        <v>30.0123</v>
      </c>
      <c r="H3757" s="344" t="s">
        <v>1574</v>
      </c>
    </row>
    <row r="3758" spans="1:8">
      <c r="A3758" s="1"/>
      <c r="B3758" s="1"/>
      <c r="C3758" s="1"/>
      <c r="D3758" s="1"/>
      <c r="E3758" s="357">
        <v>45177</v>
      </c>
      <c r="F3758" s="344" t="s">
        <v>625</v>
      </c>
      <c r="G3758" s="358">
        <v>28.703399999999998</v>
      </c>
      <c r="H3758" s="344" t="s">
        <v>1574</v>
      </c>
    </row>
    <row r="3759" spans="1:8">
      <c r="A3759" s="1"/>
      <c r="B3759" s="1"/>
      <c r="C3759" s="1"/>
      <c r="D3759" s="1"/>
      <c r="E3759" s="357">
        <v>45177</v>
      </c>
      <c r="F3759" s="344" t="s">
        <v>628</v>
      </c>
      <c r="G3759" s="358">
        <v>33.413699999999999</v>
      </c>
      <c r="H3759" s="344" t="s">
        <v>1574</v>
      </c>
    </row>
    <row r="3760" spans="1:8">
      <c r="A3760" s="1"/>
      <c r="B3760" s="1"/>
      <c r="C3760" s="1"/>
      <c r="D3760" s="1"/>
      <c r="E3760" s="357">
        <v>45177</v>
      </c>
      <c r="F3760" s="344" t="s">
        <v>631</v>
      </c>
      <c r="G3760" s="358">
        <v>26.808700000000002</v>
      </c>
      <c r="H3760" s="344" t="s">
        <v>1574</v>
      </c>
    </row>
    <row r="3761" spans="1:8">
      <c r="A3761" s="1"/>
      <c r="B3761" s="1"/>
      <c r="C3761" s="1"/>
      <c r="D3761" s="1"/>
      <c r="E3761" s="357">
        <v>45180</v>
      </c>
      <c r="F3761" s="344" t="s">
        <v>621</v>
      </c>
      <c r="G3761" s="358">
        <v>30.046399999999998</v>
      </c>
      <c r="H3761" s="344" t="s">
        <v>1575</v>
      </c>
    </row>
    <row r="3762" spans="1:8">
      <c r="A3762" s="1"/>
      <c r="B3762" s="1"/>
      <c r="C3762" s="1"/>
      <c r="D3762" s="1"/>
      <c r="E3762" s="357">
        <v>45180</v>
      </c>
      <c r="F3762" s="344" t="s">
        <v>625</v>
      </c>
      <c r="G3762" s="358">
        <v>28.797000000000001</v>
      </c>
      <c r="H3762" s="344" t="s">
        <v>1575</v>
      </c>
    </row>
    <row r="3763" spans="1:8">
      <c r="A3763" s="1"/>
      <c r="B3763" s="1"/>
      <c r="C3763" s="1"/>
      <c r="D3763" s="1"/>
      <c r="E3763" s="357">
        <v>45180</v>
      </c>
      <c r="F3763" s="344" t="s">
        <v>628</v>
      </c>
      <c r="G3763" s="358">
        <v>33.551099999999998</v>
      </c>
      <c r="H3763" s="344" t="s">
        <v>1575</v>
      </c>
    </row>
    <row r="3764" spans="1:8">
      <c r="A3764" s="1"/>
      <c r="B3764" s="1"/>
      <c r="C3764" s="1"/>
      <c r="D3764" s="1"/>
      <c r="E3764" s="357">
        <v>45180</v>
      </c>
      <c r="F3764" s="344" t="s">
        <v>631</v>
      </c>
      <c r="G3764" s="358">
        <v>26.8414</v>
      </c>
      <c r="H3764" s="344" t="s">
        <v>1575</v>
      </c>
    </row>
    <row r="3765" spans="1:8">
      <c r="A3765" s="1"/>
      <c r="B3765" s="1"/>
      <c r="C3765" s="1"/>
      <c r="D3765" s="1"/>
      <c r="E3765" s="357">
        <v>45181</v>
      </c>
      <c r="F3765" s="344" t="s">
        <v>621</v>
      </c>
      <c r="G3765" s="358">
        <v>30.055599999999998</v>
      </c>
      <c r="H3765" s="344" t="s">
        <v>1576</v>
      </c>
    </row>
    <row r="3766" spans="1:8">
      <c r="A3766" s="1"/>
      <c r="B3766" s="1"/>
      <c r="C3766" s="1"/>
      <c r="D3766" s="1"/>
      <c r="E3766" s="357">
        <v>45181</v>
      </c>
      <c r="F3766" s="344" t="s">
        <v>625</v>
      </c>
      <c r="G3766" s="358">
        <v>28.7911</v>
      </c>
      <c r="H3766" s="344" t="s">
        <v>1576</v>
      </c>
    </row>
    <row r="3767" spans="1:8">
      <c r="A3767" s="1"/>
      <c r="B3767" s="1"/>
      <c r="C3767" s="1"/>
      <c r="D3767" s="1"/>
      <c r="E3767" s="357">
        <v>45181</v>
      </c>
      <c r="F3767" s="344" t="s">
        <v>628</v>
      </c>
      <c r="G3767" s="358">
        <v>33.4602</v>
      </c>
      <c r="H3767" s="344" t="s">
        <v>1576</v>
      </c>
    </row>
    <row r="3768" spans="1:8">
      <c r="A3768" s="1"/>
      <c r="B3768" s="1"/>
      <c r="C3768" s="1"/>
      <c r="D3768" s="1"/>
      <c r="E3768" s="357">
        <v>45181</v>
      </c>
      <c r="F3768" s="344" t="s">
        <v>631</v>
      </c>
      <c r="G3768" s="358">
        <v>26.8582</v>
      </c>
      <c r="H3768" s="344" t="s">
        <v>1576</v>
      </c>
    </row>
    <row r="3769" spans="1:8">
      <c r="A3769" s="1"/>
      <c r="B3769" s="1"/>
      <c r="C3769" s="1"/>
      <c r="D3769" s="1"/>
      <c r="E3769" s="357">
        <v>45182</v>
      </c>
      <c r="F3769" s="344" t="s">
        <v>621</v>
      </c>
      <c r="G3769" s="358">
        <v>30.0703</v>
      </c>
      <c r="H3769" s="344" t="s">
        <v>1577</v>
      </c>
    </row>
    <row r="3770" spans="1:8">
      <c r="A3770" s="1"/>
      <c r="B3770" s="1"/>
      <c r="C3770" s="1"/>
      <c r="D3770" s="1"/>
      <c r="E3770" s="357">
        <v>45182</v>
      </c>
      <c r="F3770" s="344" t="s">
        <v>625</v>
      </c>
      <c r="G3770" s="358">
        <v>28.885100000000001</v>
      </c>
      <c r="H3770" s="344" t="s">
        <v>1577</v>
      </c>
    </row>
    <row r="3771" spans="1:8">
      <c r="A3771" s="1"/>
      <c r="B3771" s="1"/>
      <c r="C3771" s="1"/>
      <c r="D3771" s="1"/>
      <c r="E3771" s="357">
        <v>45182</v>
      </c>
      <c r="F3771" s="344" t="s">
        <v>628</v>
      </c>
      <c r="G3771" s="358">
        <v>33.486400000000003</v>
      </c>
      <c r="H3771" s="344" t="s">
        <v>1577</v>
      </c>
    </row>
    <row r="3772" spans="1:8">
      <c r="A3772" s="1"/>
      <c r="B3772" s="1"/>
      <c r="C3772" s="1"/>
      <c r="D3772" s="1"/>
      <c r="E3772" s="357">
        <v>45182</v>
      </c>
      <c r="F3772" s="344" t="s">
        <v>631</v>
      </c>
      <c r="G3772" s="358">
        <v>26.9024</v>
      </c>
      <c r="H3772" s="344" t="s">
        <v>1577</v>
      </c>
    </row>
    <row r="3773" spans="1:8">
      <c r="A3773" s="1"/>
      <c r="B3773" s="1"/>
      <c r="C3773" s="1"/>
      <c r="D3773" s="1"/>
      <c r="E3773" s="357">
        <v>45183</v>
      </c>
      <c r="F3773" s="344" t="s">
        <v>621</v>
      </c>
      <c r="G3773" s="358">
        <v>30.054600000000001</v>
      </c>
      <c r="H3773" s="344" t="s">
        <v>1578</v>
      </c>
    </row>
    <row r="3774" spans="1:8">
      <c r="A3774" s="1"/>
      <c r="B3774" s="1"/>
      <c r="C3774" s="1"/>
      <c r="D3774" s="1"/>
      <c r="E3774" s="357">
        <v>45183</v>
      </c>
      <c r="F3774" s="344" t="s">
        <v>625</v>
      </c>
      <c r="G3774" s="358">
        <v>28.881699999999999</v>
      </c>
      <c r="H3774" s="344" t="s">
        <v>1578</v>
      </c>
    </row>
    <row r="3775" spans="1:8">
      <c r="A3775" s="1"/>
      <c r="B3775" s="1"/>
      <c r="C3775" s="1"/>
      <c r="D3775" s="1"/>
      <c r="E3775" s="357">
        <v>45183</v>
      </c>
      <c r="F3775" s="344" t="s">
        <v>628</v>
      </c>
      <c r="G3775" s="358">
        <v>33.5227</v>
      </c>
      <c r="H3775" s="344" t="s">
        <v>1578</v>
      </c>
    </row>
    <row r="3776" spans="1:8">
      <c r="A3776" s="1"/>
      <c r="B3776" s="1"/>
      <c r="C3776" s="1"/>
      <c r="D3776" s="1"/>
      <c r="E3776" s="357">
        <v>45183</v>
      </c>
      <c r="F3776" s="344" t="s">
        <v>631</v>
      </c>
      <c r="G3776" s="358">
        <v>26.9069</v>
      </c>
      <c r="H3776" s="344" t="s">
        <v>1578</v>
      </c>
    </row>
    <row r="3777" spans="1:8">
      <c r="A3777" s="1"/>
      <c r="B3777" s="1"/>
      <c r="C3777" s="1"/>
      <c r="D3777" s="1"/>
      <c r="E3777" s="357">
        <v>45184</v>
      </c>
      <c r="F3777" s="344" t="s">
        <v>621</v>
      </c>
      <c r="G3777" s="358">
        <v>29.9983</v>
      </c>
      <c r="H3777" s="344" t="s">
        <v>1579</v>
      </c>
    </row>
    <row r="3778" spans="1:8">
      <c r="A3778" s="1"/>
      <c r="B3778" s="1"/>
      <c r="C3778" s="1"/>
      <c r="D3778" s="1"/>
      <c r="E3778" s="357">
        <v>45184</v>
      </c>
      <c r="F3778" s="344" t="s">
        <v>625</v>
      </c>
      <c r="G3778" s="358">
        <v>28.709800000000001</v>
      </c>
      <c r="H3778" s="344" t="s">
        <v>1579</v>
      </c>
    </row>
    <row r="3779" spans="1:8">
      <c r="A3779" s="1"/>
      <c r="B3779" s="1"/>
      <c r="C3779" s="1"/>
      <c r="D3779" s="1"/>
      <c r="E3779" s="357">
        <v>45184</v>
      </c>
      <c r="F3779" s="344" t="s">
        <v>628</v>
      </c>
      <c r="G3779" s="358">
        <v>33.405200000000001</v>
      </c>
      <c r="H3779" s="344" t="s">
        <v>1579</v>
      </c>
    </row>
    <row r="3780" spans="1:8">
      <c r="A3780" s="1"/>
      <c r="B3780" s="1"/>
      <c r="C3780" s="1"/>
      <c r="D3780" s="1"/>
      <c r="E3780" s="357">
        <v>45184</v>
      </c>
      <c r="F3780" s="344" t="s">
        <v>631</v>
      </c>
      <c r="G3780" s="358">
        <v>26.93</v>
      </c>
      <c r="H3780" s="344" t="s">
        <v>1579</v>
      </c>
    </row>
    <row r="3781" spans="1:8">
      <c r="A3781" s="1"/>
      <c r="B3781" s="1"/>
      <c r="C3781" s="1"/>
      <c r="D3781" s="1"/>
      <c r="E3781" s="357">
        <v>45187</v>
      </c>
      <c r="F3781" s="344" t="s">
        <v>621</v>
      </c>
      <c r="G3781" s="358">
        <v>30.032900000000001</v>
      </c>
      <c r="H3781" s="344" t="s">
        <v>1580</v>
      </c>
    </row>
    <row r="3782" spans="1:8">
      <c r="A3782" s="1"/>
      <c r="B3782" s="1"/>
      <c r="C3782" s="1"/>
      <c r="D3782" s="1"/>
      <c r="E3782" s="357">
        <v>45187</v>
      </c>
      <c r="F3782" s="344" t="s">
        <v>625</v>
      </c>
      <c r="G3782" s="358">
        <v>28.775400000000001</v>
      </c>
      <c r="H3782" s="344" t="s">
        <v>1580</v>
      </c>
    </row>
    <row r="3783" spans="1:8">
      <c r="A3783" s="1"/>
      <c r="B3783" s="1"/>
      <c r="C3783" s="1"/>
      <c r="D3783" s="1"/>
      <c r="E3783" s="357">
        <v>45187</v>
      </c>
      <c r="F3783" s="344" t="s">
        <v>628</v>
      </c>
      <c r="G3783" s="358">
        <v>33.371499999999997</v>
      </c>
      <c r="H3783" s="344" t="s">
        <v>1580</v>
      </c>
    </row>
    <row r="3784" spans="1:8">
      <c r="A3784" s="1"/>
      <c r="B3784" s="1"/>
      <c r="C3784" s="1"/>
      <c r="D3784" s="1"/>
      <c r="E3784" s="357">
        <v>45187</v>
      </c>
      <c r="F3784" s="344" t="s">
        <v>631</v>
      </c>
      <c r="G3784" s="358">
        <v>26.981400000000001</v>
      </c>
      <c r="H3784" s="344" t="s">
        <v>1580</v>
      </c>
    </row>
    <row r="3785" spans="1:8">
      <c r="A3785" s="1"/>
      <c r="B3785" s="1"/>
      <c r="C3785" s="1"/>
      <c r="D3785" s="1"/>
      <c r="E3785" s="357">
        <v>45188</v>
      </c>
      <c r="F3785" s="344" t="s">
        <v>621</v>
      </c>
      <c r="G3785" s="358">
        <v>30.045000000000002</v>
      </c>
      <c r="H3785" s="344" t="s">
        <v>1581</v>
      </c>
    </row>
    <row r="3786" spans="1:8">
      <c r="A3786" s="1"/>
      <c r="B3786" s="1"/>
      <c r="C3786" s="1"/>
      <c r="D3786" s="1"/>
      <c r="E3786" s="357">
        <v>45188</v>
      </c>
      <c r="F3786" s="344" t="s">
        <v>625</v>
      </c>
      <c r="G3786" s="358">
        <v>28.864000000000001</v>
      </c>
      <c r="H3786" s="344" t="s">
        <v>1581</v>
      </c>
    </row>
    <row r="3787" spans="1:8">
      <c r="A3787" s="1"/>
      <c r="B3787" s="1"/>
      <c r="C3787" s="1"/>
      <c r="D3787" s="1"/>
      <c r="E3787" s="357">
        <v>45188</v>
      </c>
      <c r="F3787" s="344" t="s">
        <v>628</v>
      </c>
      <c r="G3787" s="358">
        <v>33.387700000000002</v>
      </c>
      <c r="H3787" s="344" t="s">
        <v>1581</v>
      </c>
    </row>
    <row r="3788" spans="1:8">
      <c r="A3788" s="1"/>
      <c r="B3788" s="1"/>
      <c r="C3788" s="1"/>
      <c r="D3788" s="1"/>
      <c r="E3788" s="357">
        <v>45188</v>
      </c>
      <c r="F3788" s="344" t="s">
        <v>631</v>
      </c>
      <c r="G3788" s="358">
        <v>26.9938</v>
      </c>
      <c r="H3788" s="344" t="s">
        <v>1581</v>
      </c>
    </row>
    <row r="3789" spans="1:8">
      <c r="A3789" s="1"/>
      <c r="B3789" s="1"/>
      <c r="C3789" s="1"/>
      <c r="D3789" s="1"/>
      <c r="E3789" s="357">
        <v>45189</v>
      </c>
      <c r="F3789" s="344" t="s">
        <v>621</v>
      </c>
      <c r="G3789" s="358">
        <v>30.011800000000001</v>
      </c>
      <c r="H3789" s="344" t="s">
        <v>1582</v>
      </c>
    </row>
    <row r="3790" spans="1:8">
      <c r="A3790" s="1"/>
      <c r="B3790" s="1"/>
      <c r="C3790" s="1"/>
      <c r="D3790" s="1"/>
      <c r="E3790" s="357">
        <v>45189</v>
      </c>
      <c r="F3790" s="344" t="s">
        <v>625</v>
      </c>
      <c r="G3790" s="358">
        <v>28.867599999999999</v>
      </c>
      <c r="H3790" s="344" t="s">
        <v>1582</v>
      </c>
    </row>
    <row r="3791" spans="1:8">
      <c r="A3791" s="1"/>
      <c r="B3791" s="1"/>
      <c r="C3791" s="1"/>
      <c r="D3791" s="1"/>
      <c r="E3791" s="357">
        <v>45189</v>
      </c>
      <c r="F3791" s="344" t="s">
        <v>628</v>
      </c>
      <c r="G3791" s="358">
        <v>33.318300000000001</v>
      </c>
      <c r="H3791" s="344" t="s">
        <v>1582</v>
      </c>
    </row>
    <row r="3792" spans="1:8">
      <c r="A3792" s="1"/>
      <c r="B3792" s="1"/>
      <c r="C3792" s="1"/>
      <c r="D3792" s="1"/>
      <c r="E3792" s="357">
        <v>45189</v>
      </c>
      <c r="F3792" s="344" t="s">
        <v>631</v>
      </c>
      <c r="G3792" s="358">
        <v>26.991</v>
      </c>
      <c r="H3792" s="344" t="s">
        <v>1582</v>
      </c>
    </row>
    <row r="3793" spans="1:8">
      <c r="A3793" s="1"/>
      <c r="B3793" s="1"/>
      <c r="C3793" s="1"/>
      <c r="D3793" s="1"/>
      <c r="E3793" s="357">
        <v>45190</v>
      </c>
      <c r="F3793" s="344" t="s">
        <v>621</v>
      </c>
      <c r="G3793" s="358">
        <v>29.771599999999999</v>
      </c>
      <c r="H3793" s="344" t="s">
        <v>1583</v>
      </c>
    </row>
    <row r="3794" spans="1:8">
      <c r="A3794" s="1"/>
      <c r="B3794" s="1"/>
      <c r="C3794" s="1"/>
      <c r="D3794" s="1"/>
      <c r="E3794" s="357">
        <v>45190</v>
      </c>
      <c r="F3794" s="344" t="s">
        <v>625</v>
      </c>
      <c r="G3794" s="358">
        <v>28.757100000000001</v>
      </c>
      <c r="H3794" s="344" t="s">
        <v>1583</v>
      </c>
    </row>
    <row r="3795" spans="1:8">
      <c r="A3795" s="1"/>
      <c r="B3795" s="1"/>
      <c r="C3795" s="1"/>
      <c r="D3795" s="1"/>
      <c r="E3795" s="357">
        <v>45190</v>
      </c>
      <c r="F3795" s="344" t="s">
        <v>628</v>
      </c>
      <c r="G3795" s="358">
        <v>33.155999999999999</v>
      </c>
      <c r="H3795" s="344" t="s">
        <v>1583</v>
      </c>
    </row>
    <row r="3796" spans="1:8">
      <c r="A3796" s="1"/>
      <c r="B3796" s="1"/>
      <c r="C3796" s="1"/>
      <c r="D3796" s="1"/>
      <c r="E3796" s="357">
        <v>45190</v>
      </c>
      <c r="F3796" s="344" t="s">
        <v>631</v>
      </c>
      <c r="G3796" s="358">
        <v>27.001999999999999</v>
      </c>
      <c r="H3796" s="344" t="s">
        <v>1583</v>
      </c>
    </row>
    <row r="3797" spans="1:8">
      <c r="A3797" s="1"/>
      <c r="B3797" s="1"/>
      <c r="C3797" s="1"/>
      <c r="D3797" s="1"/>
      <c r="E3797" s="357">
        <v>45191</v>
      </c>
      <c r="F3797" s="344" t="s">
        <v>621</v>
      </c>
      <c r="G3797" s="358">
        <v>29.842500000000001</v>
      </c>
      <c r="H3797" s="344" t="s">
        <v>1584</v>
      </c>
    </row>
    <row r="3798" spans="1:8">
      <c r="A3798" s="1"/>
      <c r="B3798" s="1"/>
      <c r="C3798" s="1"/>
      <c r="D3798" s="1"/>
      <c r="E3798" s="357">
        <v>45191</v>
      </c>
      <c r="F3798" s="344" t="s">
        <v>625</v>
      </c>
      <c r="G3798" s="358">
        <v>28.848299999999998</v>
      </c>
      <c r="H3798" s="344" t="s">
        <v>1584</v>
      </c>
    </row>
    <row r="3799" spans="1:8">
      <c r="A3799" s="1"/>
      <c r="B3799" s="1"/>
      <c r="C3799" s="1"/>
      <c r="D3799" s="1"/>
      <c r="E3799" s="357">
        <v>45191</v>
      </c>
      <c r="F3799" s="344" t="s">
        <v>628</v>
      </c>
      <c r="G3799" s="358">
        <v>33.165900000000001</v>
      </c>
      <c r="H3799" s="344" t="s">
        <v>1584</v>
      </c>
    </row>
    <row r="3800" spans="1:8">
      <c r="A3800" s="1"/>
      <c r="B3800" s="1"/>
      <c r="C3800" s="1"/>
      <c r="D3800" s="1"/>
      <c r="E3800" s="357">
        <v>45191</v>
      </c>
      <c r="F3800" s="344" t="s">
        <v>631</v>
      </c>
      <c r="G3800" s="358">
        <v>27.103899999999999</v>
      </c>
      <c r="H3800" s="344" t="s">
        <v>1584</v>
      </c>
    </row>
    <row r="3801" spans="1:8">
      <c r="A3801" s="1"/>
      <c r="B3801" s="1"/>
      <c r="C3801" s="1"/>
      <c r="D3801" s="1"/>
      <c r="E3801" s="357">
        <v>45194</v>
      </c>
      <c r="F3801" s="344" t="s">
        <v>621</v>
      </c>
      <c r="G3801" s="358">
        <v>29.8065</v>
      </c>
      <c r="H3801" s="344" t="s">
        <v>1585</v>
      </c>
    </row>
    <row r="3802" spans="1:8">
      <c r="A3802" s="1"/>
      <c r="B3802" s="1"/>
      <c r="C3802" s="1"/>
      <c r="D3802" s="1"/>
      <c r="E3802" s="357">
        <v>45194</v>
      </c>
      <c r="F3802" s="344" t="s">
        <v>625</v>
      </c>
      <c r="G3802" s="358">
        <v>28.902699999999999</v>
      </c>
      <c r="H3802" s="344" t="s">
        <v>1585</v>
      </c>
    </row>
    <row r="3803" spans="1:8">
      <c r="A3803" s="1"/>
      <c r="B3803" s="1"/>
      <c r="C3803" s="1"/>
      <c r="D3803" s="1"/>
      <c r="E3803" s="357">
        <v>45194</v>
      </c>
      <c r="F3803" s="344" t="s">
        <v>628</v>
      </c>
      <c r="G3803" s="358">
        <v>33.184199999999997</v>
      </c>
      <c r="H3803" s="344" t="s">
        <v>1585</v>
      </c>
    </row>
    <row r="3804" spans="1:8">
      <c r="A3804" s="1"/>
      <c r="B3804" s="1"/>
      <c r="C3804" s="1"/>
      <c r="D3804" s="1"/>
      <c r="E3804" s="357">
        <v>45194</v>
      </c>
      <c r="F3804" s="344" t="s">
        <v>631</v>
      </c>
      <c r="G3804" s="358">
        <v>27.1751</v>
      </c>
      <c r="H3804" s="344" t="s">
        <v>1585</v>
      </c>
    </row>
    <row r="3805" spans="1:8">
      <c r="A3805" s="1"/>
      <c r="B3805" s="1"/>
      <c r="C3805" s="1"/>
      <c r="D3805" s="1"/>
      <c r="E3805" s="357">
        <v>45195</v>
      </c>
      <c r="F3805" s="344" t="s">
        <v>621</v>
      </c>
      <c r="G3805" s="358">
        <v>29.7346</v>
      </c>
      <c r="H3805" s="344" t="s">
        <v>1586</v>
      </c>
    </row>
    <row r="3806" spans="1:8">
      <c r="A3806" s="1"/>
      <c r="B3806" s="1"/>
      <c r="C3806" s="1"/>
      <c r="D3806" s="1"/>
      <c r="E3806" s="357">
        <v>45195</v>
      </c>
      <c r="F3806" s="344" t="s">
        <v>625</v>
      </c>
      <c r="G3806" s="358">
        <v>28.818300000000001</v>
      </c>
      <c r="H3806" s="344" t="s">
        <v>1586</v>
      </c>
    </row>
    <row r="3807" spans="1:8">
      <c r="A3807" s="1"/>
      <c r="B3807" s="1"/>
      <c r="C3807" s="1"/>
      <c r="D3807" s="1"/>
      <c r="E3807" s="357">
        <v>45195</v>
      </c>
      <c r="F3807" s="344" t="s">
        <v>628</v>
      </c>
      <c r="G3807" s="358">
        <v>33.085000000000001</v>
      </c>
      <c r="H3807" s="344" t="s">
        <v>1586</v>
      </c>
    </row>
    <row r="3808" spans="1:8">
      <c r="A3808" s="1"/>
      <c r="B3808" s="1"/>
      <c r="C3808" s="1"/>
      <c r="D3808" s="1"/>
      <c r="E3808" s="357">
        <v>45195</v>
      </c>
      <c r="F3808" s="344" t="s">
        <v>631</v>
      </c>
      <c r="G3808" s="358">
        <v>27.210799999999999</v>
      </c>
      <c r="H3808" s="344" t="s">
        <v>1586</v>
      </c>
    </row>
    <row r="3809" spans="1:8">
      <c r="A3809" s="1"/>
      <c r="B3809" s="1"/>
      <c r="C3809" s="1"/>
      <c r="D3809" s="1"/>
      <c r="E3809" s="357">
        <v>45196</v>
      </c>
      <c r="F3809" s="344" t="s">
        <v>621</v>
      </c>
      <c r="G3809" s="358">
        <v>29.658100000000001</v>
      </c>
      <c r="H3809" s="344" t="s">
        <v>1587</v>
      </c>
    </row>
    <row r="3810" spans="1:8">
      <c r="A3810" s="1"/>
      <c r="B3810" s="1"/>
      <c r="C3810" s="1"/>
      <c r="D3810" s="1"/>
      <c r="E3810" s="357">
        <v>45196</v>
      </c>
      <c r="F3810" s="344" t="s">
        <v>625</v>
      </c>
      <c r="G3810" s="358">
        <v>28.785299999999999</v>
      </c>
      <c r="H3810" s="344" t="s">
        <v>1587</v>
      </c>
    </row>
    <row r="3811" spans="1:8">
      <c r="A3811" s="1"/>
      <c r="B3811" s="1"/>
      <c r="C3811" s="1"/>
      <c r="D3811" s="1"/>
      <c r="E3811" s="357">
        <v>45196</v>
      </c>
      <c r="F3811" s="344" t="s">
        <v>628</v>
      </c>
      <c r="G3811" s="358">
        <v>33.061700000000002</v>
      </c>
      <c r="H3811" s="344" t="s">
        <v>1587</v>
      </c>
    </row>
    <row r="3812" spans="1:8">
      <c r="A3812" s="1"/>
      <c r="B3812" s="1"/>
      <c r="C3812" s="1"/>
      <c r="D3812" s="1"/>
      <c r="E3812" s="357">
        <v>45196</v>
      </c>
      <c r="F3812" s="344" t="s">
        <v>631</v>
      </c>
      <c r="G3812" s="358">
        <v>27.263999999999999</v>
      </c>
      <c r="H3812" s="344" t="s">
        <v>1587</v>
      </c>
    </row>
    <row r="3813" spans="1:8">
      <c r="A3813" s="1"/>
      <c r="B3813" s="1"/>
      <c r="C3813" s="1"/>
      <c r="D3813" s="1"/>
      <c r="E3813" s="357">
        <v>45197</v>
      </c>
      <c r="F3813" s="344" t="s">
        <v>621</v>
      </c>
      <c r="G3813" s="358">
        <v>29.7195</v>
      </c>
      <c r="H3813" s="344" t="s">
        <v>1588</v>
      </c>
    </row>
    <row r="3814" spans="1:8">
      <c r="A3814" s="1"/>
      <c r="B3814" s="1"/>
      <c r="C3814" s="1"/>
      <c r="D3814" s="1"/>
      <c r="E3814" s="357">
        <v>45197</v>
      </c>
      <c r="F3814" s="344" t="s">
        <v>625</v>
      </c>
      <c r="G3814" s="358">
        <v>28.808299999999999</v>
      </c>
      <c r="H3814" s="344" t="s">
        <v>1588</v>
      </c>
    </row>
    <row r="3815" spans="1:8">
      <c r="A3815" s="1"/>
      <c r="B3815" s="1"/>
      <c r="C3815" s="1"/>
      <c r="D3815" s="1"/>
      <c r="E3815" s="357">
        <v>45197</v>
      </c>
      <c r="F3815" s="344" t="s">
        <v>628</v>
      </c>
      <c r="G3815" s="358">
        <v>33.275100000000002</v>
      </c>
      <c r="H3815" s="344" t="s">
        <v>1588</v>
      </c>
    </row>
    <row r="3816" spans="1:8">
      <c r="A3816" s="1"/>
      <c r="B3816" s="1"/>
      <c r="C3816" s="1"/>
      <c r="D3816" s="1"/>
      <c r="E3816" s="357">
        <v>45197</v>
      </c>
      <c r="F3816" s="344" t="s">
        <v>631</v>
      </c>
      <c r="G3816" s="358">
        <v>27.3752</v>
      </c>
      <c r="H3816" s="344" t="s">
        <v>1588</v>
      </c>
    </row>
    <row r="3817" spans="1:8">
      <c r="A3817" s="1"/>
      <c r="B3817" s="1"/>
      <c r="C3817" s="1"/>
      <c r="D3817" s="1"/>
      <c r="E3817" s="357">
        <v>45198</v>
      </c>
      <c r="F3817" s="344" t="s">
        <v>621</v>
      </c>
      <c r="G3817" s="358">
        <v>29.983699999999999</v>
      </c>
      <c r="H3817" s="344" t="s">
        <v>1589</v>
      </c>
    </row>
    <row r="3818" spans="1:8">
      <c r="A3818" s="1"/>
      <c r="B3818" s="1"/>
      <c r="C3818" s="1"/>
      <c r="D3818" s="1"/>
      <c r="E3818" s="357">
        <v>45198</v>
      </c>
      <c r="F3818" s="344" t="s">
        <v>625</v>
      </c>
      <c r="G3818" s="358">
        <v>29.0305</v>
      </c>
      <c r="H3818" s="344" t="s">
        <v>1589</v>
      </c>
    </row>
    <row r="3819" spans="1:8">
      <c r="A3819" s="1"/>
      <c r="B3819" s="1"/>
      <c r="C3819" s="1"/>
      <c r="D3819" s="1"/>
      <c r="E3819" s="357">
        <v>45198</v>
      </c>
      <c r="F3819" s="344" t="s">
        <v>628</v>
      </c>
      <c r="G3819" s="358">
        <v>33.4816</v>
      </c>
      <c r="H3819" s="344" t="s">
        <v>1589</v>
      </c>
    </row>
    <row r="3820" spans="1:8">
      <c r="A3820" s="1"/>
      <c r="B3820" s="1"/>
      <c r="C3820" s="1"/>
      <c r="D3820" s="1"/>
      <c r="E3820" s="357">
        <v>45198</v>
      </c>
      <c r="F3820" s="344" t="s">
        <v>631</v>
      </c>
      <c r="G3820" s="358">
        <v>27.3767</v>
      </c>
      <c r="H3820" s="344" t="s">
        <v>1589</v>
      </c>
    </row>
    <row r="3821" spans="1:8">
      <c r="A3821" s="1"/>
      <c r="B3821" s="1"/>
      <c r="C3821" s="1"/>
      <c r="D3821" s="1"/>
      <c r="E3821" s="357">
        <v>45201</v>
      </c>
      <c r="F3821" s="344" t="s">
        <v>621</v>
      </c>
      <c r="G3821" s="358">
        <v>29.947700000000001</v>
      </c>
      <c r="H3821" s="344" t="s">
        <v>1590</v>
      </c>
    </row>
    <row r="3822" spans="1:8">
      <c r="A3822" s="1"/>
      <c r="B3822" s="1"/>
      <c r="C3822" s="1"/>
      <c r="D3822" s="1"/>
      <c r="E3822" s="357">
        <v>45201</v>
      </c>
      <c r="F3822" s="344" t="s">
        <v>625</v>
      </c>
      <c r="G3822" s="358">
        <v>28.928000000000001</v>
      </c>
      <c r="H3822" s="344" t="s">
        <v>1590</v>
      </c>
    </row>
    <row r="3823" spans="1:8">
      <c r="A3823" s="1"/>
      <c r="B3823" s="1"/>
      <c r="C3823" s="1"/>
      <c r="D3823" s="1"/>
      <c r="E3823" s="357">
        <v>45201</v>
      </c>
      <c r="F3823" s="344" t="s">
        <v>628</v>
      </c>
      <c r="G3823" s="358">
        <v>33.315300000000001</v>
      </c>
      <c r="H3823" s="344" t="s">
        <v>1590</v>
      </c>
    </row>
    <row r="3824" spans="1:8">
      <c r="A3824" s="1"/>
      <c r="B3824" s="1"/>
      <c r="C3824" s="1"/>
      <c r="D3824" s="1"/>
      <c r="E3824" s="357">
        <v>45201</v>
      </c>
      <c r="F3824" s="344" t="s">
        <v>631</v>
      </c>
      <c r="G3824" s="358">
        <v>27.404399999999999</v>
      </c>
      <c r="H3824" s="344" t="s">
        <v>1590</v>
      </c>
    </row>
    <row r="3825" spans="1:8">
      <c r="A3825" s="1"/>
      <c r="B3825" s="1"/>
      <c r="C3825" s="1"/>
      <c r="D3825" s="1"/>
      <c r="E3825" s="357">
        <v>45202</v>
      </c>
      <c r="F3825" s="344" t="s">
        <v>621</v>
      </c>
      <c r="G3825" s="358">
        <v>29.731400000000001</v>
      </c>
      <c r="H3825" s="344" t="s">
        <v>1591</v>
      </c>
    </row>
    <row r="3826" spans="1:8">
      <c r="A3826" s="1"/>
      <c r="B3826" s="1"/>
      <c r="C3826" s="1"/>
      <c r="D3826" s="1"/>
      <c r="E3826" s="357">
        <v>45202</v>
      </c>
      <c r="F3826" s="344" t="s">
        <v>625</v>
      </c>
      <c r="G3826" s="358">
        <v>28.767399999999999</v>
      </c>
      <c r="H3826" s="344" t="s">
        <v>1591</v>
      </c>
    </row>
    <row r="3827" spans="1:8">
      <c r="A3827" s="1"/>
      <c r="B3827" s="1"/>
      <c r="C3827" s="1"/>
      <c r="D3827" s="1"/>
      <c r="E3827" s="357">
        <v>45202</v>
      </c>
      <c r="F3827" s="344" t="s">
        <v>628</v>
      </c>
      <c r="G3827" s="358">
        <v>33.095999999999997</v>
      </c>
      <c r="H3827" s="344" t="s">
        <v>1591</v>
      </c>
    </row>
    <row r="3828" spans="1:8">
      <c r="A3828" s="1"/>
      <c r="B3828" s="1"/>
      <c r="C3828" s="1"/>
      <c r="D3828" s="1"/>
      <c r="E3828" s="357">
        <v>45202</v>
      </c>
      <c r="F3828" s="344" t="s">
        <v>631</v>
      </c>
      <c r="G3828" s="358">
        <v>27.451799999999999</v>
      </c>
      <c r="H3828" s="344" t="s">
        <v>1591</v>
      </c>
    </row>
    <row r="3829" spans="1:8">
      <c r="A3829" s="1"/>
      <c r="B3829" s="1"/>
      <c r="C3829" s="1"/>
      <c r="D3829" s="1"/>
      <c r="E3829" s="357">
        <v>45203</v>
      </c>
      <c r="F3829" s="344" t="s">
        <v>621</v>
      </c>
      <c r="G3829" s="358">
        <v>29.877800000000001</v>
      </c>
      <c r="H3829" s="344" t="s">
        <v>1592</v>
      </c>
    </row>
    <row r="3830" spans="1:8">
      <c r="A3830" s="1"/>
      <c r="B3830" s="1"/>
      <c r="C3830" s="1"/>
      <c r="D3830" s="1"/>
      <c r="E3830" s="357">
        <v>45203</v>
      </c>
      <c r="F3830" s="344" t="s">
        <v>625</v>
      </c>
      <c r="G3830" s="358">
        <v>28.8765</v>
      </c>
      <c r="H3830" s="344" t="s">
        <v>1592</v>
      </c>
    </row>
    <row r="3831" spans="1:8">
      <c r="A3831" s="1"/>
      <c r="B3831" s="1"/>
      <c r="C3831" s="1"/>
      <c r="D3831" s="1"/>
      <c r="E3831" s="357">
        <v>45203</v>
      </c>
      <c r="F3831" s="344" t="s">
        <v>628</v>
      </c>
      <c r="G3831" s="358">
        <v>33.267899999999997</v>
      </c>
      <c r="H3831" s="344" t="s">
        <v>1592</v>
      </c>
    </row>
    <row r="3832" spans="1:8">
      <c r="A3832" s="1"/>
      <c r="B3832" s="1"/>
      <c r="C3832" s="1"/>
      <c r="D3832" s="1"/>
      <c r="E3832" s="357">
        <v>45203</v>
      </c>
      <c r="F3832" s="344" t="s">
        <v>631</v>
      </c>
      <c r="G3832" s="358">
        <v>27.531600000000001</v>
      </c>
      <c r="H3832" s="344" t="s">
        <v>1592</v>
      </c>
    </row>
    <row r="3833" spans="1:8">
      <c r="A3833" s="1"/>
      <c r="B3833" s="1"/>
      <c r="C3833" s="1"/>
      <c r="D3833" s="1"/>
      <c r="E3833" s="357">
        <v>45204</v>
      </c>
      <c r="F3833" s="344" t="s">
        <v>621</v>
      </c>
      <c r="G3833" s="358">
        <v>29.963999999999999</v>
      </c>
      <c r="H3833" s="344" t="s">
        <v>1593</v>
      </c>
    </row>
    <row r="3834" spans="1:8">
      <c r="A3834" s="1"/>
      <c r="B3834" s="1"/>
      <c r="C3834" s="1"/>
      <c r="D3834" s="1"/>
      <c r="E3834" s="357">
        <v>45204</v>
      </c>
      <c r="F3834" s="344" t="s">
        <v>625</v>
      </c>
      <c r="G3834" s="358">
        <v>28.9346</v>
      </c>
      <c r="H3834" s="344" t="s">
        <v>1593</v>
      </c>
    </row>
    <row r="3835" spans="1:8">
      <c r="A3835" s="1"/>
      <c r="B3835" s="1"/>
      <c r="C3835" s="1"/>
      <c r="D3835" s="1"/>
      <c r="E3835" s="357">
        <v>45204</v>
      </c>
      <c r="F3835" s="344" t="s">
        <v>628</v>
      </c>
      <c r="G3835" s="358">
        <v>33.344999999999999</v>
      </c>
      <c r="H3835" s="344" t="s">
        <v>1593</v>
      </c>
    </row>
    <row r="3836" spans="1:8">
      <c r="A3836" s="1"/>
      <c r="B3836" s="1"/>
      <c r="C3836" s="1"/>
      <c r="D3836" s="1"/>
      <c r="E3836" s="357">
        <v>45204</v>
      </c>
      <c r="F3836" s="344" t="s">
        <v>631</v>
      </c>
      <c r="G3836" s="358">
        <v>27.526399999999999</v>
      </c>
      <c r="H3836" s="344" t="s">
        <v>1593</v>
      </c>
    </row>
    <row r="3837" spans="1:8">
      <c r="A3837" s="1"/>
      <c r="B3837" s="1"/>
      <c r="C3837" s="1"/>
      <c r="D3837" s="1"/>
      <c r="E3837" s="357">
        <v>45205</v>
      </c>
      <c r="F3837" s="344" t="s">
        <v>621</v>
      </c>
      <c r="G3837" s="358">
        <v>30.125800000000002</v>
      </c>
      <c r="H3837" s="344" t="s">
        <v>1594</v>
      </c>
    </row>
    <row r="3838" spans="1:8">
      <c r="A3838" s="1"/>
      <c r="B3838" s="1"/>
      <c r="C3838" s="1"/>
      <c r="D3838" s="1"/>
      <c r="E3838" s="357">
        <v>45205</v>
      </c>
      <c r="F3838" s="344" t="s">
        <v>625</v>
      </c>
      <c r="G3838" s="358">
        <v>29.076899999999998</v>
      </c>
      <c r="H3838" s="344" t="s">
        <v>1594</v>
      </c>
    </row>
    <row r="3839" spans="1:8">
      <c r="A3839" s="1"/>
      <c r="B3839" s="1"/>
      <c r="C3839" s="1"/>
      <c r="D3839" s="1"/>
      <c r="E3839" s="357">
        <v>45205</v>
      </c>
      <c r="F3839" s="344" t="s">
        <v>628</v>
      </c>
      <c r="G3839" s="358">
        <v>33.5642</v>
      </c>
      <c r="H3839" s="344" t="s">
        <v>1594</v>
      </c>
    </row>
    <row r="3840" spans="1:8">
      <c r="A3840" s="1"/>
      <c r="B3840" s="1"/>
      <c r="C3840" s="1"/>
      <c r="D3840" s="1"/>
      <c r="E3840" s="357">
        <v>45205</v>
      </c>
      <c r="F3840" s="344" t="s">
        <v>631</v>
      </c>
      <c r="G3840" s="358">
        <v>27.558</v>
      </c>
      <c r="H3840" s="344" t="s">
        <v>1594</v>
      </c>
    </row>
    <row r="3841" spans="1:8">
      <c r="A3841" s="1"/>
      <c r="B3841" s="1"/>
      <c r="C3841" s="1"/>
      <c r="D3841" s="1"/>
      <c r="E3841" s="357">
        <v>45208</v>
      </c>
      <c r="F3841" s="344" t="s">
        <v>621</v>
      </c>
      <c r="G3841" s="358">
        <v>30.296500000000002</v>
      </c>
      <c r="H3841" s="344" t="s">
        <v>1595</v>
      </c>
    </row>
    <row r="3842" spans="1:8">
      <c r="A3842" s="1"/>
      <c r="B3842" s="1"/>
      <c r="C3842" s="1"/>
      <c r="D3842" s="1"/>
      <c r="E3842" s="357">
        <v>45208</v>
      </c>
      <c r="F3842" s="344" t="s">
        <v>625</v>
      </c>
      <c r="G3842" s="358">
        <v>29.126999999999999</v>
      </c>
      <c r="H3842" s="344" t="s">
        <v>1595</v>
      </c>
    </row>
    <row r="3843" spans="1:8">
      <c r="A3843" s="1"/>
      <c r="B3843" s="1"/>
      <c r="C3843" s="1"/>
      <c r="D3843" s="1"/>
      <c r="E3843" s="357">
        <v>45208</v>
      </c>
      <c r="F3843" s="344" t="s">
        <v>628</v>
      </c>
      <c r="G3843" s="358">
        <v>33.616999999999997</v>
      </c>
      <c r="H3843" s="344" t="s">
        <v>1595</v>
      </c>
    </row>
    <row r="3844" spans="1:8">
      <c r="A3844" s="1"/>
      <c r="B3844" s="1"/>
      <c r="C3844" s="1"/>
      <c r="D3844" s="1"/>
      <c r="E3844" s="357">
        <v>45208</v>
      </c>
      <c r="F3844" s="344" t="s">
        <v>631</v>
      </c>
      <c r="G3844" s="358">
        <v>27.655899999999999</v>
      </c>
      <c r="H3844" s="344" t="s">
        <v>1595</v>
      </c>
    </row>
    <row r="3845" spans="1:8">
      <c r="A3845" s="1"/>
      <c r="B3845" s="1"/>
      <c r="C3845" s="1"/>
      <c r="D3845" s="1"/>
      <c r="E3845" s="357">
        <v>45209</v>
      </c>
      <c r="F3845" s="344" t="s">
        <v>621</v>
      </c>
      <c r="G3845" s="358">
        <v>30.500800000000002</v>
      </c>
      <c r="H3845" s="344" t="s">
        <v>1596</v>
      </c>
    </row>
    <row r="3846" spans="1:8">
      <c r="A3846" s="1"/>
      <c r="B3846" s="1"/>
      <c r="C3846" s="1"/>
      <c r="D3846" s="1"/>
      <c r="E3846" s="357">
        <v>45209</v>
      </c>
      <c r="F3846" s="344" t="s">
        <v>625</v>
      </c>
      <c r="G3846" s="358">
        <v>29.297000000000001</v>
      </c>
      <c r="H3846" s="344" t="s">
        <v>1596</v>
      </c>
    </row>
    <row r="3847" spans="1:8">
      <c r="A3847" s="1"/>
      <c r="B3847" s="1"/>
      <c r="C3847" s="1"/>
      <c r="D3847" s="1"/>
      <c r="E3847" s="357">
        <v>45209</v>
      </c>
      <c r="F3847" s="344" t="s">
        <v>628</v>
      </c>
      <c r="G3847" s="358">
        <v>33.843899999999998</v>
      </c>
      <c r="H3847" s="344" t="s">
        <v>1596</v>
      </c>
    </row>
    <row r="3848" spans="1:8">
      <c r="A3848" s="1"/>
      <c r="B3848" s="1"/>
      <c r="C3848" s="1"/>
      <c r="D3848" s="1"/>
      <c r="E3848" s="357">
        <v>45209</v>
      </c>
      <c r="F3848" s="344" t="s">
        <v>631</v>
      </c>
      <c r="G3848" s="358">
        <v>27.679099999999998</v>
      </c>
      <c r="H3848" s="344" t="s">
        <v>1596</v>
      </c>
    </row>
    <row r="3849" spans="1:8">
      <c r="A3849" s="1"/>
      <c r="B3849" s="1"/>
      <c r="C3849" s="1"/>
      <c r="D3849" s="1"/>
      <c r="E3849" s="357">
        <v>45210</v>
      </c>
      <c r="F3849" s="344" t="s">
        <v>621</v>
      </c>
      <c r="G3849" s="358">
        <v>30.58</v>
      </c>
      <c r="H3849" s="344" t="s">
        <v>1597</v>
      </c>
    </row>
    <row r="3850" spans="1:8">
      <c r="A3850" s="1"/>
      <c r="B3850" s="1"/>
      <c r="C3850" s="1"/>
      <c r="D3850" s="1"/>
      <c r="E3850" s="357">
        <v>45210</v>
      </c>
      <c r="F3850" s="344" t="s">
        <v>625</v>
      </c>
      <c r="G3850" s="358">
        <v>29.3644</v>
      </c>
      <c r="H3850" s="344" t="s">
        <v>1597</v>
      </c>
    </row>
    <row r="3851" spans="1:8">
      <c r="A3851" s="1"/>
      <c r="B3851" s="1"/>
      <c r="C3851" s="1"/>
      <c r="D3851" s="1"/>
      <c r="E3851" s="357">
        <v>45210</v>
      </c>
      <c r="F3851" s="344" t="s">
        <v>628</v>
      </c>
      <c r="G3851" s="358">
        <v>33.958599999999997</v>
      </c>
      <c r="H3851" s="344" t="s">
        <v>1597</v>
      </c>
    </row>
    <row r="3852" spans="1:8">
      <c r="A3852" s="1"/>
      <c r="B3852" s="1"/>
      <c r="C3852" s="1"/>
      <c r="D3852" s="1"/>
      <c r="E3852" s="357">
        <v>45210</v>
      </c>
      <c r="F3852" s="344" t="s">
        <v>631</v>
      </c>
      <c r="G3852" s="358">
        <v>27.689399999999999</v>
      </c>
      <c r="H3852" s="344" t="s">
        <v>1597</v>
      </c>
    </row>
    <row r="3853" spans="1:8">
      <c r="A3853" s="1"/>
      <c r="B3853" s="1"/>
      <c r="C3853" s="1"/>
      <c r="D3853" s="1"/>
      <c r="E3853" s="357">
        <v>45211</v>
      </c>
      <c r="F3853" s="344" t="s">
        <v>621</v>
      </c>
      <c r="G3853" s="358">
        <v>30.707999999999998</v>
      </c>
      <c r="H3853" s="344" t="s">
        <v>1598</v>
      </c>
    </row>
    <row r="3854" spans="1:8">
      <c r="A3854" s="1"/>
      <c r="B3854" s="1"/>
      <c r="C3854" s="1"/>
      <c r="D3854" s="1"/>
      <c r="E3854" s="357">
        <v>45211</v>
      </c>
      <c r="F3854" s="344" t="s">
        <v>625</v>
      </c>
      <c r="G3854" s="358">
        <v>29.4343</v>
      </c>
      <c r="H3854" s="344" t="s">
        <v>1598</v>
      </c>
    </row>
    <row r="3855" spans="1:8">
      <c r="A3855" s="1"/>
      <c r="B3855" s="1"/>
      <c r="C3855" s="1"/>
      <c r="D3855" s="1"/>
      <c r="E3855" s="357">
        <v>45211</v>
      </c>
      <c r="F3855" s="344" t="s">
        <v>628</v>
      </c>
      <c r="G3855" s="358">
        <v>34.032400000000003</v>
      </c>
      <c r="H3855" s="344" t="s">
        <v>1598</v>
      </c>
    </row>
    <row r="3856" spans="1:8">
      <c r="A3856" s="1"/>
      <c r="B3856" s="1"/>
      <c r="C3856" s="1"/>
      <c r="D3856" s="1"/>
      <c r="E3856" s="357">
        <v>45211</v>
      </c>
      <c r="F3856" s="344" t="s">
        <v>631</v>
      </c>
      <c r="G3856" s="358">
        <v>27.707699999999999</v>
      </c>
      <c r="H3856" s="344" t="s">
        <v>1598</v>
      </c>
    </row>
    <row r="3857" spans="1:8">
      <c r="A3857" s="1"/>
      <c r="B3857" s="1"/>
      <c r="C3857" s="1"/>
      <c r="D3857" s="1"/>
      <c r="E3857" s="357">
        <v>45212</v>
      </c>
      <c r="F3857" s="344" t="s">
        <v>621</v>
      </c>
      <c r="G3857" s="358">
        <v>30.506499999999999</v>
      </c>
      <c r="H3857" s="344" t="s">
        <v>1599</v>
      </c>
    </row>
    <row r="3858" spans="1:8">
      <c r="A3858" s="1"/>
      <c r="B3858" s="1"/>
      <c r="C3858" s="1"/>
      <c r="D3858" s="1"/>
      <c r="E3858" s="357">
        <v>45212</v>
      </c>
      <c r="F3858" s="344" t="s">
        <v>625</v>
      </c>
      <c r="G3858" s="358">
        <v>29.230599999999999</v>
      </c>
      <c r="H3858" s="344" t="s">
        <v>1599</v>
      </c>
    </row>
    <row r="3859" spans="1:8">
      <c r="A3859" s="1"/>
      <c r="B3859" s="1"/>
      <c r="C3859" s="1"/>
      <c r="D3859" s="1"/>
      <c r="E3859" s="357">
        <v>45212</v>
      </c>
      <c r="F3859" s="344" t="s">
        <v>628</v>
      </c>
      <c r="G3859" s="358">
        <v>33.770600000000002</v>
      </c>
      <c r="H3859" s="344" t="s">
        <v>1599</v>
      </c>
    </row>
    <row r="3860" spans="1:8">
      <c r="A3860" s="1"/>
      <c r="B3860" s="1"/>
      <c r="C3860" s="1"/>
      <c r="D3860" s="1"/>
      <c r="E3860" s="357">
        <v>45212</v>
      </c>
      <c r="F3860" s="344" t="s">
        <v>631</v>
      </c>
      <c r="G3860" s="358">
        <v>27.7439</v>
      </c>
      <c r="H3860" s="344" t="s">
        <v>1599</v>
      </c>
    </row>
    <row r="3861" spans="1:8">
      <c r="A3861" s="1"/>
      <c r="B3861" s="1"/>
      <c r="C3861" s="1"/>
      <c r="D3861" s="1"/>
      <c r="E3861" s="357">
        <v>45215</v>
      </c>
      <c r="F3861" s="344" t="s">
        <v>621</v>
      </c>
      <c r="G3861" s="358">
        <v>30.7638</v>
      </c>
      <c r="H3861" s="344" t="s">
        <v>1600</v>
      </c>
    </row>
    <row r="3862" spans="1:8">
      <c r="A3862" s="1"/>
      <c r="B3862" s="1"/>
      <c r="C3862" s="1"/>
      <c r="D3862" s="1"/>
      <c r="E3862" s="357">
        <v>45215</v>
      </c>
      <c r="F3862" s="344" t="s">
        <v>625</v>
      </c>
      <c r="G3862" s="358">
        <v>29.3261</v>
      </c>
      <c r="H3862" s="344" t="s">
        <v>1600</v>
      </c>
    </row>
    <row r="3863" spans="1:8">
      <c r="A3863" s="1"/>
      <c r="B3863" s="1"/>
      <c r="C3863" s="1"/>
      <c r="D3863" s="1"/>
      <c r="E3863" s="357">
        <v>45215</v>
      </c>
      <c r="F3863" s="344" t="s">
        <v>628</v>
      </c>
      <c r="G3863" s="358">
        <v>33.801400000000001</v>
      </c>
      <c r="H3863" s="344" t="s">
        <v>1600</v>
      </c>
    </row>
    <row r="3864" spans="1:8">
      <c r="A3864" s="1"/>
      <c r="B3864" s="1"/>
      <c r="C3864" s="1"/>
      <c r="D3864" s="1"/>
      <c r="E3864" s="357">
        <v>45215</v>
      </c>
      <c r="F3864" s="344" t="s">
        <v>631</v>
      </c>
      <c r="G3864" s="358">
        <v>27.836400000000001</v>
      </c>
      <c r="H3864" s="344" t="s">
        <v>1600</v>
      </c>
    </row>
    <row r="3865" spans="1:8">
      <c r="A3865" s="1"/>
      <c r="B3865" s="1"/>
      <c r="C3865" s="1"/>
      <c r="D3865" s="1"/>
      <c r="E3865" s="357">
        <v>45216</v>
      </c>
      <c r="F3865" s="344" t="s">
        <v>621</v>
      </c>
      <c r="G3865" s="358">
        <v>30.846900000000002</v>
      </c>
      <c r="H3865" s="344" t="s">
        <v>1601</v>
      </c>
    </row>
    <row r="3866" spans="1:8">
      <c r="A3866" s="1"/>
      <c r="B3866" s="1"/>
      <c r="C3866" s="1"/>
      <c r="D3866" s="1"/>
      <c r="E3866" s="357">
        <v>45216</v>
      </c>
      <c r="F3866" s="344" t="s">
        <v>625</v>
      </c>
      <c r="G3866" s="358">
        <v>29.4057</v>
      </c>
      <c r="H3866" s="344" t="s">
        <v>1601</v>
      </c>
    </row>
    <row r="3867" spans="1:8">
      <c r="A3867" s="1"/>
      <c r="B3867" s="1"/>
      <c r="C3867" s="1"/>
      <c r="D3867" s="1"/>
      <c r="E3867" s="357">
        <v>45216</v>
      </c>
      <c r="F3867" s="344" t="s">
        <v>628</v>
      </c>
      <c r="G3867" s="358">
        <v>33.856999999999999</v>
      </c>
      <c r="H3867" s="344" t="s">
        <v>1601</v>
      </c>
    </row>
    <row r="3868" spans="1:8">
      <c r="A3868" s="1"/>
      <c r="B3868" s="1"/>
      <c r="C3868" s="1"/>
      <c r="D3868" s="1"/>
      <c r="E3868" s="357">
        <v>45216</v>
      </c>
      <c r="F3868" s="344" t="s">
        <v>631</v>
      </c>
      <c r="G3868" s="358">
        <v>27.8719</v>
      </c>
      <c r="H3868" s="344" t="s">
        <v>1601</v>
      </c>
    </row>
    <row r="3869" spans="1:8">
      <c r="A3869" s="1"/>
      <c r="B3869" s="1"/>
      <c r="C3869" s="1"/>
      <c r="D3869" s="1"/>
      <c r="E3869" s="357">
        <v>45217</v>
      </c>
      <c r="F3869" s="344" t="s">
        <v>621</v>
      </c>
      <c r="G3869" s="358">
        <v>31.039400000000001</v>
      </c>
      <c r="H3869" s="344" t="s">
        <v>1602</v>
      </c>
    </row>
    <row r="3870" spans="1:8">
      <c r="A3870" s="1"/>
      <c r="B3870" s="1"/>
      <c r="C3870" s="1"/>
      <c r="D3870" s="1"/>
      <c r="E3870" s="357">
        <v>45217</v>
      </c>
      <c r="F3870" s="344" t="s">
        <v>625</v>
      </c>
      <c r="G3870" s="358">
        <v>29.562999999999999</v>
      </c>
      <c r="H3870" s="344" t="s">
        <v>1602</v>
      </c>
    </row>
    <row r="3871" spans="1:8">
      <c r="A3871" s="1"/>
      <c r="B3871" s="1"/>
      <c r="C3871" s="1"/>
      <c r="D3871" s="1"/>
      <c r="E3871" s="357">
        <v>45217</v>
      </c>
      <c r="F3871" s="344" t="s">
        <v>628</v>
      </c>
      <c r="G3871" s="358">
        <v>34.036900000000003</v>
      </c>
      <c r="H3871" s="344" t="s">
        <v>1602</v>
      </c>
    </row>
    <row r="3872" spans="1:8">
      <c r="A3872" s="1"/>
      <c r="B3872" s="1"/>
      <c r="C3872" s="1"/>
      <c r="D3872" s="1"/>
      <c r="E3872" s="357">
        <v>45217</v>
      </c>
      <c r="F3872" s="344" t="s">
        <v>631</v>
      </c>
      <c r="G3872" s="358">
        <v>27.965900000000001</v>
      </c>
      <c r="H3872" s="344" t="s">
        <v>1602</v>
      </c>
    </row>
    <row r="3873" spans="1:8">
      <c r="A3873" s="1"/>
      <c r="B3873" s="1"/>
      <c r="C3873" s="1"/>
      <c r="D3873" s="1"/>
      <c r="E3873" s="357">
        <v>45218</v>
      </c>
      <c r="F3873" s="344" t="s">
        <v>621</v>
      </c>
      <c r="G3873" s="358">
        <v>31.050899999999999</v>
      </c>
      <c r="H3873" s="344" t="s">
        <v>1603</v>
      </c>
    </row>
    <row r="3874" spans="1:8">
      <c r="A3874" s="1"/>
      <c r="B3874" s="1"/>
      <c r="C3874" s="1"/>
      <c r="D3874" s="1"/>
      <c r="E3874" s="357">
        <v>45218</v>
      </c>
      <c r="F3874" s="344" t="s">
        <v>625</v>
      </c>
      <c r="G3874" s="358">
        <v>29.488299999999999</v>
      </c>
      <c r="H3874" s="344" t="s">
        <v>1603</v>
      </c>
    </row>
    <row r="3875" spans="1:8">
      <c r="A3875" s="1"/>
      <c r="B3875" s="1"/>
      <c r="C3875" s="1"/>
      <c r="D3875" s="1"/>
      <c r="E3875" s="357">
        <v>45218</v>
      </c>
      <c r="F3875" s="344" t="s">
        <v>628</v>
      </c>
      <c r="G3875" s="358">
        <v>33.830199999999998</v>
      </c>
      <c r="H3875" s="344" t="s">
        <v>1603</v>
      </c>
    </row>
    <row r="3876" spans="1:8">
      <c r="A3876" s="1"/>
      <c r="B3876" s="1"/>
      <c r="C3876" s="1"/>
      <c r="D3876" s="1"/>
      <c r="E3876" s="357">
        <v>45218</v>
      </c>
      <c r="F3876" s="344" t="s">
        <v>631</v>
      </c>
      <c r="G3876" s="358">
        <v>27.9649</v>
      </c>
      <c r="H3876" s="344" t="s">
        <v>1603</v>
      </c>
    </row>
    <row r="3877" spans="1:8">
      <c r="A3877" s="1"/>
      <c r="B3877" s="1"/>
      <c r="C3877" s="1"/>
      <c r="D3877" s="1"/>
      <c r="E3877" s="357">
        <v>45219</v>
      </c>
      <c r="F3877" s="344" t="s">
        <v>621</v>
      </c>
      <c r="G3877" s="358">
        <v>31.297599999999999</v>
      </c>
      <c r="H3877" s="344" t="s">
        <v>1604</v>
      </c>
    </row>
    <row r="3878" spans="1:8">
      <c r="A3878" s="1"/>
      <c r="B3878" s="1"/>
      <c r="C3878" s="1"/>
      <c r="D3878" s="1"/>
      <c r="E3878" s="357">
        <v>45219</v>
      </c>
      <c r="F3878" s="344" t="s">
        <v>625</v>
      </c>
      <c r="G3878" s="358">
        <v>29.601700000000001</v>
      </c>
      <c r="H3878" s="344" t="s">
        <v>1604</v>
      </c>
    </row>
    <row r="3879" spans="1:8">
      <c r="A3879" s="1"/>
      <c r="B3879" s="1"/>
      <c r="C3879" s="1"/>
      <c r="D3879" s="1"/>
      <c r="E3879" s="357">
        <v>45219</v>
      </c>
      <c r="F3879" s="344" t="s">
        <v>628</v>
      </c>
      <c r="G3879" s="358">
        <v>33.846499999999999</v>
      </c>
      <c r="H3879" s="344" t="s">
        <v>1604</v>
      </c>
    </row>
    <row r="3880" spans="1:8">
      <c r="A3880" s="1"/>
      <c r="B3880" s="1"/>
      <c r="C3880" s="1"/>
      <c r="D3880" s="1"/>
      <c r="E3880" s="357">
        <v>45219</v>
      </c>
      <c r="F3880" s="344" t="s">
        <v>631</v>
      </c>
      <c r="G3880" s="358">
        <v>27.971399999999999</v>
      </c>
      <c r="H3880" s="344" t="s">
        <v>1604</v>
      </c>
    </row>
    <row r="3881" spans="1:8">
      <c r="A3881" s="1"/>
      <c r="B3881" s="1"/>
      <c r="C3881" s="1"/>
      <c r="D3881" s="1"/>
      <c r="E3881" s="357">
        <v>45222</v>
      </c>
      <c r="F3881" s="344" t="s">
        <v>621</v>
      </c>
      <c r="G3881" s="358">
        <v>31.303100000000001</v>
      </c>
      <c r="H3881" s="344" t="s">
        <v>1605</v>
      </c>
    </row>
    <row r="3882" spans="1:8">
      <c r="A3882" s="1"/>
      <c r="B3882" s="1"/>
      <c r="C3882" s="1"/>
      <c r="D3882" s="1"/>
      <c r="E3882" s="357">
        <v>45222</v>
      </c>
      <c r="F3882" s="344" t="s">
        <v>625</v>
      </c>
      <c r="G3882" s="358">
        <v>29.683</v>
      </c>
      <c r="H3882" s="344" t="s">
        <v>1605</v>
      </c>
    </row>
    <row r="3883" spans="1:8">
      <c r="A3883" s="1"/>
      <c r="B3883" s="1"/>
      <c r="C3883" s="1"/>
      <c r="D3883" s="1"/>
      <c r="E3883" s="357">
        <v>45222</v>
      </c>
      <c r="F3883" s="344" t="s">
        <v>628</v>
      </c>
      <c r="G3883" s="358">
        <v>34.003999999999998</v>
      </c>
      <c r="H3883" s="344" t="s">
        <v>1605</v>
      </c>
    </row>
    <row r="3884" spans="1:8">
      <c r="A3884" s="1"/>
      <c r="B3884" s="1"/>
      <c r="C3884" s="1"/>
      <c r="D3884" s="1"/>
      <c r="E3884" s="357">
        <v>45222</v>
      </c>
      <c r="F3884" s="344" t="s">
        <v>631</v>
      </c>
      <c r="G3884" s="358">
        <v>28.010300000000001</v>
      </c>
      <c r="H3884" s="344" t="s">
        <v>1605</v>
      </c>
    </row>
    <row r="3885" spans="1:8">
      <c r="A3885" s="1"/>
      <c r="B3885" s="1"/>
      <c r="C3885" s="1"/>
      <c r="D3885" s="1"/>
      <c r="E3885" s="357">
        <v>45223</v>
      </c>
      <c r="F3885" s="344" t="s">
        <v>621</v>
      </c>
      <c r="G3885" s="358">
        <v>31.3767</v>
      </c>
      <c r="H3885" s="344" t="s">
        <v>1606</v>
      </c>
    </row>
    <row r="3886" spans="1:8">
      <c r="A3886" s="1"/>
      <c r="B3886" s="1"/>
      <c r="C3886" s="1"/>
      <c r="D3886" s="1"/>
      <c r="E3886" s="357">
        <v>45223</v>
      </c>
      <c r="F3886" s="344" t="s">
        <v>625</v>
      </c>
      <c r="G3886" s="358">
        <v>29.874500000000001</v>
      </c>
      <c r="H3886" s="344" t="s">
        <v>1606</v>
      </c>
    </row>
    <row r="3887" spans="1:8">
      <c r="A3887" s="1"/>
      <c r="B3887" s="1"/>
      <c r="C3887" s="1"/>
      <c r="D3887" s="1"/>
      <c r="E3887" s="357">
        <v>45223</v>
      </c>
      <c r="F3887" s="344" t="s">
        <v>628</v>
      </c>
      <c r="G3887" s="358">
        <v>34.299100000000003</v>
      </c>
      <c r="H3887" s="344" t="s">
        <v>1606</v>
      </c>
    </row>
    <row r="3888" spans="1:8">
      <c r="A3888" s="1"/>
      <c r="B3888" s="1"/>
      <c r="C3888" s="1"/>
      <c r="D3888" s="1"/>
      <c r="E3888" s="357">
        <v>45223</v>
      </c>
      <c r="F3888" s="344" t="s">
        <v>631</v>
      </c>
      <c r="G3888" s="358">
        <v>28.053599999999999</v>
      </c>
      <c r="H3888" s="344" t="s">
        <v>1606</v>
      </c>
    </row>
    <row r="3889" spans="1:8">
      <c r="A3889" s="1"/>
      <c r="B3889" s="1"/>
      <c r="C3889" s="1"/>
      <c r="D3889" s="1"/>
      <c r="E3889" s="357">
        <v>45224</v>
      </c>
      <c r="F3889" s="344" t="s">
        <v>621</v>
      </c>
      <c r="G3889" s="358">
        <v>31.296099999999999</v>
      </c>
      <c r="H3889" s="344" t="s">
        <v>1607</v>
      </c>
    </row>
    <row r="3890" spans="1:8">
      <c r="A3890" s="1"/>
      <c r="B3890" s="1"/>
      <c r="C3890" s="1"/>
      <c r="D3890" s="1"/>
      <c r="E3890" s="357">
        <v>45224</v>
      </c>
      <c r="F3890" s="344" t="s">
        <v>625</v>
      </c>
      <c r="G3890" s="358">
        <v>29.709800000000001</v>
      </c>
      <c r="H3890" s="344" t="s">
        <v>1607</v>
      </c>
    </row>
    <row r="3891" spans="1:8">
      <c r="A3891" s="1"/>
      <c r="B3891" s="1"/>
      <c r="C3891" s="1"/>
      <c r="D3891" s="1"/>
      <c r="E3891" s="357">
        <v>45224</v>
      </c>
      <c r="F3891" s="344" t="s">
        <v>628</v>
      </c>
      <c r="G3891" s="358">
        <v>34.014899999999997</v>
      </c>
      <c r="H3891" s="344" t="s">
        <v>1607</v>
      </c>
    </row>
    <row r="3892" spans="1:8">
      <c r="A3892" s="1"/>
      <c r="B3892" s="1"/>
      <c r="C3892" s="1"/>
      <c r="D3892" s="1"/>
      <c r="E3892" s="357">
        <v>45224</v>
      </c>
      <c r="F3892" s="344" t="s">
        <v>631</v>
      </c>
      <c r="G3892" s="358">
        <v>28.0807</v>
      </c>
      <c r="H3892" s="344" t="s">
        <v>1607</v>
      </c>
    </row>
    <row r="3893" spans="1:8">
      <c r="A3893" s="1"/>
      <c r="B3893" s="1"/>
      <c r="C3893" s="1"/>
      <c r="D3893" s="1"/>
      <c r="E3893" s="357">
        <v>45225</v>
      </c>
      <c r="F3893" s="344" t="s">
        <v>621</v>
      </c>
      <c r="G3893" s="358">
        <v>31.2</v>
      </c>
      <c r="H3893" s="344" t="s">
        <v>1608</v>
      </c>
    </row>
    <row r="3894" spans="1:8">
      <c r="A3894" s="1"/>
      <c r="B3894" s="1"/>
      <c r="C3894" s="1"/>
      <c r="D3894" s="1"/>
      <c r="E3894" s="357">
        <v>45225</v>
      </c>
      <c r="F3894" s="344" t="s">
        <v>625</v>
      </c>
      <c r="G3894" s="358">
        <v>29.625299999999999</v>
      </c>
      <c r="H3894" s="344" t="s">
        <v>1608</v>
      </c>
    </row>
    <row r="3895" spans="1:8">
      <c r="A3895" s="1"/>
      <c r="B3895" s="1"/>
      <c r="C3895" s="1"/>
      <c r="D3895" s="1"/>
      <c r="E3895" s="357">
        <v>45225</v>
      </c>
      <c r="F3895" s="344" t="s">
        <v>628</v>
      </c>
      <c r="G3895" s="358">
        <v>33.898099999999999</v>
      </c>
      <c r="H3895" s="344" t="s">
        <v>1608</v>
      </c>
    </row>
    <row r="3896" spans="1:8">
      <c r="A3896" s="1"/>
      <c r="B3896" s="1"/>
      <c r="C3896" s="1"/>
      <c r="D3896" s="1"/>
      <c r="E3896" s="357">
        <v>45225</v>
      </c>
      <c r="F3896" s="344" t="s">
        <v>631</v>
      </c>
      <c r="G3896" s="358">
        <v>28.102599999999999</v>
      </c>
      <c r="H3896" s="344" t="s">
        <v>1608</v>
      </c>
    </row>
    <row r="3897" spans="1:8">
      <c r="A3897" s="1"/>
      <c r="B3897" s="1"/>
      <c r="C3897" s="1"/>
      <c r="D3897" s="1"/>
      <c r="E3897" s="357">
        <v>45226</v>
      </c>
      <c r="F3897" s="344" t="s">
        <v>621</v>
      </c>
      <c r="G3897" s="358">
        <v>31.161999999999999</v>
      </c>
      <c r="H3897" s="344" t="s">
        <v>1609</v>
      </c>
    </row>
    <row r="3898" spans="1:8">
      <c r="A3898" s="1"/>
      <c r="B3898" s="1"/>
      <c r="C3898" s="1"/>
      <c r="D3898" s="1"/>
      <c r="E3898" s="357">
        <v>45226</v>
      </c>
      <c r="F3898" s="344" t="s">
        <v>625</v>
      </c>
      <c r="G3898" s="358">
        <v>29.689599999999999</v>
      </c>
      <c r="H3898" s="344" t="s">
        <v>1609</v>
      </c>
    </row>
    <row r="3899" spans="1:8">
      <c r="A3899" s="1"/>
      <c r="B3899" s="1"/>
      <c r="C3899" s="1"/>
      <c r="D3899" s="1"/>
      <c r="E3899" s="357">
        <v>45226</v>
      </c>
      <c r="F3899" s="344" t="s">
        <v>628</v>
      </c>
      <c r="G3899" s="358">
        <v>34.039200000000001</v>
      </c>
      <c r="H3899" s="344" t="s">
        <v>1609</v>
      </c>
    </row>
    <row r="3900" spans="1:8">
      <c r="A3900" s="1"/>
      <c r="B3900" s="1"/>
      <c r="C3900" s="1"/>
      <c r="D3900" s="1"/>
      <c r="E3900" s="357">
        <v>45226</v>
      </c>
      <c r="F3900" s="344" t="s">
        <v>631</v>
      </c>
      <c r="G3900" s="358">
        <v>28.125800000000002</v>
      </c>
      <c r="H3900" s="344" t="s">
        <v>1609</v>
      </c>
    </row>
    <row r="3901" spans="1:8">
      <c r="A3901" s="1"/>
      <c r="B3901" s="1"/>
      <c r="C3901" s="1"/>
      <c r="D3901" s="1"/>
      <c r="E3901" s="357">
        <v>45229</v>
      </c>
      <c r="F3901" s="344" t="s">
        <v>621</v>
      </c>
      <c r="G3901" s="358">
        <v>31.147200000000002</v>
      </c>
      <c r="H3901" s="344" t="s">
        <v>1610</v>
      </c>
    </row>
    <row r="3902" spans="1:8">
      <c r="A3902" s="1"/>
      <c r="B3902" s="1"/>
      <c r="C3902" s="1"/>
      <c r="D3902" s="1"/>
      <c r="E3902" s="357">
        <v>45229</v>
      </c>
      <c r="F3902" s="344" t="s">
        <v>625</v>
      </c>
      <c r="G3902" s="358">
        <v>29.814299999999999</v>
      </c>
      <c r="H3902" s="344" t="s">
        <v>1610</v>
      </c>
    </row>
    <row r="3903" spans="1:8">
      <c r="A3903" s="1"/>
      <c r="B3903" s="1"/>
      <c r="C3903" s="1"/>
      <c r="D3903" s="1"/>
      <c r="E3903" s="357">
        <v>45229</v>
      </c>
      <c r="F3903" s="344" t="s">
        <v>628</v>
      </c>
      <c r="G3903" s="358">
        <v>34.121699999999997</v>
      </c>
      <c r="H3903" s="344" t="s">
        <v>1610</v>
      </c>
    </row>
    <row r="3904" spans="1:8">
      <c r="A3904" s="1"/>
      <c r="B3904" s="1"/>
      <c r="C3904" s="1"/>
      <c r="D3904" s="1"/>
      <c r="E3904" s="357">
        <v>45229</v>
      </c>
      <c r="F3904" s="344" t="s">
        <v>631</v>
      </c>
      <c r="G3904" s="358">
        <v>28.2043</v>
      </c>
      <c r="H3904" s="344" t="s">
        <v>1610</v>
      </c>
    </row>
    <row r="3905" spans="1:8">
      <c r="A3905" s="1"/>
      <c r="B3905" s="1"/>
      <c r="C3905" s="1"/>
      <c r="D3905" s="1"/>
      <c r="E3905" s="357">
        <v>45230</v>
      </c>
      <c r="F3905" s="344" t="s">
        <v>621</v>
      </c>
      <c r="G3905" s="358">
        <v>31.234300000000001</v>
      </c>
      <c r="H3905" s="344" t="s">
        <v>1611</v>
      </c>
    </row>
    <row r="3906" spans="1:8">
      <c r="A3906" s="1"/>
      <c r="B3906" s="1"/>
      <c r="C3906" s="1"/>
      <c r="D3906" s="1"/>
      <c r="E3906" s="357">
        <v>45230</v>
      </c>
      <c r="F3906" s="344" t="s">
        <v>625</v>
      </c>
      <c r="G3906" s="358">
        <v>30.055199999999999</v>
      </c>
      <c r="H3906" s="344" t="s">
        <v>1611</v>
      </c>
    </row>
    <row r="3907" spans="1:8">
      <c r="A3907" s="1"/>
      <c r="B3907" s="1"/>
      <c r="C3907" s="1"/>
      <c r="D3907" s="1"/>
      <c r="E3907" s="357">
        <v>45230</v>
      </c>
      <c r="F3907" s="344" t="s">
        <v>628</v>
      </c>
      <c r="G3907" s="358">
        <v>34.318100000000001</v>
      </c>
      <c r="H3907" s="344" t="s">
        <v>1611</v>
      </c>
    </row>
    <row r="3908" spans="1:8">
      <c r="A3908" s="1"/>
      <c r="B3908" s="1"/>
      <c r="C3908" s="1"/>
      <c r="D3908" s="1"/>
      <c r="E3908" s="357">
        <v>45230</v>
      </c>
      <c r="F3908" s="344" t="s">
        <v>631</v>
      </c>
      <c r="G3908" s="358">
        <v>28.236599999999999</v>
      </c>
      <c r="H3908" s="344" t="s">
        <v>1611</v>
      </c>
    </row>
    <row r="3909" spans="1:8">
      <c r="A3909" s="1"/>
      <c r="B3909" s="1"/>
      <c r="C3909" s="1"/>
      <c r="D3909" s="1"/>
      <c r="E3909" s="357">
        <v>45231</v>
      </c>
      <c r="F3909" s="344" t="s">
        <v>621</v>
      </c>
      <c r="G3909" s="358">
        <v>31.030200000000001</v>
      </c>
      <c r="H3909" s="344" t="s">
        <v>1612</v>
      </c>
    </row>
    <row r="3910" spans="1:8">
      <c r="A3910" s="1"/>
      <c r="B3910" s="1"/>
      <c r="C3910" s="1"/>
      <c r="D3910" s="1"/>
      <c r="E3910" s="357">
        <v>45231</v>
      </c>
      <c r="F3910" s="344" t="s">
        <v>625</v>
      </c>
      <c r="G3910" s="358">
        <v>29.853899999999999</v>
      </c>
      <c r="H3910" s="344" t="s">
        <v>1612</v>
      </c>
    </row>
    <row r="3911" spans="1:8">
      <c r="A3911" s="1"/>
      <c r="B3911" s="1"/>
      <c r="C3911" s="1"/>
      <c r="D3911" s="1"/>
      <c r="E3911" s="357">
        <v>45231</v>
      </c>
      <c r="F3911" s="344" t="s">
        <v>628</v>
      </c>
      <c r="G3911" s="358">
        <v>34.277000000000001</v>
      </c>
      <c r="H3911" s="344" t="s">
        <v>1612</v>
      </c>
    </row>
    <row r="3912" spans="1:8">
      <c r="A3912" s="1"/>
      <c r="B3912" s="1"/>
      <c r="C3912" s="1"/>
      <c r="D3912" s="1"/>
      <c r="E3912" s="357">
        <v>45231</v>
      </c>
      <c r="F3912" s="344" t="s">
        <v>631</v>
      </c>
      <c r="G3912" s="358">
        <v>28.2806</v>
      </c>
      <c r="H3912" s="344" t="s">
        <v>1612</v>
      </c>
    </row>
    <row r="3913" spans="1:8">
      <c r="A3913" s="1"/>
      <c r="B3913" s="1"/>
      <c r="C3913" s="1"/>
      <c r="D3913" s="1"/>
      <c r="E3913" s="357">
        <v>45232</v>
      </c>
      <c r="F3913" s="344" t="s">
        <v>621</v>
      </c>
      <c r="G3913" s="358">
        <v>31.2362</v>
      </c>
      <c r="H3913" s="344" t="s">
        <v>1613</v>
      </c>
    </row>
    <row r="3914" spans="1:8">
      <c r="A3914" s="1"/>
      <c r="B3914" s="1"/>
      <c r="C3914" s="1"/>
      <c r="D3914" s="1"/>
      <c r="E3914" s="357">
        <v>45232</v>
      </c>
      <c r="F3914" s="344" t="s">
        <v>625</v>
      </c>
      <c r="G3914" s="358">
        <v>30.0503</v>
      </c>
      <c r="H3914" s="344" t="s">
        <v>1613</v>
      </c>
    </row>
    <row r="3915" spans="1:8">
      <c r="A3915" s="1"/>
      <c r="B3915" s="1"/>
      <c r="C3915" s="1"/>
      <c r="D3915" s="1"/>
      <c r="E3915" s="357">
        <v>45232</v>
      </c>
      <c r="F3915" s="344" t="s">
        <v>628</v>
      </c>
      <c r="G3915" s="358">
        <v>34.422199999999997</v>
      </c>
      <c r="H3915" s="344" t="s">
        <v>1613</v>
      </c>
    </row>
    <row r="3916" spans="1:8">
      <c r="A3916" s="1"/>
      <c r="B3916" s="1"/>
      <c r="C3916" s="1"/>
      <c r="D3916" s="1"/>
      <c r="E3916" s="357">
        <v>45232</v>
      </c>
      <c r="F3916" s="344" t="s">
        <v>631</v>
      </c>
      <c r="G3916" s="358">
        <v>28.3063</v>
      </c>
      <c r="H3916" s="344" t="s">
        <v>1613</v>
      </c>
    </row>
    <row r="3917" spans="1:8">
      <c r="A3917" s="1"/>
      <c r="B3917" s="1"/>
      <c r="C3917" s="1"/>
      <c r="D3917" s="1"/>
      <c r="E3917" s="357">
        <v>45233</v>
      </c>
      <c r="F3917" s="344" t="s">
        <v>621</v>
      </c>
      <c r="G3917" s="358">
        <v>31.2392</v>
      </c>
      <c r="H3917" s="344" t="s">
        <v>1614</v>
      </c>
    </row>
    <row r="3918" spans="1:8">
      <c r="A3918" s="1"/>
      <c r="B3918" s="1"/>
      <c r="C3918" s="1"/>
      <c r="D3918" s="1"/>
      <c r="E3918" s="357">
        <v>45233</v>
      </c>
      <c r="F3918" s="344" t="s">
        <v>625</v>
      </c>
      <c r="G3918" s="358">
        <v>30.1554</v>
      </c>
      <c r="H3918" s="344" t="s">
        <v>1614</v>
      </c>
    </row>
    <row r="3919" spans="1:8">
      <c r="A3919" s="1"/>
      <c r="B3919" s="1"/>
      <c r="C3919" s="1"/>
      <c r="D3919" s="1"/>
      <c r="E3919" s="357">
        <v>45233</v>
      </c>
      <c r="F3919" s="344" t="s">
        <v>628</v>
      </c>
      <c r="G3919" s="358">
        <v>34.555399999999999</v>
      </c>
      <c r="H3919" s="344" t="s">
        <v>1614</v>
      </c>
    </row>
    <row r="3920" spans="1:8">
      <c r="A3920" s="1"/>
      <c r="B3920" s="1"/>
      <c r="C3920" s="1"/>
      <c r="D3920" s="1"/>
      <c r="E3920" s="357">
        <v>45233</v>
      </c>
      <c r="F3920" s="344" t="s">
        <v>631</v>
      </c>
      <c r="G3920" s="358">
        <v>28.347899999999999</v>
      </c>
      <c r="H3920" s="344" t="s">
        <v>1614</v>
      </c>
    </row>
    <row r="3921" spans="1:8">
      <c r="A3921" s="1"/>
      <c r="B3921" s="1"/>
      <c r="C3921" s="1"/>
      <c r="D3921" s="1"/>
      <c r="E3921" s="357">
        <v>45236</v>
      </c>
      <c r="F3921" s="344" t="s">
        <v>621</v>
      </c>
      <c r="G3921" s="358">
        <v>31.581700000000001</v>
      </c>
      <c r="H3921" s="344" t="s">
        <v>1615</v>
      </c>
    </row>
    <row r="3922" spans="1:8">
      <c r="A3922" s="1"/>
      <c r="B3922" s="1"/>
      <c r="C3922" s="1"/>
      <c r="D3922" s="1"/>
      <c r="E3922" s="357">
        <v>45236</v>
      </c>
      <c r="F3922" s="344" t="s">
        <v>625</v>
      </c>
      <c r="G3922" s="358">
        <v>30.5031</v>
      </c>
      <c r="H3922" s="344" t="s">
        <v>1615</v>
      </c>
    </row>
    <row r="3923" spans="1:8">
      <c r="A3923" s="1"/>
      <c r="B3923" s="1"/>
      <c r="C3923" s="1"/>
      <c r="D3923" s="1"/>
      <c r="E3923" s="357">
        <v>45236</v>
      </c>
      <c r="F3923" s="344" t="s">
        <v>628</v>
      </c>
      <c r="G3923" s="358">
        <v>35.148099999999999</v>
      </c>
      <c r="H3923" s="344" t="s">
        <v>1615</v>
      </c>
    </row>
    <row r="3924" spans="1:8">
      <c r="A3924" s="1"/>
      <c r="B3924" s="1"/>
      <c r="C3924" s="1"/>
      <c r="D3924" s="1"/>
      <c r="E3924" s="357">
        <v>45236</v>
      </c>
      <c r="F3924" s="344" t="s">
        <v>631</v>
      </c>
      <c r="G3924" s="358">
        <v>28.388400000000001</v>
      </c>
      <c r="H3924" s="344" t="s">
        <v>1615</v>
      </c>
    </row>
    <row r="3925" spans="1:8">
      <c r="A3925" s="1"/>
      <c r="B3925" s="1"/>
      <c r="C3925" s="1"/>
      <c r="D3925" s="1"/>
      <c r="E3925" s="357">
        <v>45237</v>
      </c>
      <c r="F3925" s="344" t="s">
        <v>621</v>
      </c>
      <c r="G3925" s="358">
        <v>31.511800000000001</v>
      </c>
      <c r="H3925" s="344" t="s">
        <v>1616</v>
      </c>
    </row>
    <row r="3926" spans="1:8">
      <c r="A3926" s="1"/>
      <c r="B3926" s="1"/>
      <c r="C3926" s="1"/>
      <c r="D3926" s="1"/>
      <c r="E3926" s="357">
        <v>45237</v>
      </c>
      <c r="F3926" s="344" t="s">
        <v>625</v>
      </c>
      <c r="G3926" s="358">
        <v>30.397300000000001</v>
      </c>
      <c r="H3926" s="344" t="s">
        <v>1616</v>
      </c>
    </row>
    <row r="3927" spans="1:8">
      <c r="A3927" s="1"/>
      <c r="B3927" s="1"/>
      <c r="C3927" s="1"/>
      <c r="D3927" s="1"/>
      <c r="E3927" s="357">
        <v>45237</v>
      </c>
      <c r="F3927" s="344" t="s">
        <v>628</v>
      </c>
      <c r="G3927" s="358">
        <v>34.939799999999998</v>
      </c>
      <c r="H3927" s="344" t="s">
        <v>1616</v>
      </c>
    </row>
    <row r="3928" spans="1:8">
      <c r="A3928" s="1"/>
      <c r="B3928" s="1"/>
      <c r="C3928" s="1"/>
      <c r="D3928" s="1"/>
      <c r="E3928" s="357">
        <v>45237</v>
      </c>
      <c r="F3928" s="344" t="s">
        <v>631</v>
      </c>
      <c r="G3928" s="358">
        <v>28.435300000000002</v>
      </c>
      <c r="H3928" s="344" t="s">
        <v>1616</v>
      </c>
    </row>
    <row r="3929" spans="1:8">
      <c r="A3929" s="1"/>
      <c r="B3929" s="1"/>
      <c r="C3929" s="1"/>
      <c r="D3929" s="1"/>
      <c r="E3929" s="357">
        <v>45238</v>
      </c>
      <c r="F3929" s="344" t="s">
        <v>621</v>
      </c>
      <c r="G3929" s="358">
        <v>31.5169</v>
      </c>
      <c r="H3929" s="344" t="s">
        <v>1617</v>
      </c>
    </row>
    <row r="3930" spans="1:8">
      <c r="A3930" s="1"/>
      <c r="B3930" s="1"/>
      <c r="C3930" s="1"/>
      <c r="D3930" s="1"/>
      <c r="E3930" s="357">
        <v>45238</v>
      </c>
      <c r="F3930" s="344" t="s">
        <v>625</v>
      </c>
      <c r="G3930" s="358">
        <v>30.3965</v>
      </c>
      <c r="H3930" s="344" t="s">
        <v>1617</v>
      </c>
    </row>
    <row r="3931" spans="1:8">
      <c r="A3931" s="1"/>
      <c r="B3931" s="1"/>
      <c r="C3931" s="1"/>
      <c r="D3931" s="1"/>
      <c r="E3931" s="357">
        <v>45238</v>
      </c>
      <c r="F3931" s="344" t="s">
        <v>628</v>
      </c>
      <c r="G3931" s="358">
        <v>34.862299999999998</v>
      </c>
      <c r="H3931" s="344" t="s">
        <v>1617</v>
      </c>
    </row>
    <row r="3932" spans="1:8">
      <c r="A3932" s="1"/>
      <c r="B3932" s="1"/>
      <c r="C3932" s="1"/>
      <c r="D3932" s="1"/>
      <c r="E3932" s="357">
        <v>45238</v>
      </c>
      <c r="F3932" s="344" t="s">
        <v>631</v>
      </c>
      <c r="G3932" s="358">
        <v>28.476700000000001</v>
      </c>
      <c r="H3932" s="344" t="s">
        <v>1617</v>
      </c>
    </row>
    <row r="3933" spans="1:8">
      <c r="A3933" s="1"/>
      <c r="B3933" s="1"/>
      <c r="C3933" s="1"/>
      <c r="D3933" s="1"/>
      <c r="E3933" s="357">
        <v>45239</v>
      </c>
      <c r="F3933" s="344" t="s">
        <v>621</v>
      </c>
      <c r="G3933" s="358">
        <v>31.563199999999998</v>
      </c>
      <c r="H3933" s="344" t="s">
        <v>1618</v>
      </c>
    </row>
    <row r="3934" spans="1:8">
      <c r="A3934" s="1"/>
      <c r="B3934" s="1"/>
      <c r="C3934" s="1"/>
      <c r="D3934" s="1"/>
      <c r="E3934" s="357">
        <v>45239</v>
      </c>
      <c r="F3934" s="344" t="s">
        <v>625</v>
      </c>
      <c r="G3934" s="358">
        <v>30.463000000000001</v>
      </c>
      <c r="H3934" s="344" t="s">
        <v>1618</v>
      </c>
    </row>
    <row r="3935" spans="1:8">
      <c r="A3935" s="1"/>
      <c r="B3935" s="1"/>
      <c r="C3935" s="1"/>
      <c r="D3935" s="1"/>
      <c r="E3935" s="357">
        <v>45239</v>
      </c>
      <c r="F3935" s="344" t="s">
        <v>628</v>
      </c>
      <c r="G3935" s="358">
        <v>34.919499999999999</v>
      </c>
      <c r="H3935" s="344" t="s">
        <v>1618</v>
      </c>
    </row>
    <row r="3936" spans="1:8">
      <c r="A3936" s="1"/>
      <c r="B3936" s="1"/>
      <c r="C3936" s="1"/>
      <c r="D3936" s="1"/>
      <c r="E3936" s="357">
        <v>45239</v>
      </c>
      <c r="F3936" s="344" t="s">
        <v>631</v>
      </c>
      <c r="G3936" s="358">
        <v>28.475899999999999</v>
      </c>
      <c r="H3936" s="344" t="s">
        <v>1618</v>
      </c>
    </row>
    <row r="3937" spans="1:8">
      <c r="A3937" s="1"/>
      <c r="B3937" s="1"/>
      <c r="C3937" s="1"/>
      <c r="D3937" s="1"/>
      <c r="E3937" s="357">
        <v>45240</v>
      </c>
      <c r="F3937" s="344" t="s">
        <v>621</v>
      </c>
      <c r="G3937" s="358">
        <v>31.486899999999999</v>
      </c>
      <c r="H3937" s="344" t="s">
        <v>1619</v>
      </c>
    </row>
    <row r="3938" spans="1:8">
      <c r="A3938" s="1"/>
      <c r="B3938" s="1"/>
      <c r="C3938" s="1"/>
      <c r="D3938" s="1"/>
      <c r="E3938" s="357">
        <v>45240</v>
      </c>
      <c r="F3938" s="344" t="s">
        <v>625</v>
      </c>
      <c r="G3938" s="358">
        <v>30.404699999999998</v>
      </c>
      <c r="H3938" s="344" t="s">
        <v>1619</v>
      </c>
    </row>
    <row r="3939" spans="1:8">
      <c r="A3939" s="1"/>
      <c r="B3939" s="1"/>
      <c r="C3939" s="1"/>
      <c r="D3939" s="1"/>
      <c r="E3939" s="357">
        <v>45240</v>
      </c>
      <c r="F3939" s="344" t="s">
        <v>628</v>
      </c>
      <c r="G3939" s="358">
        <v>34.753300000000003</v>
      </c>
      <c r="H3939" s="344" t="s">
        <v>1619</v>
      </c>
    </row>
    <row r="3940" spans="1:8">
      <c r="A3940" s="1"/>
      <c r="B3940" s="1"/>
      <c r="C3940" s="1"/>
      <c r="D3940" s="1"/>
      <c r="E3940" s="357">
        <v>45240</v>
      </c>
      <c r="F3940" s="344" t="s">
        <v>631</v>
      </c>
      <c r="G3940" s="358">
        <v>28.485700000000001</v>
      </c>
      <c r="H3940" s="344" t="s">
        <v>1619</v>
      </c>
    </row>
    <row r="3941" spans="1:8">
      <c r="A3941" s="1"/>
      <c r="B3941" s="1"/>
      <c r="C3941" s="1"/>
      <c r="D3941" s="1"/>
      <c r="E3941" s="357">
        <v>45243</v>
      </c>
      <c r="F3941" s="344" t="s">
        <v>621</v>
      </c>
      <c r="G3941" s="358">
        <v>31.5608</v>
      </c>
      <c r="H3941" s="344" t="s">
        <v>1620</v>
      </c>
    </row>
    <row r="3942" spans="1:8">
      <c r="A3942" s="1"/>
      <c r="B3942" s="1"/>
      <c r="C3942" s="1"/>
      <c r="D3942" s="1"/>
      <c r="E3942" s="357">
        <v>45243</v>
      </c>
      <c r="F3942" s="344" t="s">
        <v>625</v>
      </c>
      <c r="G3942" s="358">
        <v>30.515899999999998</v>
      </c>
      <c r="H3942" s="344" t="s">
        <v>1620</v>
      </c>
    </row>
    <row r="3943" spans="1:8">
      <c r="A3943" s="1"/>
      <c r="B3943" s="1"/>
      <c r="C3943" s="1"/>
      <c r="D3943" s="1"/>
      <c r="E3943" s="357">
        <v>45243</v>
      </c>
      <c r="F3943" s="344" t="s">
        <v>628</v>
      </c>
      <c r="G3943" s="358">
        <v>34.886200000000002</v>
      </c>
      <c r="H3943" s="344" t="s">
        <v>1620</v>
      </c>
    </row>
    <row r="3944" spans="1:8">
      <c r="A3944" s="1"/>
      <c r="B3944" s="1"/>
      <c r="C3944" s="1"/>
      <c r="D3944" s="1"/>
      <c r="E3944" s="357">
        <v>45243</v>
      </c>
      <c r="F3944" s="344" t="s">
        <v>631</v>
      </c>
      <c r="G3944" s="358">
        <v>28.542000000000002</v>
      </c>
      <c r="H3944" s="344" t="s">
        <v>1620</v>
      </c>
    </row>
    <row r="3945" spans="1:8">
      <c r="A3945" s="1"/>
      <c r="B3945" s="1"/>
      <c r="C3945" s="1"/>
      <c r="D3945" s="1"/>
      <c r="E3945" s="357">
        <v>45244</v>
      </c>
      <c r="F3945" s="344" t="s">
        <v>621</v>
      </c>
      <c r="G3945" s="358">
        <v>31.6218</v>
      </c>
      <c r="H3945" s="344" t="s">
        <v>1621</v>
      </c>
    </row>
    <row r="3946" spans="1:8">
      <c r="A3946" s="1"/>
      <c r="B3946" s="1"/>
      <c r="C3946" s="1"/>
      <c r="D3946" s="1"/>
      <c r="E3946" s="357">
        <v>45244</v>
      </c>
      <c r="F3946" s="344" t="s">
        <v>625</v>
      </c>
      <c r="G3946" s="358">
        <v>30.611699999999999</v>
      </c>
      <c r="H3946" s="344" t="s">
        <v>1621</v>
      </c>
    </row>
    <row r="3947" spans="1:8">
      <c r="A3947" s="1"/>
      <c r="B3947" s="1"/>
      <c r="C3947" s="1"/>
      <c r="D3947" s="1"/>
      <c r="E3947" s="357">
        <v>45244</v>
      </c>
      <c r="F3947" s="344" t="s">
        <v>628</v>
      </c>
      <c r="G3947" s="358">
        <v>35.061399999999999</v>
      </c>
      <c r="H3947" s="344" t="s">
        <v>1621</v>
      </c>
    </row>
    <row r="3948" spans="1:8">
      <c r="A3948" s="1"/>
      <c r="B3948" s="1"/>
      <c r="C3948" s="1"/>
      <c r="D3948" s="1"/>
      <c r="E3948" s="357">
        <v>45244</v>
      </c>
      <c r="F3948" s="344" t="s">
        <v>631</v>
      </c>
      <c r="G3948" s="358">
        <v>28.582599999999999</v>
      </c>
      <c r="H3948" s="344" t="s">
        <v>1621</v>
      </c>
    </row>
    <row r="3949" spans="1:8">
      <c r="A3949" s="1"/>
      <c r="B3949" s="1"/>
      <c r="C3949" s="1"/>
      <c r="D3949" s="1"/>
      <c r="E3949" s="357">
        <v>45245</v>
      </c>
      <c r="F3949" s="344" t="s">
        <v>621</v>
      </c>
      <c r="G3949" s="358">
        <v>32.139899999999997</v>
      </c>
      <c r="H3949" s="344" t="s">
        <v>1622</v>
      </c>
    </row>
    <row r="3950" spans="1:8">
      <c r="A3950" s="1"/>
      <c r="B3950" s="1"/>
      <c r="C3950" s="1"/>
      <c r="D3950" s="1"/>
      <c r="E3950" s="357">
        <v>45245</v>
      </c>
      <c r="F3950" s="344" t="s">
        <v>625</v>
      </c>
      <c r="G3950" s="358">
        <v>31.092600000000001</v>
      </c>
      <c r="H3950" s="344" t="s">
        <v>1622</v>
      </c>
    </row>
    <row r="3951" spans="1:8">
      <c r="A3951" s="1"/>
      <c r="B3951" s="1"/>
      <c r="C3951" s="1"/>
      <c r="D3951" s="1"/>
      <c r="E3951" s="357">
        <v>45245</v>
      </c>
      <c r="F3951" s="344" t="s">
        <v>628</v>
      </c>
      <c r="G3951" s="358">
        <v>35.624499999999998</v>
      </c>
      <c r="H3951" s="344" t="s">
        <v>1622</v>
      </c>
    </row>
    <row r="3952" spans="1:8">
      <c r="A3952" s="1"/>
      <c r="B3952" s="1"/>
      <c r="C3952" s="1"/>
      <c r="D3952" s="1"/>
      <c r="E3952" s="357">
        <v>45245</v>
      </c>
      <c r="F3952" s="344" t="s">
        <v>631</v>
      </c>
      <c r="G3952" s="358">
        <v>28.616299999999999</v>
      </c>
      <c r="H3952" s="344" t="s">
        <v>1622</v>
      </c>
    </row>
    <row r="3953" spans="1:8">
      <c r="A3953" s="1"/>
      <c r="B3953" s="1"/>
      <c r="C3953" s="1"/>
      <c r="D3953" s="1"/>
      <c r="E3953" s="357">
        <v>45246</v>
      </c>
      <c r="F3953" s="344" t="s">
        <v>621</v>
      </c>
      <c r="G3953" s="358">
        <v>32.171100000000003</v>
      </c>
      <c r="H3953" s="344" t="s">
        <v>1623</v>
      </c>
    </row>
    <row r="3954" spans="1:8">
      <c r="A3954" s="1"/>
      <c r="B3954" s="1"/>
      <c r="C3954" s="1"/>
      <c r="D3954" s="1"/>
      <c r="E3954" s="357">
        <v>45246</v>
      </c>
      <c r="F3954" s="344" t="s">
        <v>625</v>
      </c>
      <c r="G3954" s="358">
        <v>31.081</v>
      </c>
      <c r="H3954" s="344" t="s">
        <v>1623</v>
      </c>
    </row>
    <row r="3955" spans="1:8">
      <c r="A3955" s="1"/>
      <c r="B3955" s="1"/>
      <c r="C3955" s="1"/>
      <c r="D3955" s="1"/>
      <c r="E3955" s="357">
        <v>45246</v>
      </c>
      <c r="F3955" s="344" t="s">
        <v>628</v>
      </c>
      <c r="G3955" s="358">
        <v>35.462899999999998</v>
      </c>
      <c r="H3955" s="344" t="s">
        <v>1623</v>
      </c>
    </row>
    <row r="3956" spans="1:8">
      <c r="A3956" s="1"/>
      <c r="B3956" s="1"/>
      <c r="C3956" s="1"/>
      <c r="D3956" s="1"/>
      <c r="E3956" s="357">
        <v>45246</v>
      </c>
      <c r="F3956" s="344" t="s">
        <v>631</v>
      </c>
      <c r="G3956" s="358">
        <v>28.652899999999999</v>
      </c>
      <c r="H3956" s="344" t="s">
        <v>1623</v>
      </c>
    </row>
    <row r="3957" spans="1:8">
      <c r="A3957" s="1"/>
      <c r="B3957" s="1"/>
      <c r="C3957" s="1"/>
      <c r="D3957" s="1"/>
      <c r="E3957" s="357">
        <v>45247</v>
      </c>
      <c r="F3957" s="344" t="s">
        <v>621</v>
      </c>
      <c r="G3957" s="358">
        <v>32.2057</v>
      </c>
      <c r="H3957" s="344" t="s">
        <v>1624</v>
      </c>
    </row>
    <row r="3958" spans="1:8">
      <c r="A3958" s="1"/>
      <c r="B3958" s="1"/>
      <c r="C3958" s="1"/>
      <c r="D3958" s="1"/>
      <c r="E3958" s="357">
        <v>45247</v>
      </c>
      <c r="F3958" s="344" t="s">
        <v>625</v>
      </c>
      <c r="G3958" s="358">
        <v>31.108599999999999</v>
      </c>
      <c r="H3958" s="344" t="s">
        <v>1624</v>
      </c>
    </row>
    <row r="3959" spans="1:8">
      <c r="A3959" s="1"/>
      <c r="B3959" s="1"/>
      <c r="C3959" s="1"/>
      <c r="D3959" s="1"/>
      <c r="E3959" s="357">
        <v>45247</v>
      </c>
      <c r="F3959" s="344" t="s">
        <v>628</v>
      </c>
      <c r="G3959" s="358">
        <v>35.501100000000001</v>
      </c>
      <c r="H3959" s="344" t="s">
        <v>1624</v>
      </c>
    </row>
    <row r="3960" spans="1:8">
      <c r="A3960" s="1"/>
      <c r="B3960" s="1"/>
      <c r="C3960" s="1"/>
      <c r="D3960" s="1"/>
      <c r="E3960" s="357">
        <v>45247</v>
      </c>
      <c r="F3960" s="344" t="s">
        <v>631</v>
      </c>
      <c r="G3960" s="358">
        <v>28.659199999999998</v>
      </c>
      <c r="H3960" s="344" t="s">
        <v>1624</v>
      </c>
    </row>
    <row r="3961" spans="1:8">
      <c r="A3961" s="1"/>
      <c r="B3961" s="1"/>
      <c r="C3961" s="1"/>
      <c r="D3961" s="1"/>
      <c r="E3961" s="357">
        <v>45250</v>
      </c>
      <c r="F3961" s="344" t="s">
        <v>621</v>
      </c>
      <c r="G3961" s="358">
        <v>32.402500000000003</v>
      </c>
      <c r="H3961" s="344" t="s">
        <v>1625</v>
      </c>
    </row>
    <row r="3962" spans="1:8">
      <c r="A3962" s="1"/>
      <c r="B3962" s="1"/>
      <c r="C3962" s="1"/>
      <c r="D3962" s="1"/>
      <c r="E3962" s="357">
        <v>45250</v>
      </c>
      <c r="F3962" s="344" t="s">
        <v>625</v>
      </c>
      <c r="G3962" s="358">
        <v>31.355</v>
      </c>
      <c r="H3962" s="344" t="s">
        <v>1625</v>
      </c>
    </row>
    <row r="3963" spans="1:8">
      <c r="A3963" s="1"/>
      <c r="B3963" s="1"/>
      <c r="C3963" s="1"/>
      <c r="D3963" s="1"/>
      <c r="E3963" s="357">
        <v>45250</v>
      </c>
      <c r="F3963" s="344" t="s">
        <v>628</v>
      </c>
      <c r="G3963" s="358">
        <v>35.765799999999999</v>
      </c>
      <c r="H3963" s="344" t="s">
        <v>1625</v>
      </c>
    </row>
    <row r="3964" spans="1:8">
      <c r="A3964" s="1"/>
      <c r="B3964" s="1"/>
      <c r="C3964" s="1"/>
      <c r="D3964" s="1"/>
      <c r="E3964" s="357">
        <v>45250</v>
      </c>
      <c r="F3964" s="344" t="s">
        <v>631</v>
      </c>
      <c r="G3964" s="358">
        <v>28.705100000000002</v>
      </c>
      <c r="H3964" s="344" t="s">
        <v>1625</v>
      </c>
    </row>
    <row r="3965" spans="1:8">
      <c r="A3965" s="1"/>
      <c r="B3965" s="1"/>
      <c r="C3965" s="1"/>
      <c r="D3965" s="1"/>
      <c r="E3965" s="357">
        <v>45251</v>
      </c>
      <c r="F3965" s="344" t="s">
        <v>621</v>
      </c>
      <c r="G3965" s="358">
        <v>32.446100000000001</v>
      </c>
      <c r="H3965" s="344" t="s">
        <v>1626</v>
      </c>
    </row>
    <row r="3966" spans="1:8">
      <c r="A3966" s="1"/>
      <c r="B3966" s="1"/>
      <c r="C3966" s="1"/>
      <c r="D3966" s="1"/>
      <c r="E3966" s="357">
        <v>45251</v>
      </c>
      <c r="F3966" s="344" t="s">
        <v>625</v>
      </c>
      <c r="G3966" s="358">
        <v>31.4725</v>
      </c>
      <c r="H3966" s="344" t="s">
        <v>1626</v>
      </c>
    </row>
    <row r="3967" spans="1:8">
      <c r="A3967" s="1"/>
      <c r="B3967" s="1"/>
      <c r="C3967" s="1"/>
      <c r="D3967" s="1"/>
      <c r="E3967" s="357">
        <v>45251</v>
      </c>
      <c r="F3967" s="344" t="s">
        <v>628</v>
      </c>
      <c r="G3967" s="358">
        <v>35.960700000000003</v>
      </c>
      <c r="H3967" s="344" t="s">
        <v>1626</v>
      </c>
    </row>
    <row r="3968" spans="1:8">
      <c r="A3968" s="1"/>
      <c r="B3968" s="1"/>
      <c r="C3968" s="1"/>
      <c r="D3968" s="1"/>
      <c r="E3968" s="357">
        <v>45251</v>
      </c>
      <c r="F3968" s="344" t="s">
        <v>631</v>
      </c>
      <c r="G3968" s="358">
        <v>28.747399999999999</v>
      </c>
      <c r="H3968" s="344" t="s">
        <v>1626</v>
      </c>
    </row>
    <row r="3969" spans="1:8">
      <c r="A3969" s="1"/>
      <c r="B3969" s="1"/>
      <c r="C3969" s="1"/>
      <c r="D3969" s="1"/>
      <c r="E3969" s="357">
        <v>45252</v>
      </c>
      <c r="F3969" s="344" t="s">
        <v>621</v>
      </c>
      <c r="G3969" s="358">
        <v>32.448500000000003</v>
      </c>
      <c r="H3969" s="344" t="s">
        <v>1627</v>
      </c>
    </row>
    <row r="3970" spans="1:8">
      <c r="A3970" s="1"/>
      <c r="B3970" s="1"/>
      <c r="C3970" s="1"/>
      <c r="D3970" s="1"/>
      <c r="E3970" s="357">
        <v>45252</v>
      </c>
      <c r="F3970" s="344" t="s">
        <v>625</v>
      </c>
      <c r="G3970" s="358">
        <v>31.3523</v>
      </c>
      <c r="H3970" s="344" t="s">
        <v>1627</v>
      </c>
    </row>
    <row r="3971" spans="1:8">
      <c r="A3971" s="1"/>
      <c r="B3971" s="1"/>
      <c r="C3971" s="1"/>
      <c r="D3971" s="1"/>
      <c r="E3971" s="357">
        <v>45252</v>
      </c>
      <c r="F3971" s="344" t="s">
        <v>628</v>
      </c>
      <c r="G3971" s="358">
        <v>35.963299999999997</v>
      </c>
      <c r="H3971" s="344" t="s">
        <v>1627</v>
      </c>
    </row>
    <row r="3972" spans="1:8">
      <c r="A3972" s="1"/>
      <c r="B3972" s="1"/>
      <c r="C3972" s="1"/>
      <c r="D3972" s="1"/>
      <c r="E3972" s="357">
        <v>45252</v>
      </c>
      <c r="F3972" s="344" t="s">
        <v>631</v>
      </c>
      <c r="G3972" s="358">
        <v>28.761800000000001</v>
      </c>
      <c r="H3972" s="344" t="s">
        <v>1627</v>
      </c>
    </row>
    <row r="3973" spans="1:8">
      <c r="A3973" s="1"/>
      <c r="B3973" s="1"/>
      <c r="C3973" s="1"/>
      <c r="D3973" s="1"/>
      <c r="E3973" s="357">
        <v>45253</v>
      </c>
      <c r="F3973" s="344" t="s">
        <v>621</v>
      </c>
      <c r="G3973" s="358">
        <v>32.523200000000003</v>
      </c>
      <c r="H3973" s="344" t="s">
        <v>1628</v>
      </c>
    </row>
    <row r="3974" spans="1:8">
      <c r="A3974" s="1"/>
      <c r="B3974" s="1"/>
      <c r="C3974" s="1"/>
      <c r="D3974" s="1"/>
      <c r="E3974" s="357">
        <v>45253</v>
      </c>
      <c r="F3974" s="344" t="s">
        <v>625</v>
      </c>
      <c r="G3974" s="358">
        <v>31.415600000000001</v>
      </c>
      <c r="H3974" s="344" t="s">
        <v>1628</v>
      </c>
    </row>
    <row r="3975" spans="1:8">
      <c r="A3975" s="1"/>
      <c r="B3975" s="1"/>
      <c r="C3975" s="1"/>
      <c r="D3975" s="1"/>
      <c r="E3975" s="357">
        <v>45253</v>
      </c>
      <c r="F3975" s="344" t="s">
        <v>628</v>
      </c>
      <c r="G3975" s="358">
        <v>36.013500000000001</v>
      </c>
      <c r="H3975" s="344" t="s">
        <v>1628</v>
      </c>
    </row>
    <row r="3976" spans="1:8">
      <c r="A3976" s="1"/>
      <c r="B3976" s="1"/>
      <c r="C3976" s="1"/>
      <c r="D3976" s="1"/>
      <c r="E3976" s="357">
        <v>45253</v>
      </c>
      <c r="F3976" s="344" t="s">
        <v>631</v>
      </c>
      <c r="G3976" s="358">
        <v>28.778600000000001</v>
      </c>
      <c r="H3976" s="344" t="s">
        <v>1628</v>
      </c>
    </row>
    <row r="3977" spans="1:8">
      <c r="A3977" s="1"/>
      <c r="B3977" s="1"/>
      <c r="C3977" s="1"/>
      <c r="D3977" s="1"/>
      <c r="E3977" s="357">
        <v>45254</v>
      </c>
      <c r="F3977" s="344" t="s">
        <v>621</v>
      </c>
      <c r="G3977" s="358">
        <v>32.5227</v>
      </c>
      <c r="H3977" s="344" t="s">
        <v>1629</v>
      </c>
    </row>
    <row r="3978" spans="1:8">
      <c r="A3978" s="1"/>
      <c r="B3978" s="1"/>
      <c r="C3978" s="1"/>
      <c r="D3978" s="1"/>
      <c r="E3978" s="357">
        <v>45254</v>
      </c>
      <c r="F3978" s="344" t="s">
        <v>625</v>
      </c>
      <c r="G3978" s="358">
        <v>31.431100000000001</v>
      </c>
      <c r="H3978" s="344" t="s">
        <v>1629</v>
      </c>
    </row>
    <row r="3979" spans="1:8">
      <c r="A3979" s="1"/>
      <c r="B3979" s="1"/>
      <c r="C3979" s="1"/>
      <c r="D3979" s="1"/>
      <c r="E3979" s="357">
        <v>45254</v>
      </c>
      <c r="F3979" s="344" t="s">
        <v>628</v>
      </c>
      <c r="G3979" s="358">
        <v>36.098799999999997</v>
      </c>
      <c r="H3979" s="344" t="s">
        <v>1629</v>
      </c>
    </row>
    <row r="3980" spans="1:8">
      <c r="A3980" s="1"/>
      <c r="B3980" s="1"/>
      <c r="C3980" s="1"/>
      <c r="D3980" s="1"/>
      <c r="E3980" s="357">
        <v>45254</v>
      </c>
      <c r="F3980" s="344" t="s">
        <v>631</v>
      </c>
      <c r="G3980" s="358">
        <v>28.808800000000002</v>
      </c>
      <c r="H3980" s="344" t="s">
        <v>1629</v>
      </c>
    </row>
    <row r="3981" spans="1:8">
      <c r="A3981" s="1"/>
      <c r="B3981" s="1"/>
      <c r="C3981" s="1"/>
      <c r="D3981" s="1"/>
      <c r="E3981" s="357">
        <v>45257</v>
      </c>
      <c r="F3981" s="344" t="s">
        <v>621</v>
      </c>
      <c r="G3981" s="358">
        <v>32.692100000000003</v>
      </c>
      <c r="H3981" s="344" t="s">
        <v>1630</v>
      </c>
    </row>
    <row r="3982" spans="1:8">
      <c r="A3982" s="1"/>
      <c r="B3982" s="1"/>
      <c r="C3982" s="1"/>
      <c r="D3982" s="1"/>
      <c r="E3982" s="357">
        <v>45257</v>
      </c>
      <c r="F3982" s="344" t="s">
        <v>625</v>
      </c>
      <c r="G3982" s="358">
        <v>31.599499999999999</v>
      </c>
      <c r="H3982" s="344" t="s">
        <v>1630</v>
      </c>
    </row>
    <row r="3983" spans="1:8">
      <c r="A3983" s="1"/>
      <c r="B3983" s="1"/>
      <c r="C3983" s="1"/>
      <c r="D3983" s="1"/>
      <c r="E3983" s="357">
        <v>45257</v>
      </c>
      <c r="F3983" s="344" t="s">
        <v>628</v>
      </c>
      <c r="G3983" s="358">
        <v>36.351599999999998</v>
      </c>
      <c r="H3983" s="344" t="s">
        <v>1630</v>
      </c>
    </row>
    <row r="3984" spans="1:8">
      <c r="A3984" s="1"/>
      <c r="B3984" s="1"/>
      <c r="C3984" s="1"/>
      <c r="D3984" s="1"/>
      <c r="E3984" s="357">
        <v>45257</v>
      </c>
      <c r="F3984" s="344" t="s">
        <v>631</v>
      </c>
      <c r="G3984" s="358">
        <v>28.8584</v>
      </c>
      <c r="H3984" s="344" t="s">
        <v>1630</v>
      </c>
    </row>
    <row r="3985" spans="1:8">
      <c r="A3985" s="1"/>
      <c r="B3985" s="1"/>
      <c r="C3985" s="1"/>
      <c r="D3985" s="1"/>
      <c r="E3985" s="357">
        <v>45258</v>
      </c>
      <c r="F3985" s="344" t="s">
        <v>621</v>
      </c>
      <c r="G3985" s="358">
        <v>32.708399999999997</v>
      </c>
      <c r="H3985" s="344" t="s">
        <v>1631</v>
      </c>
    </row>
    <row r="3986" spans="1:8">
      <c r="A3986" s="1"/>
      <c r="B3986" s="1"/>
      <c r="C3986" s="1"/>
      <c r="D3986" s="1"/>
      <c r="E3986" s="357">
        <v>45258</v>
      </c>
      <c r="F3986" s="344" t="s">
        <v>625</v>
      </c>
      <c r="G3986" s="358">
        <v>31.613900000000001</v>
      </c>
      <c r="H3986" s="344" t="s">
        <v>1631</v>
      </c>
    </row>
    <row r="3987" spans="1:8">
      <c r="A3987" s="1"/>
      <c r="B3987" s="1"/>
      <c r="C3987" s="1"/>
      <c r="D3987" s="1"/>
      <c r="E3987" s="357">
        <v>45258</v>
      </c>
      <c r="F3987" s="344" t="s">
        <v>628</v>
      </c>
      <c r="G3987" s="358">
        <v>36.395200000000003</v>
      </c>
      <c r="H3987" s="344" t="s">
        <v>1631</v>
      </c>
    </row>
    <row r="3988" spans="1:8">
      <c r="A3988" s="1"/>
      <c r="B3988" s="1"/>
      <c r="C3988" s="1"/>
      <c r="D3988" s="1"/>
      <c r="E3988" s="357">
        <v>45258</v>
      </c>
      <c r="F3988" s="344" t="s">
        <v>631</v>
      </c>
      <c r="G3988" s="358">
        <v>28.876799999999999</v>
      </c>
      <c r="H3988" s="344" t="s">
        <v>1631</v>
      </c>
    </row>
    <row r="3989" spans="1:8">
      <c r="A3989" s="1"/>
      <c r="B3989" s="1"/>
      <c r="C3989" s="1"/>
      <c r="D3989" s="1"/>
      <c r="E3989" s="357">
        <v>45259</v>
      </c>
      <c r="F3989" s="344" t="s">
        <v>621</v>
      </c>
      <c r="G3989" s="358">
        <v>32.836100000000002</v>
      </c>
      <c r="H3989" s="344" t="s">
        <v>1632</v>
      </c>
    </row>
    <row r="3990" spans="1:8">
      <c r="A3990" s="1"/>
      <c r="B3990" s="1"/>
      <c r="C3990" s="1"/>
      <c r="D3990" s="1"/>
      <c r="E3990" s="357">
        <v>45259</v>
      </c>
      <c r="F3990" s="344" t="s">
        <v>625</v>
      </c>
      <c r="G3990" s="358">
        <v>31.703700000000001</v>
      </c>
      <c r="H3990" s="344" t="s">
        <v>1632</v>
      </c>
    </row>
    <row r="3991" spans="1:8">
      <c r="A3991" s="1"/>
      <c r="B3991" s="1"/>
      <c r="C3991" s="1"/>
      <c r="D3991" s="1"/>
      <c r="E3991" s="357">
        <v>45259</v>
      </c>
      <c r="F3991" s="344" t="s">
        <v>628</v>
      </c>
      <c r="G3991" s="358">
        <v>36.570999999999998</v>
      </c>
      <c r="H3991" s="344" t="s">
        <v>1632</v>
      </c>
    </row>
    <row r="3992" spans="1:8">
      <c r="A3992" s="1"/>
      <c r="B3992" s="1"/>
      <c r="C3992" s="1"/>
      <c r="D3992" s="1"/>
      <c r="E3992" s="357">
        <v>45259</v>
      </c>
      <c r="F3992" s="344" t="s">
        <v>631</v>
      </c>
      <c r="G3992" s="358">
        <v>28.8596</v>
      </c>
      <c r="H3992" s="344" t="s">
        <v>1632</v>
      </c>
    </row>
    <row r="3993" spans="1:8">
      <c r="A3993" s="1"/>
      <c r="B3993" s="1"/>
      <c r="C3993" s="1"/>
      <c r="D3993" s="1"/>
      <c r="E3993" s="357">
        <v>45260</v>
      </c>
      <c r="F3993" s="344" t="s">
        <v>621</v>
      </c>
      <c r="G3993" s="358">
        <v>32.8902</v>
      </c>
      <c r="H3993" s="344" t="s">
        <v>1633</v>
      </c>
    </row>
    <row r="3994" spans="1:8">
      <c r="A3994" s="1"/>
      <c r="B3994" s="1"/>
      <c r="C3994" s="1"/>
      <c r="D3994" s="1"/>
      <c r="E3994" s="357">
        <v>45260</v>
      </c>
      <c r="F3994" s="344" t="s">
        <v>625</v>
      </c>
      <c r="G3994" s="358">
        <v>31.5154</v>
      </c>
      <c r="H3994" s="344" t="s">
        <v>1633</v>
      </c>
    </row>
    <row r="3995" spans="1:8">
      <c r="A3995" s="1"/>
      <c r="B3995" s="1"/>
      <c r="C3995" s="1"/>
      <c r="D3995" s="1"/>
      <c r="E3995" s="357">
        <v>45260</v>
      </c>
      <c r="F3995" s="344" t="s">
        <v>628</v>
      </c>
      <c r="G3995" s="358">
        <v>36.443100000000001</v>
      </c>
      <c r="H3995" s="344" t="s">
        <v>1633</v>
      </c>
    </row>
    <row r="3996" spans="1:8">
      <c r="A3996" s="1"/>
      <c r="B3996" s="1"/>
      <c r="C3996" s="1"/>
      <c r="D3996" s="1"/>
      <c r="E3996" s="357">
        <v>45260</v>
      </c>
      <c r="F3996" s="344" t="s">
        <v>631</v>
      </c>
      <c r="G3996" s="358">
        <v>28.820900000000002</v>
      </c>
      <c r="H3996" s="344" t="s">
        <v>1633</v>
      </c>
    </row>
    <row r="3997" spans="1:8">
      <c r="A3997" s="1"/>
      <c r="B3997" s="1"/>
      <c r="C3997" s="1"/>
      <c r="D3997" s="1"/>
      <c r="E3997" s="357">
        <v>45261</v>
      </c>
      <c r="F3997" s="344" t="s">
        <v>621</v>
      </c>
      <c r="G3997" s="358">
        <v>32.924799999999998</v>
      </c>
      <c r="H3997" s="344" t="s">
        <v>1634</v>
      </c>
    </row>
    <row r="3998" spans="1:8">
      <c r="A3998" s="1"/>
      <c r="B3998" s="1"/>
      <c r="C3998" s="1"/>
      <c r="D3998" s="1"/>
      <c r="E3998" s="357">
        <v>45261</v>
      </c>
      <c r="F3998" s="344" t="s">
        <v>625</v>
      </c>
      <c r="G3998" s="358">
        <v>31.4437</v>
      </c>
      <c r="H3998" s="344" t="s">
        <v>1634</v>
      </c>
    </row>
    <row r="3999" spans="1:8">
      <c r="A3999" s="1"/>
      <c r="B3999" s="1"/>
      <c r="C3999" s="1"/>
      <c r="D3999" s="1"/>
      <c r="E3999" s="357">
        <v>45261</v>
      </c>
      <c r="F3999" s="344" t="s">
        <v>628</v>
      </c>
      <c r="G3999" s="358">
        <v>36.434800000000003</v>
      </c>
      <c r="H3999" s="344" t="s">
        <v>1634</v>
      </c>
    </row>
    <row r="4000" spans="1:8">
      <c r="A4000" s="1"/>
      <c r="B4000" s="1"/>
      <c r="C4000" s="1"/>
      <c r="D4000" s="1"/>
      <c r="E4000" s="357">
        <v>45261</v>
      </c>
      <c r="F4000" s="344" t="s">
        <v>631</v>
      </c>
      <c r="G4000" s="358">
        <v>28.8553</v>
      </c>
      <c r="H4000" s="344" t="s">
        <v>1634</v>
      </c>
    </row>
    <row r="4001" spans="1:8">
      <c r="A4001" s="1"/>
      <c r="B4001" s="1"/>
      <c r="C4001" s="1"/>
      <c r="D4001" s="1"/>
      <c r="E4001" s="357">
        <v>45264</v>
      </c>
      <c r="F4001" s="344" t="s">
        <v>621</v>
      </c>
      <c r="G4001" s="358">
        <v>32.972299999999997</v>
      </c>
      <c r="H4001" s="344" t="s">
        <v>1635</v>
      </c>
    </row>
    <row r="4002" spans="1:8">
      <c r="A4002" s="1"/>
      <c r="B4002" s="1"/>
      <c r="C4002" s="1"/>
      <c r="D4002" s="1"/>
      <c r="E4002" s="357">
        <v>45264</v>
      </c>
      <c r="F4002" s="344" t="s">
        <v>625</v>
      </c>
      <c r="G4002" s="358">
        <v>31.351500000000001</v>
      </c>
      <c r="H4002" s="344" t="s">
        <v>1635</v>
      </c>
    </row>
    <row r="4003" spans="1:8">
      <c r="A4003" s="1"/>
      <c r="B4003" s="1"/>
      <c r="C4003" s="1"/>
      <c r="D4003" s="1"/>
      <c r="E4003" s="357">
        <v>45264</v>
      </c>
      <c r="F4003" s="344" t="s">
        <v>628</v>
      </c>
      <c r="G4003" s="358">
        <v>36.501100000000001</v>
      </c>
      <c r="H4003" s="344" t="s">
        <v>1635</v>
      </c>
    </row>
    <row r="4004" spans="1:8">
      <c r="A4004" s="1"/>
      <c r="B4004" s="1"/>
      <c r="C4004" s="1"/>
      <c r="D4004" s="1"/>
      <c r="E4004" s="357">
        <v>45264</v>
      </c>
      <c r="F4004" s="344" t="s">
        <v>631</v>
      </c>
      <c r="G4004" s="358">
        <v>28.851500000000001</v>
      </c>
      <c r="H4004" s="344" t="s">
        <v>1635</v>
      </c>
    </row>
    <row r="4005" spans="1:8">
      <c r="A4005" s="1"/>
      <c r="B4005" s="1"/>
      <c r="C4005" s="1"/>
      <c r="D4005" s="1"/>
      <c r="E4005" s="357">
        <v>45265</v>
      </c>
      <c r="F4005" s="344" t="s">
        <v>621</v>
      </c>
      <c r="G4005" s="358">
        <v>32.976700000000001</v>
      </c>
      <c r="H4005" s="344" t="s">
        <v>1636</v>
      </c>
    </row>
    <row r="4006" spans="1:8">
      <c r="A4006" s="1"/>
      <c r="B4006" s="1"/>
      <c r="C4006" s="1"/>
      <c r="D4006" s="1"/>
      <c r="E4006" s="357">
        <v>45265</v>
      </c>
      <c r="F4006" s="344" t="s">
        <v>625</v>
      </c>
      <c r="G4006" s="358">
        <v>31.2561</v>
      </c>
      <c r="H4006" s="344" t="s">
        <v>1636</v>
      </c>
    </row>
    <row r="4007" spans="1:8">
      <c r="A4007" s="1"/>
      <c r="B4007" s="1"/>
      <c r="C4007" s="1"/>
      <c r="D4007" s="1"/>
      <c r="E4007" s="357">
        <v>45265</v>
      </c>
      <c r="F4007" s="344" t="s">
        <v>628</v>
      </c>
      <c r="G4007" s="358">
        <v>36.391800000000003</v>
      </c>
      <c r="H4007" s="344" t="s">
        <v>1636</v>
      </c>
    </row>
    <row r="4008" spans="1:8">
      <c r="A4008" s="1"/>
      <c r="B4008" s="1"/>
      <c r="C4008" s="1"/>
      <c r="D4008" s="1"/>
      <c r="E4008" s="357">
        <v>45265</v>
      </c>
      <c r="F4008" s="344" t="s">
        <v>631</v>
      </c>
      <c r="G4008" s="358">
        <v>28.8705</v>
      </c>
      <c r="H4008" s="344" t="s">
        <v>1636</v>
      </c>
    </row>
    <row r="4009" spans="1:8">
      <c r="A4009" s="1"/>
      <c r="B4009" s="1"/>
      <c r="C4009" s="1"/>
      <c r="D4009" s="1"/>
      <c r="E4009" s="357">
        <v>45266</v>
      </c>
      <c r="F4009" s="344" t="s">
        <v>621</v>
      </c>
      <c r="G4009" s="358">
        <v>32.940199999999997</v>
      </c>
      <c r="H4009" s="344" t="s">
        <v>1637</v>
      </c>
    </row>
    <row r="4010" spans="1:8">
      <c r="A4010" s="1"/>
      <c r="B4010" s="1"/>
      <c r="C4010" s="1"/>
      <c r="D4010" s="1"/>
      <c r="E4010" s="357">
        <v>45266</v>
      </c>
      <c r="F4010" s="344" t="s">
        <v>625</v>
      </c>
      <c r="G4010" s="358">
        <v>31.154699999999998</v>
      </c>
      <c r="H4010" s="344" t="s">
        <v>1637</v>
      </c>
    </row>
    <row r="4011" spans="1:8">
      <c r="A4011" s="1"/>
      <c r="B4011" s="1"/>
      <c r="C4011" s="1"/>
      <c r="D4011" s="1"/>
      <c r="E4011" s="357">
        <v>45266</v>
      </c>
      <c r="F4011" s="344" t="s">
        <v>628</v>
      </c>
      <c r="G4011" s="358">
        <v>36.3202</v>
      </c>
      <c r="H4011" s="344" t="s">
        <v>1637</v>
      </c>
    </row>
    <row r="4012" spans="1:8">
      <c r="A4012" s="1"/>
      <c r="B4012" s="1"/>
      <c r="C4012" s="1"/>
      <c r="D4012" s="1"/>
      <c r="E4012" s="357">
        <v>45266</v>
      </c>
      <c r="F4012" s="344" t="s">
        <v>631</v>
      </c>
      <c r="G4012" s="358">
        <v>28.879300000000001</v>
      </c>
      <c r="H4012" s="344" t="s">
        <v>1637</v>
      </c>
    </row>
    <row r="4013" spans="1:8">
      <c r="A4013" s="1"/>
      <c r="B4013" s="1"/>
      <c r="C4013" s="1"/>
      <c r="D4013" s="1"/>
      <c r="E4013" s="357">
        <v>45267</v>
      </c>
      <c r="F4013" s="344" t="s">
        <v>621</v>
      </c>
      <c r="G4013" s="358">
        <v>32.953299999999999</v>
      </c>
      <c r="H4013" s="344" t="s">
        <v>1638</v>
      </c>
    </row>
    <row r="4014" spans="1:8">
      <c r="A4014" s="1"/>
      <c r="B4014" s="1"/>
      <c r="C4014" s="1"/>
      <c r="D4014" s="1"/>
      <c r="E4014" s="357">
        <v>45267</v>
      </c>
      <c r="F4014" s="344" t="s">
        <v>625</v>
      </c>
      <c r="G4014" s="358">
        <v>31.110299999999999</v>
      </c>
      <c r="H4014" s="344" t="s">
        <v>1638</v>
      </c>
    </row>
    <row r="4015" spans="1:8">
      <c r="A4015" s="1"/>
      <c r="B4015" s="1"/>
      <c r="C4015" s="1"/>
      <c r="D4015" s="1"/>
      <c r="E4015" s="357">
        <v>45267</v>
      </c>
      <c r="F4015" s="344" t="s">
        <v>628</v>
      </c>
      <c r="G4015" s="358">
        <v>36.2485</v>
      </c>
      <c r="H4015" s="344" t="s">
        <v>1638</v>
      </c>
    </row>
    <row r="4016" spans="1:8">
      <c r="A4016" s="1"/>
      <c r="B4016" s="1"/>
      <c r="C4016" s="1"/>
      <c r="D4016" s="1"/>
      <c r="E4016" s="357">
        <v>45267</v>
      </c>
      <c r="F4016" s="344" t="s">
        <v>631</v>
      </c>
      <c r="G4016" s="358">
        <v>28.873999999999999</v>
      </c>
      <c r="H4016" s="344" t="s">
        <v>1638</v>
      </c>
    </row>
    <row r="4017" spans="1:8">
      <c r="A4017" s="1"/>
      <c r="B4017" s="1"/>
      <c r="C4017" s="1"/>
      <c r="D4017" s="1"/>
      <c r="E4017" s="357">
        <v>45268</v>
      </c>
      <c r="F4017" s="344" t="s">
        <v>621</v>
      </c>
      <c r="G4017" s="358">
        <v>32.942100000000003</v>
      </c>
      <c r="H4017" s="344" t="s">
        <v>1639</v>
      </c>
    </row>
    <row r="4018" spans="1:8">
      <c r="A4018" s="1"/>
      <c r="B4018" s="1"/>
      <c r="C4018" s="1"/>
      <c r="D4018" s="1"/>
      <c r="E4018" s="357">
        <v>45268</v>
      </c>
      <c r="F4018" s="344" t="s">
        <v>625</v>
      </c>
      <c r="G4018" s="358">
        <v>31.156700000000001</v>
      </c>
      <c r="H4018" s="344" t="s">
        <v>1639</v>
      </c>
    </row>
    <row r="4019" spans="1:8">
      <c r="A4019" s="1"/>
      <c r="B4019" s="1"/>
      <c r="C4019" s="1"/>
      <c r="D4019" s="1"/>
      <c r="E4019" s="357">
        <v>45268</v>
      </c>
      <c r="F4019" s="344" t="s">
        <v>628</v>
      </c>
      <c r="G4019" s="358">
        <v>36.267299999999999</v>
      </c>
      <c r="H4019" s="344" t="s">
        <v>1639</v>
      </c>
    </row>
    <row r="4020" spans="1:8">
      <c r="A4020" s="1"/>
      <c r="B4020" s="1"/>
      <c r="C4020" s="1"/>
      <c r="D4020" s="1"/>
      <c r="E4020" s="357">
        <v>45268</v>
      </c>
      <c r="F4020" s="344" t="s">
        <v>631</v>
      </c>
      <c r="G4020" s="358">
        <v>28.897400000000001</v>
      </c>
      <c r="H4020" s="344" t="s">
        <v>1639</v>
      </c>
    </row>
    <row r="4021" spans="1:8">
      <c r="A4021" s="1"/>
      <c r="B4021" s="1"/>
      <c r="C4021" s="1"/>
      <c r="D4021" s="1"/>
      <c r="E4021" s="357">
        <v>45271</v>
      </c>
      <c r="F4021" s="344" t="s">
        <v>621</v>
      </c>
      <c r="G4021" s="358">
        <v>32.822000000000003</v>
      </c>
      <c r="H4021" s="344" t="s">
        <v>1640</v>
      </c>
    </row>
    <row r="4022" spans="1:8">
      <c r="A4022" s="1"/>
      <c r="B4022" s="1"/>
      <c r="C4022" s="1"/>
      <c r="D4022" s="1"/>
      <c r="E4022" s="357">
        <v>45271</v>
      </c>
      <c r="F4022" s="344" t="s">
        <v>625</v>
      </c>
      <c r="G4022" s="358">
        <v>31.1556</v>
      </c>
      <c r="H4022" s="344" t="s">
        <v>1640</v>
      </c>
    </row>
    <row r="4023" spans="1:8">
      <c r="A4023" s="1"/>
      <c r="B4023" s="1"/>
      <c r="C4023" s="1"/>
      <c r="D4023" s="1"/>
      <c r="E4023" s="357">
        <v>45271</v>
      </c>
      <c r="F4023" s="344" t="s">
        <v>628</v>
      </c>
      <c r="G4023" s="358">
        <v>36.278100000000002</v>
      </c>
      <c r="H4023" s="344" t="s">
        <v>1640</v>
      </c>
    </row>
    <row r="4024" spans="1:8">
      <c r="A4024" s="1"/>
      <c r="B4024" s="1"/>
      <c r="C4024" s="1"/>
      <c r="D4024" s="1"/>
      <c r="E4024" s="357">
        <v>45271</v>
      </c>
      <c r="F4024" s="344" t="s">
        <v>631</v>
      </c>
      <c r="G4024" s="358">
        <v>28.939599999999999</v>
      </c>
      <c r="H4024" s="344" t="s">
        <v>1640</v>
      </c>
    </row>
    <row r="4025" spans="1:8">
      <c r="A4025" s="1"/>
      <c r="B4025" s="1"/>
      <c r="C4025" s="1"/>
      <c r="D4025" s="1"/>
      <c r="E4025" s="357">
        <v>45272</v>
      </c>
      <c r="F4025" s="344" t="s">
        <v>621</v>
      </c>
      <c r="G4025" s="358">
        <v>32.9848</v>
      </c>
      <c r="H4025" s="344" t="s">
        <v>1641</v>
      </c>
    </row>
    <row r="4026" spans="1:8">
      <c r="A4026" s="1"/>
      <c r="B4026" s="1"/>
      <c r="C4026" s="1"/>
      <c r="D4026" s="1"/>
      <c r="E4026" s="357">
        <v>45272</v>
      </c>
      <c r="F4026" s="344" t="s">
        <v>625</v>
      </c>
      <c r="G4026" s="358">
        <v>31.262899999999998</v>
      </c>
      <c r="H4026" s="344" t="s">
        <v>1641</v>
      </c>
    </row>
    <row r="4027" spans="1:8">
      <c r="A4027" s="1"/>
      <c r="B4027" s="1"/>
      <c r="C4027" s="1"/>
      <c r="D4027" s="1"/>
      <c r="E4027" s="357">
        <v>45272</v>
      </c>
      <c r="F4027" s="344" t="s">
        <v>628</v>
      </c>
      <c r="G4027" s="358">
        <v>36.354599999999998</v>
      </c>
      <c r="H4027" s="344" t="s">
        <v>1641</v>
      </c>
    </row>
    <row r="4028" spans="1:8">
      <c r="A4028" s="1"/>
      <c r="B4028" s="1"/>
      <c r="C4028" s="1"/>
      <c r="D4028" s="1"/>
      <c r="E4028" s="357">
        <v>45272</v>
      </c>
      <c r="F4028" s="344" t="s">
        <v>631</v>
      </c>
      <c r="G4028" s="358">
        <v>28.9773</v>
      </c>
      <c r="H4028" s="344" t="s">
        <v>1641</v>
      </c>
    </row>
    <row r="4029" spans="1:8">
      <c r="A4029" s="1"/>
      <c r="B4029" s="1"/>
      <c r="C4029" s="1"/>
      <c r="D4029" s="1"/>
      <c r="E4029" s="357">
        <v>45273</v>
      </c>
      <c r="F4029" s="344" t="s">
        <v>621</v>
      </c>
      <c r="G4029" s="358">
        <v>33.036200000000001</v>
      </c>
      <c r="H4029" s="344" t="s">
        <v>1642</v>
      </c>
    </row>
    <row r="4030" spans="1:8">
      <c r="A4030" s="1"/>
      <c r="B4030" s="1"/>
      <c r="C4030" s="1"/>
      <c r="D4030" s="1"/>
      <c r="E4030" s="357">
        <v>45273</v>
      </c>
      <c r="F4030" s="344" t="s">
        <v>625</v>
      </c>
      <c r="G4030" s="358">
        <v>31.2806</v>
      </c>
      <c r="H4030" s="344" t="s">
        <v>1642</v>
      </c>
    </row>
    <row r="4031" spans="1:8">
      <c r="A4031" s="1"/>
      <c r="B4031" s="1"/>
      <c r="C4031" s="1"/>
      <c r="D4031" s="1"/>
      <c r="E4031" s="357">
        <v>45273</v>
      </c>
      <c r="F4031" s="344" t="s">
        <v>628</v>
      </c>
      <c r="G4031" s="358">
        <v>36.280799999999999</v>
      </c>
      <c r="H4031" s="344" t="s">
        <v>1642</v>
      </c>
    </row>
    <row r="4032" spans="1:8">
      <c r="A4032" s="1"/>
      <c r="B4032" s="1"/>
      <c r="C4032" s="1"/>
      <c r="D4032" s="1"/>
      <c r="E4032" s="357">
        <v>45273</v>
      </c>
      <c r="F4032" s="344" t="s">
        <v>631</v>
      </c>
      <c r="G4032" s="358">
        <v>29.005600000000001</v>
      </c>
      <c r="H4032" s="344" t="s">
        <v>1642</v>
      </c>
    </row>
    <row r="4033" spans="1:8">
      <c r="A4033" s="1"/>
      <c r="B4033" s="1"/>
      <c r="C4033" s="1"/>
      <c r="D4033" s="1"/>
      <c r="E4033" s="357">
        <v>45274</v>
      </c>
      <c r="F4033" s="344" t="s">
        <v>621</v>
      </c>
      <c r="G4033" s="358">
        <v>33.233600000000003</v>
      </c>
      <c r="H4033" s="344" t="s">
        <v>1643</v>
      </c>
    </row>
    <row r="4034" spans="1:8">
      <c r="A4034" s="1"/>
      <c r="B4034" s="1"/>
      <c r="C4034" s="1"/>
      <c r="D4034" s="1"/>
      <c r="E4034" s="357">
        <v>45274</v>
      </c>
      <c r="F4034" s="344" t="s">
        <v>625</v>
      </c>
      <c r="G4034" s="358">
        <v>31.6038</v>
      </c>
      <c r="H4034" s="344" t="s">
        <v>1643</v>
      </c>
    </row>
    <row r="4035" spans="1:8">
      <c r="A4035" s="1"/>
      <c r="B4035" s="1"/>
      <c r="C4035" s="1"/>
      <c r="D4035" s="1"/>
      <c r="E4035" s="357">
        <v>45274</v>
      </c>
      <c r="F4035" s="344" t="s">
        <v>628</v>
      </c>
      <c r="G4035" s="358">
        <v>36.593400000000003</v>
      </c>
      <c r="H4035" s="344" t="s">
        <v>1643</v>
      </c>
    </row>
    <row r="4036" spans="1:8">
      <c r="A4036" s="1"/>
      <c r="B4036" s="1"/>
      <c r="C4036" s="1"/>
      <c r="D4036" s="1"/>
      <c r="E4036" s="357">
        <v>45274</v>
      </c>
      <c r="F4036" s="344" t="s">
        <v>631</v>
      </c>
      <c r="G4036" s="358">
        <v>28.980499999999999</v>
      </c>
      <c r="H4036" s="344" t="s">
        <v>1643</v>
      </c>
    </row>
    <row r="4037" spans="1:8">
      <c r="A4037" s="1"/>
      <c r="B4037" s="1"/>
      <c r="C4037" s="1"/>
      <c r="D4037" s="1"/>
      <c r="E4037" s="357">
        <v>45275</v>
      </c>
      <c r="F4037" s="344" t="s">
        <v>621</v>
      </c>
      <c r="G4037" s="358">
        <v>33.365600000000001</v>
      </c>
      <c r="H4037" s="344" t="s">
        <v>1644</v>
      </c>
    </row>
    <row r="4038" spans="1:8">
      <c r="A4038" s="1"/>
      <c r="B4038" s="1"/>
      <c r="C4038" s="1"/>
      <c r="D4038" s="1"/>
      <c r="E4038" s="357">
        <v>45275</v>
      </c>
      <c r="F4038" s="344" t="s">
        <v>625</v>
      </c>
      <c r="G4038" s="358">
        <v>31.8017</v>
      </c>
      <c r="H4038" s="344" t="s">
        <v>1644</v>
      </c>
    </row>
    <row r="4039" spans="1:8">
      <c r="A4039" s="1"/>
      <c r="B4039" s="1"/>
      <c r="C4039" s="1"/>
      <c r="D4039" s="1"/>
      <c r="E4039" s="357">
        <v>45275</v>
      </c>
      <c r="F4039" s="344" t="s">
        <v>628</v>
      </c>
      <c r="G4039" s="358">
        <v>36.9437</v>
      </c>
      <c r="H4039" s="344" t="s">
        <v>1644</v>
      </c>
    </row>
    <row r="4040" spans="1:8">
      <c r="A4040" s="1"/>
      <c r="B4040" s="1"/>
      <c r="C4040" s="1"/>
      <c r="D4040" s="1"/>
      <c r="E4040" s="357">
        <v>45275</v>
      </c>
      <c r="F4040" s="344" t="s">
        <v>631</v>
      </c>
      <c r="G4040" s="358">
        <v>28.9847</v>
      </c>
      <c r="H4040" s="344" t="s">
        <v>1644</v>
      </c>
    </row>
    <row r="4041" spans="1:8">
      <c r="A4041" s="1"/>
      <c r="B4041" s="1"/>
      <c r="C4041" s="1"/>
      <c r="D4041" s="1"/>
      <c r="E4041" s="357">
        <v>45278</v>
      </c>
      <c r="F4041" s="344" t="s">
        <v>621</v>
      </c>
      <c r="G4041" s="358">
        <v>33.319499999999998</v>
      </c>
      <c r="H4041" s="344" t="s">
        <v>1645</v>
      </c>
    </row>
    <row r="4042" spans="1:8">
      <c r="A4042" s="1"/>
      <c r="B4042" s="1"/>
      <c r="C4042" s="1"/>
      <c r="D4042" s="1"/>
      <c r="E4042" s="357">
        <v>45278</v>
      </c>
      <c r="F4042" s="344" t="s">
        <v>625</v>
      </c>
      <c r="G4042" s="358">
        <v>31.664400000000001</v>
      </c>
      <c r="H4042" s="344" t="s">
        <v>1645</v>
      </c>
    </row>
    <row r="4043" spans="1:8">
      <c r="A4043" s="1"/>
      <c r="B4043" s="1"/>
      <c r="C4043" s="1"/>
      <c r="D4043" s="1"/>
      <c r="E4043" s="357">
        <v>45278</v>
      </c>
      <c r="F4043" s="344" t="s">
        <v>628</v>
      </c>
      <c r="G4043" s="358">
        <v>36.7029</v>
      </c>
      <c r="H4043" s="344" t="s">
        <v>1645</v>
      </c>
    </row>
    <row r="4044" spans="1:8">
      <c r="A4044" s="1"/>
      <c r="B4044" s="1"/>
      <c r="C4044" s="1"/>
      <c r="D4044" s="1"/>
      <c r="E4044" s="357">
        <v>45278</v>
      </c>
      <c r="F4044" s="344" t="s">
        <v>631</v>
      </c>
      <c r="G4044" s="358">
        <v>29.005299999999998</v>
      </c>
      <c r="H4044" s="344" t="s">
        <v>1645</v>
      </c>
    </row>
    <row r="4045" spans="1:8">
      <c r="A4045" s="1"/>
      <c r="B4045" s="1"/>
      <c r="C4045" s="1"/>
      <c r="D4045" s="1"/>
      <c r="E4045" s="357">
        <v>45279</v>
      </c>
      <c r="F4045" s="344" t="s">
        <v>621</v>
      </c>
      <c r="G4045" s="358">
        <v>33.436300000000003</v>
      </c>
      <c r="H4045" s="344" t="s">
        <v>1646</v>
      </c>
    </row>
    <row r="4046" spans="1:8">
      <c r="A4046" s="1"/>
      <c r="B4046" s="1"/>
      <c r="C4046" s="1"/>
      <c r="D4046" s="1"/>
      <c r="E4046" s="357">
        <v>45279</v>
      </c>
      <c r="F4046" s="344" t="s">
        <v>625</v>
      </c>
      <c r="G4046" s="358">
        <v>31.746099999999998</v>
      </c>
      <c r="H4046" s="344" t="s">
        <v>1646</v>
      </c>
    </row>
    <row r="4047" spans="1:8">
      <c r="A4047" s="1"/>
      <c r="B4047" s="1"/>
      <c r="C4047" s="1"/>
      <c r="D4047" s="1"/>
      <c r="E4047" s="357">
        <v>45279</v>
      </c>
      <c r="F4047" s="344" t="s">
        <v>628</v>
      </c>
      <c r="G4047" s="358">
        <v>36.761800000000001</v>
      </c>
      <c r="H4047" s="344" t="s">
        <v>1646</v>
      </c>
    </row>
    <row r="4048" spans="1:8">
      <c r="A4048" s="1"/>
      <c r="B4048" s="1"/>
      <c r="C4048" s="1"/>
      <c r="D4048" s="1"/>
      <c r="E4048" s="357">
        <v>45279</v>
      </c>
      <c r="F4048" s="344" t="s">
        <v>631</v>
      </c>
      <c r="G4048" s="358">
        <v>29.029900000000001</v>
      </c>
      <c r="H4048" s="344" t="s">
        <v>1646</v>
      </c>
    </row>
    <row r="4049" spans="1:8">
      <c r="A4049" s="1"/>
      <c r="B4049" s="1"/>
      <c r="C4049" s="1"/>
      <c r="D4049" s="1"/>
      <c r="E4049" s="357">
        <v>45280</v>
      </c>
      <c r="F4049" s="344" t="s">
        <v>621</v>
      </c>
      <c r="G4049" s="358">
        <v>33.649799999999999</v>
      </c>
      <c r="H4049" s="344" t="s">
        <v>1647</v>
      </c>
    </row>
    <row r="4050" spans="1:8">
      <c r="A4050" s="1"/>
      <c r="B4050" s="1"/>
      <c r="C4050" s="1"/>
      <c r="D4050" s="1"/>
      <c r="E4050" s="357">
        <v>45280</v>
      </c>
      <c r="F4050" s="344" t="s">
        <v>625</v>
      </c>
      <c r="G4050" s="358">
        <v>31.849699999999999</v>
      </c>
      <c r="H4050" s="344" t="s">
        <v>1647</v>
      </c>
    </row>
    <row r="4051" spans="1:8">
      <c r="A4051" s="1"/>
      <c r="B4051" s="1"/>
      <c r="C4051" s="1"/>
      <c r="D4051" s="1"/>
      <c r="E4051" s="357">
        <v>45280</v>
      </c>
      <c r="F4051" s="344" t="s">
        <v>628</v>
      </c>
      <c r="G4051" s="358">
        <v>36.767099999999999</v>
      </c>
      <c r="H4051" s="344" t="s">
        <v>1647</v>
      </c>
    </row>
    <row r="4052" spans="1:8">
      <c r="A4052" s="1"/>
      <c r="B4052" s="1"/>
      <c r="C4052" s="1"/>
      <c r="D4052" s="1"/>
      <c r="E4052" s="357">
        <v>45280</v>
      </c>
      <c r="F4052" s="344" t="s">
        <v>631</v>
      </c>
      <c r="G4052" s="358">
        <v>29.067699999999999</v>
      </c>
      <c r="H4052" s="344" t="s">
        <v>1647</v>
      </c>
    </row>
    <row r="4053" spans="1:8">
      <c r="A4053" s="1"/>
      <c r="B4053" s="1"/>
      <c r="C4053" s="1"/>
      <c r="D4053" s="1"/>
      <c r="E4053" s="357">
        <v>45281</v>
      </c>
      <c r="F4053" s="344" t="s">
        <v>621</v>
      </c>
      <c r="G4053" s="358">
        <v>33.678600000000003</v>
      </c>
      <c r="H4053" s="344" t="s">
        <v>1648</v>
      </c>
    </row>
    <row r="4054" spans="1:8">
      <c r="A4054" s="1"/>
      <c r="B4054" s="1"/>
      <c r="C4054" s="1"/>
      <c r="D4054" s="1"/>
      <c r="E4054" s="357">
        <v>45281</v>
      </c>
      <c r="F4054" s="344" t="s">
        <v>625</v>
      </c>
      <c r="G4054" s="358">
        <v>31.857900000000001</v>
      </c>
      <c r="H4054" s="344" t="s">
        <v>1648</v>
      </c>
    </row>
    <row r="4055" spans="1:8">
      <c r="A4055" s="1"/>
      <c r="B4055" s="1"/>
      <c r="C4055" s="1"/>
      <c r="D4055" s="1"/>
      <c r="E4055" s="357">
        <v>45281</v>
      </c>
      <c r="F4055" s="344" t="s">
        <v>628</v>
      </c>
      <c r="G4055" s="358">
        <v>36.704000000000001</v>
      </c>
      <c r="H4055" s="344" t="s">
        <v>1648</v>
      </c>
    </row>
    <row r="4056" spans="1:8">
      <c r="A4056" s="1"/>
      <c r="B4056" s="1"/>
      <c r="C4056" s="1"/>
      <c r="D4056" s="1"/>
      <c r="E4056" s="357">
        <v>45281</v>
      </c>
      <c r="F4056" s="344" t="s">
        <v>631</v>
      </c>
      <c r="G4056" s="358">
        <v>29.089700000000001</v>
      </c>
      <c r="H4056" s="344" t="s">
        <v>1648</v>
      </c>
    </row>
    <row r="4057" spans="1:8">
      <c r="A4057" s="1"/>
      <c r="B4057" s="1"/>
      <c r="C4057" s="1"/>
      <c r="D4057" s="1"/>
      <c r="E4057" s="357">
        <v>45282</v>
      </c>
      <c r="F4057" s="344" t="s">
        <v>621</v>
      </c>
      <c r="G4057" s="358">
        <v>33.975999999999999</v>
      </c>
      <c r="H4057" s="344" t="s">
        <v>1649</v>
      </c>
    </row>
    <row r="4058" spans="1:8">
      <c r="A4058" s="1"/>
      <c r="B4058" s="1"/>
      <c r="C4058" s="1"/>
      <c r="D4058" s="1"/>
      <c r="E4058" s="357">
        <v>45282</v>
      </c>
      <c r="F4058" s="344" t="s">
        <v>625</v>
      </c>
      <c r="G4058" s="358">
        <v>32.072600000000001</v>
      </c>
      <c r="H4058" s="344" t="s">
        <v>1649</v>
      </c>
    </row>
    <row r="4059" spans="1:8">
      <c r="A4059" s="1"/>
      <c r="B4059" s="1"/>
      <c r="C4059" s="1"/>
      <c r="D4059" s="1"/>
      <c r="E4059" s="357">
        <v>45282</v>
      </c>
      <c r="F4059" s="344" t="s">
        <v>628</v>
      </c>
      <c r="G4059" s="358">
        <v>36.949100000000001</v>
      </c>
      <c r="H4059" s="344" t="s">
        <v>1649</v>
      </c>
    </row>
    <row r="4060" spans="1:8">
      <c r="A4060" s="1"/>
      <c r="B4060" s="1"/>
      <c r="C4060" s="1"/>
      <c r="D4060" s="1"/>
      <c r="E4060" s="357">
        <v>45282</v>
      </c>
      <c r="F4060" s="344" t="s">
        <v>631</v>
      </c>
      <c r="G4060" s="358">
        <v>29.134399999999999</v>
      </c>
      <c r="H4060" s="344" t="s">
        <v>1649</v>
      </c>
    </row>
    <row r="4061" spans="1:8">
      <c r="A4061" s="1"/>
      <c r="B4061" s="1"/>
      <c r="C4061" s="1"/>
      <c r="D4061" s="1"/>
      <c r="E4061" s="357">
        <v>45285</v>
      </c>
      <c r="F4061" s="344" t="s">
        <v>621</v>
      </c>
      <c r="G4061" s="358">
        <v>34.029600000000002</v>
      </c>
      <c r="H4061" s="344" t="s">
        <v>1650</v>
      </c>
    </row>
    <row r="4062" spans="1:8">
      <c r="A4062" s="1"/>
      <c r="B4062" s="1"/>
      <c r="C4062" s="1"/>
      <c r="D4062" s="1"/>
      <c r="E4062" s="357">
        <v>45285</v>
      </c>
      <c r="F4062" s="344" t="s">
        <v>625</v>
      </c>
      <c r="G4062" s="358">
        <v>32.176600000000001</v>
      </c>
      <c r="H4062" s="344" t="s">
        <v>1650</v>
      </c>
    </row>
    <row r="4063" spans="1:8">
      <c r="A4063" s="1"/>
      <c r="B4063" s="1"/>
      <c r="C4063" s="1"/>
      <c r="D4063" s="1"/>
      <c r="E4063" s="357">
        <v>45285</v>
      </c>
      <c r="F4063" s="344" t="s">
        <v>628</v>
      </c>
      <c r="G4063" s="358">
        <v>37.0336</v>
      </c>
      <c r="H4063" s="344" t="s">
        <v>1650</v>
      </c>
    </row>
    <row r="4064" spans="1:8">
      <c r="A4064" s="1"/>
      <c r="B4064" s="1"/>
      <c r="C4064" s="1"/>
      <c r="D4064" s="1"/>
      <c r="E4064" s="357">
        <v>45285</v>
      </c>
      <c r="F4064" s="344" t="s">
        <v>631</v>
      </c>
      <c r="G4064" s="358">
        <v>29.210799999999999</v>
      </c>
      <c r="H4064" s="344" t="s">
        <v>1650</v>
      </c>
    </row>
    <row r="4065" spans="1:8">
      <c r="A4065" s="1"/>
      <c r="B4065" s="1"/>
      <c r="C4065" s="1"/>
      <c r="D4065" s="1"/>
      <c r="E4065" s="357">
        <v>45286</v>
      </c>
      <c r="F4065" s="344" t="s">
        <v>621</v>
      </c>
      <c r="G4065" s="358">
        <v>34.077800000000003</v>
      </c>
      <c r="H4065" s="344" t="s">
        <v>1651</v>
      </c>
    </row>
    <row r="4066" spans="1:8">
      <c r="A4066" s="1"/>
      <c r="B4066" s="1"/>
      <c r="C4066" s="1"/>
      <c r="D4066" s="1"/>
      <c r="E4066" s="357">
        <v>45286</v>
      </c>
      <c r="F4066" s="344" t="s">
        <v>625</v>
      </c>
      <c r="G4066" s="358">
        <v>32.242100000000001</v>
      </c>
      <c r="H4066" s="344" t="s">
        <v>1651</v>
      </c>
    </row>
    <row r="4067" spans="1:8">
      <c r="A4067" s="1"/>
      <c r="B4067" s="1"/>
      <c r="C4067" s="1"/>
      <c r="D4067" s="1"/>
      <c r="E4067" s="357">
        <v>45286</v>
      </c>
      <c r="F4067" s="344" t="s">
        <v>628</v>
      </c>
      <c r="G4067" s="358">
        <v>37.089500000000001</v>
      </c>
      <c r="H4067" s="344" t="s">
        <v>1651</v>
      </c>
    </row>
    <row r="4068" spans="1:8">
      <c r="A4068" s="1"/>
      <c r="B4068" s="1"/>
      <c r="C4068" s="1"/>
      <c r="D4068" s="1"/>
      <c r="E4068" s="357">
        <v>45286</v>
      </c>
      <c r="F4068" s="344" t="s">
        <v>631</v>
      </c>
      <c r="G4068" s="358">
        <v>29.264700000000001</v>
      </c>
      <c r="H4068" s="344" t="s">
        <v>1651</v>
      </c>
    </row>
    <row r="4069" spans="1:8">
      <c r="A4069" s="1"/>
      <c r="B4069" s="1"/>
      <c r="C4069" s="1"/>
      <c r="D4069" s="1"/>
      <c r="E4069" s="357">
        <v>45287</v>
      </c>
      <c r="F4069" s="344" t="s">
        <v>621</v>
      </c>
      <c r="G4069" s="358">
        <v>34.3033</v>
      </c>
      <c r="H4069" s="344" t="s">
        <v>1652</v>
      </c>
    </row>
    <row r="4070" spans="1:8">
      <c r="A4070" s="1"/>
      <c r="B4070" s="1"/>
      <c r="C4070" s="1"/>
      <c r="D4070" s="1"/>
      <c r="E4070" s="357">
        <v>45287</v>
      </c>
      <c r="F4070" s="344" t="s">
        <v>625</v>
      </c>
      <c r="G4070" s="358">
        <v>32.418599999999998</v>
      </c>
      <c r="H4070" s="344" t="s">
        <v>1652</v>
      </c>
    </row>
    <row r="4071" spans="1:8">
      <c r="A4071" s="1"/>
      <c r="B4071" s="1"/>
      <c r="C4071" s="1"/>
      <c r="D4071" s="1"/>
      <c r="E4071" s="357">
        <v>45287</v>
      </c>
      <c r="F4071" s="344" t="s">
        <v>628</v>
      </c>
      <c r="G4071" s="358">
        <v>37.265700000000002</v>
      </c>
      <c r="H4071" s="344" t="s">
        <v>1652</v>
      </c>
    </row>
    <row r="4072" spans="1:8">
      <c r="A4072" s="1"/>
      <c r="B4072" s="1"/>
      <c r="C4072" s="1"/>
      <c r="D4072" s="1"/>
      <c r="E4072" s="357">
        <v>45287</v>
      </c>
      <c r="F4072" s="344" t="s">
        <v>631</v>
      </c>
      <c r="G4072" s="358">
        <v>29.337399999999999</v>
      </c>
      <c r="H4072" s="344" t="s">
        <v>1652</v>
      </c>
    </row>
    <row r="4073" spans="1:8">
      <c r="A4073" s="1"/>
      <c r="B4073" s="1"/>
      <c r="C4073" s="1"/>
      <c r="D4073" s="1"/>
      <c r="E4073" s="357">
        <v>45288</v>
      </c>
      <c r="F4073" s="344" t="s">
        <v>621</v>
      </c>
      <c r="G4073" s="358">
        <v>35.003300000000003</v>
      </c>
      <c r="H4073" s="344" t="s">
        <v>1653</v>
      </c>
    </row>
    <row r="4074" spans="1:8">
      <c r="A4074" s="1"/>
      <c r="B4074" s="1"/>
      <c r="C4074" s="1"/>
      <c r="D4074" s="1"/>
      <c r="E4074" s="357">
        <v>45288</v>
      </c>
      <c r="F4074" s="344" t="s">
        <v>625</v>
      </c>
      <c r="G4074" s="358">
        <v>32.6937</v>
      </c>
      <c r="H4074" s="344" t="s">
        <v>1653</v>
      </c>
    </row>
    <row r="4075" spans="1:8">
      <c r="A4075" s="1"/>
      <c r="B4075" s="1"/>
      <c r="C4075" s="1"/>
      <c r="D4075" s="1"/>
      <c r="E4075" s="357">
        <v>45288</v>
      </c>
      <c r="F4075" s="344" t="s">
        <v>628</v>
      </c>
      <c r="G4075" s="358">
        <v>37.571800000000003</v>
      </c>
      <c r="H4075" s="344" t="s">
        <v>1653</v>
      </c>
    </row>
    <row r="4076" spans="1:8">
      <c r="A4076" s="1"/>
      <c r="B4076" s="1"/>
      <c r="C4076" s="1"/>
      <c r="D4076" s="1"/>
      <c r="E4076" s="357">
        <v>45288</v>
      </c>
      <c r="F4076" s="344" t="s">
        <v>631</v>
      </c>
      <c r="G4076" s="358">
        <v>29.397300000000001</v>
      </c>
      <c r="H4076" s="344" t="s">
        <v>1653</v>
      </c>
    </row>
    <row r="4077" spans="1:8">
      <c r="A4077" s="1"/>
      <c r="B4077" s="1"/>
      <c r="C4077" s="1"/>
      <c r="D4077" s="1"/>
      <c r="E4077" s="357">
        <v>45289</v>
      </c>
      <c r="F4077" s="344" t="s">
        <v>621</v>
      </c>
      <c r="G4077" s="358">
        <v>34.9666</v>
      </c>
      <c r="H4077" s="344" t="s">
        <v>1654</v>
      </c>
    </row>
    <row r="4078" spans="1:8">
      <c r="A4078" s="1"/>
      <c r="B4078" s="1"/>
      <c r="C4078" s="1"/>
      <c r="D4078" s="1"/>
      <c r="E4078" s="357">
        <v>45289</v>
      </c>
      <c r="F4078" s="344" t="s">
        <v>625</v>
      </c>
      <c r="G4078" s="358">
        <v>32.573900000000002</v>
      </c>
      <c r="H4078" s="344" t="s">
        <v>1654</v>
      </c>
    </row>
    <row r="4079" spans="1:8">
      <c r="A4079" s="1"/>
      <c r="B4079" s="1"/>
      <c r="C4079" s="1"/>
      <c r="D4079" s="1"/>
      <c r="E4079" s="357">
        <v>45289</v>
      </c>
      <c r="F4079" s="344" t="s">
        <v>628</v>
      </c>
      <c r="G4079" s="358">
        <v>37.441699999999997</v>
      </c>
      <c r="H4079" s="344" t="s">
        <v>1654</v>
      </c>
    </row>
    <row r="4080" spans="1:8">
      <c r="A4080" s="1"/>
      <c r="B4080" s="1"/>
      <c r="C4080" s="1"/>
      <c r="D4080" s="1"/>
      <c r="E4080" s="357">
        <v>45289</v>
      </c>
      <c r="F4080" s="344" t="s">
        <v>631</v>
      </c>
      <c r="G4080" s="358">
        <v>29.438199999999998</v>
      </c>
      <c r="H4080" s="344" t="s">
        <v>1654</v>
      </c>
    </row>
    <row r="4081" spans="1:8">
      <c r="A4081" s="1"/>
      <c r="B4081" s="1"/>
      <c r="C4081" s="1"/>
      <c r="D4081" s="1"/>
      <c r="E4081" s="357">
        <v>45293</v>
      </c>
      <c r="F4081" s="344" t="s">
        <v>621</v>
      </c>
      <c r="G4081" s="358">
        <v>34.960700000000003</v>
      </c>
      <c r="H4081" s="344" t="s">
        <v>1655</v>
      </c>
    </row>
    <row r="4082" spans="1:8">
      <c r="A4082" s="1"/>
      <c r="B4082" s="1"/>
      <c r="C4082" s="1"/>
      <c r="D4082" s="1"/>
      <c r="E4082" s="357">
        <v>45293</v>
      </c>
      <c r="F4082" s="344" t="s">
        <v>625</v>
      </c>
      <c r="G4082" s="358">
        <v>32.667099999999998</v>
      </c>
      <c r="H4082" s="344" t="s">
        <v>1655</v>
      </c>
    </row>
    <row r="4083" spans="1:8">
      <c r="A4083" s="1"/>
      <c r="B4083" s="1"/>
      <c r="C4083" s="1"/>
      <c r="D4083" s="1"/>
      <c r="E4083" s="357">
        <v>45293</v>
      </c>
      <c r="F4083" s="344" t="s">
        <v>628</v>
      </c>
      <c r="G4083" s="358">
        <v>37.657499999999999</v>
      </c>
      <c r="H4083" s="344" t="s">
        <v>1655</v>
      </c>
    </row>
    <row r="4084" spans="1:8">
      <c r="A4084" s="1"/>
      <c r="B4084" s="1"/>
      <c r="C4084" s="1"/>
      <c r="D4084" s="1"/>
      <c r="E4084" s="357">
        <v>45293</v>
      </c>
      <c r="F4084" s="344" t="s">
        <v>631</v>
      </c>
      <c r="G4084" s="358">
        <v>29.6675</v>
      </c>
      <c r="H4084" s="344" t="s">
        <v>1655</v>
      </c>
    </row>
    <row r="4085" spans="1:8">
      <c r="A4085" s="1"/>
      <c r="B4085" s="1"/>
      <c r="C4085" s="1"/>
      <c r="D4085" s="1"/>
      <c r="E4085" s="357">
        <v>45294</v>
      </c>
      <c r="F4085" s="344" t="s">
        <v>621</v>
      </c>
      <c r="G4085" s="358">
        <v>34.8384</v>
      </c>
      <c r="H4085" s="344" t="s">
        <v>1656</v>
      </c>
    </row>
    <row r="4086" spans="1:8">
      <c r="A4086" s="1"/>
      <c r="B4086" s="1"/>
      <c r="C4086" s="1"/>
      <c r="D4086" s="1"/>
      <c r="E4086" s="357">
        <v>45294</v>
      </c>
      <c r="F4086" s="344" t="s">
        <v>625</v>
      </c>
      <c r="G4086" s="358">
        <v>32.543100000000003</v>
      </c>
      <c r="H4086" s="344" t="s">
        <v>1656</v>
      </c>
    </row>
    <row r="4087" spans="1:8">
      <c r="A4087" s="1"/>
      <c r="B4087" s="1"/>
      <c r="C4087" s="1"/>
      <c r="D4087" s="1"/>
      <c r="E4087" s="357">
        <v>45294</v>
      </c>
      <c r="F4087" s="344" t="s">
        <v>628</v>
      </c>
      <c r="G4087" s="358">
        <v>37.512599999999999</v>
      </c>
      <c r="H4087" s="344" t="s">
        <v>1656</v>
      </c>
    </row>
    <row r="4088" spans="1:8">
      <c r="A4088" s="1"/>
      <c r="B4088" s="1"/>
      <c r="C4088" s="1"/>
      <c r="D4088" s="1"/>
      <c r="E4088" s="357">
        <v>45294</v>
      </c>
      <c r="F4088" s="344" t="s">
        <v>631</v>
      </c>
      <c r="G4088" s="358">
        <v>29.7394</v>
      </c>
      <c r="H4088" s="344" t="s">
        <v>1656</v>
      </c>
    </row>
    <row r="4089" spans="1:8">
      <c r="A4089" s="1"/>
      <c r="B4089" s="1"/>
      <c r="C4089" s="1"/>
      <c r="D4089" s="1"/>
      <c r="E4089" s="357">
        <v>45295</v>
      </c>
      <c r="F4089" s="344" t="s">
        <v>621</v>
      </c>
      <c r="G4089" s="358">
        <v>34.934399999999997</v>
      </c>
      <c r="H4089" s="344" t="s">
        <v>1657</v>
      </c>
    </row>
    <row r="4090" spans="1:8">
      <c r="A4090" s="1"/>
      <c r="B4090" s="1"/>
      <c r="C4090" s="1"/>
      <c r="D4090" s="1"/>
      <c r="E4090" s="357">
        <v>45295</v>
      </c>
      <c r="F4090" s="344" t="s">
        <v>625</v>
      </c>
      <c r="G4090" s="358">
        <v>32.569000000000003</v>
      </c>
      <c r="H4090" s="344" t="s">
        <v>1657</v>
      </c>
    </row>
    <row r="4091" spans="1:8">
      <c r="A4091" s="1"/>
      <c r="B4091" s="1"/>
      <c r="C4091" s="1"/>
      <c r="D4091" s="1"/>
      <c r="E4091" s="357">
        <v>45295</v>
      </c>
      <c r="F4091" s="344" t="s">
        <v>628</v>
      </c>
      <c r="G4091" s="358">
        <v>37.708199999999998</v>
      </c>
      <c r="H4091" s="344" t="s">
        <v>1657</v>
      </c>
    </row>
    <row r="4092" spans="1:8">
      <c r="A4092" s="1"/>
      <c r="B4092" s="1"/>
      <c r="C4092" s="1"/>
      <c r="D4092" s="1"/>
      <c r="E4092" s="357">
        <v>45295</v>
      </c>
      <c r="F4092" s="344" t="s">
        <v>631</v>
      </c>
      <c r="G4092" s="358">
        <v>29.745200000000001</v>
      </c>
      <c r="H4092" s="344" t="s">
        <v>1657</v>
      </c>
    </row>
    <row r="4093" spans="1:8">
      <c r="A4093" s="1"/>
      <c r="B4093" s="1"/>
      <c r="C4093" s="1"/>
      <c r="D4093" s="1"/>
      <c r="E4093" s="357">
        <v>45296</v>
      </c>
      <c r="F4093" s="344" t="s">
        <v>621</v>
      </c>
      <c r="G4093" s="358">
        <v>34.845500000000001</v>
      </c>
      <c r="H4093" s="344" t="s">
        <v>1658</v>
      </c>
    </row>
    <row r="4094" spans="1:8">
      <c r="A4094" s="1"/>
      <c r="B4094" s="1"/>
      <c r="C4094" s="1"/>
      <c r="D4094" s="1"/>
      <c r="E4094" s="357">
        <v>45296</v>
      </c>
      <c r="F4094" s="344" t="s">
        <v>625</v>
      </c>
      <c r="G4094" s="358">
        <v>32.498699999999999</v>
      </c>
      <c r="H4094" s="344" t="s">
        <v>1658</v>
      </c>
    </row>
    <row r="4095" spans="1:8">
      <c r="A4095" s="1"/>
      <c r="B4095" s="1"/>
      <c r="C4095" s="1"/>
      <c r="D4095" s="1"/>
      <c r="E4095" s="357">
        <v>45296</v>
      </c>
      <c r="F4095" s="344" t="s">
        <v>628</v>
      </c>
      <c r="G4095" s="358">
        <v>37.637799999999999</v>
      </c>
      <c r="H4095" s="344" t="s">
        <v>1658</v>
      </c>
    </row>
    <row r="4096" spans="1:8">
      <c r="A4096" s="1"/>
      <c r="B4096" s="1"/>
      <c r="C4096" s="1"/>
      <c r="D4096" s="1"/>
      <c r="E4096" s="357">
        <v>45296</v>
      </c>
      <c r="F4096" s="344" t="s">
        <v>631</v>
      </c>
      <c r="G4096" s="358">
        <v>29.7714</v>
      </c>
      <c r="H4096" s="344" t="s">
        <v>1658</v>
      </c>
    </row>
    <row r="4097" spans="1:8">
      <c r="A4097" s="1"/>
      <c r="B4097" s="1"/>
      <c r="C4097" s="1"/>
      <c r="D4097" s="1"/>
      <c r="E4097" s="357">
        <v>45299</v>
      </c>
      <c r="F4097" s="344" t="s">
        <v>621</v>
      </c>
      <c r="G4097" s="358">
        <v>34.988</v>
      </c>
      <c r="H4097" s="344" t="s">
        <v>1659</v>
      </c>
    </row>
    <row r="4098" spans="1:8">
      <c r="A4098" s="1"/>
      <c r="B4098" s="1"/>
      <c r="C4098" s="1"/>
      <c r="D4098" s="1"/>
      <c r="E4098" s="357">
        <v>45299</v>
      </c>
      <c r="F4098" s="344" t="s">
        <v>625</v>
      </c>
      <c r="G4098" s="358">
        <v>32.640099999999997</v>
      </c>
      <c r="H4098" s="344" t="s">
        <v>1659</v>
      </c>
    </row>
    <row r="4099" spans="1:8">
      <c r="A4099" s="1"/>
      <c r="B4099" s="1"/>
      <c r="C4099" s="1"/>
      <c r="D4099" s="1"/>
      <c r="E4099" s="357">
        <v>45299</v>
      </c>
      <c r="F4099" s="344" t="s">
        <v>628</v>
      </c>
      <c r="G4099" s="358">
        <v>37.831600000000002</v>
      </c>
      <c r="H4099" s="344" t="s">
        <v>1659</v>
      </c>
    </row>
    <row r="4100" spans="1:8">
      <c r="A4100" s="1"/>
      <c r="B4100" s="1"/>
      <c r="C4100" s="1"/>
      <c r="D4100" s="1"/>
      <c r="E4100" s="357">
        <v>45299</v>
      </c>
      <c r="F4100" s="344" t="s">
        <v>631</v>
      </c>
      <c r="G4100" s="358">
        <v>29.834199999999999</v>
      </c>
      <c r="H4100" s="344" t="s">
        <v>1659</v>
      </c>
    </row>
    <row r="4101" spans="1:8">
      <c r="A4101" s="1"/>
      <c r="B4101" s="1"/>
      <c r="C4101" s="1"/>
      <c r="D4101" s="1"/>
      <c r="E4101" s="357">
        <v>45300</v>
      </c>
      <c r="F4101" s="344" t="s">
        <v>621</v>
      </c>
      <c r="G4101" s="358">
        <v>35.0929</v>
      </c>
      <c r="H4101" s="344" t="s">
        <v>1660</v>
      </c>
    </row>
    <row r="4102" spans="1:8">
      <c r="A4102" s="1"/>
      <c r="B4102" s="1"/>
      <c r="C4102" s="1"/>
      <c r="D4102" s="1"/>
      <c r="E4102" s="357">
        <v>45300</v>
      </c>
      <c r="F4102" s="344" t="s">
        <v>625</v>
      </c>
      <c r="G4102" s="358">
        <v>32.704900000000002</v>
      </c>
      <c r="H4102" s="344" t="s">
        <v>1660</v>
      </c>
    </row>
    <row r="4103" spans="1:8">
      <c r="A4103" s="1"/>
      <c r="B4103" s="1"/>
      <c r="C4103" s="1"/>
      <c r="D4103" s="1"/>
      <c r="E4103" s="357">
        <v>45300</v>
      </c>
      <c r="F4103" s="344" t="s">
        <v>628</v>
      </c>
      <c r="G4103" s="358">
        <v>37.980899999999998</v>
      </c>
      <c r="H4103" s="344" t="s">
        <v>1660</v>
      </c>
    </row>
    <row r="4104" spans="1:8">
      <c r="A4104" s="1"/>
      <c r="B4104" s="1"/>
      <c r="C4104" s="1"/>
      <c r="D4104" s="1"/>
      <c r="E4104" s="357">
        <v>45300</v>
      </c>
      <c r="F4104" s="344" t="s">
        <v>631</v>
      </c>
      <c r="G4104" s="358">
        <v>29.882300000000001</v>
      </c>
      <c r="H4104" s="344" t="s">
        <v>1660</v>
      </c>
    </row>
    <row r="4105" spans="1:8">
      <c r="A4105" s="1"/>
      <c r="B4105" s="1"/>
      <c r="C4105" s="1"/>
      <c r="D4105" s="1"/>
      <c r="E4105" s="357">
        <v>45301</v>
      </c>
      <c r="F4105" s="344" t="s">
        <v>621</v>
      </c>
      <c r="G4105" s="358">
        <v>35.006100000000004</v>
      </c>
      <c r="H4105" s="344" t="s">
        <v>1661</v>
      </c>
    </row>
    <row r="4106" spans="1:8">
      <c r="A4106" s="1"/>
      <c r="B4106" s="1"/>
      <c r="C4106" s="1"/>
      <c r="D4106" s="1"/>
      <c r="E4106" s="357">
        <v>45301</v>
      </c>
      <c r="F4106" s="344" t="s">
        <v>625</v>
      </c>
      <c r="G4106" s="358">
        <v>32.723999999999997</v>
      </c>
      <c r="H4106" s="344" t="s">
        <v>1661</v>
      </c>
    </row>
    <row r="4107" spans="1:8">
      <c r="A4107" s="1"/>
      <c r="B4107" s="1"/>
      <c r="C4107" s="1"/>
      <c r="D4107" s="1"/>
      <c r="E4107" s="357">
        <v>45301</v>
      </c>
      <c r="F4107" s="344" t="s">
        <v>628</v>
      </c>
      <c r="G4107" s="358">
        <v>37.964199999999998</v>
      </c>
      <c r="H4107" s="344" t="s">
        <v>1661</v>
      </c>
    </row>
    <row r="4108" spans="1:8">
      <c r="A4108" s="1"/>
      <c r="B4108" s="1"/>
      <c r="C4108" s="1"/>
      <c r="D4108" s="1"/>
      <c r="E4108" s="357">
        <v>45301</v>
      </c>
      <c r="F4108" s="344" t="s">
        <v>631</v>
      </c>
      <c r="G4108" s="358">
        <v>29.913599999999999</v>
      </c>
      <c r="H4108" s="344" t="s">
        <v>1661</v>
      </c>
    </row>
    <row r="4109" spans="1:8">
      <c r="A4109" s="1"/>
      <c r="B4109" s="1"/>
      <c r="C4109" s="1"/>
      <c r="D4109" s="1"/>
      <c r="E4109" s="357">
        <v>45302</v>
      </c>
      <c r="F4109" s="344" t="s">
        <v>621</v>
      </c>
      <c r="G4109" s="358">
        <v>35.142699999999998</v>
      </c>
      <c r="H4109" s="344" t="s">
        <v>1662</v>
      </c>
    </row>
    <row r="4110" spans="1:8">
      <c r="A4110" s="1"/>
      <c r="B4110" s="1"/>
      <c r="C4110" s="1"/>
      <c r="D4110" s="1"/>
      <c r="E4110" s="357">
        <v>45302</v>
      </c>
      <c r="F4110" s="344" t="s">
        <v>625</v>
      </c>
      <c r="G4110" s="358">
        <v>32.880000000000003</v>
      </c>
      <c r="H4110" s="344" t="s">
        <v>1662</v>
      </c>
    </row>
    <row r="4111" spans="1:8">
      <c r="A4111" s="1"/>
      <c r="B4111" s="1"/>
      <c r="C4111" s="1"/>
      <c r="D4111" s="1"/>
      <c r="E4111" s="357">
        <v>45302</v>
      </c>
      <c r="F4111" s="344" t="s">
        <v>628</v>
      </c>
      <c r="G4111" s="358">
        <v>38.157299999999999</v>
      </c>
      <c r="H4111" s="344" t="s">
        <v>1662</v>
      </c>
    </row>
    <row r="4112" spans="1:8">
      <c r="A4112" s="1"/>
      <c r="B4112" s="1"/>
      <c r="C4112" s="1"/>
      <c r="D4112" s="1"/>
      <c r="E4112" s="357">
        <v>45302</v>
      </c>
      <c r="F4112" s="344" t="s">
        <v>631</v>
      </c>
      <c r="G4112" s="358">
        <v>29.958100000000002</v>
      </c>
      <c r="H4112" s="344" t="s">
        <v>1662</v>
      </c>
    </row>
    <row r="4113" spans="1:8">
      <c r="A4113" s="1"/>
      <c r="B4113" s="1"/>
      <c r="C4113" s="1"/>
      <c r="D4113" s="1"/>
      <c r="E4113" s="357">
        <v>45303</v>
      </c>
      <c r="F4113" s="344" t="s">
        <v>621</v>
      </c>
      <c r="G4113" s="358">
        <v>35.111499999999999</v>
      </c>
      <c r="H4113" s="344" t="s">
        <v>1663</v>
      </c>
    </row>
    <row r="4114" spans="1:8">
      <c r="A4114" s="1"/>
      <c r="B4114" s="1"/>
      <c r="C4114" s="1"/>
      <c r="D4114" s="1"/>
      <c r="E4114" s="357">
        <v>45303</v>
      </c>
      <c r="F4114" s="344" t="s">
        <v>625</v>
      </c>
      <c r="G4114" s="358">
        <v>32.912399999999998</v>
      </c>
      <c r="H4114" s="344" t="s">
        <v>1663</v>
      </c>
    </row>
    <row r="4115" spans="1:8">
      <c r="A4115" s="1"/>
      <c r="B4115" s="1"/>
      <c r="C4115" s="1"/>
      <c r="D4115" s="1"/>
      <c r="E4115" s="357">
        <v>45303</v>
      </c>
      <c r="F4115" s="344" t="s">
        <v>628</v>
      </c>
      <c r="G4115" s="358">
        <v>38.220199999999998</v>
      </c>
      <c r="H4115" s="344" t="s">
        <v>1663</v>
      </c>
    </row>
    <row r="4116" spans="1:8">
      <c r="A4116" s="1"/>
      <c r="B4116" s="1"/>
      <c r="C4116" s="1"/>
      <c r="D4116" s="1"/>
      <c r="E4116" s="357">
        <v>45303</v>
      </c>
      <c r="F4116" s="344" t="s">
        <v>631</v>
      </c>
      <c r="G4116" s="358">
        <v>30.016300000000001</v>
      </c>
      <c r="H4116" s="344" t="s">
        <v>1663</v>
      </c>
    </row>
    <row r="4117" spans="1:8">
      <c r="A4117" s="1"/>
      <c r="B4117" s="1"/>
      <c r="C4117" s="1"/>
      <c r="D4117" s="1"/>
      <c r="E4117" s="357">
        <v>45306</v>
      </c>
      <c r="F4117" s="344" t="s">
        <v>621</v>
      </c>
      <c r="G4117" s="358">
        <v>35.1158</v>
      </c>
      <c r="H4117" s="344" t="s">
        <v>1664</v>
      </c>
    </row>
    <row r="4118" spans="1:8">
      <c r="A4118" s="1"/>
      <c r="B4118" s="1"/>
      <c r="C4118" s="1"/>
      <c r="D4118" s="1"/>
      <c r="E4118" s="357">
        <v>45306</v>
      </c>
      <c r="F4118" s="344" t="s">
        <v>625</v>
      </c>
      <c r="G4118" s="358">
        <v>32.903599999999997</v>
      </c>
      <c r="H4118" s="344" t="s">
        <v>1664</v>
      </c>
    </row>
    <row r="4119" spans="1:8">
      <c r="A4119" s="1"/>
      <c r="B4119" s="1"/>
      <c r="C4119" s="1"/>
      <c r="D4119" s="1"/>
      <c r="E4119" s="357">
        <v>45306</v>
      </c>
      <c r="F4119" s="344" t="s">
        <v>628</v>
      </c>
      <c r="G4119" s="358">
        <v>38.205800000000004</v>
      </c>
      <c r="H4119" s="344" t="s">
        <v>1664</v>
      </c>
    </row>
    <row r="4120" spans="1:8">
      <c r="A4120" s="1"/>
      <c r="B4120" s="1"/>
      <c r="C4120" s="1"/>
      <c r="D4120" s="1"/>
      <c r="E4120" s="357">
        <v>45306</v>
      </c>
      <c r="F4120" s="344" t="s">
        <v>631</v>
      </c>
      <c r="G4120" s="358">
        <v>30.044899999999998</v>
      </c>
      <c r="H4120" s="344" t="s">
        <v>1664</v>
      </c>
    </row>
    <row r="4121" spans="1:8">
      <c r="A4121" s="1"/>
      <c r="B4121" s="1"/>
      <c r="C4121" s="1"/>
      <c r="D4121" s="1"/>
      <c r="E4121" s="357">
        <v>45307</v>
      </c>
      <c r="F4121" s="344" t="s">
        <v>621</v>
      </c>
      <c r="G4121" s="358">
        <v>34.852899999999998</v>
      </c>
      <c r="H4121" s="344" t="s">
        <v>1665</v>
      </c>
    </row>
    <row r="4122" spans="1:8">
      <c r="A4122" s="1"/>
      <c r="B4122" s="1"/>
      <c r="C4122" s="1"/>
      <c r="D4122" s="1"/>
      <c r="E4122" s="357">
        <v>45307</v>
      </c>
      <c r="F4122" s="344" t="s">
        <v>625</v>
      </c>
      <c r="G4122" s="358">
        <v>32.750999999999998</v>
      </c>
      <c r="H4122" s="344" t="s">
        <v>1665</v>
      </c>
    </row>
    <row r="4123" spans="1:8">
      <c r="A4123" s="1"/>
      <c r="B4123" s="1"/>
      <c r="C4123" s="1"/>
      <c r="D4123" s="1"/>
      <c r="E4123" s="357">
        <v>45307</v>
      </c>
      <c r="F4123" s="344" t="s">
        <v>628</v>
      </c>
      <c r="G4123" s="358">
        <v>37.962800000000001</v>
      </c>
      <c r="H4123" s="344" t="s">
        <v>1665</v>
      </c>
    </row>
    <row r="4124" spans="1:8">
      <c r="A4124" s="1"/>
      <c r="B4124" s="1"/>
      <c r="C4124" s="1"/>
      <c r="D4124" s="1"/>
      <c r="E4124" s="357">
        <v>45307</v>
      </c>
      <c r="F4124" s="344" t="s">
        <v>631</v>
      </c>
      <c r="G4124" s="358">
        <v>30.047000000000001</v>
      </c>
      <c r="H4124" s="344" t="s">
        <v>1665</v>
      </c>
    </row>
    <row r="4125" spans="1:8">
      <c r="A4125" s="1"/>
      <c r="B4125" s="1"/>
      <c r="C4125" s="1"/>
      <c r="D4125" s="1"/>
      <c r="E4125" s="357">
        <v>45308</v>
      </c>
      <c r="F4125" s="344" t="s">
        <v>621</v>
      </c>
      <c r="G4125" s="358">
        <v>34.7759</v>
      </c>
      <c r="H4125" s="344" t="s">
        <v>1666</v>
      </c>
    </row>
    <row r="4126" spans="1:8">
      <c r="A4126" s="1"/>
      <c r="B4126" s="1"/>
      <c r="C4126" s="1"/>
      <c r="D4126" s="1"/>
      <c r="E4126" s="357">
        <v>45308</v>
      </c>
      <c r="F4126" s="344" t="s">
        <v>625</v>
      </c>
      <c r="G4126" s="358">
        <v>32.691099999999999</v>
      </c>
      <c r="H4126" s="344" t="s">
        <v>1666</v>
      </c>
    </row>
    <row r="4127" spans="1:8">
      <c r="A4127" s="1"/>
      <c r="B4127" s="1"/>
      <c r="C4127" s="1"/>
      <c r="D4127" s="1"/>
      <c r="E4127" s="357">
        <v>45308</v>
      </c>
      <c r="F4127" s="344" t="s">
        <v>628</v>
      </c>
      <c r="G4127" s="358">
        <v>38.012500000000003</v>
      </c>
      <c r="H4127" s="344" t="s">
        <v>1666</v>
      </c>
    </row>
    <row r="4128" spans="1:8">
      <c r="A4128" s="1"/>
      <c r="B4128" s="1"/>
      <c r="C4128" s="1"/>
      <c r="D4128" s="1"/>
      <c r="E4128" s="357">
        <v>45308</v>
      </c>
      <c r="F4128" s="344" t="s">
        <v>631</v>
      </c>
      <c r="G4128" s="358">
        <v>30.072099999999999</v>
      </c>
      <c r="H4128" s="344" t="s">
        <v>1666</v>
      </c>
    </row>
    <row r="4129" spans="1:8">
      <c r="A4129" s="1"/>
      <c r="B4129" s="1"/>
      <c r="C4129" s="1"/>
      <c r="D4129" s="1"/>
      <c r="E4129" s="357">
        <v>45309</v>
      </c>
      <c r="F4129" s="344" t="s">
        <v>621</v>
      </c>
      <c r="G4129" s="358">
        <v>34.708300000000001</v>
      </c>
      <c r="H4129" s="344" t="s">
        <v>1667</v>
      </c>
    </row>
    <row r="4130" spans="1:8">
      <c r="A4130" s="1"/>
      <c r="B4130" s="1"/>
      <c r="C4130" s="1"/>
      <c r="D4130" s="1"/>
      <c r="E4130" s="357">
        <v>45309</v>
      </c>
      <c r="F4130" s="344" t="s">
        <v>625</v>
      </c>
      <c r="G4130" s="358">
        <v>32.761800000000001</v>
      </c>
      <c r="H4130" s="344" t="s">
        <v>1667</v>
      </c>
    </row>
    <row r="4131" spans="1:8">
      <c r="A4131" s="1"/>
      <c r="B4131" s="1"/>
      <c r="C4131" s="1"/>
      <c r="D4131" s="1"/>
      <c r="E4131" s="357">
        <v>45309</v>
      </c>
      <c r="F4131" s="344" t="s">
        <v>628</v>
      </c>
      <c r="G4131" s="358">
        <v>38.109299999999998</v>
      </c>
      <c r="H4131" s="344" t="s">
        <v>1667</v>
      </c>
    </row>
    <row r="4132" spans="1:8">
      <c r="A4132" s="1"/>
      <c r="B4132" s="1"/>
      <c r="C4132" s="1"/>
      <c r="D4132" s="1"/>
      <c r="E4132" s="357">
        <v>45309</v>
      </c>
      <c r="F4132" s="344" t="s">
        <v>631</v>
      </c>
      <c r="G4132" s="358">
        <v>30.084700000000002</v>
      </c>
      <c r="H4132" s="344" t="s">
        <v>1667</v>
      </c>
    </row>
    <row r="4133" spans="1:8">
      <c r="A4133" s="1"/>
      <c r="B4133" s="1"/>
      <c r="C4133" s="1"/>
      <c r="D4133" s="1"/>
      <c r="E4133" s="357">
        <v>45310</v>
      </c>
      <c r="F4133" s="344" t="s">
        <v>621</v>
      </c>
      <c r="G4133" s="358">
        <v>34.595199999999998</v>
      </c>
      <c r="H4133" s="344" t="s">
        <v>1668</v>
      </c>
    </row>
    <row r="4134" spans="1:8">
      <c r="A4134" s="1"/>
      <c r="B4134" s="1"/>
      <c r="C4134" s="1"/>
      <c r="D4134" s="1"/>
      <c r="E4134" s="357">
        <v>45310</v>
      </c>
      <c r="F4134" s="344" t="s">
        <v>625</v>
      </c>
      <c r="G4134" s="358">
        <v>32.777099999999997</v>
      </c>
      <c r="H4134" s="344" t="s">
        <v>1668</v>
      </c>
    </row>
    <row r="4135" spans="1:8">
      <c r="A4135" s="1"/>
      <c r="B4135" s="1"/>
      <c r="C4135" s="1"/>
      <c r="D4135" s="1"/>
      <c r="E4135" s="357">
        <v>45310</v>
      </c>
      <c r="F4135" s="344" t="s">
        <v>628</v>
      </c>
      <c r="G4135" s="358">
        <v>38.143799999999999</v>
      </c>
      <c r="H4135" s="344" t="s">
        <v>1668</v>
      </c>
    </row>
    <row r="4136" spans="1:8">
      <c r="A4136" s="1"/>
      <c r="B4136" s="1"/>
      <c r="C4136" s="1"/>
      <c r="D4136" s="1"/>
      <c r="E4136" s="357">
        <v>45310</v>
      </c>
      <c r="F4136" s="344" t="s">
        <v>631</v>
      </c>
      <c r="G4136" s="358">
        <v>30.1219</v>
      </c>
      <c r="H4136" s="344" t="s">
        <v>1668</v>
      </c>
    </row>
    <row r="4137" spans="1:8">
      <c r="A4137" s="1"/>
      <c r="B4137" s="1"/>
      <c r="C4137" s="1"/>
      <c r="D4137" s="1"/>
      <c r="E4137" s="357">
        <v>45313</v>
      </c>
      <c r="F4137" s="344" t="s">
        <v>621</v>
      </c>
      <c r="G4137" s="358">
        <v>34.674900000000001</v>
      </c>
      <c r="H4137" s="344" t="s">
        <v>1669</v>
      </c>
    </row>
    <row r="4138" spans="1:8">
      <c r="A4138" s="1"/>
      <c r="B4138" s="1"/>
      <c r="C4138" s="1"/>
      <c r="D4138" s="1"/>
      <c r="E4138" s="357">
        <v>45313</v>
      </c>
      <c r="F4138" s="344" t="s">
        <v>625</v>
      </c>
      <c r="G4138" s="358">
        <v>32.881</v>
      </c>
      <c r="H4138" s="344" t="s">
        <v>1669</v>
      </c>
    </row>
    <row r="4139" spans="1:8">
      <c r="A4139" s="1"/>
      <c r="B4139" s="1"/>
      <c r="C4139" s="1"/>
      <c r="D4139" s="1"/>
      <c r="E4139" s="357">
        <v>45313</v>
      </c>
      <c r="F4139" s="344" t="s">
        <v>628</v>
      </c>
      <c r="G4139" s="358">
        <v>38.283700000000003</v>
      </c>
      <c r="H4139" s="344" t="s">
        <v>1669</v>
      </c>
    </row>
    <row r="4140" spans="1:8">
      <c r="A4140" s="1"/>
      <c r="B4140" s="1"/>
      <c r="C4140" s="1"/>
      <c r="D4140" s="1"/>
      <c r="E4140" s="357">
        <v>45313</v>
      </c>
      <c r="F4140" s="344" t="s">
        <v>631</v>
      </c>
      <c r="G4140" s="358">
        <v>30.180599999999998</v>
      </c>
      <c r="H4140" s="344" t="s">
        <v>1669</v>
      </c>
    </row>
    <row r="4141" spans="1:8">
      <c r="A4141" s="1"/>
      <c r="B4141" s="1"/>
      <c r="C4141" s="1"/>
      <c r="D4141" s="1"/>
      <c r="E4141" s="357">
        <v>45314</v>
      </c>
      <c r="F4141" s="344" t="s">
        <v>621</v>
      </c>
      <c r="G4141" s="358">
        <v>34.744199999999999</v>
      </c>
      <c r="H4141" s="344" t="s">
        <v>1670</v>
      </c>
    </row>
    <row r="4142" spans="1:8">
      <c r="A4142" s="1"/>
      <c r="B4142" s="1"/>
      <c r="C4142" s="1"/>
      <c r="D4142" s="1"/>
      <c r="E4142" s="357">
        <v>45314</v>
      </c>
      <c r="F4142" s="344" t="s">
        <v>625</v>
      </c>
      <c r="G4142" s="358">
        <v>32.908700000000003</v>
      </c>
      <c r="H4142" s="344" t="s">
        <v>1670</v>
      </c>
    </row>
    <row r="4143" spans="1:8">
      <c r="A4143" s="1"/>
      <c r="B4143" s="1"/>
      <c r="C4143" s="1"/>
      <c r="D4143" s="1"/>
      <c r="E4143" s="357">
        <v>45314</v>
      </c>
      <c r="F4143" s="344" t="s">
        <v>628</v>
      </c>
      <c r="G4143" s="358">
        <v>38.3964</v>
      </c>
      <c r="H4143" s="344" t="s">
        <v>1670</v>
      </c>
    </row>
    <row r="4144" spans="1:8">
      <c r="A4144" s="1"/>
      <c r="B4144" s="1"/>
      <c r="C4144" s="1"/>
      <c r="D4144" s="1"/>
      <c r="E4144" s="357">
        <v>45314</v>
      </c>
      <c r="F4144" s="344" t="s">
        <v>631</v>
      </c>
      <c r="G4144" s="358">
        <v>30.218499999999999</v>
      </c>
      <c r="H4144" s="344" t="s">
        <v>1670</v>
      </c>
    </row>
    <row r="4145" spans="1:8">
      <c r="A4145" s="1"/>
      <c r="B4145" s="1"/>
      <c r="C4145" s="1"/>
      <c r="D4145" s="1"/>
      <c r="E4145" s="357">
        <v>45315</v>
      </c>
      <c r="F4145" s="344" t="s">
        <v>621</v>
      </c>
      <c r="G4145" s="358">
        <v>34.7913</v>
      </c>
      <c r="H4145" s="344" t="s">
        <v>1671</v>
      </c>
    </row>
    <row r="4146" spans="1:8">
      <c r="A4146" s="1"/>
      <c r="B4146" s="1"/>
      <c r="C4146" s="1"/>
      <c r="D4146" s="1"/>
      <c r="E4146" s="357">
        <v>45315</v>
      </c>
      <c r="F4146" s="344" t="s">
        <v>625</v>
      </c>
      <c r="G4146" s="358">
        <v>32.883699999999997</v>
      </c>
      <c r="H4146" s="344" t="s">
        <v>1671</v>
      </c>
    </row>
    <row r="4147" spans="1:8">
      <c r="A4147" s="1"/>
      <c r="B4147" s="1"/>
      <c r="C4147" s="1"/>
      <c r="D4147" s="1"/>
      <c r="E4147" s="357">
        <v>45315</v>
      </c>
      <c r="F4147" s="344" t="s">
        <v>628</v>
      </c>
      <c r="G4147" s="358">
        <v>38.396099999999997</v>
      </c>
      <c r="H4147" s="344" t="s">
        <v>1671</v>
      </c>
    </row>
    <row r="4148" spans="1:8">
      <c r="A4148" s="1"/>
      <c r="B4148" s="1"/>
      <c r="C4148" s="1"/>
      <c r="D4148" s="1"/>
      <c r="E4148" s="357">
        <v>45315</v>
      </c>
      <c r="F4148" s="344" t="s">
        <v>631</v>
      </c>
      <c r="G4148" s="358">
        <v>30.214500000000001</v>
      </c>
      <c r="H4148" s="344" t="s">
        <v>1671</v>
      </c>
    </row>
    <row r="4149" spans="1:8">
      <c r="A4149" s="1"/>
      <c r="B4149" s="1"/>
      <c r="C4149" s="1"/>
      <c r="D4149" s="1"/>
      <c r="E4149" s="357">
        <v>45316</v>
      </c>
      <c r="F4149" s="344" t="s">
        <v>621</v>
      </c>
      <c r="G4149" s="358">
        <v>34.9041</v>
      </c>
      <c r="H4149" s="344" t="s">
        <v>1672</v>
      </c>
    </row>
    <row r="4150" spans="1:8">
      <c r="A4150" s="1"/>
      <c r="B4150" s="1"/>
      <c r="C4150" s="1"/>
      <c r="D4150" s="1"/>
      <c r="E4150" s="357">
        <v>45316</v>
      </c>
      <c r="F4150" s="344" t="s">
        <v>625</v>
      </c>
      <c r="G4150" s="358">
        <v>32.916600000000003</v>
      </c>
      <c r="H4150" s="344" t="s">
        <v>1672</v>
      </c>
    </row>
    <row r="4151" spans="1:8">
      <c r="A4151" s="1"/>
      <c r="B4151" s="1"/>
      <c r="C4151" s="1"/>
      <c r="D4151" s="1"/>
      <c r="E4151" s="357">
        <v>45316</v>
      </c>
      <c r="F4151" s="344" t="s">
        <v>628</v>
      </c>
      <c r="G4151" s="358">
        <v>38.402500000000003</v>
      </c>
      <c r="H4151" s="344" t="s">
        <v>1672</v>
      </c>
    </row>
    <row r="4152" spans="1:8">
      <c r="A4152" s="1"/>
      <c r="B4152" s="1"/>
      <c r="C4152" s="1"/>
      <c r="D4152" s="1"/>
      <c r="E4152" s="357">
        <v>45316</v>
      </c>
      <c r="F4152" s="344" t="s">
        <v>631</v>
      </c>
      <c r="G4152" s="358">
        <v>30.218499999999999</v>
      </c>
      <c r="H4152" s="344" t="s">
        <v>1672</v>
      </c>
    </row>
    <row r="4153" spans="1:8">
      <c r="A4153" s="1"/>
      <c r="B4153" s="1"/>
      <c r="C4153" s="1"/>
      <c r="D4153" s="1"/>
      <c r="E4153" s="357">
        <v>45317</v>
      </c>
      <c r="F4153" s="344" t="s">
        <v>621</v>
      </c>
      <c r="G4153" s="358">
        <v>34.853700000000003</v>
      </c>
      <c r="H4153" s="344" t="s">
        <v>1673</v>
      </c>
    </row>
    <row r="4154" spans="1:8">
      <c r="A4154" s="1"/>
      <c r="B4154" s="1"/>
      <c r="C4154" s="1"/>
      <c r="D4154" s="1"/>
      <c r="E4154" s="357">
        <v>45317</v>
      </c>
      <c r="F4154" s="344" t="s">
        <v>625</v>
      </c>
      <c r="G4154" s="358">
        <v>32.790399999999998</v>
      </c>
      <c r="H4154" s="344" t="s">
        <v>1673</v>
      </c>
    </row>
    <row r="4155" spans="1:8">
      <c r="A4155" s="1"/>
      <c r="B4155" s="1"/>
      <c r="C4155" s="1"/>
      <c r="D4155" s="1"/>
      <c r="E4155" s="357">
        <v>45317</v>
      </c>
      <c r="F4155" s="344" t="s">
        <v>628</v>
      </c>
      <c r="G4155" s="358">
        <v>38.368699999999997</v>
      </c>
      <c r="H4155" s="344" t="s">
        <v>1673</v>
      </c>
    </row>
    <row r="4156" spans="1:8">
      <c r="A4156" s="1"/>
      <c r="B4156" s="1"/>
      <c r="C4156" s="1"/>
      <c r="D4156" s="1"/>
      <c r="E4156" s="357">
        <v>45317</v>
      </c>
      <c r="F4156" s="344" t="s">
        <v>631</v>
      </c>
      <c r="G4156" s="358">
        <v>30.234300000000001</v>
      </c>
      <c r="H4156" s="344" t="s">
        <v>1673</v>
      </c>
    </row>
    <row r="4157" spans="1:8">
      <c r="A4157" s="1"/>
      <c r="B4157" s="1"/>
      <c r="C4157" s="1"/>
      <c r="D4157" s="1"/>
      <c r="E4157" s="357">
        <v>45320</v>
      </c>
      <c r="F4157" s="344" t="s">
        <v>621</v>
      </c>
      <c r="G4157" s="358">
        <v>35.036799999999999</v>
      </c>
      <c r="H4157" s="344" t="s">
        <v>1674</v>
      </c>
    </row>
    <row r="4158" spans="1:8">
      <c r="A4158" s="1"/>
      <c r="B4158" s="1"/>
      <c r="C4158" s="1"/>
      <c r="D4158" s="1"/>
      <c r="E4158" s="357">
        <v>45320</v>
      </c>
      <c r="F4158" s="344" t="s">
        <v>625</v>
      </c>
      <c r="G4158" s="358">
        <v>32.801299999999998</v>
      </c>
      <c r="H4158" s="344" t="s">
        <v>1674</v>
      </c>
    </row>
    <row r="4159" spans="1:8">
      <c r="A4159" s="1"/>
      <c r="B4159" s="1"/>
      <c r="C4159" s="1"/>
      <c r="D4159" s="1"/>
      <c r="E4159" s="357">
        <v>45320</v>
      </c>
      <c r="F4159" s="344" t="s">
        <v>628</v>
      </c>
      <c r="G4159" s="358">
        <v>38.409199999999998</v>
      </c>
      <c r="H4159" s="344" t="s">
        <v>1674</v>
      </c>
    </row>
    <row r="4160" spans="1:8">
      <c r="A4160" s="1"/>
      <c r="B4160" s="1"/>
      <c r="C4160" s="1"/>
      <c r="D4160" s="1"/>
      <c r="E4160" s="357">
        <v>45320</v>
      </c>
      <c r="F4160" s="344" t="s">
        <v>631</v>
      </c>
      <c r="G4160" s="358">
        <v>30.2849</v>
      </c>
      <c r="H4160" s="344" t="s">
        <v>1674</v>
      </c>
    </row>
    <row r="4161" spans="1:8">
      <c r="A4161" s="1"/>
      <c r="B4161" s="1"/>
      <c r="C4161" s="1"/>
      <c r="D4161" s="1"/>
      <c r="E4161" s="357">
        <v>45321</v>
      </c>
      <c r="F4161" s="344" t="s">
        <v>621</v>
      </c>
      <c r="G4161" s="358">
        <v>35.060499999999998</v>
      </c>
      <c r="H4161" s="344" t="s">
        <v>1675</v>
      </c>
    </row>
    <row r="4162" spans="1:8">
      <c r="A4162" s="1"/>
      <c r="B4162" s="1"/>
      <c r="C4162" s="1"/>
      <c r="D4162" s="1"/>
      <c r="E4162" s="357">
        <v>45321</v>
      </c>
      <c r="F4162" s="344" t="s">
        <v>625</v>
      </c>
      <c r="G4162" s="358">
        <v>32.814399999999999</v>
      </c>
      <c r="H4162" s="344" t="s">
        <v>1675</v>
      </c>
    </row>
    <row r="4163" spans="1:8">
      <c r="A4163" s="1"/>
      <c r="B4163" s="1"/>
      <c r="C4163" s="1"/>
      <c r="D4163" s="1"/>
      <c r="E4163" s="357">
        <v>45321</v>
      </c>
      <c r="F4163" s="344" t="s">
        <v>628</v>
      </c>
      <c r="G4163" s="358">
        <v>38.380699999999997</v>
      </c>
      <c r="H4163" s="344" t="s">
        <v>1675</v>
      </c>
    </row>
    <row r="4164" spans="1:8">
      <c r="A4164" s="1"/>
      <c r="B4164" s="1"/>
      <c r="C4164" s="1"/>
      <c r="D4164" s="1"/>
      <c r="E4164" s="357">
        <v>45321</v>
      </c>
      <c r="F4164" s="344" t="s">
        <v>631</v>
      </c>
      <c r="G4164" s="358">
        <v>30.305299999999999</v>
      </c>
      <c r="H4164" s="344" t="s">
        <v>1675</v>
      </c>
    </row>
    <row r="4165" spans="1:8">
      <c r="A4165" s="1"/>
      <c r="B4165" s="1"/>
      <c r="C4165" s="1"/>
      <c r="D4165" s="1"/>
      <c r="E4165" s="357">
        <v>45322</v>
      </c>
      <c r="F4165" s="344" t="s">
        <v>621</v>
      </c>
      <c r="G4165" s="358">
        <v>35.011499999999998</v>
      </c>
      <c r="H4165" s="344" t="s">
        <v>1676</v>
      </c>
    </row>
    <row r="4166" spans="1:8">
      <c r="A4166" s="1"/>
      <c r="B4166" s="1"/>
      <c r="C4166" s="1"/>
      <c r="D4166" s="1"/>
      <c r="E4166" s="357">
        <v>45322</v>
      </c>
      <c r="F4166" s="344" t="s">
        <v>625</v>
      </c>
      <c r="G4166" s="358">
        <v>32.788400000000003</v>
      </c>
      <c r="H4166" s="344" t="s">
        <v>1676</v>
      </c>
    </row>
    <row r="4167" spans="1:8">
      <c r="A4167" s="1"/>
      <c r="B4167" s="1"/>
      <c r="C4167" s="1"/>
      <c r="D4167" s="1"/>
      <c r="E4167" s="357">
        <v>45322</v>
      </c>
      <c r="F4167" s="344" t="s">
        <v>628</v>
      </c>
      <c r="G4167" s="358">
        <v>38.339799999999997</v>
      </c>
      <c r="H4167" s="344" t="s">
        <v>1676</v>
      </c>
    </row>
    <row r="4168" spans="1:8">
      <c r="A4168" s="1"/>
      <c r="B4168" s="1"/>
      <c r="C4168" s="1"/>
      <c r="D4168" s="1"/>
      <c r="E4168" s="357">
        <v>45322</v>
      </c>
      <c r="F4168" s="344" t="s">
        <v>631</v>
      </c>
      <c r="G4168" s="358">
        <v>30.295200000000001</v>
      </c>
      <c r="H4168" s="344" t="s">
        <v>1676</v>
      </c>
    </row>
    <row r="4169" spans="1:8">
      <c r="A4169" s="1"/>
      <c r="B4169" s="1"/>
      <c r="C4169" s="1"/>
      <c r="D4169" s="1"/>
      <c r="E4169" s="357">
        <v>45323</v>
      </c>
      <c r="F4169" s="344" t="s">
        <v>621</v>
      </c>
      <c r="G4169" s="358">
        <v>35.025100000000002</v>
      </c>
      <c r="H4169" s="344" t="s">
        <v>1677</v>
      </c>
    </row>
    <row r="4170" spans="1:8">
      <c r="A4170" s="1"/>
      <c r="B4170" s="1"/>
      <c r="C4170" s="1"/>
      <c r="D4170" s="1"/>
      <c r="E4170" s="357">
        <v>45323</v>
      </c>
      <c r="F4170" s="344" t="s">
        <v>625</v>
      </c>
      <c r="G4170" s="358">
        <v>32.721699999999998</v>
      </c>
      <c r="H4170" s="344" t="s">
        <v>1677</v>
      </c>
    </row>
    <row r="4171" spans="1:8">
      <c r="A4171" s="1"/>
      <c r="B4171" s="1"/>
      <c r="C4171" s="1"/>
      <c r="D4171" s="1"/>
      <c r="E4171" s="357">
        <v>45323</v>
      </c>
      <c r="F4171" s="344" t="s">
        <v>628</v>
      </c>
      <c r="G4171" s="358">
        <v>38.272799999999997</v>
      </c>
      <c r="H4171" s="344" t="s">
        <v>1677</v>
      </c>
    </row>
    <row r="4172" spans="1:8">
      <c r="A4172" s="1"/>
      <c r="B4172" s="1"/>
      <c r="C4172" s="1"/>
      <c r="D4172" s="1"/>
      <c r="E4172" s="357">
        <v>45323</v>
      </c>
      <c r="F4172" s="344" t="s">
        <v>631</v>
      </c>
      <c r="G4172" s="358">
        <v>30.3063</v>
      </c>
      <c r="H4172" s="344" t="s">
        <v>1677</v>
      </c>
    </row>
    <row r="4173" spans="1:8">
      <c r="A4173" s="1"/>
      <c r="B4173" s="1"/>
      <c r="C4173" s="1"/>
      <c r="D4173" s="1"/>
      <c r="E4173" s="357">
        <v>45324</v>
      </c>
      <c r="F4173" s="344" t="s">
        <v>621</v>
      </c>
      <c r="G4173" s="358">
        <v>35.373800000000003</v>
      </c>
      <c r="H4173" s="344" t="s">
        <v>1678</v>
      </c>
    </row>
    <row r="4174" spans="1:8">
      <c r="A4174" s="1"/>
      <c r="B4174" s="1"/>
      <c r="C4174" s="1"/>
      <c r="D4174" s="1"/>
      <c r="E4174" s="357">
        <v>45324</v>
      </c>
      <c r="F4174" s="344" t="s">
        <v>625</v>
      </c>
      <c r="G4174" s="358">
        <v>33.053699999999999</v>
      </c>
      <c r="H4174" s="344" t="s">
        <v>1678</v>
      </c>
    </row>
    <row r="4175" spans="1:8">
      <c r="A4175" s="1"/>
      <c r="B4175" s="1"/>
      <c r="C4175" s="1"/>
      <c r="D4175" s="1"/>
      <c r="E4175" s="357">
        <v>45324</v>
      </c>
      <c r="F4175" s="344" t="s">
        <v>628</v>
      </c>
      <c r="G4175" s="358">
        <v>38.671900000000001</v>
      </c>
      <c r="H4175" s="344" t="s">
        <v>1678</v>
      </c>
    </row>
    <row r="4176" spans="1:8">
      <c r="A4176" s="1"/>
      <c r="B4176" s="1"/>
      <c r="C4176" s="1"/>
      <c r="D4176" s="1"/>
      <c r="E4176" s="357">
        <v>45324</v>
      </c>
      <c r="F4176" s="344" t="s">
        <v>631</v>
      </c>
      <c r="G4176" s="358">
        <v>30.3735</v>
      </c>
      <c r="H4176" s="344" t="s">
        <v>1678</v>
      </c>
    </row>
    <row r="4177" spans="1:8">
      <c r="A4177" s="1"/>
      <c r="B4177" s="1"/>
      <c r="C4177" s="1"/>
      <c r="D4177" s="1"/>
      <c r="E4177" s="357">
        <v>45327</v>
      </c>
      <c r="F4177" s="344" t="s">
        <v>621</v>
      </c>
      <c r="G4177" s="358">
        <v>34.989699999999999</v>
      </c>
      <c r="H4177" s="344" t="s">
        <v>1679</v>
      </c>
    </row>
    <row r="4178" spans="1:8">
      <c r="A4178" s="1"/>
      <c r="B4178" s="1"/>
      <c r="C4178" s="1"/>
      <c r="D4178" s="1"/>
      <c r="E4178" s="357">
        <v>45327</v>
      </c>
      <c r="F4178" s="344" t="s">
        <v>625</v>
      </c>
      <c r="G4178" s="358">
        <v>32.805199999999999</v>
      </c>
      <c r="H4178" s="344" t="s">
        <v>1679</v>
      </c>
    </row>
    <row r="4179" spans="1:8">
      <c r="A4179" s="1"/>
      <c r="B4179" s="1"/>
      <c r="C4179" s="1"/>
      <c r="D4179" s="1"/>
      <c r="E4179" s="357">
        <v>45327</v>
      </c>
      <c r="F4179" s="344" t="s">
        <v>628</v>
      </c>
      <c r="G4179" s="358">
        <v>38.344099999999997</v>
      </c>
      <c r="H4179" s="344" t="s">
        <v>1679</v>
      </c>
    </row>
    <row r="4180" spans="1:8">
      <c r="A4180" s="1"/>
      <c r="B4180" s="1"/>
      <c r="C4180" s="1"/>
      <c r="D4180" s="1"/>
      <c r="E4180" s="357">
        <v>45327</v>
      </c>
      <c r="F4180" s="344" t="s">
        <v>631</v>
      </c>
      <c r="G4180" s="358">
        <v>30.477</v>
      </c>
      <c r="H4180" s="344" t="s">
        <v>1679</v>
      </c>
    </row>
    <row r="4181" spans="1:8">
      <c r="A4181" s="1"/>
      <c r="B4181" s="1"/>
      <c r="C4181" s="1"/>
      <c r="D4181" s="1"/>
      <c r="E4181" s="357">
        <v>45328</v>
      </c>
      <c r="F4181" s="344" t="s">
        <v>621</v>
      </c>
      <c r="G4181" s="358">
        <v>34.928699999999999</v>
      </c>
      <c r="H4181" s="344" t="s">
        <v>1680</v>
      </c>
    </row>
    <row r="4182" spans="1:8">
      <c r="A4182" s="1"/>
      <c r="B4182" s="1"/>
      <c r="C4182" s="1"/>
      <c r="D4182" s="1"/>
      <c r="E4182" s="357">
        <v>45328</v>
      </c>
      <c r="F4182" s="344" t="s">
        <v>625</v>
      </c>
      <c r="G4182" s="358">
        <v>32.769100000000002</v>
      </c>
      <c r="H4182" s="344" t="s">
        <v>1680</v>
      </c>
    </row>
    <row r="4183" spans="1:8">
      <c r="A4183" s="1"/>
      <c r="B4183" s="1"/>
      <c r="C4183" s="1"/>
      <c r="D4183" s="1"/>
      <c r="E4183" s="357">
        <v>45328</v>
      </c>
      <c r="F4183" s="344" t="s">
        <v>628</v>
      </c>
      <c r="G4183" s="358">
        <v>38.220500000000001</v>
      </c>
      <c r="H4183" s="344" t="s">
        <v>1680</v>
      </c>
    </row>
    <row r="4184" spans="1:8">
      <c r="A4184" s="1"/>
      <c r="B4184" s="1"/>
      <c r="C4184" s="1"/>
      <c r="D4184" s="1"/>
      <c r="E4184" s="357">
        <v>45328</v>
      </c>
      <c r="F4184" s="344" t="s">
        <v>631</v>
      </c>
      <c r="G4184" s="358">
        <v>30.5077</v>
      </c>
      <c r="H4184" s="344" t="s">
        <v>1680</v>
      </c>
    </row>
    <row r="4185" spans="1:8">
      <c r="A4185" s="1"/>
      <c r="B4185" s="1"/>
      <c r="C4185" s="1"/>
      <c r="D4185" s="1"/>
      <c r="E4185" s="357">
        <v>45329</v>
      </c>
      <c r="F4185" s="344" t="s">
        <v>621</v>
      </c>
      <c r="G4185" s="358">
        <v>34.969900000000003</v>
      </c>
      <c r="H4185" s="344" t="s">
        <v>1681</v>
      </c>
    </row>
    <row r="4186" spans="1:8">
      <c r="A4186" s="1"/>
      <c r="B4186" s="1"/>
      <c r="C4186" s="1"/>
      <c r="D4186" s="1"/>
      <c r="E4186" s="357">
        <v>45329</v>
      </c>
      <c r="F4186" s="344" t="s">
        <v>625</v>
      </c>
      <c r="G4186" s="358">
        <v>32.877099999999999</v>
      </c>
      <c r="H4186" s="344" t="s">
        <v>1681</v>
      </c>
    </row>
    <row r="4187" spans="1:8">
      <c r="A4187" s="1"/>
      <c r="B4187" s="1"/>
      <c r="C4187" s="1"/>
      <c r="D4187" s="1"/>
      <c r="E4187" s="357">
        <v>45329</v>
      </c>
      <c r="F4187" s="344" t="s">
        <v>628</v>
      </c>
      <c r="G4187" s="358">
        <v>38.483899999999998</v>
      </c>
      <c r="H4187" s="344" t="s">
        <v>1681</v>
      </c>
    </row>
    <row r="4188" spans="1:8">
      <c r="A4188" s="1"/>
      <c r="B4188" s="1"/>
      <c r="C4188" s="1"/>
      <c r="D4188" s="1"/>
      <c r="E4188" s="357">
        <v>45329</v>
      </c>
      <c r="F4188" s="344" t="s">
        <v>631</v>
      </c>
      <c r="G4188" s="358">
        <v>30.5349</v>
      </c>
      <c r="H4188" s="344" t="s">
        <v>1681</v>
      </c>
    </row>
    <row r="4189" spans="1:8">
      <c r="A4189" s="1"/>
      <c r="B4189" s="1"/>
      <c r="C4189" s="1"/>
      <c r="D4189" s="1"/>
      <c r="E4189" s="357">
        <v>45330</v>
      </c>
      <c r="F4189" s="344" t="s">
        <v>621</v>
      </c>
      <c r="G4189" s="358">
        <v>34.881399999999999</v>
      </c>
      <c r="H4189" s="344" t="s">
        <v>1682</v>
      </c>
    </row>
    <row r="4190" spans="1:8">
      <c r="A4190" s="1"/>
      <c r="B4190" s="1"/>
      <c r="C4190" s="1"/>
      <c r="D4190" s="1"/>
      <c r="E4190" s="357">
        <v>45330</v>
      </c>
      <c r="F4190" s="344" t="s">
        <v>625</v>
      </c>
      <c r="G4190" s="358">
        <v>32.9071</v>
      </c>
      <c r="H4190" s="344" t="s">
        <v>1682</v>
      </c>
    </row>
    <row r="4191" spans="1:8">
      <c r="A4191" s="1"/>
      <c r="B4191" s="1"/>
      <c r="C4191" s="1"/>
      <c r="D4191" s="1"/>
      <c r="E4191" s="357">
        <v>45330</v>
      </c>
      <c r="F4191" s="344" t="s">
        <v>628</v>
      </c>
      <c r="G4191" s="358">
        <v>38.481900000000003</v>
      </c>
      <c r="H4191" s="344" t="s">
        <v>1682</v>
      </c>
    </row>
    <row r="4192" spans="1:8">
      <c r="A4192" s="1"/>
      <c r="B4192" s="1"/>
      <c r="C4192" s="1"/>
      <c r="D4192" s="1"/>
      <c r="E4192" s="357">
        <v>45330</v>
      </c>
      <c r="F4192" s="344" t="s">
        <v>631</v>
      </c>
      <c r="G4192" s="358">
        <v>30.535699999999999</v>
      </c>
      <c r="H4192" s="344" t="s">
        <v>1682</v>
      </c>
    </row>
    <row r="4193" spans="1:8">
      <c r="A4193" s="1"/>
      <c r="B4193" s="1"/>
      <c r="C4193" s="1"/>
      <c r="D4193" s="1"/>
      <c r="E4193" s="357">
        <v>45331</v>
      </c>
      <c r="F4193" s="344" t="s">
        <v>621</v>
      </c>
      <c r="G4193" s="358">
        <v>34.8825</v>
      </c>
      <c r="H4193" s="344" t="s">
        <v>1683</v>
      </c>
    </row>
    <row r="4194" spans="1:8">
      <c r="A4194" s="1"/>
      <c r="B4194" s="1"/>
      <c r="C4194" s="1"/>
      <c r="D4194" s="1"/>
      <c r="E4194" s="357">
        <v>45331</v>
      </c>
      <c r="F4194" s="344" t="s">
        <v>625</v>
      </c>
      <c r="G4194" s="358">
        <v>32.9634</v>
      </c>
      <c r="H4194" s="344" t="s">
        <v>1683</v>
      </c>
    </row>
    <row r="4195" spans="1:8">
      <c r="A4195" s="1"/>
      <c r="B4195" s="1"/>
      <c r="C4195" s="1"/>
      <c r="D4195" s="1"/>
      <c r="E4195" s="357">
        <v>45331</v>
      </c>
      <c r="F4195" s="344" t="s">
        <v>628</v>
      </c>
      <c r="G4195" s="358">
        <v>38.538899999999998</v>
      </c>
      <c r="H4195" s="344" t="s">
        <v>1683</v>
      </c>
    </row>
    <row r="4196" spans="1:8">
      <c r="A4196" s="1"/>
      <c r="B4196" s="1"/>
      <c r="C4196" s="1"/>
      <c r="D4196" s="1"/>
      <c r="E4196" s="357">
        <v>45331</v>
      </c>
      <c r="F4196" s="344" t="s">
        <v>631</v>
      </c>
      <c r="G4196" s="358">
        <v>30.6005</v>
      </c>
      <c r="H4196" s="344" t="s">
        <v>1683</v>
      </c>
    </row>
    <row r="4197" spans="1:8">
      <c r="A4197" s="1"/>
      <c r="B4197" s="1"/>
      <c r="C4197" s="1"/>
      <c r="D4197" s="1"/>
      <c r="E4197" s="357">
        <v>45334</v>
      </c>
      <c r="F4197" s="344" t="s">
        <v>621</v>
      </c>
      <c r="G4197" s="358">
        <v>34.939500000000002</v>
      </c>
      <c r="H4197" s="344" t="s">
        <v>1684</v>
      </c>
    </row>
    <row r="4198" spans="1:8">
      <c r="A4198" s="1"/>
      <c r="B4198" s="1"/>
      <c r="C4198" s="1"/>
      <c r="D4198" s="1"/>
      <c r="E4198" s="357">
        <v>45334</v>
      </c>
      <c r="F4198" s="344" t="s">
        <v>625</v>
      </c>
      <c r="G4198" s="358">
        <v>33.0244</v>
      </c>
      <c r="H4198" s="344" t="s">
        <v>1684</v>
      </c>
    </row>
    <row r="4199" spans="1:8">
      <c r="A4199" s="1"/>
      <c r="B4199" s="1"/>
      <c r="C4199" s="1"/>
      <c r="D4199" s="1"/>
      <c r="E4199" s="357">
        <v>45334</v>
      </c>
      <c r="F4199" s="344" t="s">
        <v>628</v>
      </c>
      <c r="G4199" s="358">
        <v>38.611899999999999</v>
      </c>
      <c r="H4199" s="344" t="s">
        <v>1684</v>
      </c>
    </row>
    <row r="4200" spans="1:8">
      <c r="A4200" s="1"/>
      <c r="B4200" s="1"/>
      <c r="C4200" s="1"/>
      <c r="D4200" s="1"/>
      <c r="E4200" s="357">
        <v>45334</v>
      </c>
      <c r="F4200" s="344" t="s">
        <v>631</v>
      </c>
      <c r="G4200" s="358">
        <v>30.631799999999998</v>
      </c>
      <c r="H4200" s="344" t="s">
        <v>1684</v>
      </c>
    </row>
    <row r="4201" spans="1:8">
      <c r="A4201" s="1"/>
      <c r="B4201" s="1"/>
      <c r="C4201" s="1"/>
      <c r="D4201" s="1"/>
      <c r="E4201" s="357">
        <v>45335</v>
      </c>
      <c r="F4201" s="344" t="s">
        <v>621</v>
      </c>
      <c r="G4201" s="358">
        <v>34.791899999999998</v>
      </c>
      <c r="H4201" s="344" t="s">
        <v>1685</v>
      </c>
    </row>
    <row r="4202" spans="1:8">
      <c r="A4202" s="1"/>
      <c r="B4202" s="1"/>
      <c r="C4202" s="1"/>
      <c r="D4202" s="1"/>
      <c r="E4202" s="357">
        <v>45335</v>
      </c>
      <c r="F4202" s="344" t="s">
        <v>625</v>
      </c>
      <c r="G4202" s="358">
        <v>33.033999999999999</v>
      </c>
      <c r="H4202" s="344" t="s">
        <v>1685</v>
      </c>
    </row>
    <row r="4203" spans="1:8">
      <c r="A4203" s="1"/>
      <c r="B4203" s="1"/>
      <c r="C4203" s="1"/>
      <c r="D4203" s="1"/>
      <c r="E4203" s="357">
        <v>45335</v>
      </c>
      <c r="F4203" s="344" t="s">
        <v>628</v>
      </c>
      <c r="G4203" s="358">
        <v>38.732300000000002</v>
      </c>
      <c r="H4203" s="344" t="s">
        <v>1685</v>
      </c>
    </row>
    <row r="4204" spans="1:8">
      <c r="A4204" s="1"/>
      <c r="B4204" s="1"/>
      <c r="C4204" s="1"/>
      <c r="D4204" s="1"/>
      <c r="E4204" s="357">
        <v>45335</v>
      </c>
      <c r="F4204" s="344" t="s">
        <v>631</v>
      </c>
      <c r="G4204" s="358">
        <v>30.669</v>
      </c>
      <c r="H4204" s="344" t="s">
        <v>1685</v>
      </c>
    </row>
    <row r="4205" spans="1:8">
      <c r="A4205" s="1"/>
      <c r="B4205" s="1"/>
      <c r="C4205" s="1"/>
      <c r="D4205" s="1"/>
      <c r="E4205" s="357">
        <v>45336</v>
      </c>
      <c r="F4205" s="344" t="s">
        <v>621</v>
      </c>
      <c r="G4205" s="358">
        <v>34.507899999999999</v>
      </c>
      <c r="H4205" s="344" t="s">
        <v>1686</v>
      </c>
    </row>
    <row r="4206" spans="1:8">
      <c r="A4206" s="1"/>
      <c r="B4206" s="1"/>
      <c r="C4206" s="1"/>
      <c r="D4206" s="1"/>
      <c r="E4206" s="357">
        <v>45336</v>
      </c>
      <c r="F4206" s="344" t="s">
        <v>625</v>
      </c>
      <c r="G4206" s="358">
        <v>32.850999999999999</v>
      </c>
      <c r="H4206" s="344" t="s">
        <v>1686</v>
      </c>
    </row>
    <row r="4207" spans="1:8">
      <c r="A4207" s="1"/>
      <c r="B4207" s="1"/>
      <c r="C4207" s="1"/>
      <c r="D4207" s="1"/>
      <c r="E4207" s="357">
        <v>45336</v>
      </c>
      <c r="F4207" s="344" t="s">
        <v>628</v>
      </c>
      <c r="G4207" s="358">
        <v>38.475900000000003</v>
      </c>
      <c r="H4207" s="344" t="s">
        <v>1686</v>
      </c>
    </row>
    <row r="4208" spans="1:8">
      <c r="A4208" s="1"/>
      <c r="B4208" s="1"/>
      <c r="C4208" s="1"/>
      <c r="D4208" s="1"/>
      <c r="E4208" s="357">
        <v>45336</v>
      </c>
      <c r="F4208" s="344" t="s">
        <v>631</v>
      </c>
      <c r="G4208" s="358">
        <v>30.683499999999999</v>
      </c>
      <c r="H4208" s="344" t="s">
        <v>1686</v>
      </c>
    </row>
    <row r="4209" spans="1:8">
      <c r="A4209" s="1"/>
      <c r="B4209" s="1"/>
      <c r="C4209" s="1"/>
      <c r="D4209" s="1"/>
      <c r="E4209" s="357">
        <v>45337</v>
      </c>
      <c r="F4209" s="344" t="s">
        <v>621</v>
      </c>
      <c r="G4209" s="358">
        <v>34.664200000000001</v>
      </c>
      <c r="H4209" s="344" t="s">
        <v>1687</v>
      </c>
    </row>
    <row r="4210" spans="1:8">
      <c r="A4210" s="1"/>
      <c r="B4210" s="1"/>
      <c r="C4210" s="1"/>
      <c r="D4210" s="1"/>
      <c r="E4210" s="357">
        <v>45337</v>
      </c>
      <c r="F4210" s="344" t="s">
        <v>625</v>
      </c>
      <c r="G4210" s="358">
        <v>32.947299999999998</v>
      </c>
      <c r="H4210" s="344" t="s">
        <v>1687</v>
      </c>
    </row>
    <row r="4211" spans="1:8">
      <c r="A4211" s="1"/>
      <c r="B4211" s="1"/>
      <c r="C4211" s="1"/>
      <c r="D4211" s="1"/>
      <c r="E4211" s="357">
        <v>45337</v>
      </c>
      <c r="F4211" s="344" t="s">
        <v>628</v>
      </c>
      <c r="G4211" s="358">
        <v>38.4739</v>
      </c>
      <c r="H4211" s="344" t="s">
        <v>1687</v>
      </c>
    </row>
    <row r="4212" spans="1:8">
      <c r="A4212" s="1"/>
      <c r="B4212" s="1"/>
      <c r="C4212" s="1"/>
      <c r="D4212" s="1"/>
      <c r="E4212" s="357">
        <v>45337</v>
      </c>
      <c r="F4212" s="344" t="s">
        <v>631</v>
      </c>
      <c r="G4212" s="358">
        <v>30.6968</v>
      </c>
      <c r="H4212" s="344" t="s">
        <v>1687</v>
      </c>
    </row>
    <row r="4213" spans="1:8">
      <c r="A4213" s="1"/>
      <c r="B4213" s="1"/>
      <c r="C4213" s="1"/>
      <c r="D4213" s="1"/>
      <c r="E4213" s="357">
        <v>45338</v>
      </c>
      <c r="F4213" s="344" t="s">
        <v>621</v>
      </c>
      <c r="G4213" s="358">
        <v>34.787300000000002</v>
      </c>
      <c r="H4213" s="344" t="s">
        <v>1688</v>
      </c>
    </row>
    <row r="4214" spans="1:8">
      <c r="A4214" s="1"/>
      <c r="B4214" s="1"/>
      <c r="C4214" s="1"/>
      <c r="D4214" s="1"/>
      <c r="E4214" s="357">
        <v>45338</v>
      </c>
      <c r="F4214" s="344" t="s">
        <v>625</v>
      </c>
      <c r="G4214" s="358">
        <v>33.080500000000001</v>
      </c>
      <c r="H4214" s="344" t="s">
        <v>1688</v>
      </c>
    </row>
    <row r="4215" spans="1:8">
      <c r="A4215" s="1"/>
      <c r="B4215" s="1"/>
      <c r="C4215" s="1"/>
      <c r="D4215" s="1"/>
      <c r="E4215" s="357">
        <v>45338</v>
      </c>
      <c r="F4215" s="344" t="s">
        <v>628</v>
      </c>
      <c r="G4215" s="358">
        <v>38.606400000000001</v>
      </c>
      <c r="H4215" s="344" t="s">
        <v>1688</v>
      </c>
    </row>
    <row r="4216" spans="1:8">
      <c r="A4216" s="1"/>
      <c r="B4216" s="1"/>
      <c r="C4216" s="1"/>
      <c r="D4216" s="1"/>
      <c r="E4216" s="357">
        <v>45338</v>
      </c>
      <c r="F4216" s="344" t="s">
        <v>631</v>
      </c>
      <c r="G4216" s="358">
        <v>30.722100000000001</v>
      </c>
      <c r="H4216" s="344" t="s">
        <v>1688</v>
      </c>
    </row>
    <row r="4217" spans="1:8">
      <c r="A4217" s="1"/>
      <c r="B4217" s="1"/>
      <c r="C4217" s="1"/>
      <c r="D4217" s="1"/>
      <c r="E4217" s="357">
        <v>45341</v>
      </c>
      <c r="F4217" s="344" t="s">
        <v>621</v>
      </c>
      <c r="G4217" s="358">
        <v>34.880299999999998</v>
      </c>
      <c r="H4217" s="344" t="s">
        <v>1689</v>
      </c>
    </row>
    <row r="4218" spans="1:8">
      <c r="A4218" s="1"/>
      <c r="B4218" s="1"/>
      <c r="C4218" s="1"/>
      <c r="D4218" s="1"/>
      <c r="E4218" s="357">
        <v>45341</v>
      </c>
      <c r="F4218" s="344" t="s">
        <v>625</v>
      </c>
      <c r="G4218" s="358">
        <v>33.203600000000002</v>
      </c>
      <c r="H4218" s="344" t="s">
        <v>1689</v>
      </c>
    </row>
    <row r="4219" spans="1:8">
      <c r="A4219" s="1"/>
      <c r="B4219" s="1"/>
      <c r="C4219" s="1"/>
      <c r="D4219" s="1"/>
      <c r="E4219" s="357">
        <v>45341</v>
      </c>
      <c r="F4219" s="344" t="s">
        <v>628</v>
      </c>
      <c r="G4219" s="358">
        <v>38.799799999999998</v>
      </c>
      <c r="H4219" s="344" t="s">
        <v>1689</v>
      </c>
    </row>
    <row r="4220" spans="1:8">
      <c r="A4220" s="1"/>
      <c r="B4220" s="1"/>
      <c r="C4220" s="1"/>
      <c r="D4220" s="1"/>
      <c r="E4220" s="357">
        <v>45341</v>
      </c>
      <c r="F4220" s="344" t="s">
        <v>631</v>
      </c>
      <c r="G4220" s="358">
        <v>30.803999999999998</v>
      </c>
      <c r="H4220" s="344" t="s">
        <v>1689</v>
      </c>
    </row>
    <row r="4221" spans="1:8">
      <c r="A4221" s="1"/>
      <c r="B4221" s="1"/>
      <c r="C4221" s="1"/>
      <c r="D4221" s="1"/>
      <c r="E4221" s="357">
        <v>45342</v>
      </c>
      <c r="F4221" s="344" t="s">
        <v>621</v>
      </c>
      <c r="G4221" s="358">
        <v>34.874600000000001</v>
      </c>
      <c r="H4221" s="344" t="s">
        <v>1690</v>
      </c>
    </row>
    <row r="4222" spans="1:8">
      <c r="A4222" s="1"/>
      <c r="B4222" s="1"/>
      <c r="C4222" s="1"/>
      <c r="D4222" s="1"/>
      <c r="E4222" s="357">
        <v>45342</v>
      </c>
      <c r="F4222" s="344" t="s">
        <v>625</v>
      </c>
      <c r="G4222" s="358">
        <v>33.264000000000003</v>
      </c>
      <c r="H4222" s="344" t="s">
        <v>1690</v>
      </c>
    </row>
    <row r="4223" spans="1:8">
      <c r="A4223" s="1"/>
      <c r="B4223" s="1"/>
      <c r="C4223" s="1"/>
      <c r="D4223" s="1"/>
      <c r="E4223" s="357">
        <v>45342</v>
      </c>
      <c r="F4223" s="344" t="s">
        <v>628</v>
      </c>
      <c r="G4223" s="358">
        <v>38.775100000000002</v>
      </c>
      <c r="H4223" s="344" t="s">
        <v>1690</v>
      </c>
    </row>
    <row r="4224" spans="1:8">
      <c r="A4224" s="1"/>
      <c r="B4224" s="1"/>
      <c r="C4224" s="1"/>
      <c r="D4224" s="1"/>
      <c r="E4224" s="357">
        <v>45342</v>
      </c>
      <c r="F4224" s="344" t="s">
        <v>631</v>
      </c>
      <c r="G4224" s="358">
        <v>30.838799999999999</v>
      </c>
      <c r="H4224" s="344" t="s">
        <v>1690</v>
      </c>
    </row>
    <row r="4225" spans="1:8">
      <c r="A4225" s="1"/>
      <c r="B4225" s="1"/>
      <c r="C4225" s="1"/>
      <c r="D4225" s="1"/>
      <c r="E4225" s="357">
        <v>45343</v>
      </c>
      <c r="F4225" s="344" t="s">
        <v>621</v>
      </c>
      <c r="G4225" s="358">
        <v>35.011800000000001</v>
      </c>
      <c r="H4225" s="344" t="s">
        <v>1691</v>
      </c>
    </row>
    <row r="4226" spans="1:8">
      <c r="A4226" s="1"/>
      <c r="B4226" s="1"/>
      <c r="C4226" s="1"/>
      <c r="D4226" s="1"/>
      <c r="E4226" s="357">
        <v>45343</v>
      </c>
      <c r="F4226" s="344" t="s">
        <v>625</v>
      </c>
      <c r="G4226" s="358">
        <v>33.393099999999997</v>
      </c>
      <c r="H4226" s="344" t="s">
        <v>1691</v>
      </c>
    </row>
    <row r="4227" spans="1:8">
      <c r="A4227" s="1"/>
      <c r="B4227" s="1"/>
      <c r="C4227" s="1"/>
      <c r="D4227" s="1"/>
      <c r="E4227" s="357">
        <v>45343</v>
      </c>
      <c r="F4227" s="344" t="s">
        <v>628</v>
      </c>
      <c r="G4227" s="358">
        <v>38.936599999999999</v>
      </c>
      <c r="H4227" s="344" t="s">
        <v>1691</v>
      </c>
    </row>
    <row r="4228" spans="1:8">
      <c r="A4228" s="1"/>
      <c r="B4228" s="1"/>
      <c r="C4228" s="1"/>
      <c r="D4228" s="1"/>
      <c r="E4228" s="357">
        <v>45343</v>
      </c>
      <c r="F4228" s="344" t="s">
        <v>631</v>
      </c>
      <c r="G4228" s="358">
        <v>30.909600000000001</v>
      </c>
      <c r="H4228" s="344" t="s">
        <v>1691</v>
      </c>
    </row>
    <row r="4229" spans="1:8">
      <c r="A4229" s="1"/>
      <c r="B4229" s="1"/>
      <c r="C4229" s="1"/>
      <c r="D4229" s="1"/>
      <c r="E4229" s="357">
        <v>45344</v>
      </c>
      <c r="F4229" s="344" t="s">
        <v>621</v>
      </c>
      <c r="G4229" s="358">
        <v>35.225200000000001</v>
      </c>
      <c r="H4229" s="344" t="s">
        <v>1692</v>
      </c>
    </row>
    <row r="4230" spans="1:8">
      <c r="A4230" s="1"/>
      <c r="B4230" s="1"/>
      <c r="C4230" s="1"/>
      <c r="D4230" s="1"/>
      <c r="E4230" s="357">
        <v>45344</v>
      </c>
      <c r="F4230" s="344" t="s">
        <v>625</v>
      </c>
      <c r="G4230" s="358">
        <v>33.6051</v>
      </c>
      <c r="H4230" s="344" t="s">
        <v>1692</v>
      </c>
    </row>
    <row r="4231" spans="1:8">
      <c r="A4231" s="1"/>
      <c r="B4231" s="1"/>
      <c r="C4231" s="1"/>
      <c r="D4231" s="1"/>
      <c r="E4231" s="357">
        <v>45344</v>
      </c>
      <c r="F4231" s="344" t="s">
        <v>628</v>
      </c>
      <c r="G4231" s="358">
        <v>39.177100000000003</v>
      </c>
      <c r="H4231" s="344" t="s">
        <v>1692</v>
      </c>
    </row>
    <row r="4232" spans="1:8">
      <c r="A4232" s="1"/>
      <c r="B4232" s="1"/>
      <c r="C4232" s="1"/>
      <c r="D4232" s="1"/>
      <c r="E4232" s="357">
        <v>45344</v>
      </c>
      <c r="F4232" s="344" t="s">
        <v>631</v>
      </c>
      <c r="G4232" s="358">
        <v>30.958200000000001</v>
      </c>
      <c r="H4232" s="344" t="s">
        <v>1692</v>
      </c>
    </row>
    <row r="4233" spans="1:8">
      <c r="A4233" s="1"/>
      <c r="B4233" s="1"/>
      <c r="C4233" s="1"/>
      <c r="D4233" s="1"/>
      <c r="E4233" s="357">
        <v>45345</v>
      </c>
      <c r="F4233" s="344" t="s">
        <v>621</v>
      </c>
      <c r="G4233" s="358">
        <v>35.118200000000002</v>
      </c>
      <c r="H4233" s="344" t="s">
        <v>1693</v>
      </c>
    </row>
    <row r="4234" spans="1:8">
      <c r="A4234" s="1"/>
      <c r="B4234" s="1"/>
      <c r="C4234" s="1"/>
      <c r="D4234" s="1"/>
      <c r="E4234" s="357">
        <v>45345</v>
      </c>
      <c r="F4234" s="344" t="s">
        <v>625</v>
      </c>
      <c r="G4234" s="358">
        <v>33.561999999999998</v>
      </c>
      <c r="H4234" s="344" t="s">
        <v>1693</v>
      </c>
    </row>
    <row r="4235" spans="1:8">
      <c r="A4235" s="1"/>
      <c r="B4235" s="1"/>
      <c r="C4235" s="1"/>
      <c r="D4235" s="1"/>
      <c r="E4235" s="357">
        <v>45345</v>
      </c>
      <c r="F4235" s="344" t="s">
        <v>628</v>
      </c>
      <c r="G4235" s="358">
        <v>39.2119</v>
      </c>
      <c r="H4235" s="344" t="s">
        <v>1693</v>
      </c>
    </row>
    <row r="4236" spans="1:8">
      <c r="A4236" s="1"/>
      <c r="B4236" s="1"/>
      <c r="C4236" s="1"/>
      <c r="D4236" s="1"/>
      <c r="E4236" s="357">
        <v>45345</v>
      </c>
      <c r="F4236" s="344" t="s">
        <v>631</v>
      </c>
      <c r="G4236" s="358">
        <v>31.0047</v>
      </c>
      <c r="H4236" s="344" t="s">
        <v>1693</v>
      </c>
    </row>
    <row r="4237" spans="1:8">
      <c r="A4237" s="1"/>
      <c r="B4237" s="1"/>
      <c r="C4237" s="1"/>
      <c r="D4237" s="1"/>
      <c r="E4237" s="357">
        <v>45348</v>
      </c>
      <c r="F4237" s="344" t="s">
        <v>621</v>
      </c>
      <c r="G4237" s="358">
        <v>35.187800000000003</v>
      </c>
      <c r="H4237" s="344" t="s">
        <v>1694</v>
      </c>
    </row>
    <row r="4238" spans="1:8">
      <c r="A4238" s="1"/>
      <c r="B4238" s="1"/>
      <c r="C4238" s="1"/>
      <c r="D4238" s="1"/>
      <c r="E4238" s="357">
        <v>45348</v>
      </c>
      <c r="F4238" s="344" t="s">
        <v>625</v>
      </c>
      <c r="G4238" s="358">
        <v>33.645299999999999</v>
      </c>
      <c r="H4238" s="344" t="s">
        <v>1694</v>
      </c>
    </row>
    <row r="4239" spans="1:8">
      <c r="A4239" s="1"/>
      <c r="B4239" s="1"/>
      <c r="C4239" s="1"/>
      <c r="D4239" s="1"/>
      <c r="E4239" s="357">
        <v>45348</v>
      </c>
      <c r="F4239" s="344" t="s">
        <v>628</v>
      </c>
      <c r="G4239" s="358">
        <v>39.29</v>
      </c>
      <c r="H4239" s="344" t="s">
        <v>1694</v>
      </c>
    </row>
    <row r="4240" spans="1:8">
      <c r="A4240" s="1"/>
      <c r="B4240" s="1"/>
      <c r="C4240" s="1"/>
      <c r="D4240" s="1"/>
      <c r="E4240" s="357">
        <v>45348</v>
      </c>
      <c r="F4240" s="344" t="s">
        <v>631</v>
      </c>
      <c r="G4240" s="358">
        <v>31.0441</v>
      </c>
      <c r="H4240" s="344" t="s">
        <v>1694</v>
      </c>
    </row>
    <row r="4241" spans="1:8">
      <c r="A4241" s="1"/>
      <c r="B4241" s="1"/>
      <c r="C4241" s="1"/>
      <c r="D4241" s="1"/>
      <c r="E4241" s="357">
        <v>45349</v>
      </c>
      <c r="F4241" s="344" t="s">
        <v>621</v>
      </c>
      <c r="G4241" s="358">
        <v>35.247399999999999</v>
      </c>
      <c r="H4241" s="344" t="s">
        <v>1695</v>
      </c>
    </row>
    <row r="4242" spans="1:8">
      <c r="A4242" s="1"/>
      <c r="B4242" s="1"/>
      <c r="C4242" s="1"/>
      <c r="D4242" s="1"/>
      <c r="E4242" s="357">
        <v>45349</v>
      </c>
      <c r="F4242" s="344" t="s">
        <v>625</v>
      </c>
      <c r="G4242" s="358">
        <v>33.728400000000001</v>
      </c>
      <c r="H4242" s="344" t="s">
        <v>1695</v>
      </c>
    </row>
    <row r="4243" spans="1:8">
      <c r="A4243" s="1"/>
      <c r="B4243" s="1"/>
      <c r="C4243" s="1"/>
      <c r="D4243" s="1"/>
      <c r="E4243" s="357">
        <v>45349</v>
      </c>
      <c r="F4243" s="344" t="s">
        <v>628</v>
      </c>
      <c r="G4243" s="358">
        <v>39.355800000000002</v>
      </c>
      <c r="H4243" s="344" t="s">
        <v>1695</v>
      </c>
    </row>
    <row r="4244" spans="1:8">
      <c r="A4244" s="1"/>
      <c r="B4244" s="1"/>
      <c r="C4244" s="1"/>
      <c r="D4244" s="1"/>
      <c r="E4244" s="357">
        <v>45349</v>
      </c>
      <c r="F4244" s="344" t="s">
        <v>631</v>
      </c>
      <c r="G4244" s="358">
        <v>31.073699999999999</v>
      </c>
      <c r="H4244" s="344" t="s">
        <v>1695</v>
      </c>
    </row>
    <row r="4245" spans="1:8">
      <c r="A4245" s="1"/>
      <c r="B4245" s="1"/>
      <c r="C4245" s="1"/>
      <c r="D4245" s="1"/>
      <c r="E4245" s="357">
        <v>45350</v>
      </c>
      <c r="F4245" s="344" t="s">
        <v>621</v>
      </c>
      <c r="G4245" s="358">
        <v>35.256300000000003</v>
      </c>
      <c r="H4245" s="344" t="s">
        <v>1696</v>
      </c>
    </row>
    <row r="4246" spans="1:8">
      <c r="A4246" s="1"/>
      <c r="B4246" s="1"/>
      <c r="C4246" s="1"/>
      <c r="D4246" s="1"/>
      <c r="E4246" s="357">
        <v>45350</v>
      </c>
      <c r="F4246" s="344" t="s">
        <v>625</v>
      </c>
      <c r="G4246" s="358">
        <v>33.654299999999999</v>
      </c>
      <c r="H4246" s="344" t="s">
        <v>1696</v>
      </c>
    </row>
    <row r="4247" spans="1:8">
      <c r="A4247" s="1"/>
      <c r="B4247" s="1"/>
      <c r="C4247" s="1"/>
      <c r="D4247" s="1"/>
      <c r="E4247" s="357">
        <v>45350</v>
      </c>
      <c r="F4247" s="344" t="s">
        <v>628</v>
      </c>
      <c r="G4247" s="358">
        <v>39.288499999999999</v>
      </c>
      <c r="H4247" s="344" t="s">
        <v>1696</v>
      </c>
    </row>
    <row r="4248" spans="1:8">
      <c r="A4248" s="1"/>
      <c r="B4248" s="1"/>
      <c r="C4248" s="1"/>
      <c r="D4248" s="1"/>
      <c r="E4248" s="357">
        <v>45350</v>
      </c>
      <c r="F4248" s="344" t="s">
        <v>631</v>
      </c>
      <c r="G4248" s="358">
        <v>31.120100000000001</v>
      </c>
      <c r="H4248" s="344" t="s">
        <v>1696</v>
      </c>
    </row>
    <row r="4249" spans="1:8">
      <c r="A4249" s="1"/>
      <c r="B4249" s="1"/>
      <c r="C4249" s="1"/>
      <c r="D4249" s="1"/>
      <c r="E4249" s="357">
        <v>45351</v>
      </c>
      <c r="F4249" s="344" t="s">
        <v>621</v>
      </c>
      <c r="G4249" s="358">
        <v>35.365099999999998</v>
      </c>
      <c r="H4249" s="344" t="s">
        <v>1697</v>
      </c>
    </row>
    <row r="4250" spans="1:8">
      <c r="A4250" s="1"/>
      <c r="B4250" s="1"/>
      <c r="C4250" s="1"/>
      <c r="D4250" s="1"/>
      <c r="E4250" s="357">
        <v>45351</v>
      </c>
      <c r="F4250" s="344" t="s">
        <v>625</v>
      </c>
      <c r="G4250" s="358">
        <v>33.768599999999999</v>
      </c>
      <c r="H4250" s="344" t="s">
        <v>1697</v>
      </c>
    </row>
    <row r="4251" spans="1:8">
      <c r="A4251" s="1"/>
      <c r="B4251" s="1"/>
      <c r="C4251" s="1"/>
      <c r="D4251" s="1"/>
      <c r="E4251" s="357">
        <v>45351</v>
      </c>
      <c r="F4251" s="344" t="s">
        <v>628</v>
      </c>
      <c r="G4251" s="358">
        <v>39.379800000000003</v>
      </c>
      <c r="H4251" s="344" t="s">
        <v>1697</v>
      </c>
    </row>
    <row r="4252" spans="1:8">
      <c r="A4252" s="1"/>
      <c r="B4252" s="1"/>
      <c r="C4252" s="1"/>
      <c r="D4252" s="1"/>
      <c r="E4252" s="357">
        <v>45351</v>
      </c>
      <c r="F4252" s="344" t="s">
        <v>631</v>
      </c>
      <c r="G4252" s="358">
        <v>31.159700000000001</v>
      </c>
      <c r="H4252" s="344" t="s">
        <v>1697</v>
      </c>
    </row>
    <row r="4253" spans="1:8">
      <c r="A4253" s="1"/>
      <c r="B4253" s="1"/>
      <c r="C4253" s="1"/>
      <c r="D4253" s="1"/>
      <c r="E4253" s="357">
        <v>45352</v>
      </c>
      <c r="F4253" s="344" t="s">
        <v>621</v>
      </c>
      <c r="G4253" s="358">
        <v>35.194400000000002</v>
      </c>
      <c r="H4253" s="344" t="s">
        <v>1698</v>
      </c>
    </row>
    <row r="4254" spans="1:8">
      <c r="A4254" s="1"/>
      <c r="B4254" s="1"/>
      <c r="C4254" s="1"/>
      <c r="D4254" s="1"/>
      <c r="E4254" s="357">
        <v>45352</v>
      </c>
      <c r="F4254" s="344" t="s">
        <v>625</v>
      </c>
      <c r="G4254" s="358">
        <v>33.779699999999998</v>
      </c>
      <c r="H4254" s="344" t="s">
        <v>1698</v>
      </c>
    </row>
    <row r="4255" spans="1:8">
      <c r="A4255" s="1"/>
      <c r="B4255" s="1"/>
      <c r="C4255" s="1"/>
      <c r="D4255" s="1"/>
      <c r="E4255" s="357">
        <v>45352</v>
      </c>
      <c r="F4255" s="344" t="s">
        <v>628</v>
      </c>
      <c r="G4255" s="358">
        <v>39.395200000000003</v>
      </c>
      <c r="H4255" s="344" t="s">
        <v>1698</v>
      </c>
    </row>
    <row r="4256" spans="1:8">
      <c r="A4256" s="1"/>
      <c r="B4256" s="1"/>
      <c r="C4256" s="1"/>
      <c r="D4256" s="1"/>
      <c r="E4256" s="357">
        <v>45352</v>
      </c>
      <c r="F4256" s="344" t="s">
        <v>631</v>
      </c>
      <c r="G4256" s="358">
        <v>31.2392</v>
      </c>
      <c r="H4256" s="344" t="s">
        <v>1698</v>
      </c>
    </row>
    <row r="4257" spans="1:8">
      <c r="A4257" s="1"/>
      <c r="B4257" s="1"/>
      <c r="C4257" s="1"/>
      <c r="D4257" s="1"/>
      <c r="E4257" s="357">
        <v>45355</v>
      </c>
      <c r="F4257" s="344" t="s">
        <v>621</v>
      </c>
      <c r="G4257" s="358">
        <v>35.501899999999999</v>
      </c>
      <c r="H4257" s="344" t="s">
        <v>1699</v>
      </c>
    </row>
    <row r="4258" spans="1:8">
      <c r="A4258" s="1"/>
      <c r="B4258" s="1"/>
      <c r="C4258" s="1"/>
      <c r="D4258" s="1"/>
      <c r="E4258" s="357">
        <v>45355</v>
      </c>
      <c r="F4258" s="344" t="s">
        <v>625</v>
      </c>
      <c r="G4258" s="358">
        <v>34.079099999999997</v>
      </c>
      <c r="H4258" s="344" t="s">
        <v>1699</v>
      </c>
    </row>
    <row r="4259" spans="1:8">
      <c r="A4259" s="1"/>
      <c r="B4259" s="1"/>
      <c r="C4259" s="1"/>
      <c r="D4259" s="1"/>
      <c r="E4259" s="357">
        <v>45355</v>
      </c>
      <c r="F4259" s="344" t="s">
        <v>628</v>
      </c>
      <c r="G4259" s="358">
        <v>39.738100000000003</v>
      </c>
      <c r="H4259" s="344" t="s">
        <v>1699</v>
      </c>
    </row>
    <row r="4260" spans="1:8">
      <c r="A4260" s="1"/>
      <c r="B4260" s="1"/>
      <c r="C4260" s="1"/>
      <c r="D4260" s="1"/>
      <c r="E4260" s="357">
        <v>45355</v>
      </c>
      <c r="F4260" s="344" t="s">
        <v>631</v>
      </c>
      <c r="G4260" s="358">
        <v>31.4069</v>
      </c>
      <c r="H4260" s="344" t="s">
        <v>1699</v>
      </c>
    </row>
    <row r="4261" spans="1:8">
      <c r="A4261" s="1"/>
      <c r="B4261" s="1"/>
      <c r="C4261" s="1"/>
      <c r="D4261" s="1"/>
      <c r="E4261" s="357">
        <v>45356</v>
      </c>
      <c r="F4261" s="344" t="s">
        <v>621</v>
      </c>
      <c r="G4261" s="358">
        <v>35.527000000000001</v>
      </c>
      <c r="H4261" s="344" t="s">
        <v>1700</v>
      </c>
    </row>
    <row r="4262" spans="1:8">
      <c r="A4262" s="1"/>
      <c r="B4262" s="1"/>
      <c r="C4262" s="1"/>
      <c r="D4262" s="1"/>
      <c r="E4262" s="357">
        <v>45356</v>
      </c>
      <c r="F4262" s="344" t="s">
        <v>625</v>
      </c>
      <c r="G4262" s="358">
        <v>34.222799999999999</v>
      </c>
      <c r="H4262" s="344" t="s">
        <v>1700</v>
      </c>
    </row>
    <row r="4263" spans="1:8">
      <c r="A4263" s="1"/>
      <c r="B4263" s="1"/>
      <c r="C4263" s="1"/>
      <c r="D4263" s="1"/>
      <c r="E4263" s="357">
        <v>45356</v>
      </c>
      <c r="F4263" s="344" t="s">
        <v>628</v>
      </c>
      <c r="G4263" s="358">
        <v>39.931100000000001</v>
      </c>
      <c r="H4263" s="344" t="s">
        <v>1700</v>
      </c>
    </row>
    <row r="4264" spans="1:8">
      <c r="A4264" s="1"/>
      <c r="B4264" s="1"/>
      <c r="C4264" s="1"/>
      <c r="D4264" s="1"/>
      <c r="E4264" s="357">
        <v>45356</v>
      </c>
      <c r="F4264" s="344" t="s">
        <v>631</v>
      </c>
      <c r="G4264" s="358">
        <v>31.5457</v>
      </c>
      <c r="H4264" s="344" t="s">
        <v>1700</v>
      </c>
    </row>
    <row r="4265" spans="1:8">
      <c r="A4265" s="1"/>
      <c r="B4265" s="1"/>
      <c r="C4265" s="1"/>
      <c r="D4265" s="1"/>
      <c r="E4265" s="357">
        <v>45357</v>
      </c>
      <c r="F4265" s="344" t="s">
        <v>621</v>
      </c>
      <c r="G4265" s="358">
        <v>35.710799999999999</v>
      </c>
      <c r="H4265" s="344" t="s">
        <v>1701</v>
      </c>
    </row>
    <row r="4266" spans="1:8">
      <c r="A4266" s="1"/>
      <c r="B4266" s="1"/>
      <c r="C4266" s="1"/>
      <c r="D4266" s="1"/>
      <c r="E4266" s="357">
        <v>45357</v>
      </c>
      <c r="F4266" s="344" t="s">
        <v>625</v>
      </c>
      <c r="G4266" s="358">
        <v>34.418599999999998</v>
      </c>
      <c r="H4266" s="344" t="s">
        <v>1701</v>
      </c>
    </row>
    <row r="4267" spans="1:8">
      <c r="A4267" s="1"/>
      <c r="B4267" s="1"/>
      <c r="C4267" s="1"/>
      <c r="D4267" s="1"/>
      <c r="E4267" s="357">
        <v>45357</v>
      </c>
      <c r="F4267" s="344" t="s">
        <v>628</v>
      </c>
      <c r="G4267" s="358">
        <v>40.2029</v>
      </c>
      <c r="H4267" s="344" t="s">
        <v>1701</v>
      </c>
    </row>
    <row r="4268" spans="1:8">
      <c r="A4268" s="1"/>
      <c r="B4268" s="1"/>
      <c r="C4268" s="1"/>
      <c r="D4268" s="1"/>
      <c r="E4268" s="357">
        <v>45357</v>
      </c>
      <c r="F4268" s="344" t="s">
        <v>631</v>
      </c>
      <c r="G4268" s="358">
        <v>31.661200000000001</v>
      </c>
      <c r="H4268" s="344" t="s">
        <v>1701</v>
      </c>
    </row>
    <row r="4269" spans="1:8">
      <c r="A4269" s="1"/>
      <c r="B4269" s="1"/>
      <c r="C4269" s="1"/>
      <c r="D4269" s="1"/>
      <c r="E4269" s="357">
        <v>45358</v>
      </c>
      <c r="F4269" s="344" t="s">
        <v>621</v>
      </c>
      <c r="G4269" s="358">
        <v>35.994900000000001</v>
      </c>
      <c r="H4269" s="344" t="s">
        <v>1702</v>
      </c>
    </row>
    <row r="4270" spans="1:8">
      <c r="A4270" s="1"/>
      <c r="B4270" s="1"/>
      <c r="C4270" s="1"/>
      <c r="D4270" s="1"/>
      <c r="E4270" s="357">
        <v>45358</v>
      </c>
      <c r="F4270" s="344" t="s">
        <v>625</v>
      </c>
      <c r="G4270" s="358">
        <v>34.629600000000003</v>
      </c>
      <c r="H4270" s="344" t="s">
        <v>1702</v>
      </c>
    </row>
    <row r="4271" spans="1:8">
      <c r="A4271" s="1"/>
      <c r="B4271" s="1"/>
      <c r="C4271" s="1"/>
      <c r="D4271" s="1"/>
      <c r="E4271" s="357">
        <v>45358</v>
      </c>
      <c r="F4271" s="344" t="s">
        <v>628</v>
      </c>
      <c r="G4271" s="358">
        <v>40.435699999999997</v>
      </c>
      <c r="H4271" s="344" t="s">
        <v>1702</v>
      </c>
    </row>
    <row r="4272" spans="1:8">
      <c r="A4272" s="1"/>
      <c r="B4272" s="1"/>
      <c r="C4272" s="1"/>
      <c r="D4272" s="1"/>
      <c r="E4272" s="357">
        <v>45358</v>
      </c>
      <c r="F4272" s="344" t="s">
        <v>631</v>
      </c>
      <c r="G4272" s="358">
        <v>31.776800000000001</v>
      </c>
      <c r="H4272" s="344" t="s">
        <v>1702</v>
      </c>
    </row>
    <row r="4273" spans="1:8">
      <c r="A4273" s="1"/>
      <c r="B4273" s="1"/>
      <c r="C4273" s="1"/>
      <c r="D4273" s="1"/>
      <c r="E4273" s="357">
        <v>45359</v>
      </c>
      <c r="F4273" s="344" t="s">
        <v>621</v>
      </c>
      <c r="G4273" s="358">
        <v>36.258200000000002</v>
      </c>
      <c r="H4273" s="344" t="s">
        <v>1703</v>
      </c>
    </row>
    <row r="4274" spans="1:8">
      <c r="A4274" s="1"/>
      <c r="B4274" s="1"/>
      <c r="C4274" s="1"/>
      <c r="D4274" s="1"/>
      <c r="E4274" s="357">
        <v>45359</v>
      </c>
      <c r="F4274" s="344" t="s">
        <v>625</v>
      </c>
      <c r="G4274" s="358">
        <v>34.847799999999999</v>
      </c>
      <c r="H4274" s="344" t="s">
        <v>1703</v>
      </c>
    </row>
    <row r="4275" spans="1:8">
      <c r="A4275" s="1"/>
      <c r="B4275" s="1"/>
      <c r="C4275" s="1"/>
      <c r="D4275" s="1"/>
      <c r="E4275" s="357">
        <v>45359</v>
      </c>
      <c r="F4275" s="344" t="s">
        <v>628</v>
      </c>
      <c r="G4275" s="358">
        <v>40.781599999999997</v>
      </c>
      <c r="H4275" s="344" t="s">
        <v>1703</v>
      </c>
    </row>
    <row r="4276" spans="1:8">
      <c r="A4276" s="1"/>
      <c r="B4276" s="1"/>
      <c r="C4276" s="1"/>
      <c r="D4276" s="1"/>
      <c r="E4276" s="357">
        <v>45359</v>
      </c>
      <c r="F4276" s="344" t="s">
        <v>631</v>
      </c>
      <c r="G4276" s="358">
        <v>31.861799999999999</v>
      </c>
      <c r="H4276" s="344" t="s">
        <v>1703</v>
      </c>
    </row>
    <row r="4277" spans="1:8">
      <c r="A4277" s="1"/>
      <c r="B4277" s="1"/>
      <c r="C4277" s="1"/>
      <c r="D4277" s="1"/>
      <c r="E4277" s="357">
        <v>45362</v>
      </c>
      <c r="F4277" s="344" t="s">
        <v>621</v>
      </c>
      <c r="G4277" s="358">
        <v>36.3523</v>
      </c>
      <c r="H4277" s="344" t="s">
        <v>1704</v>
      </c>
    </row>
    <row r="4278" spans="1:8">
      <c r="A4278" s="1"/>
      <c r="B4278" s="1"/>
      <c r="C4278" s="1"/>
      <c r="D4278" s="1"/>
      <c r="E4278" s="357">
        <v>45362</v>
      </c>
      <c r="F4278" s="344" t="s">
        <v>625</v>
      </c>
      <c r="G4278" s="358">
        <v>34.944200000000002</v>
      </c>
      <c r="H4278" s="344" t="s">
        <v>1704</v>
      </c>
    </row>
    <row r="4279" spans="1:8">
      <c r="A4279" s="1"/>
      <c r="B4279" s="1"/>
      <c r="C4279" s="1"/>
      <c r="D4279" s="1"/>
      <c r="E4279" s="357">
        <v>45362</v>
      </c>
      <c r="F4279" s="344" t="s">
        <v>628</v>
      </c>
      <c r="G4279" s="358">
        <v>40.958500000000001</v>
      </c>
      <c r="H4279" s="344" t="s">
        <v>1704</v>
      </c>
    </row>
    <row r="4280" spans="1:8">
      <c r="A4280" s="1"/>
      <c r="B4280" s="1"/>
      <c r="C4280" s="1"/>
      <c r="D4280" s="1"/>
      <c r="E4280" s="357">
        <v>45362</v>
      </c>
      <c r="F4280" s="344" t="s">
        <v>631</v>
      </c>
      <c r="G4280" s="358">
        <v>31.937799999999999</v>
      </c>
      <c r="H4280" s="344" t="s">
        <v>1704</v>
      </c>
    </row>
    <row r="4281" spans="1:8">
      <c r="A4281" s="1"/>
      <c r="B4281" s="1"/>
      <c r="C4281" s="1"/>
      <c r="D4281" s="1"/>
      <c r="E4281" s="357">
        <v>45363</v>
      </c>
      <c r="F4281" s="344" t="s">
        <v>621</v>
      </c>
      <c r="G4281" s="358">
        <v>36.408099999999997</v>
      </c>
      <c r="H4281" s="344" t="s">
        <v>1705</v>
      </c>
    </row>
    <row r="4282" spans="1:8">
      <c r="A4282" s="1"/>
      <c r="B4282" s="1"/>
      <c r="C4282" s="1"/>
      <c r="D4282" s="1"/>
      <c r="E4282" s="357">
        <v>45363</v>
      </c>
      <c r="F4282" s="344" t="s">
        <v>625</v>
      </c>
      <c r="G4282" s="358">
        <v>34.967500000000001</v>
      </c>
      <c r="H4282" s="344" t="s">
        <v>1705</v>
      </c>
    </row>
    <row r="4283" spans="1:8">
      <c r="A4283" s="1"/>
      <c r="B4283" s="1"/>
      <c r="C4283" s="1"/>
      <c r="D4283" s="1"/>
      <c r="E4283" s="357">
        <v>45363</v>
      </c>
      <c r="F4283" s="344" t="s">
        <v>628</v>
      </c>
      <c r="G4283" s="358">
        <v>40.857799999999997</v>
      </c>
      <c r="H4283" s="344" t="s">
        <v>1705</v>
      </c>
    </row>
    <row r="4284" spans="1:8">
      <c r="A4284" s="1"/>
      <c r="B4284" s="1"/>
      <c r="C4284" s="1"/>
      <c r="D4284" s="1"/>
      <c r="E4284" s="357">
        <v>45363</v>
      </c>
      <c r="F4284" s="344" t="s">
        <v>631</v>
      </c>
      <c r="G4284" s="358">
        <v>31.985600000000002</v>
      </c>
      <c r="H4284" s="344" t="s">
        <v>1705</v>
      </c>
    </row>
    <row r="4285" spans="1:8">
      <c r="A4285" s="1"/>
      <c r="B4285" s="1"/>
      <c r="C4285" s="1"/>
      <c r="D4285" s="1"/>
      <c r="E4285" s="357">
        <v>45364</v>
      </c>
      <c r="F4285" s="344" t="s">
        <v>621</v>
      </c>
      <c r="G4285" s="358">
        <v>36.399900000000002</v>
      </c>
      <c r="H4285" s="344" t="s">
        <v>1706</v>
      </c>
    </row>
    <row r="4286" spans="1:8">
      <c r="A4286" s="1"/>
      <c r="B4286" s="1"/>
      <c r="C4286" s="1"/>
      <c r="D4286" s="1"/>
      <c r="E4286" s="357">
        <v>45364</v>
      </c>
      <c r="F4286" s="344" t="s">
        <v>625</v>
      </c>
      <c r="G4286" s="358">
        <v>35.018300000000004</v>
      </c>
      <c r="H4286" s="344" t="s">
        <v>1706</v>
      </c>
    </row>
    <row r="4287" spans="1:8">
      <c r="A4287" s="1"/>
      <c r="B4287" s="1"/>
      <c r="C4287" s="1"/>
      <c r="D4287" s="1"/>
      <c r="E4287" s="357">
        <v>45364</v>
      </c>
      <c r="F4287" s="344" t="s">
        <v>628</v>
      </c>
      <c r="G4287" s="358">
        <v>40.9129</v>
      </c>
      <c r="H4287" s="344" t="s">
        <v>1706</v>
      </c>
    </row>
    <row r="4288" spans="1:8">
      <c r="A4288" s="1"/>
      <c r="B4288" s="1"/>
      <c r="C4288" s="1"/>
      <c r="D4288" s="1"/>
      <c r="E4288" s="357">
        <v>45364</v>
      </c>
      <c r="F4288" s="344" t="s">
        <v>631</v>
      </c>
      <c r="G4288" s="358">
        <v>32.039000000000001</v>
      </c>
      <c r="H4288" s="344" t="s">
        <v>1706</v>
      </c>
    </row>
    <row r="4289" spans="1:8">
      <c r="A4289" s="1"/>
      <c r="B4289" s="1"/>
      <c r="C4289" s="1"/>
      <c r="D4289" s="1"/>
      <c r="E4289" s="357">
        <v>45365</v>
      </c>
      <c r="F4289" s="344" t="s">
        <v>621</v>
      </c>
      <c r="G4289" s="358">
        <v>36.369500000000002</v>
      </c>
      <c r="H4289" s="344" t="s">
        <v>1707</v>
      </c>
    </row>
    <row r="4290" spans="1:8">
      <c r="A4290" s="1"/>
      <c r="B4290" s="1"/>
      <c r="C4290" s="1"/>
      <c r="D4290" s="1"/>
      <c r="E4290" s="357">
        <v>45365</v>
      </c>
      <c r="F4290" s="344" t="s">
        <v>625</v>
      </c>
      <c r="G4290" s="358">
        <v>35.073900000000002</v>
      </c>
      <c r="H4290" s="344" t="s">
        <v>1707</v>
      </c>
    </row>
    <row r="4291" spans="1:8">
      <c r="A4291" s="1"/>
      <c r="B4291" s="1"/>
      <c r="C4291" s="1"/>
      <c r="D4291" s="1"/>
      <c r="E4291" s="357">
        <v>45365</v>
      </c>
      <c r="F4291" s="344" t="s">
        <v>628</v>
      </c>
      <c r="G4291" s="358">
        <v>40.992899999999999</v>
      </c>
      <c r="H4291" s="344" t="s">
        <v>1707</v>
      </c>
    </row>
    <row r="4292" spans="1:8">
      <c r="A4292" s="1"/>
      <c r="B4292" s="1"/>
      <c r="C4292" s="1"/>
      <c r="D4292" s="1"/>
      <c r="E4292" s="357">
        <v>45365</v>
      </c>
      <c r="F4292" s="344" t="s">
        <v>631</v>
      </c>
      <c r="G4292" s="358">
        <v>32.062899999999999</v>
      </c>
      <c r="H4292" s="344" t="s">
        <v>1707</v>
      </c>
    </row>
    <row r="4293" spans="1:8">
      <c r="A4293" s="1"/>
      <c r="B4293" s="1"/>
      <c r="C4293" s="1"/>
      <c r="D4293" s="1"/>
      <c r="E4293" s="357">
        <v>45366</v>
      </c>
      <c r="F4293" s="344" t="s">
        <v>621</v>
      </c>
      <c r="G4293" s="358">
        <v>36.264400000000002</v>
      </c>
      <c r="H4293" s="344" t="s">
        <v>1708</v>
      </c>
    </row>
    <row r="4294" spans="1:8">
      <c r="A4294" s="1"/>
      <c r="B4294" s="1"/>
      <c r="C4294" s="1"/>
      <c r="D4294" s="1"/>
      <c r="E4294" s="357">
        <v>45366</v>
      </c>
      <c r="F4294" s="344" t="s">
        <v>625</v>
      </c>
      <c r="G4294" s="358">
        <v>34.973300000000002</v>
      </c>
      <c r="H4294" s="344" t="s">
        <v>1708</v>
      </c>
    </row>
    <row r="4295" spans="1:8">
      <c r="A4295" s="1"/>
      <c r="B4295" s="1"/>
      <c r="C4295" s="1"/>
      <c r="D4295" s="1"/>
      <c r="E4295" s="357">
        <v>45366</v>
      </c>
      <c r="F4295" s="344" t="s">
        <v>628</v>
      </c>
      <c r="G4295" s="358">
        <v>40.870399999999997</v>
      </c>
      <c r="H4295" s="344" t="s">
        <v>1708</v>
      </c>
    </row>
    <row r="4296" spans="1:8">
      <c r="A4296" s="1"/>
      <c r="B4296" s="1"/>
      <c r="C4296" s="1"/>
      <c r="D4296" s="1"/>
      <c r="E4296" s="357">
        <v>45366</v>
      </c>
      <c r="F4296" s="344" t="s">
        <v>631</v>
      </c>
      <c r="G4296" s="358">
        <v>32.121400000000001</v>
      </c>
      <c r="H4296" s="344" t="s">
        <v>1708</v>
      </c>
    </row>
    <row r="4297" spans="1:8">
      <c r="A4297" s="1"/>
      <c r="B4297" s="1"/>
      <c r="C4297" s="1"/>
      <c r="D4297" s="1"/>
      <c r="E4297" s="357">
        <v>45369</v>
      </c>
      <c r="F4297" s="344" t="s">
        <v>621</v>
      </c>
      <c r="G4297" s="358">
        <v>36.409500000000001</v>
      </c>
      <c r="H4297" s="344" t="s">
        <v>1709</v>
      </c>
    </row>
    <row r="4298" spans="1:8">
      <c r="A4298" s="1"/>
      <c r="B4298" s="1"/>
      <c r="C4298" s="1"/>
      <c r="D4298" s="1"/>
      <c r="E4298" s="357">
        <v>45369</v>
      </c>
      <c r="F4298" s="344" t="s">
        <v>625</v>
      </c>
      <c r="G4298" s="358">
        <v>35.1355</v>
      </c>
      <c r="H4298" s="344" t="s">
        <v>1709</v>
      </c>
    </row>
    <row r="4299" spans="1:8">
      <c r="A4299" s="1"/>
      <c r="B4299" s="1"/>
      <c r="C4299" s="1"/>
      <c r="D4299" s="1"/>
      <c r="E4299" s="357">
        <v>45369</v>
      </c>
      <c r="F4299" s="344" t="s">
        <v>628</v>
      </c>
      <c r="G4299" s="358">
        <v>41.006999999999998</v>
      </c>
      <c r="H4299" s="344" t="s">
        <v>1709</v>
      </c>
    </row>
    <row r="4300" spans="1:8">
      <c r="A4300" s="1"/>
      <c r="B4300" s="1"/>
      <c r="C4300" s="1"/>
      <c r="D4300" s="1"/>
      <c r="E4300" s="357">
        <v>45369</v>
      </c>
      <c r="F4300" s="344" t="s">
        <v>631</v>
      </c>
      <c r="G4300" s="358">
        <v>32.244799999999998</v>
      </c>
      <c r="H4300" s="344" t="s">
        <v>1709</v>
      </c>
    </row>
    <row r="4301" spans="1:8">
      <c r="A4301" s="1"/>
      <c r="B4301" s="1"/>
      <c r="C4301" s="1"/>
      <c r="D4301" s="1"/>
      <c r="E4301" s="357">
        <v>45370</v>
      </c>
      <c r="F4301" s="344" t="s">
        <v>621</v>
      </c>
      <c r="G4301" s="358">
        <v>36.246899999999997</v>
      </c>
      <c r="H4301" s="344" t="s">
        <v>1710</v>
      </c>
    </row>
    <row r="4302" spans="1:8">
      <c r="A4302" s="1"/>
      <c r="B4302" s="1"/>
      <c r="C4302" s="1"/>
      <c r="D4302" s="1"/>
      <c r="E4302" s="357">
        <v>45370</v>
      </c>
      <c r="F4302" s="344" t="s">
        <v>625</v>
      </c>
      <c r="G4302" s="358">
        <v>35.023600000000002</v>
      </c>
      <c r="H4302" s="344" t="s">
        <v>1710</v>
      </c>
    </row>
    <row r="4303" spans="1:8">
      <c r="A4303" s="1"/>
      <c r="B4303" s="1"/>
      <c r="C4303" s="1"/>
      <c r="D4303" s="1"/>
      <c r="E4303" s="357">
        <v>45370</v>
      </c>
      <c r="F4303" s="344" t="s">
        <v>628</v>
      </c>
      <c r="G4303" s="358">
        <v>40.894599999999997</v>
      </c>
      <c r="H4303" s="344" t="s">
        <v>1710</v>
      </c>
    </row>
    <row r="4304" spans="1:8">
      <c r="A4304" s="1"/>
      <c r="B4304" s="1"/>
      <c r="C4304" s="1"/>
      <c r="D4304" s="1"/>
      <c r="E4304" s="357">
        <v>45370</v>
      </c>
      <c r="F4304" s="344" t="s">
        <v>631</v>
      </c>
      <c r="G4304" s="358">
        <v>32.2791</v>
      </c>
      <c r="H4304" s="344" t="s">
        <v>1710</v>
      </c>
    </row>
    <row r="4305" spans="1:8">
      <c r="A4305" s="1"/>
      <c r="B4305" s="1"/>
      <c r="C4305" s="1"/>
      <c r="D4305" s="1"/>
      <c r="E4305" s="357">
        <v>45371</v>
      </c>
      <c r="F4305" s="344" t="s">
        <v>621</v>
      </c>
      <c r="G4305" s="358">
        <v>36.2273</v>
      </c>
      <c r="H4305" s="344" t="s">
        <v>1711</v>
      </c>
    </row>
    <row r="4306" spans="1:8">
      <c r="A4306" s="1"/>
      <c r="B4306" s="1"/>
      <c r="C4306" s="1"/>
      <c r="D4306" s="1"/>
      <c r="E4306" s="357">
        <v>45371</v>
      </c>
      <c r="F4306" s="344" t="s">
        <v>625</v>
      </c>
      <c r="G4306" s="358">
        <v>35.082000000000001</v>
      </c>
      <c r="H4306" s="344" t="s">
        <v>1711</v>
      </c>
    </row>
    <row r="4307" spans="1:8">
      <c r="A4307" s="1"/>
      <c r="B4307" s="1"/>
      <c r="C4307" s="1"/>
      <c r="D4307" s="1"/>
      <c r="E4307" s="357">
        <v>45371</v>
      </c>
      <c r="F4307" s="344" t="s">
        <v>628</v>
      </c>
      <c r="G4307" s="358">
        <v>40.994900000000001</v>
      </c>
      <c r="H4307" s="344" t="s">
        <v>1711</v>
      </c>
    </row>
    <row r="4308" spans="1:8">
      <c r="A4308" s="1"/>
      <c r="B4308" s="1"/>
      <c r="C4308" s="1"/>
      <c r="D4308" s="1"/>
      <c r="E4308" s="357">
        <v>45371</v>
      </c>
      <c r="F4308" s="344" t="s">
        <v>631</v>
      </c>
      <c r="G4308" s="358">
        <v>32.3294</v>
      </c>
      <c r="H4308" s="344" t="s">
        <v>1711</v>
      </c>
    </row>
    <row r="4309" spans="1:8">
      <c r="A4309" s="1"/>
      <c r="B4309" s="1"/>
      <c r="C4309" s="1"/>
      <c r="D4309" s="1"/>
      <c r="E4309" s="357">
        <v>45372</v>
      </c>
      <c r="F4309" s="344" t="s">
        <v>621</v>
      </c>
      <c r="G4309" s="358">
        <v>36.179099999999998</v>
      </c>
      <c r="H4309" s="344" t="s">
        <v>1712</v>
      </c>
    </row>
    <row r="4310" spans="1:8">
      <c r="A4310" s="1"/>
      <c r="B4310" s="1"/>
      <c r="C4310" s="1"/>
      <c r="D4310" s="1"/>
      <c r="E4310" s="357">
        <v>45372</v>
      </c>
      <c r="F4310" s="344" t="s">
        <v>625</v>
      </c>
      <c r="G4310" s="358">
        <v>35.273400000000002</v>
      </c>
      <c r="H4310" s="344" t="s">
        <v>1712</v>
      </c>
    </row>
    <row r="4311" spans="1:8">
      <c r="A4311" s="1"/>
      <c r="B4311" s="1"/>
      <c r="C4311" s="1"/>
      <c r="D4311" s="1"/>
      <c r="E4311" s="357">
        <v>45372</v>
      </c>
      <c r="F4311" s="344" t="s">
        <v>628</v>
      </c>
      <c r="G4311" s="358">
        <v>41.195700000000002</v>
      </c>
      <c r="H4311" s="344" t="s">
        <v>1712</v>
      </c>
    </row>
    <row r="4312" spans="1:8">
      <c r="A4312" s="1"/>
      <c r="B4312" s="1"/>
      <c r="C4312" s="1"/>
      <c r="D4312" s="1"/>
      <c r="E4312" s="357">
        <v>45372</v>
      </c>
      <c r="F4312" s="344" t="s">
        <v>631</v>
      </c>
      <c r="G4312" s="358">
        <v>32.310499999999998</v>
      </c>
      <c r="H4312" s="344" t="s">
        <v>1712</v>
      </c>
    </row>
    <row r="4313" spans="1:8">
      <c r="A4313" s="1"/>
      <c r="B4313" s="1"/>
      <c r="C4313" s="1"/>
      <c r="D4313" s="1"/>
      <c r="E4313" s="357">
        <v>45373</v>
      </c>
      <c r="F4313" s="344" t="s">
        <v>621</v>
      </c>
      <c r="G4313" s="358">
        <v>35.431800000000003</v>
      </c>
      <c r="H4313" s="344" t="s">
        <v>1713</v>
      </c>
    </row>
    <row r="4314" spans="1:8">
      <c r="A4314" s="1"/>
      <c r="B4314" s="1"/>
      <c r="C4314" s="1"/>
      <c r="D4314" s="1"/>
      <c r="E4314" s="357">
        <v>45373</v>
      </c>
      <c r="F4314" s="344" t="s">
        <v>625</v>
      </c>
      <c r="G4314" s="358">
        <v>34.587499999999999</v>
      </c>
      <c r="H4314" s="344" t="s">
        <v>1713</v>
      </c>
    </row>
    <row r="4315" spans="1:8">
      <c r="A4315" s="1"/>
      <c r="B4315" s="1"/>
      <c r="C4315" s="1"/>
      <c r="D4315" s="1"/>
      <c r="E4315" s="357">
        <v>45373</v>
      </c>
      <c r="F4315" s="344" t="s">
        <v>628</v>
      </c>
      <c r="G4315" s="358">
        <v>40.202800000000003</v>
      </c>
      <c r="H4315" s="344" t="s">
        <v>1713</v>
      </c>
    </row>
    <row r="4316" spans="1:8">
      <c r="A4316" s="1"/>
      <c r="B4316" s="1"/>
      <c r="C4316" s="1"/>
      <c r="D4316" s="1"/>
      <c r="E4316" s="357">
        <v>45373</v>
      </c>
      <c r="F4316" s="344" t="s">
        <v>631</v>
      </c>
      <c r="G4316" s="358">
        <v>31.967500000000001</v>
      </c>
      <c r="H4316" s="344" t="s">
        <v>1713</v>
      </c>
    </row>
    <row r="4317" spans="1:8">
      <c r="A4317" s="1"/>
      <c r="B4317" s="1"/>
      <c r="C4317" s="1"/>
      <c r="D4317" s="1"/>
      <c r="E4317" s="357">
        <v>45376</v>
      </c>
      <c r="F4317" s="344" t="s">
        <v>621</v>
      </c>
      <c r="G4317" s="358">
        <v>35.618899999999996</v>
      </c>
      <c r="H4317" s="344" t="s">
        <v>1714</v>
      </c>
    </row>
    <row r="4318" spans="1:8">
      <c r="A4318" s="1"/>
      <c r="B4318" s="1"/>
      <c r="C4318" s="1"/>
      <c r="D4318" s="1"/>
      <c r="E4318" s="357">
        <v>45376</v>
      </c>
      <c r="F4318" s="344" t="s">
        <v>625</v>
      </c>
      <c r="G4318" s="358">
        <v>34.681899999999999</v>
      </c>
      <c r="H4318" s="344" t="s">
        <v>1714</v>
      </c>
    </row>
    <row r="4319" spans="1:8">
      <c r="A4319" s="1"/>
      <c r="B4319" s="1"/>
      <c r="C4319" s="1"/>
      <c r="D4319" s="1"/>
      <c r="E4319" s="357">
        <v>45376</v>
      </c>
      <c r="F4319" s="344" t="s">
        <v>628</v>
      </c>
      <c r="G4319" s="358">
        <v>40.376800000000003</v>
      </c>
      <c r="H4319" s="344" t="s">
        <v>1714</v>
      </c>
    </row>
    <row r="4320" spans="1:8">
      <c r="A4320" s="1"/>
      <c r="B4320" s="1"/>
      <c r="C4320" s="1"/>
      <c r="D4320" s="1"/>
      <c r="E4320" s="357">
        <v>45376</v>
      </c>
      <c r="F4320" s="344" t="s">
        <v>631</v>
      </c>
      <c r="G4320" s="358">
        <v>32.059199999999997</v>
      </c>
      <c r="H4320" s="344" t="s">
        <v>1714</v>
      </c>
    </row>
    <row r="4321" spans="1:8">
      <c r="A4321" s="1"/>
      <c r="B4321" s="1"/>
      <c r="C4321" s="1"/>
      <c r="D4321" s="1"/>
      <c r="E4321" s="357">
        <v>45377</v>
      </c>
      <c r="F4321" s="344" t="s">
        <v>621</v>
      </c>
      <c r="G4321" s="358">
        <v>35.545900000000003</v>
      </c>
      <c r="H4321" s="344" t="s">
        <v>1715</v>
      </c>
    </row>
    <row r="4322" spans="1:8">
      <c r="A4322" s="1"/>
      <c r="B4322" s="1"/>
      <c r="C4322" s="1"/>
      <c r="D4322" s="1"/>
      <c r="E4322" s="357">
        <v>45377</v>
      </c>
      <c r="F4322" s="344" t="s">
        <v>625</v>
      </c>
      <c r="G4322" s="358">
        <v>34.833599999999997</v>
      </c>
      <c r="H4322" s="344" t="s">
        <v>1715</v>
      </c>
    </row>
    <row r="4323" spans="1:8">
      <c r="A4323" s="1"/>
      <c r="B4323" s="1"/>
      <c r="C4323" s="1"/>
      <c r="D4323" s="1"/>
      <c r="E4323" s="357">
        <v>45377</v>
      </c>
      <c r="F4323" s="344" t="s">
        <v>628</v>
      </c>
      <c r="G4323" s="358">
        <v>40.548900000000003</v>
      </c>
      <c r="H4323" s="344" t="s">
        <v>1715</v>
      </c>
    </row>
    <row r="4324" spans="1:8">
      <c r="A4324" s="1"/>
      <c r="B4324" s="1"/>
      <c r="C4324" s="1"/>
      <c r="D4324" s="1"/>
      <c r="E4324" s="357">
        <v>45377</v>
      </c>
      <c r="F4324" s="344" t="s">
        <v>631</v>
      </c>
      <c r="G4324" s="358">
        <v>32.100499999999997</v>
      </c>
      <c r="H4324" s="344" t="s">
        <v>1715</v>
      </c>
    </row>
    <row r="4325" spans="1:8">
      <c r="A4325" s="1"/>
      <c r="B4325" s="1"/>
      <c r="C4325" s="1"/>
      <c r="D4325" s="1"/>
      <c r="E4325" s="357">
        <v>45378</v>
      </c>
      <c r="F4325" s="344" t="s">
        <v>621</v>
      </c>
      <c r="G4325" s="358">
        <v>35.442300000000003</v>
      </c>
      <c r="H4325" s="344" t="s">
        <v>1716</v>
      </c>
    </row>
    <row r="4326" spans="1:8">
      <c r="A4326" s="1"/>
      <c r="B4326" s="1"/>
      <c r="C4326" s="1"/>
      <c r="D4326" s="1"/>
      <c r="E4326" s="357">
        <v>45378</v>
      </c>
      <c r="F4326" s="344" t="s">
        <v>625</v>
      </c>
      <c r="G4326" s="358">
        <v>34.828499999999998</v>
      </c>
      <c r="H4326" s="344" t="s">
        <v>1716</v>
      </c>
    </row>
    <row r="4327" spans="1:8">
      <c r="A4327" s="1"/>
      <c r="B4327" s="1"/>
      <c r="C4327" s="1"/>
      <c r="D4327" s="1"/>
      <c r="E4327" s="357">
        <v>45378</v>
      </c>
      <c r="F4327" s="344" t="s">
        <v>628</v>
      </c>
      <c r="G4327" s="358">
        <v>40.536999999999999</v>
      </c>
      <c r="H4327" s="344" t="s">
        <v>1716</v>
      </c>
    </row>
    <row r="4328" spans="1:8">
      <c r="A4328" s="1"/>
      <c r="B4328" s="1"/>
      <c r="C4328" s="1"/>
      <c r="D4328" s="1"/>
      <c r="E4328" s="357">
        <v>45378</v>
      </c>
      <c r="F4328" s="344" t="s">
        <v>631</v>
      </c>
      <c r="G4328" s="358">
        <v>32.164999999999999</v>
      </c>
      <c r="H4328" s="344" t="s">
        <v>1716</v>
      </c>
    </row>
    <row r="4329" spans="1:8">
      <c r="A4329" s="1"/>
      <c r="B4329" s="1"/>
      <c r="C4329" s="1"/>
      <c r="D4329" s="1"/>
      <c r="E4329" s="357">
        <v>45379</v>
      </c>
      <c r="F4329" s="344" t="s">
        <v>621</v>
      </c>
      <c r="G4329" s="358">
        <v>35.533200000000001</v>
      </c>
      <c r="H4329" s="344" t="s">
        <v>1717</v>
      </c>
    </row>
    <row r="4330" spans="1:8">
      <c r="A4330" s="1"/>
      <c r="B4330" s="1"/>
      <c r="C4330" s="1"/>
      <c r="D4330" s="1"/>
      <c r="E4330" s="357">
        <v>45379</v>
      </c>
      <c r="F4330" s="344" t="s">
        <v>625</v>
      </c>
      <c r="G4330" s="358">
        <v>34.818899999999999</v>
      </c>
      <c r="H4330" s="344" t="s">
        <v>1717</v>
      </c>
    </row>
    <row r="4331" spans="1:8">
      <c r="A4331" s="1"/>
      <c r="B4331" s="1"/>
      <c r="C4331" s="1"/>
      <c r="D4331" s="1"/>
      <c r="E4331" s="357">
        <v>45379</v>
      </c>
      <c r="F4331" s="344" t="s">
        <v>628</v>
      </c>
      <c r="G4331" s="358">
        <v>40.616900000000001</v>
      </c>
      <c r="H4331" s="344" t="s">
        <v>1717</v>
      </c>
    </row>
    <row r="4332" spans="1:8">
      <c r="A4332" s="1"/>
      <c r="B4332" s="1"/>
      <c r="C4332" s="1"/>
      <c r="D4332" s="1"/>
      <c r="E4332" s="357">
        <v>45379</v>
      </c>
      <c r="F4332" s="344" t="s">
        <v>631</v>
      </c>
      <c r="G4332" s="358">
        <v>32.259599999999999</v>
      </c>
      <c r="H4332" s="344" t="s">
        <v>1717</v>
      </c>
    </row>
    <row r="4333" spans="1:8">
      <c r="A4333" s="1"/>
      <c r="B4333" s="1"/>
      <c r="C4333" s="1"/>
      <c r="D4333" s="1"/>
      <c r="E4333" s="357">
        <v>45380</v>
      </c>
      <c r="F4333" s="344" t="s">
        <v>621</v>
      </c>
      <c r="G4333" s="358">
        <v>35.726900000000001</v>
      </c>
      <c r="H4333" s="344" t="s">
        <v>1718</v>
      </c>
    </row>
    <row r="4334" spans="1:8">
      <c r="A4334" s="1"/>
      <c r="B4334" s="1"/>
      <c r="C4334" s="1"/>
      <c r="D4334" s="1"/>
      <c r="E4334" s="357">
        <v>45380</v>
      </c>
      <c r="F4334" s="344" t="s">
        <v>625</v>
      </c>
      <c r="G4334" s="358">
        <v>34.802300000000002</v>
      </c>
      <c r="H4334" s="344" t="s">
        <v>1718</v>
      </c>
    </row>
    <row r="4335" spans="1:8">
      <c r="A4335" s="1"/>
      <c r="B4335" s="1"/>
      <c r="C4335" s="1"/>
      <c r="D4335" s="1"/>
      <c r="E4335" s="357">
        <v>45380</v>
      </c>
      <c r="F4335" s="344" t="s">
        <v>628</v>
      </c>
      <c r="G4335" s="358">
        <v>40.666499999999999</v>
      </c>
      <c r="H4335" s="344" t="s">
        <v>1718</v>
      </c>
    </row>
    <row r="4336" spans="1:8">
      <c r="A4336" s="1"/>
      <c r="B4336" s="1"/>
      <c r="C4336" s="1"/>
      <c r="D4336" s="1"/>
      <c r="E4336" s="357">
        <v>45380</v>
      </c>
      <c r="F4336" s="344" t="s">
        <v>631</v>
      </c>
      <c r="G4336" s="358">
        <v>32.285400000000003</v>
      </c>
      <c r="H4336" s="344" t="s">
        <v>1718</v>
      </c>
    </row>
    <row r="4337" spans="1:8">
      <c r="A4337" s="1"/>
      <c r="B4337" s="1"/>
      <c r="C4337" s="1"/>
      <c r="D4337" s="1"/>
      <c r="E4337" s="357">
        <v>45383</v>
      </c>
      <c r="F4337" s="344" t="s">
        <v>621</v>
      </c>
      <c r="G4337" s="358">
        <v>35.810200000000002</v>
      </c>
      <c r="H4337" s="344" t="s">
        <v>1719</v>
      </c>
    </row>
    <row r="4338" spans="1:8">
      <c r="A4338" s="1"/>
      <c r="B4338" s="1"/>
      <c r="C4338" s="1"/>
      <c r="D4338" s="1"/>
      <c r="E4338" s="357">
        <v>45383</v>
      </c>
      <c r="F4338" s="344" t="s">
        <v>625</v>
      </c>
      <c r="G4338" s="358">
        <v>34.8992</v>
      </c>
      <c r="H4338" s="344" t="s">
        <v>1719</v>
      </c>
    </row>
    <row r="4339" spans="1:8">
      <c r="A4339" s="1"/>
      <c r="B4339" s="1"/>
      <c r="C4339" s="1"/>
      <c r="D4339" s="1"/>
      <c r="E4339" s="357">
        <v>45383</v>
      </c>
      <c r="F4339" s="344" t="s">
        <v>628</v>
      </c>
      <c r="G4339" s="358">
        <v>40.763100000000001</v>
      </c>
      <c r="H4339" s="344" t="s">
        <v>1719</v>
      </c>
    </row>
    <row r="4340" spans="1:8">
      <c r="A4340" s="1"/>
      <c r="B4340" s="1"/>
      <c r="C4340" s="1"/>
      <c r="D4340" s="1"/>
      <c r="E4340" s="357">
        <v>45383</v>
      </c>
      <c r="F4340" s="344" t="s">
        <v>631</v>
      </c>
      <c r="G4340" s="358">
        <v>32.3568</v>
      </c>
      <c r="H4340" s="344" t="s">
        <v>1719</v>
      </c>
    </row>
    <row r="4341" spans="1:8">
      <c r="A4341" s="1"/>
      <c r="B4341" s="1"/>
      <c r="C4341" s="1"/>
      <c r="D4341" s="1"/>
      <c r="E4341" s="357">
        <v>45384</v>
      </c>
      <c r="F4341" s="344" t="s">
        <v>621</v>
      </c>
      <c r="G4341" s="358">
        <v>35.3033</v>
      </c>
      <c r="H4341" s="344" t="s">
        <v>1720</v>
      </c>
    </row>
    <row r="4342" spans="1:8">
      <c r="A4342" s="1"/>
      <c r="B4342" s="1"/>
      <c r="C4342" s="1"/>
      <c r="D4342" s="1"/>
      <c r="E4342" s="357">
        <v>45384</v>
      </c>
      <c r="F4342" s="344" t="s">
        <v>625</v>
      </c>
      <c r="G4342" s="358">
        <v>34.508099999999999</v>
      </c>
      <c r="H4342" s="344" t="s">
        <v>1720</v>
      </c>
    </row>
    <row r="4343" spans="1:8">
      <c r="A4343" s="1"/>
      <c r="B4343" s="1"/>
      <c r="C4343" s="1"/>
      <c r="D4343" s="1"/>
      <c r="E4343" s="357">
        <v>45384</v>
      </c>
      <c r="F4343" s="344" t="s">
        <v>628</v>
      </c>
      <c r="G4343" s="358">
        <v>40.296300000000002</v>
      </c>
      <c r="H4343" s="344" t="s">
        <v>1720</v>
      </c>
    </row>
    <row r="4344" spans="1:8">
      <c r="A4344" s="1"/>
      <c r="B4344" s="1"/>
      <c r="C4344" s="1"/>
      <c r="D4344" s="1"/>
      <c r="E4344" s="357">
        <v>45384</v>
      </c>
      <c r="F4344" s="344" t="s">
        <v>631</v>
      </c>
      <c r="G4344" s="358">
        <v>32.130200000000002</v>
      </c>
      <c r="H4344" s="344" t="s">
        <v>1720</v>
      </c>
    </row>
    <row r="4345" spans="1:8">
      <c r="A4345" s="1"/>
      <c r="B4345" s="1"/>
      <c r="C4345" s="1"/>
      <c r="D4345" s="1"/>
      <c r="E4345" s="357">
        <v>45385</v>
      </c>
      <c r="F4345" s="344" t="s">
        <v>621</v>
      </c>
      <c r="G4345" s="358">
        <v>35.070599999999999</v>
      </c>
      <c r="H4345" s="344" t="s">
        <v>1721</v>
      </c>
    </row>
    <row r="4346" spans="1:8">
      <c r="A4346" s="1"/>
      <c r="B4346" s="1"/>
      <c r="C4346" s="1"/>
      <c r="D4346" s="1"/>
      <c r="E4346" s="357">
        <v>45385</v>
      </c>
      <c r="F4346" s="344" t="s">
        <v>625</v>
      </c>
      <c r="G4346" s="358">
        <v>34.409700000000001</v>
      </c>
      <c r="H4346" s="344" t="s">
        <v>1721</v>
      </c>
    </row>
    <row r="4347" spans="1:8">
      <c r="A4347" s="1"/>
      <c r="B4347" s="1"/>
      <c r="C4347" s="1"/>
      <c r="D4347" s="1"/>
      <c r="E4347" s="357">
        <v>45385</v>
      </c>
      <c r="F4347" s="344" t="s">
        <v>628</v>
      </c>
      <c r="G4347" s="358">
        <v>40.093400000000003</v>
      </c>
      <c r="H4347" s="344" t="s">
        <v>1721</v>
      </c>
    </row>
    <row r="4348" spans="1:8">
      <c r="A4348" s="1"/>
      <c r="B4348" s="1"/>
      <c r="C4348" s="1"/>
      <c r="D4348" s="1"/>
      <c r="E4348" s="357">
        <v>45385</v>
      </c>
      <c r="F4348" s="344" t="s">
        <v>631</v>
      </c>
      <c r="G4348" s="358">
        <v>31.9392</v>
      </c>
      <c r="H4348" s="344" t="s">
        <v>1721</v>
      </c>
    </row>
    <row r="4349" spans="1:8">
      <c r="A4349" s="1"/>
      <c r="B4349" s="1"/>
      <c r="C4349" s="1"/>
      <c r="D4349" s="1"/>
      <c r="E4349" s="357">
        <v>45386</v>
      </c>
      <c r="F4349" s="344" t="s">
        <v>621</v>
      </c>
      <c r="G4349" s="358">
        <v>35.0441</v>
      </c>
      <c r="H4349" s="344" t="s">
        <v>1722</v>
      </c>
    </row>
    <row r="4350" spans="1:8">
      <c r="A4350" s="1"/>
      <c r="B4350" s="1"/>
      <c r="C4350" s="1"/>
      <c r="D4350" s="1"/>
      <c r="E4350" s="357">
        <v>45386</v>
      </c>
      <c r="F4350" s="344" t="s">
        <v>625</v>
      </c>
      <c r="G4350" s="358">
        <v>34.562899999999999</v>
      </c>
      <c r="H4350" s="344" t="s">
        <v>1722</v>
      </c>
    </row>
    <row r="4351" spans="1:8">
      <c r="A4351" s="1"/>
      <c r="B4351" s="1"/>
      <c r="C4351" s="1"/>
      <c r="D4351" s="1"/>
      <c r="E4351" s="357">
        <v>45386</v>
      </c>
      <c r="F4351" s="344" t="s">
        <v>628</v>
      </c>
      <c r="G4351" s="358">
        <v>40.238999999999997</v>
      </c>
      <c r="H4351" s="344" t="s">
        <v>1722</v>
      </c>
    </row>
    <row r="4352" spans="1:8">
      <c r="A4352" s="1"/>
      <c r="B4352" s="1"/>
      <c r="C4352" s="1"/>
      <c r="D4352" s="1"/>
      <c r="E4352" s="357">
        <v>45386</v>
      </c>
      <c r="F4352" s="344" t="s">
        <v>631</v>
      </c>
      <c r="G4352" s="358">
        <v>31.839600000000001</v>
      </c>
      <c r="H4352" s="344" t="s">
        <v>1722</v>
      </c>
    </row>
    <row r="4353" spans="1:8">
      <c r="A4353" s="1"/>
      <c r="B4353" s="1"/>
      <c r="C4353" s="1"/>
      <c r="D4353" s="1"/>
      <c r="E4353" s="357">
        <v>45387</v>
      </c>
      <c r="F4353" s="344" t="s">
        <v>621</v>
      </c>
      <c r="G4353" s="358">
        <v>35.262599999999999</v>
      </c>
      <c r="H4353" s="344" t="s">
        <v>1723</v>
      </c>
    </row>
    <row r="4354" spans="1:8">
      <c r="A4354" s="1"/>
      <c r="B4354" s="1"/>
      <c r="C4354" s="1"/>
      <c r="D4354" s="1"/>
      <c r="E4354" s="357">
        <v>45387</v>
      </c>
      <c r="F4354" s="344" t="s">
        <v>625</v>
      </c>
      <c r="G4354" s="358">
        <v>34.589199999999998</v>
      </c>
      <c r="H4354" s="344" t="s">
        <v>1723</v>
      </c>
    </row>
    <row r="4355" spans="1:8">
      <c r="A4355" s="1"/>
      <c r="B4355" s="1"/>
      <c r="C4355" s="1"/>
      <c r="D4355" s="1"/>
      <c r="E4355" s="357">
        <v>45387</v>
      </c>
      <c r="F4355" s="344" t="s">
        <v>628</v>
      </c>
      <c r="G4355" s="358">
        <v>40.250900000000001</v>
      </c>
      <c r="H4355" s="344" t="s">
        <v>1723</v>
      </c>
    </row>
    <row r="4356" spans="1:8">
      <c r="A4356" s="1"/>
      <c r="B4356" s="1"/>
      <c r="C4356" s="1"/>
      <c r="D4356" s="1"/>
      <c r="E4356" s="357">
        <v>45387</v>
      </c>
      <c r="F4356" s="344" t="s">
        <v>631</v>
      </c>
      <c r="G4356" s="358">
        <v>31.9209</v>
      </c>
      <c r="H4356" s="344" t="s">
        <v>1723</v>
      </c>
    </row>
    <row r="4357" spans="1:8">
      <c r="A4357" s="1"/>
      <c r="B4357" s="1"/>
      <c r="C4357" s="1"/>
      <c r="D4357" s="1"/>
      <c r="E4357" s="357">
        <v>45390</v>
      </c>
      <c r="F4357" s="344" t="s">
        <v>621</v>
      </c>
      <c r="G4357" s="358">
        <v>35.270400000000002</v>
      </c>
      <c r="H4357" s="344" t="s">
        <v>1724</v>
      </c>
    </row>
    <row r="4358" spans="1:8">
      <c r="A4358" s="1"/>
      <c r="B4358" s="1"/>
      <c r="C4358" s="1"/>
      <c r="D4358" s="1"/>
      <c r="E4358" s="357">
        <v>45390</v>
      </c>
      <c r="F4358" s="344" t="s">
        <v>625</v>
      </c>
      <c r="G4358" s="358">
        <v>34.658999999999999</v>
      </c>
      <c r="H4358" s="344" t="s">
        <v>1724</v>
      </c>
    </row>
    <row r="4359" spans="1:8">
      <c r="A4359" s="1"/>
      <c r="B4359" s="1"/>
      <c r="C4359" s="1"/>
      <c r="D4359" s="1"/>
      <c r="E4359" s="357">
        <v>45390</v>
      </c>
      <c r="F4359" s="344" t="s">
        <v>628</v>
      </c>
      <c r="G4359" s="358">
        <v>40.344900000000003</v>
      </c>
      <c r="H4359" s="344" t="s">
        <v>1724</v>
      </c>
    </row>
    <row r="4360" spans="1:8">
      <c r="A4360" s="1"/>
      <c r="B4360" s="1"/>
      <c r="C4360" s="1"/>
      <c r="D4360" s="1"/>
      <c r="E4360" s="357">
        <v>45390</v>
      </c>
      <c r="F4360" s="344" t="s">
        <v>631</v>
      </c>
      <c r="G4360" s="358">
        <v>32.006</v>
      </c>
      <c r="H4360" s="344" t="s">
        <v>1724</v>
      </c>
    </row>
    <row r="4361" spans="1:8">
      <c r="A4361" s="1"/>
      <c r="B4361" s="1"/>
      <c r="C4361" s="1"/>
      <c r="D4361" s="1"/>
      <c r="E4361" s="357">
        <v>45397</v>
      </c>
      <c r="F4361" s="344" t="s">
        <v>621</v>
      </c>
      <c r="G4361" s="358">
        <v>35.326099999999997</v>
      </c>
      <c r="H4361" s="344" t="s">
        <v>1725</v>
      </c>
    </row>
    <row r="4362" spans="1:8">
      <c r="A4362" s="1"/>
      <c r="B4362" s="1"/>
      <c r="C4362" s="1"/>
      <c r="D4362" s="1"/>
      <c r="E4362" s="357">
        <v>45397</v>
      </c>
      <c r="F4362" s="344" t="s">
        <v>625</v>
      </c>
      <c r="G4362" s="358">
        <v>34.447499999999998</v>
      </c>
      <c r="H4362" s="344" t="s">
        <v>1725</v>
      </c>
    </row>
    <row r="4363" spans="1:8">
      <c r="A4363" s="1"/>
      <c r="B4363" s="1"/>
      <c r="C4363" s="1"/>
      <c r="D4363" s="1"/>
      <c r="E4363" s="357">
        <v>45397</v>
      </c>
      <c r="F4363" s="344" t="s">
        <v>628</v>
      </c>
      <c r="G4363" s="358">
        <v>40.277500000000003</v>
      </c>
      <c r="H4363" s="344" t="s">
        <v>1725</v>
      </c>
    </row>
    <row r="4364" spans="1:8">
      <c r="A4364" s="1"/>
      <c r="B4364" s="1"/>
      <c r="C4364" s="1"/>
      <c r="D4364" s="1"/>
      <c r="E4364" s="357">
        <v>45397</v>
      </c>
      <c r="F4364" s="344" t="s">
        <v>631</v>
      </c>
      <c r="G4364" s="358">
        <v>32.327100000000002</v>
      </c>
      <c r="H4364" s="344" t="s">
        <v>1725</v>
      </c>
    </row>
    <row r="4365" spans="1:8">
      <c r="A4365" s="1"/>
      <c r="B4365" s="1"/>
      <c r="C4365" s="1"/>
      <c r="D4365" s="1"/>
      <c r="E4365" s="357">
        <v>45398</v>
      </c>
      <c r="F4365" s="344" t="s">
        <v>621</v>
      </c>
      <c r="G4365" s="358">
        <v>35.4146</v>
      </c>
      <c r="H4365" s="344" t="s">
        <v>1726</v>
      </c>
    </row>
    <row r="4366" spans="1:8">
      <c r="A4366" s="1"/>
      <c r="B4366" s="1"/>
      <c r="C4366" s="1"/>
      <c r="D4366" s="1"/>
      <c r="E4366" s="357">
        <v>45398</v>
      </c>
      <c r="F4366" s="344" t="s">
        <v>625</v>
      </c>
      <c r="G4366" s="358">
        <v>34.426600000000001</v>
      </c>
      <c r="H4366" s="344" t="s">
        <v>1726</v>
      </c>
    </row>
    <row r="4367" spans="1:8">
      <c r="A4367" s="1"/>
      <c r="B4367" s="1"/>
      <c r="C4367" s="1"/>
      <c r="D4367" s="1"/>
      <c r="E4367" s="357">
        <v>45398</v>
      </c>
      <c r="F4367" s="344" t="s">
        <v>628</v>
      </c>
      <c r="G4367" s="358">
        <v>40.254899999999999</v>
      </c>
      <c r="H4367" s="344" t="s">
        <v>1726</v>
      </c>
    </row>
    <row r="4368" spans="1:8">
      <c r="A4368" s="1"/>
      <c r="B4368" s="1"/>
      <c r="C4368" s="1"/>
      <c r="D4368" s="1"/>
      <c r="E4368" s="357">
        <v>45398</v>
      </c>
      <c r="F4368" s="344" t="s">
        <v>631</v>
      </c>
      <c r="G4368" s="358">
        <v>32.404899999999998</v>
      </c>
      <c r="H4368" s="344" t="s">
        <v>1726</v>
      </c>
    </row>
    <row r="4369" spans="1:8">
      <c r="A4369" s="1"/>
      <c r="B4369" s="1"/>
      <c r="C4369" s="1"/>
      <c r="D4369" s="1"/>
      <c r="E4369" s="357">
        <v>45399</v>
      </c>
      <c r="F4369" s="344" t="s">
        <v>621</v>
      </c>
      <c r="G4369" s="358">
        <v>35.560400000000001</v>
      </c>
      <c r="H4369" s="344" t="s">
        <v>1727</v>
      </c>
    </row>
    <row r="4370" spans="1:8">
      <c r="A4370" s="1"/>
      <c r="B4370" s="1"/>
      <c r="C4370" s="1"/>
      <c r="D4370" s="1"/>
      <c r="E4370" s="357">
        <v>45399</v>
      </c>
      <c r="F4370" s="344" t="s">
        <v>625</v>
      </c>
      <c r="G4370" s="358">
        <v>34.526600000000002</v>
      </c>
      <c r="H4370" s="344" t="s">
        <v>1727</v>
      </c>
    </row>
    <row r="4371" spans="1:8">
      <c r="A4371" s="1"/>
      <c r="B4371" s="1"/>
      <c r="C4371" s="1"/>
      <c r="D4371" s="1"/>
      <c r="E4371" s="357">
        <v>45399</v>
      </c>
      <c r="F4371" s="344" t="s">
        <v>628</v>
      </c>
      <c r="G4371" s="358">
        <v>40.389299999999999</v>
      </c>
      <c r="H4371" s="344" t="s">
        <v>1727</v>
      </c>
    </row>
    <row r="4372" spans="1:8">
      <c r="A4372" s="1"/>
      <c r="B4372" s="1"/>
      <c r="C4372" s="1"/>
      <c r="D4372" s="1"/>
      <c r="E4372" s="357">
        <v>45399</v>
      </c>
      <c r="F4372" s="344" t="s">
        <v>631</v>
      </c>
      <c r="G4372" s="358">
        <v>32.462600000000002</v>
      </c>
      <c r="H4372" s="344" t="s">
        <v>1727</v>
      </c>
    </row>
    <row r="4373" spans="1:8">
      <c r="A4373" s="1"/>
      <c r="B4373" s="1"/>
      <c r="C4373" s="1"/>
      <c r="D4373" s="1"/>
      <c r="E4373" s="357">
        <v>45400</v>
      </c>
      <c r="F4373" s="344" t="s">
        <v>621</v>
      </c>
      <c r="G4373" s="358">
        <v>35.624600000000001</v>
      </c>
      <c r="H4373" s="344" t="s">
        <v>1728</v>
      </c>
    </row>
    <row r="4374" spans="1:8">
      <c r="A4374" s="1"/>
      <c r="B4374" s="1"/>
      <c r="C4374" s="1"/>
      <c r="D4374" s="1"/>
      <c r="E4374" s="357">
        <v>45400</v>
      </c>
      <c r="F4374" s="344" t="s">
        <v>625</v>
      </c>
      <c r="G4374" s="358">
        <v>34.655900000000003</v>
      </c>
      <c r="H4374" s="344" t="s">
        <v>1728</v>
      </c>
    </row>
    <row r="4375" spans="1:8">
      <c r="A4375" s="1"/>
      <c r="B4375" s="1"/>
      <c r="C4375" s="1"/>
      <c r="D4375" s="1"/>
      <c r="E4375" s="357">
        <v>45400</v>
      </c>
      <c r="F4375" s="344" t="s">
        <v>628</v>
      </c>
      <c r="G4375" s="358">
        <v>40.4148</v>
      </c>
      <c r="H4375" s="344" t="s">
        <v>1728</v>
      </c>
    </row>
    <row r="4376" spans="1:8">
      <c r="A4376" s="1"/>
      <c r="B4376" s="1"/>
      <c r="C4376" s="1"/>
      <c r="D4376" s="1"/>
      <c r="E4376" s="357">
        <v>45400</v>
      </c>
      <c r="F4376" s="344" t="s">
        <v>631</v>
      </c>
      <c r="G4376" s="358">
        <v>32.455100000000002</v>
      </c>
      <c r="H4376" s="344" t="s">
        <v>1728</v>
      </c>
    </row>
    <row r="4377" spans="1:8">
      <c r="A4377" s="1"/>
      <c r="B4377" s="1"/>
      <c r="C4377" s="1"/>
      <c r="D4377" s="1"/>
      <c r="E4377" s="357">
        <v>45401</v>
      </c>
      <c r="F4377" s="344" t="s">
        <v>621</v>
      </c>
      <c r="G4377" s="358">
        <v>35.698500000000003</v>
      </c>
      <c r="H4377" s="344" t="s">
        <v>1729</v>
      </c>
    </row>
    <row r="4378" spans="1:8">
      <c r="A4378" s="1"/>
      <c r="B4378" s="1"/>
      <c r="C4378" s="1"/>
      <c r="D4378" s="1"/>
      <c r="E4378" s="357">
        <v>45401</v>
      </c>
      <c r="F4378" s="344" t="s">
        <v>625</v>
      </c>
      <c r="G4378" s="358">
        <v>34.625399999999999</v>
      </c>
      <c r="H4378" s="344" t="s">
        <v>1729</v>
      </c>
    </row>
    <row r="4379" spans="1:8">
      <c r="A4379" s="1"/>
      <c r="B4379" s="1"/>
      <c r="C4379" s="1"/>
      <c r="D4379" s="1"/>
      <c r="E4379" s="357">
        <v>45401</v>
      </c>
      <c r="F4379" s="344" t="s">
        <v>628</v>
      </c>
      <c r="G4379" s="358">
        <v>40.3782</v>
      </c>
      <c r="H4379" s="344" t="s">
        <v>1729</v>
      </c>
    </row>
    <row r="4380" spans="1:8">
      <c r="A4380" s="1"/>
      <c r="B4380" s="1"/>
      <c r="C4380" s="1"/>
      <c r="D4380" s="1"/>
      <c r="E4380" s="357">
        <v>45401</v>
      </c>
      <c r="F4380" s="344" t="s">
        <v>631</v>
      </c>
      <c r="G4380" s="358">
        <v>32.509599999999999</v>
      </c>
      <c r="H4380" s="344" t="s">
        <v>1729</v>
      </c>
    </row>
    <row r="4381" spans="1:8">
      <c r="A4381" s="1"/>
      <c r="B4381" s="1"/>
      <c r="C4381" s="1"/>
      <c r="D4381" s="1"/>
      <c r="E4381" s="357">
        <v>45404</v>
      </c>
      <c r="F4381" s="344" t="s">
        <v>621</v>
      </c>
      <c r="G4381" s="358">
        <v>35.5852</v>
      </c>
      <c r="H4381" s="344" t="s">
        <v>1730</v>
      </c>
    </row>
    <row r="4382" spans="1:8">
      <c r="A4382" s="1"/>
      <c r="B4382" s="1"/>
      <c r="C4382" s="1"/>
      <c r="D4382" s="1"/>
      <c r="E4382" s="357">
        <v>45404</v>
      </c>
      <c r="F4382" s="344" t="s">
        <v>625</v>
      </c>
      <c r="G4382" s="358">
        <v>34.620699999999999</v>
      </c>
      <c r="H4382" s="344" t="s">
        <v>1730</v>
      </c>
    </row>
    <row r="4383" spans="1:8">
      <c r="A4383" s="1"/>
      <c r="B4383" s="1"/>
      <c r="C4383" s="1"/>
      <c r="D4383" s="1"/>
      <c r="E4383" s="357">
        <v>45404</v>
      </c>
      <c r="F4383" s="344" t="s">
        <v>628</v>
      </c>
      <c r="G4383" s="358">
        <v>40.068399999999997</v>
      </c>
      <c r="H4383" s="344" t="s">
        <v>1730</v>
      </c>
    </row>
    <row r="4384" spans="1:8">
      <c r="A4384" s="1"/>
      <c r="B4384" s="1"/>
      <c r="C4384" s="1"/>
      <c r="D4384" s="1"/>
      <c r="E4384" s="357">
        <v>45404</v>
      </c>
      <c r="F4384" s="344" t="s">
        <v>631</v>
      </c>
      <c r="G4384" s="358">
        <v>32.5</v>
      </c>
      <c r="H4384" s="344" t="s">
        <v>1730</v>
      </c>
    </row>
    <row r="4385" spans="1:8">
      <c r="A4385" s="1"/>
      <c r="B4385" s="1"/>
      <c r="C4385" s="1"/>
      <c r="D4385" s="1"/>
      <c r="E4385" s="357">
        <v>45406</v>
      </c>
      <c r="F4385" s="344" t="s">
        <v>621</v>
      </c>
      <c r="G4385" s="358">
        <v>35.442500000000003</v>
      </c>
      <c r="H4385" s="344" t="s">
        <v>1731</v>
      </c>
    </row>
    <row r="4386" spans="1:8">
      <c r="A4386" s="1"/>
      <c r="B4386" s="1"/>
      <c r="C4386" s="1"/>
      <c r="D4386" s="1"/>
      <c r="E4386" s="357">
        <v>45406</v>
      </c>
      <c r="F4386" s="344" t="s">
        <v>625</v>
      </c>
      <c r="G4386" s="358">
        <v>34.708399999999997</v>
      </c>
      <c r="H4386" s="344" t="s">
        <v>1731</v>
      </c>
    </row>
    <row r="4387" spans="1:8">
      <c r="A4387" s="1"/>
      <c r="B4387" s="1"/>
      <c r="C4387" s="1"/>
      <c r="D4387" s="1"/>
      <c r="E4387" s="357">
        <v>45406</v>
      </c>
      <c r="F4387" s="344" t="s">
        <v>628</v>
      </c>
      <c r="G4387" s="358">
        <v>40.3078</v>
      </c>
      <c r="H4387" s="344" t="s">
        <v>1731</v>
      </c>
    </row>
    <row r="4388" spans="1:8">
      <c r="A4388" s="1"/>
      <c r="B4388" s="1"/>
      <c r="C4388" s="1"/>
      <c r="D4388" s="1"/>
      <c r="E4388" s="357">
        <v>45406</v>
      </c>
      <c r="F4388" s="344" t="s">
        <v>631</v>
      </c>
      <c r="G4388" s="358">
        <v>32.474200000000003</v>
      </c>
      <c r="H4388" s="344" t="s">
        <v>1731</v>
      </c>
    </row>
    <row r="4389" spans="1:8">
      <c r="A4389" s="1"/>
      <c r="B4389" s="1"/>
      <c r="C4389" s="1"/>
      <c r="D4389" s="1"/>
      <c r="E4389" s="357">
        <v>45407</v>
      </c>
      <c r="F4389" s="344" t="s">
        <v>621</v>
      </c>
      <c r="G4389" s="358">
        <v>35.4863</v>
      </c>
      <c r="H4389" s="344" t="s">
        <v>1732</v>
      </c>
    </row>
    <row r="4390" spans="1:8">
      <c r="A4390" s="1"/>
      <c r="B4390" s="1"/>
      <c r="C4390" s="1"/>
      <c r="D4390" s="1"/>
      <c r="E4390" s="357">
        <v>45407</v>
      </c>
      <c r="F4390" s="344" t="s">
        <v>625</v>
      </c>
      <c r="G4390" s="358">
        <v>34.823099999999997</v>
      </c>
      <c r="H4390" s="344" t="s">
        <v>1732</v>
      </c>
    </row>
    <row r="4391" spans="1:8">
      <c r="A4391" s="1"/>
      <c r="B4391" s="1"/>
      <c r="C4391" s="1"/>
      <c r="D4391" s="1"/>
      <c r="E4391" s="357">
        <v>45407</v>
      </c>
      <c r="F4391" s="344" t="s">
        <v>628</v>
      </c>
      <c r="G4391" s="358">
        <v>40.557499999999997</v>
      </c>
      <c r="H4391" s="344" t="s">
        <v>1732</v>
      </c>
    </row>
    <row r="4392" spans="1:8">
      <c r="A4392" s="1"/>
      <c r="B4392" s="1"/>
      <c r="C4392" s="1"/>
      <c r="D4392" s="1"/>
      <c r="E4392" s="357">
        <v>45407</v>
      </c>
      <c r="F4392" s="344" t="s">
        <v>631</v>
      </c>
      <c r="G4392" s="358">
        <v>32.474699999999999</v>
      </c>
      <c r="H4392" s="344" t="s">
        <v>1732</v>
      </c>
    </row>
    <row r="4393" spans="1:8">
      <c r="A4393" s="1"/>
      <c r="B4393" s="1"/>
      <c r="C4393" s="1"/>
      <c r="D4393" s="1"/>
      <c r="E4393" s="357">
        <v>45408</v>
      </c>
      <c r="F4393" s="344" t="s">
        <v>621</v>
      </c>
      <c r="G4393" s="358">
        <v>35.5002</v>
      </c>
      <c r="H4393" s="344" t="s">
        <v>1733</v>
      </c>
    </row>
    <row r="4394" spans="1:8">
      <c r="A4394" s="1"/>
      <c r="B4394" s="1"/>
      <c r="C4394" s="1"/>
      <c r="D4394" s="1"/>
      <c r="E4394" s="357">
        <v>45408</v>
      </c>
      <c r="F4394" s="344" t="s">
        <v>625</v>
      </c>
      <c r="G4394" s="358">
        <v>34.825499999999998</v>
      </c>
      <c r="H4394" s="344" t="s">
        <v>1733</v>
      </c>
    </row>
    <row r="4395" spans="1:8">
      <c r="A4395" s="1"/>
      <c r="B4395" s="1"/>
      <c r="C4395" s="1"/>
      <c r="D4395" s="1"/>
      <c r="E4395" s="357">
        <v>45408</v>
      </c>
      <c r="F4395" s="344" t="s">
        <v>628</v>
      </c>
      <c r="G4395" s="358">
        <v>40.542400000000001</v>
      </c>
      <c r="H4395" s="344" t="s">
        <v>1733</v>
      </c>
    </row>
    <row r="4396" spans="1:8">
      <c r="A4396" s="1"/>
      <c r="B4396" s="1"/>
      <c r="C4396" s="1"/>
      <c r="D4396" s="1"/>
      <c r="E4396" s="357">
        <v>45408</v>
      </c>
      <c r="F4396" s="344" t="s">
        <v>631</v>
      </c>
      <c r="G4396" s="358">
        <v>32.4527</v>
      </c>
      <c r="H4396" s="344" t="s">
        <v>1733</v>
      </c>
    </row>
    <row r="4397" spans="1:8">
      <c r="A4397" s="1"/>
      <c r="B4397" s="1"/>
      <c r="C4397" s="1"/>
      <c r="D4397" s="1"/>
      <c r="E4397" s="357">
        <v>45411</v>
      </c>
      <c r="F4397" s="344" t="s">
        <v>621</v>
      </c>
      <c r="G4397" s="358">
        <v>35.382199999999997</v>
      </c>
      <c r="H4397" s="344" t="s">
        <v>1734</v>
      </c>
    </row>
    <row r="4398" spans="1:8">
      <c r="A4398" s="1"/>
      <c r="B4398" s="1"/>
      <c r="C4398" s="1"/>
      <c r="D4398" s="1"/>
      <c r="E4398" s="357">
        <v>45411</v>
      </c>
      <c r="F4398" s="344" t="s">
        <v>625</v>
      </c>
      <c r="G4398" s="358">
        <v>34.648699999999998</v>
      </c>
      <c r="H4398" s="344" t="s">
        <v>1734</v>
      </c>
    </row>
    <row r="4399" spans="1:8">
      <c r="A4399" s="1"/>
      <c r="B4399" s="1"/>
      <c r="C4399" s="1"/>
      <c r="D4399" s="1"/>
      <c r="E4399" s="357">
        <v>45411</v>
      </c>
      <c r="F4399" s="344" t="s">
        <v>628</v>
      </c>
      <c r="G4399" s="358">
        <v>40.444400000000002</v>
      </c>
      <c r="H4399" s="344" t="s">
        <v>1734</v>
      </c>
    </row>
    <row r="4400" spans="1:8">
      <c r="A4400" s="1"/>
      <c r="B4400" s="1"/>
      <c r="C4400" s="1"/>
      <c r="D4400" s="1"/>
      <c r="E4400" s="357">
        <v>45411</v>
      </c>
      <c r="F4400" s="344" t="s">
        <v>631</v>
      </c>
      <c r="G4400" s="358">
        <v>32.338900000000002</v>
      </c>
      <c r="H4400" s="344" t="s">
        <v>1734</v>
      </c>
    </row>
    <row r="4401" spans="1:8">
      <c r="A4401" s="1"/>
      <c r="B4401" s="1"/>
      <c r="C4401" s="1"/>
      <c r="D4401" s="1"/>
      <c r="E4401" s="357">
        <v>45412</v>
      </c>
      <c r="F4401" s="344" t="s">
        <v>621</v>
      </c>
      <c r="G4401" s="358">
        <v>35.337000000000003</v>
      </c>
      <c r="H4401" s="344" t="s">
        <v>1735</v>
      </c>
    </row>
    <row r="4402" spans="1:8">
      <c r="A4402" s="1"/>
      <c r="B4402" s="1"/>
      <c r="C4402" s="1"/>
      <c r="D4402" s="1"/>
      <c r="E4402" s="357">
        <v>45412</v>
      </c>
      <c r="F4402" s="344" t="s">
        <v>625</v>
      </c>
      <c r="G4402" s="358">
        <v>34.622999999999998</v>
      </c>
      <c r="H4402" s="344" t="s">
        <v>1735</v>
      </c>
    </row>
    <row r="4403" spans="1:8">
      <c r="A4403" s="1"/>
      <c r="B4403" s="1"/>
      <c r="C4403" s="1"/>
      <c r="D4403" s="1"/>
      <c r="E4403" s="357">
        <v>45412</v>
      </c>
      <c r="F4403" s="344" t="s">
        <v>628</v>
      </c>
      <c r="G4403" s="358">
        <v>40.447499999999998</v>
      </c>
      <c r="H4403" s="344" t="s">
        <v>1735</v>
      </c>
    </row>
    <row r="4404" spans="1:8">
      <c r="A4404" s="1"/>
      <c r="B4404" s="1"/>
      <c r="C4404" s="1"/>
      <c r="D4404" s="1"/>
      <c r="E4404" s="357">
        <v>45412</v>
      </c>
      <c r="F4404" s="344" t="s">
        <v>631</v>
      </c>
      <c r="G4404" s="358">
        <v>32.309100000000001</v>
      </c>
      <c r="H4404" s="344" t="s">
        <v>1735</v>
      </c>
    </row>
    <row r="4405" spans="1:8">
      <c r="A4405" s="1"/>
      <c r="B4405" s="1"/>
      <c r="C4405" s="1"/>
      <c r="D4405" s="1"/>
      <c r="E4405" s="357">
        <v>45414</v>
      </c>
      <c r="F4405" s="344" t="s">
        <v>621</v>
      </c>
      <c r="G4405" s="358">
        <v>35.358199999999997</v>
      </c>
      <c r="H4405" s="344" t="s">
        <v>1736</v>
      </c>
    </row>
    <row r="4406" spans="1:8">
      <c r="A4406" s="1"/>
      <c r="B4406" s="1"/>
      <c r="C4406" s="1"/>
      <c r="D4406" s="1"/>
      <c r="E4406" s="357">
        <v>45414</v>
      </c>
      <c r="F4406" s="344" t="s">
        <v>625</v>
      </c>
      <c r="G4406" s="358">
        <v>34.607300000000002</v>
      </c>
      <c r="H4406" s="344" t="s">
        <v>1736</v>
      </c>
    </row>
    <row r="4407" spans="1:8">
      <c r="A4407" s="1"/>
      <c r="B4407" s="1"/>
      <c r="C4407" s="1"/>
      <c r="D4407" s="1"/>
      <c r="E4407" s="357">
        <v>45414</v>
      </c>
      <c r="F4407" s="344" t="s">
        <v>628</v>
      </c>
      <c r="G4407" s="358">
        <v>40.393799999999999</v>
      </c>
      <c r="H4407" s="344" t="s">
        <v>1736</v>
      </c>
    </row>
    <row r="4408" spans="1:8">
      <c r="A4408" s="1"/>
      <c r="B4408" s="1"/>
      <c r="C4408" s="1"/>
      <c r="D4408" s="1"/>
      <c r="E4408" s="357">
        <v>45414</v>
      </c>
      <c r="F4408" s="344" t="s">
        <v>631</v>
      </c>
      <c r="G4408" s="358">
        <v>32.319899999999997</v>
      </c>
      <c r="H4408" s="344" t="s">
        <v>1736</v>
      </c>
    </row>
    <row r="4409" spans="1:8">
      <c r="A4409" s="1"/>
      <c r="B4409" s="1"/>
      <c r="C4409" s="1"/>
      <c r="D4409" s="1"/>
      <c r="E4409" s="357">
        <v>45415</v>
      </c>
      <c r="F4409" s="344" t="s">
        <v>621</v>
      </c>
      <c r="G4409" s="358">
        <v>35.448</v>
      </c>
      <c r="H4409" s="344" t="s">
        <v>1737</v>
      </c>
    </row>
    <row r="4410" spans="1:8">
      <c r="A4410" s="1"/>
      <c r="B4410" s="1"/>
      <c r="C4410" s="1"/>
      <c r="D4410" s="1"/>
      <c r="E4410" s="357">
        <v>45415</v>
      </c>
      <c r="F4410" s="344" t="s">
        <v>625</v>
      </c>
      <c r="G4410" s="358">
        <v>34.633499999999998</v>
      </c>
      <c r="H4410" s="344" t="s">
        <v>1737</v>
      </c>
    </row>
    <row r="4411" spans="1:8">
      <c r="A4411" s="1"/>
      <c r="B4411" s="1"/>
      <c r="C4411" s="1"/>
      <c r="D4411" s="1"/>
      <c r="E4411" s="357">
        <v>45415</v>
      </c>
      <c r="F4411" s="344" t="s">
        <v>628</v>
      </c>
      <c r="G4411" s="358">
        <v>40.414999999999999</v>
      </c>
      <c r="H4411" s="344" t="s">
        <v>1737</v>
      </c>
    </row>
    <row r="4412" spans="1:8">
      <c r="A4412" s="1"/>
      <c r="B4412" s="1"/>
      <c r="C4412" s="1"/>
      <c r="D4412" s="1"/>
      <c r="E4412" s="357">
        <v>45415</v>
      </c>
      <c r="F4412" s="344" t="s">
        <v>631</v>
      </c>
      <c r="G4412" s="358">
        <v>32.247199999999999</v>
      </c>
      <c r="H4412" s="344" t="s">
        <v>1737</v>
      </c>
    </row>
    <row r="4413" spans="1:8">
      <c r="A4413" s="1"/>
      <c r="B4413" s="1"/>
      <c r="C4413" s="1"/>
      <c r="D4413" s="1"/>
      <c r="E4413" s="357">
        <v>45418</v>
      </c>
      <c r="F4413" s="344" t="s">
        <v>621</v>
      </c>
      <c r="G4413" s="358">
        <v>35.5092</v>
      </c>
      <c r="H4413" s="344" t="s">
        <v>1738</v>
      </c>
    </row>
    <row r="4414" spans="1:8">
      <c r="A4414" s="1"/>
      <c r="B4414" s="1"/>
      <c r="C4414" s="1"/>
      <c r="D4414" s="1"/>
      <c r="E4414" s="357">
        <v>45418</v>
      </c>
      <c r="F4414" s="344" t="s">
        <v>625</v>
      </c>
      <c r="G4414" s="358">
        <v>34.699300000000001</v>
      </c>
      <c r="H4414" s="344" t="s">
        <v>1738</v>
      </c>
    </row>
    <row r="4415" spans="1:8">
      <c r="A4415" s="1"/>
      <c r="B4415" s="1"/>
      <c r="C4415" s="1"/>
      <c r="D4415" s="1"/>
      <c r="E4415" s="357">
        <v>45418</v>
      </c>
      <c r="F4415" s="344" t="s">
        <v>628</v>
      </c>
      <c r="G4415" s="358">
        <v>40.446300000000001</v>
      </c>
      <c r="H4415" s="344" t="s">
        <v>1738</v>
      </c>
    </row>
    <row r="4416" spans="1:8">
      <c r="A4416" s="1"/>
      <c r="B4416" s="1"/>
      <c r="C4416" s="1"/>
      <c r="D4416" s="1"/>
      <c r="E4416" s="357">
        <v>45418</v>
      </c>
      <c r="F4416" s="344" t="s">
        <v>631</v>
      </c>
      <c r="G4416" s="358">
        <v>32.224200000000003</v>
      </c>
      <c r="H4416" s="344" t="s">
        <v>1738</v>
      </c>
    </row>
    <row r="4417" spans="1:8">
      <c r="A4417" s="1"/>
      <c r="B4417" s="1"/>
      <c r="C4417" s="1"/>
      <c r="D4417" s="1"/>
      <c r="E4417" s="357">
        <v>45419</v>
      </c>
      <c r="F4417" s="344" t="s">
        <v>621</v>
      </c>
      <c r="G4417" s="358">
        <v>35.4146</v>
      </c>
      <c r="H4417" s="344" t="s">
        <v>1739</v>
      </c>
    </row>
    <row r="4418" spans="1:8">
      <c r="A4418" s="1"/>
      <c r="B4418" s="1"/>
      <c r="C4418" s="1"/>
      <c r="D4418" s="1"/>
      <c r="E4418" s="357">
        <v>45419</v>
      </c>
      <c r="F4418" s="344" t="s">
        <v>625</v>
      </c>
      <c r="G4418" s="358">
        <v>34.6708</v>
      </c>
      <c r="H4418" s="344" t="s">
        <v>1739</v>
      </c>
    </row>
    <row r="4419" spans="1:8">
      <c r="A4419" s="1"/>
      <c r="B4419" s="1"/>
      <c r="C4419" s="1"/>
      <c r="D4419" s="1"/>
      <c r="E4419" s="357">
        <v>45419</v>
      </c>
      <c r="F4419" s="344" t="s">
        <v>628</v>
      </c>
      <c r="G4419" s="358">
        <v>40.323999999999998</v>
      </c>
      <c r="H4419" s="344" t="s">
        <v>1739</v>
      </c>
    </row>
    <row r="4420" spans="1:8">
      <c r="A4420" s="1"/>
      <c r="B4420" s="1"/>
      <c r="C4420" s="1"/>
      <c r="D4420" s="1"/>
      <c r="E4420" s="357">
        <v>45419</v>
      </c>
      <c r="F4420" s="344" t="s">
        <v>631</v>
      </c>
      <c r="G4420" s="358">
        <v>32.207299999999996</v>
      </c>
      <c r="H4420" s="344" t="s">
        <v>1739</v>
      </c>
    </row>
    <row r="4421" spans="1:8">
      <c r="A4421" s="1"/>
      <c r="B4421" s="1"/>
      <c r="C4421" s="1"/>
      <c r="D4421" s="1"/>
      <c r="E4421" s="357">
        <v>45420</v>
      </c>
      <c r="F4421" s="344" t="s">
        <v>621</v>
      </c>
      <c r="G4421" s="358">
        <v>35.357799999999997</v>
      </c>
      <c r="H4421" s="344" t="s">
        <v>1740</v>
      </c>
    </row>
    <row r="4422" spans="1:8">
      <c r="A4422" s="1"/>
      <c r="B4422" s="1"/>
      <c r="C4422" s="1"/>
      <c r="D4422" s="1"/>
      <c r="E4422" s="357">
        <v>45420</v>
      </c>
      <c r="F4422" s="344" t="s">
        <v>625</v>
      </c>
      <c r="G4422" s="358">
        <v>34.607500000000002</v>
      </c>
      <c r="H4422" s="344" t="s">
        <v>1740</v>
      </c>
    </row>
    <row r="4423" spans="1:8">
      <c r="A4423" s="1"/>
      <c r="B4423" s="1"/>
      <c r="C4423" s="1"/>
      <c r="D4423" s="1"/>
      <c r="E4423" s="357">
        <v>45420</v>
      </c>
      <c r="F4423" s="344" t="s">
        <v>628</v>
      </c>
      <c r="G4423" s="358">
        <v>40.141199999999998</v>
      </c>
      <c r="H4423" s="344" t="s">
        <v>1740</v>
      </c>
    </row>
    <row r="4424" spans="1:8">
      <c r="A4424" s="1"/>
      <c r="B4424" s="1"/>
      <c r="C4424" s="1"/>
      <c r="D4424" s="1"/>
      <c r="E4424" s="357">
        <v>45420</v>
      </c>
      <c r="F4424" s="344" t="s">
        <v>631</v>
      </c>
      <c r="G4424" s="358">
        <v>32.207000000000001</v>
      </c>
      <c r="H4424" s="344" t="s">
        <v>1740</v>
      </c>
    </row>
    <row r="4425" spans="1:8">
      <c r="A4425" s="1"/>
      <c r="B4425" s="1"/>
      <c r="C4425" s="1"/>
      <c r="D4425" s="1"/>
      <c r="E4425" s="357">
        <v>45421</v>
      </c>
      <c r="F4425" s="344" t="s">
        <v>621</v>
      </c>
      <c r="G4425" s="358">
        <v>35.307699999999997</v>
      </c>
      <c r="H4425" s="344" t="s">
        <v>1741</v>
      </c>
    </row>
    <row r="4426" spans="1:8">
      <c r="A4426" s="1"/>
      <c r="B4426" s="1"/>
      <c r="C4426" s="1"/>
      <c r="D4426" s="1"/>
      <c r="E4426" s="357">
        <v>45421</v>
      </c>
      <c r="F4426" s="344" t="s">
        <v>625</v>
      </c>
      <c r="G4426" s="358">
        <v>34.5334</v>
      </c>
      <c r="H4426" s="344" t="s">
        <v>1741</v>
      </c>
    </row>
    <row r="4427" spans="1:8">
      <c r="A4427" s="1"/>
      <c r="B4427" s="1"/>
      <c r="C4427" s="1"/>
      <c r="D4427" s="1"/>
      <c r="E4427" s="357">
        <v>45421</v>
      </c>
      <c r="F4427" s="344" t="s">
        <v>628</v>
      </c>
      <c r="G4427" s="358">
        <v>40.085599999999999</v>
      </c>
      <c r="H4427" s="344" t="s">
        <v>1741</v>
      </c>
    </row>
    <row r="4428" spans="1:8">
      <c r="A4428" s="1"/>
      <c r="B4428" s="1"/>
      <c r="C4428" s="1"/>
      <c r="D4428" s="1"/>
      <c r="E4428" s="357">
        <v>45421</v>
      </c>
      <c r="F4428" s="344" t="s">
        <v>631</v>
      </c>
      <c r="G4428" s="358">
        <v>32.177</v>
      </c>
      <c r="H4428" s="344" t="s">
        <v>1741</v>
      </c>
    </row>
    <row r="4429" spans="1:8">
      <c r="A4429" s="1"/>
      <c r="B4429" s="1"/>
      <c r="C4429" s="1"/>
      <c r="D4429" s="1"/>
      <c r="E4429" s="357">
        <v>45422</v>
      </c>
      <c r="F4429" s="344" t="s">
        <v>621</v>
      </c>
      <c r="G4429" s="358">
        <v>35.381999999999998</v>
      </c>
      <c r="H4429" s="344" t="s">
        <v>1742</v>
      </c>
    </row>
    <row r="4430" spans="1:8">
      <c r="A4430" s="1"/>
      <c r="B4430" s="1"/>
      <c r="C4430" s="1"/>
      <c r="D4430" s="1"/>
      <c r="E4430" s="357">
        <v>45422</v>
      </c>
      <c r="F4430" s="344" t="s">
        <v>625</v>
      </c>
      <c r="G4430" s="358">
        <v>34.659999999999997</v>
      </c>
      <c r="H4430" s="344" t="s">
        <v>1742</v>
      </c>
    </row>
    <row r="4431" spans="1:8">
      <c r="A4431" s="1"/>
      <c r="B4431" s="1"/>
      <c r="C4431" s="1"/>
      <c r="D4431" s="1"/>
      <c r="E4431" s="357">
        <v>45422</v>
      </c>
      <c r="F4431" s="344" t="s">
        <v>628</v>
      </c>
      <c r="G4431" s="358">
        <v>40.225200000000001</v>
      </c>
      <c r="H4431" s="344" t="s">
        <v>1742</v>
      </c>
    </row>
    <row r="4432" spans="1:8">
      <c r="A4432" s="1"/>
      <c r="B4432" s="1"/>
      <c r="C4432" s="1"/>
      <c r="D4432" s="1"/>
      <c r="E4432" s="357">
        <v>45422</v>
      </c>
      <c r="F4432" s="344" t="s">
        <v>631</v>
      </c>
      <c r="G4432" s="358">
        <v>32.153399999999998</v>
      </c>
      <c r="H4432" s="344" t="s">
        <v>1742</v>
      </c>
    </row>
    <row r="4433" spans="1:8">
      <c r="A4433" s="1"/>
      <c r="B4433" s="1"/>
      <c r="C4433" s="1"/>
      <c r="D4433" s="1"/>
      <c r="E4433" s="357">
        <v>45425</v>
      </c>
      <c r="F4433" s="344" t="s">
        <v>621</v>
      </c>
      <c r="G4433" s="358">
        <v>35.376199999999997</v>
      </c>
      <c r="H4433" s="344" t="s">
        <v>1743</v>
      </c>
    </row>
    <row r="4434" spans="1:8">
      <c r="A4434" s="1"/>
      <c r="B4434" s="1"/>
      <c r="C4434" s="1"/>
      <c r="D4434" s="1"/>
      <c r="E4434" s="357">
        <v>45425</v>
      </c>
      <c r="F4434" s="344" t="s">
        <v>625</v>
      </c>
      <c r="G4434" s="358">
        <v>34.659100000000002</v>
      </c>
      <c r="H4434" s="344" t="s">
        <v>1743</v>
      </c>
    </row>
    <row r="4435" spans="1:8">
      <c r="A4435" s="1"/>
      <c r="B4435" s="1"/>
      <c r="C4435" s="1"/>
      <c r="D4435" s="1"/>
      <c r="E4435" s="357">
        <v>45425</v>
      </c>
      <c r="F4435" s="344" t="s">
        <v>628</v>
      </c>
      <c r="G4435" s="358">
        <v>40.2194</v>
      </c>
      <c r="H4435" s="344" t="s">
        <v>1743</v>
      </c>
    </row>
    <row r="4436" spans="1:8">
      <c r="A4436" s="1"/>
      <c r="B4436" s="1"/>
      <c r="C4436" s="1"/>
      <c r="D4436" s="1"/>
      <c r="E4436" s="357">
        <v>45425</v>
      </c>
      <c r="F4436" s="344" t="s">
        <v>631</v>
      </c>
      <c r="G4436" s="358">
        <v>32.1496</v>
      </c>
      <c r="H4436" s="344" t="s">
        <v>1743</v>
      </c>
    </row>
    <row r="4437" spans="1:8">
      <c r="A4437" s="1"/>
      <c r="B4437" s="1"/>
      <c r="C4437" s="1"/>
      <c r="D4437" s="1"/>
      <c r="E4437" s="357">
        <v>45426</v>
      </c>
      <c r="F4437" s="344" t="s">
        <v>621</v>
      </c>
      <c r="G4437" s="358">
        <v>35.384700000000002</v>
      </c>
      <c r="H4437" s="344" t="s">
        <v>1744</v>
      </c>
    </row>
    <row r="4438" spans="1:8">
      <c r="A4438" s="1"/>
      <c r="B4438" s="1"/>
      <c r="C4438" s="1"/>
      <c r="D4438" s="1"/>
      <c r="E4438" s="357">
        <v>45426</v>
      </c>
      <c r="F4438" s="344" t="s">
        <v>625</v>
      </c>
      <c r="G4438" s="358">
        <v>34.738799999999998</v>
      </c>
      <c r="H4438" s="344" t="s">
        <v>1744</v>
      </c>
    </row>
    <row r="4439" spans="1:8">
      <c r="A4439" s="1"/>
      <c r="B4439" s="1"/>
      <c r="C4439" s="1"/>
      <c r="D4439" s="1"/>
      <c r="E4439" s="357">
        <v>45426</v>
      </c>
      <c r="F4439" s="344" t="s">
        <v>628</v>
      </c>
      <c r="G4439" s="358">
        <v>40.3307</v>
      </c>
      <c r="H4439" s="344" t="s">
        <v>1744</v>
      </c>
    </row>
    <row r="4440" spans="1:8">
      <c r="A4440" s="1"/>
      <c r="B4440" s="1"/>
      <c r="C4440" s="1"/>
      <c r="D4440" s="1"/>
      <c r="E4440" s="357">
        <v>45426</v>
      </c>
      <c r="F4440" s="344" t="s">
        <v>631</v>
      </c>
      <c r="G4440" s="358">
        <v>32.194600000000001</v>
      </c>
      <c r="H4440" s="344" t="s">
        <v>1744</v>
      </c>
    </row>
    <row r="4441" spans="1:8">
      <c r="A4441" s="1"/>
      <c r="B4441" s="1"/>
      <c r="C4441" s="1"/>
      <c r="D4441" s="1"/>
      <c r="E4441" s="357">
        <v>45427</v>
      </c>
      <c r="F4441" s="344" t="s">
        <v>621</v>
      </c>
      <c r="G4441" s="358">
        <v>35.520000000000003</v>
      </c>
      <c r="H4441" s="344" t="s">
        <v>1745</v>
      </c>
    </row>
    <row r="4442" spans="1:8">
      <c r="A4442" s="1"/>
      <c r="B4442" s="1"/>
      <c r="C4442" s="1"/>
      <c r="D4442" s="1"/>
      <c r="E4442" s="357">
        <v>45427</v>
      </c>
      <c r="F4442" s="344" t="s">
        <v>625</v>
      </c>
      <c r="G4442" s="358">
        <v>34.898499999999999</v>
      </c>
      <c r="H4442" s="344" t="s">
        <v>1745</v>
      </c>
    </row>
    <row r="4443" spans="1:8">
      <c r="A4443" s="1"/>
      <c r="B4443" s="1"/>
      <c r="C4443" s="1"/>
      <c r="D4443" s="1"/>
      <c r="E4443" s="357">
        <v>45427</v>
      </c>
      <c r="F4443" s="344" t="s">
        <v>628</v>
      </c>
      <c r="G4443" s="358">
        <v>40.564900000000002</v>
      </c>
      <c r="H4443" s="344" t="s">
        <v>1745</v>
      </c>
    </row>
    <row r="4444" spans="1:8">
      <c r="A4444" s="1"/>
      <c r="B4444" s="1"/>
      <c r="C4444" s="1"/>
      <c r="D4444" s="1"/>
      <c r="E4444" s="357">
        <v>45427</v>
      </c>
      <c r="F4444" s="344" t="s">
        <v>631</v>
      </c>
      <c r="G4444" s="358">
        <v>32.229599999999998</v>
      </c>
      <c r="H4444" s="344" t="s">
        <v>1745</v>
      </c>
    </row>
    <row r="4445" spans="1:8">
      <c r="A4445" s="1"/>
      <c r="B4445" s="1"/>
      <c r="C4445" s="1"/>
      <c r="D4445" s="1"/>
      <c r="E4445" s="357">
        <v>45428</v>
      </c>
      <c r="F4445" s="344" t="s">
        <v>621</v>
      </c>
      <c r="G4445" s="358">
        <v>35.573300000000003</v>
      </c>
      <c r="H4445" s="344" t="s">
        <v>1746</v>
      </c>
    </row>
    <row r="4446" spans="1:8">
      <c r="A4446" s="1"/>
      <c r="B4446" s="1"/>
      <c r="C4446" s="1"/>
      <c r="D4446" s="1"/>
      <c r="E4446" s="357">
        <v>45428</v>
      </c>
      <c r="F4446" s="344" t="s">
        <v>625</v>
      </c>
      <c r="G4446" s="358">
        <v>34.962200000000003</v>
      </c>
      <c r="H4446" s="344" t="s">
        <v>1746</v>
      </c>
    </row>
    <row r="4447" spans="1:8">
      <c r="A4447" s="1"/>
      <c r="B4447" s="1"/>
      <c r="C4447" s="1"/>
      <c r="D4447" s="1"/>
      <c r="E4447" s="357">
        <v>45428</v>
      </c>
      <c r="F4447" s="344" t="s">
        <v>628</v>
      </c>
      <c r="G4447" s="358">
        <v>40.676600000000001</v>
      </c>
      <c r="H4447" s="344" t="s">
        <v>1746</v>
      </c>
    </row>
    <row r="4448" spans="1:8">
      <c r="A4448" s="1"/>
      <c r="B4448" s="1"/>
      <c r="C4448" s="1"/>
      <c r="D4448" s="1"/>
      <c r="E4448" s="357">
        <v>45428</v>
      </c>
      <c r="F4448" s="344" t="s">
        <v>631</v>
      </c>
      <c r="G4448" s="358">
        <v>32.157299999999999</v>
      </c>
      <c r="H4448" s="344" t="s">
        <v>1746</v>
      </c>
    </row>
    <row r="4449" spans="1:8">
      <c r="A4449" s="1"/>
      <c r="B4449" s="1"/>
      <c r="C4449" s="1"/>
      <c r="D4449" s="1"/>
      <c r="E4449" s="357">
        <v>45429</v>
      </c>
      <c r="F4449" s="344" t="s">
        <v>621</v>
      </c>
      <c r="G4449" s="358">
        <v>35.3536</v>
      </c>
      <c r="H4449" s="344" t="s">
        <v>1747</v>
      </c>
    </row>
    <row r="4450" spans="1:8">
      <c r="A4450" s="1"/>
      <c r="B4450" s="1"/>
      <c r="C4450" s="1"/>
      <c r="D4450" s="1"/>
      <c r="E4450" s="357">
        <v>45429</v>
      </c>
      <c r="F4450" s="344" t="s">
        <v>625</v>
      </c>
      <c r="G4450" s="358">
        <v>34.926499999999997</v>
      </c>
      <c r="H4450" s="344" t="s">
        <v>1747</v>
      </c>
    </row>
    <row r="4451" spans="1:8">
      <c r="A4451" s="1"/>
      <c r="B4451" s="1"/>
      <c r="C4451" s="1"/>
      <c r="D4451" s="1"/>
      <c r="E4451" s="357">
        <v>45429</v>
      </c>
      <c r="F4451" s="344" t="s">
        <v>628</v>
      </c>
      <c r="G4451" s="358">
        <v>40.671399999999998</v>
      </c>
      <c r="H4451" s="344" t="s">
        <v>1747</v>
      </c>
    </row>
    <row r="4452" spans="1:8">
      <c r="A4452" s="1"/>
      <c r="B4452" s="1"/>
      <c r="C4452" s="1"/>
      <c r="D4452" s="1"/>
      <c r="E4452" s="357">
        <v>45429</v>
      </c>
      <c r="F4452" s="344" t="s">
        <v>631</v>
      </c>
      <c r="G4452" s="358">
        <v>32.194000000000003</v>
      </c>
      <c r="H4452" s="344" t="s">
        <v>1747</v>
      </c>
    </row>
    <row r="4453" spans="1:8">
      <c r="A4453" s="1"/>
      <c r="B4453" s="1"/>
      <c r="C4453" s="1"/>
      <c r="D4453" s="1"/>
      <c r="E4453" s="357">
        <v>45432</v>
      </c>
      <c r="F4453" s="344" t="s">
        <v>621</v>
      </c>
      <c r="G4453" s="358">
        <v>35.283299999999997</v>
      </c>
      <c r="H4453" s="344" t="s">
        <v>1748</v>
      </c>
    </row>
    <row r="4454" spans="1:8">
      <c r="A4454" s="1"/>
      <c r="B4454" s="1"/>
      <c r="C4454" s="1"/>
      <c r="D4454" s="1"/>
      <c r="E4454" s="357">
        <v>45432</v>
      </c>
      <c r="F4454" s="344" t="s">
        <v>625</v>
      </c>
      <c r="G4454" s="358">
        <v>34.956499999999998</v>
      </c>
      <c r="H4454" s="344" t="s">
        <v>1748</v>
      </c>
    </row>
    <row r="4455" spans="1:8">
      <c r="A4455" s="1"/>
      <c r="B4455" s="1"/>
      <c r="C4455" s="1"/>
      <c r="D4455" s="1"/>
      <c r="E4455" s="357">
        <v>45432</v>
      </c>
      <c r="F4455" s="344" t="s">
        <v>628</v>
      </c>
      <c r="G4455" s="358">
        <v>40.769100000000002</v>
      </c>
      <c r="H4455" s="344" t="s">
        <v>1748</v>
      </c>
    </row>
    <row r="4456" spans="1:8">
      <c r="A4456" s="1"/>
      <c r="B4456" s="1"/>
      <c r="C4456" s="1"/>
      <c r="D4456" s="1"/>
      <c r="E4456" s="357">
        <v>45432</v>
      </c>
      <c r="F4456" s="344" t="s">
        <v>631</v>
      </c>
      <c r="G4456" s="358">
        <v>32.155999999999999</v>
      </c>
      <c r="H4456" s="344" t="s">
        <v>1748</v>
      </c>
    </row>
    <row r="4457" spans="1:8">
      <c r="A4457" s="1"/>
      <c r="B4457" s="1"/>
      <c r="C4457" s="1"/>
      <c r="D4457" s="1"/>
      <c r="E4457" s="357">
        <v>45433</v>
      </c>
      <c r="F4457" s="344" t="s">
        <v>621</v>
      </c>
      <c r="G4457" s="358">
        <v>35.264200000000002</v>
      </c>
      <c r="H4457" s="344" t="s">
        <v>1749</v>
      </c>
    </row>
    <row r="4458" spans="1:8">
      <c r="A4458" s="1"/>
      <c r="B4458" s="1"/>
      <c r="C4458" s="1"/>
      <c r="D4458" s="1"/>
      <c r="E4458" s="357">
        <v>45433</v>
      </c>
      <c r="F4458" s="344" t="s">
        <v>625</v>
      </c>
      <c r="G4458" s="358">
        <v>34.943800000000003</v>
      </c>
      <c r="H4458" s="344" t="s">
        <v>1749</v>
      </c>
    </row>
    <row r="4459" spans="1:8">
      <c r="A4459" s="1"/>
      <c r="B4459" s="1"/>
      <c r="C4459" s="1"/>
      <c r="D4459" s="1"/>
      <c r="E4459" s="357">
        <v>45433</v>
      </c>
      <c r="F4459" s="344" t="s">
        <v>628</v>
      </c>
      <c r="G4459" s="358">
        <v>40.818399999999997</v>
      </c>
      <c r="H4459" s="344" t="s">
        <v>1749</v>
      </c>
    </row>
    <row r="4460" spans="1:8">
      <c r="A4460" s="1"/>
      <c r="B4460" s="1"/>
      <c r="C4460" s="1"/>
      <c r="D4460" s="1"/>
      <c r="E4460" s="357">
        <v>45433</v>
      </c>
      <c r="F4460" s="344" t="s">
        <v>631</v>
      </c>
      <c r="G4460" s="358">
        <v>32.1556</v>
      </c>
      <c r="H4460" s="344" t="s">
        <v>1749</v>
      </c>
    </row>
    <row r="4461" spans="1:8">
      <c r="A4461" s="1"/>
      <c r="B4461" s="1"/>
      <c r="C4461" s="1"/>
      <c r="D4461" s="1"/>
      <c r="E4461" s="357">
        <v>45434</v>
      </c>
      <c r="F4461" s="344" t="s">
        <v>621</v>
      </c>
      <c r="G4461" s="358">
        <v>35.083199999999998</v>
      </c>
      <c r="H4461" s="344" t="s">
        <v>1750</v>
      </c>
    </row>
    <row r="4462" spans="1:8">
      <c r="A4462" s="1"/>
      <c r="B4462" s="1"/>
      <c r="C4462" s="1"/>
      <c r="D4462" s="1"/>
      <c r="E4462" s="357">
        <v>45434</v>
      </c>
      <c r="F4462" s="344" t="s">
        <v>625</v>
      </c>
      <c r="G4462" s="358">
        <v>34.839399999999998</v>
      </c>
      <c r="H4462" s="344" t="s">
        <v>1750</v>
      </c>
    </row>
    <row r="4463" spans="1:8">
      <c r="A4463" s="1"/>
      <c r="B4463" s="1"/>
      <c r="C4463" s="1"/>
      <c r="D4463" s="1"/>
      <c r="E4463" s="357">
        <v>45434</v>
      </c>
      <c r="F4463" s="344" t="s">
        <v>628</v>
      </c>
      <c r="G4463" s="358">
        <v>40.8279</v>
      </c>
      <c r="H4463" s="344" t="s">
        <v>1750</v>
      </c>
    </row>
    <row r="4464" spans="1:8">
      <c r="A4464" s="1"/>
      <c r="B4464" s="1"/>
      <c r="C4464" s="1"/>
      <c r="D4464" s="1"/>
      <c r="E4464" s="357">
        <v>45434</v>
      </c>
      <c r="F4464" s="344" t="s">
        <v>631</v>
      </c>
      <c r="G4464" s="358">
        <v>32.120899999999999</v>
      </c>
      <c r="H4464" s="344" t="s">
        <v>1750</v>
      </c>
    </row>
    <row r="4465" spans="1:8">
      <c r="A4465" s="1"/>
      <c r="B4465" s="1"/>
      <c r="C4465" s="1"/>
      <c r="D4465" s="1"/>
      <c r="E4465" s="357">
        <v>45435</v>
      </c>
      <c r="F4465" s="344" t="s">
        <v>621</v>
      </c>
      <c r="G4465" s="358">
        <v>35.083199999999998</v>
      </c>
      <c r="H4465" s="344" t="s">
        <v>1751</v>
      </c>
    </row>
    <row r="4466" spans="1:8">
      <c r="A4466" s="1"/>
      <c r="B4466" s="1"/>
      <c r="C4466" s="1"/>
      <c r="D4466" s="1"/>
      <c r="E4466" s="357">
        <v>45435</v>
      </c>
      <c r="F4466" s="344" t="s">
        <v>625</v>
      </c>
      <c r="G4466" s="358">
        <v>34.841299999999997</v>
      </c>
      <c r="H4466" s="344" t="s">
        <v>1751</v>
      </c>
    </row>
    <row r="4467" spans="1:8">
      <c r="A4467" s="1"/>
      <c r="B4467" s="1"/>
      <c r="C4467" s="1"/>
      <c r="D4467" s="1"/>
      <c r="E4467" s="357">
        <v>45435</v>
      </c>
      <c r="F4467" s="344" t="s">
        <v>628</v>
      </c>
      <c r="G4467" s="358">
        <v>40.8371</v>
      </c>
      <c r="H4467" s="344" t="s">
        <v>1751</v>
      </c>
    </row>
    <row r="4468" spans="1:8">
      <c r="A4468" s="1"/>
      <c r="B4468" s="1"/>
      <c r="C4468" s="1"/>
      <c r="D4468" s="1"/>
      <c r="E4468" s="357">
        <v>45435</v>
      </c>
      <c r="F4468" s="344" t="s">
        <v>631</v>
      </c>
      <c r="G4468" s="358">
        <v>32.142099999999999</v>
      </c>
      <c r="H4468" s="344" t="s">
        <v>1751</v>
      </c>
    </row>
    <row r="4469" spans="1:8">
      <c r="A4469" s="1"/>
      <c r="B4469" s="1"/>
      <c r="C4469" s="1"/>
      <c r="D4469" s="1"/>
      <c r="E4469" s="357">
        <v>45436</v>
      </c>
      <c r="F4469" s="344" t="s">
        <v>621</v>
      </c>
      <c r="G4469" s="358">
        <v>35.0533</v>
      </c>
      <c r="H4469" s="344" t="s">
        <v>1752</v>
      </c>
    </row>
    <row r="4470" spans="1:8">
      <c r="A4470" s="1"/>
      <c r="B4470" s="1"/>
      <c r="C4470" s="1"/>
      <c r="D4470" s="1"/>
      <c r="E4470" s="357">
        <v>45436</v>
      </c>
      <c r="F4470" s="344" t="s">
        <v>625</v>
      </c>
      <c r="G4470" s="358">
        <v>34.808900000000001</v>
      </c>
      <c r="H4470" s="344" t="s">
        <v>1752</v>
      </c>
    </row>
    <row r="4471" spans="1:8">
      <c r="A4471" s="1"/>
      <c r="B4471" s="1"/>
      <c r="C4471" s="1"/>
      <c r="D4471" s="1"/>
      <c r="E4471" s="357">
        <v>45436</v>
      </c>
      <c r="F4471" s="344" t="s">
        <v>628</v>
      </c>
      <c r="G4471" s="358">
        <v>40.780299999999997</v>
      </c>
      <c r="H4471" s="344" t="s">
        <v>1752</v>
      </c>
    </row>
    <row r="4472" spans="1:8">
      <c r="A4472" s="1"/>
      <c r="B4472" s="1"/>
      <c r="C4472" s="1"/>
      <c r="D4472" s="1"/>
      <c r="E4472" s="357">
        <v>45436</v>
      </c>
      <c r="F4472" s="344" t="s">
        <v>631</v>
      </c>
      <c r="G4472" s="358">
        <v>32.145200000000003</v>
      </c>
      <c r="H4472" s="344" t="s">
        <v>1752</v>
      </c>
    </row>
    <row r="4473" spans="1:8">
      <c r="A4473" s="1"/>
      <c r="B4473" s="1"/>
      <c r="C4473" s="1"/>
      <c r="D4473" s="1"/>
      <c r="E4473" s="357">
        <v>45439</v>
      </c>
      <c r="F4473" s="344" t="s">
        <v>621</v>
      </c>
      <c r="G4473" s="358">
        <v>35.058100000000003</v>
      </c>
      <c r="H4473" s="344" t="s">
        <v>1753</v>
      </c>
    </row>
    <row r="4474" spans="1:8">
      <c r="A4474" s="1"/>
      <c r="B4474" s="1"/>
      <c r="C4474" s="1"/>
      <c r="D4474" s="1"/>
      <c r="E4474" s="357">
        <v>45439</v>
      </c>
      <c r="F4474" s="344" t="s">
        <v>625</v>
      </c>
      <c r="G4474" s="358">
        <v>34.881999999999998</v>
      </c>
      <c r="H4474" s="344" t="s">
        <v>1753</v>
      </c>
    </row>
    <row r="4475" spans="1:8">
      <c r="A4475" s="1"/>
      <c r="B4475" s="1"/>
      <c r="C4475" s="1"/>
      <c r="D4475" s="1"/>
      <c r="E4475" s="357">
        <v>45439</v>
      </c>
      <c r="F4475" s="344" t="s">
        <v>628</v>
      </c>
      <c r="G4475" s="358">
        <v>40.892600000000002</v>
      </c>
      <c r="H4475" s="344" t="s">
        <v>1753</v>
      </c>
    </row>
    <row r="4476" spans="1:8">
      <c r="A4476" s="1"/>
      <c r="B4476" s="1"/>
      <c r="C4476" s="1"/>
      <c r="D4476" s="1"/>
      <c r="E4476" s="357">
        <v>45439</v>
      </c>
      <c r="F4476" s="344" t="s">
        <v>631</v>
      </c>
      <c r="G4476" s="358">
        <v>32.131100000000004</v>
      </c>
      <c r="H4476" s="344" t="s">
        <v>1753</v>
      </c>
    </row>
    <row r="4477" spans="1:8">
      <c r="A4477" s="1"/>
      <c r="B4477" s="1"/>
      <c r="C4477" s="1"/>
      <c r="D4477" s="1"/>
      <c r="E4477" s="357">
        <v>45440</v>
      </c>
      <c r="F4477" s="344" t="s">
        <v>621</v>
      </c>
      <c r="G4477" s="358">
        <v>35.166800000000002</v>
      </c>
      <c r="H4477" s="344" t="s">
        <v>1754</v>
      </c>
    </row>
    <row r="4478" spans="1:8">
      <c r="A4478" s="1"/>
      <c r="B4478" s="1"/>
      <c r="C4478" s="1"/>
      <c r="D4478" s="1"/>
      <c r="E4478" s="357">
        <v>45440</v>
      </c>
      <c r="F4478" s="344" t="s">
        <v>625</v>
      </c>
      <c r="G4478" s="358">
        <v>34.938299999999998</v>
      </c>
      <c r="H4478" s="344" t="s">
        <v>1754</v>
      </c>
    </row>
    <row r="4479" spans="1:8">
      <c r="A4479" s="1"/>
      <c r="B4479" s="1"/>
      <c r="C4479" s="1"/>
      <c r="D4479" s="1"/>
      <c r="E4479" s="357">
        <v>45440</v>
      </c>
      <c r="F4479" s="344" t="s">
        <v>628</v>
      </c>
      <c r="G4479" s="358">
        <v>40.964100000000002</v>
      </c>
      <c r="H4479" s="344" t="s">
        <v>1754</v>
      </c>
    </row>
    <row r="4480" spans="1:8">
      <c r="A4480" s="1"/>
      <c r="B4480" s="1"/>
      <c r="C4480" s="1"/>
      <c r="D4480" s="1"/>
      <c r="E4480" s="357">
        <v>45440</v>
      </c>
      <c r="F4480" s="344" t="s">
        <v>631</v>
      </c>
      <c r="G4480" s="358">
        <v>32.1203</v>
      </c>
      <c r="H4480" s="344" t="s">
        <v>1754</v>
      </c>
    </row>
    <row r="4481" spans="1:8">
      <c r="A4481" s="1"/>
      <c r="B4481" s="1"/>
      <c r="C4481" s="1"/>
      <c r="D4481" s="1"/>
      <c r="E4481" s="357">
        <v>45441</v>
      </c>
      <c r="F4481" s="344" t="s">
        <v>621</v>
      </c>
      <c r="G4481" s="358">
        <v>35.189100000000003</v>
      </c>
      <c r="H4481" s="344" t="s">
        <v>1755</v>
      </c>
    </row>
    <row r="4482" spans="1:8">
      <c r="A4482" s="1"/>
      <c r="B4482" s="1"/>
      <c r="C4482" s="1"/>
      <c r="D4482" s="1"/>
      <c r="E4482" s="357">
        <v>45441</v>
      </c>
      <c r="F4482" s="344" t="s">
        <v>625</v>
      </c>
      <c r="G4482" s="358">
        <v>34.917999999999999</v>
      </c>
      <c r="H4482" s="344" t="s">
        <v>1755</v>
      </c>
    </row>
    <row r="4483" spans="1:8">
      <c r="A4483" s="1"/>
      <c r="B4483" s="1"/>
      <c r="C4483" s="1"/>
      <c r="D4483" s="1"/>
      <c r="E4483" s="357">
        <v>45441</v>
      </c>
      <c r="F4483" s="344" t="s">
        <v>628</v>
      </c>
      <c r="G4483" s="358">
        <v>40.988399999999999</v>
      </c>
      <c r="H4483" s="344" t="s">
        <v>1755</v>
      </c>
    </row>
    <row r="4484" spans="1:8">
      <c r="A4484" s="1"/>
      <c r="B4484" s="1"/>
      <c r="C4484" s="1"/>
      <c r="D4484" s="1"/>
      <c r="E4484" s="357">
        <v>45441</v>
      </c>
      <c r="F4484" s="344" t="s">
        <v>631</v>
      </c>
      <c r="G4484" s="358">
        <v>32.187399999999997</v>
      </c>
      <c r="H4484" s="344" t="s">
        <v>1755</v>
      </c>
    </row>
    <row r="4485" spans="1:8">
      <c r="A4485" s="1"/>
      <c r="B4485" s="1"/>
      <c r="C4485" s="1"/>
      <c r="D4485" s="1"/>
      <c r="E4485" s="357">
        <v>45442</v>
      </c>
      <c r="F4485" s="344" t="s">
        <v>621</v>
      </c>
      <c r="G4485" s="358">
        <v>35.4298</v>
      </c>
      <c r="H4485" s="344" t="s">
        <v>1756</v>
      </c>
    </row>
    <row r="4486" spans="1:8">
      <c r="A4486" s="1"/>
      <c r="B4486" s="1"/>
      <c r="C4486" s="1"/>
      <c r="D4486" s="1"/>
      <c r="E4486" s="357">
        <v>45442</v>
      </c>
      <c r="F4486" s="344" t="s">
        <v>625</v>
      </c>
      <c r="G4486" s="358">
        <v>34.865400000000001</v>
      </c>
      <c r="H4486" s="344" t="s">
        <v>1756</v>
      </c>
    </row>
    <row r="4487" spans="1:8">
      <c r="A4487" s="1"/>
      <c r="B4487" s="1"/>
      <c r="C4487" s="1"/>
      <c r="D4487" s="1"/>
      <c r="E4487" s="357">
        <v>45442</v>
      </c>
      <c r="F4487" s="344" t="s">
        <v>628</v>
      </c>
      <c r="G4487" s="358">
        <v>40.909199999999998</v>
      </c>
      <c r="H4487" s="344" t="s">
        <v>1756</v>
      </c>
    </row>
    <row r="4488" spans="1:8">
      <c r="A4488" s="1"/>
      <c r="B4488" s="1"/>
      <c r="C4488" s="1"/>
      <c r="D4488" s="1"/>
      <c r="E4488" s="357">
        <v>45442</v>
      </c>
      <c r="F4488" s="344" t="s">
        <v>631</v>
      </c>
      <c r="G4488" s="358">
        <v>32.248899999999999</v>
      </c>
      <c r="H4488" s="344" t="s">
        <v>1756</v>
      </c>
    </row>
    <row r="4489" spans="1:8">
      <c r="A4489" s="1"/>
      <c r="B4489" s="1"/>
      <c r="C4489" s="1"/>
      <c r="D4489" s="1"/>
      <c r="E4489" s="357">
        <v>45443</v>
      </c>
      <c r="F4489" s="344" t="s">
        <v>621</v>
      </c>
      <c r="G4489" s="358">
        <v>35.407400000000003</v>
      </c>
      <c r="H4489" s="344" t="s">
        <v>1757</v>
      </c>
    </row>
    <row r="4490" spans="1:8">
      <c r="A4490" s="1"/>
      <c r="B4490" s="1"/>
      <c r="C4490" s="1"/>
      <c r="D4490" s="1"/>
      <c r="E4490" s="357">
        <v>45443</v>
      </c>
      <c r="F4490" s="344" t="s">
        <v>625</v>
      </c>
      <c r="G4490" s="358">
        <v>34.828299999999999</v>
      </c>
      <c r="H4490" s="344" t="s">
        <v>1757</v>
      </c>
    </row>
    <row r="4491" spans="1:8">
      <c r="A4491" s="1"/>
      <c r="B4491" s="1"/>
      <c r="C4491" s="1"/>
      <c r="D4491" s="1"/>
      <c r="E4491" s="357">
        <v>45443</v>
      </c>
      <c r="F4491" s="344" t="s">
        <v>628</v>
      </c>
      <c r="G4491" s="358">
        <v>40.789499999999997</v>
      </c>
      <c r="H4491" s="344" t="s">
        <v>1757</v>
      </c>
    </row>
    <row r="4492" spans="1:8">
      <c r="A4492" s="1"/>
      <c r="B4492" s="1"/>
      <c r="C4492" s="1"/>
      <c r="D4492" s="1"/>
      <c r="E4492" s="357">
        <v>45443</v>
      </c>
      <c r="F4492" s="344" t="s">
        <v>631</v>
      </c>
      <c r="G4492" s="358">
        <v>32.133899999999997</v>
      </c>
      <c r="H4492" s="344" t="s">
        <v>1757</v>
      </c>
    </row>
    <row r="4493" spans="1:8">
      <c r="A4493" s="1"/>
      <c r="B4493" s="1"/>
      <c r="C4493" s="1"/>
      <c r="D4493" s="1"/>
      <c r="E4493" s="357">
        <v>45446</v>
      </c>
      <c r="F4493" s="344" t="s">
        <v>621</v>
      </c>
      <c r="G4493" s="358">
        <v>35.560499999999998</v>
      </c>
      <c r="H4493" s="344" t="s">
        <v>1758</v>
      </c>
    </row>
    <row r="4494" spans="1:8">
      <c r="A4494" s="1"/>
      <c r="B4494" s="1"/>
      <c r="C4494" s="1"/>
      <c r="D4494" s="1"/>
      <c r="E4494" s="357">
        <v>45446</v>
      </c>
      <c r="F4494" s="344" t="s">
        <v>625</v>
      </c>
      <c r="G4494" s="358">
        <v>34.860700000000001</v>
      </c>
      <c r="H4494" s="344" t="s">
        <v>1758</v>
      </c>
    </row>
    <row r="4495" spans="1:8">
      <c r="A4495" s="1"/>
      <c r="B4495" s="1"/>
      <c r="C4495" s="1"/>
      <c r="D4495" s="1"/>
      <c r="E4495" s="357">
        <v>45446</v>
      </c>
      <c r="F4495" s="344" t="s">
        <v>628</v>
      </c>
      <c r="G4495" s="358">
        <v>40.820500000000003</v>
      </c>
      <c r="H4495" s="344" t="s">
        <v>1758</v>
      </c>
    </row>
    <row r="4496" spans="1:8">
      <c r="A4496" s="1"/>
      <c r="B4496" s="1"/>
      <c r="C4496" s="1"/>
      <c r="D4496" s="1"/>
      <c r="E4496" s="357">
        <v>45446</v>
      </c>
      <c r="F4496" s="344" t="s">
        <v>631</v>
      </c>
      <c r="G4496" s="358">
        <v>32.153399999999998</v>
      </c>
      <c r="H4496" s="344" t="s">
        <v>1758</v>
      </c>
    </row>
    <row r="4497" spans="1:8">
      <c r="A4497" s="1"/>
      <c r="B4497" s="1"/>
      <c r="C4497" s="1"/>
      <c r="D4497" s="1"/>
      <c r="E4497" s="357">
        <v>45447</v>
      </c>
      <c r="F4497" s="344" t="s">
        <v>621</v>
      </c>
      <c r="G4497" s="358">
        <v>35.995600000000003</v>
      </c>
      <c r="H4497" s="344" t="s">
        <v>1759</v>
      </c>
    </row>
    <row r="4498" spans="1:8">
      <c r="A4498" s="1"/>
      <c r="B4498" s="1"/>
      <c r="C4498" s="1"/>
      <c r="D4498" s="1"/>
      <c r="E4498" s="357">
        <v>45447</v>
      </c>
      <c r="F4498" s="344" t="s">
        <v>625</v>
      </c>
      <c r="G4498" s="358">
        <v>35.101900000000001</v>
      </c>
      <c r="H4498" s="344" t="s">
        <v>1759</v>
      </c>
    </row>
    <row r="4499" spans="1:8">
      <c r="A4499" s="1"/>
      <c r="B4499" s="1"/>
      <c r="C4499" s="1"/>
      <c r="D4499" s="1"/>
      <c r="E4499" s="357">
        <v>45447</v>
      </c>
      <c r="F4499" s="344" t="s">
        <v>628</v>
      </c>
      <c r="G4499" s="358">
        <v>41.1526</v>
      </c>
      <c r="H4499" s="344" t="s">
        <v>1759</v>
      </c>
    </row>
    <row r="4500" spans="1:8">
      <c r="A4500" s="1"/>
      <c r="B4500" s="1"/>
      <c r="C4500" s="1"/>
      <c r="D4500" s="1"/>
      <c r="E4500" s="357">
        <v>45447</v>
      </c>
      <c r="F4500" s="344" t="s">
        <v>631</v>
      </c>
      <c r="G4500" s="358">
        <v>32.268700000000003</v>
      </c>
      <c r="H4500" s="344" t="s">
        <v>1759</v>
      </c>
    </row>
    <row r="4501" spans="1:8">
      <c r="A4501" s="1"/>
      <c r="B4501" s="1"/>
      <c r="C4501" s="1"/>
      <c r="D4501" s="1"/>
      <c r="E4501" s="357">
        <v>45448</v>
      </c>
      <c r="F4501" s="344" t="s">
        <v>621</v>
      </c>
      <c r="G4501" s="358">
        <v>36.284100000000002</v>
      </c>
      <c r="H4501" s="344" t="s">
        <v>1760</v>
      </c>
    </row>
    <row r="4502" spans="1:8">
      <c r="A4502" s="1"/>
      <c r="B4502" s="1"/>
      <c r="C4502" s="1"/>
      <c r="D4502" s="1"/>
      <c r="E4502" s="357">
        <v>45448</v>
      </c>
      <c r="F4502" s="344" t="s">
        <v>625</v>
      </c>
      <c r="G4502" s="358">
        <v>35.286900000000003</v>
      </c>
      <c r="H4502" s="344" t="s">
        <v>1760</v>
      </c>
    </row>
    <row r="4503" spans="1:8">
      <c r="A4503" s="1"/>
      <c r="B4503" s="1"/>
      <c r="C4503" s="1"/>
      <c r="D4503" s="1"/>
      <c r="E4503" s="357">
        <v>45448</v>
      </c>
      <c r="F4503" s="344" t="s">
        <v>628</v>
      </c>
      <c r="G4503" s="358">
        <v>41.387599999999999</v>
      </c>
      <c r="H4503" s="344" t="s">
        <v>1760</v>
      </c>
    </row>
    <row r="4504" spans="1:8">
      <c r="A4504" s="1"/>
      <c r="B4504" s="1"/>
      <c r="C4504" s="1"/>
      <c r="D4504" s="1"/>
      <c r="E4504" s="357">
        <v>45448</v>
      </c>
      <c r="F4504" s="344" t="s">
        <v>631</v>
      </c>
      <c r="G4504" s="358">
        <v>32.454700000000003</v>
      </c>
      <c r="H4504" s="344" t="s">
        <v>1760</v>
      </c>
    </row>
    <row r="4505" spans="1:8">
      <c r="A4505" s="1"/>
      <c r="B4505" s="1"/>
      <c r="C4505" s="1"/>
      <c r="D4505" s="1"/>
      <c r="E4505" s="357">
        <v>45449</v>
      </c>
      <c r="F4505" s="344" t="s">
        <v>621</v>
      </c>
      <c r="G4505" s="358">
        <v>36.002800000000001</v>
      </c>
      <c r="H4505" s="344" t="s">
        <v>1761</v>
      </c>
    </row>
    <row r="4506" spans="1:8">
      <c r="A4506" s="1"/>
      <c r="B4506" s="1"/>
      <c r="C4506" s="1"/>
      <c r="D4506" s="1"/>
      <c r="E4506" s="357">
        <v>45449</v>
      </c>
      <c r="F4506" s="344" t="s">
        <v>625</v>
      </c>
      <c r="G4506" s="358">
        <v>34.999699999999997</v>
      </c>
      <c r="H4506" s="344" t="s">
        <v>1761</v>
      </c>
    </row>
    <row r="4507" spans="1:8">
      <c r="A4507" s="1"/>
      <c r="B4507" s="1"/>
      <c r="C4507" s="1"/>
      <c r="D4507" s="1"/>
      <c r="E4507" s="357">
        <v>45449</v>
      </c>
      <c r="F4507" s="344" t="s">
        <v>628</v>
      </c>
      <c r="G4507" s="358">
        <v>41.070999999999998</v>
      </c>
      <c r="H4507" s="344" t="s">
        <v>1761</v>
      </c>
    </row>
    <row r="4508" spans="1:8">
      <c r="A4508" s="1"/>
      <c r="B4508" s="1"/>
      <c r="C4508" s="1"/>
      <c r="D4508" s="1"/>
      <c r="E4508" s="357">
        <v>45449</v>
      </c>
      <c r="F4508" s="344" t="s">
        <v>631</v>
      </c>
      <c r="G4508" s="358">
        <v>32.177500000000002</v>
      </c>
      <c r="H4508" s="344" t="s">
        <v>1761</v>
      </c>
    </row>
    <row r="4509" spans="1:8">
      <c r="A4509" s="1"/>
      <c r="B4509" s="1"/>
      <c r="C4509" s="1"/>
      <c r="D4509" s="1"/>
      <c r="E4509" s="357">
        <v>45450</v>
      </c>
      <c r="F4509" s="344" t="s">
        <v>621</v>
      </c>
      <c r="G4509" s="358">
        <v>36.109499999999997</v>
      </c>
      <c r="H4509" s="344" t="s">
        <v>1762</v>
      </c>
    </row>
    <row r="4510" spans="1:8">
      <c r="A4510" s="1"/>
      <c r="B4510" s="1"/>
      <c r="C4510" s="1"/>
      <c r="D4510" s="1"/>
      <c r="E4510" s="357">
        <v>45450</v>
      </c>
      <c r="F4510" s="344" t="s">
        <v>625</v>
      </c>
      <c r="G4510" s="358">
        <v>35.064100000000003</v>
      </c>
      <c r="H4510" s="344" t="s">
        <v>1762</v>
      </c>
    </row>
    <row r="4511" spans="1:8">
      <c r="A4511" s="1"/>
      <c r="B4511" s="1"/>
      <c r="C4511" s="1"/>
      <c r="D4511" s="1"/>
      <c r="E4511" s="357">
        <v>45450</v>
      </c>
      <c r="F4511" s="344" t="s">
        <v>628</v>
      </c>
      <c r="G4511" s="358">
        <v>41.125100000000003</v>
      </c>
      <c r="H4511" s="344" t="s">
        <v>1762</v>
      </c>
    </row>
    <row r="4512" spans="1:8">
      <c r="A4512" s="1"/>
      <c r="B4512" s="1"/>
      <c r="C4512" s="1"/>
      <c r="D4512" s="1"/>
      <c r="E4512" s="357">
        <v>45450</v>
      </c>
      <c r="F4512" s="344" t="s">
        <v>631</v>
      </c>
      <c r="G4512" s="358">
        <v>32.192300000000003</v>
      </c>
      <c r="H4512" s="344" t="s">
        <v>1762</v>
      </c>
    </row>
    <row r="4513" spans="1:8">
      <c r="A4513" s="1"/>
      <c r="B4513" s="1"/>
      <c r="C4513" s="1"/>
      <c r="D4513" s="1"/>
      <c r="E4513" s="357">
        <v>45453</v>
      </c>
      <c r="F4513" s="344" t="s">
        <v>621</v>
      </c>
      <c r="G4513" s="358">
        <v>36.006799999999998</v>
      </c>
      <c r="H4513" s="344" t="s">
        <v>1763</v>
      </c>
    </row>
    <row r="4514" spans="1:8">
      <c r="A4514" s="1"/>
      <c r="B4514" s="1"/>
      <c r="C4514" s="1"/>
      <c r="D4514" s="1"/>
      <c r="E4514" s="357">
        <v>45453</v>
      </c>
      <c r="F4514" s="344" t="s">
        <v>625</v>
      </c>
      <c r="G4514" s="358">
        <v>34.802199999999999</v>
      </c>
      <c r="H4514" s="344" t="s">
        <v>1763</v>
      </c>
    </row>
    <row r="4515" spans="1:8">
      <c r="A4515" s="1"/>
      <c r="B4515" s="1"/>
      <c r="C4515" s="1"/>
      <c r="D4515" s="1"/>
      <c r="E4515" s="357">
        <v>45453</v>
      </c>
      <c r="F4515" s="344" t="s">
        <v>628</v>
      </c>
      <c r="G4515" s="358">
        <v>41.067</v>
      </c>
      <c r="H4515" s="344" t="s">
        <v>1763</v>
      </c>
    </row>
    <row r="4516" spans="1:8">
      <c r="A4516" s="1"/>
      <c r="B4516" s="1"/>
      <c r="C4516" s="1"/>
      <c r="D4516" s="1"/>
      <c r="E4516" s="357">
        <v>45453</v>
      </c>
      <c r="F4516" s="344" t="s">
        <v>631</v>
      </c>
      <c r="G4516" s="358">
        <v>32.369900000000001</v>
      </c>
      <c r="H4516" s="344" t="s">
        <v>1763</v>
      </c>
    </row>
    <row r="4517" spans="1:8">
      <c r="A4517" s="1"/>
      <c r="B4517" s="1"/>
      <c r="C4517" s="1"/>
      <c r="D4517" s="1"/>
      <c r="E4517" s="357">
        <v>45454</v>
      </c>
      <c r="F4517" s="344" t="s">
        <v>621</v>
      </c>
      <c r="G4517" s="358">
        <v>35.947800000000001</v>
      </c>
      <c r="H4517" s="344" t="s">
        <v>1764</v>
      </c>
    </row>
    <row r="4518" spans="1:8">
      <c r="A4518" s="1"/>
      <c r="B4518" s="1"/>
      <c r="C4518" s="1"/>
      <c r="D4518" s="1"/>
      <c r="E4518" s="357">
        <v>45454</v>
      </c>
      <c r="F4518" s="344" t="s">
        <v>625</v>
      </c>
      <c r="G4518" s="358">
        <v>34.734499999999997</v>
      </c>
      <c r="H4518" s="344" t="s">
        <v>1764</v>
      </c>
    </row>
    <row r="4519" spans="1:8">
      <c r="A4519" s="1"/>
      <c r="B4519" s="1"/>
      <c r="C4519" s="1"/>
      <c r="D4519" s="1"/>
      <c r="E4519" s="357">
        <v>45454</v>
      </c>
      <c r="F4519" s="344" t="s">
        <v>628</v>
      </c>
      <c r="G4519" s="358">
        <v>41.065100000000001</v>
      </c>
      <c r="H4519" s="344" t="s">
        <v>1764</v>
      </c>
    </row>
    <row r="4520" spans="1:8">
      <c r="A4520" s="1"/>
      <c r="B4520" s="1"/>
      <c r="C4520" s="1"/>
      <c r="D4520" s="1"/>
      <c r="E4520" s="357">
        <v>45454</v>
      </c>
      <c r="F4520" s="344" t="s">
        <v>631</v>
      </c>
      <c r="G4520" s="358">
        <v>32.3127</v>
      </c>
      <c r="H4520" s="344" t="s">
        <v>1764</v>
      </c>
    </row>
    <row r="4521" spans="1:8">
      <c r="A4521" s="1"/>
      <c r="B4521" s="1"/>
      <c r="C4521" s="1"/>
      <c r="D4521" s="1"/>
      <c r="E4521" s="357">
        <v>45455</v>
      </c>
      <c r="F4521" s="344" t="s">
        <v>621</v>
      </c>
      <c r="G4521" s="358">
        <v>35.954500000000003</v>
      </c>
      <c r="H4521" s="344" t="s">
        <v>1765</v>
      </c>
    </row>
    <row r="4522" spans="1:8">
      <c r="A4522" s="1"/>
      <c r="B4522" s="1"/>
      <c r="C4522" s="1"/>
      <c r="D4522" s="1"/>
      <c r="E4522" s="357">
        <v>45455</v>
      </c>
      <c r="F4522" s="344" t="s">
        <v>625</v>
      </c>
      <c r="G4522" s="358">
        <v>34.734900000000003</v>
      </c>
      <c r="H4522" s="344" t="s">
        <v>1765</v>
      </c>
    </row>
    <row r="4523" spans="1:8">
      <c r="A4523" s="1"/>
      <c r="B4523" s="1"/>
      <c r="C4523" s="1"/>
      <c r="D4523" s="1"/>
      <c r="E4523" s="357">
        <v>45455</v>
      </c>
      <c r="F4523" s="344" t="s">
        <v>628</v>
      </c>
      <c r="G4523" s="358">
        <v>41.134599999999999</v>
      </c>
      <c r="H4523" s="344" t="s">
        <v>1765</v>
      </c>
    </row>
    <row r="4524" spans="1:8">
      <c r="A4524" s="1"/>
      <c r="B4524" s="1"/>
      <c r="C4524" s="1"/>
      <c r="D4524" s="1"/>
      <c r="E4524" s="357">
        <v>45455</v>
      </c>
      <c r="F4524" s="344" t="s">
        <v>631</v>
      </c>
      <c r="G4524" s="358">
        <v>32.307299999999998</v>
      </c>
      <c r="H4524" s="344" t="s">
        <v>1765</v>
      </c>
    </row>
    <row r="4525" spans="1:8">
      <c r="A4525" s="1"/>
      <c r="B4525" s="1"/>
      <c r="C4525" s="1"/>
      <c r="D4525" s="1"/>
      <c r="E4525" s="357">
        <v>45456</v>
      </c>
      <c r="F4525" s="344" t="s">
        <v>621</v>
      </c>
      <c r="G4525" s="358">
        <v>35.898699999999998</v>
      </c>
      <c r="H4525" s="344" t="s">
        <v>1766</v>
      </c>
    </row>
    <row r="4526" spans="1:8">
      <c r="A4526" s="1"/>
      <c r="B4526" s="1"/>
      <c r="C4526" s="1"/>
      <c r="D4526" s="1"/>
      <c r="E4526" s="357">
        <v>45456</v>
      </c>
      <c r="F4526" s="344" t="s">
        <v>625</v>
      </c>
      <c r="G4526" s="358">
        <v>34.810600000000001</v>
      </c>
      <c r="H4526" s="344" t="s">
        <v>1766</v>
      </c>
    </row>
    <row r="4527" spans="1:8">
      <c r="A4527" s="1"/>
      <c r="B4527" s="1"/>
      <c r="C4527" s="1"/>
      <c r="D4527" s="1"/>
      <c r="E4527" s="357">
        <v>45456</v>
      </c>
      <c r="F4527" s="344" t="s">
        <v>628</v>
      </c>
      <c r="G4527" s="358">
        <v>41.125</v>
      </c>
      <c r="H4527" s="344" t="s">
        <v>1766</v>
      </c>
    </row>
    <row r="4528" spans="1:8">
      <c r="A4528" s="1"/>
      <c r="B4528" s="1"/>
      <c r="C4528" s="1"/>
      <c r="D4528" s="1"/>
      <c r="E4528" s="357">
        <v>45456</v>
      </c>
      <c r="F4528" s="344" t="s">
        <v>631</v>
      </c>
      <c r="G4528" s="358">
        <v>32.231299999999997</v>
      </c>
      <c r="H4528" s="344" t="s">
        <v>1766</v>
      </c>
    </row>
    <row r="4529" spans="1:8">
      <c r="A4529" s="1"/>
      <c r="B4529" s="1"/>
      <c r="C4529" s="1"/>
      <c r="D4529" s="1"/>
      <c r="E4529" s="357">
        <v>45457</v>
      </c>
      <c r="F4529" s="344" t="s">
        <v>621</v>
      </c>
      <c r="G4529" s="358">
        <v>36.252200000000002</v>
      </c>
      <c r="H4529" s="344" t="s">
        <v>1767</v>
      </c>
    </row>
    <row r="4530" spans="1:8">
      <c r="A4530" s="1"/>
      <c r="B4530" s="1"/>
      <c r="C4530" s="1"/>
      <c r="D4530" s="1"/>
      <c r="E4530" s="357">
        <v>45457</v>
      </c>
      <c r="F4530" s="344" t="s">
        <v>625</v>
      </c>
      <c r="G4530" s="358">
        <v>34.731900000000003</v>
      </c>
      <c r="H4530" s="344" t="s">
        <v>1767</v>
      </c>
    </row>
    <row r="4531" spans="1:8">
      <c r="A4531" s="1"/>
      <c r="B4531" s="1"/>
      <c r="C4531" s="1"/>
      <c r="D4531" s="1"/>
      <c r="E4531" s="357">
        <v>45457</v>
      </c>
      <c r="F4531" s="344" t="s">
        <v>628</v>
      </c>
      <c r="G4531" s="358">
        <v>41.207299999999996</v>
      </c>
      <c r="H4531" s="344" t="s">
        <v>1767</v>
      </c>
    </row>
    <row r="4532" spans="1:8">
      <c r="A4532" s="1"/>
      <c r="B4532" s="1"/>
      <c r="C4532" s="1"/>
      <c r="D4532" s="1"/>
      <c r="E4532" s="357">
        <v>45457</v>
      </c>
      <c r="F4532" s="344" t="s">
        <v>631</v>
      </c>
      <c r="G4532" s="358">
        <v>32.457900000000002</v>
      </c>
      <c r="H4532" s="344" t="s">
        <v>1767</v>
      </c>
    </row>
    <row r="4533" spans="1:8">
      <c r="A4533" s="1"/>
      <c r="B4533" s="1"/>
      <c r="C4533" s="1"/>
      <c r="D4533" s="1"/>
      <c r="E4533" s="357">
        <v>45463</v>
      </c>
      <c r="F4533" s="344" t="s">
        <v>621</v>
      </c>
      <c r="G4533" s="358">
        <v>36.5563</v>
      </c>
      <c r="H4533" s="344" t="s">
        <v>1768</v>
      </c>
    </row>
    <row r="4534" spans="1:8">
      <c r="A4534" s="1"/>
      <c r="B4534" s="1"/>
      <c r="C4534" s="1"/>
      <c r="D4534" s="1"/>
      <c r="E4534" s="357">
        <v>45463</v>
      </c>
      <c r="F4534" s="344" t="s">
        <v>625</v>
      </c>
      <c r="G4534" s="358">
        <v>34.929000000000002</v>
      </c>
      <c r="H4534" s="344" t="s">
        <v>1768</v>
      </c>
    </row>
    <row r="4535" spans="1:8">
      <c r="A4535" s="1"/>
      <c r="B4535" s="1"/>
      <c r="C4535" s="1"/>
      <c r="D4535" s="1"/>
      <c r="E4535" s="357">
        <v>45463</v>
      </c>
      <c r="F4535" s="344" t="s">
        <v>628</v>
      </c>
      <c r="G4535" s="358">
        <v>41.296799999999998</v>
      </c>
      <c r="H4535" s="344" t="s">
        <v>1768</v>
      </c>
    </row>
    <row r="4536" spans="1:8">
      <c r="A4536" s="1"/>
      <c r="B4536" s="1"/>
      <c r="C4536" s="1"/>
      <c r="D4536" s="1"/>
      <c r="E4536" s="357">
        <v>45463</v>
      </c>
      <c r="F4536" s="344" t="s">
        <v>631</v>
      </c>
      <c r="G4536" s="358">
        <v>32.571100000000001</v>
      </c>
      <c r="H4536" s="344" t="s">
        <v>1768</v>
      </c>
    </row>
    <row r="4537" spans="1:8">
      <c r="A4537" s="1"/>
      <c r="B4537" s="1"/>
      <c r="C4537" s="1"/>
      <c r="D4537" s="1"/>
      <c r="E4537" s="357">
        <v>45464</v>
      </c>
      <c r="F4537" s="344" t="s">
        <v>621</v>
      </c>
      <c r="G4537" s="358">
        <v>36.6678</v>
      </c>
      <c r="H4537" s="344" t="s">
        <v>1769</v>
      </c>
    </row>
    <row r="4538" spans="1:8">
      <c r="A4538" s="1"/>
      <c r="B4538" s="1"/>
      <c r="C4538" s="1"/>
      <c r="D4538" s="1"/>
      <c r="E4538" s="357">
        <v>45464</v>
      </c>
      <c r="F4538" s="344" t="s">
        <v>625</v>
      </c>
      <c r="G4538" s="358">
        <v>35.046399999999998</v>
      </c>
      <c r="H4538" s="344" t="s">
        <v>1769</v>
      </c>
    </row>
    <row r="4539" spans="1:8">
      <c r="A4539" s="1"/>
      <c r="B4539" s="1"/>
      <c r="C4539" s="1"/>
      <c r="D4539" s="1"/>
      <c r="E4539" s="357">
        <v>45464</v>
      </c>
      <c r="F4539" s="344" t="s">
        <v>628</v>
      </c>
      <c r="G4539" s="358">
        <v>41.386699999999998</v>
      </c>
      <c r="H4539" s="344" t="s">
        <v>1769</v>
      </c>
    </row>
    <row r="4540" spans="1:8">
      <c r="A4540" s="1"/>
      <c r="B4540" s="1"/>
      <c r="C4540" s="1"/>
      <c r="D4540" s="1"/>
      <c r="E4540" s="357">
        <v>45464</v>
      </c>
      <c r="F4540" s="344" t="s">
        <v>631</v>
      </c>
      <c r="G4540" s="358">
        <v>32.780999999999999</v>
      </c>
      <c r="H4540" s="344" t="s">
        <v>1769</v>
      </c>
    </row>
    <row r="4541" spans="1:8">
      <c r="A4541" s="1"/>
      <c r="B4541" s="1"/>
      <c r="C4541" s="1"/>
      <c r="D4541" s="1"/>
      <c r="E4541" s="357">
        <v>45467</v>
      </c>
      <c r="F4541" s="344" t="s">
        <v>621</v>
      </c>
      <c r="G4541" s="358">
        <v>36.639499999999998</v>
      </c>
      <c r="H4541" s="344" t="s">
        <v>1770</v>
      </c>
    </row>
    <row r="4542" spans="1:8">
      <c r="A4542" s="1"/>
      <c r="B4542" s="1"/>
      <c r="C4542" s="1"/>
      <c r="D4542" s="1"/>
      <c r="E4542" s="357">
        <v>45467</v>
      </c>
      <c r="F4542" s="344" t="s">
        <v>625</v>
      </c>
      <c r="G4542" s="358">
        <v>35.170200000000001</v>
      </c>
      <c r="H4542" s="344" t="s">
        <v>1770</v>
      </c>
    </row>
    <row r="4543" spans="1:8">
      <c r="A4543" s="1"/>
      <c r="B4543" s="1"/>
      <c r="C4543" s="1"/>
      <c r="D4543" s="1"/>
      <c r="E4543" s="357">
        <v>45467</v>
      </c>
      <c r="F4543" s="344" t="s">
        <v>628</v>
      </c>
      <c r="G4543" s="358">
        <v>41.463999999999999</v>
      </c>
      <c r="H4543" s="344" t="s">
        <v>1770</v>
      </c>
    </row>
    <row r="4544" spans="1:8">
      <c r="A4544" s="1"/>
      <c r="B4544" s="1"/>
      <c r="C4544" s="1"/>
      <c r="D4544" s="1"/>
      <c r="E4544" s="357">
        <v>45467</v>
      </c>
      <c r="F4544" s="344" t="s">
        <v>631</v>
      </c>
      <c r="G4544" s="358">
        <v>32.8078</v>
      </c>
      <c r="H4544" s="344" t="s">
        <v>1770</v>
      </c>
    </row>
    <row r="4545" spans="1:8">
      <c r="A4545" s="1"/>
      <c r="B4545" s="1"/>
      <c r="C4545" s="1"/>
      <c r="D4545" s="1"/>
      <c r="E4545" s="357">
        <v>45468</v>
      </c>
      <c r="F4545" s="344" t="s">
        <v>621</v>
      </c>
      <c r="G4545" s="358">
        <v>36.7453</v>
      </c>
      <c r="H4545" s="344" t="s">
        <v>1771</v>
      </c>
    </row>
    <row r="4546" spans="1:8">
      <c r="A4546" s="1"/>
      <c r="B4546" s="1"/>
      <c r="C4546" s="1"/>
      <c r="D4546" s="1"/>
      <c r="E4546" s="357">
        <v>45468</v>
      </c>
      <c r="F4546" s="344" t="s">
        <v>625</v>
      </c>
      <c r="G4546" s="358">
        <v>35.286900000000003</v>
      </c>
      <c r="H4546" s="344" t="s">
        <v>1771</v>
      </c>
    </row>
    <row r="4547" spans="1:8">
      <c r="A4547" s="1"/>
      <c r="B4547" s="1"/>
      <c r="C4547" s="1"/>
      <c r="D4547" s="1"/>
      <c r="E4547" s="357">
        <v>45468</v>
      </c>
      <c r="F4547" s="344" t="s">
        <v>628</v>
      </c>
      <c r="G4547" s="358">
        <v>41.682099999999998</v>
      </c>
      <c r="H4547" s="344" t="s">
        <v>1771</v>
      </c>
    </row>
    <row r="4548" spans="1:8">
      <c r="A4548" s="1"/>
      <c r="B4548" s="1"/>
      <c r="C4548" s="1"/>
      <c r="D4548" s="1"/>
      <c r="E4548" s="357">
        <v>45468</v>
      </c>
      <c r="F4548" s="344" t="s">
        <v>631</v>
      </c>
      <c r="G4548" s="358">
        <v>32.901499999999999</v>
      </c>
      <c r="H4548" s="344" t="s">
        <v>1771</v>
      </c>
    </row>
    <row r="4549" spans="1:8">
      <c r="A4549" s="1"/>
      <c r="B4549" s="1"/>
      <c r="C4549" s="1"/>
      <c r="D4549" s="1"/>
      <c r="E4549" s="357">
        <v>45469</v>
      </c>
      <c r="F4549" s="344" t="s">
        <v>621</v>
      </c>
      <c r="G4549" s="358">
        <v>36.598799999999997</v>
      </c>
      <c r="H4549" s="344" t="s">
        <v>1772</v>
      </c>
    </row>
    <row r="4550" spans="1:8">
      <c r="A4550" s="1"/>
      <c r="B4550" s="1"/>
      <c r="C4550" s="1"/>
      <c r="D4550" s="1"/>
      <c r="E4550" s="357">
        <v>45469</v>
      </c>
      <c r="F4550" s="344" t="s">
        <v>625</v>
      </c>
      <c r="G4550" s="358">
        <v>35.180100000000003</v>
      </c>
      <c r="H4550" s="344" t="s">
        <v>1772</v>
      </c>
    </row>
    <row r="4551" spans="1:8">
      <c r="A4551" s="1"/>
      <c r="B4551" s="1"/>
      <c r="C4551" s="1"/>
      <c r="D4551" s="1"/>
      <c r="E4551" s="357">
        <v>45469</v>
      </c>
      <c r="F4551" s="344" t="s">
        <v>628</v>
      </c>
      <c r="G4551" s="358">
        <v>41.606099999999998</v>
      </c>
      <c r="H4551" s="344" t="s">
        <v>1772</v>
      </c>
    </row>
    <row r="4552" spans="1:8">
      <c r="A4552" s="1"/>
      <c r="B4552" s="1"/>
      <c r="C4552" s="1"/>
      <c r="D4552" s="1"/>
      <c r="E4552" s="357">
        <v>45469</v>
      </c>
      <c r="F4552" s="344" t="s">
        <v>631</v>
      </c>
      <c r="G4552" s="358">
        <v>32.904000000000003</v>
      </c>
      <c r="H4552" s="344" t="s">
        <v>1772</v>
      </c>
    </row>
    <row r="4553" spans="1:8">
      <c r="A4553" s="1"/>
      <c r="B4553" s="1"/>
      <c r="C4553" s="1"/>
      <c r="D4553" s="1"/>
      <c r="E4553" s="357">
        <v>45470</v>
      </c>
      <c r="F4553" s="344" t="s">
        <v>621</v>
      </c>
      <c r="G4553" s="358">
        <v>36.514000000000003</v>
      </c>
      <c r="H4553" s="344" t="s">
        <v>1773</v>
      </c>
    </row>
    <row r="4554" spans="1:8">
      <c r="A4554" s="1"/>
      <c r="B4554" s="1"/>
      <c r="C4554" s="1"/>
      <c r="D4554" s="1"/>
      <c r="E4554" s="357">
        <v>45470</v>
      </c>
      <c r="F4554" s="344" t="s">
        <v>625</v>
      </c>
      <c r="G4554" s="358">
        <v>35.121200000000002</v>
      </c>
      <c r="H4554" s="344" t="s">
        <v>1773</v>
      </c>
    </row>
    <row r="4555" spans="1:8">
      <c r="A4555" s="1"/>
      <c r="B4555" s="1"/>
      <c r="C4555" s="1"/>
      <c r="D4555" s="1"/>
      <c r="E4555" s="357">
        <v>45470</v>
      </c>
      <c r="F4555" s="344" t="s">
        <v>628</v>
      </c>
      <c r="G4555" s="358">
        <v>41.448399999999999</v>
      </c>
      <c r="H4555" s="344" t="s">
        <v>1773</v>
      </c>
    </row>
    <row r="4556" spans="1:8">
      <c r="A4556" s="1"/>
      <c r="B4556" s="1"/>
      <c r="C4556" s="1"/>
      <c r="D4556" s="1"/>
      <c r="E4556" s="357">
        <v>45470</v>
      </c>
      <c r="F4556" s="344" t="s">
        <v>631</v>
      </c>
      <c r="G4556" s="358">
        <v>32.841700000000003</v>
      </c>
      <c r="H4556" s="344" t="s">
        <v>1773</v>
      </c>
    </row>
    <row r="4557" spans="1:8">
      <c r="A4557" s="1"/>
      <c r="B4557" s="1"/>
      <c r="C4557" s="1"/>
      <c r="D4557" s="1"/>
      <c r="E4557" s="357">
        <v>45471</v>
      </c>
      <c r="F4557" s="344" t="s">
        <v>621</v>
      </c>
      <c r="G4557" s="358">
        <v>36.413499999999999</v>
      </c>
      <c r="H4557" s="344" t="s">
        <v>1774</v>
      </c>
    </row>
    <row r="4558" spans="1:8">
      <c r="A4558" s="1"/>
      <c r="B4558" s="1"/>
      <c r="C4558" s="1"/>
      <c r="D4558" s="1"/>
      <c r="E4558" s="357">
        <v>45471</v>
      </c>
      <c r="F4558" s="344" t="s">
        <v>625</v>
      </c>
      <c r="G4558" s="358">
        <v>35.128399999999999</v>
      </c>
      <c r="H4558" s="344" t="s">
        <v>1774</v>
      </c>
    </row>
    <row r="4559" spans="1:8">
      <c r="A4559" s="1"/>
      <c r="B4559" s="1"/>
      <c r="C4559" s="1"/>
      <c r="D4559" s="1"/>
      <c r="E4559" s="357">
        <v>45471</v>
      </c>
      <c r="F4559" s="344" t="s">
        <v>628</v>
      </c>
      <c r="G4559" s="358">
        <v>41.436500000000002</v>
      </c>
      <c r="H4559" s="344" t="s">
        <v>1774</v>
      </c>
    </row>
    <row r="4560" spans="1:8">
      <c r="A4560" s="1"/>
      <c r="B4560" s="1"/>
      <c r="C4560" s="1"/>
      <c r="D4560" s="1"/>
      <c r="E4560" s="357">
        <v>45471</v>
      </c>
      <c r="F4560" s="344" t="s">
        <v>631</v>
      </c>
      <c r="G4560" s="358">
        <v>32.8262</v>
      </c>
      <c r="H4560" s="344" t="s">
        <v>1774</v>
      </c>
    </row>
    <row r="4561" spans="1:8">
      <c r="A4561" s="1"/>
      <c r="B4561" s="1"/>
      <c r="C4561" s="1"/>
      <c r="D4561" s="1"/>
      <c r="E4561" s="357">
        <v>45474</v>
      </c>
      <c r="F4561" s="344" t="s">
        <v>621</v>
      </c>
      <c r="G4561" s="358">
        <v>36.144100000000002</v>
      </c>
      <c r="H4561" s="344" t="s">
        <v>1775</v>
      </c>
    </row>
    <row r="4562" spans="1:8">
      <c r="A4562" s="1"/>
      <c r="B4562" s="1"/>
      <c r="C4562" s="1"/>
      <c r="D4562" s="1"/>
      <c r="E4562" s="357">
        <v>45474</v>
      </c>
      <c r="F4562" s="344" t="s">
        <v>625</v>
      </c>
      <c r="G4562" s="358">
        <v>35.093899999999998</v>
      </c>
      <c r="H4562" s="344" t="s">
        <v>1775</v>
      </c>
    </row>
    <row r="4563" spans="1:8">
      <c r="A4563" s="1"/>
      <c r="B4563" s="1"/>
      <c r="C4563" s="1"/>
      <c r="D4563" s="1"/>
      <c r="E4563" s="357">
        <v>45474</v>
      </c>
      <c r="F4563" s="344" t="s">
        <v>628</v>
      </c>
      <c r="G4563" s="358">
        <v>41.273400000000002</v>
      </c>
      <c r="H4563" s="344" t="s">
        <v>1775</v>
      </c>
    </row>
    <row r="4564" spans="1:8">
      <c r="A4564" s="1"/>
      <c r="B4564" s="1"/>
      <c r="C4564" s="1"/>
      <c r="D4564" s="1"/>
      <c r="E4564" s="357">
        <v>45474</v>
      </c>
      <c r="F4564" s="344" t="s">
        <v>631</v>
      </c>
      <c r="G4564" s="358">
        <v>32.620699999999999</v>
      </c>
      <c r="H4564" s="344" t="s">
        <v>1775</v>
      </c>
    </row>
    <row r="4565" spans="1:8">
      <c r="A4565" s="1"/>
      <c r="B4565" s="1"/>
      <c r="C4565" s="1"/>
      <c r="D4565" s="1"/>
      <c r="E4565" s="357">
        <v>45475</v>
      </c>
      <c r="F4565" s="344" t="s">
        <v>621</v>
      </c>
      <c r="G4565" s="358">
        <v>36.011000000000003</v>
      </c>
      <c r="H4565" s="344" t="s">
        <v>1776</v>
      </c>
    </row>
    <row r="4566" spans="1:8">
      <c r="A4566" s="1"/>
      <c r="B4566" s="1"/>
      <c r="C4566" s="1"/>
      <c r="D4566" s="1"/>
      <c r="E4566" s="357">
        <v>45475</v>
      </c>
      <c r="F4566" s="344" t="s">
        <v>625</v>
      </c>
      <c r="G4566" s="358">
        <v>34.975900000000003</v>
      </c>
      <c r="H4566" s="344" t="s">
        <v>1776</v>
      </c>
    </row>
    <row r="4567" spans="1:8">
      <c r="A4567" s="1"/>
      <c r="B4567" s="1"/>
      <c r="C4567" s="1"/>
      <c r="D4567" s="1"/>
      <c r="E4567" s="357">
        <v>45475</v>
      </c>
      <c r="F4567" s="344" t="s">
        <v>628</v>
      </c>
      <c r="G4567" s="358">
        <v>41.159300000000002</v>
      </c>
      <c r="H4567" s="344" t="s">
        <v>1776</v>
      </c>
    </row>
    <row r="4568" spans="1:8">
      <c r="A4568" s="1"/>
      <c r="B4568" s="1"/>
      <c r="C4568" s="1"/>
      <c r="D4568" s="1"/>
      <c r="E4568" s="357">
        <v>45475</v>
      </c>
      <c r="F4568" s="344" t="s">
        <v>631</v>
      </c>
      <c r="G4568" s="358">
        <v>32.628999999999998</v>
      </c>
      <c r="H4568" s="344" t="s">
        <v>1776</v>
      </c>
    </row>
    <row r="4569" spans="1:8">
      <c r="A4569" s="1"/>
      <c r="B4569" s="1"/>
      <c r="C4569" s="1"/>
      <c r="D4569" s="1"/>
      <c r="E4569" s="357">
        <v>45476</v>
      </c>
      <c r="F4569" s="344" t="s">
        <v>621</v>
      </c>
      <c r="G4569" s="358">
        <v>35.876600000000003</v>
      </c>
      <c r="H4569" s="344" t="s">
        <v>1777</v>
      </c>
    </row>
    <row r="4570" spans="1:8">
      <c r="A4570" s="1"/>
      <c r="B4570" s="1"/>
      <c r="C4570" s="1"/>
      <c r="D4570" s="1"/>
      <c r="E4570" s="357">
        <v>45476</v>
      </c>
      <c r="F4570" s="344" t="s">
        <v>625</v>
      </c>
      <c r="G4570" s="358">
        <v>34.9499</v>
      </c>
      <c r="H4570" s="344" t="s">
        <v>1777</v>
      </c>
    </row>
    <row r="4571" spans="1:8">
      <c r="A4571" s="1"/>
      <c r="B4571" s="1"/>
      <c r="C4571" s="1"/>
      <c r="D4571" s="1"/>
      <c r="E4571" s="357">
        <v>45476</v>
      </c>
      <c r="F4571" s="344" t="s">
        <v>628</v>
      </c>
      <c r="G4571" s="358">
        <v>41.184899999999999</v>
      </c>
      <c r="H4571" s="344" t="s">
        <v>1777</v>
      </c>
    </row>
    <row r="4572" spans="1:8">
      <c r="A4572" s="1"/>
      <c r="B4572" s="1"/>
      <c r="C4572" s="1"/>
      <c r="D4572" s="1"/>
      <c r="E4572" s="357">
        <v>45476</v>
      </c>
      <c r="F4572" s="344" t="s">
        <v>631</v>
      </c>
      <c r="G4572" s="358">
        <v>32.492899999999999</v>
      </c>
      <c r="H4572" s="344" t="s">
        <v>1777</v>
      </c>
    </row>
    <row r="4573" spans="1:8">
      <c r="A4573" s="1"/>
      <c r="B4573" s="1"/>
      <c r="C4573" s="1"/>
      <c r="D4573" s="1"/>
      <c r="E4573" s="357">
        <v>45477</v>
      </c>
      <c r="F4573" s="344" t="s">
        <v>621</v>
      </c>
      <c r="G4573" s="358">
        <v>35.985199999999999</v>
      </c>
      <c r="H4573" s="344" t="s">
        <v>1778</v>
      </c>
    </row>
    <row r="4574" spans="1:8">
      <c r="A4574" s="1"/>
      <c r="B4574" s="1"/>
      <c r="C4574" s="1"/>
      <c r="D4574" s="1"/>
      <c r="E4574" s="357">
        <v>45477</v>
      </c>
      <c r="F4574" s="344" t="s">
        <v>625</v>
      </c>
      <c r="G4574" s="358">
        <v>35.093299999999999</v>
      </c>
      <c r="H4574" s="344" t="s">
        <v>1778</v>
      </c>
    </row>
    <row r="4575" spans="1:8">
      <c r="A4575" s="1"/>
      <c r="B4575" s="1"/>
      <c r="C4575" s="1"/>
      <c r="D4575" s="1"/>
      <c r="E4575" s="357">
        <v>45477</v>
      </c>
      <c r="F4575" s="344" t="s">
        <v>628</v>
      </c>
      <c r="G4575" s="358">
        <v>41.378999999999998</v>
      </c>
      <c r="H4575" s="344" t="s">
        <v>1778</v>
      </c>
    </row>
    <row r="4576" spans="1:8">
      <c r="A4576" s="1"/>
      <c r="B4576" s="1"/>
      <c r="C4576" s="1"/>
      <c r="D4576" s="1"/>
      <c r="E4576" s="357">
        <v>45477</v>
      </c>
      <c r="F4576" s="344" t="s">
        <v>631</v>
      </c>
      <c r="G4576" s="358">
        <v>32.501100000000001</v>
      </c>
      <c r="H4576" s="344" t="s">
        <v>1778</v>
      </c>
    </row>
    <row r="4577" spans="1:8">
      <c r="A4577" s="1"/>
      <c r="B4577" s="1"/>
      <c r="C4577" s="1"/>
      <c r="D4577" s="1"/>
      <c r="E4577" s="357">
        <v>45478</v>
      </c>
      <c r="F4577" s="344" t="s">
        <v>621</v>
      </c>
      <c r="G4577" s="358">
        <v>36.232300000000002</v>
      </c>
      <c r="H4577" s="344" t="s">
        <v>1779</v>
      </c>
    </row>
    <row r="4578" spans="1:8">
      <c r="A4578" s="1"/>
      <c r="B4578" s="1"/>
      <c r="C4578" s="1"/>
      <c r="D4578" s="1"/>
      <c r="E4578" s="357">
        <v>45478</v>
      </c>
      <c r="F4578" s="344" t="s">
        <v>625</v>
      </c>
      <c r="G4578" s="358">
        <v>35.320500000000003</v>
      </c>
      <c r="H4578" s="344" t="s">
        <v>1779</v>
      </c>
    </row>
    <row r="4579" spans="1:8">
      <c r="A4579" s="1"/>
      <c r="B4579" s="1"/>
      <c r="C4579" s="1"/>
      <c r="D4579" s="1"/>
      <c r="E4579" s="357">
        <v>45478</v>
      </c>
      <c r="F4579" s="344" t="s">
        <v>628</v>
      </c>
      <c r="G4579" s="358">
        <v>41.636299999999999</v>
      </c>
      <c r="H4579" s="344" t="s">
        <v>1779</v>
      </c>
    </row>
    <row r="4580" spans="1:8">
      <c r="A4580" s="1"/>
      <c r="B4580" s="1"/>
      <c r="C4580" s="1"/>
      <c r="D4580" s="1"/>
      <c r="E4580" s="357">
        <v>45478</v>
      </c>
      <c r="F4580" s="344" t="s">
        <v>631</v>
      </c>
      <c r="G4580" s="358">
        <v>32.630099999999999</v>
      </c>
      <c r="H4580" s="344" t="s">
        <v>1779</v>
      </c>
    </row>
    <row r="4581" spans="1:8">
      <c r="A4581" s="1"/>
      <c r="B4581" s="1"/>
      <c r="C4581" s="1"/>
      <c r="D4581" s="1"/>
      <c r="E4581" s="357">
        <v>45481</v>
      </c>
      <c r="F4581" s="344" t="s">
        <v>621</v>
      </c>
      <c r="G4581" s="358">
        <v>36.3675</v>
      </c>
      <c r="H4581" s="344" t="s">
        <v>1780</v>
      </c>
    </row>
    <row r="4582" spans="1:8">
      <c r="A4582" s="1"/>
      <c r="B4582" s="1"/>
      <c r="C4582" s="1"/>
      <c r="D4582" s="1"/>
      <c r="E4582" s="357">
        <v>45481</v>
      </c>
      <c r="F4582" s="344" t="s">
        <v>625</v>
      </c>
      <c r="G4582" s="358">
        <v>35.360399999999998</v>
      </c>
      <c r="H4582" s="344" t="s">
        <v>1780</v>
      </c>
    </row>
    <row r="4583" spans="1:8">
      <c r="A4583" s="1"/>
      <c r="B4583" s="1"/>
      <c r="C4583" s="1"/>
      <c r="D4583" s="1"/>
      <c r="E4583" s="357">
        <v>45481</v>
      </c>
      <c r="F4583" s="344" t="s">
        <v>628</v>
      </c>
      <c r="G4583" s="358">
        <v>41.7652</v>
      </c>
      <c r="H4583" s="344" t="s">
        <v>1780</v>
      </c>
    </row>
    <row r="4584" spans="1:8">
      <c r="A4584" s="1"/>
      <c r="B4584" s="1"/>
      <c r="C4584" s="1"/>
      <c r="D4584" s="1"/>
      <c r="E4584" s="357">
        <v>45481</v>
      </c>
      <c r="F4584" s="344" t="s">
        <v>631</v>
      </c>
      <c r="G4584" s="358">
        <v>32.640099999999997</v>
      </c>
      <c r="H4584" s="344" t="s">
        <v>1780</v>
      </c>
    </row>
    <row r="4585" spans="1:8">
      <c r="A4585" s="1"/>
      <c r="B4585" s="1"/>
      <c r="C4585" s="1"/>
      <c r="D4585" s="1"/>
      <c r="E4585" s="357">
        <v>45482</v>
      </c>
      <c r="F4585" s="344" t="s">
        <v>621</v>
      </c>
      <c r="G4585" s="358">
        <v>36.363599999999998</v>
      </c>
      <c r="H4585" s="344" t="s">
        <v>1781</v>
      </c>
    </row>
    <row r="4586" spans="1:8">
      <c r="A4586" s="1"/>
      <c r="B4586" s="1"/>
      <c r="C4586" s="1"/>
      <c r="D4586" s="1"/>
      <c r="E4586" s="357">
        <v>45482</v>
      </c>
      <c r="F4586" s="344" t="s">
        <v>625</v>
      </c>
      <c r="G4586" s="358">
        <v>35.424100000000003</v>
      </c>
      <c r="H4586" s="344" t="s">
        <v>1781</v>
      </c>
    </row>
    <row r="4587" spans="1:8">
      <c r="A4587" s="1"/>
      <c r="B4587" s="1"/>
      <c r="C4587" s="1"/>
      <c r="D4587" s="1"/>
      <c r="E4587" s="357">
        <v>45482</v>
      </c>
      <c r="F4587" s="344" t="s">
        <v>628</v>
      </c>
      <c r="G4587" s="358">
        <v>41.849899999999998</v>
      </c>
      <c r="H4587" s="344" t="s">
        <v>1781</v>
      </c>
    </row>
    <row r="4588" spans="1:8">
      <c r="A4588" s="1"/>
      <c r="B4588" s="1"/>
      <c r="C4588" s="1"/>
      <c r="D4588" s="1"/>
      <c r="E4588" s="357">
        <v>45482</v>
      </c>
      <c r="F4588" s="344" t="s">
        <v>631</v>
      </c>
      <c r="G4588" s="358">
        <v>32.736199999999997</v>
      </c>
      <c r="H4588" s="344" t="s">
        <v>1781</v>
      </c>
    </row>
    <row r="4589" spans="1:8">
      <c r="A4589" s="1"/>
      <c r="B4589" s="1"/>
      <c r="C4589" s="1"/>
      <c r="D4589" s="1"/>
      <c r="E4589" s="357">
        <v>45483</v>
      </c>
      <c r="F4589" s="344" t="s">
        <v>621</v>
      </c>
      <c r="G4589" s="358">
        <v>36.550800000000002</v>
      </c>
      <c r="H4589" s="344" t="s">
        <v>1782</v>
      </c>
    </row>
    <row r="4590" spans="1:8">
      <c r="A4590" s="1"/>
      <c r="B4590" s="1"/>
      <c r="C4590" s="1"/>
      <c r="D4590" s="1"/>
      <c r="E4590" s="357">
        <v>45483</v>
      </c>
      <c r="F4590" s="344" t="s">
        <v>625</v>
      </c>
      <c r="G4590" s="358">
        <v>35.581200000000003</v>
      </c>
      <c r="H4590" s="344" t="s">
        <v>1782</v>
      </c>
    </row>
    <row r="4591" spans="1:8">
      <c r="A4591" s="1"/>
      <c r="B4591" s="1"/>
      <c r="C4591" s="1"/>
      <c r="D4591" s="1"/>
      <c r="E4591" s="357">
        <v>45483</v>
      </c>
      <c r="F4591" s="344" t="s">
        <v>628</v>
      </c>
      <c r="G4591" s="358">
        <v>42.026800000000001</v>
      </c>
      <c r="H4591" s="344" t="s">
        <v>1782</v>
      </c>
    </row>
    <row r="4592" spans="1:8">
      <c r="A4592" s="1"/>
      <c r="B4592" s="1"/>
      <c r="C4592" s="1"/>
      <c r="D4592" s="1"/>
      <c r="E4592" s="357">
        <v>45483</v>
      </c>
      <c r="F4592" s="344" t="s">
        <v>631</v>
      </c>
      <c r="G4592" s="358">
        <v>32.884900000000002</v>
      </c>
      <c r="H4592" s="344" t="s">
        <v>1782</v>
      </c>
    </row>
    <row r="4593" spans="1:8">
      <c r="A4593" s="1"/>
      <c r="B4593" s="1"/>
      <c r="C4593" s="1"/>
      <c r="D4593" s="1"/>
      <c r="E4593" s="357">
        <v>45484</v>
      </c>
      <c r="F4593" s="344" t="s">
        <v>621</v>
      </c>
      <c r="G4593" s="358">
        <v>36.469700000000003</v>
      </c>
      <c r="H4593" s="344" t="s">
        <v>1783</v>
      </c>
    </row>
    <row r="4594" spans="1:8">
      <c r="A4594" s="1"/>
      <c r="B4594" s="1"/>
      <c r="C4594" s="1"/>
      <c r="D4594" s="1"/>
      <c r="E4594" s="357">
        <v>45484</v>
      </c>
      <c r="F4594" s="344" t="s">
        <v>625</v>
      </c>
      <c r="G4594" s="358">
        <v>35.622900000000001</v>
      </c>
      <c r="H4594" s="344" t="s">
        <v>1783</v>
      </c>
    </row>
    <row r="4595" spans="1:8">
      <c r="A4595" s="1"/>
      <c r="B4595" s="1"/>
      <c r="C4595" s="1"/>
      <c r="D4595" s="1"/>
      <c r="E4595" s="357">
        <v>45484</v>
      </c>
      <c r="F4595" s="344" t="s">
        <v>628</v>
      </c>
      <c r="G4595" s="358">
        <v>42.209400000000002</v>
      </c>
      <c r="H4595" s="344" t="s">
        <v>1783</v>
      </c>
    </row>
    <row r="4596" spans="1:8">
      <c r="A4596" s="1"/>
      <c r="B4596" s="1"/>
      <c r="C4596" s="1"/>
      <c r="D4596" s="1"/>
      <c r="E4596" s="357">
        <v>45484</v>
      </c>
      <c r="F4596" s="344" t="s">
        <v>631</v>
      </c>
      <c r="G4596" s="358">
        <v>32.847299999999997</v>
      </c>
      <c r="H4596" s="344" t="s">
        <v>1783</v>
      </c>
    </row>
    <row r="4597" spans="1:8">
      <c r="A4597" s="1"/>
      <c r="B4597" s="1"/>
      <c r="C4597" s="1"/>
      <c r="D4597" s="1"/>
      <c r="E4597" s="357">
        <v>45485</v>
      </c>
      <c r="F4597" s="344" t="s">
        <v>621</v>
      </c>
      <c r="G4597" s="358">
        <v>36.648099999999999</v>
      </c>
      <c r="H4597" s="344" t="s">
        <v>1784</v>
      </c>
    </row>
    <row r="4598" spans="1:8">
      <c r="A4598" s="1"/>
      <c r="B4598" s="1"/>
      <c r="C4598" s="1"/>
      <c r="D4598" s="1"/>
      <c r="E4598" s="357">
        <v>45485</v>
      </c>
      <c r="F4598" s="344" t="s">
        <v>625</v>
      </c>
      <c r="G4598" s="358">
        <v>35.808199999999999</v>
      </c>
      <c r="H4598" s="344" t="s">
        <v>1784</v>
      </c>
    </row>
    <row r="4599" spans="1:8">
      <c r="A4599" s="1"/>
      <c r="B4599" s="1"/>
      <c r="C4599" s="1"/>
      <c r="D4599" s="1"/>
      <c r="E4599" s="357">
        <v>45485</v>
      </c>
      <c r="F4599" s="344" t="s">
        <v>628</v>
      </c>
      <c r="G4599" s="358">
        <v>42.516199999999998</v>
      </c>
      <c r="H4599" s="344" t="s">
        <v>1784</v>
      </c>
    </row>
    <row r="4600" spans="1:8">
      <c r="A4600" s="1"/>
      <c r="B4600" s="1"/>
      <c r="C4600" s="1"/>
      <c r="D4600" s="1"/>
      <c r="E4600" s="357">
        <v>45485</v>
      </c>
      <c r="F4600" s="344" t="s">
        <v>631</v>
      </c>
      <c r="G4600" s="358">
        <v>32.9069</v>
      </c>
      <c r="H4600" s="344" t="s">
        <v>1784</v>
      </c>
    </row>
    <row r="4601" spans="1:8">
      <c r="A4601" s="1"/>
      <c r="B4601" s="1"/>
      <c r="C4601" s="1"/>
      <c r="D4601" s="1"/>
      <c r="E4601" s="357">
        <v>45489</v>
      </c>
      <c r="F4601" s="344" t="s">
        <v>621</v>
      </c>
      <c r="G4601" s="358">
        <v>36.7988</v>
      </c>
      <c r="H4601" s="344" t="s">
        <v>1785</v>
      </c>
    </row>
    <row r="4602" spans="1:8">
      <c r="A4602" s="1"/>
      <c r="B4602" s="1"/>
      <c r="C4602" s="1"/>
      <c r="D4602" s="1"/>
      <c r="E4602" s="357">
        <v>45489</v>
      </c>
      <c r="F4602" s="344" t="s">
        <v>625</v>
      </c>
      <c r="G4602" s="358">
        <v>35.988199999999999</v>
      </c>
      <c r="H4602" s="344" t="s">
        <v>1785</v>
      </c>
    </row>
    <row r="4603" spans="1:8">
      <c r="A4603" s="1"/>
      <c r="B4603" s="1"/>
      <c r="C4603" s="1"/>
      <c r="D4603" s="1"/>
      <c r="E4603" s="357">
        <v>45489</v>
      </c>
      <c r="F4603" s="344" t="s">
        <v>628</v>
      </c>
      <c r="G4603" s="358">
        <v>42.7408</v>
      </c>
      <c r="H4603" s="344" t="s">
        <v>1785</v>
      </c>
    </row>
    <row r="4604" spans="1:8">
      <c r="A4604" s="1"/>
      <c r="B4604" s="1"/>
      <c r="C4604" s="1"/>
      <c r="D4604" s="1"/>
      <c r="E4604" s="357">
        <v>45489</v>
      </c>
      <c r="F4604" s="344" t="s">
        <v>631</v>
      </c>
      <c r="G4604" s="358">
        <v>33.022300000000001</v>
      </c>
      <c r="H4604" s="344" t="s">
        <v>1785</v>
      </c>
    </row>
    <row r="4605" spans="1:8">
      <c r="A4605" s="1"/>
      <c r="B4605" s="1"/>
      <c r="C4605" s="1"/>
      <c r="D4605" s="1"/>
      <c r="E4605" s="357">
        <v>45490</v>
      </c>
      <c r="F4605" s="344" t="s">
        <v>621</v>
      </c>
      <c r="G4605" s="358">
        <v>37.068199999999997</v>
      </c>
      <c r="H4605" s="344" t="s">
        <v>1786</v>
      </c>
    </row>
    <row r="4606" spans="1:8">
      <c r="A4606" s="1"/>
      <c r="B4606" s="1"/>
      <c r="C4606" s="1"/>
      <c r="D4606" s="1"/>
      <c r="E4606" s="357">
        <v>45490</v>
      </c>
      <c r="F4606" s="344" t="s">
        <v>625</v>
      </c>
      <c r="G4606" s="358">
        <v>36.098399999999998</v>
      </c>
      <c r="H4606" s="344" t="s">
        <v>1786</v>
      </c>
    </row>
    <row r="4607" spans="1:8">
      <c r="A4607" s="1"/>
      <c r="B4607" s="1"/>
      <c r="C4607" s="1"/>
      <c r="D4607" s="1"/>
      <c r="E4607" s="357">
        <v>45490</v>
      </c>
      <c r="F4607" s="344" t="s">
        <v>628</v>
      </c>
      <c r="G4607" s="358">
        <v>42.948900000000002</v>
      </c>
      <c r="H4607" s="344" t="s">
        <v>1786</v>
      </c>
    </row>
    <row r="4608" spans="1:8">
      <c r="A4608" s="1"/>
      <c r="B4608" s="1"/>
      <c r="C4608" s="1"/>
      <c r="D4608" s="1"/>
      <c r="E4608" s="357">
        <v>45490</v>
      </c>
      <c r="F4608" s="344" t="s">
        <v>631</v>
      </c>
      <c r="G4608" s="358">
        <v>33.037999999999997</v>
      </c>
      <c r="H4608" s="344" t="s">
        <v>1786</v>
      </c>
    </row>
    <row r="4609" spans="1:8">
      <c r="A4609" s="1"/>
      <c r="B4609" s="1"/>
      <c r="C4609" s="1"/>
      <c r="D4609" s="1"/>
      <c r="E4609" s="357">
        <v>45491</v>
      </c>
      <c r="F4609" s="344" t="s">
        <v>621</v>
      </c>
      <c r="G4609" s="358">
        <v>37.2883</v>
      </c>
      <c r="H4609" s="344" t="s">
        <v>1787</v>
      </c>
    </row>
    <row r="4610" spans="1:8">
      <c r="A4610" s="1"/>
      <c r="B4610" s="1"/>
      <c r="C4610" s="1"/>
      <c r="D4610" s="1"/>
      <c r="E4610" s="357">
        <v>45491</v>
      </c>
      <c r="F4610" s="344" t="s">
        <v>625</v>
      </c>
      <c r="G4610" s="358">
        <v>36.1143</v>
      </c>
      <c r="H4610" s="344" t="s">
        <v>1787</v>
      </c>
    </row>
    <row r="4611" spans="1:8">
      <c r="A4611" s="1"/>
      <c r="B4611" s="1"/>
      <c r="C4611" s="1"/>
      <c r="D4611" s="1"/>
      <c r="E4611" s="357">
        <v>45491</v>
      </c>
      <c r="F4611" s="344" t="s">
        <v>628</v>
      </c>
      <c r="G4611" s="358">
        <v>42.843699999999998</v>
      </c>
      <c r="H4611" s="344" t="s">
        <v>1787</v>
      </c>
    </row>
    <row r="4612" spans="1:8">
      <c r="A4612" s="1"/>
      <c r="B4612" s="1"/>
      <c r="C4612" s="1"/>
      <c r="D4612" s="1"/>
      <c r="E4612" s="357">
        <v>45491</v>
      </c>
      <c r="F4612" s="344" t="s">
        <v>631</v>
      </c>
      <c r="G4612" s="358">
        <v>33.038899999999998</v>
      </c>
      <c r="H4612" s="344" t="s">
        <v>1787</v>
      </c>
    </row>
    <row r="4613" spans="1:8">
      <c r="A4613" s="1"/>
      <c r="B4613" s="1"/>
      <c r="C4613" s="1"/>
      <c r="D4613" s="1"/>
      <c r="E4613" s="357">
        <v>45492</v>
      </c>
      <c r="F4613" s="344" t="s">
        <v>621</v>
      </c>
      <c r="G4613" s="358">
        <v>37.045200000000001</v>
      </c>
      <c r="H4613" s="344" t="s">
        <v>1788</v>
      </c>
    </row>
    <row r="4614" spans="1:8">
      <c r="A4614" s="1"/>
      <c r="B4614" s="1"/>
      <c r="C4614" s="1"/>
      <c r="D4614" s="1"/>
      <c r="E4614" s="357">
        <v>45492</v>
      </c>
      <c r="F4614" s="344" t="s">
        <v>625</v>
      </c>
      <c r="G4614" s="358">
        <v>35.9251</v>
      </c>
      <c r="H4614" s="344" t="s">
        <v>1788</v>
      </c>
    </row>
    <row r="4615" spans="1:8">
      <c r="A4615" s="1"/>
      <c r="B4615" s="1"/>
      <c r="C4615" s="1"/>
      <c r="D4615" s="1"/>
      <c r="E4615" s="357">
        <v>45492</v>
      </c>
      <c r="F4615" s="344" t="s">
        <v>628</v>
      </c>
      <c r="G4615" s="358">
        <v>42.576799999999999</v>
      </c>
      <c r="H4615" s="344" t="s">
        <v>1788</v>
      </c>
    </row>
    <row r="4616" spans="1:8">
      <c r="A4616" s="1"/>
      <c r="B4616" s="1"/>
      <c r="C4616" s="1"/>
      <c r="D4616" s="1"/>
      <c r="E4616" s="357">
        <v>45492</v>
      </c>
      <c r="F4616" s="344" t="s">
        <v>631</v>
      </c>
      <c r="G4616" s="358">
        <v>33.004199999999997</v>
      </c>
      <c r="H4616" s="344" t="s">
        <v>1788</v>
      </c>
    </row>
    <row r="4617" spans="1:8">
      <c r="A4617" s="1"/>
      <c r="B4617" s="1"/>
      <c r="C4617" s="1"/>
      <c r="D4617" s="1"/>
      <c r="E4617" s="357">
        <v>45495</v>
      </c>
      <c r="F4617" s="344" t="s">
        <v>621</v>
      </c>
      <c r="G4617" s="358">
        <v>37.021500000000003</v>
      </c>
      <c r="H4617" s="344" t="s">
        <v>1789</v>
      </c>
    </row>
    <row r="4618" spans="1:8">
      <c r="A4618" s="1"/>
      <c r="B4618" s="1"/>
      <c r="C4618" s="1"/>
      <c r="D4618" s="1"/>
      <c r="E4618" s="357">
        <v>45495</v>
      </c>
      <c r="F4618" s="344" t="s">
        <v>625</v>
      </c>
      <c r="G4618" s="358">
        <v>35.867899999999999</v>
      </c>
      <c r="H4618" s="344" t="s">
        <v>1789</v>
      </c>
    </row>
    <row r="4619" spans="1:8">
      <c r="A4619" s="1"/>
      <c r="B4619" s="1"/>
      <c r="C4619" s="1"/>
      <c r="D4619" s="1"/>
      <c r="E4619" s="357">
        <v>45495</v>
      </c>
      <c r="F4619" s="344" t="s">
        <v>628</v>
      </c>
      <c r="G4619" s="358">
        <v>42.515500000000003</v>
      </c>
      <c r="H4619" s="344" t="s">
        <v>1789</v>
      </c>
    </row>
    <row r="4620" spans="1:8">
      <c r="A4620" s="1"/>
      <c r="B4620" s="1"/>
      <c r="C4620" s="1"/>
      <c r="D4620" s="1"/>
      <c r="E4620" s="357">
        <v>45495</v>
      </c>
      <c r="F4620" s="344" t="s">
        <v>631</v>
      </c>
      <c r="G4620" s="358">
        <v>32.944099999999999</v>
      </c>
      <c r="H4620" s="344" t="s">
        <v>1789</v>
      </c>
    </row>
    <row r="4621" spans="1:8">
      <c r="A4621" s="1"/>
      <c r="B4621" s="1"/>
      <c r="C4621" s="1"/>
      <c r="D4621" s="1"/>
      <c r="E4621" s="357">
        <v>45496</v>
      </c>
      <c r="F4621" s="344" t="s">
        <v>621</v>
      </c>
      <c r="G4621" s="358">
        <v>36.834899999999998</v>
      </c>
      <c r="H4621" s="344" t="s">
        <v>1790</v>
      </c>
    </row>
    <row r="4622" spans="1:8">
      <c r="A4622" s="1"/>
      <c r="B4622" s="1"/>
      <c r="C4622" s="1"/>
      <c r="D4622" s="1"/>
      <c r="E4622" s="357">
        <v>45496</v>
      </c>
      <c r="F4622" s="344" t="s">
        <v>625</v>
      </c>
      <c r="G4622" s="358">
        <v>35.744399999999999</v>
      </c>
      <c r="H4622" s="344" t="s">
        <v>1790</v>
      </c>
    </row>
    <row r="4623" spans="1:8">
      <c r="A4623" s="1"/>
      <c r="B4623" s="1"/>
      <c r="C4623" s="1"/>
      <c r="D4623" s="1"/>
      <c r="E4623" s="357">
        <v>45496</v>
      </c>
      <c r="F4623" s="344" t="s">
        <v>628</v>
      </c>
      <c r="G4623" s="358">
        <v>42.390500000000003</v>
      </c>
      <c r="H4623" s="344" t="s">
        <v>1790</v>
      </c>
    </row>
    <row r="4624" spans="1:8">
      <c r="A4624" s="1"/>
      <c r="B4624" s="1"/>
      <c r="C4624" s="1"/>
      <c r="D4624" s="1"/>
      <c r="E4624" s="357">
        <v>45496</v>
      </c>
      <c r="F4624" s="344" t="s">
        <v>631</v>
      </c>
      <c r="G4624" s="358">
        <v>32.880499999999998</v>
      </c>
      <c r="H4624" s="344" t="s">
        <v>1790</v>
      </c>
    </row>
    <row r="4625" spans="1:8">
      <c r="A4625" s="1"/>
      <c r="B4625" s="1"/>
      <c r="C4625" s="1"/>
      <c r="D4625" s="1"/>
      <c r="E4625" s="357">
        <v>45497</v>
      </c>
      <c r="F4625" s="344" t="s">
        <v>621</v>
      </c>
      <c r="G4625" s="358">
        <v>36.8414</v>
      </c>
      <c r="H4625" s="344" t="s">
        <v>1791</v>
      </c>
    </row>
    <row r="4626" spans="1:8">
      <c r="A4626" s="1"/>
      <c r="B4626" s="1"/>
      <c r="C4626" s="1"/>
      <c r="D4626" s="1"/>
      <c r="E4626" s="357">
        <v>45497</v>
      </c>
      <c r="F4626" s="344" t="s">
        <v>625</v>
      </c>
      <c r="G4626" s="358">
        <v>35.565600000000003</v>
      </c>
      <c r="H4626" s="344" t="s">
        <v>1791</v>
      </c>
    </row>
    <row r="4627" spans="1:8">
      <c r="A4627" s="1"/>
      <c r="B4627" s="1"/>
      <c r="C4627" s="1"/>
      <c r="D4627" s="1"/>
      <c r="E4627" s="357">
        <v>45497</v>
      </c>
      <c r="F4627" s="344" t="s">
        <v>628</v>
      </c>
      <c r="G4627" s="358">
        <v>42.256700000000002</v>
      </c>
      <c r="H4627" s="344" t="s">
        <v>1791</v>
      </c>
    </row>
    <row r="4628" spans="1:8">
      <c r="A4628" s="1"/>
      <c r="B4628" s="1"/>
      <c r="C4628" s="1"/>
      <c r="D4628" s="1"/>
      <c r="E4628" s="357">
        <v>45497</v>
      </c>
      <c r="F4628" s="344" t="s">
        <v>631</v>
      </c>
      <c r="G4628" s="358">
        <v>32.810600000000001</v>
      </c>
      <c r="H4628" s="344" t="s">
        <v>1791</v>
      </c>
    </row>
    <row r="4629" spans="1:8">
      <c r="A4629" s="1"/>
      <c r="B4629" s="1"/>
      <c r="C4629" s="1"/>
      <c r="D4629" s="1"/>
      <c r="E4629" s="357">
        <v>45498</v>
      </c>
      <c r="F4629" s="344" t="s">
        <v>621</v>
      </c>
      <c r="G4629" s="358">
        <v>37.397199999999998</v>
      </c>
      <c r="H4629" s="344" t="s">
        <v>1792</v>
      </c>
    </row>
    <row r="4630" spans="1:8">
      <c r="A4630" s="1"/>
      <c r="B4630" s="1"/>
      <c r="C4630" s="1"/>
      <c r="D4630" s="1"/>
      <c r="E4630" s="357">
        <v>45498</v>
      </c>
      <c r="F4630" s="344" t="s">
        <v>625</v>
      </c>
      <c r="G4630" s="358">
        <v>35.7759</v>
      </c>
      <c r="H4630" s="344" t="s">
        <v>1792</v>
      </c>
    </row>
    <row r="4631" spans="1:8">
      <c r="A4631" s="1"/>
      <c r="B4631" s="1"/>
      <c r="C4631" s="1"/>
      <c r="D4631" s="1"/>
      <c r="E4631" s="357">
        <v>45498</v>
      </c>
      <c r="F4631" s="344" t="s">
        <v>628</v>
      </c>
      <c r="G4631" s="358">
        <v>42.418700000000001</v>
      </c>
      <c r="H4631" s="344" t="s">
        <v>1792</v>
      </c>
    </row>
    <row r="4632" spans="1:8">
      <c r="A4632" s="1"/>
      <c r="B4632" s="1"/>
      <c r="C4632" s="1"/>
      <c r="D4632" s="1"/>
      <c r="E4632" s="357">
        <v>45498</v>
      </c>
      <c r="F4632" s="344" t="s">
        <v>631</v>
      </c>
      <c r="G4632" s="358">
        <v>32.9833</v>
      </c>
      <c r="H4632" s="344" t="s">
        <v>1792</v>
      </c>
    </row>
    <row r="4633" spans="1:8">
      <c r="A4633" s="1"/>
      <c r="B4633" s="1"/>
      <c r="C4633" s="1"/>
      <c r="D4633" s="1"/>
      <c r="E4633" s="357">
        <v>45499</v>
      </c>
      <c r="F4633" s="344" t="s">
        <v>621</v>
      </c>
      <c r="G4633" s="358">
        <v>37.241900000000001</v>
      </c>
      <c r="H4633" s="344" t="s">
        <v>1793</v>
      </c>
    </row>
    <row r="4634" spans="1:8">
      <c r="A4634" s="1"/>
      <c r="B4634" s="1"/>
      <c r="C4634" s="1"/>
      <c r="D4634" s="1"/>
      <c r="E4634" s="357">
        <v>45499</v>
      </c>
      <c r="F4634" s="344" t="s">
        <v>625</v>
      </c>
      <c r="G4634" s="358">
        <v>35.773200000000003</v>
      </c>
      <c r="H4634" s="344" t="s">
        <v>1793</v>
      </c>
    </row>
    <row r="4635" spans="1:8">
      <c r="A4635" s="1"/>
      <c r="B4635" s="1"/>
      <c r="C4635" s="1"/>
      <c r="D4635" s="1"/>
      <c r="E4635" s="357">
        <v>45499</v>
      </c>
      <c r="F4635" s="344" t="s">
        <v>628</v>
      </c>
      <c r="G4635" s="358">
        <v>42.335900000000002</v>
      </c>
      <c r="H4635" s="344" t="s">
        <v>1793</v>
      </c>
    </row>
    <row r="4636" spans="1:8">
      <c r="A4636" s="1"/>
      <c r="B4636" s="1"/>
      <c r="C4636" s="1"/>
      <c r="D4636" s="1"/>
      <c r="E4636" s="357">
        <v>45499</v>
      </c>
      <c r="F4636" s="344" t="s">
        <v>631</v>
      </c>
      <c r="G4636" s="358">
        <v>32.958599999999997</v>
      </c>
      <c r="H4636" s="344" t="s">
        <v>1793</v>
      </c>
    </row>
    <row r="4637" spans="1:8">
      <c r="A4637" s="1"/>
      <c r="B4637" s="1"/>
      <c r="C4637" s="1"/>
      <c r="D4637" s="1"/>
      <c r="E4637" s="357">
        <v>45502</v>
      </c>
      <c r="F4637" s="344" t="s">
        <v>621</v>
      </c>
      <c r="G4637" s="358">
        <v>37.166800000000002</v>
      </c>
      <c r="H4637" s="344" t="s">
        <v>1794</v>
      </c>
    </row>
    <row r="4638" spans="1:8">
      <c r="A4638" s="1"/>
      <c r="B4638" s="1"/>
      <c r="C4638" s="1"/>
      <c r="D4638" s="1"/>
      <c r="E4638" s="357">
        <v>45502</v>
      </c>
      <c r="F4638" s="344" t="s">
        <v>625</v>
      </c>
      <c r="G4638" s="358">
        <v>35.710999999999999</v>
      </c>
      <c r="H4638" s="344" t="s">
        <v>1794</v>
      </c>
    </row>
    <row r="4639" spans="1:8">
      <c r="A4639" s="1"/>
      <c r="B4639" s="1"/>
      <c r="C4639" s="1"/>
      <c r="D4639" s="1"/>
      <c r="E4639" s="357">
        <v>45502</v>
      </c>
      <c r="F4639" s="344" t="s">
        <v>628</v>
      </c>
      <c r="G4639" s="358">
        <v>42.225900000000003</v>
      </c>
      <c r="H4639" s="344" t="s">
        <v>1794</v>
      </c>
    </row>
    <row r="4640" spans="1:8">
      <c r="A4640" s="1"/>
      <c r="B4640" s="1"/>
      <c r="C4640" s="1"/>
      <c r="D4640" s="1"/>
      <c r="E4640" s="357">
        <v>45502</v>
      </c>
      <c r="F4640" s="344" t="s">
        <v>631</v>
      </c>
      <c r="G4640" s="358">
        <v>32.950899999999997</v>
      </c>
      <c r="H4640" s="344" t="s">
        <v>1794</v>
      </c>
    </row>
    <row r="4641" spans="1:8">
      <c r="A4641" s="1"/>
      <c r="B4641" s="1"/>
      <c r="C4641" s="1"/>
      <c r="D4641" s="1"/>
      <c r="E4641" s="357">
        <v>45503</v>
      </c>
      <c r="F4641" s="344" t="s">
        <v>621</v>
      </c>
      <c r="G4641" s="358">
        <v>37.182299999999998</v>
      </c>
      <c r="H4641" s="344" t="s">
        <v>1795</v>
      </c>
    </row>
    <row r="4642" spans="1:8">
      <c r="A4642" s="1"/>
      <c r="B4642" s="1"/>
      <c r="C4642" s="1"/>
      <c r="D4642" s="1"/>
      <c r="E4642" s="357">
        <v>45503</v>
      </c>
      <c r="F4642" s="344" t="s">
        <v>625</v>
      </c>
      <c r="G4642" s="358">
        <v>35.761200000000002</v>
      </c>
      <c r="H4642" s="344" t="s">
        <v>1795</v>
      </c>
    </row>
    <row r="4643" spans="1:8">
      <c r="A4643" s="1"/>
      <c r="B4643" s="1"/>
      <c r="C4643" s="1"/>
      <c r="D4643" s="1"/>
      <c r="E4643" s="357">
        <v>45503</v>
      </c>
      <c r="F4643" s="344" t="s">
        <v>628</v>
      </c>
      <c r="G4643" s="358">
        <v>42.386600000000001</v>
      </c>
      <c r="H4643" s="344" t="s">
        <v>1795</v>
      </c>
    </row>
    <row r="4644" spans="1:8">
      <c r="A4644" s="1"/>
      <c r="B4644" s="1"/>
      <c r="C4644" s="1"/>
      <c r="D4644" s="1"/>
      <c r="E4644" s="357">
        <v>45503</v>
      </c>
      <c r="F4644" s="344" t="s">
        <v>631</v>
      </c>
      <c r="G4644" s="358">
        <v>33.0304</v>
      </c>
      <c r="H4644" s="344" t="s">
        <v>1795</v>
      </c>
    </row>
    <row r="4645" spans="1:8">
      <c r="A4645" s="1"/>
      <c r="B4645" s="1"/>
      <c r="C4645" s="1"/>
      <c r="D4645" s="1"/>
      <c r="E4645" s="357">
        <v>45504</v>
      </c>
      <c r="F4645" s="344" t="s">
        <v>621</v>
      </c>
      <c r="G4645" s="358">
        <v>37.4636</v>
      </c>
      <c r="H4645" s="344" t="s">
        <v>1796</v>
      </c>
    </row>
    <row r="4646" spans="1:8">
      <c r="A4646" s="1"/>
      <c r="B4646" s="1"/>
      <c r="C4646" s="1"/>
      <c r="D4646" s="1"/>
      <c r="E4646" s="357">
        <v>45504</v>
      </c>
      <c r="F4646" s="344" t="s">
        <v>625</v>
      </c>
      <c r="G4646" s="358">
        <v>35.814500000000002</v>
      </c>
      <c r="H4646" s="344" t="s">
        <v>1796</v>
      </c>
    </row>
    <row r="4647" spans="1:8">
      <c r="A4647" s="1"/>
      <c r="B4647" s="1"/>
      <c r="C4647" s="1"/>
      <c r="D4647" s="1"/>
      <c r="E4647" s="357">
        <v>45504</v>
      </c>
      <c r="F4647" s="344" t="s">
        <v>628</v>
      </c>
      <c r="G4647" s="358">
        <v>42.393999999999998</v>
      </c>
      <c r="H4647" s="344" t="s">
        <v>1796</v>
      </c>
    </row>
    <row r="4648" spans="1:8">
      <c r="A4648" s="1"/>
      <c r="B4648" s="1"/>
      <c r="C4648" s="1"/>
      <c r="D4648" s="1"/>
      <c r="E4648" s="357">
        <v>45504</v>
      </c>
      <c r="F4648" s="344" t="s">
        <v>631</v>
      </c>
      <c r="G4648" s="358">
        <v>33.083500000000001</v>
      </c>
      <c r="H4648" s="344" t="s">
        <v>1796</v>
      </c>
    </row>
    <row r="4649" spans="1:8">
      <c r="A4649" s="1"/>
      <c r="B4649" s="1"/>
      <c r="C4649" s="1"/>
      <c r="D4649" s="1"/>
      <c r="E4649" s="357">
        <v>45505</v>
      </c>
      <c r="F4649" s="344" t="s">
        <v>621</v>
      </c>
      <c r="G4649" s="358">
        <v>37.642800000000001</v>
      </c>
      <c r="H4649" s="344" t="s">
        <v>1797</v>
      </c>
    </row>
    <row r="4650" spans="1:8">
      <c r="A4650" s="1"/>
      <c r="B4650" s="1"/>
      <c r="C4650" s="1"/>
      <c r="D4650" s="1"/>
      <c r="E4650" s="357">
        <v>45505</v>
      </c>
      <c r="F4650" s="344" t="s">
        <v>625</v>
      </c>
      <c r="G4650" s="358">
        <v>35.700499999999998</v>
      </c>
      <c r="H4650" s="344" t="s">
        <v>1797</v>
      </c>
    </row>
    <row r="4651" spans="1:8">
      <c r="A4651" s="1"/>
      <c r="B4651" s="1"/>
      <c r="C4651" s="1"/>
      <c r="D4651" s="1"/>
      <c r="E4651" s="357">
        <v>45505</v>
      </c>
      <c r="F4651" s="344" t="s">
        <v>628</v>
      </c>
      <c r="G4651" s="358">
        <v>42.216900000000003</v>
      </c>
      <c r="H4651" s="344" t="s">
        <v>1797</v>
      </c>
    </row>
    <row r="4652" spans="1:8">
      <c r="A4652" s="1"/>
      <c r="B4652" s="1"/>
      <c r="C4652" s="1"/>
      <c r="D4652" s="1"/>
      <c r="E4652" s="357">
        <v>45505</v>
      </c>
      <c r="F4652" s="344" t="s">
        <v>631</v>
      </c>
      <c r="G4652" s="358">
        <v>33.078200000000002</v>
      </c>
      <c r="H4652" s="344" t="s">
        <v>1797</v>
      </c>
    </row>
    <row r="4653" spans="1:8">
      <c r="A4653" s="1"/>
      <c r="B4653" s="1"/>
      <c r="C4653" s="1"/>
      <c r="D4653" s="1"/>
      <c r="E4653" s="357">
        <v>45506</v>
      </c>
      <c r="F4653" s="344" t="s">
        <v>621</v>
      </c>
      <c r="G4653" s="358">
        <v>37.882599999999996</v>
      </c>
      <c r="H4653" s="344" t="s">
        <v>1798</v>
      </c>
    </row>
    <row r="4654" spans="1:8">
      <c r="A4654" s="1"/>
      <c r="B4654" s="1"/>
      <c r="C4654" s="1"/>
      <c r="D4654" s="1"/>
      <c r="E4654" s="357">
        <v>45506</v>
      </c>
      <c r="F4654" s="344" t="s">
        <v>625</v>
      </c>
      <c r="G4654" s="358">
        <v>35.772599999999997</v>
      </c>
      <c r="H4654" s="344" t="s">
        <v>1798</v>
      </c>
    </row>
    <row r="4655" spans="1:8">
      <c r="A4655" s="1"/>
      <c r="B4655" s="1"/>
      <c r="C4655" s="1"/>
      <c r="D4655" s="1"/>
      <c r="E4655" s="357">
        <v>45506</v>
      </c>
      <c r="F4655" s="344" t="s">
        <v>628</v>
      </c>
      <c r="G4655" s="358">
        <v>42.040300000000002</v>
      </c>
      <c r="H4655" s="344" t="s">
        <v>1798</v>
      </c>
    </row>
    <row r="4656" spans="1:8">
      <c r="A4656" s="1"/>
      <c r="B4656" s="1"/>
      <c r="C4656" s="1"/>
      <c r="D4656" s="1"/>
      <c r="E4656" s="357">
        <v>45506</v>
      </c>
      <c r="F4656" s="344" t="s">
        <v>631</v>
      </c>
      <c r="G4656" s="358">
        <v>33.076300000000003</v>
      </c>
      <c r="H4656" s="344" t="s">
        <v>1798</v>
      </c>
    </row>
    <row r="4657" spans="1:8">
      <c r="A4657" s="1"/>
      <c r="B4657" s="1"/>
      <c r="C4657" s="1"/>
      <c r="D4657" s="1"/>
      <c r="E4657" s="357">
        <v>45509</v>
      </c>
      <c r="F4657" s="344" t="s">
        <v>621</v>
      </c>
      <c r="G4657" s="358">
        <v>39.041499999999999</v>
      </c>
      <c r="H4657" s="344" t="s">
        <v>1799</v>
      </c>
    </row>
    <row r="4658" spans="1:8">
      <c r="A4658" s="1"/>
      <c r="B4658" s="1"/>
      <c r="C4658" s="1"/>
      <c r="D4658" s="1"/>
      <c r="E4658" s="357">
        <v>45509</v>
      </c>
      <c r="F4658" s="344" t="s">
        <v>625</v>
      </c>
      <c r="G4658" s="358">
        <v>36.399799999999999</v>
      </c>
      <c r="H4658" s="344" t="s">
        <v>1799</v>
      </c>
    </row>
    <row r="4659" spans="1:8">
      <c r="A4659" s="1"/>
      <c r="B4659" s="1"/>
      <c r="C4659" s="1"/>
      <c r="D4659" s="1"/>
      <c r="E4659" s="357">
        <v>45509</v>
      </c>
      <c r="F4659" s="344" t="s">
        <v>628</v>
      </c>
      <c r="G4659" s="358">
        <v>42.366799999999998</v>
      </c>
      <c r="H4659" s="344" t="s">
        <v>1799</v>
      </c>
    </row>
    <row r="4660" spans="1:8">
      <c r="A4660" s="1"/>
      <c r="B4660" s="1"/>
      <c r="C4660" s="1"/>
      <c r="D4660" s="1"/>
      <c r="E4660" s="357">
        <v>45509</v>
      </c>
      <c r="F4660" s="344" t="s">
        <v>631</v>
      </c>
      <c r="G4660" s="358">
        <v>33.257300000000001</v>
      </c>
      <c r="H4660" s="344" t="s">
        <v>1799</v>
      </c>
    </row>
    <row r="4661" spans="1:8">
      <c r="A4661" s="1"/>
      <c r="B4661" s="1"/>
      <c r="C4661" s="1"/>
      <c r="D4661" s="1"/>
      <c r="E4661" s="357">
        <v>45510</v>
      </c>
      <c r="F4661" s="344" t="s">
        <v>621</v>
      </c>
      <c r="G4661" s="358">
        <v>38.988500000000002</v>
      </c>
      <c r="H4661" s="344" t="s">
        <v>1800</v>
      </c>
    </row>
    <row r="4662" spans="1:8">
      <c r="A4662" s="1"/>
      <c r="B4662" s="1"/>
      <c r="C4662" s="1"/>
      <c r="D4662" s="1"/>
      <c r="E4662" s="357">
        <v>45510</v>
      </c>
      <c r="F4662" s="344" t="s">
        <v>625</v>
      </c>
      <c r="G4662" s="358">
        <v>36.478299999999997</v>
      </c>
      <c r="H4662" s="344" t="s">
        <v>1800</v>
      </c>
    </row>
    <row r="4663" spans="1:8">
      <c r="A4663" s="1"/>
      <c r="B4663" s="1"/>
      <c r="C4663" s="1"/>
      <c r="D4663" s="1"/>
      <c r="E4663" s="357">
        <v>45510</v>
      </c>
      <c r="F4663" s="344" t="s">
        <v>628</v>
      </c>
      <c r="G4663" s="358">
        <v>42.410200000000003</v>
      </c>
      <c r="H4663" s="344" t="s">
        <v>1800</v>
      </c>
    </row>
    <row r="4664" spans="1:8">
      <c r="A4664" s="1"/>
      <c r="B4664" s="1"/>
      <c r="C4664" s="1"/>
      <c r="D4664" s="1"/>
      <c r="E4664" s="357">
        <v>45510</v>
      </c>
      <c r="F4664" s="344" t="s">
        <v>631</v>
      </c>
      <c r="G4664" s="358">
        <v>33.398400000000002</v>
      </c>
      <c r="H4664" s="344" t="s">
        <v>1800</v>
      </c>
    </row>
    <row r="4665" spans="1:8">
      <c r="A4665" s="1"/>
      <c r="B4665" s="1"/>
      <c r="C4665" s="1"/>
      <c r="D4665" s="1"/>
      <c r="E4665" s="357">
        <v>45511</v>
      </c>
      <c r="F4665" s="344" t="s">
        <v>621</v>
      </c>
      <c r="G4665" s="358">
        <v>38.869500000000002</v>
      </c>
      <c r="H4665" s="344" t="s">
        <v>1801</v>
      </c>
    </row>
    <row r="4666" spans="1:8">
      <c r="A4666" s="1"/>
      <c r="B4666" s="1"/>
      <c r="C4666" s="1"/>
      <c r="D4666" s="1"/>
      <c r="E4666" s="357">
        <v>45511</v>
      </c>
      <c r="F4666" s="344" t="s">
        <v>625</v>
      </c>
      <c r="G4666" s="358">
        <v>36.573099999999997</v>
      </c>
      <c r="H4666" s="344" t="s">
        <v>1801</v>
      </c>
    </row>
    <row r="4667" spans="1:8">
      <c r="A4667" s="1"/>
      <c r="B4667" s="1"/>
      <c r="C4667" s="1"/>
      <c r="D4667" s="1"/>
      <c r="E4667" s="357">
        <v>45511</v>
      </c>
      <c r="F4667" s="344" t="s">
        <v>628</v>
      </c>
      <c r="G4667" s="358">
        <v>42.504899999999999</v>
      </c>
      <c r="H4667" s="344" t="s">
        <v>1801</v>
      </c>
    </row>
    <row r="4668" spans="1:8">
      <c r="A4668" s="1"/>
      <c r="B4668" s="1"/>
      <c r="C4668" s="1"/>
      <c r="D4668" s="1"/>
      <c r="E4668" s="357">
        <v>45511</v>
      </c>
      <c r="F4668" s="344" t="s">
        <v>631</v>
      </c>
      <c r="G4668" s="358">
        <v>33.496499999999997</v>
      </c>
      <c r="H4668" s="344" t="s">
        <v>1801</v>
      </c>
    </row>
    <row r="4669" spans="1:8">
      <c r="A4669" s="1"/>
      <c r="B4669" s="1"/>
      <c r="C4669" s="1"/>
      <c r="D4669" s="1"/>
      <c r="E4669" s="357">
        <v>45512</v>
      </c>
      <c r="F4669" s="344" t="s">
        <v>621</v>
      </c>
      <c r="G4669" s="358">
        <v>38.8797</v>
      </c>
      <c r="H4669" s="344" t="s">
        <v>1802</v>
      </c>
    </row>
    <row r="4670" spans="1:8">
      <c r="A4670" s="1"/>
      <c r="B4670" s="1"/>
      <c r="C4670" s="1"/>
      <c r="D4670" s="1"/>
      <c r="E4670" s="357">
        <v>45512</v>
      </c>
      <c r="F4670" s="344" t="s">
        <v>625</v>
      </c>
      <c r="G4670" s="358">
        <v>36.5702</v>
      </c>
      <c r="H4670" s="344" t="s">
        <v>1802</v>
      </c>
    </row>
    <row r="4671" spans="1:8">
      <c r="A4671" s="1"/>
      <c r="B4671" s="1"/>
      <c r="C4671" s="1"/>
      <c r="D4671" s="1"/>
      <c r="E4671" s="357">
        <v>45512</v>
      </c>
      <c r="F4671" s="344" t="s">
        <v>628</v>
      </c>
      <c r="G4671" s="358">
        <v>42.389699999999998</v>
      </c>
      <c r="H4671" s="344" t="s">
        <v>1802</v>
      </c>
    </row>
    <row r="4672" spans="1:8">
      <c r="A4672" s="1"/>
      <c r="B4672" s="1"/>
      <c r="C4672" s="1"/>
      <c r="D4672" s="1"/>
      <c r="E4672" s="357">
        <v>45512</v>
      </c>
      <c r="F4672" s="344" t="s">
        <v>631</v>
      </c>
      <c r="G4672" s="358">
        <v>33.447099999999999</v>
      </c>
      <c r="H4672" s="344" t="s">
        <v>1802</v>
      </c>
    </row>
    <row r="4673" spans="1:8">
      <c r="A4673" s="1"/>
      <c r="B4673" s="1"/>
      <c r="C4673" s="1"/>
      <c r="D4673" s="1"/>
      <c r="E4673" s="357">
        <v>45513</v>
      </c>
      <c r="F4673" s="344" t="s">
        <v>621</v>
      </c>
      <c r="G4673" s="358">
        <v>38.571800000000003</v>
      </c>
      <c r="H4673" s="344" t="s">
        <v>1803</v>
      </c>
    </row>
    <row r="4674" spans="1:8">
      <c r="A4674" s="1"/>
      <c r="B4674" s="1"/>
      <c r="C4674" s="1"/>
      <c r="D4674" s="1"/>
      <c r="E4674" s="357">
        <v>45513</v>
      </c>
      <c r="F4674" s="344" t="s">
        <v>625</v>
      </c>
      <c r="G4674" s="358">
        <v>36.538200000000003</v>
      </c>
      <c r="H4674" s="344" t="s">
        <v>1803</v>
      </c>
    </row>
    <row r="4675" spans="1:8">
      <c r="A4675" s="1"/>
      <c r="B4675" s="1"/>
      <c r="C4675" s="1"/>
      <c r="D4675" s="1"/>
      <c r="E4675" s="357">
        <v>45513</v>
      </c>
      <c r="F4675" s="344" t="s">
        <v>628</v>
      </c>
      <c r="G4675" s="358">
        <v>42.614600000000003</v>
      </c>
      <c r="H4675" s="344" t="s">
        <v>1803</v>
      </c>
    </row>
    <row r="4676" spans="1:8">
      <c r="A4676" s="1"/>
      <c r="B4676" s="1"/>
      <c r="C4676" s="1"/>
      <c r="D4676" s="1"/>
      <c r="E4676" s="357">
        <v>45513</v>
      </c>
      <c r="F4676" s="344" t="s">
        <v>631</v>
      </c>
      <c r="G4676" s="358">
        <v>33.459600000000002</v>
      </c>
      <c r="H4676" s="344" t="s">
        <v>1803</v>
      </c>
    </row>
    <row r="4677" spans="1:8">
      <c r="A4677" s="1"/>
      <c r="B4677" s="1"/>
      <c r="C4677" s="1"/>
      <c r="D4677" s="1"/>
      <c r="E4677" s="357">
        <v>45516</v>
      </c>
      <c r="F4677" s="344" t="s">
        <v>621</v>
      </c>
      <c r="G4677" s="358">
        <v>38.476900000000001</v>
      </c>
      <c r="H4677" s="344" t="s">
        <v>1804</v>
      </c>
    </row>
    <row r="4678" spans="1:8">
      <c r="A4678" s="1"/>
      <c r="B4678" s="1"/>
      <c r="C4678" s="1"/>
      <c r="D4678" s="1"/>
      <c r="E4678" s="357">
        <v>45516</v>
      </c>
      <c r="F4678" s="344" t="s">
        <v>625</v>
      </c>
      <c r="G4678" s="358">
        <v>36.5777</v>
      </c>
      <c r="H4678" s="344" t="s">
        <v>1804</v>
      </c>
    </row>
    <row r="4679" spans="1:8">
      <c r="A4679" s="1"/>
      <c r="B4679" s="1"/>
      <c r="C4679" s="1"/>
      <c r="D4679" s="1"/>
      <c r="E4679" s="357">
        <v>45516</v>
      </c>
      <c r="F4679" s="344" t="s">
        <v>628</v>
      </c>
      <c r="G4679" s="358">
        <v>42.669499999999999</v>
      </c>
      <c r="H4679" s="344" t="s">
        <v>1804</v>
      </c>
    </row>
    <row r="4680" spans="1:8">
      <c r="A4680" s="1"/>
      <c r="B4680" s="1"/>
      <c r="C4680" s="1"/>
      <c r="D4680" s="1"/>
      <c r="E4680" s="357">
        <v>45516</v>
      </c>
      <c r="F4680" s="344" t="s">
        <v>631</v>
      </c>
      <c r="G4680" s="358">
        <v>33.484299999999998</v>
      </c>
      <c r="H4680" s="344" t="s">
        <v>1804</v>
      </c>
    </row>
    <row r="4681" spans="1:8">
      <c r="A4681" s="1"/>
      <c r="B4681" s="1"/>
      <c r="C4681" s="1"/>
      <c r="D4681" s="1"/>
      <c r="E4681" s="357">
        <v>45517</v>
      </c>
      <c r="F4681" s="344" t="s">
        <v>621</v>
      </c>
      <c r="G4681" s="358">
        <v>38.531399999999998</v>
      </c>
      <c r="H4681" s="344" t="s">
        <v>1805</v>
      </c>
    </row>
    <row r="4682" spans="1:8">
      <c r="A4682" s="1"/>
      <c r="B4682" s="1"/>
      <c r="C4682" s="1"/>
      <c r="D4682" s="1"/>
      <c r="E4682" s="357">
        <v>45517</v>
      </c>
      <c r="F4682" s="344" t="s">
        <v>625</v>
      </c>
      <c r="G4682" s="358">
        <v>36.596800000000002</v>
      </c>
      <c r="H4682" s="344" t="s">
        <v>1805</v>
      </c>
    </row>
    <row r="4683" spans="1:8">
      <c r="A4683" s="1"/>
      <c r="B4683" s="1"/>
      <c r="C4683" s="1"/>
      <c r="D4683" s="1"/>
      <c r="E4683" s="357">
        <v>45517</v>
      </c>
      <c r="F4683" s="344" t="s">
        <v>628</v>
      </c>
      <c r="G4683" s="358">
        <v>42.786200000000001</v>
      </c>
      <c r="H4683" s="344" t="s">
        <v>1805</v>
      </c>
    </row>
    <row r="4684" spans="1:8">
      <c r="A4684" s="1"/>
      <c r="B4684" s="1"/>
      <c r="C4684" s="1"/>
      <c r="D4684" s="1"/>
      <c r="E4684" s="357">
        <v>45517</v>
      </c>
      <c r="F4684" s="344" t="s">
        <v>631</v>
      </c>
      <c r="G4684" s="358">
        <v>33.492800000000003</v>
      </c>
      <c r="H4684" s="344" t="s">
        <v>1805</v>
      </c>
    </row>
    <row r="4685" spans="1:8">
      <c r="A4685" s="1"/>
      <c r="B4685" s="1"/>
      <c r="C4685" s="1"/>
      <c r="D4685" s="1"/>
      <c r="E4685" s="357">
        <v>45518</v>
      </c>
      <c r="F4685" s="344" t="s">
        <v>621</v>
      </c>
      <c r="G4685" s="358">
        <v>38.702300000000001</v>
      </c>
      <c r="H4685" s="344" t="s">
        <v>1806</v>
      </c>
    </row>
    <row r="4686" spans="1:8">
      <c r="A4686" s="1"/>
      <c r="B4686" s="1"/>
      <c r="C4686" s="1"/>
      <c r="D4686" s="1"/>
      <c r="E4686" s="357">
        <v>45518</v>
      </c>
      <c r="F4686" s="344" t="s">
        <v>625</v>
      </c>
      <c r="G4686" s="358">
        <v>36.886000000000003</v>
      </c>
      <c r="H4686" s="344" t="s">
        <v>1806</v>
      </c>
    </row>
    <row r="4687" spans="1:8">
      <c r="A4687" s="1"/>
      <c r="B4687" s="1"/>
      <c r="C4687" s="1"/>
      <c r="D4687" s="1"/>
      <c r="E4687" s="357">
        <v>45518</v>
      </c>
      <c r="F4687" s="344" t="s">
        <v>628</v>
      </c>
      <c r="G4687" s="358">
        <v>42.9313</v>
      </c>
      <c r="H4687" s="344" t="s">
        <v>1806</v>
      </c>
    </row>
    <row r="4688" spans="1:8">
      <c r="A4688" s="1"/>
      <c r="B4688" s="1"/>
      <c r="C4688" s="1"/>
      <c r="D4688" s="1"/>
      <c r="E4688" s="357">
        <v>45518</v>
      </c>
      <c r="F4688" s="344" t="s">
        <v>631</v>
      </c>
      <c r="G4688" s="358">
        <v>33.4846</v>
      </c>
      <c r="H4688" s="344" t="s">
        <v>1806</v>
      </c>
    </row>
    <row r="4689" spans="1:8">
      <c r="A4689" s="1"/>
      <c r="B4689" s="1"/>
      <c r="C4689" s="1"/>
      <c r="D4689" s="1"/>
      <c r="E4689" s="357">
        <v>45519</v>
      </c>
      <c r="F4689" s="344" t="s">
        <v>621</v>
      </c>
      <c r="G4689" s="358">
        <v>38.678199999999997</v>
      </c>
      <c r="H4689" s="344" t="s">
        <v>1807</v>
      </c>
    </row>
    <row r="4690" spans="1:8">
      <c r="A4690" s="1"/>
      <c r="B4690" s="1"/>
      <c r="C4690" s="1"/>
      <c r="D4690" s="1"/>
      <c r="E4690" s="357">
        <v>45519</v>
      </c>
      <c r="F4690" s="344" t="s">
        <v>625</v>
      </c>
      <c r="G4690" s="358">
        <v>36.971499999999999</v>
      </c>
      <c r="H4690" s="344" t="s">
        <v>1807</v>
      </c>
    </row>
    <row r="4691" spans="1:8">
      <c r="A4691" s="1"/>
      <c r="B4691" s="1"/>
      <c r="C4691" s="1"/>
      <c r="D4691" s="1"/>
      <c r="E4691" s="357">
        <v>45519</v>
      </c>
      <c r="F4691" s="344" t="s">
        <v>628</v>
      </c>
      <c r="G4691" s="358">
        <v>43.078499999999998</v>
      </c>
      <c r="H4691" s="344" t="s">
        <v>1807</v>
      </c>
    </row>
    <row r="4692" spans="1:8">
      <c r="A4692" s="1"/>
      <c r="B4692" s="1"/>
      <c r="C4692" s="1"/>
      <c r="D4692" s="1"/>
      <c r="E4692" s="357">
        <v>45519</v>
      </c>
      <c r="F4692" s="344" t="s">
        <v>631</v>
      </c>
      <c r="G4692" s="358">
        <v>33.574599999999997</v>
      </c>
      <c r="H4692" s="344" t="s">
        <v>1807</v>
      </c>
    </row>
    <row r="4693" spans="1:8">
      <c r="A4693" s="1"/>
      <c r="B4693" s="1"/>
      <c r="C4693" s="1"/>
      <c r="D4693" s="1"/>
      <c r="E4693" s="357">
        <v>45520</v>
      </c>
      <c r="F4693" s="344" t="s">
        <v>621</v>
      </c>
      <c r="G4693" s="358">
        <v>38.5899</v>
      </c>
      <c r="H4693" s="344" t="s">
        <v>1808</v>
      </c>
    </row>
    <row r="4694" spans="1:8">
      <c r="A4694" s="1"/>
      <c r="B4694" s="1"/>
      <c r="C4694" s="1"/>
      <c r="D4694" s="1"/>
      <c r="E4694" s="357">
        <v>45520</v>
      </c>
      <c r="F4694" s="344" t="s">
        <v>625</v>
      </c>
      <c r="G4694" s="358">
        <v>36.928100000000001</v>
      </c>
      <c r="H4694" s="344" t="s">
        <v>1808</v>
      </c>
    </row>
    <row r="4695" spans="1:8">
      <c r="A4695" s="1"/>
      <c r="B4695" s="1"/>
      <c r="C4695" s="1"/>
      <c r="D4695" s="1"/>
      <c r="E4695" s="357">
        <v>45520</v>
      </c>
      <c r="F4695" s="344" t="s">
        <v>628</v>
      </c>
      <c r="G4695" s="358">
        <v>43.2639</v>
      </c>
      <c r="H4695" s="344" t="s">
        <v>1808</v>
      </c>
    </row>
    <row r="4696" spans="1:8">
      <c r="A4696" s="1"/>
      <c r="B4696" s="1"/>
      <c r="C4696" s="1"/>
      <c r="D4696" s="1"/>
      <c r="E4696" s="357">
        <v>45520</v>
      </c>
      <c r="F4696" s="344" t="s">
        <v>631</v>
      </c>
      <c r="G4696" s="358">
        <v>33.610700000000001</v>
      </c>
      <c r="H4696" s="344" t="s">
        <v>1808</v>
      </c>
    </row>
    <row r="4697" spans="1:8">
      <c r="A4697" s="1"/>
      <c r="B4697" s="1"/>
      <c r="C4697" s="1"/>
      <c r="D4697" s="1"/>
      <c r="E4697" s="357">
        <v>45523</v>
      </c>
      <c r="F4697" s="344" t="s">
        <v>621</v>
      </c>
      <c r="G4697" s="358">
        <v>38.835900000000002</v>
      </c>
      <c r="H4697" s="344" t="s">
        <v>1809</v>
      </c>
    </row>
    <row r="4698" spans="1:8">
      <c r="A4698" s="1"/>
      <c r="B4698" s="1"/>
      <c r="C4698" s="1"/>
      <c r="D4698" s="1"/>
      <c r="E4698" s="357">
        <v>45523</v>
      </c>
      <c r="F4698" s="344" t="s">
        <v>625</v>
      </c>
      <c r="G4698" s="358">
        <v>37.149700000000003</v>
      </c>
      <c r="H4698" s="344" t="s">
        <v>1809</v>
      </c>
    </row>
    <row r="4699" spans="1:8">
      <c r="A4699" s="1"/>
      <c r="B4699" s="1"/>
      <c r="C4699" s="1"/>
      <c r="D4699" s="1"/>
      <c r="E4699" s="357">
        <v>45523</v>
      </c>
      <c r="F4699" s="344" t="s">
        <v>628</v>
      </c>
      <c r="G4699" s="358">
        <v>43.545200000000001</v>
      </c>
      <c r="H4699" s="344" t="s">
        <v>1809</v>
      </c>
    </row>
    <row r="4700" spans="1:8">
      <c r="A4700" s="1"/>
      <c r="B4700" s="1"/>
      <c r="C4700" s="1"/>
      <c r="D4700" s="1"/>
      <c r="E4700" s="357">
        <v>45523</v>
      </c>
      <c r="F4700" s="344" t="s">
        <v>631</v>
      </c>
      <c r="G4700" s="358">
        <v>33.6524</v>
      </c>
      <c r="H4700" s="344" t="s">
        <v>1809</v>
      </c>
    </row>
    <row r="4701" spans="1:8">
      <c r="A4701" s="1"/>
      <c r="B4701" s="1"/>
      <c r="C4701" s="1"/>
      <c r="D4701" s="1"/>
      <c r="E4701" s="357">
        <v>45524</v>
      </c>
      <c r="F4701" s="344" t="s">
        <v>621</v>
      </c>
      <c r="G4701" s="358">
        <v>39.151699999999998</v>
      </c>
      <c r="H4701" s="344" t="s">
        <v>1810</v>
      </c>
    </row>
    <row r="4702" spans="1:8">
      <c r="A4702" s="1"/>
      <c r="B4702" s="1"/>
      <c r="C4702" s="1"/>
      <c r="D4702" s="1"/>
      <c r="E4702" s="357">
        <v>45524</v>
      </c>
      <c r="F4702" s="344" t="s">
        <v>625</v>
      </c>
      <c r="G4702" s="358">
        <v>37.396299999999997</v>
      </c>
      <c r="H4702" s="344" t="s">
        <v>1810</v>
      </c>
    </row>
    <row r="4703" spans="1:8">
      <c r="A4703" s="1"/>
      <c r="B4703" s="1"/>
      <c r="C4703" s="1"/>
      <c r="D4703" s="1"/>
      <c r="E4703" s="357">
        <v>45524</v>
      </c>
      <c r="F4703" s="344" t="s">
        <v>628</v>
      </c>
      <c r="G4703" s="358">
        <v>43.805300000000003</v>
      </c>
      <c r="H4703" s="344" t="s">
        <v>1810</v>
      </c>
    </row>
    <row r="4704" spans="1:8">
      <c r="A4704" s="1"/>
      <c r="B4704" s="1"/>
      <c r="C4704" s="1"/>
      <c r="D4704" s="1"/>
      <c r="E4704" s="357">
        <v>45524</v>
      </c>
      <c r="F4704" s="344" t="s">
        <v>631</v>
      </c>
      <c r="G4704" s="358">
        <v>33.748199999999997</v>
      </c>
      <c r="H4704" s="344" t="s">
        <v>1810</v>
      </c>
    </row>
    <row r="4705" spans="1:8">
      <c r="A4705" s="1"/>
      <c r="B4705" s="1"/>
      <c r="C4705" s="1"/>
      <c r="D4705" s="1"/>
      <c r="E4705" s="357">
        <v>45525</v>
      </c>
      <c r="F4705" s="344" t="s">
        <v>621</v>
      </c>
      <c r="G4705" s="358">
        <v>39.484999999999999</v>
      </c>
      <c r="H4705" s="344" t="s">
        <v>1811</v>
      </c>
    </row>
    <row r="4706" spans="1:8">
      <c r="A4706" s="1"/>
      <c r="B4706" s="1"/>
      <c r="C4706" s="1"/>
      <c r="D4706" s="1"/>
      <c r="E4706" s="357">
        <v>45525</v>
      </c>
      <c r="F4706" s="344" t="s">
        <v>625</v>
      </c>
      <c r="G4706" s="358">
        <v>37.630499999999998</v>
      </c>
      <c r="H4706" s="344" t="s">
        <v>1811</v>
      </c>
    </row>
    <row r="4707" spans="1:8">
      <c r="A4707" s="1"/>
      <c r="B4707" s="1"/>
      <c r="C4707" s="1"/>
      <c r="D4707" s="1"/>
      <c r="E4707" s="357">
        <v>45525</v>
      </c>
      <c r="F4707" s="344" t="s">
        <v>628</v>
      </c>
      <c r="G4707" s="358">
        <v>44.007800000000003</v>
      </c>
      <c r="H4707" s="344" t="s">
        <v>1811</v>
      </c>
    </row>
    <row r="4708" spans="1:8">
      <c r="A4708" s="1"/>
      <c r="B4708" s="1"/>
      <c r="C4708" s="1"/>
      <c r="D4708" s="1"/>
      <c r="E4708" s="357">
        <v>45525</v>
      </c>
      <c r="F4708" s="344" t="s">
        <v>631</v>
      </c>
      <c r="G4708" s="358">
        <v>33.846499999999999</v>
      </c>
      <c r="H4708" s="344" t="s">
        <v>1811</v>
      </c>
    </row>
    <row r="4709" spans="1:8">
      <c r="A4709" s="1"/>
      <c r="B4709" s="1"/>
      <c r="C4709" s="1"/>
      <c r="D4709" s="1"/>
      <c r="E4709" s="357">
        <v>45526</v>
      </c>
      <c r="F4709" s="344" t="s">
        <v>621</v>
      </c>
      <c r="G4709" s="358">
        <v>39.678899999999999</v>
      </c>
      <c r="H4709" s="344" t="s">
        <v>1812</v>
      </c>
    </row>
    <row r="4710" spans="1:8">
      <c r="A4710" s="1"/>
      <c r="B4710" s="1"/>
      <c r="C4710" s="1"/>
      <c r="D4710" s="1"/>
      <c r="E4710" s="357">
        <v>45526</v>
      </c>
      <c r="F4710" s="344" t="s">
        <v>625</v>
      </c>
      <c r="G4710" s="358">
        <v>37.715800000000002</v>
      </c>
      <c r="H4710" s="344" t="s">
        <v>1812</v>
      </c>
    </row>
    <row r="4711" spans="1:8">
      <c r="A4711" s="1"/>
      <c r="B4711" s="1"/>
      <c r="C4711" s="1"/>
      <c r="D4711" s="1"/>
      <c r="E4711" s="357">
        <v>45526</v>
      </c>
      <c r="F4711" s="344" t="s">
        <v>628</v>
      </c>
      <c r="G4711" s="358">
        <v>44.303800000000003</v>
      </c>
      <c r="H4711" s="344" t="s">
        <v>1812</v>
      </c>
    </row>
    <row r="4712" spans="1:8">
      <c r="A4712" s="1"/>
      <c r="B4712" s="1"/>
      <c r="C4712" s="1"/>
      <c r="D4712" s="1"/>
      <c r="E4712" s="357">
        <v>45526</v>
      </c>
      <c r="F4712" s="344" t="s">
        <v>631</v>
      </c>
      <c r="G4712" s="358">
        <v>33.8506</v>
      </c>
      <c r="H4712" s="344" t="s">
        <v>1812</v>
      </c>
    </row>
    <row r="4713" spans="1:8">
      <c r="A4713" s="1"/>
      <c r="B4713" s="1"/>
      <c r="C4713" s="1"/>
      <c r="D4713" s="1"/>
      <c r="E4713" s="357">
        <v>45527</v>
      </c>
      <c r="F4713" s="344" t="s">
        <v>621</v>
      </c>
      <c r="G4713" s="358">
        <v>39.692</v>
      </c>
      <c r="H4713" s="344" t="s">
        <v>1813</v>
      </c>
    </row>
    <row r="4714" spans="1:8">
      <c r="A4714" s="1"/>
      <c r="B4714" s="1"/>
      <c r="C4714" s="1"/>
      <c r="D4714" s="1"/>
      <c r="E4714" s="357">
        <v>45527</v>
      </c>
      <c r="F4714" s="344" t="s">
        <v>625</v>
      </c>
      <c r="G4714" s="358">
        <v>37.685200000000002</v>
      </c>
      <c r="H4714" s="344" t="s">
        <v>1813</v>
      </c>
    </row>
    <row r="4715" spans="1:8">
      <c r="A4715" s="1"/>
      <c r="B4715" s="1"/>
      <c r="C4715" s="1"/>
      <c r="D4715" s="1"/>
      <c r="E4715" s="357">
        <v>45527</v>
      </c>
      <c r="F4715" s="344" t="s">
        <v>628</v>
      </c>
      <c r="G4715" s="358">
        <v>44.395000000000003</v>
      </c>
      <c r="H4715" s="344" t="s">
        <v>1813</v>
      </c>
    </row>
    <row r="4716" spans="1:8">
      <c r="A4716" s="1"/>
      <c r="B4716" s="1"/>
      <c r="C4716" s="1"/>
      <c r="D4716" s="1"/>
      <c r="E4716" s="357">
        <v>45527</v>
      </c>
      <c r="F4716" s="344" t="s">
        <v>631</v>
      </c>
      <c r="G4716" s="358">
        <v>33.886299999999999</v>
      </c>
      <c r="H4716" s="344" t="s">
        <v>1813</v>
      </c>
    </row>
    <row r="4717" spans="1:8">
      <c r="A4717" s="1"/>
      <c r="B4717" s="1"/>
      <c r="C4717" s="1"/>
      <c r="D4717" s="1"/>
      <c r="E4717" s="357">
        <v>45530</v>
      </c>
      <c r="F4717" s="344" t="s">
        <v>621</v>
      </c>
      <c r="G4717" s="358">
        <v>39.982500000000002</v>
      </c>
      <c r="H4717" s="344" t="s">
        <v>1814</v>
      </c>
    </row>
    <row r="4718" spans="1:8">
      <c r="A4718" s="1"/>
      <c r="B4718" s="1"/>
      <c r="C4718" s="1"/>
      <c r="D4718" s="1"/>
      <c r="E4718" s="357">
        <v>45530</v>
      </c>
      <c r="F4718" s="344" t="s">
        <v>625</v>
      </c>
      <c r="G4718" s="358">
        <v>37.917099999999998</v>
      </c>
      <c r="H4718" s="344" t="s">
        <v>1814</v>
      </c>
    </row>
    <row r="4719" spans="1:8">
      <c r="A4719" s="1"/>
      <c r="B4719" s="1"/>
      <c r="C4719" s="1"/>
      <c r="D4719" s="1"/>
      <c r="E4719" s="357">
        <v>45530</v>
      </c>
      <c r="F4719" s="344" t="s">
        <v>628</v>
      </c>
      <c r="G4719" s="358">
        <v>44.6922</v>
      </c>
      <c r="H4719" s="344" t="s">
        <v>1814</v>
      </c>
    </row>
    <row r="4720" spans="1:8">
      <c r="A4720" s="1"/>
      <c r="B4720" s="1"/>
      <c r="C4720" s="1"/>
      <c r="D4720" s="1"/>
      <c r="E4720" s="357">
        <v>45530</v>
      </c>
      <c r="F4720" s="344" t="s">
        <v>631</v>
      </c>
      <c r="G4720" s="358">
        <v>33.928199999999997</v>
      </c>
      <c r="H4720" s="344" t="s">
        <v>1814</v>
      </c>
    </row>
    <row r="4721" spans="1:8">
      <c r="A4721" s="1"/>
      <c r="B4721" s="1"/>
      <c r="C4721" s="1"/>
      <c r="D4721" s="1"/>
      <c r="E4721" s="357">
        <v>45531</v>
      </c>
      <c r="F4721" s="344" t="s">
        <v>621</v>
      </c>
      <c r="G4721" s="358">
        <v>40.0002</v>
      </c>
      <c r="H4721" s="344" t="s">
        <v>1815</v>
      </c>
    </row>
    <row r="4722" spans="1:8">
      <c r="A4722" s="1"/>
      <c r="B4722" s="1"/>
      <c r="C4722" s="1"/>
      <c r="D4722" s="1"/>
      <c r="E4722" s="357">
        <v>45531</v>
      </c>
      <c r="F4722" s="344" t="s">
        <v>625</v>
      </c>
      <c r="G4722" s="358">
        <v>37.911799999999999</v>
      </c>
      <c r="H4722" s="344" t="s">
        <v>1815</v>
      </c>
    </row>
    <row r="4723" spans="1:8">
      <c r="A4723" s="1"/>
      <c r="B4723" s="1"/>
      <c r="C4723" s="1"/>
      <c r="D4723" s="1"/>
      <c r="E4723" s="357">
        <v>45531</v>
      </c>
      <c r="F4723" s="344" t="s">
        <v>628</v>
      </c>
      <c r="G4723" s="358">
        <v>44.7956</v>
      </c>
      <c r="H4723" s="344" t="s">
        <v>1815</v>
      </c>
    </row>
    <row r="4724" spans="1:8">
      <c r="A4724" s="1"/>
      <c r="B4724" s="1"/>
      <c r="C4724" s="1"/>
      <c r="D4724" s="1"/>
      <c r="E4724" s="357">
        <v>45531</v>
      </c>
      <c r="F4724" s="344" t="s">
        <v>631</v>
      </c>
      <c r="G4724" s="358">
        <v>33.957700000000003</v>
      </c>
      <c r="H4724" s="344" t="s">
        <v>1815</v>
      </c>
    </row>
    <row r="4725" spans="1:8">
      <c r="A4725" s="1"/>
      <c r="B4725" s="1"/>
      <c r="C4725" s="1"/>
      <c r="D4725" s="1"/>
      <c r="E4725" s="357">
        <v>45532</v>
      </c>
      <c r="F4725" s="344" t="s">
        <v>621</v>
      </c>
      <c r="G4725" s="358">
        <v>40.177900000000001</v>
      </c>
      <c r="H4725" s="344" t="s">
        <v>1816</v>
      </c>
    </row>
    <row r="4726" spans="1:8">
      <c r="A4726" s="1"/>
      <c r="B4726" s="1"/>
      <c r="C4726" s="1"/>
      <c r="D4726" s="1"/>
      <c r="E4726" s="357">
        <v>45532</v>
      </c>
      <c r="F4726" s="344" t="s">
        <v>625</v>
      </c>
      <c r="G4726" s="358">
        <v>37.826099999999997</v>
      </c>
      <c r="H4726" s="344" t="s">
        <v>1816</v>
      </c>
    </row>
    <row r="4727" spans="1:8">
      <c r="A4727" s="1"/>
      <c r="B4727" s="1"/>
      <c r="C4727" s="1"/>
      <c r="D4727" s="1"/>
      <c r="E4727" s="357">
        <v>45532</v>
      </c>
      <c r="F4727" s="344" t="s">
        <v>628</v>
      </c>
      <c r="G4727" s="358">
        <v>44.834899999999998</v>
      </c>
      <c r="H4727" s="344" t="s">
        <v>1816</v>
      </c>
    </row>
    <row r="4728" spans="1:8">
      <c r="A4728" s="1"/>
      <c r="B4728" s="1"/>
      <c r="C4728" s="1"/>
      <c r="D4728" s="1"/>
      <c r="E4728" s="357">
        <v>45532</v>
      </c>
      <c r="F4728" s="344" t="s">
        <v>631</v>
      </c>
      <c r="G4728" s="358">
        <v>33.962600000000002</v>
      </c>
      <c r="H4728" s="344" t="s">
        <v>1816</v>
      </c>
    </row>
    <row r="4729" spans="1:8">
      <c r="A4729" s="1"/>
      <c r="B4729" s="1"/>
      <c r="C4729" s="1"/>
      <c r="D4729" s="1"/>
      <c r="E4729" s="357">
        <v>45533</v>
      </c>
      <c r="F4729" s="344" t="s">
        <v>621</v>
      </c>
      <c r="G4729" s="358">
        <v>40.150100000000002</v>
      </c>
      <c r="H4729" s="344" t="s">
        <v>1817</v>
      </c>
    </row>
    <row r="4730" spans="1:8">
      <c r="A4730" s="1"/>
      <c r="B4730" s="1"/>
      <c r="C4730" s="1"/>
      <c r="D4730" s="1"/>
      <c r="E4730" s="357">
        <v>45533</v>
      </c>
      <c r="F4730" s="344" t="s">
        <v>625</v>
      </c>
      <c r="G4730" s="358">
        <v>37.6723</v>
      </c>
      <c r="H4730" s="344" t="s">
        <v>1817</v>
      </c>
    </row>
    <row r="4731" spans="1:8">
      <c r="A4731" s="1"/>
      <c r="B4731" s="1"/>
      <c r="C4731" s="1"/>
      <c r="D4731" s="1"/>
      <c r="E4731" s="357">
        <v>45533</v>
      </c>
      <c r="F4731" s="344" t="s">
        <v>628</v>
      </c>
      <c r="G4731" s="358">
        <v>44.703099999999999</v>
      </c>
      <c r="H4731" s="344" t="s">
        <v>1817</v>
      </c>
    </row>
    <row r="4732" spans="1:8">
      <c r="A4732" s="1"/>
      <c r="B4732" s="1"/>
      <c r="C4732" s="1"/>
      <c r="D4732" s="1"/>
      <c r="E4732" s="357">
        <v>45533</v>
      </c>
      <c r="F4732" s="344" t="s">
        <v>631</v>
      </c>
      <c r="G4732" s="358">
        <v>33.923299999999998</v>
      </c>
      <c r="H4732" s="344" t="s">
        <v>1817</v>
      </c>
    </row>
    <row r="4733" spans="1:8">
      <c r="A4733" s="1"/>
      <c r="B4733" s="1"/>
      <c r="C4733" s="1"/>
      <c r="D4733" s="1"/>
      <c r="E4733" s="357">
        <v>45537</v>
      </c>
      <c r="F4733" s="344" t="s">
        <v>621</v>
      </c>
      <c r="G4733" s="358">
        <v>39.815899999999999</v>
      </c>
      <c r="H4733" s="344" t="s">
        <v>1818</v>
      </c>
    </row>
    <row r="4734" spans="1:8">
      <c r="A4734" s="1"/>
      <c r="B4734" s="1"/>
      <c r="C4734" s="1"/>
      <c r="D4734" s="1"/>
      <c r="E4734" s="357">
        <v>45537</v>
      </c>
      <c r="F4734" s="344" t="s">
        <v>625</v>
      </c>
      <c r="G4734" s="358">
        <v>37.534599999999998</v>
      </c>
      <c r="H4734" s="344" t="s">
        <v>1818</v>
      </c>
    </row>
    <row r="4735" spans="1:8">
      <c r="A4735" s="1"/>
      <c r="B4735" s="1"/>
      <c r="C4735" s="1"/>
      <c r="D4735" s="1"/>
      <c r="E4735" s="357">
        <v>45537</v>
      </c>
      <c r="F4735" s="344" t="s">
        <v>628</v>
      </c>
      <c r="G4735" s="358">
        <v>44.477600000000002</v>
      </c>
      <c r="H4735" s="344" t="s">
        <v>1818</v>
      </c>
    </row>
    <row r="4736" spans="1:8">
      <c r="A4736" s="1"/>
      <c r="B4736" s="1"/>
      <c r="C4736" s="1"/>
      <c r="D4736" s="1"/>
      <c r="E4736" s="357">
        <v>45537</v>
      </c>
      <c r="F4736" s="344" t="s">
        <v>631</v>
      </c>
      <c r="G4736" s="358">
        <v>33.919600000000003</v>
      </c>
      <c r="H4736" s="344" t="s">
        <v>1818</v>
      </c>
    </row>
    <row r="4737" spans="1:8">
      <c r="A4737" s="1"/>
      <c r="B4737" s="1"/>
      <c r="C4737" s="1"/>
      <c r="D4737" s="1"/>
      <c r="E4737" s="357">
        <v>45538</v>
      </c>
      <c r="F4737" s="344" t="s">
        <v>621</v>
      </c>
      <c r="G4737" s="358">
        <v>39.665300000000002</v>
      </c>
      <c r="H4737" s="344" t="s">
        <v>1819</v>
      </c>
    </row>
    <row r="4738" spans="1:8">
      <c r="A4738" s="1"/>
      <c r="B4738" s="1"/>
      <c r="C4738" s="1"/>
      <c r="D4738" s="1"/>
      <c r="E4738" s="357">
        <v>45538</v>
      </c>
      <c r="F4738" s="344" t="s">
        <v>625</v>
      </c>
      <c r="G4738" s="358">
        <v>37.432200000000002</v>
      </c>
      <c r="H4738" s="344" t="s">
        <v>1819</v>
      </c>
    </row>
    <row r="4739" spans="1:8">
      <c r="A4739" s="1"/>
      <c r="B4739" s="1"/>
      <c r="C4739" s="1"/>
      <c r="D4739" s="1"/>
      <c r="E4739" s="357">
        <v>45538</v>
      </c>
      <c r="F4739" s="344" t="s">
        <v>628</v>
      </c>
      <c r="G4739" s="358">
        <v>44.381900000000002</v>
      </c>
      <c r="H4739" s="344" t="s">
        <v>1819</v>
      </c>
    </row>
    <row r="4740" spans="1:8">
      <c r="A4740" s="1"/>
      <c r="B4740" s="1"/>
      <c r="C4740" s="1"/>
      <c r="D4740" s="1"/>
      <c r="E4740" s="357">
        <v>45538</v>
      </c>
      <c r="F4740" s="344" t="s">
        <v>631</v>
      </c>
      <c r="G4740" s="358">
        <v>33.887</v>
      </c>
      <c r="H4740" s="344" t="s">
        <v>1819</v>
      </c>
    </row>
    <row r="4741" spans="1:8">
      <c r="A4741" s="1"/>
      <c r="B4741" s="1"/>
      <c r="C4741" s="1"/>
      <c r="D4741" s="1"/>
      <c r="E4741" s="357">
        <v>45539</v>
      </c>
      <c r="F4741" s="344" t="s">
        <v>621</v>
      </c>
      <c r="G4741" s="358">
        <v>39.922600000000003</v>
      </c>
      <c r="H4741" s="344" t="s">
        <v>1820</v>
      </c>
    </row>
    <row r="4742" spans="1:8">
      <c r="A4742" s="1"/>
      <c r="B4742" s="1"/>
      <c r="C4742" s="1"/>
      <c r="D4742" s="1"/>
      <c r="E4742" s="357">
        <v>45539</v>
      </c>
      <c r="F4742" s="344" t="s">
        <v>625</v>
      </c>
      <c r="G4742" s="358">
        <v>37.5501</v>
      </c>
      <c r="H4742" s="344" t="s">
        <v>1820</v>
      </c>
    </row>
    <row r="4743" spans="1:8">
      <c r="A4743" s="1"/>
      <c r="B4743" s="1"/>
      <c r="C4743" s="1"/>
      <c r="D4743" s="1"/>
      <c r="E4743" s="357">
        <v>45539</v>
      </c>
      <c r="F4743" s="344" t="s">
        <v>628</v>
      </c>
      <c r="G4743" s="358">
        <v>44.481299999999997</v>
      </c>
      <c r="H4743" s="344" t="s">
        <v>1820</v>
      </c>
    </row>
    <row r="4744" spans="1:8">
      <c r="A4744" s="1"/>
      <c r="B4744" s="1"/>
      <c r="C4744" s="1"/>
      <c r="D4744" s="1"/>
      <c r="E4744" s="357">
        <v>45539</v>
      </c>
      <c r="F4744" s="344" t="s">
        <v>631</v>
      </c>
      <c r="G4744" s="358">
        <v>33.972499999999997</v>
      </c>
      <c r="H4744" s="344" t="s">
        <v>1820</v>
      </c>
    </row>
    <row r="4745" spans="1:8">
      <c r="A4745" s="1"/>
      <c r="B4745" s="1"/>
      <c r="C4745" s="1"/>
      <c r="D4745" s="1"/>
      <c r="E4745" s="357">
        <v>45540</v>
      </c>
      <c r="F4745" s="344" t="s">
        <v>621</v>
      </c>
      <c r="G4745" s="358">
        <v>39.977600000000002</v>
      </c>
      <c r="H4745" s="344" t="s">
        <v>1821</v>
      </c>
    </row>
    <row r="4746" spans="1:8">
      <c r="A4746" s="1"/>
      <c r="B4746" s="1"/>
      <c r="C4746" s="1"/>
      <c r="D4746" s="1"/>
      <c r="E4746" s="357">
        <v>45540</v>
      </c>
      <c r="F4746" s="344" t="s">
        <v>625</v>
      </c>
      <c r="G4746" s="358">
        <v>37.616</v>
      </c>
      <c r="H4746" s="344" t="s">
        <v>1821</v>
      </c>
    </row>
    <row r="4747" spans="1:8">
      <c r="A4747" s="1"/>
      <c r="B4747" s="1"/>
      <c r="C4747" s="1"/>
      <c r="D4747" s="1"/>
      <c r="E4747" s="357">
        <v>45540</v>
      </c>
      <c r="F4747" s="344" t="s">
        <v>628</v>
      </c>
      <c r="G4747" s="358">
        <v>44.541699999999999</v>
      </c>
      <c r="H4747" s="344" t="s">
        <v>1821</v>
      </c>
    </row>
    <row r="4748" spans="1:8">
      <c r="A4748" s="1"/>
      <c r="B4748" s="1"/>
      <c r="C4748" s="1"/>
      <c r="D4748" s="1"/>
      <c r="E4748" s="357">
        <v>45540</v>
      </c>
      <c r="F4748" s="344" t="s">
        <v>631</v>
      </c>
      <c r="G4748" s="358">
        <v>33.909100000000002</v>
      </c>
      <c r="H4748" s="344" t="s">
        <v>1821</v>
      </c>
    </row>
    <row r="4749" spans="1:8">
      <c r="A4749" s="1"/>
      <c r="B4749" s="1"/>
      <c r="C4749" s="1"/>
      <c r="D4749" s="1"/>
      <c r="E4749" s="357">
        <v>45541</v>
      </c>
      <c r="F4749" s="344" t="s">
        <v>621</v>
      </c>
      <c r="G4749" s="358">
        <v>40.162700000000001</v>
      </c>
      <c r="H4749" s="344" t="s">
        <v>1822</v>
      </c>
    </row>
    <row r="4750" spans="1:8">
      <c r="A4750" s="1"/>
      <c r="B4750" s="1"/>
      <c r="C4750" s="1"/>
      <c r="D4750" s="1"/>
      <c r="E4750" s="357">
        <v>45541</v>
      </c>
      <c r="F4750" s="344" t="s">
        <v>625</v>
      </c>
      <c r="G4750" s="358">
        <v>37.668300000000002</v>
      </c>
      <c r="H4750" s="344" t="s">
        <v>1822</v>
      </c>
    </row>
    <row r="4751" spans="1:8">
      <c r="A4751" s="1"/>
      <c r="B4751" s="1"/>
      <c r="C4751" s="1"/>
      <c r="D4751" s="1"/>
      <c r="E4751" s="357">
        <v>45541</v>
      </c>
      <c r="F4751" s="344" t="s">
        <v>628</v>
      </c>
      <c r="G4751" s="358">
        <v>44.583500000000001</v>
      </c>
      <c r="H4751" s="344" t="s">
        <v>1822</v>
      </c>
    </row>
    <row r="4752" spans="1:8">
      <c r="A4752" s="1"/>
      <c r="B4752" s="1"/>
      <c r="C4752" s="1"/>
      <c r="D4752" s="1"/>
      <c r="E4752" s="357">
        <v>45541</v>
      </c>
      <c r="F4752" s="344" t="s">
        <v>631</v>
      </c>
      <c r="G4752" s="358">
        <v>33.893700000000003</v>
      </c>
      <c r="H4752" s="344" t="s">
        <v>1822</v>
      </c>
    </row>
    <row r="4753" spans="1:8">
      <c r="A4753" s="1"/>
      <c r="B4753" s="1"/>
      <c r="C4753" s="1"/>
      <c r="D4753" s="1"/>
      <c r="E4753" s="357">
        <v>45544</v>
      </c>
      <c r="F4753" s="344" t="s">
        <v>621</v>
      </c>
      <c r="G4753" s="358">
        <v>39.975700000000003</v>
      </c>
      <c r="H4753" s="344" t="s">
        <v>1823</v>
      </c>
    </row>
    <row r="4754" spans="1:8">
      <c r="A4754" s="1"/>
      <c r="B4754" s="1"/>
      <c r="C4754" s="1"/>
      <c r="D4754" s="1"/>
      <c r="E4754" s="357">
        <v>45544</v>
      </c>
      <c r="F4754" s="344" t="s">
        <v>625</v>
      </c>
      <c r="G4754" s="358">
        <v>37.541899999999998</v>
      </c>
      <c r="H4754" s="344" t="s">
        <v>1823</v>
      </c>
    </row>
    <row r="4755" spans="1:8">
      <c r="A4755" s="1"/>
      <c r="B4755" s="1"/>
      <c r="C4755" s="1"/>
      <c r="D4755" s="1"/>
      <c r="E4755" s="357">
        <v>45544</v>
      </c>
      <c r="F4755" s="344" t="s">
        <v>628</v>
      </c>
      <c r="G4755" s="358">
        <v>44.395299999999999</v>
      </c>
      <c r="H4755" s="344" t="s">
        <v>1823</v>
      </c>
    </row>
    <row r="4756" spans="1:8">
      <c r="A4756" s="1"/>
      <c r="B4756" s="1"/>
      <c r="C4756" s="1"/>
      <c r="D4756" s="1"/>
      <c r="E4756" s="357">
        <v>45544</v>
      </c>
      <c r="F4756" s="344" t="s">
        <v>631</v>
      </c>
      <c r="G4756" s="358">
        <v>33.967599999999997</v>
      </c>
      <c r="H4756" s="344" t="s">
        <v>1823</v>
      </c>
    </row>
    <row r="4757" spans="1:8">
      <c r="A4757" s="1"/>
      <c r="B4757" s="1"/>
      <c r="C4757" s="1"/>
      <c r="D4757" s="1"/>
      <c r="E4757" s="357">
        <v>45545</v>
      </c>
      <c r="F4757" s="344" t="s">
        <v>621</v>
      </c>
      <c r="G4757" s="358">
        <v>39.988399999999999</v>
      </c>
      <c r="H4757" s="344" t="s">
        <v>1824</v>
      </c>
    </row>
    <row r="4758" spans="1:8">
      <c r="A4758" s="1"/>
      <c r="B4758" s="1"/>
      <c r="C4758" s="1"/>
      <c r="D4758" s="1"/>
      <c r="E4758" s="357">
        <v>45545</v>
      </c>
      <c r="F4758" s="344" t="s">
        <v>625</v>
      </c>
      <c r="G4758" s="358">
        <v>37.523099999999999</v>
      </c>
      <c r="H4758" s="344" t="s">
        <v>1824</v>
      </c>
    </row>
    <row r="4759" spans="1:8">
      <c r="A4759" s="1"/>
      <c r="B4759" s="1"/>
      <c r="C4759" s="1"/>
      <c r="D4759" s="1"/>
      <c r="E4759" s="357">
        <v>45545</v>
      </c>
      <c r="F4759" s="344" t="s">
        <v>628</v>
      </c>
      <c r="G4759" s="358">
        <v>44.430999999999997</v>
      </c>
      <c r="H4759" s="344" t="s">
        <v>1824</v>
      </c>
    </row>
    <row r="4760" spans="1:8">
      <c r="A4760" s="1"/>
      <c r="B4760" s="1"/>
      <c r="C4760" s="1"/>
      <c r="D4760" s="1"/>
      <c r="E4760" s="357">
        <v>45545</v>
      </c>
      <c r="F4760" s="344" t="s">
        <v>631</v>
      </c>
      <c r="G4760" s="358">
        <v>33.990400000000001</v>
      </c>
      <c r="H4760" s="344" t="s">
        <v>1824</v>
      </c>
    </row>
    <row r="4761" spans="1:8">
      <c r="A4761" s="1"/>
      <c r="B4761" s="1"/>
      <c r="C4761" s="1"/>
      <c r="D4761" s="1"/>
      <c r="E4761" s="357">
        <v>45546</v>
      </c>
      <c r="F4761" s="344" t="s">
        <v>621</v>
      </c>
      <c r="G4761" s="358">
        <v>40.040300000000002</v>
      </c>
      <c r="H4761" s="344" t="s">
        <v>1825</v>
      </c>
    </row>
    <row r="4762" spans="1:8">
      <c r="A4762" s="1"/>
      <c r="B4762" s="1"/>
      <c r="C4762" s="1"/>
      <c r="D4762" s="1"/>
      <c r="E4762" s="357">
        <v>45546</v>
      </c>
      <c r="F4762" s="344" t="s">
        <v>625</v>
      </c>
      <c r="G4762" s="358">
        <v>37.483699999999999</v>
      </c>
      <c r="H4762" s="344" t="s">
        <v>1825</v>
      </c>
    </row>
    <row r="4763" spans="1:8">
      <c r="A4763" s="1"/>
      <c r="B4763" s="1"/>
      <c r="C4763" s="1"/>
      <c r="D4763" s="1"/>
      <c r="E4763" s="357">
        <v>45546</v>
      </c>
      <c r="F4763" s="344" t="s">
        <v>628</v>
      </c>
      <c r="G4763" s="358">
        <v>44.340400000000002</v>
      </c>
      <c r="H4763" s="344" t="s">
        <v>1825</v>
      </c>
    </row>
    <row r="4764" spans="1:8">
      <c r="A4764" s="1"/>
      <c r="B4764" s="1"/>
      <c r="C4764" s="1"/>
      <c r="D4764" s="1"/>
      <c r="E4764" s="357">
        <v>45546</v>
      </c>
      <c r="F4764" s="344" t="s">
        <v>631</v>
      </c>
      <c r="G4764" s="358">
        <v>33.939799999999998</v>
      </c>
      <c r="H4764" s="344" t="s">
        <v>1825</v>
      </c>
    </row>
    <row r="4765" spans="1:8">
      <c r="A4765" s="1"/>
      <c r="B4765" s="1"/>
      <c r="C4765" s="1"/>
      <c r="D4765" s="1"/>
      <c r="E4765" s="357">
        <v>45547</v>
      </c>
      <c r="F4765" s="344" t="s">
        <v>621</v>
      </c>
      <c r="G4765" s="358">
        <v>39.5976</v>
      </c>
      <c r="H4765" s="344" t="s">
        <v>1826</v>
      </c>
    </row>
    <row r="4766" spans="1:8">
      <c r="A4766" s="1"/>
      <c r="B4766" s="1"/>
      <c r="C4766" s="1"/>
      <c r="D4766" s="1"/>
      <c r="E4766" s="357">
        <v>45547</v>
      </c>
      <c r="F4766" s="344" t="s">
        <v>625</v>
      </c>
      <c r="G4766" s="358">
        <v>37.334299999999999</v>
      </c>
      <c r="H4766" s="344" t="s">
        <v>1826</v>
      </c>
    </row>
    <row r="4767" spans="1:8">
      <c r="A4767" s="1"/>
      <c r="B4767" s="1"/>
      <c r="C4767" s="1"/>
      <c r="D4767" s="1"/>
      <c r="E4767" s="357">
        <v>45547</v>
      </c>
      <c r="F4767" s="344" t="s">
        <v>628</v>
      </c>
      <c r="G4767" s="358">
        <v>44.146299999999997</v>
      </c>
      <c r="H4767" s="344" t="s">
        <v>1826</v>
      </c>
    </row>
    <row r="4768" spans="1:8">
      <c r="A4768" s="1"/>
      <c r="B4768" s="1"/>
      <c r="C4768" s="1"/>
      <c r="D4768" s="1"/>
      <c r="E4768" s="357">
        <v>45547</v>
      </c>
      <c r="F4768" s="344" t="s">
        <v>631</v>
      </c>
      <c r="G4768" s="358">
        <v>33.898400000000002</v>
      </c>
      <c r="H4768" s="344" t="s">
        <v>1826</v>
      </c>
    </row>
    <row r="4769" spans="1:8">
      <c r="A4769" s="1"/>
      <c r="B4769" s="1"/>
      <c r="C4769" s="1"/>
      <c r="D4769" s="1"/>
      <c r="E4769" s="357">
        <v>45548</v>
      </c>
      <c r="F4769" s="344" t="s">
        <v>621</v>
      </c>
      <c r="G4769" s="358">
        <v>39.779899999999998</v>
      </c>
      <c r="H4769" s="344" t="s">
        <v>1827</v>
      </c>
    </row>
    <row r="4770" spans="1:8">
      <c r="A4770" s="1"/>
      <c r="B4770" s="1"/>
      <c r="C4770" s="1"/>
      <c r="D4770" s="1"/>
      <c r="E4770" s="357">
        <v>45548</v>
      </c>
      <c r="F4770" s="344" t="s">
        <v>625</v>
      </c>
      <c r="G4770" s="358">
        <v>37.496400000000001</v>
      </c>
      <c r="H4770" s="344" t="s">
        <v>1827</v>
      </c>
    </row>
    <row r="4771" spans="1:8">
      <c r="A4771" s="1"/>
      <c r="B4771" s="1"/>
      <c r="C4771" s="1"/>
      <c r="D4771" s="1"/>
      <c r="E4771" s="357">
        <v>45548</v>
      </c>
      <c r="F4771" s="344" t="s">
        <v>628</v>
      </c>
      <c r="G4771" s="358">
        <v>44.3399</v>
      </c>
      <c r="H4771" s="344" t="s">
        <v>1827</v>
      </c>
    </row>
    <row r="4772" spans="1:8">
      <c r="A4772" s="1"/>
      <c r="B4772" s="1"/>
      <c r="C4772" s="1"/>
      <c r="D4772" s="1"/>
      <c r="E4772" s="357">
        <v>45548</v>
      </c>
      <c r="F4772" s="344" t="s">
        <v>631</v>
      </c>
      <c r="G4772" s="358">
        <v>33.815899999999999</v>
      </c>
      <c r="H4772" s="344" t="s">
        <v>1827</v>
      </c>
    </row>
    <row r="4773" spans="1:8">
      <c r="A4773" s="1"/>
      <c r="B4773" s="1"/>
      <c r="C4773" s="1"/>
      <c r="D4773" s="1"/>
      <c r="E4773" s="357">
        <v>45551</v>
      </c>
      <c r="F4773" s="344" t="s">
        <v>621</v>
      </c>
      <c r="G4773" s="358">
        <v>40.0184</v>
      </c>
      <c r="H4773" s="344" t="s">
        <v>1828</v>
      </c>
    </row>
    <row r="4774" spans="1:8">
      <c r="A4774" s="1"/>
      <c r="B4774" s="1"/>
      <c r="C4774" s="1"/>
      <c r="D4774" s="1"/>
      <c r="E4774" s="357">
        <v>45551</v>
      </c>
      <c r="F4774" s="344" t="s">
        <v>625</v>
      </c>
      <c r="G4774" s="358">
        <v>37.685200000000002</v>
      </c>
      <c r="H4774" s="344" t="s">
        <v>1828</v>
      </c>
    </row>
    <row r="4775" spans="1:8">
      <c r="A4775" s="1"/>
      <c r="B4775" s="1"/>
      <c r="C4775" s="1"/>
      <c r="D4775" s="1"/>
      <c r="E4775" s="357">
        <v>45551</v>
      </c>
      <c r="F4775" s="344" t="s">
        <v>628</v>
      </c>
      <c r="G4775" s="358">
        <v>44.608499999999999</v>
      </c>
      <c r="H4775" s="344" t="s">
        <v>1828</v>
      </c>
    </row>
    <row r="4776" spans="1:8">
      <c r="A4776" s="1"/>
      <c r="B4776" s="1"/>
      <c r="C4776" s="1"/>
      <c r="D4776" s="1"/>
      <c r="E4776" s="357">
        <v>45551</v>
      </c>
      <c r="F4776" s="344" t="s">
        <v>631</v>
      </c>
      <c r="G4776" s="358">
        <v>33.889499999999998</v>
      </c>
      <c r="H4776" s="344" t="s">
        <v>1828</v>
      </c>
    </row>
    <row r="4777" spans="1:8">
      <c r="A4777" s="1"/>
      <c r="B4777" s="1"/>
      <c r="C4777" s="1"/>
      <c r="D4777" s="1"/>
      <c r="E4777" s="357">
        <v>45552</v>
      </c>
      <c r="F4777" s="344" t="s">
        <v>621</v>
      </c>
      <c r="G4777" s="358">
        <v>40.152700000000003</v>
      </c>
      <c r="H4777" s="344" t="s">
        <v>1829</v>
      </c>
    </row>
    <row r="4778" spans="1:8">
      <c r="A4778" s="1"/>
      <c r="B4778" s="1"/>
      <c r="C4778" s="1"/>
      <c r="D4778" s="1"/>
      <c r="E4778" s="357">
        <v>45552</v>
      </c>
      <c r="F4778" s="344" t="s">
        <v>625</v>
      </c>
      <c r="G4778" s="358">
        <v>37.825499999999998</v>
      </c>
      <c r="H4778" s="344" t="s">
        <v>1829</v>
      </c>
    </row>
    <row r="4779" spans="1:8">
      <c r="A4779" s="1"/>
      <c r="B4779" s="1"/>
      <c r="C4779" s="1"/>
      <c r="D4779" s="1"/>
      <c r="E4779" s="357">
        <v>45552</v>
      </c>
      <c r="F4779" s="344" t="s">
        <v>628</v>
      </c>
      <c r="G4779" s="358">
        <v>44.820900000000002</v>
      </c>
      <c r="H4779" s="344" t="s">
        <v>1829</v>
      </c>
    </row>
    <row r="4780" spans="1:8">
      <c r="A4780" s="1"/>
      <c r="B4780" s="1"/>
      <c r="C4780" s="1"/>
      <c r="D4780" s="1"/>
      <c r="E4780" s="357">
        <v>45552</v>
      </c>
      <c r="F4780" s="344" t="s">
        <v>631</v>
      </c>
      <c r="G4780" s="358">
        <v>33.9681</v>
      </c>
      <c r="H4780" s="344" t="s">
        <v>1829</v>
      </c>
    </row>
    <row r="4781" spans="1:8">
      <c r="A4781" s="1"/>
      <c r="B4781" s="1"/>
      <c r="C4781" s="1"/>
      <c r="D4781" s="1"/>
      <c r="E4781" s="357">
        <v>45553</v>
      </c>
      <c r="F4781" s="344" t="s">
        <v>621</v>
      </c>
      <c r="G4781" s="358">
        <v>40.232300000000002</v>
      </c>
      <c r="H4781" s="344" t="s">
        <v>1830</v>
      </c>
    </row>
    <row r="4782" spans="1:8">
      <c r="A4782" s="1"/>
      <c r="B4782" s="1"/>
      <c r="C4782" s="1"/>
      <c r="D4782" s="1"/>
      <c r="E4782" s="357">
        <v>45553</v>
      </c>
      <c r="F4782" s="344" t="s">
        <v>625</v>
      </c>
      <c r="G4782" s="358">
        <v>37.869300000000003</v>
      </c>
      <c r="H4782" s="344" t="s">
        <v>1830</v>
      </c>
    </row>
    <row r="4783" spans="1:8">
      <c r="A4783" s="1"/>
      <c r="B4783" s="1"/>
      <c r="C4783" s="1"/>
      <c r="D4783" s="1"/>
      <c r="E4783" s="357">
        <v>45553</v>
      </c>
      <c r="F4783" s="344" t="s">
        <v>628</v>
      </c>
      <c r="G4783" s="358">
        <v>44.860500000000002</v>
      </c>
      <c r="H4783" s="344" t="s">
        <v>1830</v>
      </c>
    </row>
    <row r="4784" spans="1:8">
      <c r="A4784" s="1"/>
      <c r="B4784" s="1"/>
      <c r="C4784" s="1"/>
      <c r="D4784" s="1"/>
      <c r="E4784" s="357">
        <v>45553</v>
      </c>
      <c r="F4784" s="344" t="s">
        <v>631</v>
      </c>
      <c r="G4784" s="358">
        <v>34.028300000000002</v>
      </c>
      <c r="H4784" s="344" t="s">
        <v>1830</v>
      </c>
    </row>
    <row r="4785" spans="1:8">
      <c r="A4785" s="1"/>
      <c r="B4785" s="1"/>
      <c r="C4785" s="1"/>
      <c r="D4785" s="1"/>
      <c r="E4785" s="357">
        <v>45554</v>
      </c>
      <c r="F4785" s="344" t="s">
        <v>621</v>
      </c>
      <c r="G4785" s="358">
        <v>40.0655</v>
      </c>
      <c r="H4785" s="344" t="s">
        <v>1831</v>
      </c>
    </row>
    <row r="4786" spans="1:8">
      <c r="A4786" s="1"/>
      <c r="B4786" s="1"/>
      <c r="C4786" s="1"/>
      <c r="D4786" s="1"/>
      <c r="E4786" s="357">
        <v>45554</v>
      </c>
      <c r="F4786" s="344" t="s">
        <v>625</v>
      </c>
      <c r="G4786" s="358">
        <v>37.918199999999999</v>
      </c>
      <c r="H4786" s="344" t="s">
        <v>1831</v>
      </c>
    </row>
    <row r="4787" spans="1:8">
      <c r="A4787" s="1"/>
      <c r="B4787" s="1"/>
      <c r="C4787" s="1"/>
      <c r="D4787" s="1"/>
      <c r="E4787" s="357">
        <v>45554</v>
      </c>
      <c r="F4787" s="344" t="s">
        <v>628</v>
      </c>
      <c r="G4787" s="358">
        <v>44.999299999999998</v>
      </c>
      <c r="H4787" s="344" t="s">
        <v>1831</v>
      </c>
    </row>
    <row r="4788" spans="1:8">
      <c r="A4788" s="1"/>
      <c r="B4788" s="1"/>
      <c r="C4788" s="1"/>
      <c r="D4788" s="1"/>
      <c r="E4788" s="357">
        <v>45554</v>
      </c>
      <c r="F4788" s="344" t="s">
        <v>631</v>
      </c>
      <c r="G4788" s="358">
        <v>33.976599999999998</v>
      </c>
      <c r="H4788" s="344" t="s">
        <v>1831</v>
      </c>
    </row>
    <row r="4789" spans="1:8">
      <c r="A4789" s="1"/>
      <c r="B4789" s="1"/>
      <c r="C4789" s="1"/>
      <c r="D4789" s="1"/>
      <c r="E4789" s="357">
        <v>45555</v>
      </c>
      <c r="F4789" s="344" t="s">
        <v>621</v>
      </c>
      <c r="G4789" s="358">
        <v>39.9358</v>
      </c>
      <c r="H4789" s="344" t="s">
        <v>1832</v>
      </c>
    </row>
    <row r="4790" spans="1:8">
      <c r="A4790" s="1"/>
      <c r="B4790" s="1"/>
      <c r="C4790" s="1"/>
      <c r="D4790" s="1"/>
      <c r="E4790" s="357">
        <v>45555</v>
      </c>
      <c r="F4790" s="344" t="s">
        <v>625</v>
      </c>
      <c r="G4790" s="358">
        <v>37.905799999999999</v>
      </c>
      <c r="H4790" s="344" t="s">
        <v>1832</v>
      </c>
    </row>
    <row r="4791" spans="1:8">
      <c r="A4791" s="1"/>
      <c r="B4791" s="1"/>
      <c r="C4791" s="1"/>
      <c r="D4791" s="1"/>
      <c r="E4791" s="357">
        <v>45555</v>
      </c>
      <c r="F4791" s="344" t="s">
        <v>628</v>
      </c>
      <c r="G4791" s="358">
        <v>45.089500000000001</v>
      </c>
      <c r="H4791" s="344" t="s">
        <v>1832</v>
      </c>
    </row>
    <row r="4792" spans="1:8">
      <c r="A4792" s="1"/>
      <c r="B4792" s="1"/>
      <c r="C4792" s="1"/>
      <c r="D4792" s="1"/>
      <c r="E4792" s="357">
        <v>45555</v>
      </c>
      <c r="F4792" s="344" t="s">
        <v>631</v>
      </c>
      <c r="G4792" s="358">
        <v>33.953099999999999</v>
      </c>
      <c r="H4792" s="344" t="s">
        <v>1832</v>
      </c>
    </row>
    <row r="4793" spans="1:8">
      <c r="A4793" s="1"/>
      <c r="B4793" s="1"/>
      <c r="C4793" s="1"/>
      <c r="D4793" s="1"/>
      <c r="E4793" s="357">
        <v>45558</v>
      </c>
      <c r="F4793" s="344" t="s">
        <v>621</v>
      </c>
      <c r="G4793" s="358">
        <v>39.9572</v>
      </c>
      <c r="H4793" s="344" t="s">
        <v>1833</v>
      </c>
    </row>
    <row r="4794" spans="1:8">
      <c r="A4794" s="1"/>
      <c r="B4794" s="1"/>
      <c r="C4794" s="1"/>
      <c r="D4794" s="1"/>
      <c r="E4794" s="357">
        <v>45558</v>
      </c>
      <c r="F4794" s="344" t="s">
        <v>625</v>
      </c>
      <c r="G4794" s="358">
        <v>37.861499999999999</v>
      </c>
      <c r="H4794" s="344" t="s">
        <v>1833</v>
      </c>
    </row>
    <row r="4795" spans="1:8">
      <c r="A4795" s="1"/>
      <c r="B4795" s="1"/>
      <c r="C4795" s="1"/>
      <c r="D4795" s="1"/>
      <c r="E4795" s="357">
        <v>45558</v>
      </c>
      <c r="F4795" s="344" t="s">
        <v>628</v>
      </c>
      <c r="G4795" s="358">
        <v>45.193399999999997</v>
      </c>
      <c r="H4795" s="344" t="s">
        <v>1833</v>
      </c>
    </row>
    <row r="4796" spans="1:8">
      <c r="A4796" s="1"/>
      <c r="B4796" s="1"/>
      <c r="C4796" s="1"/>
      <c r="D4796" s="1"/>
      <c r="E4796" s="357">
        <v>45558</v>
      </c>
      <c r="F4796" s="344" t="s">
        <v>631</v>
      </c>
      <c r="G4796" s="358">
        <v>34.0627</v>
      </c>
      <c r="H4796" s="344" t="s">
        <v>1833</v>
      </c>
    </row>
    <row r="4797" spans="1:8">
      <c r="A4797" s="1"/>
      <c r="B4797" s="1"/>
      <c r="C4797" s="1"/>
      <c r="D4797" s="1"/>
      <c r="E4797" s="357">
        <v>45559</v>
      </c>
      <c r="F4797" s="344" t="s">
        <v>621</v>
      </c>
      <c r="G4797" s="358">
        <v>40.094000000000001</v>
      </c>
      <c r="H4797" s="344" t="s">
        <v>1834</v>
      </c>
    </row>
    <row r="4798" spans="1:8">
      <c r="A4798" s="1"/>
      <c r="B4798" s="1"/>
      <c r="C4798" s="1"/>
      <c r="D4798" s="1"/>
      <c r="E4798" s="357">
        <v>45559</v>
      </c>
      <c r="F4798" s="344" t="s">
        <v>625</v>
      </c>
      <c r="G4798" s="358">
        <v>37.930500000000002</v>
      </c>
      <c r="H4798" s="344" t="s">
        <v>1834</v>
      </c>
    </row>
    <row r="4799" spans="1:8">
      <c r="A4799" s="1"/>
      <c r="B4799" s="1"/>
      <c r="C4799" s="1"/>
      <c r="D4799" s="1"/>
      <c r="E4799" s="357">
        <v>45559</v>
      </c>
      <c r="F4799" s="344" t="s">
        <v>628</v>
      </c>
      <c r="G4799" s="358">
        <v>45.474200000000003</v>
      </c>
      <c r="H4799" s="344" t="s">
        <v>1834</v>
      </c>
    </row>
    <row r="4800" spans="1:8">
      <c r="A4800" s="1"/>
      <c r="B4800" s="1"/>
      <c r="C4800" s="1"/>
      <c r="D4800" s="1"/>
      <c r="E4800" s="357">
        <v>45559</v>
      </c>
      <c r="F4800" s="344" t="s">
        <v>631</v>
      </c>
      <c r="G4800" s="358">
        <v>34.081499999999998</v>
      </c>
      <c r="H4800" s="344" t="s">
        <v>1834</v>
      </c>
    </row>
    <row r="4801" spans="1:8">
      <c r="A4801" s="1"/>
      <c r="B4801" s="1"/>
      <c r="C4801" s="1"/>
      <c r="D4801" s="1"/>
      <c r="E4801" s="357">
        <v>45560</v>
      </c>
      <c r="F4801" s="344" t="s">
        <v>621</v>
      </c>
      <c r="G4801" s="358">
        <v>40.166400000000003</v>
      </c>
      <c r="H4801" s="344" t="s">
        <v>1835</v>
      </c>
    </row>
    <row r="4802" spans="1:8">
      <c r="A4802" s="1"/>
      <c r="B4802" s="1"/>
      <c r="C4802" s="1"/>
      <c r="D4802" s="1"/>
      <c r="E4802" s="357">
        <v>45560</v>
      </c>
      <c r="F4802" s="344" t="s">
        <v>625</v>
      </c>
      <c r="G4802" s="358">
        <v>38.142600000000002</v>
      </c>
      <c r="H4802" s="344" t="s">
        <v>1835</v>
      </c>
    </row>
    <row r="4803" spans="1:8">
      <c r="A4803" s="1"/>
      <c r="B4803" s="1"/>
      <c r="C4803" s="1"/>
      <c r="D4803" s="1"/>
      <c r="E4803" s="357">
        <v>45560</v>
      </c>
      <c r="F4803" s="344" t="s">
        <v>628</v>
      </c>
      <c r="G4803" s="358">
        <v>45.536299999999997</v>
      </c>
      <c r="H4803" s="344" t="s">
        <v>1835</v>
      </c>
    </row>
    <row r="4804" spans="1:8">
      <c r="A4804" s="1"/>
      <c r="B4804" s="1"/>
      <c r="C4804" s="1"/>
      <c r="D4804" s="1"/>
      <c r="E4804" s="357">
        <v>45560</v>
      </c>
      <c r="F4804" s="344" t="s">
        <v>631</v>
      </c>
      <c r="G4804" s="358">
        <v>34.089399999999998</v>
      </c>
      <c r="H4804" s="344" t="s">
        <v>1835</v>
      </c>
    </row>
    <row r="4805" spans="1:8">
      <c r="A4805" s="1"/>
      <c r="B4805" s="1"/>
      <c r="C4805" s="1"/>
      <c r="D4805" s="1"/>
      <c r="E4805" s="357">
        <v>45561</v>
      </c>
      <c r="F4805" s="344" t="s">
        <v>621</v>
      </c>
      <c r="G4805" s="358">
        <v>40.082500000000003</v>
      </c>
      <c r="H4805" s="344" t="s">
        <v>1836</v>
      </c>
    </row>
    <row r="4806" spans="1:8">
      <c r="A4806" s="1"/>
      <c r="B4806" s="1"/>
      <c r="C4806" s="1"/>
      <c r="D4806" s="1"/>
      <c r="E4806" s="357">
        <v>45561</v>
      </c>
      <c r="F4806" s="344" t="s">
        <v>625</v>
      </c>
      <c r="G4806" s="358">
        <v>38.0092</v>
      </c>
      <c r="H4806" s="344" t="s">
        <v>1836</v>
      </c>
    </row>
    <row r="4807" spans="1:8">
      <c r="A4807" s="1"/>
      <c r="B4807" s="1"/>
      <c r="C4807" s="1"/>
      <c r="D4807" s="1"/>
      <c r="E4807" s="357">
        <v>45561</v>
      </c>
      <c r="F4807" s="344" t="s">
        <v>628</v>
      </c>
      <c r="G4807" s="358">
        <v>45.474200000000003</v>
      </c>
      <c r="H4807" s="344" t="s">
        <v>1836</v>
      </c>
    </row>
    <row r="4808" spans="1:8">
      <c r="A4808" s="1"/>
      <c r="B4808" s="1"/>
      <c r="C4808" s="1"/>
      <c r="D4808" s="1"/>
      <c r="E4808" s="357">
        <v>45561</v>
      </c>
      <c r="F4808" s="344" t="s">
        <v>631</v>
      </c>
      <c r="G4808" s="358">
        <v>34.098199999999999</v>
      </c>
      <c r="H4808" s="344" t="s">
        <v>1836</v>
      </c>
    </row>
    <row r="4809" spans="1:8">
      <c r="A4809" s="1"/>
      <c r="B4809" s="1"/>
      <c r="C4809" s="1"/>
      <c r="D4809" s="1"/>
      <c r="E4809" s="357">
        <v>45562</v>
      </c>
      <c r="F4809" s="344" t="s">
        <v>621</v>
      </c>
      <c r="G4809" s="358">
        <v>40.247999999999998</v>
      </c>
      <c r="H4809" s="344" t="s">
        <v>1837</v>
      </c>
    </row>
    <row r="4810" spans="1:8">
      <c r="A4810" s="1"/>
      <c r="B4810" s="1"/>
      <c r="C4810" s="1"/>
      <c r="D4810" s="1"/>
      <c r="E4810" s="357">
        <v>45562</v>
      </c>
      <c r="F4810" s="344" t="s">
        <v>625</v>
      </c>
      <c r="G4810" s="358">
        <v>38.018000000000001</v>
      </c>
      <c r="H4810" s="344" t="s">
        <v>1837</v>
      </c>
    </row>
    <row r="4811" spans="1:8">
      <c r="A4811" s="1"/>
      <c r="B4811" s="1"/>
      <c r="C4811" s="1"/>
      <c r="D4811" s="1"/>
      <c r="E4811" s="357">
        <v>45562</v>
      </c>
      <c r="F4811" s="344" t="s">
        <v>628</v>
      </c>
      <c r="G4811" s="358">
        <v>45.540799999999997</v>
      </c>
      <c r="H4811" s="344" t="s">
        <v>1837</v>
      </c>
    </row>
    <row r="4812" spans="1:8">
      <c r="A4812" s="1"/>
      <c r="B4812" s="1"/>
      <c r="C4812" s="1"/>
      <c r="D4812" s="1"/>
      <c r="E4812" s="357">
        <v>45562</v>
      </c>
      <c r="F4812" s="344" t="s">
        <v>631</v>
      </c>
      <c r="G4812" s="358">
        <v>34.090000000000003</v>
      </c>
      <c r="H4812" s="344" t="s">
        <v>1837</v>
      </c>
    </row>
    <row r="4813" spans="1:8">
      <c r="A4813" s="1"/>
      <c r="B4813" s="1"/>
      <c r="C4813" s="1"/>
      <c r="D4813" s="1"/>
      <c r="E4813" s="357">
        <v>45565</v>
      </c>
      <c r="F4813" s="344" t="s">
        <v>621</v>
      </c>
      <c r="G4813" s="358">
        <v>40.3765</v>
      </c>
      <c r="H4813" s="344" t="s">
        <v>1838</v>
      </c>
    </row>
    <row r="4814" spans="1:8">
      <c r="A4814" s="1"/>
      <c r="B4814" s="1"/>
      <c r="C4814" s="1"/>
      <c r="D4814" s="1"/>
      <c r="E4814" s="357">
        <v>45565</v>
      </c>
      <c r="F4814" s="344" t="s">
        <v>625</v>
      </c>
      <c r="G4814" s="358">
        <v>38.171399999999998</v>
      </c>
      <c r="H4814" s="344" t="s">
        <v>1838</v>
      </c>
    </row>
    <row r="4815" spans="1:8">
      <c r="A4815" s="1"/>
      <c r="B4815" s="1"/>
      <c r="C4815" s="1"/>
      <c r="D4815" s="1"/>
      <c r="E4815" s="357">
        <v>45565</v>
      </c>
      <c r="F4815" s="344" t="s">
        <v>628</v>
      </c>
      <c r="G4815" s="358">
        <v>45.646000000000001</v>
      </c>
      <c r="H4815" s="344" t="s">
        <v>1838</v>
      </c>
    </row>
    <row r="4816" spans="1:8">
      <c r="A4816" s="1"/>
      <c r="B4816" s="1"/>
      <c r="C4816" s="1"/>
      <c r="D4816" s="1"/>
      <c r="E4816" s="357">
        <v>45565</v>
      </c>
      <c r="F4816" s="344" t="s">
        <v>631</v>
      </c>
      <c r="G4816" s="358">
        <v>34.121000000000002</v>
      </c>
      <c r="H4816" s="344" t="s">
        <v>1838</v>
      </c>
    </row>
    <row r="4817" spans="1:8">
      <c r="A4817" s="1"/>
      <c r="B4817" s="1"/>
      <c r="C4817" s="1"/>
      <c r="D4817" s="1"/>
      <c r="E4817" s="357">
        <v>45566</v>
      </c>
      <c r="F4817" s="344" t="s">
        <v>621</v>
      </c>
      <c r="G4817" s="358">
        <v>40.198599999999999</v>
      </c>
      <c r="H4817" s="344" t="s">
        <v>1839</v>
      </c>
    </row>
    <row r="4818" spans="1:8">
      <c r="A4818" s="1"/>
      <c r="B4818" s="1"/>
      <c r="C4818" s="1"/>
      <c r="D4818" s="1"/>
      <c r="E4818" s="357">
        <v>45566</v>
      </c>
      <c r="F4818" s="344" t="s">
        <v>625</v>
      </c>
      <c r="G4818" s="358">
        <v>37.889000000000003</v>
      </c>
      <c r="H4818" s="344" t="s">
        <v>1839</v>
      </c>
    </row>
    <row r="4819" spans="1:8">
      <c r="A4819" s="1"/>
      <c r="B4819" s="1"/>
      <c r="C4819" s="1"/>
      <c r="D4819" s="1"/>
      <c r="E4819" s="357">
        <v>45566</v>
      </c>
      <c r="F4819" s="344" t="s">
        <v>628</v>
      </c>
      <c r="G4819" s="358">
        <v>45.4268</v>
      </c>
      <c r="H4819" s="344" t="s">
        <v>1839</v>
      </c>
    </row>
    <row r="4820" spans="1:8">
      <c r="A4820" s="1"/>
      <c r="B4820" s="1"/>
      <c r="C4820" s="1"/>
      <c r="D4820" s="1"/>
      <c r="E4820" s="357">
        <v>45566</v>
      </c>
      <c r="F4820" s="344" t="s">
        <v>631</v>
      </c>
      <c r="G4820" s="358">
        <v>34.124699999999997</v>
      </c>
      <c r="H4820" s="344" t="s">
        <v>1839</v>
      </c>
    </row>
    <row r="4821" spans="1:8">
      <c r="A4821" s="1"/>
      <c r="B4821" s="1"/>
      <c r="C4821" s="1"/>
      <c r="D4821" s="1"/>
      <c r="E4821" s="357">
        <v>45567</v>
      </c>
      <c r="F4821" s="344" t="s">
        <v>621</v>
      </c>
      <c r="G4821" s="358">
        <v>40.24</v>
      </c>
      <c r="H4821" s="344" t="s">
        <v>1840</v>
      </c>
    </row>
    <row r="4822" spans="1:8">
      <c r="A4822" s="1"/>
      <c r="B4822" s="1"/>
      <c r="C4822" s="1"/>
      <c r="D4822" s="1"/>
      <c r="E4822" s="357">
        <v>45567</v>
      </c>
      <c r="F4822" s="344" t="s">
        <v>625</v>
      </c>
      <c r="G4822" s="358">
        <v>37.808</v>
      </c>
      <c r="H4822" s="344" t="s">
        <v>1840</v>
      </c>
    </row>
    <row r="4823" spans="1:8">
      <c r="A4823" s="1"/>
      <c r="B4823" s="1"/>
      <c r="C4823" s="1"/>
      <c r="D4823" s="1"/>
      <c r="E4823" s="357">
        <v>45567</v>
      </c>
      <c r="F4823" s="344" t="s">
        <v>628</v>
      </c>
      <c r="G4823" s="358">
        <v>45.307499999999997</v>
      </c>
      <c r="H4823" s="344" t="s">
        <v>1840</v>
      </c>
    </row>
    <row r="4824" spans="1:8">
      <c r="A4824" s="1"/>
      <c r="B4824" s="1"/>
      <c r="C4824" s="1"/>
      <c r="D4824" s="1"/>
      <c r="E4824" s="357">
        <v>45567</v>
      </c>
      <c r="F4824" s="344" t="s">
        <v>631</v>
      </c>
      <c r="G4824" s="358">
        <v>34.153799999999997</v>
      </c>
      <c r="H4824" s="344" t="s">
        <v>1840</v>
      </c>
    </row>
    <row r="4825" spans="1:8">
      <c r="A4825" s="1"/>
      <c r="B4825" s="1"/>
      <c r="C4825" s="1"/>
      <c r="D4825" s="1"/>
      <c r="E4825" s="357">
        <v>45568</v>
      </c>
      <c r="F4825" s="344" t="s">
        <v>621</v>
      </c>
      <c r="G4825" s="358">
        <v>39.977400000000003</v>
      </c>
      <c r="H4825" s="344" t="s">
        <v>1841</v>
      </c>
    </row>
    <row r="4826" spans="1:8">
      <c r="A4826" s="1"/>
      <c r="B4826" s="1"/>
      <c r="C4826" s="1"/>
      <c r="D4826" s="1"/>
      <c r="E4826" s="357">
        <v>45568</v>
      </c>
      <c r="F4826" s="344" t="s">
        <v>625</v>
      </c>
      <c r="G4826" s="358">
        <v>37.654400000000003</v>
      </c>
      <c r="H4826" s="344" t="s">
        <v>1841</v>
      </c>
    </row>
    <row r="4827" spans="1:8">
      <c r="A4827" s="1"/>
      <c r="B4827" s="1"/>
      <c r="C4827" s="1"/>
      <c r="D4827" s="1"/>
      <c r="E4827" s="357">
        <v>45568</v>
      </c>
      <c r="F4827" s="344" t="s">
        <v>628</v>
      </c>
      <c r="G4827" s="358">
        <v>44.718800000000002</v>
      </c>
      <c r="H4827" s="344" t="s">
        <v>1841</v>
      </c>
    </row>
    <row r="4828" spans="1:8">
      <c r="A4828" s="1"/>
      <c r="B4828" s="1"/>
      <c r="C4828" s="1"/>
      <c r="D4828" s="1"/>
      <c r="E4828" s="357">
        <v>45568</v>
      </c>
      <c r="F4828" s="344" t="s">
        <v>631</v>
      </c>
      <c r="G4828" s="358">
        <v>34.1126</v>
      </c>
      <c r="H4828" s="344" t="s">
        <v>1841</v>
      </c>
    </row>
    <row r="4829" spans="1:8">
      <c r="A4829" s="1"/>
      <c r="B4829" s="1"/>
      <c r="C4829" s="1"/>
      <c r="D4829" s="1"/>
      <c r="E4829" s="357">
        <v>45569</v>
      </c>
      <c r="F4829" s="344" t="s">
        <v>621</v>
      </c>
      <c r="G4829" s="358">
        <v>39.992800000000003</v>
      </c>
      <c r="H4829" s="344" t="s">
        <v>1842</v>
      </c>
    </row>
    <row r="4830" spans="1:8">
      <c r="A4830" s="1"/>
      <c r="B4830" s="1"/>
      <c r="C4830" s="1"/>
      <c r="D4830" s="1"/>
      <c r="E4830" s="357">
        <v>45569</v>
      </c>
      <c r="F4830" s="344" t="s">
        <v>625</v>
      </c>
      <c r="G4830" s="358">
        <v>37.651600000000002</v>
      </c>
      <c r="H4830" s="344" t="s">
        <v>1842</v>
      </c>
    </row>
    <row r="4831" spans="1:8">
      <c r="A4831" s="1"/>
      <c r="B4831" s="1"/>
      <c r="C4831" s="1"/>
      <c r="D4831" s="1"/>
      <c r="E4831" s="357">
        <v>45569</v>
      </c>
      <c r="F4831" s="344" t="s">
        <v>628</v>
      </c>
      <c r="G4831" s="358">
        <v>44.854300000000002</v>
      </c>
      <c r="H4831" s="344" t="s">
        <v>1842</v>
      </c>
    </row>
    <row r="4832" spans="1:8">
      <c r="A4832" s="1"/>
      <c r="B4832" s="1"/>
      <c r="C4832" s="1"/>
      <c r="D4832" s="1"/>
      <c r="E4832" s="357">
        <v>45569</v>
      </c>
      <c r="F4832" s="344" t="s">
        <v>631</v>
      </c>
      <c r="G4832" s="358">
        <v>34.139800000000001</v>
      </c>
      <c r="H4832" s="344" t="s">
        <v>1842</v>
      </c>
    </row>
    <row r="4833" spans="1:8">
      <c r="A4833" s="1"/>
      <c r="B4833" s="1"/>
      <c r="C4833" s="1"/>
      <c r="D4833" s="1"/>
      <c r="E4833" s="357">
        <v>45572</v>
      </c>
      <c r="F4833" s="344" t="s">
        <v>621</v>
      </c>
      <c r="G4833" s="358">
        <v>39.783499999999997</v>
      </c>
      <c r="H4833" s="344" t="s">
        <v>1843</v>
      </c>
    </row>
    <row r="4834" spans="1:8">
      <c r="A4834" s="1"/>
      <c r="B4834" s="1"/>
      <c r="C4834" s="1"/>
      <c r="D4834" s="1"/>
      <c r="E4834" s="357">
        <v>45572</v>
      </c>
      <c r="F4834" s="344" t="s">
        <v>625</v>
      </c>
      <c r="G4834" s="358">
        <v>37.4998</v>
      </c>
      <c r="H4834" s="344" t="s">
        <v>1843</v>
      </c>
    </row>
    <row r="4835" spans="1:8">
      <c r="A4835" s="1"/>
      <c r="B4835" s="1"/>
      <c r="C4835" s="1"/>
      <c r="D4835" s="1"/>
      <c r="E4835" s="357">
        <v>45572</v>
      </c>
      <c r="F4835" s="344" t="s">
        <v>628</v>
      </c>
      <c r="G4835" s="358">
        <v>44.672699999999999</v>
      </c>
      <c r="H4835" s="344" t="s">
        <v>1843</v>
      </c>
    </row>
    <row r="4836" spans="1:8">
      <c r="A4836" s="1"/>
      <c r="B4836" s="1"/>
      <c r="C4836" s="1"/>
      <c r="D4836" s="1"/>
      <c r="E4836" s="357">
        <v>45572</v>
      </c>
      <c r="F4836" s="344" t="s">
        <v>631</v>
      </c>
      <c r="G4836" s="358">
        <v>34.188099999999999</v>
      </c>
      <c r="H4836" s="344" t="s">
        <v>1843</v>
      </c>
    </row>
    <row r="4837" spans="1:8">
      <c r="A4837" s="1"/>
      <c r="B4837" s="1"/>
      <c r="C4837" s="1"/>
      <c r="D4837" s="1"/>
      <c r="E4837" s="357">
        <v>45573</v>
      </c>
      <c r="F4837" s="344" t="s">
        <v>621</v>
      </c>
      <c r="G4837" s="358">
        <v>39.919199999999996</v>
      </c>
      <c r="H4837" s="344" t="s">
        <v>1844</v>
      </c>
    </row>
    <row r="4838" spans="1:8">
      <c r="A4838" s="1"/>
      <c r="B4838" s="1"/>
      <c r="C4838" s="1"/>
      <c r="D4838" s="1"/>
      <c r="E4838" s="357">
        <v>45573</v>
      </c>
      <c r="F4838" s="344" t="s">
        <v>625</v>
      </c>
      <c r="G4838" s="358">
        <v>37.593200000000003</v>
      </c>
      <c r="H4838" s="344" t="s">
        <v>1844</v>
      </c>
    </row>
    <row r="4839" spans="1:8">
      <c r="A4839" s="1"/>
      <c r="B4839" s="1"/>
      <c r="C4839" s="1"/>
      <c r="D4839" s="1"/>
      <c r="E4839" s="357">
        <v>45573</v>
      </c>
      <c r="F4839" s="344" t="s">
        <v>628</v>
      </c>
      <c r="G4839" s="358">
        <v>44.726799999999997</v>
      </c>
      <c r="H4839" s="344" t="s">
        <v>1844</v>
      </c>
    </row>
    <row r="4840" spans="1:8">
      <c r="A4840" s="1"/>
      <c r="B4840" s="1"/>
      <c r="C4840" s="1"/>
      <c r="D4840" s="1"/>
      <c r="E4840" s="357">
        <v>45573</v>
      </c>
      <c r="F4840" s="344" t="s">
        <v>631</v>
      </c>
      <c r="G4840" s="358">
        <v>34.210299999999997</v>
      </c>
      <c r="H4840" s="344" t="s">
        <v>1844</v>
      </c>
    </row>
    <row r="4841" spans="1:8">
      <c r="A4841" s="1"/>
      <c r="B4841" s="1"/>
      <c r="C4841" s="1"/>
      <c r="D4841" s="1"/>
      <c r="E4841" s="357">
        <v>45574</v>
      </c>
      <c r="F4841" s="344" t="s">
        <v>621</v>
      </c>
      <c r="G4841" s="358">
        <v>39.791699999999999</v>
      </c>
      <c r="H4841" s="344" t="s">
        <v>1845</v>
      </c>
    </row>
    <row r="4842" spans="1:8">
      <c r="A4842" s="1"/>
      <c r="B4842" s="1"/>
      <c r="C4842" s="1"/>
      <c r="D4842" s="1"/>
      <c r="E4842" s="357">
        <v>45574</v>
      </c>
      <c r="F4842" s="344" t="s">
        <v>625</v>
      </c>
      <c r="G4842" s="358">
        <v>37.482900000000001</v>
      </c>
      <c r="H4842" s="344" t="s">
        <v>1845</v>
      </c>
    </row>
    <row r="4843" spans="1:8">
      <c r="A4843" s="1"/>
      <c r="B4843" s="1"/>
      <c r="C4843" s="1"/>
      <c r="D4843" s="1"/>
      <c r="E4843" s="357">
        <v>45574</v>
      </c>
      <c r="F4843" s="344" t="s">
        <v>628</v>
      </c>
      <c r="G4843" s="358">
        <v>44.662399999999998</v>
      </c>
      <c r="H4843" s="344" t="s">
        <v>1845</v>
      </c>
    </row>
    <row r="4844" spans="1:8">
      <c r="A4844" s="1"/>
      <c r="B4844" s="1"/>
      <c r="C4844" s="1"/>
      <c r="D4844" s="1"/>
      <c r="E4844" s="357">
        <v>45574</v>
      </c>
      <c r="F4844" s="344" t="s">
        <v>631</v>
      </c>
      <c r="G4844" s="358">
        <v>34.195099999999996</v>
      </c>
      <c r="H4844" s="344" t="s">
        <v>1845</v>
      </c>
    </row>
    <row r="4845" spans="1:8">
      <c r="A4845" s="1"/>
      <c r="B4845" s="1"/>
      <c r="C4845" s="1"/>
      <c r="D4845" s="1"/>
      <c r="E4845" s="357">
        <v>45575</v>
      </c>
      <c r="F4845" s="344" t="s">
        <v>621</v>
      </c>
      <c r="G4845" s="358">
        <v>39.639699999999998</v>
      </c>
      <c r="H4845" s="344" t="s">
        <v>1846</v>
      </c>
    </row>
    <row r="4846" spans="1:8">
      <c r="A4846" s="1"/>
      <c r="B4846" s="1"/>
      <c r="C4846" s="1"/>
      <c r="D4846" s="1"/>
      <c r="E4846" s="357">
        <v>45575</v>
      </c>
      <c r="F4846" s="344" t="s">
        <v>625</v>
      </c>
      <c r="G4846" s="358">
        <v>37.346299999999999</v>
      </c>
      <c r="H4846" s="344" t="s">
        <v>1846</v>
      </c>
    </row>
    <row r="4847" spans="1:8">
      <c r="A4847" s="1"/>
      <c r="B4847" s="1"/>
      <c r="C4847" s="1"/>
      <c r="D4847" s="1"/>
      <c r="E4847" s="357">
        <v>45575</v>
      </c>
      <c r="F4847" s="344" t="s">
        <v>628</v>
      </c>
      <c r="G4847" s="358">
        <v>44.590499999999999</v>
      </c>
      <c r="H4847" s="344" t="s">
        <v>1846</v>
      </c>
    </row>
    <row r="4848" spans="1:8">
      <c r="A4848" s="1"/>
      <c r="B4848" s="1"/>
      <c r="C4848" s="1"/>
      <c r="D4848" s="1"/>
      <c r="E4848" s="357">
        <v>45575</v>
      </c>
      <c r="F4848" s="344" t="s">
        <v>631</v>
      </c>
      <c r="G4848" s="358">
        <v>34.152200000000001</v>
      </c>
      <c r="H4848" s="344" t="s">
        <v>1846</v>
      </c>
    </row>
    <row r="4849" spans="1:8">
      <c r="A4849" s="1"/>
      <c r="B4849" s="1"/>
      <c r="C4849" s="1"/>
      <c r="D4849" s="1"/>
      <c r="E4849" s="357">
        <v>45576</v>
      </c>
      <c r="F4849" s="344" t="s">
        <v>621</v>
      </c>
      <c r="G4849" s="358">
        <v>39.765799999999999</v>
      </c>
      <c r="H4849" s="344" t="s">
        <v>1847</v>
      </c>
    </row>
    <row r="4850" spans="1:8">
      <c r="A4850" s="1"/>
      <c r="B4850" s="1"/>
      <c r="C4850" s="1"/>
      <c r="D4850" s="1"/>
      <c r="E4850" s="357">
        <v>45576</v>
      </c>
      <c r="F4850" s="344" t="s">
        <v>625</v>
      </c>
      <c r="G4850" s="358">
        <v>37.372999999999998</v>
      </c>
      <c r="H4850" s="344" t="s">
        <v>1847</v>
      </c>
    </row>
    <row r="4851" spans="1:8">
      <c r="A4851" s="1"/>
      <c r="B4851" s="1"/>
      <c r="C4851" s="1"/>
      <c r="D4851" s="1"/>
      <c r="E4851" s="357">
        <v>45576</v>
      </c>
      <c r="F4851" s="344" t="s">
        <v>628</v>
      </c>
      <c r="G4851" s="358">
        <v>44.558500000000002</v>
      </c>
      <c r="H4851" s="344" t="s">
        <v>1847</v>
      </c>
    </row>
    <row r="4852" spans="1:8">
      <c r="A4852" s="1"/>
      <c r="B4852" s="1"/>
      <c r="C4852" s="1"/>
      <c r="D4852" s="1"/>
      <c r="E4852" s="357">
        <v>45576</v>
      </c>
      <c r="F4852" s="344" t="s">
        <v>631</v>
      </c>
      <c r="G4852" s="358">
        <v>34.162500000000001</v>
      </c>
      <c r="H4852" s="344" t="s">
        <v>1847</v>
      </c>
    </row>
    <row r="4853" spans="1:8">
      <c r="A4853" s="1"/>
      <c r="B4853" s="1"/>
      <c r="C4853" s="1"/>
      <c r="D4853" s="1"/>
      <c r="E4853" s="357">
        <v>45579</v>
      </c>
      <c r="F4853" s="344" t="s">
        <v>621</v>
      </c>
      <c r="G4853" s="358">
        <v>39.677500000000002</v>
      </c>
      <c r="H4853" s="344" t="s">
        <v>1848</v>
      </c>
    </row>
    <row r="4854" spans="1:8">
      <c r="A4854" s="1"/>
      <c r="B4854" s="1"/>
      <c r="C4854" s="1"/>
      <c r="D4854" s="1"/>
      <c r="E4854" s="357">
        <v>45579</v>
      </c>
      <c r="F4854" s="344" t="s">
        <v>625</v>
      </c>
      <c r="G4854" s="358">
        <v>37.364400000000003</v>
      </c>
      <c r="H4854" s="344" t="s">
        <v>1848</v>
      </c>
    </row>
    <row r="4855" spans="1:8">
      <c r="A4855" s="1"/>
      <c r="B4855" s="1"/>
      <c r="C4855" s="1"/>
      <c r="D4855" s="1"/>
      <c r="E4855" s="357">
        <v>45579</v>
      </c>
      <c r="F4855" s="344" t="s">
        <v>628</v>
      </c>
      <c r="G4855" s="358">
        <v>44.584200000000003</v>
      </c>
      <c r="H4855" s="344" t="s">
        <v>1848</v>
      </c>
    </row>
    <row r="4856" spans="1:8">
      <c r="A4856" s="1"/>
      <c r="B4856" s="1"/>
      <c r="C4856" s="1"/>
      <c r="D4856" s="1"/>
      <c r="E4856" s="357">
        <v>45579</v>
      </c>
      <c r="F4856" s="344" t="s">
        <v>631</v>
      </c>
      <c r="G4856" s="358">
        <v>34.203400000000002</v>
      </c>
      <c r="H4856" s="344" t="s">
        <v>1848</v>
      </c>
    </row>
    <row r="4857" spans="1:8">
      <c r="A4857" s="1"/>
      <c r="B4857" s="1"/>
      <c r="C4857" s="1"/>
      <c r="D4857" s="1"/>
      <c r="E4857" s="357">
        <v>45580</v>
      </c>
      <c r="F4857" s="344" t="s">
        <v>621</v>
      </c>
      <c r="G4857" s="358">
        <v>39.589399999999998</v>
      </c>
      <c r="H4857" s="344" t="s">
        <v>1849</v>
      </c>
    </row>
    <row r="4858" spans="1:8">
      <c r="A4858" s="1"/>
      <c r="B4858" s="1"/>
      <c r="C4858" s="1"/>
      <c r="D4858" s="1"/>
      <c r="E4858" s="357">
        <v>45580</v>
      </c>
      <c r="F4858" s="344" t="s">
        <v>625</v>
      </c>
      <c r="G4858" s="358">
        <v>37.290799999999997</v>
      </c>
      <c r="H4858" s="344" t="s">
        <v>1849</v>
      </c>
    </row>
    <row r="4859" spans="1:8">
      <c r="A4859" s="1"/>
      <c r="B4859" s="1"/>
      <c r="C4859" s="1"/>
      <c r="D4859" s="1"/>
      <c r="E4859" s="357">
        <v>45580</v>
      </c>
      <c r="F4859" s="344" t="s">
        <v>628</v>
      </c>
      <c r="G4859" s="358">
        <v>44.637099999999997</v>
      </c>
      <c r="H4859" s="344" t="s">
        <v>1849</v>
      </c>
    </row>
    <row r="4860" spans="1:8">
      <c r="A4860" s="1"/>
      <c r="B4860" s="1"/>
      <c r="C4860" s="1"/>
      <c r="D4860" s="1"/>
      <c r="E4860" s="357">
        <v>45580</v>
      </c>
      <c r="F4860" s="344" t="s">
        <v>631</v>
      </c>
      <c r="G4860" s="358">
        <v>34.201799999999999</v>
      </c>
      <c r="H4860" s="344" t="s">
        <v>1849</v>
      </c>
    </row>
    <row r="4861" spans="1:8">
      <c r="A4861" s="1"/>
      <c r="B4861" s="1"/>
      <c r="C4861" s="1"/>
      <c r="D4861" s="1"/>
      <c r="E4861" s="357">
        <v>45581</v>
      </c>
      <c r="F4861" s="344" t="s">
        <v>621</v>
      </c>
      <c r="G4861" s="358">
        <v>39.525300000000001</v>
      </c>
      <c r="H4861" s="344" t="s">
        <v>1850</v>
      </c>
    </row>
    <row r="4862" spans="1:8">
      <c r="A4862" s="1"/>
      <c r="B4862" s="1"/>
      <c r="C4862" s="1"/>
      <c r="D4862" s="1"/>
      <c r="E4862" s="357">
        <v>45581</v>
      </c>
      <c r="F4862" s="344" t="s">
        <v>625</v>
      </c>
      <c r="G4862" s="358">
        <v>37.193800000000003</v>
      </c>
      <c r="H4862" s="344" t="s">
        <v>1850</v>
      </c>
    </row>
    <row r="4863" spans="1:8">
      <c r="A4863" s="1"/>
      <c r="B4863" s="1"/>
      <c r="C4863" s="1"/>
      <c r="D4863" s="1"/>
      <c r="E4863" s="357">
        <v>45581</v>
      </c>
      <c r="F4863" s="344" t="s">
        <v>628</v>
      </c>
      <c r="G4863" s="358">
        <v>44.368499999999997</v>
      </c>
      <c r="H4863" s="344" t="s">
        <v>1850</v>
      </c>
    </row>
    <row r="4864" spans="1:8">
      <c r="A4864" s="1"/>
      <c r="B4864" s="1"/>
      <c r="C4864" s="1"/>
      <c r="D4864" s="1"/>
      <c r="E4864" s="357">
        <v>45581</v>
      </c>
      <c r="F4864" s="344" t="s">
        <v>631</v>
      </c>
      <c r="G4864" s="358">
        <v>34.1633</v>
      </c>
      <c r="H4864" s="344" t="s">
        <v>1850</v>
      </c>
    </row>
    <row r="4865" spans="1:8">
      <c r="A4865" s="1"/>
      <c r="B4865" s="1"/>
      <c r="C4865" s="1"/>
      <c r="D4865" s="1"/>
      <c r="E4865" s="357">
        <v>45582</v>
      </c>
      <c r="F4865" s="344" t="s">
        <v>621</v>
      </c>
      <c r="G4865" s="358">
        <v>39.357399999999998</v>
      </c>
      <c r="H4865" s="344" t="s">
        <v>1851</v>
      </c>
    </row>
    <row r="4866" spans="1:8">
      <c r="A4866" s="1"/>
      <c r="B4866" s="1"/>
      <c r="C4866" s="1"/>
      <c r="D4866" s="1"/>
      <c r="E4866" s="357">
        <v>45582</v>
      </c>
      <c r="F4866" s="344" t="s">
        <v>625</v>
      </c>
      <c r="G4866" s="358">
        <v>37.039200000000001</v>
      </c>
      <c r="H4866" s="344" t="s">
        <v>1851</v>
      </c>
    </row>
    <row r="4867" spans="1:8">
      <c r="A4867" s="1"/>
      <c r="B4867" s="1"/>
      <c r="C4867" s="1"/>
      <c r="D4867" s="1"/>
      <c r="E4867" s="357">
        <v>45582</v>
      </c>
      <c r="F4867" s="344" t="s">
        <v>628</v>
      </c>
      <c r="G4867" s="358">
        <v>44.252499999999998</v>
      </c>
      <c r="H4867" s="344" t="s">
        <v>1851</v>
      </c>
    </row>
    <row r="4868" spans="1:8">
      <c r="A4868" s="1"/>
      <c r="B4868" s="1"/>
      <c r="C4868" s="1"/>
      <c r="D4868" s="1"/>
      <c r="E4868" s="357">
        <v>45582</v>
      </c>
      <c r="F4868" s="344" t="s">
        <v>631</v>
      </c>
      <c r="G4868" s="358">
        <v>34.115499999999997</v>
      </c>
      <c r="H4868" s="344" t="s">
        <v>1851</v>
      </c>
    </row>
    <row r="4869" spans="1:8">
      <c r="A4869" s="1"/>
      <c r="B4869" s="1"/>
      <c r="C4869" s="1"/>
      <c r="D4869" s="1"/>
      <c r="E4869" s="357">
        <v>45583</v>
      </c>
      <c r="F4869" s="344" t="s">
        <v>621</v>
      </c>
      <c r="G4869" s="358">
        <v>39.367199999999997</v>
      </c>
      <c r="H4869" s="344" t="s">
        <v>1852</v>
      </c>
    </row>
    <row r="4870" spans="1:8">
      <c r="A4870" s="1"/>
      <c r="B4870" s="1"/>
      <c r="C4870" s="1"/>
      <c r="D4870" s="1"/>
      <c r="E4870" s="357">
        <v>45583</v>
      </c>
      <c r="F4870" s="344" t="s">
        <v>625</v>
      </c>
      <c r="G4870" s="358">
        <v>37.062100000000001</v>
      </c>
      <c r="H4870" s="344" t="s">
        <v>1852</v>
      </c>
    </row>
    <row r="4871" spans="1:8">
      <c r="A4871" s="1"/>
      <c r="B4871" s="1"/>
      <c r="C4871" s="1"/>
      <c r="D4871" s="1"/>
      <c r="E4871" s="357">
        <v>45583</v>
      </c>
      <c r="F4871" s="344" t="s">
        <v>628</v>
      </c>
      <c r="G4871" s="358">
        <v>44.516300000000001</v>
      </c>
      <c r="H4871" s="344" t="s">
        <v>1852</v>
      </c>
    </row>
    <row r="4872" spans="1:8">
      <c r="A4872" s="1"/>
      <c r="B4872" s="1"/>
      <c r="C4872" s="1"/>
      <c r="D4872" s="1"/>
      <c r="E4872" s="357">
        <v>45583</v>
      </c>
      <c r="F4872" s="344" t="s">
        <v>631</v>
      </c>
      <c r="G4872" s="358">
        <v>34.178600000000003</v>
      </c>
      <c r="H4872" s="344" t="s">
        <v>1852</v>
      </c>
    </row>
    <row r="4873" spans="1:8">
      <c r="A4873" s="1"/>
      <c r="B4873" s="1"/>
      <c r="C4873" s="1"/>
      <c r="D4873" s="1"/>
      <c r="E4873" s="357">
        <v>45586</v>
      </c>
      <c r="F4873" s="344" t="s">
        <v>621</v>
      </c>
      <c r="G4873" s="358">
        <v>39.431199999999997</v>
      </c>
      <c r="H4873" s="344" t="s">
        <v>1853</v>
      </c>
    </row>
    <row r="4874" spans="1:8">
      <c r="A4874" s="1"/>
      <c r="B4874" s="1"/>
      <c r="C4874" s="1"/>
      <c r="D4874" s="1"/>
      <c r="E4874" s="357">
        <v>45586</v>
      </c>
      <c r="F4874" s="344" t="s">
        <v>625</v>
      </c>
      <c r="G4874" s="358">
        <v>37.0871</v>
      </c>
      <c r="H4874" s="344" t="s">
        <v>1853</v>
      </c>
    </row>
    <row r="4875" spans="1:8">
      <c r="A4875" s="1"/>
      <c r="B4875" s="1"/>
      <c r="C4875" s="1"/>
      <c r="D4875" s="1"/>
      <c r="E4875" s="357">
        <v>45586</v>
      </c>
      <c r="F4875" s="344" t="s">
        <v>628</v>
      </c>
      <c r="G4875" s="358">
        <v>44.434699999999999</v>
      </c>
      <c r="H4875" s="344" t="s">
        <v>1853</v>
      </c>
    </row>
    <row r="4876" spans="1:8">
      <c r="A4876" s="1"/>
      <c r="B4876" s="1"/>
      <c r="C4876" s="1"/>
      <c r="D4876" s="1"/>
      <c r="E4876" s="357">
        <v>45586</v>
      </c>
      <c r="F4876" s="344" t="s">
        <v>631</v>
      </c>
      <c r="G4876" s="358">
        <v>34.178800000000003</v>
      </c>
      <c r="H4876" s="344" t="s">
        <v>1853</v>
      </c>
    </row>
    <row r="4877" spans="1:8">
      <c r="A4877" s="1"/>
      <c r="B4877" s="1"/>
      <c r="C4877" s="1"/>
      <c r="D4877" s="1"/>
      <c r="E4877" s="357">
        <v>45587</v>
      </c>
      <c r="F4877" s="344" t="s">
        <v>621</v>
      </c>
      <c r="G4877" s="358">
        <v>39.400100000000002</v>
      </c>
      <c r="H4877" s="344" t="s">
        <v>1854</v>
      </c>
    </row>
    <row r="4878" spans="1:8">
      <c r="A4878" s="1"/>
      <c r="B4878" s="1"/>
      <c r="C4878" s="1"/>
      <c r="D4878" s="1"/>
      <c r="E4878" s="357">
        <v>45587</v>
      </c>
      <c r="F4878" s="344" t="s">
        <v>625</v>
      </c>
      <c r="G4878" s="358">
        <v>37.003500000000003</v>
      </c>
      <c r="H4878" s="344" t="s">
        <v>1854</v>
      </c>
    </row>
    <row r="4879" spans="1:8">
      <c r="A4879" s="1"/>
      <c r="B4879" s="1"/>
      <c r="C4879" s="1"/>
      <c r="D4879" s="1"/>
      <c r="E4879" s="357">
        <v>45587</v>
      </c>
      <c r="F4879" s="344" t="s">
        <v>628</v>
      </c>
      <c r="G4879" s="358">
        <v>44.323900000000002</v>
      </c>
      <c r="H4879" s="344" t="s">
        <v>1854</v>
      </c>
    </row>
    <row r="4880" spans="1:8">
      <c r="A4880" s="1"/>
      <c r="B4880" s="1"/>
      <c r="C4880" s="1"/>
      <c r="D4880" s="1"/>
      <c r="E4880" s="357">
        <v>45587</v>
      </c>
      <c r="F4880" s="344" t="s">
        <v>631</v>
      </c>
      <c r="G4880" s="358">
        <v>34.182099999999998</v>
      </c>
      <c r="H4880" s="344" t="s">
        <v>1854</v>
      </c>
    </row>
    <row r="4881" spans="1:8">
      <c r="A4881" s="1"/>
      <c r="B4881" s="1"/>
      <c r="C4881" s="1"/>
      <c r="D4881" s="1"/>
      <c r="E4881" s="357">
        <v>45588</v>
      </c>
      <c r="F4881" s="344" t="s">
        <v>621</v>
      </c>
      <c r="G4881" s="358">
        <v>39.3386</v>
      </c>
      <c r="H4881" s="344" t="s">
        <v>1855</v>
      </c>
    </row>
    <row r="4882" spans="1:8">
      <c r="A4882" s="1"/>
      <c r="B4882" s="1"/>
      <c r="C4882" s="1"/>
      <c r="D4882" s="1"/>
      <c r="E4882" s="357">
        <v>45588</v>
      </c>
      <c r="F4882" s="344" t="s">
        <v>625</v>
      </c>
      <c r="G4882" s="358">
        <v>36.872199999999999</v>
      </c>
      <c r="H4882" s="344" t="s">
        <v>1855</v>
      </c>
    </row>
    <row r="4883" spans="1:8">
      <c r="A4883" s="1"/>
      <c r="B4883" s="1"/>
      <c r="C4883" s="1"/>
      <c r="D4883" s="1"/>
      <c r="E4883" s="357">
        <v>45588</v>
      </c>
      <c r="F4883" s="344" t="s">
        <v>628</v>
      </c>
      <c r="G4883" s="358">
        <v>44.284700000000001</v>
      </c>
      <c r="H4883" s="344" t="s">
        <v>1855</v>
      </c>
    </row>
    <row r="4884" spans="1:8">
      <c r="A4884" s="1"/>
      <c r="B4884" s="1"/>
      <c r="C4884" s="1"/>
      <c r="D4884" s="1"/>
      <c r="E4884" s="357">
        <v>45588</v>
      </c>
      <c r="F4884" s="344" t="s">
        <v>631</v>
      </c>
      <c r="G4884" s="358">
        <v>34.201099999999997</v>
      </c>
      <c r="H4884" s="344" t="s">
        <v>1855</v>
      </c>
    </row>
    <row r="4885" spans="1:8">
      <c r="A4885" s="1"/>
      <c r="B4885" s="1"/>
      <c r="C4885" s="1"/>
      <c r="D4885" s="1"/>
      <c r="E4885" s="357">
        <v>45589</v>
      </c>
      <c r="F4885" s="344" t="s">
        <v>621</v>
      </c>
      <c r="G4885" s="358">
        <v>39.395800000000001</v>
      </c>
      <c r="H4885" s="344" t="s">
        <v>1856</v>
      </c>
    </row>
    <row r="4886" spans="1:8">
      <c r="A4886" s="1"/>
      <c r="B4886" s="1"/>
      <c r="C4886" s="1"/>
      <c r="D4886" s="1"/>
      <c r="E4886" s="357">
        <v>45589</v>
      </c>
      <c r="F4886" s="344" t="s">
        <v>625</v>
      </c>
      <c r="G4886" s="358">
        <v>36.909500000000001</v>
      </c>
      <c r="H4886" s="344" t="s">
        <v>1856</v>
      </c>
    </row>
    <row r="4887" spans="1:8">
      <c r="A4887" s="1"/>
      <c r="B4887" s="1"/>
      <c r="C4887" s="1"/>
      <c r="D4887" s="1"/>
      <c r="E4887" s="357">
        <v>45589</v>
      </c>
      <c r="F4887" s="344" t="s">
        <v>628</v>
      </c>
      <c r="G4887" s="358">
        <v>44.239699999999999</v>
      </c>
      <c r="H4887" s="344" t="s">
        <v>1856</v>
      </c>
    </row>
    <row r="4888" spans="1:8">
      <c r="A4888" s="1"/>
      <c r="B4888" s="1"/>
      <c r="C4888" s="1"/>
      <c r="D4888" s="1"/>
      <c r="E4888" s="357">
        <v>45589</v>
      </c>
      <c r="F4888" s="344" t="s">
        <v>631</v>
      </c>
      <c r="G4888" s="358">
        <v>34.190199999999997</v>
      </c>
      <c r="H4888" s="344" t="s">
        <v>1856</v>
      </c>
    </row>
    <row r="4889" spans="1:8">
      <c r="A4889" s="1"/>
      <c r="B4889" s="1"/>
      <c r="C4889" s="1"/>
      <c r="D4889" s="1"/>
      <c r="E4889" s="357">
        <v>45590</v>
      </c>
      <c r="F4889" s="344" t="s">
        <v>621</v>
      </c>
      <c r="G4889" s="358">
        <v>39.367100000000001</v>
      </c>
      <c r="H4889" s="344" t="s">
        <v>1857</v>
      </c>
    </row>
    <row r="4890" spans="1:8">
      <c r="A4890" s="1"/>
      <c r="B4890" s="1"/>
      <c r="C4890" s="1"/>
      <c r="D4890" s="1"/>
      <c r="E4890" s="357">
        <v>45590</v>
      </c>
      <c r="F4890" s="344" t="s">
        <v>625</v>
      </c>
      <c r="G4890" s="358">
        <v>36.999299999999998</v>
      </c>
      <c r="H4890" s="344" t="s">
        <v>1857</v>
      </c>
    </row>
    <row r="4891" spans="1:8">
      <c r="A4891" s="1"/>
      <c r="B4891" s="1"/>
      <c r="C4891" s="1"/>
      <c r="D4891" s="1"/>
      <c r="E4891" s="357">
        <v>45590</v>
      </c>
      <c r="F4891" s="344" t="s">
        <v>628</v>
      </c>
      <c r="G4891" s="358">
        <v>44.291499999999999</v>
      </c>
      <c r="H4891" s="344" t="s">
        <v>1857</v>
      </c>
    </row>
    <row r="4892" spans="1:8">
      <c r="A4892" s="1"/>
      <c r="B4892" s="1"/>
      <c r="C4892" s="1"/>
      <c r="D4892" s="1"/>
      <c r="E4892" s="357">
        <v>45590</v>
      </c>
      <c r="F4892" s="344" t="s">
        <v>631</v>
      </c>
      <c r="G4892" s="358">
        <v>34.189</v>
      </c>
      <c r="H4892" s="344" t="s">
        <v>1857</v>
      </c>
    </row>
    <row r="4893" spans="1:8">
      <c r="A4893" s="1"/>
      <c r="B4893" s="1"/>
      <c r="C4893" s="1"/>
      <c r="D4893" s="1"/>
      <c r="E4893" s="357">
        <v>45595</v>
      </c>
      <c r="F4893" s="344" t="s">
        <v>621</v>
      </c>
      <c r="G4893" s="358">
        <v>39.364899999999999</v>
      </c>
      <c r="H4893" s="344" t="s">
        <v>1858</v>
      </c>
    </row>
    <row r="4894" spans="1:8">
      <c r="A4894" s="1"/>
      <c r="B4894" s="1"/>
      <c r="C4894" s="1"/>
      <c r="D4894" s="1"/>
      <c r="E4894" s="357">
        <v>45595</v>
      </c>
      <c r="F4894" s="344" t="s">
        <v>625</v>
      </c>
      <c r="G4894" s="358">
        <v>37.047400000000003</v>
      </c>
      <c r="H4894" s="344" t="s">
        <v>1858</v>
      </c>
    </row>
    <row r="4895" spans="1:8">
      <c r="A4895" s="1"/>
      <c r="B4895" s="1"/>
      <c r="C4895" s="1"/>
      <c r="D4895" s="1"/>
      <c r="E4895" s="357">
        <v>45595</v>
      </c>
      <c r="F4895" s="344" t="s">
        <v>628</v>
      </c>
      <c r="G4895" s="358">
        <v>44.388100000000001</v>
      </c>
      <c r="H4895" s="344" t="s">
        <v>1858</v>
      </c>
    </row>
    <row r="4896" spans="1:8">
      <c r="A4896" s="1"/>
      <c r="B4896" s="1"/>
      <c r="C4896" s="1"/>
      <c r="D4896" s="1"/>
      <c r="E4896" s="357">
        <v>45595</v>
      </c>
      <c r="F4896" s="344" t="s">
        <v>631</v>
      </c>
      <c r="G4896" s="358">
        <v>34.209499999999998</v>
      </c>
      <c r="H4896" s="344" t="s">
        <v>1858</v>
      </c>
    </row>
    <row r="4897" spans="1:8">
      <c r="A4897" s="1"/>
      <c r="B4897" s="1"/>
      <c r="C4897" s="1"/>
      <c r="D4897" s="1"/>
      <c r="E4897" s="357">
        <v>45596</v>
      </c>
      <c r="F4897" s="344" t="s">
        <v>621</v>
      </c>
      <c r="G4897" s="358">
        <v>39.4</v>
      </c>
      <c r="H4897" s="344" t="s">
        <v>1859</v>
      </c>
    </row>
    <row r="4898" spans="1:8">
      <c r="A4898" s="1"/>
      <c r="B4898" s="1"/>
      <c r="C4898" s="1"/>
      <c r="D4898" s="1"/>
      <c r="E4898" s="357">
        <v>45596</v>
      </c>
      <c r="F4898" s="344" t="s">
        <v>625</v>
      </c>
      <c r="G4898" s="358">
        <v>37.1235</v>
      </c>
      <c r="H4898" s="344" t="s">
        <v>1859</v>
      </c>
    </row>
    <row r="4899" spans="1:8">
      <c r="A4899" s="1"/>
      <c r="B4899" s="1"/>
      <c r="C4899" s="1"/>
      <c r="D4899" s="1"/>
      <c r="E4899" s="357">
        <v>45596</v>
      </c>
      <c r="F4899" s="344" t="s">
        <v>628</v>
      </c>
      <c r="G4899" s="358">
        <v>44.2973</v>
      </c>
      <c r="H4899" s="344" t="s">
        <v>1859</v>
      </c>
    </row>
    <row r="4900" spans="1:8">
      <c r="A4900" s="1"/>
      <c r="B4900" s="1"/>
      <c r="C4900" s="1"/>
      <c r="D4900" s="1"/>
      <c r="E4900" s="357">
        <v>45596</v>
      </c>
      <c r="F4900" s="344" t="s">
        <v>631</v>
      </c>
      <c r="G4900" s="358">
        <v>34.178699999999999</v>
      </c>
      <c r="H4900" s="344" t="s">
        <v>1859</v>
      </c>
    </row>
    <row r="4901" spans="1:8">
      <c r="A4901" s="1"/>
      <c r="B4901" s="1"/>
      <c r="C4901" s="1"/>
      <c r="D4901" s="1"/>
      <c r="E4901" s="357">
        <v>45597</v>
      </c>
      <c r="F4901" s="344" t="s">
        <v>621</v>
      </c>
      <c r="G4901" s="358">
        <v>39.363799999999998</v>
      </c>
      <c r="H4901" s="344" t="s">
        <v>1860</v>
      </c>
    </row>
    <row r="4902" spans="1:8">
      <c r="A4902" s="1"/>
      <c r="B4902" s="1"/>
      <c r="C4902" s="1"/>
      <c r="D4902" s="1"/>
      <c r="E4902" s="357">
        <v>45597</v>
      </c>
      <c r="F4902" s="344" t="s">
        <v>625</v>
      </c>
      <c r="G4902" s="358">
        <v>37.184800000000003</v>
      </c>
      <c r="H4902" s="344" t="s">
        <v>1860</v>
      </c>
    </row>
    <row r="4903" spans="1:8">
      <c r="A4903" s="1"/>
      <c r="B4903" s="1"/>
      <c r="C4903" s="1"/>
      <c r="D4903" s="1"/>
      <c r="E4903" s="357">
        <v>45597</v>
      </c>
      <c r="F4903" s="344" t="s">
        <v>628</v>
      </c>
      <c r="G4903" s="358">
        <v>44.097799999999999</v>
      </c>
      <c r="H4903" s="344" t="s">
        <v>1860</v>
      </c>
    </row>
    <row r="4904" spans="1:8">
      <c r="A4904" s="1"/>
      <c r="B4904" s="1"/>
      <c r="C4904" s="1"/>
      <c r="D4904" s="1"/>
      <c r="E4904" s="357">
        <v>45597</v>
      </c>
      <c r="F4904" s="344" t="s">
        <v>631</v>
      </c>
      <c r="G4904" s="358">
        <v>34.223599999999998</v>
      </c>
      <c r="H4904" s="344" t="s">
        <v>1860</v>
      </c>
    </row>
    <row r="4905" spans="1:8">
      <c r="A4905" s="1"/>
      <c r="B4905" s="1"/>
      <c r="C4905" s="1"/>
      <c r="D4905" s="1"/>
      <c r="E4905" s="357">
        <v>45600</v>
      </c>
      <c r="F4905" s="344" t="s">
        <v>621</v>
      </c>
      <c r="G4905" s="358">
        <v>39.570500000000003</v>
      </c>
      <c r="H4905" s="344" t="s">
        <v>1861</v>
      </c>
    </row>
    <row r="4906" spans="1:8">
      <c r="A4906" s="1"/>
      <c r="B4906" s="1"/>
      <c r="C4906" s="1"/>
      <c r="D4906" s="1"/>
      <c r="E4906" s="357">
        <v>45600</v>
      </c>
      <c r="F4906" s="344" t="s">
        <v>625</v>
      </c>
      <c r="G4906" s="358">
        <v>37.352800000000002</v>
      </c>
      <c r="H4906" s="344" t="s">
        <v>1861</v>
      </c>
    </row>
    <row r="4907" spans="1:8">
      <c r="A4907" s="1"/>
      <c r="B4907" s="1"/>
      <c r="C4907" s="1"/>
      <c r="D4907" s="1"/>
      <c r="E4907" s="357">
        <v>45600</v>
      </c>
      <c r="F4907" s="344" t="s">
        <v>628</v>
      </c>
      <c r="G4907" s="358">
        <v>44.386499999999998</v>
      </c>
      <c r="H4907" s="344" t="s">
        <v>1861</v>
      </c>
    </row>
    <row r="4908" spans="1:8">
      <c r="A4908" s="1"/>
      <c r="B4908" s="1"/>
      <c r="C4908" s="1"/>
      <c r="D4908" s="1"/>
      <c r="E4908" s="357">
        <v>45600</v>
      </c>
      <c r="F4908" s="344" t="s">
        <v>631</v>
      </c>
      <c r="G4908" s="358">
        <v>34.275700000000001</v>
      </c>
      <c r="H4908" s="344" t="s">
        <v>1861</v>
      </c>
    </row>
    <row r="4909" spans="1:8">
      <c r="A4909" s="1"/>
      <c r="B4909" s="1"/>
      <c r="C4909" s="1"/>
      <c r="D4909" s="1"/>
      <c r="E4909" s="357">
        <v>45601</v>
      </c>
      <c r="F4909" s="344" t="s">
        <v>621</v>
      </c>
      <c r="G4909" s="358">
        <v>39.645099999999999</v>
      </c>
      <c r="H4909" s="344" t="s">
        <v>1862</v>
      </c>
    </row>
    <row r="4910" spans="1:8">
      <c r="A4910" s="1"/>
      <c r="B4910" s="1"/>
      <c r="C4910" s="1"/>
      <c r="D4910" s="1"/>
      <c r="E4910" s="357">
        <v>45601</v>
      </c>
      <c r="F4910" s="344" t="s">
        <v>625</v>
      </c>
      <c r="G4910" s="358">
        <v>37.336300000000001</v>
      </c>
      <c r="H4910" s="344" t="s">
        <v>1862</v>
      </c>
    </row>
    <row r="4911" spans="1:8">
      <c r="A4911" s="1"/>
      <c r="B4911" s="1"/>
      <c r="C4911" s="1"/>
      <c r="D4911" s="1"/>
      <c r="E4911" s="357">
        <v>45601</v>
      </c>
      <c r="F4911" s="344" t="s">
        <v>628</v>
      </c>
      <c r="G4911" s="358">
        <v>44.422899999999998</v>
      </c>
      <c r="H4911" s="344" t="s">
        <v>1862</v>
      </c>
    </row>
    <row r="4912" spans="1:8">
      <c r="A4912" s="1"/>
      <c r="B4912" s="1"/>
      <c r="C4912" s="1"/>
      <c r="D4912" s="1"/>
      <c r="E4912" s="357">
        <v>45601</v>
      </c>
      <c r="F4912" s="344" t="s">
        <v>631</v>
      </c>
      <c r="G4912" s="358">
        <v>34.281999999999996</v>
      </c>
      <c r="H4912" s="344" t="s">
        <v>1862</v>
      </c>
    </row>
    <row r="4913" spans="1:8">
      <c r="A4913" s="1"/>
      <c r="B4913" s="1"/>
      <c r="C4913" s="1"/>
      <c r="D4913" s="1"/>
      <c r="E4913" s="357">
        <v>45602</v>
      </c>
      <c r="F4913" s="344" t="s">
        <v>621</v>
      </c>
      <c r="G4913" s="358">
        <v>38.996499999999997</v>
      </c>
      <c r="H4913" s="344" t="s">
        <v>1863</v>
      </c>
    </row>
    <row r="4914" spans="1:8">
      <c r="A4914" s="1"/>
      <c r="B4914" s="1"/>
      <c r="C4914" s="1"/>
      <c r="D4914" s="1"/>
      <c r="E4914" s="357">
        <v>45602</v>
      </c>
      <c r="F4914" s="344" t="s">
        <v>625</v>
      </c>
      <c r="G4914" s="358">
        <v>36.715400000000002</v>
      </c>
      <c r="H4914" s="344" t="s">
        <v>1863</v>
      </c>
    </row>
    <row r="4915" spans="1:8">
      <c r="A4915" s="1"/>
      <c r="B4915" s="1"/>
      <c r="C4915" s="1"/>
      <c r="D4915" s="1"/>
      <c r="E4915" s="357">
        <v>45602</v>
      </c>
      <c r="F4915" s="344" t="s">
        <v>628</v>
      </c>
      <c r="G4915" s="358">
        <v>43.964100000000002</v>
      </c>
      <c r="H4915" s="344" t="s">
        <v>1863</v>
      </c>
    </row>
    <row r="4916" spans="1:8">
      <c r="A4916" s="1"/>
      <c r="B4916" s="1"/>
      <c r="C4916" s="1"/>
      <c r="D4916" s="1"/>
      <c r="E4916" s="357">
        <v>45602</v>
      </c>
      <c r="F4916" s="344" t="s">
        <v>631</v>
      </c>
      <c r="G4916" s="358">
        <v>34.184100000000001</v>
      </c>
      <c r="H4916" s="344" t="s">
        <v>1863</v>
      </c>
    </row>
    <row r="4917" spans="1:8">
      <c r="A4917" s="1"/>
      <c r="B4917" s="1"/>
      <c r="C4917" s="1"/>
      <c r="D4917" s="1"/>
      <c r="E4917" s="357">
        <v>45603</v>
      </c>
      <c r="F4917" s="344" t="s">
        <v>621</v>
      </c>
      <c r="G4917" s="358">
        <v>38.925800000000002</v>
      </c>
      <c r="H4917" s="344" t="s">
        <v>1864</v>
      </c>
    </row>
    <row r="4918" spans="1:8">
      <c r="A4918" s="1"/>
      <c r="B4918" s="1"/>
      <c r="C4918" s="1"/>
      <c r="D4918" s="1"/>
      <c r="E4918" s="357">
        <v>45603</v>
      </c>
      <c r="F4918" s="344" t="s">
        <v>625</v>
      </c>
      <c r="G4918" s="358">
        <v>36.757599999999996</v>
      </c>
      <c r="H4918" s="344" t="s">
        <v>1864</v>
      </c>
    </row>
    <row r="4919" spans="1:8">
      <c r="A4919" s="1"/>
      <c r="B4919" s="1"/>
      <c r="C4919" s="1"/>
      <c r="D4919" s="1"/>
      <c r="E4919" s="357">
        <v>45603</v>
      </c>
      <c r="F4919" s="344" t="s">
        <v>628</v>
      </c>
      <c r="G4919" s="358">
        <v>44.074199999999998</v>
      </c>
      <c r="H4919" s="344" t="s">
        <v>1864</v>
      </c>
    </row>
    <row r="4920" spans="1:8">
      <c r="A4920" s="1"/>
      <c r="B4920" s="1"/>
      <c r="C4920" s="1"/>
      <c r="D4920" s="1"/>
      <c r="E4920" s="357">
        <v>45603</v>
      </c>
      <c r="F4920" s="344" t="s">
        <v>631</v>
      </c>
      <c r="G4920" s="358">
        <v>34.176400000000001</v>
      </c>
      <c r="H4920" s="344" t="s">
        <v>1864</v>
      </c>
    </row>
    <row r="4921" spans="1:8">
      <c r="A4921" s="1"/>
      <c r="B4921" s="1"/>
      <c r="C4921" s="1"/>
      <c r="D4921" s="1"/>
      <c r="E4921" s="357">
        <v>45604</v>
      </c>
      <c r="F4921" s="344" t="s">
        <v>621</v>
      </c>
      <c r="G4921" s="358">
        <v>39.208399999999997</v>
      </c>
      <c r="H4921" s="344" t="s">
        <v>1865</v>
      </c>
    </row>
    <row r="4922" spans="1:8">
      <c r="A4922" s="1"/>
      <c r="B4922" s="1"/>
      <c r="C4922" s="1"/>
      <c r="D4922" s="1"/>
      <c r="E4922" s="357">
        <v>45604</v>
      </c>
      <c r="F4922" s="344" t="s">
        <v>625</v>
      </c>
      <c r="G4922" s="358">
        <v>36.932099999999998</v>
      </c>
      <c r="H4922" s="344" t="s">
        <v>1865</v>
      </c>
    </row>
    <row r="4923" spans="1:8">
      <c r="A4923" s="1"/>
      <c r="B4923" s="1"/>
      <c r="C4923" s="1"/>
      <c r="D4923" s="1"/>
      <c r="E4923" s="357">
        <v>45604</v>
      </c>
      <c r="F4923" s="344" t="s">
        <v>628</v>
      </c>
      <c r="G4923" s="358">
        <v>44.338700000000003</v>
      </c>
      <c r="H4923" s="344" t="s">
        <v>1865</v>
      </c>
    </row>
    <row r="4924" spans="1:8">
      <c r="A4924" s="1"/>
      <c r="B4924" s="1"/>
      <c r="C4924" s="1"/>
      <c r="D4924" s="1"/>
      <c r="E4924" s="357">
        <v>45604</v>
      </c>
      <c r="F4924" s="344" t="s">
        <v>631</v>
      </c>
      <c r="G4924" s="358">
        <v>34.261400000000002</v>
      </c>
      <c r="H4924" s="344" t="s">
        <v>1865</v>
      </c>
    </row>
    <row r="4925" spans="1:8">
      <c r="A4925" s="1"/>
      <c r="B4925" s="1"/>
      <c r="C4925" s="1"/>
      <c r="D4925" s="1"/>
      <c r="E4925" s="357">
        <v>45607</v>
      </c>
      <c r="F4925" s="344" t="s">
        <v>621</v>
      </c>
      <c r="G4925" s="358">
        <v>38.938299999999998</v>
      </c>
      <c r="H4925" s="344" t="s">
        <v>1866</v>
      </c>
    </row>
    <row r="4926" spans="1:8">
      <c r="A4926" s="1"/>
      <c r="B4926" s="1"/>
      <c r="C4926" s="1"/>
      <c r="D4926" s="1"/>
      <c r="E4926" s="357">
        <v>45607</v>
      </c>
      <c r="F4926" s="344" t="s">
        <v>625</v>
      </c>
      <c r="G4926" s="358">
        <v>36.638399999999997</v>
      </c>
      <c r="H4926" s="344" t="s">
        <v>1866</v>
      </c>
    </row>
    <row r="4927" spans="1:8">
      <c r="A4927" s="1"/>
      <c r="B4927" s="1"/>
      <c r="C4927" s="1"/>
      <c r="D4927" s="1"/>
      <c r="E4927" s="357">
        <v>45607</v>
      </c>
      <c r="F4927" s="344" t="s">
        <v>628</v>
      </c>
      <c r="G4927" s="358">
        <v>44.144599999999997</v>
      </c>
      <c r="H4927" s="344" t="s">
        <v>1866</v>
      </c>
    </row>
    <row r="4928" spans="1:8">
      <c r="A4928" s="1"/>
      <c r="B4928" s="1"/>
      <c r="C4928" s="1"/>
      <c r="D4928" s="1"/>
      <c r="E4928" s="357">
        <v>45607</v>
      </c>
      <c r="F4928" s="344" t="s">
        <v>631</v>
      </c>
      <c r="G4928" s="358">
        <v>34.286900000000003</v>
      </c>
      <c r="H4928" s="344" t="s">
        <v>1866</v>
      </c>
    </row>
    <row r="4929" spans="1:8">
      <c r="A4929" s="1"/>
      <c r="B4929" s="1"/>
      <c r="C4929" s="1"/>
      <c r="D4929" s="1"/>
      <c r="E4929" s="357">
        <v>45608</v>
      </c>
      <c r="F4929" s="344" t="s">
        <v>621</v>
      </c>
      <c r="G4929" s="358">
        <v>38.823700000000002</v>
      </c>
      <c r="H4929" s="344" t="s">
        <v>1867</v>
      </c>
    </row>
    <row r="4930" spans="1:8">
      <c r="A4930" s="1"/>
      <c r="B4930" s="1"/>
      <c r="C4930" s="1"/>
      <c r="D4930" s="1"/>
      <c r="E4930" s="357">
        <v>45608</v>
      </c>
      <c r="F4930" s="344" t="s">
        <v>625</v>
      </c>
      <c r="G4930" s="358">
        <v>36.464199999999998</v>
      </c>
      <c r="H4930" s="344" t="s">
        <v>1867</v>
      </c>
    </row>
    <row r="4931" spans="1:8">
      <c r="A4931" s="1"/>
      <c r="B4931" s="1"/>
      <c r="C4931" s="1"/>
      <c r="D4931" s="1"/>
      <c r="E4931" s="357">
        <v>45608</v>
      </c>
      <c r="F4931" s="344" t="s">
        <v>628</v>
      </c>
      <c r="G4931" s="358">
        <v>43.9178</v>
      </c>
      <c r="H4931" s="344" t="s">
        <v>1867</v>
      </c>
    </row>
    <row r="4932" spans="1:8">
      <c r="A4932" s="1"/>
      <c r="B4932" s="1"/>
      <c r="C4932" s="1"/>
      <c r="D4932" s="1"/>
      <c r="E4932" s="357">
        <v>45608</v>
      </c>
      <c r="F4932" s="344" t="s">
        <v>631</v>
      </c>
      <c r="G4932" s="358">
        <v>34.312800000000003</v>
      </c>
      <c r="H4932" s="344" t="s">
        <v>1867</v>
      </c>
    </row>
    <row r="4933" spans="1:8">
      <c r="A4933" s="1"/>
      <c r="B4933" s="1"/>
      <c r="C4933" s="1"/>
      <c r="D4933" s="1"/>
      <c r="E4933" s="357">
        <v>45609</v>
      </c>
      <c r="F4933" s="344" t="s">
        <v>621</v>
      </c>
      <c r="G4933" s="358">
        <v>38.7699</v>
      </c>
      <c r="H4933" s="344" t="s">
        <v>1868</v>
      </c>
    </row>
    <row r="4934" spans="1:8">
      <c r="A4934" s="1"/>
      <c r="B4934" s="1"/>
      <c r="C4934" s="1"/>
      <c r="D4934" s="1"/>
      <c r="E4934" s="357">
        <v>45609</v>
      </c>
      <c r="F4934" s="344" t="s">
        <v>625</v>
      </c>
      <c r="G4934" s="358">
        <v>36.432299999999998</v>
      </c>
      <c r="H4934" s="344" t="s">
        <v>1868</v>
      </c>
    </row>
    <row r="4935" spans="1:8">
      <c r="A4935" s="1"/>
      <c r="B4935" s="1"/>
      <c r="C4935" s="1"/>
      <c r="D4935" s="1"/>
      <c r="E4935" s="357">
        <v>45609</v>
      </c>
      <c r="F4935" s="344" t="s">
        <v>628</v>
      </c>
      <c r="G4935" s="358">
        <v>43.657400000000003</v>
      </c>
      <c r="H4935" s="344" t="s">
        <v>1868</v>
      </c>
    </row>
    <row r="4936" spans="1:8">
      <c r="A4936" s="1"/>
      <c r="B4936" s="1"/>
      <c r="C4936" s="1"/>
      <c r="D4936" s="1"/>
      <c r="E4936" s="357">
        <v>45609</v>
      </c>
      <c r="F4936" s="344" t="s">
        <v>631</v>
      </c>
      <c r="G4936" s="358">
        <v>34.311799999999998</v>
      </c>
      <c r="H4936" s="344" t="s">
        <v>1868</v>
      </c>
    </row>
    <row r="4937" spans="1:8">
      <c r="A4937" s="1"/>
      <c r="B4937" s="1"/>
      <c r="C4937" s="1"/>
      <c r="D4937" s="1"/>
      <c r="E4937" s="357">
        <v>45610</v>
      </c>
      <c r="F4937" s="344" t="s">
        <v>621</v>
      </c>
      <c r="G4937" s="358">
        <v>38.515099999999997</v>
      </c>
      <c r="H4937" s="344" t="s">
        <v>1869</v>
      </c>
    </row>
    <row r="4938" spans="1:8">
      <c r="A4938" s="1"/>
      <c r="B4938" s="1"/>
      <c r="C4938" s="1"/>
      <c r="D4938" s="1"/>
      <c r="E4938" s="357">
        <v>45610</v>
      </c>
      <c r="F4938" s="344" t="s">
        <v>625</v>
      </c>
      <c r="G4938" s="358">
        <v>36.125500000000002</v>
      </c>
      <c r="H4938" s="344" t="s">
        <v>1869</v>
      </c>
    </row>
    <row r="4939" spans="1:8">
      <c r="A4939" s="1"/>
      <c r="B4939" s="1"/>
      <c r="C4939" s="1"/>
      <c r="D4939" s="1"/>
      <c r="E4939" s="357">
        <v>45610</v>
      </c>
      <c r="F4939" s="344" t="s">
        <v>628</v>
      </c>
      <c r="G4939" s="358">
        <v>43.373100000000001</v>
      </c>
      <c r="H4939" s="344" t="s">
        <v>1869</v>
      </c>
    </row>
    <row r="4940" spans="1:8">
      <c r="A4940" s="1"/>
      <c r="B4940" s="1"/>
      <c r="C4940" s="1"/>
      <c r="D4940" s="1"/>
      <c r="E4940" s="357">
        <v>45610</v>
      </c>
      <c r="F4940" s="344" t="s">
        <v>631</v>
      </c>
      <c r="G4940" s="358">
        <v>34.299599999999998</v>
      </c>
      <c r="H4940" s="344" t="s">
        <v>1869</v>
      </c>
    </row>
    <row r="4941" spans="1:8">
      <c r="A4941" s="1"/>
      <c r="B4941" s="1"/>
      <c r="C4941" s="1"/>
      <c r="D4941" s="1"/>
      <c r="E4941" s="357">
        <v>45611</v>
      </c>
      <c r="F4941" s="344" t="s">
        <v>621</v>
      </c>
      <c r="G4941" s="358">
        <v>38.584000000000003</v>
      </c>
      <c r="H4941" s="344" t="s">
        <v>1870</v>
      </c>
    </row>
    <row r="4942" spans="1:8">
      <c r="A4942" s="1"/>
      <c r="B4942" s="1"/>
      <c r="C4942" s="1"/>
      <c r="D4942" s="1"/>
      <c r="E4942" s="357">
        <v>45611</v>
      </c>
      <c r="F4942" s="344" t="s">
        <v>625</v>
      </c>
      <c r="G4942" s="358">
        <v>36.276600000000002</v>
      </c>
      <c r="H4942" s="344" t="s">
        <v>1870</v>
      </c>
    </row>
    <row r="4943" spans="1:8">
      <c r="A4943" s="1"/>
      <c r="B4943" s="1"/>
      <c r="C4943" s="1"/>
      <c r="D4943" s="1"/>
      <c r="E4943" s="357">
        <v>45611</v>
      </c>
      <c r="F4943" s="344" t="s">
        <v>628</v>
      </c>
      <c r="G4943" s="358">
        <v>43.432299999999998</v>
      </c>
      <c r="H4943" s="344" t="s">
        <v>1870</v>
      </c>
    </row>
    <row r="4944" spans="1:8">
      <c r="A4944" s="1"/>
      <c r="B4944" s="1"/>
      <c r="C4944" s="1"/>
      <c r="D4944" s="1"/>
      <c r="E4944" s="357">
        <v>45611</v>
      </c>
      <c r="F4944" s="344" t="s">
        <v>631</v>
      </c>
      <c r="G4944" s="358">
        <v>34.333300000000001</v>
      </c>
      <c r="H4944" s="344" t="s">
        <v>1870</v>
      </c>
    </row>
    <row r="4945" spans="1:8">
      <c r="A4945" s="1"/>
      <c r="B4945" s="1"/>
      <c r="C4945" s="1"/>
      <c r="D4945" s="1"/>
      <c r="E4945" s="357">
        <v>45614</v>
      </c>
      <c r="F4945" s="344" t="s">
        <v>621</v>
      </c>
      <c r="G4945" s="358">
        <v>38.724800000000002</v>
      </c>
      <c r="H4945" s="344" t="s">
        <v>1871</v>
      </c>
    </row>
    <row r="4946" spans="1:8">
      <c r="A4946" s="1"/>
      <c r="B4946" s="1"/>
      <c r="C4946" s="1"/>
      <c r="D4946" s="1"/>
      <c r="E4946" s="357">
        <v>45614</v>
      </c>
      <c r="F4946" s="344" t="s">
        <v>625</v>
      </c>
      <c r="G4946" s="358">
        <v>36.322699999999998</v>
      </c>
      <c r="H4946" s="344" t="s">
        <v>1871</v>
      </c>
    </row>
    <row r="4947" spans="1:8">
      <c r="A4947" s="1"/>
      <c r="B4947" s="1"/>
      <c r="C4947" s="1"/>
      <c r="D4947" s="1"/>
      <c r="E4947" s="357">
        <v>45614</v>
      </c>
      <c r="F4947" s="344" t="s">
        <v>628</v>
      </c>
      <c r="G4947" s="358">
        <v>43.404499999999999</v>
      </c>
      <c r="H4947" s="344" t="s">
        <v>1871</v>
      </c>
    </row>
    <row r="4948" spans="1:8">
      <c r="A4948" s="1"/>
      <c r="B4948" s="1"/>
      <c r="C4948" s="1"/>
      <c r="D4948" s="1"/>
      <c r="E4948" s="357">
        <v>45614</v>
      </c>
      <c r="F4948" s="344" t="s">
        <v>631</v>
      </c>
      <c r="G4948" s="358">
        <v>34.432099999999998</v>
      </c>
      <c r="H4948" s="344" t="s">
        <v>1871</v>
      </c>
    </row>
    <row r="4949" spans="1:8">
      <c r="A4949" s="1"/>
      <c r="B4949" s="1"/>
      <c r="C4949" s="1"/>
      <c r="D4949" s="1"/>
      <c r="E4949" s="357">
        <v>45615</v>
      </c>
      <c r="F4949" s="344" t="s">
        <v>621</v>
      </c>
      <c r="G4949" s="358">
        <v>38.980600000000003</v>
      </c>
      <c r="H4949" s="344" t="s">
        <v>1872</v>
      </c>
    </row>
    <row r="4950" spans="1:8">
      <c r="A4950" s="1"/>
      <c r="B4950" s="1"/>
      <c r="C4950" s="1"/>
      <c r="D4950" s="1"/>
      <c r="E4950" s="357">
        <v>45615</v>
      </c>
      <c r="F4950" s="344" t="s">
        <v>625</v>
      </c>
      <c r="G4950" s="358">
        <v>36.481299999999997</v>
      </c>
      <c r="H4950" s="344" t="s">
        <v>1872</v>
      </c>
    </row>
    <row r="4951" spans="1:8">
      <c r="A4951" s="1"/>
      <c r="B4951" s="1"/>
      <c r="C4951" s="1"/>
      <c r="D4951" s="1"/>
      <c r="E4951" s="357">
        <v>45615</v>
      </c>
      <c r="F4951" s="344" t="s">
        <v>628</v>
      </c>
      <c r="G4951" s="358">
        <v>43.592199999999998</v>
      </c>
      <c r="H4951" s="344" t="s">
        <v>1872</v>
      </c>
    </row>
    <row r="4952" spans="1:8">
      <c r="A4952" s="1"/>
      <c r="B4952" s="1"/>
      <c r="C4952" s="1"/>
      <c r="D4952" s="1"/>
      <c r="E4952" s="357">
        <v>45615</v>
      </c>
      <c r="F4952" s="344" t="s">
        <v>631</v>
      </c>
      <c r="G4952" s="358">
        <v>34.516199999999998</v>
      </c>
      <c r="H4952" s="344" t="s">
        <v>1872</v>
      </c>
    </row>
    <row r="4953" spans="1:8">
      <c r="A4953" s="1"/>
      <c r="B4953" s="1"/>
      <c r="C4953" s="1"/>
      <c r="D4953" s="1"/>
      <c r="E4953" s="357">
        <v>45616</v>
      </c>
      <c r="F4953" s="344" t="s">
        <v>621</v>
      </c>
      <c r="G4953" s="358">
        <v>38.820700000000002</v>
      </c>
      <c r="H4953" s="344" t="s">
        <v>1873</v>
      </c>
    </row>
    <row r="4954" spans="1:8">
      <c r="A4954" s="1"/>
      <c r="B4954" s="1"/>
      <c r="C4954" s="1"/>
      <c r="D4954" s="1"/>
      <c r="E4954" s="357">
        <v>45616</v>
      </c>
      <c r="F4954" s="344" t="s">
        <v>625</v>
      </c>
      <c r="G4954" s="358">
        <v>36.382599999999996</v>
      </c>
      <c r="H4954" s="344" t="s">
        <v>1873</v>
      </c>
    </row>
    <row r="4955" spans="1:8">
      <c r="A4955" s="1"/>
      <c r="B4955" s="1"/>
      <c r="C4955" s="1"/>
      <c r="D4955" s="1"/>
      <c r="E4955" s="357">
        <v>45616</v>
      </c>
      <c r="F4955" s="344" t="s">
        <v>628</v>
      </c>
      <c r="G4955" s="358">
        <v>43.5749</v>
      </c>
      <c r="H4955" s="344" t="s">
        <v>1873</v>
      </c>
    </row>
    <row r="4956" spans="1:8">
      <c r="A4956" s="1"/>
      <c r="B4956" s="1"/>
      <c r="C4956" s="1"/>
      <c r="D4956" s="1"/>
      <c r="E4956" s="357">
        <v>45616</v>
      </c>
      <c r="F4956" s="344" t="s">
        <v>631</v>
      </c>
      <c r="G4956" s="358">
        <v>34.437199999999997</v>
      </c>
      <c r="H4956" s="344" t="s">
        <v>1873</v>
      </c>
    </row>
    <row r="4957" spans="1:8">
      <c r="A4957" s="1"/>
      <c r="B4957" s="1"/>
      <c r="C4957" s="1"/>
      <c r="D4957" s="1"/>
      <c r="E4957" s="357">
        <v>45617</v>
      </c>
      <c r="F4957" s="344" t="s">
        <v>621</v>
      </c>
      <c r="G4957" s="358">
        <v>38.897199999999998</v>
      </c>
      <c r="H4957" s="344" t="s">
        <v>1874</v>
      </c>
    </row>
    <row r="4958" spans="1:8">
      <c r="A4958" s="1"/>
      <c r="B4958" s="1"/>
      <c r="C4958" s="1"/>
      <c r="D4958" s="1"/>
      <c r="E4958" s="357">
        <v>45617</v>
      </c>
      <c r="F4958" s="344" t="s">
        <v>625</v>
      </c>
      <c r="G4958" s="358">
        <v>36.2759</v>
      </c>
      <c r="H4958" s="344" t="s">
        <v>1874</v>
      </c>
    </row>
    <row r="4959" spans="1:8">
      <c r="A4959" s="1"/>
      <c r="B4959" s="1"/>
      <c r="C4959" s="1"/>
      <c r="D4959" s="1"/>
      <c r="E4959" s="357">
        <v>45617</v>
      </c>
      <c r="F4959" s="344" t="s">
        <v>628</v>
      </c>
      <c r="G4959" s="358">
        <v>43.4726</v>
      </c>
      <c r="H4959" s="344" t="s">
        <v>1874</v>
      </c>
    </row>
    <row r="4960" spans="1:8">
      <c r="A4960" s="1"/>
      <c r="B4960" s="1"/>
      <c r="C4960" s="1"/>
      <c r="D4960" s="1"/>
      <c r="E4960" s="357">
        <v>45617</v>
      </c>
      <c r="F4960" s="344" t="s">
        <v>631</v>
      </c>
      <c r="G4960" s="358">
        <v>34.4495</v>
      </c>
      <c r="H4960" s="344" t="s">
        <v>1874</v>
      </c>
    </row>
    <row r="4961" spans="1:8">
      <c r="A4961" s="1"/>
      <c r="B4961" s="1"/>
      <c r="C4961" s="1"/>
      <c r="D4961" s="1"/>
      <c r="E4961" s="357">
        <v>45618</v>
      </c>
      <c r="F4961" s="344" t="s">
        <v>621</v>
      </c>
      <c r="G4961" s="358">
        <v>38.739100000000001</v>
      </c>
      <c r="H4961" s="344" t="s">
        <v>1875</v>
      </c>
    </row>
    <row r="4962" spans="1:8">
      <c r="A4962" s="1"/>
      <c r="B4962" s="1"/>
      <c r="C4962" s="1"/>
      <c r="D4962" s="1"/>
      <c r="E4962" s="357">
        <v>45618</v>
      </c>
      <c r="F4962" s="344" t="s">
        <v>625</v>
      </c>
      <c r="G4962" s="358">
        <v>35.984900000000003</v>
      </c>
      <c r="H4962" s="344" t="s">
        <v>1875</v>
      </c>
    </row>
    <row r="4963" spans="1:8">
      <c r="A4963" s="1"/>
      <c r="B4963" s="1"/>
      <c r="C4963" s="1"/>
      <c r="D4963" s="1"/>
      <c r="E4963" s="357">
        <v>45618</v>
      </c>
      <c r="F4963" s="344" t="s">
        <v>628</v>
      </c>
      <c r="G4963" s="358">
        <v>43.1554</v>
      </c>
      <c r="H4963" s="344" t="s">
        <v>1875</v>
      </c>
    </row>
    <row r="4964" spans="1:8">
      <c r="A4964" s="1"/>
      <c r="B4964" s="1"/>
      <c r="C4964" s="1"/>
      <c r="D4964" s="1"/>
      <c r="E4964" s="357">
        <v>45618</v>
      </c>
      <c r="F4964" s="344" t="s">
        <v>631</v>
      </c>
      <c r="G4964" s="358">
        <v>34.464199999999998</v>
      </c>
      <c r="H4964" s="344" t="s">
        <v>1875</v>
      </c>
    </row>
    <row r="4965" spans="1:8">
      <c r="A4965" s="1"/>
      <c r="B4965" s="1"/>
      <c r="C4965" s="1"/>
      <c r="D4965" s="1"/>
      <c r="E4965" s="357">
        <v>45621</v>
      </c>
      <c r="F4965" s="344" t="s">
        <v>621</v>
      </c>
      <c r="G4965" s="358">
        <v>38.684600000000003</v>
      </c>
      <c r="H4965" s="344" t="s">
        <v>1876</v>
      </c>
    </row>
    <row r="4966" spans="1:8">
      <c r="A4966" s="1"/>
      <c r="B4966" s="1"/>
      <c r="C4966" s="1"/>
      <c r="D4966" s="1"/>
      <c r="E4966" s="357">
        <v>45621</v>
      </c>
      <c r="F4966" s="344" t="s">
        <v>625</v>
      </c>
      <c r="G4966" s="358">
        <v>36.161200000000001</v>
      </c>
      <c r="H4966" s="344" t="s">
        <v>1876</v>
      </c>
    </row>
    <row r="4967" spans="1:8">
      <c r="A4967" s="1"/>
      <c r="B4967" s="1"/>
      <c r="C4967" s="1"/>
      <c r="D4967" s="1"/>
      <c r="E4967" s="357">
        <v>45621</v>
      </c>
      <c r="F4967" s="344" t="s">
        <v>628</v>
      </c>
      <c r="G4967" s="358">
        <v>43.334200000000003</v>
      </c>
      <c r="H4967" s="344" t="s">
        <v>1876</v>
      </c>
    </row>
    <row r="4968" spans="1:8">
      <c r="A4968" s="1"/>
      <c r="B4968" s="1"/>
      <c r="C4968" s="1"/>
      <c r="D4968" s="1"/>
      <c r="E4968" s="357">
        <v>45621</v>
      </c>
      <c r="F4968" s="344" t="s">
        <v>631</v>
      </c>
      <c r="G4968" s="358">
        <v>34.5184</v>
      </c>
      <c r="H4968" s="344" t="s">
        <v>1876</v>
      </c>
    </row>
    <row r="4969" spans="1:8">
      <c r="A4969" s="1"/>
      <c r="B4969" s="1"/>
      <c r="C4969" s="1"/>
      <c r="D4969" s="1"/>
      <c r="E4969" s="357">
        <v>45622</v>
      </c>
      <c r="F4969" s="344" t="s">
        <v>621</v>
      </c>
      <c r="G4969" s="358">
        <v>38.910299999999999</v>
      </c>
      <c r="H4969" s="344" t="s">
        <v>1877</v>
      </c>
    </row>
    <row r="4970" spans="1:8">
      <c r="A4970" s="1"/>
      <c r="B4970" s="1"/>
      <c r="C4970" s="1"/>
      <c r="D4970" s="1"/>
      <c r="E4970" s="357">
        <v>45622</v>
      </c>
      <c r="F4970" s="344" t="s">
        <v>625</v>
      </c>
      <c r="G4970" s="358">
        <v>36.289099999999998</v>
      </c>
      <c r="H4970" s="344" t="s">
        <v>1877</v>
      </c>
    </row>
    <row r="4971" spans="1:8">
      <c r="A4971" s="1"/>
      <c r="B4971" s="1"/>
      <c r="C4971" s="1"/>
      <c r="D4971" s="1"/>
      <c r="E4971" s="357">
        <v>45622</v>
      </c>
      <c r="F4971" s="344" t="s">
        <v>628</v>
      </c>
      <c r="G4971" s="358">
        <v>43.365699999999997</v>
      </c>
      <c r="H4971" s="344" t="s">
        <v>1877</v>
      </c>
    </row>
    <row r="4972" spans="1:8">
      <c r="A4972" s="1"/>
      <c r="B4972" s="1"/>
      <c r="C4972" s="1"/>
      <c r="D4972" s="1"/>
      <c r="E4972" s="357">
        <v>45622</v>
      </c>
      <c r="F4972" s="344" t="s">
        <v>631</v>
      </c>
      <c r="G4972" s="358">
        <v>34.572600000000001</v>
      </c>
      <c r="H4972" s="344" t="s">
        <v>1877</v>
      </c>
    </row>
    <row r="4973" spans="1:8">
      <c r="A4973" s="1"/>
      <c r="B4973" s="1"/>
      <c r="C4973" s="1"/>
      <c r="D4973" s="1"/>
      <c r="E4973" s="357">
        <v>45623</v>
      </c>
      <c r="F4973" s="344" t="s">
        <v>621</v>
      </c>
      <c r="G4973" s="358">
        <v>39.044800000000002</v>
      </c>
      <c r="H4973" s="344" t="s">
        <v>1878</v>
      </c>
    </row>
    <row r="4974" spans="1:8">
      <c r="A4974" s="1"/>
      <c r="B4974" s="1"/>
      <c r="C4974" s="1"/>
      <c r="D4974" s="1"/>
      <c r="E4974" s="357">
        <v>45623</v>
      </c>
      <c r="F4974" s="344" t="s">
        <v>625</v>
      </c>
      <c r="G4974" s="358">
        <v>36.3371</v>
      </c>
      <c r="H4974" s="344" t="s">
        <v>1878</v>
      </c>
    </row>
    <row r="4975" spans="1:8">
      <c r="A4975" s="1"/>
      <c r="B4975" s="1"/>
      <c r="C4975" s="1"/>
      <c r="D4975" s="1"/>
      <c r="E4975" s="357">
        <v>45623</v>
      </c>
      <c r="F4975" s="344" t="s">
        <v>628</v>
      </c>
      <c r="G4975" s="358">
        <v>43.485599999999998</v>
      </c>
      <c r="H4975" s="344" t="s">
        <v>1878</v>
      </c>
    </row>
    <row r="4976" spans="1:8">
      <c r="A4976" s="1"/>
      <c r="B4976" s="1"/>
      <c r="C4976" s="1"/>
      <c r="D4976" s="1"/>
      <c r="E4976" s="357">
        <v>45623</v>
      </c>
      <c r="F4976" s="344" t="s">
        <v>631</v>
      </c>
      <c r="G4976" s="358">
        <v>34.572800000000001</v>
      </c>
      <c r="H4976" s="344" t="s">
        <v>1878</v>
      </c>
    </row>
    <row r="4977" spans="1:8">
      <c r="A4977" s="1"/>
      <c r="B4977" s="1"/>
      <c r="C4977" s="1"/>
      <c r="D4977" s="1"/>
      <c r="E4977" s="357">
        <v>45624</v>
      </c>
      <c r="F4977" s="344" t="s">
        <v>621</v>
      </c>
      <c r="G4977" s="358">
        <v>39.012700000000002</v>
      </c>
      <c r="H4977" s="344" t="s">
        <v>1879</v>
      </c>
    </row>
    <row r="4978" spans="1:8">
      <c r="A4978" s="1"/>
      <c r="B4978" s="1"/>
      <c r="C4978" s="1"/>
      <c r="D4978" s="1"/>
      <c r="E4978" s="357">
        <v>45624</v>
      </c>
      <c r="F4978" s="344" t="s">
        <v>625</v>
      </c>
      <c r="G4978" s="358">
        <v>36.450899999999997</v>
      </c>
      <c r="H4978" s="344" t="s">
        <v>1879</v>
      </c>
    </row>
    <row r="4979" spans="1:8">
      <c r="A4979" s="1"/>
      <c r="B4979" s="1"/>
      <c r="C4979" s="1"/>
      <c r="D4979" s="1"/>
      <c r="E4979" s="357">
        <v>45624</v>
      </c>
      <c r="F4979" s="344" t="s">
        <v>628</v>
      </c>
      <c r="G4979" s="358">
        <v>43.681899999999999</v>
      </c>
      <c r="H4979" s="344" t="s">
        <v>1879</v>
      </c>
    </row>
    <row r="4980" spans="1:8">
      <c r="A4980" s="1"/>
      <c r="B4980" s="1"/>
      <c r="C4980" s="1"/>
      <c r="D4980" s="1"/>
      <c r="E4980" s="357">
        <v>45624</v>
      </c>
      <c r="F4980" s="344" t="s">
        <v>631</v>
      </c>
      <c r="G4980" s="358">
        <v>34.569699999999997</v>
      </c>
      <c r="H4980" s="344" t="s">
        <v>1879</v>
      </c>
    </row>
    <row r="4981" spans="1:8">
      <c r="A4981" s="1"/>
      <c r="B4981" s="1"/>
      <c r="C4981" s="1"/>
      <c r="D4981" s="1"/>
      <c r="E4981" s="357">
        <v>45625</v>
      </c>
      <c r="F4981" s="344" t="s">
        <v>621</v>
      </c>
      <c r="G4981" s="358">
        <v>39.161000000000001</v>
      </c>
      <c r="H4981" s="344" t="s">
        <v>1880</v>
      </c>
    </row>
    <row r="4982" spans="1:8">
      <c r="A4982" s="1"/>
      <c r="B4982" s="1"/>
      <c r="C4982" s="1"/>
      <c r="D4982" s="1"/>
      <c r="E4982" s="357">
        <v>45625</v>
      </c>
      <c r="F4982" s="344" t="s">
        <v>625</v>
      </c>
      <c r="G4982" s="358">
        <v>36.5473</v>
      </c>
      <c r="H4982" s="344" t="s">
        <v>1880</v>
      </c>
    </row>
    <row r="4983" spans="1:8">
      <c r="A4983" s="1"/>
      <c r="B4983" s="1"/>
      <c r="C4983" s="1"/>
      <c r="D4983" s="1"/>
      <c r="E4983" s="357">
        <v>45625</v>
      </c>
      <c r="F4983" s="344" t="s">
        <v>628</v>
      </c>
      <c r="G4983" s="358">
        <v>43.863</v>
      </c>
      <c r="H4983" s="344" t="s">
        <v>1880</v>
      </c>
    </row>
    <row r="4984" spans="1:8">
      <c r="A4984" s="1"/>
      <c r="B4984" s="1"/>
      <c r="C4984" s="1"/>
      <c r="D4984" s="1"/>
      <c r="E4984" s="357">
        <v>45625</v>
      </c>
      <c r="F4984" s="344" t="s">
        <v>631</v>
      </c>
      <c r="G4984" s="358">
        <v>34.5794</v>
      </c>
      <c r="H4984" s="344" t="s">
        <v>1880</v>
      </c>
    </row>
    <row r="4985" spans="1:8">
      <c r="A4985" s="1"/>
      <c r="B4985" s="1"/>
      <c r="C4985" s="1"/>
      <c r="D4985" s="1"/>
      <c r="E4985" s="357">
        <v>45628</v>
      </c>
      <c r="F4985" s="344" t="s">
        <v>621</v>
      </c>
      <c r="G4985" s="358">
        <v>39.0441</v>
      </c>
      <c r="H4985" s="344" t="s">
        <v>1881</v>
      </c>
    </row>
    <row r="4986" spans="1:8">
      <c r="A4986" s="1"/>
      <c r="B4986" s="1"/>
      <c r="C4986" s="1"/>
      <c r="D4986" s="1"/>
      <c r="E4986" s="357">
        <v>45628</v>
      </c>
      <c r="F4986" s="344" t="s">
        <v>625</v>
      </c>
      <c r="G4986" s="358">
        <v>36.4313</v>
      </c>
      <c r="H4986" s="344" t="s">
        <v>1881</v>
      </c>
    </row>
    <row r="4987" spans="1:8">
      <c r="A4987" s="1"/>
      <c r="B4987" s="1"/>
      <c r="C4987" s="1"/>
      <c r="D4987" s="1"/>
      <c r="E4987" s="357">
        <v>45628</v>
      </c>
      <c r="F4987" s="344" t="s">
        <v>628</v>
      </c>
      <c r="G4987" s="358">
        <v>43.923400000000001</v>
      </c>
      <c r="H4987" s="344" t="s">
        <v>1881</v>
      </c>
    </row>
    <row r="4988" spans="1:8">
      <c r="A4988" s="1"/>
      <c r="B4988" s="1"/>
      <c r="C4988" s="1"/>
      <c r="D4988" s="1"/>
      <c r="E4988" s="357">
        <v>45628</v>
      </c>
      <c r="F4988" s="344" t="s">
        <v>631</v>
      </c>
      <c r="G4988" s="358">
        <v>34.6432</v>
      </c>
      <c r="H4988" s="344" t="s">
        <v>1881</v>
      </c>
    </row>
    <row r="4989" spans="1:8">
      <c r="A4989" s="1"/>
      <c r="B4989" s="1"/>
      <c r="C4989" s="1"/>
      <c r="D4989" s="1"/>
      <c r="E4989" s="357">
        <v>45629</v>
      </c>
      <c r="F4989" s="344" t="s">
        <v>621</v>
      </c>
      <c r="G4989" s="358">
        <v>39.051600000000001</v>
      </c>
      <c r="H4989" s="344" t="s">
        <v>1882</v>
      </c>
    </row>
    <row r="4990" spans="1:8">
      <c r="A4990" s="1"/>
      <c r="B4990" s="1"/>
      <c r="C4990" s="1"/>
      <c r="D4990" s="1"/>
      <c r="E4990" s="357">
        <v>45629</v>
      </c>
      <c r="F4990" s="344" t="s">
        <v>625</v>
      </c>
      <c r="G4990" s="358">
        <v>36.449399999999997</v>
      </c>
      <c r="H4990" s="344" t="s">
        <v>1882</v>
      </c>
    </row>
    <row r="4991" spans="1:8">
      <c r="A4991" s="1"/>
      <c r="B4991" s="1"/>
      <c r="C4991" s="1"/>
      <c r="D4991" s="1"/>
      <c r="E4991" s="357">
        <v>45629</v>
      </c>
      <c r="F4991" s="344" t="s">
        <v>628</v>
      </c>
      <c r="G4991" s="358">
        <v>43.853900000000003</v>
      </c>
      <c r="H4991" s="344" t="s">
        <v>1882</v>
      </c>
    </row>
    <row r="4992" spans="1:8">
      <c r="A4992" s="1"/>
      <c r="B4992" s="1"/>
      <c r="C4992" s="1"/>
      <c r="D4992" s="1"/>
      <c r="E4992" s="357">
        <v>45629</v>
      </c>
      <c r="F4992" s="344" t="s">
        <v>631</v>
      </c>
      <c r="G4992" s="358">
        <v>34.676600000000001</v>
      </c>
      <c r="H4992" s="344" t="s">
        <v>1882</v>
      </c>
    </row>
    <row r="4993" spans="1:8">
      <c r="A4993" s="1"/>
      <c r="B4993" s="1"/>
      <c r="C4993" s="1"/>
      <c r="D4993" s="1"/>
      <c r="E4993" s="357">
        <v>45630</v>
      </c>
      <c r="F4993" s="344" t="s">
        <v>621</v>
      </c>
      <c r="G4993" s="358">
        <v>39.036799999999999</v>
      </c>
      <c r="H4993" s="344" t="s">
        <v>1883</v>
      </c>
    </row>
    <row r="4994" spans="1:8">
      <c r="A4994" s="1"/>
      <c r="B4994" s="1"/>
      <c r="C4994" s="1"/>
      <c r="D4994" s="1"/>
      <c r="E4994" s="357">
        <v>45630</v>
      </c>
      <c r="F4994" s="344" t="s">
        <v>625</v>
      </c>
      <c r="G4994" s="358">
        <v>36.439</v>
      </c>
      <c r="H4994" s="344" t="s">
        <v>1883</v>
      </c>
    </row>
    <row r="4995" spans="1:8">
      <c r="A4995" s="1"/>
      <c r="B4995" s="1"/>
      <c r="C4995" s="1"/>
      <c r="D4995" s="1"/>
      <c r="E4995" s="357">
        <v>45630</v>
      </c>
      <c r="F4995" s="344" t="s">
        <v>628</v>
      </c>
      <c r="G4995" s="358">
        <v>43.905700000000003</v>
      </c>
      <c r="H4995" s="344" t="s">
        <v>1883</v>
      </c>
    </row>
    <row r="4996" spans="1:8">
      <c r="A4996" s="1"/>
      <c r="B4996" s="1"/>
      <c r="C4996" s="1"/>
      <c r="D4996" s="1"/>
      <c r="E4996" s="357">
        <v>45630</v>
      </c>
      <c r="F4996" s="344" t="s">
        <v>631</v>
      </c>
      <c r="G4996" s="358">
        <v>34.6873</v>
      </c>
      <c r="H4996" s="344" t="s">
        <v>1883</v>
      </c>
    </row>
    <row r="4997" spans="1:8">
      <c r="A4997" s="1"/>
      <c r="B4997" s="1"/>
      <c r="C4997" s="1"/>
      <c r="D4997" s="1"/>
      <c r="E4997" s="357">
        <v>45631</v>
      </c>
      <c r="F4997" s="344" t="s">
        <v>621</v>
      </c>
      <c r="G4997" s="358">
        <v>39.134799999999998</v>
      </c>
      <c r="H4997" s="344" t="s">
        <v>1884</v>
      </c>
    </row>
    <row r="4998" spans="1:8">
      <c r="A4998" s="1"/>
      <c r="B4998" s="1"/>
      <c r="C4998" s="1"/>
      <c r="D4998" s="1"/>
      <c r="E4998" s="357">
        <v>45631</v>
      </c>
      <c r="F4998" s="344" t="s">
        <v>625</v>
      </c>
      <c r="G4998" s="358">
        <v>36.513599999999997</v>
      </c>
      <c r="H4998" s="344" t="s">
        <v>1884</v>
      </c>
    </row>
    <row r="4999" spans="1:8">
      <c r="A4999" s="1"/>
      <c r="B4999" s="1"/>
      <c r="C4999" s="1"/>
      <c r="D4999" s="1"/>
      <c r="E4999" s="357">
        <v>45631</v>
      </c>
      <c r="F4999" s="344" t="s">
        <v>628</v>
      </c>
      <c r="G4999" s="358">
        <v>44.047499999999999</v>
      </c>
      <c r="H4999" s="344" t="s">
        <v>1884</v>
      </c>
    </row>
    <row r="5000" spans="1:8">
      <c r="A5000" s="1"/>
      <c r="B5000" s="1"/>
      <c r="C5000" s="1"/>
      <c r="D5000" s="1"/>
      <c r="E5000" s="357">
        <v>45631</v>
      </c>
      <c r="F5000" s="344" t="s">
        <v>631</v>
      </c>
      <c r="G5000" s="358">
        <v>34.6753</v>
      </c>
      <c r="H5000" s="344" t="s">
        <v>1884</v>
      </c>
    </row>
    <row r="5001" spans="1:8">
      <c r="A5001" s="1"/>
      <c r="B5001" s="1"/>
      <c r="C5001" s="1"/>
      <c r="D5001" s="1"/>
      <c r="E5001" s="357">
        <v>45632</v>
      </c>
      <c r="F5001" s="344" t="s">
        <v>621</v>
      </c>
      <c r="G5001" s="358">
        <v>39.413200000000003</v>
      </c>
      <c r="H5001" s="344" t="s">
        <v>1885</v>
      </c>
    </row>
    <row r="5002" spans="1:8">
      <c r="A5002" s="1"/>
      <c r="B5002" s="1"/>
      <c r="C5002" s="1"/>
      <c r="D5002" s="1"/>
      <c r="E5002" s="357">
        <v>45632</v>
      </c>
      <c r="F5002" s="344" t="s">
        <v>625</v>
      </c>
      <c r="G5002" s="358">
        <v>36.717399999999998</v>
      </c>
      <c r="H5002" s="344" t="s">
        <v>1885</v>
      </c>
    </row>
    <row r="5003" spans="1:8">
      <c r="A5003" s="1"/>
      <c r="B5003" s="1"/>
      <c r="C5003" s="1"/>
      <c r="D5003" s="1"/>
      <c r="E5003" s="357">
        <v>45632</v>
      </c>
      <c r="F5003" s="344" t="s">
        <v>628</v>
      </c>
      <c r="G5003" s="358">
        <v>44.204799999999999</v>
      </c>
      <c r="H5003" s="344" t="s">
        <v>1885</v>
      </c>
    </row>
    <row r="5004" spans="1:8">
      <c r="A5004" s="1"/>
      <c r="B5004" s="1"/>
      <c r="C5004" s="1"/>
      <c r="D5004" s="1"/>
      <c r="E5004" s="357">
        <v>45632</v>
      </c>
      <c r="F5004" s="344" t="s">
        <v>631</v>
      </c>
      <c r="G5004" s="358">
        <v>34.700699999999998</v>
      </c>
      <c r="H5004" s="344" t="s">
        <v>1885</v>
      </c>
    </row>
    <row r="5005" spans="1:8">
      <c r="A5005" s="1"/>
      <c r="B5005" s="1"/>
      <c r="C5005" s="1"/>
      <c r="D5005" s="1"/>
      <c r="E5005" s="357">
        <v>45635</v>
      </c>
      <c r="F5005" s="344" t="s">
        <v>621</v>
      </c>
      <c r="G5005" s="358">
        <v>39.424500000000002</v>
      </c>
      <c r="H5005" s="344" t="s">
        <v>1886</v>
      </c>
    </row>
    <row r="5006" spans="1:8">
      <c r="A5006" s="1"/>
      <c r="B5006" s="1"/>
      <c r="C5006" s="1"/>
      <c r="D5006" s="1"/>
      <c r="E5006" s="357">
        <v>45635</v>
      </c>
      <c r="F5006" s="344" t="s">
        <v>625</v>
      </c>
      <c r="G5006" s="358">
        <v>36.715000000000003</v>
      </c>
      <c r="H5006" s="344" t="s">
        <v>1886</v>
      </c>
    </row>
    <row r="5007" spans="1:8">
      <c r="A5007" s="1"/>
      <c r="B5007" s="1"/>
      <c r="C5007" s="1"/>
      <c r="D5007" s="1"/>
      <c r="E5007" s="357">
        <v>45635</v>
      </c>
      <c r="F5007" s="344" t="s">
        <v>628</v>
      </c>
      <c r="G5007" s="358">
        <v>44.2712</v>
      </c>
      <c r="H5007" s="344" t="s">
        <v>1886</v>
      </c>
    </row>
    <row r="5008" spans="1:8">
      <c r="A5008" s="1"/>
      <c r="B5008" s="1"/>
      <c r="C5008" s="1"/>
      <c r="D5008" s="1"/>
      <c r="E5008" s="357">
        <v>45635</v>
      </c>
      <c r="F5008" s="344" t="s">
        <v>631</v>
      </c>
      <c r="G5008" s="358">
        <v>34.749899999999997</v>
      </c>
      <c r="H5008" s="344" t="s">
        <v>1886</v>
      </c>
    </row>
    <row r="5009" spans="1:8">
      <c r="A5009" s="1"/>
      <c r="B5009" s="1"/>
      <c r="C5009" s="1"/>
      <c r="D5009" s="1"/>
      <c r="E5009" s="357">
        <v>45636</v>
      </c>
      <c r="F5009" s="344" t="s">
        <v>621</v>
      </c>
      <c r="G5009" s="358">
        <v>39.455399999999997</v>
      </c>
      <c r="H5009" s="344" t="s">
        <v>1887</v>
      </c>
    </row>
    <row r="5010" spans="1:8">
      <c r="A5010" s="1"/>
      <c r="B5010" s="1"/>
      <c r="C5010" s="1"/>
      <c r="D5010" s="1"/>
      <c r="E5010" s="357">
        <v>45636</v>
      </c>
      <c r="F5010" s="344" t="s">
        <v>625</v>
      </c>
      <c r="G5010" s="358">
        <v>36.660200000000003</v>
      </c>
      <c r="H5010" s="344" t="s">
        <v>1887</v>
      </c>
    </row>
    <row r="5011" spans="1:8">
      <c r="A5011" s="1"/>
      <c r="B5011" s="1"/>
      <c r="C5011" s="1"/>
      <c r="D5011" s="1"/>
      <c r="E5011" s="357">
        <v>45636</v>
      </c>
      <c r="F5011" s="344" t="s">
        <v>628</v>
      </c>
      <c r="G5011" s="358">
        <v>44.276800000000001</v>
      </c>
      <c r="H5011" s="344" t="s">
        <v>1887</v>
      </c>
    </row>
    <row r="5012" spans="1:8">
      <c r="A5012" s="1"/>
      <c r="B5012" s="1"/>
      <c r="C5012" s="1"/>
      <c r="D5012" s="1"/>
      <c r="E5012" s="357">
        <v>45636</v>
      </c>
      <c r="F5012" s="344" t="s">
        <v>631</v>
      </c>
      <c r="G5012" s="358">
        <v>34.779699999999998</v>
      </c>
      <c r="H5012" s="344" t="s">
        <v>1887</v>
      </c>
    </row>
    <row r="5013" spans="1:8">
      <c r="A5013" s="1"/>
      <c r="B5013" s="1"/>
      <c r="C5013" s="1"/>
      <c r="D5013" s="1"/>
      <c r="E5013" s="357">
        <v>45637</v>
      </c>
      <c r="F5013" s="344" t="s">
        <v>621</v>
      </c>
      <c r="G5013" s="358">
        <v>39.273899999999998</v>
      </c>
      <c r="H5013" s="344" t="s">
        <v>1888</v>
      </c>
    </row>
    <row r="5014" spans="1:8">
      <c r="A5014" s="1"/>
      <c r="B5014" s="1"/>
      <c r="C5014" s="1"/>
      <c r="D5014" s="1"/>
      <c r="E5014" s="357">
        <v>45637</v>
      </c>
      <c r="F5014" s="344" t="s">
        <v>625</v>
      </c>
      <c r="G5014" s="358">
        <v>36.5548</v>
      </c>
      <c r="H5014" s="344" t="s">
        <v>1888</v>
      </c>
    </row>
    <row r="5015" spans="1:8">
      <c r="A5015" s="1"/>
      <c r="B5015" s="1"/>
      <c r="C5015" s="1"/>
      <c r="D5015" s="1"/>
      <c r="E5015" s="357">
        <v>45637</v>
      </c>
      <c r="F5015" s="344" t="s">
        <v>628</v>
      </c>
      <c r="G5015" s="358">
        <v>44.262500000000003</v>
      </c>
      <c r="H5015" s="344" t="s">
        <v>1888</v>
      </c>
    </row>
    <row r="5016" spans="1:8">
      <c r="A5016" s="1"/>
      <c r="B5016" s="1"/>
      <c r="C5016" s="1"/>
      <c r="D5016" s="1"/>
      <c r="E5016" s="357">
        <v>45637</v>
      </c>
      <c r="F5016" s="344" t="s">
        <v>631</v>
      </c>
      <c r="G5016" s="358">
        <v>34.802799999999998</v>
      </c>
      <c r="H5016" s="344" t="s">
        <v>1888</v>
      </c>
    </row>
    <row r="5017" spans="1:8">
      <c r="A5017" s="1"/>
      <c r="B5017" s="1"/>
      <c r="C5017" s="1"/>
      <c r="D5017" s="1"/>
      <c r="E5017" s="357">
        <v>45638</v>
      </c>
      <c r="F5017" s="344" t="s">
        <v>621</v>
      </c>
      <c r="G5017" s="358">
        <v>39.226300000000002</v>
      </c>
      <c r="H5017" s="344" t="s">
        <v>1889</v>
      </c>
    </row>
    <row r="5018" spans="1:8">
      <c r="A5018" s="1"/>
      <c r="B5018" s="1"/>
      <c r="C5018" s="1"/>
      <c r="D5018" s="1"/>
      <c r="E5018" s="357">
        <v>45638</v>
      </c>
      <c r="F5018" s="344" t="s">
        <v>625</v>
      </c>
      <c r="G5018" s="358">
        <v>36.587299999999999</v>
      </c>
      <c r="H5018" s="344" t="s">
        <v>1889</v>
      </c>
    </row>
    <row r="5019" spans="1:8">
      <c r="A5019" s="1"/>
      <c r="B5019" s="1"/>
      <c r="C5019" s="1"/>
      <c r="D5019" s="1"/>
      <c r="E5019" s="357">
        <v>45638</v>
      </c>
      <c r="F5019" s="344" t="s">
        <v>628</v>
      </c>
      <c r="G5019" s="358">
        <v>44.338099999999997</v>
      </c>
      <c r="H5019" s="344" t="s">
        <v>1889</v>
      </c>
    </row>
    <row r="5020" spans="1:8">
      <c r="A5020" s="1"/>
      <c r="B5020" s="1"/>
      <c r="C5020" s="1"/>
      <c r="D5020" s="1"/>
      <c r="E5020" s="357">
        <v>45638</v>
      </c>
      <c r="F5020" s="344" t="s">
        <v>631</v>
      </c>
      <c r="G5020" s="358">
        <v>34.817700000000002</v>
      </c>
      <c r="H5020" s="344" t="s">
        <v>1889</v>
      </c>
    </row>
    <row r="5021" spans="1:8">
      <c r="A5021" s="1"/>
      <c r="B5021" s="1"/>
      <c r="C5021" s="1"/>
      <c r="D5021" s="1"/>
      <c r="E5021" s="357">
        <v>45639</v>
      </c>
      <c r="F5021" s="344" t="s">
        <v>621</v>
      </c>
      <c r="G5021" s="358">
        <v>38.918999999999997</v>
      </c>
      <c r="H5021" s="344" t="s">
        <v>1890</v>
      </c>
    </row>
    <row r="5022" spans="1:8">
      <c r="A5022" s="1"/>
      <c r="B5022" s="1"/>
      <c r="C5022" s="1"/>
      <c r="D5022" s="1"/>
      <c r="E5022" s="357">
        <v>45639</v>
      </c>
      <c r="F5022" s="344" t="s">
        <v>625</v>
      </c>
      <c r="G5022" s="358">
        <v>36.521599999999999</v>
      </c>
      <c r="H5022" s="344" t="s">
        <v>1890</v>
      </c>
    </row>
    <row r="5023" spans="1:8">
      <c r="A5023" s="1"/>
      <c r="B5023" s="1"/>
      <c r="C5023" s="1"/>
      <c r="D5023" s="1"/>
      <c r="E5023" s="357">
        <v>45639</v>
      </c>
      <c r="F5023" s="344" t="s">
        <v>628</v>
      </c>
      <c r="G5023" s="358">
        <v>43.996000000000002</v>
      </c>
      <c r="H5023" s="344" t="s">
        <v>1890</v>
      </c>
    </row>
    <row r="5024" spans="1:8">
      <c r="A5024" s="1"/>
      <c r="B5024" s="1"/>
      <c r="C5024" s="1"/>
      <c r="D5024" s="1"/>
      <c r="E5024" s="357">
        <v>45639</v>
      </c>
      <c r="F5024" s="344" t="s">
        <v>631</v>
      </c>
      <c r="G5024" s="358">
        <v>34.862099999999998</v>
      </c>
      <c r="H5024" s="344" t="s">
        <v>1890</v>
      </c>
    </row>
    <row r="5025" spans="1:8">
      <c r="A5025" s="1"/>
      <c r="B5025" s="1"/>
      <c r="C5025" s="1"/>
      <c r="D5025" s="1"/>
      <c r="E5025" s="357">
        <v>45642</v>
      </c>
      <c r="F5025" s="344" t="s">
        <v>621</v>
      </c>
      <c r="G5025" s="358">
        <v>39.0535</v>
      </c>
      <c r="H5025" s="344" t="s">
        <v>1891</v>
      </c>
    </row>
    <row r="5026" spans="1:8">
      <c r="A5026" s="1"/>
      <c r="B5026" s="1"/>
      <c r="C5026" s="1"/>
      <c r="D5026" s="1"/>
      <c r="E5026" s="357">
        <v>45642</v>
      </c>
      <c r="F5026" s="344" t="s">
        <v>625</v>
      </c>
      <c r="G5026" s="358">
        <v>36.649799999999999</v>
      </c>
      <c r="H5026" s="344" t="s">
        <v>1891</v>
      </c>
    </row>
    <row r="5027" spans="1:8">
      <c r="A5027" s="1"/>
      <c r="B5027" s="1"/>
      <c r="C5027" s="1"/>
      <c r="D5027" s="1"/>
      <c r="E5027" s="357">
        <v>45642</v>
      </c>
      <c r="F5027" s="344" t="s">
        <v>628</v>
      </c>
      <c r="G5027" s="358">
        <v>44.0456</v>
      </c>
      <c r="H5027" s="344" t="s">
        <v>1891</v>
      </c>
    </row>
    <row r="5028" spans="1:8">
      <c r="A5028" s="1"/>
      <c r="B5028" s="1"/>
      <c r="C5028" s="1"/>
      <c r="D5028" s="1"/>
      <c r="E5028" s="357">
        <v>45642</v>
      </c>
      <c r="F5028" s="344" t="s">
        <v>631</v>
      </c>
      <c r="G5028" s="358">
        <v>34.898499999999999</v>
      </c>
      <c r="H5028" s="344" t="s">
        <v>1891</v>
      </c>
    </row>
    <row r="5029" spans="1:8">
      <c r="A5029" s="1"/>
      <c r="B5029" s="1"/>
      <c r="C5029" s="1"/>
      <c r="D5029" s="1"/>
      <c r="E5029" s="357">
        <v>45643</v>
      </c>
      <c r="F5029" s="344" t="s">
        <v>621</v>
      </c>
      <c r="G5029" s="358">
        <v>38.861800000000002</v>
      </c>
      <c r="H5029" s="344" t="s">
        <v>1892</v>
      </c>
    </row>
    <row r="5030" spans="1:8">
      <c r="A5030" s="1"/>
      <c r="B5030" s="1"/>
      <c r="C5030" s="1"/>
      <c r="D5030" s="1"/>
      <c r="E5030" s="357">
        <v>45643</v>
      </c>
      <c r="F5030" s="344" t="s">
        <v>625</v>
      </c>
      <c r="G5030" s="358">
        <v>36.642400000000002</v>
      </c>
      <c r="H5030" s="344" t="s">
        <v>1892</v>
      </c>
    </row>
    <row r="5031" spans="1:8">
      <c r="A5031" s="1"/>
      <c r="B5031" s="1"/>
      <c r="C5031" s="1"/>
      <c r="D5031" s="1"/>
      <c r="E5031" s="357">
        <v>45643</v>
      </c>
      <c r="F5031" s="344" t="s">
        <v>628</v>
      </c>
      <c r="G5031" s="358">
        <v>44.2423</v>
      </c>
      <c r="H5031" s="344" t="s">
        <v>1892</v>
      </c>
    </row>
    <row r="5032" spans="1:8">
      <c r="A5032" s="1"/>
      <c r="B5032" s="1"/>
      <c r="C5032" s="1"/>
      <c r="D5032" s="1"/>
      <c r="E5032" s="357">
        <v>45643</v>
      </c>
      <c r="F5032" s="344" t="s">
        <v>631</v>
      </c>
      <c r="G5032" s="358">
        <v>34.921900000000001</v>
      </c>
      <c r="H5032" s="344" t="s">
        <v>1892</v>
      </c>
    </row>
    <row r="5033" spans="1:8">
      <c r="A5033" s="1"/>
      <c r="B5033" s="1"/>
      <c r="C5033" s="1"/>
      <c r="D5033" s="1"/>
      <c r="E5033" s="357">
        <v>45644</v>
      </c>
      <c r="F5033" s="344" t="s">
        <v>621</v>
      </c>
      <c r="G5033" s="358">
        <v>39.0334</v>
      </c>
      <c r="H5033" s="344" t="s">
        <v>1893</v>
      </c>
    </row>
    <row r="5034" spans="1:8">
      <c r="A5034" s="1"/>
      <c r="B5034" s="1"/>
      <c r="C5034" s="1"/>
      <c r="D5034" s="1"/>
      <c r="E5034" s="357">
        <v>45644</v>
      </c>
      <c r="F5034" s="344" t="s">
        <v>625</v>
      </c>
      <c r="G5034" s="358">
        <v>36.695900000000002</v>
      </c>
      <c r="H5034" s="344" t="s">
        <v>1893</v>
      </c>
    </row>
    <row r="5035" spans="1:8">
      <c r="A5035" s="1"/>
      <c r="B5035" s="1"/>
      <c r="C5035" s="1"/>
      <c r="D5035" s="1"/>
      <c r="E5035" s="357">
        <v>45644</v>
      </c>
      <c r="F5035" s="344" t="s">
        <v>628</v>
      </c>
      <c r="G5035" s="358">
        <v>44.318800000000003</v>
      </c>
      <c r="H5035" s="344" t="s">
        <v>1893</v>
      </c>
    </row>
    <row r="5036" spans="1:8">
      <c r="A5036" s="1"/>
      <c r="B5036" s="1"/>
      <c r="C5036" s="1"/>
      <c r="D5036" s="1"/>
      <c r="E5036" s="357">
        <v>45644</v>
      </c>
      <c r="F5036" s="344" t="s">
        <v>631</v>
      </c>
      <c r="G5036" s="358">
        <v>34.9529</v>
      </c>
      <c r="H5036" s="344" t="s">
        <v>1893</v>
      </c>
    </row>
    <row r="5037" spans="1:8">
      <c r="A5037" s="1"/>
      <c r="B5037" s="1"/>
      <c r="C5037" s="1"/>
      <c r="D5037" s="1"/>
      <c r="E5037" s="357">
        <v>45645</v>
      </c>
      <c r="F5037" s="344" t="s">
        <v>621</v>
      </c>
      <c r="G5037" s="358">
        <v>38.923900000000003</v>
      </c>
      <c r="H5037" s="344" t="s">
        <v>1894</v>
      </c>
    </row>
    <row r="5038" spans="1:8">
      <c r="A5038" s="1"/>
      <c r="B5038" s="1"/>
      <c r="C5038" s="1"/>
      <c r="D5038" s="1"/>
      <c r="E5038" s="357">
        <v>45645</v>
      </c>
      <c r="F5038" s="344" t="s">
        <v>625</v>
      </c>
      <c r="G5038" s="358">
        <v>36.413400000000003</v>
      </c>
      <c r="H5038" s="344" t="s">
        <v>1894</v>
      </c>
    </row>
    <row r="5039" spans="1:8">
      <c r="A5039" s="1"/>
      <c r="B5039" s="1"/>
      <c r="C5039" s="1"/>
      <c r="D5039" s="1"/>
      <c r="E5039" s="357">
        <v>45645</v>
      </c>
      <c r="F5039" s="344" t="s">
        <v>628</v>
      </c>
      <c r="G5039" s="358">
        <v>44.144100000000002</v>
      </c>
      <c r="H5039" s="344" t="s">
        <v>1894</v>
      </c>
    </row>
    <row r="5040" spans="1:8">
      <c r="A5040" s="1"/>
      <c r="B5040" s="1"/>
      <c r="C5040" s="1"/>
      <c r="D5040" s="1"/>
      <c r="E5040" s="357">
        <v>45645</v>
      </c>
      <c r="F5040" s="344" t="s">
        <v>631</v>
      </c>
      <c r="G5040" s="358">
        <v>35.006700000000002</v>
      </c>
      <c r="H5040" s="344" t="s">
        <v>1894</v>
      </c>
    </row>
    <row r="5041" spans="1:8">
      <c r="A5041" s="1"/>
      <c r="B5041" s="1"/>
      <c r="C5041" s="1"/>
      <c r="D5041" s="1"/>
      <c r="E5041" s="357">
        <v>45646</v>
      </c>
      <c r="F5041" s="344" t="s">
        <v>621</v>
      </c>
      <c r="G5041" s="358">
        <v>39.0473</v>
      </c>
      <c r="H5041" s="344" t="s">
        <v>1895</v>
      </c>
    </row>
    <row r="5042" spans="1:8">
      <c r="A5042" s="1"/>
      <c r="B5042" s="1"/>
      <c r="C5042" s="1"/>
      <c r="D5042" s="1"/>
      <c r="E5042" s="357">
        <v>45646</v>
      </c>
      <c r="F5042" s="344" t="s">
        <v>625</v>
      </c>
      <c r="G5042" s="358">
        <v>36.416200000000003</v>
      </c>
      <c r="H5042" s="344" t="s">
        <v>1895</v>
      </c>
    </row>
    <row r="5043" spans="1:8">
      <c r="A5043" s="1"/>
      <c r="B5043" s="1"/>
      <c r="C5043" s="1"/>
      <c r="D5043" s="1"/>
      <c r="E5043" s="357">
        <v>45646</v>
      </c>
      <c r="F5043" s="344" t="s">
        <v>628</v>
      </c>
      <c r="G5043" s="358">
        <v>43.773299999999999</v>
      </c>
      <c r="H5043" s="344" t="s">
        <v>1895</v>
      </c>
    </row>
    <row r="5044" spans="1:8">
      <c r="A5044" s="1"/>
      <c r="B5044" s="1"/>
      <c r="C5044" s="1"/>
      <c r="D5044" s="1"/>
      <c r="E5044" s="357">
        <v>45646</v>
      </c>
      <c r="F5044" s="344" t="s">
        <v>631</v>
      </c>
      <c r="G5044" s="358">
        <v>35.061900000000001</v>
      </c>
      <c r="H5044" s="344" t="s">
        <v>1895</v>
      </c>
    </row>
    <row r="5045" spans="1:8">
      <c r="A5045" s="1"/>
      <c r="B5045" s="1"/>
      <c r="C5045" s="1"/>
      <c r="D5045" s="1"/>
      <c r="E5045" s="357">
        <v>45649</v>
      </c>
      <c r="F5045" s="344" t="s">
        <v>621</v>
      </c>
      <c r="G5045" s="358">
        <v>39.125399999999999</v>
      </c>
      <c r="H5045" s="344" t="s">
        <v>1896</v>
      </c>
    </row>
    <row r="5046" spans="1:8">
      <c r="A5046" s="1"/>
      <c r="B5046" s="1"/>
      <c r="C5046" s="1"/>
      <c r="D5046" s="1"/>
      <c r="E5046" s="357">
        <v>45649</v>
      </c>
      <c r="F5046" s="344" t="s">
        <v>625</v>
      </c>
      <c r="G5046" s="358">
        <v>36.5473</v>
      </c>
      <c r="H5046" s="344" t="s">
        <v>1896</v>
      </c>
    </row>
    <row r="5047" spans="1:8">
      <c r="A5047" s="1"/>
      <c r="B5047" s="1"/>
      <c r="C5047" s="1"/>
      <c r="D5047" s="1"/>
      <c r="E5047" s="357">
        <v>45649</v>
      </c>
      <c r="F5047" s="344" t="s">
        <v>628</v>
      </c>
      <c r="G5047" s="358">
        <v>44.011699999999998</v>
      </c>
      <c r="H5047" s="344" t="s">
        <v>1896</v>
      </c>
    </row>
    <row r="5048" spans="1:8">
      <c r="A5048" s="1"/>
      <c r="B5048" s="1"/>
      <c r="C5048" s="1"/>
      <c r="D5048" s="1"/>
      <c r="E5048" s="357">
        <v>45649</v>
      </c>
      <c r="F5048" s="344" t="s">
        <v>631</v>
      </c>
      <c r="G5048" s="358">
        <v>35.106499999999997</v>
      </c>
      <c r="H5048" s="344" t="s">
        <v>1896</v>
      </c>
    </row>
    <row r="5049" spans="1:8">
      <c r="A5049" s="1"/>
      <c r="B5049" s="1"/>
      <c r="C5049" s="1"/>
      <c r="D5049" s="1"/>
      <c r="E5049" s="357">
        <v>45650</v>
      </c>
      <c r="F5049" s="344" t="s">
        <v>621</v>
      </c>
      <c r="G5049" s="358">
        <v>38.998199999999997</v>
      </c>
      <c r="H5049" s="344" t="s">
        <v>1897</v>
      </c>
    </row>
    <row r="5050" spans="1:8">
      <c r="A5050" s="1"/>
      <c r="B5050" s="1"/>
      <c r="C5050" s="1"/>
      <c r="D5050" s="1"/>
      <c r="E5050" s="357">
        <v>45650</v>
      </c>
      <c r="F5050" s="344" t="s">
        <v>625</v>
      </c>
      <c r="G5050" s="358">
        <v>36.569299999999998</v>
      </c>
      <c r="H5050" s="344" t="s">
        <v>1897</v>
      </c>
    </row>
    <row r="5051" spans="1:8">
      <c r="A5051" s="1"/>
      <c r="B5051" s="1"/>
      <c r="C5051" s="1"/>
      <c r="D5051" s="1"/>
      <c r="E5051" s="357">
        <v>45650</v>
      </c>
      <c r="F5051" s="344" t="s">
        <v>628</v>
      </c>
      <c r="G5051" s="358">
        <v>44.023000000000003</v>
      </c>
      <c r="H5051" s="344" t="s">
        <v>1897</v>
      </c>
    </row>
    <row r="5052" spans="1:8">
      <c r="A5052" s="1"/>
      <c r="B5052" s="1"/>
      <c r="C5052" s="1"/>
      <c r="D5052" s="1"/>
      <c r="E5052" s="357">
        <v>45650</v>
      </c>
      <c r="F5052" s="344" t="s">
        <v>631</v>
      </c>
      <c r="G5052" s="358">
        <v>35.181399999999996</v>
      </c>
      <c r="H5052" s="344" t="s">
        <v>1897</v>
      </c>
    </row>
    <row r="5053" spans="1:8">
      <c r="A5053" s="1"/>
      <c r="B5053" s="1"/>
      <c r="C5053" s="1"/>
      <c r="D5053" s="1"/>
      <c r="E5053" s="357">
        <v>45651</v>
      </c>
      <c r="F5053" s="344" t="s">
        <v>621</v>
      </c>
      <c r="G5053" s="358">
        <v>39.044800000000002</v>
      </c>
      <c r="H5053" s="344" t="s">
        <v>1898</v>
      </c>
    </row>
    <row r="5054" spans="1:8">
      <c r="A5054" s="1"/>
      <c r="B5054" s="1"/>
      <c r="C5054" s="1"/>
      <c r="D5054" s="1"/>
      <c r="E5054" s="357">
        <v>45651</v>
      </c>
      <c r="F5054" s="344" t="s">
        <v>625</v>
      </c>
      <c r="G5054" s="358">
        <v>36.659199999999998</v>
      </c>
      <c r="H5054" s="344" t="s">
        <v>1898</v>
      </c>
    </row>
    <row r="5055" spans="1:8">
      <c r="A5055" s="1"/>
      <c r="B5055" s="1"/>
      <c r="C5055" s="1"/>
      <c r="D5055" s="1"/>
      <c r="E5055" s="357">
        <v>45651</v>
      </c>
      <c r="F5055" s="344" t="s">
        <v>628</v>
      </c>
      <c r="G5055" s="358">
        <v>44.123800000000003</v>
      </c>
      <c r="H5055" s="344" t="s">
        <v>1898</v>
      </c>
    </row>
    <row r="5056" spans="1:8">
      <c r="A5056" s="1"/>
      <c r="B5056" s="1"/>
      <c r="C5056" s="1"/>
      <c r="D5056" s="1"/>
      <c r="E5056" s="357">
        <v>45651</v>
      </c>
      <c r="F5056" s="344" t="s">
        <v>631</v>
      </c>
      <c r="G5056" s="358">
        <v>35.216200000000001</v>
      </c>
      <c r="H5056" s="344" t="s">
        <v>1898</v>
      </c>
    </row>
    <row r="5057" spans="1:8">
      <c r="A5057" s="1"/>
      <c r="B5057" s="1"/>
      <c r="C5057" s="1"/>
      <c r="D5057" s="1"/>
      <c r="E5057" s="357">
        <v>45652</v>
      </c>
      <c r="F5057" s="344" t="s">
        <v>621</v>
      </c>
      <c r="G5057" s="358">
        <v>39.033799999999999</v>
      </c>
      <c r="H5057" s="344" t="s">
        <v>1899</v>
      </c>
    </row>
    <row r="5058" spans="1:8">
      <c r="A5058" s="1"/>
      <c r="B5058" s="1"/>
      <c r="C5058" s="1"/>
      <c r="D5058" s="1"/>
      <c r="E5058" s="357">
        <v>45652</v>
      </c>
      <c r="F5058" s="344" t="s">
        <v>625</v>
      </c>
      <c r="G5058" s="358">
        <v>36.607599999999998</v>
      </c>
      <c r="H5058" s="344" t="s">
        <v>1899</v>
      </c>
    </row>
    <row r="5059" spans="1:8">
      <c r="A5059" s="1"/>
      <c r="B5059" s="1"/>
      <c r="C5059" s="1"/>
      <c r="D5059" s="1"/>
      <c r="E5059" s="357">
        <v>45652</v>
      </c>
      <c r="F5059" s="344" t="s">
        <v>628</v>
      </c>
      <c r="G5059" s="358">
        <v>44.042299999999997</v>
      </c>
      <c r="H5059" s="344" t="s">
        <v>1899</v>
      </c>
    </row>
    <row r="5060" spans="1:8">
      <c r="A5060" s="1"/>
      <c r="B5060" s="1"/>
      <c r="C5060" s="1"/>
      <c r="D5060" s="1"/>
      <c r="E5060" s="357">
        <v>45652</v>
      </c>
      <c r="F5060" s="344" t="s">
        <v>631</v>
      </c>
      <c r="G5060" s="358">
        <v>35.203299999999999</v>
      </c>
      <c r="H5060" s="344" t="s">
        <v>1899</v>
      </c>
    </row>
    <row r="5061" spans="1:8">
      <c r="A5061" s="1"/>
      <c r="B5061" s="1"/>
      <c r="C5061" s="1"/>
      <c r="D5061" s="1"/>
      <c r="E5061" s="357">
        <v>45653</v>
      </c>
      <c r="F5061" s="344" t="s">
        <v>621</v>
      </c>
      <c r="G5061" s="358">
        <v>38.941600000000001</v>
      </c>
      <c r="H5061" s="344" t="s">
        <v>1900</v>
      </c>
    </row>
    <row r="5062" spans="1:8">
      <c r="A5062" s="1"/>
      <c r="B5062" s="1"/>
      <c r="C5062" s="1"/>
      <c r="D5062" s="1"/>
      <c r="E5062" s="357">
        <v>45653</v>
      </c>
      <c r="F5062" s="344" t="s">
        <v>625</v>
      </c>
      <c r="G5062" s="358">
        <v>36.613399999999999</v>
      </c>
      <c r="H5062" s="344" t="s">
        <v>1900</v>
      </c>
    </row>
    <row r="5063" spans="1:8">
      <c r="A5063" s="1"/>
      <c r="B5063" s="1"/>
      <c r="C5063" s="1"/>
      <c r="D5063" s="1"/>
      <c r="E5063" s="357">
        <v>45653</v>
      </c>
      <c r="F5063" s="344" t="s">
        <v>628</v>
      </c>
      <c r="G5063" s="358">
        <v>43.948599999999999</v>
      </c>
      <c r="H5063" s="344" t="s">
        <v>1900</v>
      </c>
    </row>
    <row r="5064" spans="1:8">
      <c r="A5064" s="1"/>
      <c r="B5064" s="1"/>
      <c r="C5064" s="1"/>
      <c r="D5064" s="1"/>
      <c r="E5064" s="357">
        <v>45653</v>
      </c>
      <c r="F5064" s="344" t="s">
        <v>631</v>
      </c>
      <c r="G5064" s="358">
        <v>35.136800000000001</v>
      </c>
      <c r="H5064" s="344" t="s">
        <v>1900</v>
      </c>
    </row>
    <row r="5065" spans="1:8">
      <c r="A5065" s="1"/>
      <c r="B5065" s="1"/>
      <c r="C5065" s="1"/>
      <c r="D5065" s="1"/>
      <c r="E5065" s="357">
        <v>45656</v>
      </c>
      <c r="F5065" s="344" t="s">
        <v>621</v>
      </c>
      <c r="G5065" s="358">
        <v>38.951000000000001</v>
      </c>
      <c r="H5065" s="344" t="s">
        <v>1901</v>
      </c>
    </row>
    <row r="5066" spans="1:8">
      <c r="A5066" s="1"/>
      <c r="B5066" s="1"/>
      <c r="C5066" s="1"/>
      <c r="D5066" s="1"/>
      <c r="E5066" s="357">
        <v>45656</v>
      </c>
      <c r="F5066" s="344" t="s">
        <v>625</v>
      </c>
      <c r="G5066" s="358">
        <v>36.742899999999999</v>
      </c>
      <c r="H5066" s="344" t="s">
        <v>1901</v>
      </c>
    </row>
    <row r="5067" spans="1:8">
      <c r="A5067" s="1"/>
      <c r="B5067" s="1"/>
      <c r="C5067" s="1"/>
      <c r="D5067" s="1"/>
      <c r="E5067" s="357">
        <v>45656</v>
      </c>
      <c r="F5067" s="344" t="s">
        <v>628</v>
      </c>
      <c r="G5067" s="358">
        <v>44.245800000000003</v>
      </c>
      <c r="H5067" s="344" t="s">
        <v>1901</v>
      </c>
    </row>
    <row r="5068" spans="1:8">
      <c r="A5068" s="1"/>
      <c r="B5068" s="1"/>
      <c r="C5068" s="1"/>
      <c r="D5068" s="1"/>
      <c r="E5068" s="357">
        <v>45656</v>
      </c>
      <c r="F5068" s="344" t="s">
        <v>631</v>
      </c>
      <c r="G5068" s="358">
        <v>35.223300000000002</v>
      </c>
      <c r="H5068" s="344" t="s">
        <v>1901</v>
      </c>
    </row>
    <row r="5069" spans="1:8">
      <c r="A5069" s="1"/>
      <c r="B5069" s="1"/>
      <c r="C5069" s="1"/>
      <c r="D5069" s="1"/>
      <c r="E5069" s="357">
        <v>45657</v>
      </c>
      <c r="F5069" s="344" t="s">
        <v>621</v>
      </c>
      <c r="G5069" s="358">
        <v>38.944600000000001</v>
      </c>
      <c r="H5069" s="344" t="s">
        <v>1902</v>
      </c>
    </row>
    <row r="5070" spans="1:8">
      <c r="A5070" s="1"/>
      <c r="B5070" s="1"/>
      <c r="C5070" s="1"/>
      <c r="D5070" s="1"/>
      <c r="E5070" s="357">
        <v>45657</v>
      </c>
      <c r="F5070" s="344" t="s">
        <v>625</v>
      </c>
      <c r="G5070" s="358">
        <v>36.736199999999997</v>
      </c>
      <c r="H5070" s="344" t="s">
        <v>1902</v>
      </c>
    </row>
    <row r="5071" spans="1:8">
      <c r="A5071" s="1"/>
      <c r="B5071" s="1"/>
      <c r="C5071" s="1"/>
      <c r="D5071" s="1"/>
      <c r="E5071" s="357">
        <v>45657</v>
      </c>
      <c r="F5071" s="344" t="s">
        <v>628</v>
      </c>
      <c r="G5071" s="358">
        <v>44.207299999999996</v>
      </c>
      <c r="H5071" s="344" t="s">
        <v>1902</v>
      </c>
    </row>
    <row r="5072" spans="1:8">
      <c r="A5072" s="1"/>
      <c r="B5072" s="1"/>
      <c r="C5072" s="1"/>
      <c r="D5072" s="1"/>
      <c r="E5072" s="357">
        <v>45657</v>
      </c>
      <c r="F5072" s="344" t="s">
        <v>631</v>
      </c>
      <c r="G5072" s="358">
        <v>35.280299999999997</v>
      </c>
      <c r="H5072" s="344" t="s">
        <v>1902</v>
      </c>
    </row>
    <row r="5073" spans="1:8">
      <c r="A5073" s="1"/>
      <c r="B5073" s="1"/>
      <c r="C5073" s="1"/>
      <c r="D5073" s="1"/>
      <c r="E5073" s="357">
        <v>45659</v>
      </c>
      <c r="F5073" s="344" t="s">
        <v>621</v>
      </c>
      <c r="G5073" s="358">
        <v>38.830800000000004</v>
      </c>
      <c r="H5073" s="344" t="s">
        <v>1903</v>
      </c>
    </row>
    <row r="5074" spans="1:8">
      <c r="A5074" s="1"/>
      <c r="B5074" s="1"/>
      <c r="C5074" s="1"/>
      <c r="D5074" s="1"/>
      <c r="E5074" s="357">
        <v>45659</v>
      </c>
      <c r="F5074" s="344" t="s">
        <v>625</v>
      </c>
      <c r="G5074" s="358">
        <v>36.480400000000003</v>
      </c>
      <c r="H5074" s="344" t="s">
        <v>1903</v>
      </c>
    </row>
    <row r="5075" spans="1:8">
      <c r="A5075" s="1"/>
      <c r="B5075" s="1"/>
      <c r="C5075" s="1"/>
      <c r="D5075" s="1"/>
      <c r="E5075" s="357">
        <v>45659</v>
      </c>
      <c r="F5075" s="344" t="s">
        <v>628</v>
      </c>
      <c r="G5075" s="358">
        <v>43.951300000000003</v>
      </c>
      <c r="H5075" s="344" t="s">
        <v>1903</v>
      </c>
    </row>
    <row r="5076" spans="1:8">
      <c r="A5076" s="1"/>
      <c r="B5076" s="1"/>
      <c r="C5076" s="1"/>
      <c r="D5076" s="1"/>
      <c r="E5076" s="357">
        <v>45659</v>
      </c>
      <c r="F5076" s="344" t="s">
        <v>631</v>
      </c>
      <c r="G5076" s="358">
        <v>35.252499999999998</v>
      </c>
      <c r="H5076" s="344" t="s">
        <v>1903</v>
      </c>
    </row>
    <row r="5077" spans="1:8">
      <c r="A5077" s="1"/>
      <c r="B5077" s="1"/>
      <c r="C5077" s="1"/>
      <c r="D5077" s="1"/>
      <c r="E5077" s="357">
        <v>45660</v>
      </c>
      <c r="F5077" s="344" t="s">
        <v>621</v>
      </c>
      <c r="G5077" s="358">
        <v>38.670099999999998</v>
      </c>
      <c r="H5077" s="344" t="s">
        <v>1904</v>
      </c>
    </row>
    <row r="5078" spans="1:8">
      <c r="A5078" s="1"/>
      <c r="B5078" s="1"/>
      <c r="C5078" s="1"/>
      <c r="D5078" s="1"/>
      <c r="E5078" s="357">
        <v>45660</v>
      </c>
      <c r="F5078" s="344" t="s">
        <v>625</v>
      </c>
      <c r="G5078" s="358">
        <v>36.276200000000003</v>
      </c>
      <c r="H5078" s="344" t="s">
        <v>1904</v>
      </c>
    </row>
    <row r="5079" spans="1:8">
      <c r="A5079" s="1"/>
      <c r="B5079" s="1"/>
      <c r="C5079" s="1"/>
      <c r="D5079" s="1"/>
      <c r="E5079" s="357">
        <v>45660</v>
      </c>
      <c r="F5079" s="344" t="s">
        <v>628</v>
      </c>
      <c r="G5079" s="358">
        <v>43.663699999999999</v>
      </c>
      <c r="H5079" s="344" t="s">
        <v>1904</v>
      </c>
    </row>
    <row r="5080" spans="1:8">
      <c r="A5080" s="1"/>
      <c r="B5080" s="1"/>
      <c r="C5080" s="1"/>
      <c r="D5080" s="1"/>
      <c r="E5080" s="357">
        <v>45660</v>
      </c>
      <c r="F5080" s="344" t="s">
        <v>631</v>
      </c>
      <c r="G5080" s="358">
        <v>35.271000000000001</v>
      </c>
      <c r="H5080" s="344" t="s">
        <v>1904</v>
      </c>
    </row>
    <row r="5081" spans="1:8">
      <c r="A5081" s="1"/>
      <c r="B5081" s="1"/>
      <c r="C5081" s="1"/>
      <c r="D5081" s="1"/>
      <c r="E5081" s="357">
        <v>45663</v>
      </c>
      <c r="F5081" s="344" t="s">
        <v>621</v>
      </c>
      <c r="G5081" s="358">
        <v>38.842300000000002</v>
      </c>
      <c r="H5081" s="344" t="s">
        <v>1905</v>
      </c>
    </row>
    <row r="5082" spans="1:8">
      <c r="A5082" s="1"/>
      <c r="B5082" s="1"/>
      <c r="C5082" s="1"/>
      <c r="D5082" s="1"/>
      <c r="E5082" s="357">
        <v>45663</v>
      </c>
      <c r="F5082" s="344" t="s">
        <v>625</v>
      </c>
      <c r="G5082" s="358">
        <v>36.526400000000002</v>
      </c>
      <c r="H5082" s="344" t="s">
        <v>1905</v>
      </c>
    </row>
    <row r="5083" spans="1:8">
      <c r="A5083" s="1"/>
      <c r="B5083" s="1"/>
      <c r="C5083" s="1"/>
      <c r="D5083" s="1"/>
      <c r="E5083" s="357">
        <v>45663</v>
      </c>
      <c r="F5083" s="344" t="s">
        <v>628</v>
      </c>
      <c r="G5083" s="358">
        <v>43.9542</v>
      </c>
      <c r="H5083" s="344" t="s">
        <v>1905</v>
      </c>
    </row>
    <row r="5084" spans="1:8">
      <c r="A5084" s="1"/>
      <c r="B5084" s="1"/>
      <c r="C5084" s="1"/>
      <c r="D5084" s="1"/>
      <c r="E5084" s="357">
        <v>45663</v>
      </c>
      <c r="F5084" s="344" t="s">
        <v>631</v>
      </c>
      <c r="G5084" s="358">
        <v>35.289200000000001</v>
      </c>
      <c r="H5084" s="344" t="s">
        <v>1905</v>
      </c>
    </row>
    <row r="5085" spans="1:8">
      <c r="A5085" s="1"/>
      <c r="B5085" s="1"/>
      <c r="C5085" s="1"/>
      <c r="D5085" s="1"/>
      <c r="E5085" s="357">
        <v>45664</v>
      </c>
      <c r="F5085" s="344" t="s">
        <v>621</v>
      </c>
      <c r="G5085" s="358">
        <v>38.912700000000001</v>
      </c>
      <c r="H5085" s="344" t="s">
        <v>1906</v>
      </c>
    </row>
    <row r="5086" spans="1:8">
      <c r="A5086" s="1"/>
      <c r="B5086" s="1"/>
      <c r="C5086" s="1"/>
      <c r="D5086" s="1"/>
      <c r="E5086" s="357">
        <v>45664</v>
      </c>
      <c r="F5086" s="344" t="s">
        <v>625</v>
      </c>
      <c r="G5086" s="358">
        <v>36.750100000000003</v>
      </c>
      <c r="H5086" s="344" t="s">
        <v>1906</v>
      </c>
    </row>
    <row r="5087" spans="1:8">
      <c r="A5087" s="1"/>
      <c r="B5087" s="1"/>
      <c r="C5087" s="1"/>
      <c r="D5087" s="1"/>
      <c r="E5087" s="357">
        <v>45664</v>
      </c>
      <c r="F5087" s="344" t="s">
        <v>628</v>
      </c>
      <c r="G5087" s="358">
        <v>44.204500000000003</v>
      </c>
      <c r="H5087" s="344" t="s">
        <v>1906</v>
      </c>
    </row>
    <row r="5088" spans="1:8">
      <c r="A5088" s="1"/>
      <c r="B5088" s="1"/>
      <c r="C5088" s="1"/>
      <c r="D5088" s="1"/>
      <c r="E5088" s="357">
        <v>45664</v>
      </c>
      <c r="F5088" s="344" t="s">
        <v>631</v>
      </c>
      <c r="G5088" s="358">
        <v>35.276400000000002</v>
      </c>
      <c r="H5088" s="344" t="s">
        <v>1906</v>
      </c>
    </row>
    <row r="5089" spans="1:8">
      <c r="A5089" s="1"/>
      <c r="B5089" s="1"/>
      <c r="C5089" s="1"/>
      <c r="D5089" s="1"/>
      <c r="E5089" s="357">
        <v>45665</v>
      </c>
      <c r="F5089" s="344" t="s">
        <v>621</v>
      </c>
      <c r="G5089" s="358">
        <v>38.671300000000002</v>
      </c>
      <c r="H5089" s="344" t="s">
        <v>1907</v>
      </c>
    </row>
    <row r="5090" spans="1:8">
      <c r="A5090" s="1"/>
      <c r="B5090" s="1"/>
      <c r="C5090" s="1"/>
      <c r="D5090" s="1"/>
      <c r="E5090" s="357">
        <v>45665</v>
      </c>
      <c r="F5090" s="344" t="s">
        <v>625</v>
      </c>
      <c r="G5090" s="358">
        <v>36.459000000000003</v>
      </c>
      <c r="H5090" s="344" t="s">
        <v>1907</v>
      </c>
    </row>
    <row r="5091" spans="1:8">
      <c r="A5091" s="1"/>
      <c r="B5091" s="1"/>
      <c r="C5091" s="1"/>
      <c r="D5091" s="1"/>
      <c r="E5091" s="357">
        <v>45665</v>
      </c>
      <c r="F5091" s="344" t="s">
        <v>628</v>
      </c>
      <c r="G5091" s="358">
        <v>43.878999999999998</v>
      </c>
      <c r="H5091" s="344" t="s">
        <v>1907</v>
      </c>
    </row>
    <row r="5092" spans="1:8">
      <c r="A5092" s="1"/>
      <c r="B5092" s="1"/>
      <c r="C5092" s="1"/>
      <c r="D5092" s="1"/>
      <c r="E5092" s="357">
        <v>45665</v>
      </c>
      <c r="F5092" s="344" t="s">
        <v>631</v>
      </c>
      <c r="G5092" s="358">
        <v>35.317900000000002</v>
      </c>
      <c r="H5092" s="344" t="s">
        <v>1907</v>
      </c>
    </row>
    <row r="5093" spans="1:8">
      <c r="A5093" s="1"/>
      <c r="B5093" s="1"/>
      <c r="C5093" s="1"/>
      <c r="D5093" s="1"/>
      <c r="E5093" s="357">
        <v>45666</v>
      </c>
      <c r="F5093" s="344" t="s">
        <v>621</v>
      </c>
      <c r="G5093" s="358">
        <v>38.610100000000003</v>
      </c>
      <c r="H5093" s="344" t="s">
        <v>1908</v>
      </c>
    </row>
    <row r="5094" spans="1:8">
      <c r="A5094" s="1"/>
      <c r="B5094" s="1"/>
      <c r="C5094" s="1"/>
      <c r="D5094" s="1"/>
      <c r="E5094" s="357">
        <v>45666</v>
      </c>
      <c r="F5094" s="344" t="s">
        <v>625</v>
      </c>
      <c r="G5094" s="358">
        <v>36.356699999999996</v>
      </c>
      <c r="H5094" s="344" t="s">
        <v>1908</v>
      </c>
    </row>
    <row r="5095" spans="1:8">
      <c r="A5095" s="1"/>
      <c r="B5095" s="1"/>
      <c r="C5095" s="1"/>
      <c r="D5095" s="1"/>
      <c r="E5095" s="357">
        <v>45666</v>
      </c>
      <c r="F5095" s="344" t="s">
        <v>628</v>
      </c>
      <c r="G5095" s="358">
        <v>43.2761</v>
      </c>
      <c r="H5095" s="344" t="s">
        <v>1908</v>
      </c>
    </row>
    <row r="5096" spans="1:8">
      <c r="A5096" s="1"/>
      <c r="B5096" s="1"/>
      <c r="C5096" s="1"/>
      <c r="D5096" s="1"/>
      <c r="E5096" s="357">
        <v>45666</v>
      </c>
      <c r="F5096" s="344" t="s">
        <v>631</v>
      </c>
      <c r="G5096" s="358">
        <v>35.292099999999998</v>
      </c>
      <c r="H5096" s="344" t="s">
        <v>1908</v>
      </c>
    </row>
    <row r="5097" spans="1:8">
      <c r="A5097" s="1"/>
      <c r="B5097" s="1"/>
      <c r="C5097" s="1"/>
      <c r="D5097" s="1"/>
      <c r="E5097" s="357">
        <v>45667</v>
      </c>
      <c r="F5097" s="344" t="s">
        <v>621</v>
      </c>
      <c r="G5097" s="358">
        <v>38.604100000000003</v>
      </c>
      <c r="H5097" s="344" t="s">
        <v>1909</v>
      </c>
    </row>
    <row r="5098" spans="1:8">
      <c r="A5098" s="1"/>
      <c r="B5098" s="1"/>
      <c r="C5098" s="1"/>
      <c r="D5098" s="1"/>
      <c r="E5098" s="357">
        <v>45667</v>
      </c>
      <c r="F5098" s="344" t="s">
        <v>625</v>
      </c>
      <c r="G5098" s="358">
        <v>36.387099999999997</v>
      </c>
      <c r="H5098" s="344" t="s">
        <v>1909</v>
      </c>
    </row>
    <row r="5099" spans="1:8">
      <c r="A5099" s="1"/>
      <c r="B5099" s="1"/>
      <c r="C5099" s="1"/>
      <c r="D5099" s="1"/>
      <c r="E5099" s="357">
        <v>45667</v>
      </c>
      <c r="F5099" s="344" t="s">
        <v>628</v>
      </c>
      <c r="G5099" s="358">
        <v>43.358800000000002</v>
      </c>
      <c r="H5099" s="344" t="s">
        <v>1909</v>
      </c>
    </row>
    <row r="5100" spans="1:8">
      <c r="A5100" s="1"/>
      <c r="B5100" s="1"/>
      <c r="C5100" s="1"/>
      <c r="D5100" s="1"/>
      <c r="E5100" s="357">
        <v>45667</v>
      </c>
      <c r="F5100" s="344" t="s">
        <v>631</v>
      </c>
      <c r="G5100" s="358">
        <v>35.335599999999999</v>
      </c>
      <c r="H5100" s="344" t="s">
        <v>1909</v>
      </c>
    </row>
    <row r="5101" spans="1:8">
      <c r="A5101" s="1"/>
      <c r="B5101" s="1"/>
      <c r="C5101" s="1"/>
      <c r="D5101" s="1"/>
      <c r="E5101" s="357">
        <v>45670</v>
      </c>
      <c r="F5101" s="344" t="s">
        <v>621</v>
      </c>
      <c r="G5101" s="358">
        <v>38.548200000000001</v>
      </c>
      <c r="H5101" s="344" t="s">
        <v>1910</v>
      </c>
    </row>
    <row r="5102" spans="1:8">
      <c r="A5102" s="1"/>
      <c r="B5102" s="1"/>
      <c r="C5102" s="1"/>
      <c r="D5102" s="1"/>
      <c r="E5102" s="357">
        <v>45670</v>
      </c>
      <c r="F5102" s="344" t="s">
        <v>625</v>
      </c>
      <c r="G5102" s="358">
        <v>36.155500000000004</v>
      </c>
      <c r="H5102" s="344" t="s">
        <v>1910</v>
      </c>
    </row>
    <row r="5103" spans="1:8">
      <c r="A5103" s="1"/>
      <c r="B5103" s="1"/>
      <c r="C5103" s="1"/>
      <c r="D5103" s="1"/>
      <c r="E5103" s="357">
        <v>45670</v>
      </c>
      <c r="F5103" s="344" t="s">
        <v>628</v>
      </c>
      <c r="G5103" s="358">
        <v>42.8827</v>
      </c>
      <c r="H5103" s="344" t="s">
        <v>1910</v>
      </c>
    </row>
    <row r="5104" spans="1:8">
      <c r="A5104" s="1"/>
      <c r="B5104" s="1"/>
      <c r="C5104" s="1"/>
      <c r="D5104" s="1"/>
      <c r="E5104" s="357">
        <v>45670</v>
      </c>
      <c r="F5104" s="344" t="s">
        <v>631</v>
      </c>
      <c r="G5104" s="358">
        <v>35.419699999999999</v>
      </c>
      <c r="H5104" s="344" t="s">
        <v>1910</v>
      </c>
    </row>
    <row r="5105" spans="1:8">
      <c r="A5105" s="1"/>
      <c r="B5105" s="1"/>
      <c r="C5105" s="1"/>
      <c r="D5105" s="1"/>
      <c r="E5105" s="357">
        <v>45671</v>
      </c>
      <c r="F5105" s="344" t="s">
        <v>621</v>
      </c>
      <c r="G5105" s="358">
        <v>38.599400000000003</v>
      </c>
      <c r="H5105" s="344" t="s">
        <v>1911</v>
      </c>
    </row>
    <row r="5106" spans="1:8">
      <c r="A5106" s="1"/>
      <c r="B5106" s="1"/>
      <c r="C5106" s="1"/>
      <c r="D5106" s="1"/>
      <c r="E5106" s="357">
        <v>45671</v>
      </c>
      <c r="F5106" s="344" t="s">
        <v>625</v>
      </c>
      <c r="G5106" s="358">
        <v>36.3401</v>
      </c>
      <c r="H5106" s="344" t="s">
        <v>1911</v>
      </c>
    </row>
    <row r="5107" spans="1:8">
      <c r="A5107" s="1"/>
      <c r="B5107" s="1"/>
      <c r="C5107" s="1"/>
      <c r="D5107" s="1"/>
      <c r="E5107" s="357">
        <v>45671</v>
      </c>
      <c r="F5107" s="344" t="s">
        <v>628</v>
      </c>
      <c r="G5107" s="358">
        <v>43.138300000000001</v>
      </c>
      <c r="H5107" s="344" t="s">
        <v>1911</v>
      </c>
    </row>
    <row r="5108" spans="1:8">
      <c r="A5108" s="1"/>
      <c r="B5108" s="1"/>
      <c r="C5108" s="1"/>
      <c r="D5108" s="1"/>
      <c r="E5108" s="357">
        <v>45671</v>
      </c>
      <c r="F5108" s="344" t="s">
        <v>631</v>
      </c>
      <c r="G5108" s="358">
        <v>35.429200000000002</v>
      </c>
      <c r="H5108" s="344" t="s">
        <v>1911</v>
      </c>
    </row>
    <row r="5109" spans="1:8">
      <c r="A5109" s="1"/>
      <c r="B5109" s="1"/>
      <c r="C5109" s="1"/>
      <c r="D5109" s="1"/>
      <c r="E5109" s="357">
        <v>45672</v>
      </c>
      <c r="F5109" s="344" t="s">
        <v>621</v>
      </c>
      <c r="G5109" s="358">
        <v>38.762799999999999</v>
      </c>
      <c r="H5109" s="344" t="s">
        <v>1912</v>
      </c>
    </row>
    <row r="5110" spans="1:8">
      <c r="A5110" s="1"/>
      <c r="B5110" s="1"/>
      <c r="C5110" s="1"/>
      <c r="D5110" s="1"/>
      <c r="E5110" s="357">
        <v>45672</v>
      </c>
      <c r="F5110" s="344" t="s">
        <v>625</v>
      </c>
      <c r="G5110" s="358">
        <v>36.5032</v>
      </c>
      <c r="H5110" s="344" t="s">
        <v>1912</v>
      </c>
    </row>
    <row r="5111" spans="1:8">
      <c r="A5111" s="1"/>
      <c r="B5111" s="1"/>
      <c r="C5111" s="1"/>
      <c r="D5111" s="1"/>
      <c r="E5111" s="357">
        <v>45672</v>
      </c>
      <c r="F5111" s="344" t="s">
        <v>628</v>
      </c>
      <c r="G5111" s="358">
        <v>43.214500000000001</v>
      </c>
      <c r="H5111" s="344" t="s">
        <v>1912</v>
      </c>
    </row>
    <row r="5112" spans="1:8">
      <c r="A5112" s="1"/>
      <c r="B5112" s="1"/>
      <c r="C5112" s="1"/>
      <c r="D5112" s="1"/>
      <c r="E5112" s="357">
        <v>45672</v>
      </c>
      <c r="F5112" s="344" t="s">
        <v>631</v>
      </c>
      <c r="G5112" s="358">
        <v>35.429400000000001</v>
      </c>
      <c r="H5112" s="344" t="s">
        <v>1912</v>
      </c>
    </row>
    <row r="5113" spans="1:8">
      <c r="A5113" s="1"/>
      <c r="B5113" s="1"/>
      <c r="C5113" s="1"/>
      <c r="D5113" s="1"/>
      <c r="E5113" s="357">
        <v>45673</v>
      </c>
      <c r="F5113" s="344" t="s">
        <v>621</v>
      </c>
      <c r="G5113" s="358">
        <v>38.744</v>
      </c>
      <c r="H5113" s="344" t="s">
        <v>1913</v>
      </c>
    </row>
    <row r="5114" spans="1:8">
      <c r="A5114" s="1"/>
      <c r="B5114" s="1"/>
      <c r="C5114" s="1"/>
      <c r="D5114" s="1"/>
      <c r="E5114" s="357">
        <v>45673</v>
      </c>
      <c r="F5114" s="344" t="s">
        <v>625</v>
      </c>
      <c r="G5114" s="358">
        <v>36.427399999999999</v>
      </c>
      <c r="H5114" s="344" t="s">
        <v>1913</v>
      </c>
    </row>
    <row r="5115" spans="1:8">
      <c r="A5115" s="1"/>
      <c r="B5115" s="1"/>
      <c r="C5115" s="1"/>
      <c r="D5115" s="1"/>
      <c r="E5115" s="357">
        <v>45673</v>
      </c>
      <c r="F5115" s="344" t="s">
        <v>628</v>
      </c>
      <c r="G5115" s="358">
        <v>43.144399999999997</v>
      </c>
      <c r="H5115" s="344" t="s">
        <v>1913</v>
      </c>
    </row>
    <row r="5116" spans="1:8">
      <c r="A5116" s="1"/>
      <c r="B5116" s="1"/>
      <c r="C5116" s="1"/>
      <c r="D5116" s="1"/>
      <c r="E5116" s="357">
        <v>45673</v>
      </c>
      <c r="F5116" s="344" t="s">
        <v>631</v>
      </c>
      <c r="G5116" s="358">
        <v>35.3979</v>
      </c>
      <c r="H5116" s="344" t="s">
        <v>1913</v>
      </c>
    </row>
    <row r="5117" spans="1:8">
      <c r="A5117" s="1"/>
      <c r="B5117" s="1"/>
      <c r="C5117" s="1"/>
      <c r="D5117" s="1"/>
      <c r="E5117" s="357">
        <v>45674</v>
      </c>
      <c r="F5117" s="344" t="s">
        <v>621</v>
      </c>
      <c r="G5117" s="358">
        <v>38.765000000000001</v>
      </c>
      <c r="H5117" s="344" t="s">
        <v>1914</v>
      </c>
    </row>
    <row r="5118" spans="1:8">
      <c r="A5118" s="1"/>
      <c r="B5118" s="1"/>
      <c r="C5118" s="1"/>
      <c r="D5118" s="1"/>
      <c r="E5118" s="357">
        <v>45674</v>
      </c>
      <c r="F5118" s="344" t="s">
        <v>625</v>
      </c>
      <c r="G5118" s="358">
        <v>36.4604</v>
      </c>
      <c r="H5118" s="344" t="s">
        <v>1914</v>
      </c>
    </row>
    <row r="5119" spans="1:8">
      <c r="A5119" s="1"/>
      <c r="B5119" s="1"/>
      <c r="C5119" s="1"/>
      <c r="D5119" s="1"/>
      <c r="E5119" s="357">
        <v>45674</v>
      </c>
      <c r="F5119" s="344" t="s">
        <v>628</v>
      </c>
      <c r="G5119" s="358">
        <v>43.113100000000003</v>
      </c>
      <c r="H5119" s="344" t="s">
        <v>1914</v>
      </c>
    </row>
    <row r="5120" spans="1:8">
      <c r="A5120" s="1"/>
      <c r="B5120" s="1"/>
      <c r="C5120" s="1"/>
      <c r="D5120" s="1"/>
      <c r="E5120" s="357">
        <v>45674</v>
      </c>
      <c r="F5120" s="344" t="s">
        <v>631</v>
      </c>
      <c r="G5120" s="358">
        <v>35.411900000000003</v>
      </c>
      <c r="H5120" s="344" t="s">
        <v>1914</v>
      </c>
    </row>
    <row r="5121" spans="1:8">
      <c r="A5121" s="1"/>
      <c r="B5121" s="1"/>
      <c r="C5121" s="1"/>
      <c r="D5121" s="1"/>
      <c r="E5121" s="357">
        <v>45677</v>
      </c>
      <c r="F5121" s="344" t="s">
        <v>621</v>
      </c>
      <c r="G5121" s="358">
        <v>38.812199999999997</v>
      </c>
      <c r="H5121" s="344" t="s">
        <v>1915</v>
      </c>
    </row>
    <row r="5122" spans="1:8">
      <c r="A5122" s="1"/>
      <c r="B5122" s="1"/>
      <c r="C5122" s="1"/>
      <c r="D5122" s="1"/>
      <c r="E5122" s="357">
        <v>45677</v>
      </c>
      <c r="F5122" s="344" t="s">
        <v>625</v>
      </c>
      <c r="G5122" s="358">
        <v>36.634700000000002</v>
      </c>
      <c r="H5122" s="344" t="s">
        <v>1915</v>
      </c>
    </row>
    <row r="5123" spans="1:8">
      <c r="A5123" s="1"/>
      <c r="B5123" s="1"/>
      <c r="C5123" s="1"/>
      <c r="D5123" s="1"/>
      <c r="E5123" s="357">
        <v>45677</v>
      </c>
      <c r="F5123" s="344" t="s">
        <v>628</v>
      </c>
      <c r="G5123" s="358">
        <v>43.259799999999998</v>
      </c>
      <c r="H5123" s="344" t="s">
        <v>1915</v>
      </c>
    </row>
    <row r="5124" spans="1:8">
      <c r="A5124" s="1"/>
      <c r="B5124" s="1"/>
      <c r="C5124" s="1"/>
      <c r="D5124" s="1"/>
      <c r="E5124" s="357">
        <v>45677</v>
      </c>
      <c r="F5124" s="344" t="s">
        <v>631</v>
      </c>
      <c r="G5124" s="358">
        <v>35.518300000000004</v>
      </c>
      <c r="H5124" s="344" t="s">
        <v>1915</v>
      </c>
    </row>
    <row r="5125" spans="1:8">
      <c r="A5125" s="1"/>
      <c r="B5125" s="1"/>
      <c r="C5125" s="1"/>
      <c r="D5125" s="1"/>
      <c r="E5125" s="357">
        <v>45678</v>
      </c>
      <c r="F5125" s="344" t="s">
        <v>621</v>
      </c>
      <c r="G5125" s="358">
        <v>38.986699999999999</v>
      </c>
      <c r="H5125" s="344" t="s">
        <v>1916</v>
      </c>
    </row>
    <row r="5126" spans="1:8">
      <c r="A5126" s="1"/>
      <c r="B5126" s="1"/>
      <c r="C5126" s="1"/>
      <c r="D5126" s="1"/>
      <c r="E5126" s="357">
        <v>45678</v>
      </c>
      <c r="F5126" s="344" t="s">
        <v>625</v>
      </c>
      <c r="G5126" s="358">
        <v>36.832000000000001</v>
      </c>
      <c r="H5126" s="344" t="s">
        <v>1916</v>
      </c>
    </row>
    <row r="5127" spans="1:8">
      <c r="A5127" s="1"/>
      <c r="B5127" s="1"/>
      <c r="C5127" s="1"/>
      <c r="D5127" s="1"/>
      <c r="E5127" s="357">
        <v>45678</v>
      </c>
      <c r="F5127" s="344" t="s">
        <v>628</v>
      </c>
      <c r="G5127" s="358">
        <v>43.487299999999998</v>
      </c>
      <c r="H5127" s="344" t="s">
        <v>1916</v>
      </c>
    </row>
    <row r="5128" spans="1:8">
      <c r="A5128" s="1"/>
      <c r="B5128" s="1"/>
      <c r="C5128" s="1"/>
      <c r="D5128" s="1"/>
      <c r="E5128" s="357">
        <v>45678</v>
      </c>
      <c r="F5128" s="344" t="s">
        <v>631</v>
      </c>
      <c r="G5128" s="358">
        <v>35.551600000000001</v>
      </c>
      <c r="H5128" s="344" t="s">
        <v>1916</v>
      </c>
    </row>
    <row r="5129" spans="1:8">
      <c r="A5129" s="1"/>
      <c r="B5129" s="1"/>
      <c r="C5129" s="1"/>
      <c r="D5129" s="1"/>
      <c r="E5129" s="357">
        <v>45679</v>
      </c>
      <c r="F5129" s="344" t="s">
        <v>621</v>
      </c>
      <c r="G5129" s="358">
        <v>39.216299999999997</v>
      </c>
      <c r="H5129" s="344" t="s">
        <v>1917</v>
      </c>
    </row>
    <row r="5130" spans="1:8">
      <c r="A5130" s="1"/>
      <c r="B5130" s="1"/>
      <c r="C5130" s="1"/>
      <c r="D5130" s="1"/>
      <c r="E5130" s="357">
        <v>45679</v>
      </c>
      <c r="F5130" s="344" t="s">
        <v>625</v>
      </c>
      <c r="G5130" s="358">
        <v>37.110900000000001</v>
      </c>
      <c r="H5130" s="344" t="s">
        <v>1917</v>
      </c>
    </row>
    <row r="5131" spans="1:8">
      <c r="A5131" s="1"/>
      <c r="B5131" s="1"/>
      <c r="C5131" s="1"/>
      <c r="D5131" s="1"/>
      <c r="E5131" s="357">
        <v>45679</v>
      </c>
      <c r="F5131" s="344" t="s">
        <v>628</v>
      </c>
      <c r="G5131" s="358">
        <v>43.8491</v>
      </c>
      <c r="H5131" s="344" t="s">
        <v>1917</v>
      </c>
    </row>
    <row r="5132" spans="1:8">
      <c r="A5132" s="1"/>
      <c r="B5132" s="1"/>
      <c r="C5132" s="1"/>
      <c r="D5132" s="1"/>
      <c r="E5132" s="357">
        <v>45679</v>
      </c>
      <c r="F5132" s="344" t="s">
        <v>631</v>
      </c>
      <c r="G5132" s="358">
        <v>35.581499999999998</v>
      </c>
      <c r="H5132" s="344" t="s">
        <v>1917</v>
      </c>
    </row>
    <row r="5133" spans="1:8">
      <c r="A5133" s="1"/>
      <c r="B5133" s="1"/>
      <c r="C5133" s="1"/>
      <c r="D5133" s="1"/>
      <c r="E5133" s="357">
        <v>45680</v>
      </c>
      <c r="F5133" s="344" t="s">
        <v>621</v>
      </c>
      <c r="G5133" s="358">
        <v>39.140900000000002</v>
      </c>
      <c r="H5133" s="344" t="s">
        <v>1918</v>
      </c>
    </row>
    <row r="5134" spans="1:8">
      <c r="A5134" s="1"/>
      <c r="B5134" s="1"/>
      <c r="C5134" s="1"/>
      <c r="D5134" s="1"/>
      <c r="E5134" s="357">
        <v>45680</v>
      </c>
      <c r="F5134" s="344" t="s">
        <v>625</v>
      </c>
      <c r="G5134" s="358">
        <v>37.029400000000003</v>
      </c>
      <c r="H5134" s="344" t="s">
        <v>1918</v>
      </c>
    </row>
    <row r="5135" spans="1:8">
      <c r="A5135" s="1"/>
      <c r="B5135" s="1"/>
      <c r="C5135" s="1"/>
      <c r="D5135" s="1"/>
      <c r="E5135" s="357">
        <v>45680</v>
      </c>
      <c r="F5135" s="344" t="s">
        <v>628</v>
      </c>
      <c r="G5135" s="358">
        <v>43.736499999999999</v>
      </c>
      <c r="H5135" s="344" t="s">
        <v>1918</v>
      </c>
    </row>
    <row r="5136" spans="1:8">
      <c r="A5136" s="1"/>
      <c r="B5136" s="1"/>
      <c r="C5136" s="1"/>
      <c r="D5136" s="1"/>
      <c r="E5136" s="357">
        <v>45680</v>
      </c>
      <c r="F5136" s="344" t="s">
        <v>631</v>
      </c>
      <c r="G5136" s="358">
        <v>35.591500000000003</v>
      </c>
      <c r="H5136" s="344" t="s">
        <v>1918</v>
      </c>
    </row>
    <row r="5137" spans="1:8">
      <c r="A5137" s="1"/>
      <c r="B5137" s="1"/>
      <c r="C5137" s="1"/>
      <c r="D5137" s="1"/>
      <c r="E5137" s="357">
        <v>45681</v>
      </c>
      <c r="F5137" s="344" t="s">
        <v>621</v>
      </c>
      <c r="G5137" s="358">
        <v>39.252699999999997</v>
      </c>
      <c r="H5137" s="344" t="s">
        <v>1919</v>
      </c>
    </row>
    <row r="5138" spans="1:8">
      <c r="A5138" s="1"/>
      <c r="B5138" s="1"/>
      <c r="C5138" s="1"/>
      <c r="D5138" s="1"/>
      <c r="E5138" s="357">
        <v>45681</v>
      </c>
      <c r="F5138" s="344" t="s">
        <v>625</v>
      </c>
      <c r="G5138" s="358">
        <v>37.307299999999998</v>
      </c>
      <c r="H5138" s="344" t="s">
        <v>1919</v>
      </c>
    </row>
    <row r="5139" spans="1:8">
      <c r="A5139" s="1"/>
      <c r="B5139" s="1"/>
      <c r="C5139" s="1"/>
      <c r="D5139" s="1"/>
      <c r="E5139" s="357">
        <v>45681</v>
      </c>
      <c r="F5139" s="344" t="s">
        <v>628</v>
      </c>
      <c r="G5139" s="358">
        <v>44.106299999999997</v>
      </c>
      <c r="H5139" s="344" t="s">
        <v>1919</v>
      </c>
    </row>
    <row r="5140" spans="1:8">
      <c r="A5140" s="1"/>
      <c r="B5140" s="1"/>
      <c r="C5140" s="1"/>
      <c r="D5140" s="1"/>
      <c r="E5140" s="357">
        <v>45681</v>
      </c>
      <c r="F5140" s="344" t="s">
        <v>631</v>
      </c>
      <c r="G5140" s="358">
        <v>35.599400000000003</v>
      </c>
      <c r="H5140" s="344" t="s">
        <v>1919</v>
      </c>
    </row>
    <row r="5141" spans="1:8">
      <c r="A5141" s="1"/>
      <c r="B5141" s="1"/>
      <c r="C5141" s="1"/>
      <c r="D5141" s="1"/>
      <c r="E5141" s="357">
        <v>45684</v>
      </c>
      <c r="F5141" s="344" t="s">
        <v>621</v>
      </c>
      <c r="G5141" s="358">
        <v>39.435200000000002</v>
      </c>
      <c r="H5141" s="344" t="s">
        <v>1920</v>
      </c>
    </row>
    <row r="5142" spans="1:8">
      <c r="A5142" s="1"/>
      <c r="B5142" s="1"/>
      <c r="C5142" s="1"/>
      <c r="D5142" s="1"/>
      <c r="E5142" s="357">
        <v>45684</v>
      </c>
      <c r="F5142" s="344" t="s">
        <v>625</v>
      </c>
      <c r="G5142" s="358">
        <v>37.391500000000001</v>
      </c>
      <c r="H5142" s="344" t="s">
        <v>1920</v>
      </c>
    </row>
    <row r="5143" spans="1:8">
      <c r="A5143" s="1"/>
      <c r="B5143" s="1"/>
      <c r="C5143" s="1"/>
      <c r="D5143" s="1"/>
      <c r="E5143" s="357">
        <v>45684</v>
      </c>
      <c r="F5143" s="344" t="s">
        <v>628</v>
      </c>
      <c r="G5143" s="358">
        <v>44.391100000000002</v>
      </c>
      <c r="H5143" s="344" t="s">
        <v>1920</v>
      </c>
    </row>
    <row r="5144" spans="1:8">
      <c r="A5144" s="1"/>
      <c r="B5144" s="1"/>
      <c r="C5144" s="1"/>
      <c r="D5144" s="1"/>
      <c r="E5144" s="357">
        <v>45684</v>
      </c>
      <c r="F5144" s="344" t="s">
        <v>631</v>
      </c>
      <c r="G5144" s="358">
        <v>35.660200000000003</v>
      </c>
      <c r="H5144" s="344" t="s">
        <v>1920</v>
      </c>
    </row>
    <row r="5145" spans="1:8">
      <c r="A5145" s="1"/>
      <c r="B5145" s="1"/>
      <c r="C5145" s="1"/>
      <c r="D5145" s="1"/>
      <c r="E5145" s="357">
        <v>45685</v>
      </c>
      <c r="F5145" s="344" t="s">
        <v>621</v>
      </c>
      <c r="G5145" s="358">
        <v>39.301900000000003</v>
      </c>
      <c r="H5145" s="344" t="s">
        <v>1921</v>
      </c>
    </row>
    <row r="5146" spans="1:8">
      <c r="A5146" s="1"/>
      <c r="B5146" s="1"/>
      <c r="C5146" s="1"/>
      <c r="D5146" s="1"/>
      <c r="E5146" s="357">
        <v>45685</v>
      </c>
      <c r="F5146" s="344" t="s">
        <v>625</v>
      </c>
      <c r="G5146" s="358">
        <v>37.233499999999999</v>
      </c>
      <c r="H5146" s="344" t="s">
        <v>1921</v>
      </c>
    </row>
    <row r="5147" spans="1:8">
      <c r="A5147" s="1"/>
      <c r="B5147" s="1"/>
      <c r="C5147" s="1"/>
      <c r="D5147" s="1"/>
      <c r="E5147" s="357">
        <v>45685</v>
      </c>
      <c r="F5147" s="344" t="s">
        <v>628</v>
      </c>
      <c r="G5147" s="358">
        <v>44.321899999999999</v>
      </c>
      <c r="H5147" s="344" t="s">
        <v>1921</v>
      </c>
    </row>
    <row r="5148" spans="1:8">
      <c r="A5148" s="1"/>
      <c r="B5148" s="1"/>
      <c r="C5148" s="1"/>
      <c r="D5148" s="1"/>
      <c r="E5148" s="357">
        <v>45685</v>
      </c>
      <c r="F5148" s="344" t="s">
        <v>631</v>
      </c>
      <c r="G5148" s="358">
        <v>35.697800000000001</v>
      </c>
      <c r="H5148" s="344" t="s">
        <v>1921</v>
      </c>
    </row>
    <row r="5149" spans="1:8">
      <c r="A5149" s="1"/>
      <c r="B5149" s="1"/>
      <c r="C5149" s="1"/>
      <c r="D5149" s="1"/>
      <c r="E5149" s="357">
        <v>45686</v>
      </c>
      <c r="F5149" s="344" t="s">
        <v>621</v>
      </c>
      <c r="G5149" s="358">
        <v>39.335099999999997</v>
      </c>
      <c r="H5149" s="344" t="s">
        <v>1922</v>
      </c>
    </row>
    <row r="5150" spans="1:8">
      <c r="A5150" s="1"/>
      <c r="B5150" s="1"/>
      <c r="C5150" s="1"/>
      <c r="D5150" s="1"/>
      <c r="E5150" s="357">
        <v>45686</v>
      </c>
      <c r="F5150" s="344" t="s">
        <v>625</v>
      </c>
      <c r="G5150" s="358">
        <v>37.186500000000002</v>
      </c>
      <c r="H5150" s="344" t="s">
        <v>1922</v>
      </c>
    </row>
    <row r="5151" spans="1:8">
      <c r="A5151" s="1"/>
      <c r="B5151" s="1"/>
      <c r="C5151" s="1"/>
      <c r="D5151" s="1"/>
      <c r="E5151" s="357">
        <v>45686</v>
      </c>
      <c r="F5151" s="344" t="s">
        <v>628</v>
      </c>
      <c r="G5151" s="358">
        <v>44.320399999999999</v>
      </c>
      <c r="H5151" s="344" t="s">
        <v>1922</v>
      </c>
    </row>
    <row r="5152" spans="1:8">
      <c r="A5152" s="1"/>
      <c r="B5152" s="1"/>
      <c r="C5152" s="1"/>
      <c r="D5152" s="1"/>
      <c r="E5152" s="357">
        <v>45686</v>
      </c>
      <c r="F5152" s="344" t="s">
        <v>631</v>
      </c>
      <c r="G5152" s="358">
        <v>35.706699999999998</v>
      </c>
      <c r="H5152" s="344" t="s">
        <v>1922</v>
      </c>
    </row>
    <row r="5153" spans="1:8">
      <c r="A5153" s="1"/>
      <c r="B5153" s="1"/>
      <c r="C5153" s="1"/>
      <c r="D5153" s="1"/>
      <c r="E5153" s="357">
        <v>45687</v>
      </c>
      <c r="F5153" s="344" t="s">
        <v>621</v>
      </c>
      <c r="G5153" s="358">
        <v>39.282200000000003</v>
      </c>
      <c r="H5153" s="344" t="s">
        <v>1923</v>
      </c>
    </row>
    <row r="5154" spans="1:8">
      <c r="A5154" s="1"/>
      <c r="B5154" s="1"/>
      <c r="C5154" s="1"/>
      <c r="D5154" s="1"/>
      <c r="E5154" s="357">
        <v>45687</v>
      </c>
      <c r="F5154" s="344" t="s">
        <v>625</v>
      </c>
      <c r="G5154" s="358">
        <v>37.184399999999997</v>
      </c>
      <c r="H5154" s="344" t="s">
        <v>1923</v>
      </c>
    </row>
    <row r="5155" spans="1:8">
      <c r="A5155" s="1"/>
      <c r="B5155" s="1"/>
      <c r="C5155" s="1"/>
      <c r="D5155" s="1"/>
      <c r="E5155" s="357">
        <v>45687</v>
      </c>
      <c r="F5155" s="344" t="s">
        <v>628</v>
      </c>
      <c r="G5155" s="358">
        <v>44.367600000000003</v>
      </c>
      <c r="H5155" s="344" t="s">
        <v>1923</v>
      </c>
    </row>
    <row r="5156" spans="1:8">
      <c r="A5156" s="1"/>
      <c r="B5156" s="1"/>
      <c r="C5156" s="1"/>
      <c r="D5156" s="1"/>
      <c r="E5156" s="357">
        <v>45687</v>
      </c>
      <c r="F5156" s="344" t="s">
        <v>631</v>
      </c>
      <c r="G5156" s="358">
        <v>35.720999999999997</v>
      </c>
      <c r="H5156" s="344" t="s">
        <v>1923</v>
      </c>
    </row>
    <row r="5157" spans="1:8">
      <c r="A5157" s="1"/>
      <c r="B5157" s="1"/>
      <c r="C5157" s="1"/>
      <c r="D5157" s="1"/>
      <c r="E5157" s="357">
        <v>45688</v>
      </c>
      <c r="F5157" s="344" t="s">
        <v>621</v>
      </c>
      <c r="G5157" s="358">
        <v>39.184399999999997</v>
      </c>
      <c r="H5157" s="344" t="s">
        <v>1924</v>
      </c>
    </row>
    <row r="5158" spans="1:8">
      <c r="A5158" s="1"/>
      <c r="B5158" s="1"/>
      <c r="C5158" s="1"/>
      <c r="D5158" s="1"/>
      <c r="E5158" s="357">
        <v>45688</v>
      </c>
      <c r="F5158" s="344" t="s">
        <v>625</v>
      </c>
      <c r="G5158" s="358">
        <v>37.146099999999997</v>
      </c>
      <c r="H5158" s="344" t="s">
        <v>1924</v>
      </c>
    </row>
    <row r="5159" spans="1:8">
      <c r="A5159" s="1"/>
      <c r="B5159" s="1"/>
      <c r="C5159" s="1"/>
      <c r="D5159" s="1"/>
      <c r="E5159" s="357">
        <v>45688</v>
      </c>
      <c r="F5159" s="344" t="s">
        <v>628</v>
      </c>
      <c r="G5159" s="358">
        <v>44.346499999999999</v>
      </c>
      <c r="H5159" s="344" t="s">
        <v>1924</v>
      </c>
    </row>
    <row r="5160" spans="1:8">
      <c r="A5160" s="1"/>
      <c r="B5160" s="1"/>
      <c r="C5160" s="1"/>
      <c r="D5160" s="1"/>
      <c r="E5160" s="357">
        <v>45688</v>
      </c>
      <c r="F5160" s="344" t="s">
        <v>631</v>
      </c>
      <c r="G5160" s="358">
        <v>35.762999999999998</v>
      </c>
      <c r="H5160" s="344" t="s">
        <v>1924</v>
      </c>
    </row>
    <row r="5161" spans="1:8">
      <c r="A5161" s="1"/>
      <c r="B5161" s="1"/>
      <c r="C5161" s="1"/>
      <c r="D5161" s="1"/>
      <c r="E5161" s="357">
        <v>45691</v>
      </c>
      <c r="F5161" s="344" t="s">
        <v>621</v>
      </c>
      <c r="G5161" s="358">
        <v>39.061700000000002</v>
      </c>
      <c r="H5161" s="344" t="s">
        <v>1925</v>
      </c>
    </row>
    <row r="5162" spans="1:8">
      <c r="A5162" s="1"/>
      <c r="B5162" s="1"/>
      <c r="C5162" s="1"/>
      <c r="D5162" s="1"/>
      <c r="E5162" s="357">
        <v>45691</v>
      </c>
      <c r="F5162" s="344" t="s">
        <v>625</v>
      </c>
      <c r="G5162" s="358">
        <v>36.762999999999998</v>
      </c>
      <c r="H5162" s="344" t="s">
        <v>1925</v>
      </c>
    </row>
    <row r="5163" spans="1:8">
      <c r="A5163" s="1"/>
      <c r="B5163" s="1"/>
      <c r="C5163" s="1"/>
      <c r="D5163" s="1"/>
      <c r="E5163" s="357">
        <v>45691</v>
      </c>
      <c r="F5163" s="344" t="s">
        <v>628</v>
      </c>
      <c r="G5163" s="358">
        <v>44.086399999999998</v>
      </c>
      <c r="H5163" s="344" t="s">
        <v>1925</v>
      </c>
    </row>
    <row r="5164" spans="1:8">
      <c r="A5164" s="1"/>
      <c r="B5164" s="1"/>
      <c r="C5164" s="1"/>
      <c r="D5164" s="1"/>
      <c r="E5164" s="357">
        <v>45691</v>
      </c>
      <c r="F5164" s="344" t="s">
        <v>631</v>
      </c>
      <c r="G5164" s="358">
        <v>35.902200000000001</v>
      </c>
      <c r="H5164" s="344" t="s">
        <v>1925</v>
      </c>
    </row>
    <row r="5165" spans="1:8">
      <c r="A5165" s="1"/>
      <c r="B5165" s="1"/>
      <c r="C5165" s="1"/>
      <c r="D5165" s="1"/>
      <c r="E5165" s="357">
        <v>45692</v>
      </c>
      <c r="F5165" s="344" t="s">
        <v>621</v>
      </c>
      <c r="G5165" s="358">
        <v>39.361499999999999</v>
      </c>
      <c r="H5165" s="344" t="s">
        <v>1926</v>
      </c>
    </row>
    <row r="5166" spans="1:8">
      <c r="A5166" s="1"/>
      <c r="B5166" s="1"/>
      <c r="C5166" s="1"/>
      <c r="D5166" s="1"/>
      <c r="E5166" s="357">
        <v>45692</v>
      </c>
      <c r="F5166" s="344" t="s">
        <v>625</v>
      </c>
      <c r="G5166" s="358">
        <v>37.0822</v>
      </c>
      <c r="H5166" s="344" t="s">
        <v>1926</v>
      </c>
    </row>
    <row r="5167" spans="1:8">
      <c r="A5167" s="1"/>
      <c r="B5167" s="1"/>
      <c r="C5167" s="1"/>
      <c r="D5167" s="1"/>
      <c r="E5167" s="357">
        <v>45692</v>
      </c>
      <c r="F5167" s="344" t="s">
        <v>628</v>
      </c>
      <c r="G5167" s="358">
        <v>44.520899999999997</v>
      </c>
      <c r="H5167" s="344" t="s">
        <v>1926</v>
      </c>
    </row>
    <row r="5168" spans="1:8">
      <c r="A5168" s="1"/>
      <c r="B5168" s="1"/>
      <c r="C5168" s="1"/>
      <c r="D5168" s="1"/>
      <c r="E5168" s="357">
        <v>45692</v>
      </c>
      <c r="F5168" s="344" t="s">
        <v>631</v>
      </c>
      <c r="G5168" s="358">
        <v>35.916400000000003</v>
      </c>
      <c r="H5168" s="344" t="s">
        <v>1926</v>
      </c>
    </row>
    <row r="5169" spans="1:8">
      <c r="A5169" s="1"/>
      <c r="B5169" s="1"/>
      <c r="C5169" s="1"/>
      <c r="D5169" s="1"/>
      <c r="E5169" s="357">
        <v>45693</v>
      </c>
      <c r="F5169" s="344" t="s">
        <v>621</v>
      </c>
      <c r="G5169" s="358">
        <v>39.634900000000002</v>
      </c>
      <c r="H5169" s="344" t="s">
        <v>1927</v>
      </c>
    </row>
    <row r="5170" spans="1:8">
      <c r="A5170" s="1"/>
      <c r="B5170" s="1"/>
      <c r="C5170" s="1"/>
      <c r="D5170" s="1"/>
      <c r="E5170" s="357">
        <v>45693</v>
      </c>
      <c r="F5170" s="344" t="s">
        <v>625</v>
      </c>
      <c r="G5170" s="358">
        <v>37.322200000000002</v>
      </c>
      <c r="H5170" s="344" t="s">
        <v>1927</v>
      </c>
    </row>
    <row r="5171" spans="1:8">
      <c r="A5171" s="1"/>
      <c r="B5171" s="1"/>
      <c r="C5171" s="1"/>
      <c r="D5171" s="1"/>
      <c r="E5171" s="357">
        <v>45693</v>
      </c>
      <c r="F5171" s="344" t="s">
        <v>628</v>
      </c>
      <c r="G5171" s="358">
        <v>44.8018</v>
      </c>
      <c r="H5171" s="344" t="s">
        <v>1927</v>
      </c>
    </row>
    <row r="5172" spans="1:8">
      <c r="A5172" s="1"/>
      <c r="B5172" s="1"/>
      <c r="C5172" s="1"/>
      <c r="D5172" s="1"/>
      <c r="E5172" s="357">
        <v>45693</v>
      </c>
      <c r="F5172" s="344" t="s">
        <v>631</v>
      </c>
      <c r="G5172" s="358">
        <v>35.868299999999998</v>
      </c>
      <c r="H5172" s="344" t="s">
        <v>1927</v>
      </c>
    </row>
    <row r="5173" spans="1:8">
      <c r="A5173" s="1"/>
      <c r="B5173" s="1"/>
      <c r="C5173" s="1"/>
      <c r="D5173" s="1"/>
      <c r="E5173" s="357">
        <v>45694</v>
      </c>
      <c r="F5173" s="344" t="s">
        <v>621</v>
      </c>
      <c r="G5173" s="358">
        <v>39.531199999999998</v>
      </c>
      <c r="H5173" s="344" t="s">
        <v>1928</v>
      </c>
    </row>
    <row r="5174" spans="1:8">
      <c r="A5174" s="1"/>
      <c r="B5174" s="1"/>
      <c r="C5174" s="1"/>
      <c r="D5174" s="1"/>
      <c r="E5174" s="357">
        <v>45694</v>
      </c>
      <c r="F5174" s="344" t="s">
        <v>625</v>
      </c>
      <c r="G5174" s="358">
        <v>37.1584</v>
      </c>
      <c r="H5174" s="344" t="s">
        <v>1928</v>
      </c>
    </row>
    <row r="5175" spans="1:8">
      <c r="A5175" s="1"/>
      <c r="B5175" s="1"/>
      <c r="C5175" s="1"/>
      <c r="D5175" s="1"/>
      <c r="E5175" s="357">
        <v>45694</v>
      </c>
      <c r="F5175" s="344" t="s">
        <v>628</v>
      </c>
      <c r="G5175" s="358">
        <v>44.521799999999999</v>
      </c>
      <c r="H5175" s="344" t="s">
        <v>1928</v>
      </c>
    </row>
    <row r="5176" spans="1:8">
      <c r="A5176" s="1"/>
      <c r="B5176" s="1"/>
      <c r="C5176" s="1"/>
      <c r="D5176" s="1"/>
      <c r="E5176" s="357">
        <v>45694</v>
      </c>
      <c r="F5176" s="344" t="s">
        <v>631</v>
      </c>
      <c r="G5176" s="358">
        <v>35.833199999999998</v>
      </c>
      <c r="H5176" s="344" t="s">
        <v>1928</v>
      </c>
    </row>
    <row r="5177" spans="1:8">
      <c r="A5177" s="1"/>
      <c r="B5177" s="1"/>
      <c r="C5177" s="1"/>
      <c r="D5177" s="1"/>
      <c r="E5177" s="357">
        <v>45695</v>
      </c>
      <c r="F5177" s="344" t="s">
        <v>621</v>
      </c>
      <c r="G5177" s="358">
        <v>39.521799999999999</v>
      </c>
      <c r="H5177" s="344" t="s">
        <v>1929</v>
      </c>
    </row>
    <row r="5178" spans="1:8">
      <c r="A5178" s="1"/>
      <c r="B5178" s="1"/>
      <c r="C5178" s="1"/>
      <c r="D5178" s="1"/>
      <c r="E5178" s="357">
        <v>45695</v>
      </c>
      <c r="F5178" s="344" t="s">
        <v>625</v>
      </c>
      <c r="G5178" s="358">
        <v>37.293300000000002</v>
      </c>
      <c r="H5178" s="344" t="s">
        <v>1929</v>
      </c>
    </row>
    <row r="5179" spans="1:8">
      <c r="A5179" s="1"/>
      <c r="B5179" s="1"/>
      <c r="C5179" s="1"/>
      <c r="D5179" s="1"/>
      <c r="E5179" s="357">
        <v>45695</v>
      </c>
      <c r="F5179" s="344" t="s">
        <v>628</v>
      </c>
      <c r="G5179" s="358">
        <v>44.623100000000001</v>
      </c>
      <c r="H5179" s="344" t="s">
        <v>1929</v>
      </c>
    </row>
    <row r="5180" spans="1:8">
      <c r="A5180" s="1"/>
      <c r="B5180" s="1"/>
      <c r="C5180" s="1"/>
      <c r="D5180" s="1"/>
      <c r="E5180" s="357">
        <v>45695</v>
      </c>
      <c r="F5180" s="344" t="s">
        <v>631</v>
      </c>
      <c r="G5180" s="358">
        <v>35.905500000000004</v>
      </c>
      <c r="H5180" s="344" t="s">
        <v>1929</v>
      </c>
    </row>
    <row r="5181" spans="1:8">
      <c r="A5181" s="1"/>
      <c r="B5181" s="1"/>
      <c r="C5181" s="1"/>
      <c r="D5181" s="1"/>
      <c r="E5181" s="357">
        <v>45698</v>
      </c>
      <c r="F5181" s="344" t="s">
        <v>621</v>
      </c>
      <c r="G5181" s="358">
        <v>39.391100000000002</v>
      </c>
      <c r="H5181" s="344" t="s">
        <v>1930</v>
      </c>
    </row>
    <row r="5182" spans="1:8">
      <c r="A5182" s="1"/>
      <c r="B5182" s="1"/>
      <c r="C5182" s="1"/>
      <c r="D5182" s="1"/>
      <c r="E5182" s="357">
        <v>45698</v>
      </c>
      <c r="F5182" s="344" t="s">
        <v>625</v>
      </c>
      <c r="G5182" s="358">
        <v>37.101599999999998</v>
      </c>
      <c r="H5182" s="344" t="s">
        <v>1930</v>
      </c>
    </row>
    <row r="5183" spans="1:8">
      <c r="A5183" s="1"/>
      <c r="B5183" s="1"/>
      <c r="C5183" s="1"/>
      <c r="D5183" s="1"/>
      <c r="E5183" s="357">
        <v>45698</v>
      </c>
      <c r="F5183" s="344" t="s">
        <v>628</v>
      </c>
      <c r="G5183" s="358">
        <v>44.517899999999997</v>
      </c>
      <c r="H5183" s="344" t="s">
        <v>1930</v>
      </c>
    </row>
    <row r="5184" spans="1:8">
      <c r="A5184" s="1"/>
      <c r="B5184" s="1"/>
      <c r="C5184" s="1"/>
      <c r="D5184" s="1"/>
      <c r="E5184" s="357">
        <v>45698</v>
      </c>
      <c r="F5184" s="344" t="s">
        <v>631</v>
      </c>
      <c r="G5184" s="358">
        <v>35.945099999999996</v>
      </c>
      <c r="H5184" s="344" t="s">
        <v>1930</v>
      </c>
    </row>
    <row r="5185" spans="1:8">
      <c r="A5185" s="1"/>
      <c r="B5185" s="1"/>
      <c r="C5185" s="1"/>
      <c r="D5185" s="1"/>
      <c r="E5185" s="357">
        <v>45699</v>
      </c>
      <c r="F5185" s="344" t="s">
        <v>621</v>
      </c>
      <c r="G5185" s="358">
        <v>39.339799999999997</v>
      </c>
      <c r="H5185" s="344" t="s">
        <v>1931</v>
      </c>
    </row>
    <row r="5186" spans="1:8">
      <c r="A5186" s="1"/>
      <c r="B5186" s="1"/>
      <c r="C5186" s="1"/>
      <c r="D5186" s="1"/>
      <c r="E5186" s="357">
        <v>45699</v>
      </c>
      <c r="F5186" s="344" t="s">
        <v>625</v>
      </c>
      <c r="G5186" s="358">
        <v>37.088099999999997</v>
      </c>
      <c r="H5186" s="344" t="s">
        <v>1931</v>
      </c>
    </row>
    <row r="5187" spans="1:8">
      <c r="A5187" s="1"/>
      <c r="B5187" s="1"/>
      <c r="C5187" s="1"/>
      <c r="D5187" s="1"/>
      <c r="E5187" s="357">
        <v>45699</v>
      </c>
      <c r="F5187" s="344" t="s">
        <v>628</v>
      </c>
      <c r="G5187" s="358">
        <v>44.363199999999999</v>
      </c>
      <c r="H5187" s="344" t="s">
        <v>1931</v>
      </c>
    </row>
    <row r="5188" spans="1:8">
      <c r="A5188" s="1"/>
      <c r="B5188" s="1"/>
      <c r="C5188" s="1"/>
      <c r="D5188" s="1"/>
      <c r="E5188" s="357">
        <v>45699</v>
      </c>
      <c r="F5188" s="344" t="s">
        <v>631</v>
      </c>
      <c r="G5188" s="358">
        <v>35.959299999999999</v>
      </c>
      <c r="H5188" s="344" t="s">
        <v>1931</v>
      </c>
    </row>
    <row r="5189" spans="1:8">
      <c r="A5189" s="1"/>
      <c r="B5189" s="1"/>
      <c r="C5189" s="1"/>
      <c r="D5189" s="1"/>
      <c r="E5189" s="357">
        <v>45700</v>
      </c>
      <c r="F5189" s="344" t="s">
        <v>621</v>
      </c>
      <c r="G5189" s="358">
        <v>39.433199999999999</v>
      </c>
      <c r="H5189" s="344" t="s">
        <v>1932</v>
      </c>
    </row>
    <row r="5190" spans="1:8">
      <c r="A5190" s="1"/>
      <c r="B5190" s="1"/>
      <c r="C5190" s="1"/>
      <c r="D5190" s="1"/>
      <c r="E5190" s="357">
        <v>45700</v>
      </c>
      <c r="F5190" s="344" t="s">
        <v>625</v>
      </c>
      <c r="G5190" s="358">
        <v>37.366599999999998</v>
      </c>
      <c r="H5190" s="344" t="s">
        <v>1932</v>
      </c>
    </row>
    <row r="5191" spans="1:8">
      <c r="A5191" s="1"/>
      <c r="B5191" s="1"/>
      <c r="C5191" s="1"/>
      <c r="D5191" s="1"/>
      <c r="E5191" s="357">
        <v>45700</v>
      </c>
      <c r="F5191" s="344" t="s">
        <v>628</v>
      </c>
      <c r="G5191" s="358">
        <v>44.770699999999998</v>
      </c>
      <c r="H5191" s="344" t="s">
        <v>1932</v>
      </c>
    </row>
    <row r="5192" spans="1:8">
      <c r="A5192" s="1"/>
      <c r="B5192" s="1"/>
      <c r="C5192" s="1"/>
      <c r="D5192" s="1"/>
      <c r="E5192" s="357">
        <v>45700</v>
      </c>
      <c r="F5192" s="344" t="s">
        <v>631</v>
      </c>
      <c r="G5192" s="358">
        <v>36.027299999999997</v>
      </c>
      <c r="H5192" s="344" t="s">
        <v>1932</v>
      </c>
    </row>
    <row r="5193" spans="1:8">
      <c r="A5193" s="1"/>
      <c r="B5193" s="1"/>
      <c r="C5193" s="1"/>
      <c r="D5193" s="1"/>
      <c r="E5193" s="357">
        <v>45701</v>
      </c>
      <c r="F5193" s="344" t="s">
        <v>621</v>
      </c>
      <c r="G5193" s="358">
        <v>39.587000000000003</v>
      </c>
      <c r="H5193" s="344" t="s">
        <v>1933</v>
      </c>
    </row>
    <row r="5194" spans="1:8">
      <c r="A5194" s="1"/>
      <c r="B5194" s="1"/>
      <c r="C5194" s="1"/>
      <c r="D5194" s="1"/>
      <c r="E5194" s="357">
        <v>45701</v>
      </c>
      <c r="F5194" s="344" t="s">
        <v>625</v>
      </c>
      <c r="G5194" s="358">
        <v>37.555700000000002</v>
      </c>
      <c r="H5194" s="344" t="s">
        <v>1933</v>
      </c>
    </row>
    <row r="5195" spans="1:8">
      <c r="A5195" s="1"/>
      <c r="B5195" s="1"/>
      <c r="C5195" s="1"/>
      <c r="D5195" s="1"/>
      <c r="E5195" s="357">
        <v>45701</v>
      </c>
      <c r="F5195" s="344" t="s">
        <v>628</v>
      </c>
      <c r="G5195" s="358">
        <v>44.938899999999997</v>
      </c>
      <c r="H5195" s="344" t="s">
        <v>1933</v>
      </c>
    </row>
    <row r="5196" spans="1:8">
      <c r="A5196" s="1"/>
      <c r="B5196" s="1"/>
      <c r="C5196" s="1"/>
      <c r="D5196" s="1"/>
      <c r="E5196" s="357">
        <v>45701</v>
      </c>
      <c r="F5196" s="344" t="s">
        <v>631</v>
      </c>
      <c r="G5196" s="358">
        <v>36.044800000000002</v>
      </c>
      <c r="H5196" s="344" t="s">
        <v>1933</v>
      </c>
    </row>
    <row r="5197" spans="1:8">
      <c r="A5197" s="1"/>
      <c r="B5197" s="1"/>
      <c r="C5197" s="1"/>
      <c r="D5197" s="1"/>
      <c r="E5197" s="357">
        <v>45702</v>
      </c>
      <c r="F5197" s="344" t="s">
        <v>621</v>
      </c>
      <c r="G5197" s="358">
        <v>39.899500000000003</v>
      </c>
      <c r="H5197" s="344" t="s">
        <v>1934</v>
      </c>
    </row>
    <row r="5198" spans="1:8">
      <c r="A5198" s="1"/>
      <c r="B5198" s="1"/>
      <c r="C5198" s="1"/>
      <c r="D5198" s="1"/>
      <c r="E5198" s="357">
        <v>45702</v>
      </c>
      <c r="F5198" s="344" t="s">
        <v>625</v>
      </c>
      <c r="G5198" s="358">
        <v>37.799700000000001</v>
      </c>
      <c r="H5198" s="344" t="s">
        <v>1934</v>
      </c>
    </row>
    <row r="5199" spans="1:8">
      <c r="A5199" s="1"/>
      <c r="B5199" s="1"/>
      <c r="C5199" s="1"/>
      <c r="D5199" s="1"/>
      <c r="E5199" s="357">
        <v>45702</v>
      </c>
      <c r="F5199" s="344" t="s">
        <v>628</v>
      </c>
      <c r="G5199" s="358">
        <v>45.330300000000001</v>
      </c>
      <c r="H5199" s="344" t="s">
        <v>1934</v>
      </c>
    </row>
    <row r="5200" spans="1:8">
      <c r="A5200" s="1"/>
      <c r="B5200" s="1"/>
      <c r="C5200" s="1"/>
      <c r="D5200" s="1"/>
      <c r="E5200" s="357">
        <v>45702</v>
      </c>
      <c r="F5200" s="344" t="s">
        <v>631</v>
      </c>
      <c r="G5200" s="358">
        <v>36.106000000000002</v>
      </c>
      <c r="H5200" s="344" t="s">
        <v>1934</v>
      </c>
    </row>
    <row r="5201" spans="1:8">
      <c r="A5201" s="1"/>
      <c r="B5201" s="1"/>
      <c r="C5201" s="1"/>
      <c r="D5201" s="1"/>
      <c r="E5201" s="357">
        <v>45705</v>
      </c>
      <c r="F5201" s="344" t="s">
        <v>621</v>
      </c>
      <c r="G5201" s="358">
        <v>40.057499999999997</v>
      </c>
      <c r="H5201" s="344" t="s">
        <v>1935</v>
      </c>
    </row>
    <row r="5202" spans="1:8">
      <c r="A5202" s="1"/>
      <c r="B5202" s="1"/>
      <c r="C5202" s="1"/>
      <c r="D5202" s="1"/>
      <c r="E5202" s="357">
        <v>45705</v>
      </c>
      <c r="F5202" s="344" t="s">
        <v>625</v>
      </c>
      <c r="G5202" s="358">
        <v>37.896599999999999</v>
      </c>
      <c r="H5202" s="344" t="s">
        <v>1935</v>
      </c>
    </row>
    <row r="5203" spans="1:8">
      <c r="A5203" s="1"/>
      <c r="B5203" s="1"/>
      <c r="C5203" s="1"/>
      <c r="D5203" s="1"/>
      <c r="E5203" s="357">
        <v>45705</v>
      </c>
      <c r="F5203" s="344" t="s">
        <v>628</v>
      </c>
      <c r="G5203" s="358">
        <v>45.462600000000002</v>
      </c>
      <c r="H5203" s="344" t="s">
        <v>1935</v>
      </c>
    </row>
    <row r="5204" spans="1:8">
      <c r="A5204" s="1"/>
      <c r="B5204" s="1"/>
      <c r="C5204" s="1"/>
      <c r="D5204" s="1"/>
      <c r="E5204" s="357">
        <v>45705</v>
      </c>
      <c r="F5204" s="344" t="s">
        <v>631</v>
      </c>
      <c r="G5204" s="358">
        <v>36.152299999999997</v>
      </c>
      <c r="H5204" s="344" t="s">
        <v>1935</v>
      </c>
    </row>
    <row r="5205" spans="1:8">
      <c r="A5205" s="1"/>
      <c r="B5205" s="1"/>
      <c r="C5205" s="1"/>
      <c r="D5205" s="1"/>
      <c r="E5205" s="357">
        <v>45706</v>
      </c>
      <c r="F5205" s="344" t="s">
        <v>621</v>
      </c>
      <c r="G5205" s="358">
        <v>40.066600000000001</v>
      </c>
      <c r="H5205" s="344" t="s">
        <v>1936</v>
      </c>
    </row>
    <row r="5206" spans="1:8">
      <c r="A5206" s="1"/>
      <c r="B5206" s="1"/>
      <c r="C5206" s="1"/>
      <c r="D5206" s="1"/>
      <c r="E5206" s="357">
        <v>45706</v>
      </c>
      <c r="F5206" s="344" t="s">
        <v>625</v>
      </c>
      <c r="G5206" s="358">
        <v>37.867800000000003</v>
      </c>
      <c r="H5206" s="344" t="s">
        <v>1936</v>
      </c>
    </row>
    <row r="5207" spans="1:8">
      <c r="A5207" s="1"/>
      <c r="B5207" s="1"/>
      <c r="C5207" s="1"/>
      <c r="D5207" s="1"/>
      <c r="E5207" s="357">
        <v>45706</v>
      </c>
      <c r="F5207" s="344" t="s">
        <v>628</v>
      </c>
      <c r="G5207" s="358">
        <v>45.5473</v>
      </c>
      <c r="H5207" s="344" t="s">
        <v>1936</v>
      </c>
    </row>
    <row r="5208" spans="1:8">
      <c r="A5208" s="1"/>
      <c r="B5208" s="1"/>
      <c r="C5208" s="1"/>
      <c r="D5208" s="1"/>
      <c r="E5208" s="357">
        <v>45706</v>
      </c>
      <c r="F5208" s="344" t="s">
        <v>631</v>
      </c>
      <c r="G5208" s="358">
        <v>36.196399999999997</v>
      </c>
      <c r="H5208" s="344" t="s">
        <v>1936</v>
      </c>
    </row>
    <row r="5209" spans="1:8">
      <c r="A5209" s="1"/>
      <c r="B5209" s="1"/>
      <c r="C5209" s="1"/>
      <c r="D5209" s="1"/>
      <c r="E5209" s="357">
        <v>45707</v>
      </c>
      <c r="F5209" s="344" t="s">
        <v>621</v>
      </c>
      <c r="G5209" s="358">
        <v>39.981900000000003</v>
      </c>
      <c r="H5209" s="344" t="s">
        <v>1937</v>
      </c>
    </row>
    <row r="5210" spans="1:8">
      <c r="A5210" s="1"/>
      <c r="B5210" s="1"/>
      <c r="C5210" s="1"/>
      <c r="D5210" s="1"/>
      <c r="E5210" s="357">
        <v>45707</v>
      </c>
      <c r="F5210" s="344" t="s">
        <v>625</v>
      </c>
      <c r="G5210" s="358">
        <v>37.811999999999998</v>
      </c>
      <c r="H5210" s="344" t="s">
        <v>1937</v>
      </c>
    </row>
    <row r="5211" spans="1:8">
      <c r="A5211" s="1"/>
      <c r="B5211" s="1"/>
      <c r="C5211" s="1"/>
      <c r="D5211" s="1"/>
      <c r="E5211" s="357">
        <v>45707</v>
      </c>
      <c r="F5211" s="344" t="s">
        <v>628</v>
      </c>
      <c r="G5211" s="358">
        <v>45.5852</v>
      </c>
      <c r="H5211" s="344" t="s">
        <v>1937</v>
      </c>
    </row>
    <row r="5212" spans="1:8">
      <c r="A5212" s="1"/>
      <c r="B5212" s="1"/>
      <c r="C5212" s="1"/>
      <c r="D5212" s="1"/>
      <c r="E5212" s="357">
        <v>45707</v>
      </c>
      <c r="F5212" s="344" t="s">
        <v>631</v>
      </c>
      <c r="G5212" s="358">
        <v>36.226700000000001</v>
      </c>
      <c r="H5212" s="344" t="s">
        <v>1937</v>
      </c>
    </row>
    <row r="5213" spans="1:8">
      <c r="A5213" s="1"/>
      <c r="B5213" s="1"/>
      <c r="C5213" s="1"/>
      <c r="D5213" s="1"/>
      <c r="E5213" s="357">
        <v>45708</v>
      </c>
      <c r="F5213" s="344" t="s">
        <v>621</v>
      </c>
      <c r="G5213" s="358">
        <v>40.079099999999997</v>
      </c>
      <c r="H5213" s="344" t="s">
        <v>1938</v>
      </c>
    </row>
    <row r="5214" spans="1:8">
      <c r="A5214" s="1"/>
      <c r="B5214" s="1"/>
      <c r="C5214" s="1"/>
      <c r="D5214" s="1"/>
      <c r="E5214" s="357">
        <v>45708</v>
      </c>
      <c r="F5214" s="344" t="s">
        <v>625</v>
      </c>
      <c r="G5214" s="358">
        <v>37.821800000000003</v>
      </c>
      <c r="H5214" s="344" t="s">
        <v>1938</v>
      </c>
    </row>
    <row r="5215" spans="1:8">
      <c r="A5215" s="1"/>
      <c r="B5215" s="1"/>
      <c r="C5215" s="1"/>
      <c r="D5215" s="1"/>
      <c r="E5215" s="357">
        <v>45708</v>
      </c>
      <c r="F5215" s="344" t="s">
        <v>628</v>
      </c>
      <c r="G5215" s="358">
        <v>45.614899999999999</v>
      </c>
      <c r="H5215" s="344" t="s">
        <v>1938</v>
      </c>
    </row>
    <row r="5216" spans="1:8">
      <c r="A5216" s="1"/>
      <c r="B5216" s="1"/>
      <c r="C5216" s="1"/>
      <c r="D5216" s="1"/>
      <c r="E5216" s="357">
        <v>45708</v>
      </c>
      <c r="F5216" s="344" t="s">
        <v>631</v>
      </c>
      <c r="G5216" s="358">
        <v>36.247199999999999</v>
      </c>
      <c r="H5216" s="344" t="s">
        <v>1938</v>
      </c>
    </row>
    <row r="5217" spans="1:8">
      <c r="A5217" s="1"/>
      <c r="B5217" s="1"/>
      <c r="C5217" s="1"/>
      <c r="D5217" s="1"/>
      <c r="E5217" s="357">
        <v>45709</v>
      </c>
      <c r="F5217" s="344" t="s">
        <v>621</v>
      </c>
      <c r="G5217" s="358">
        <v>40.3065</v>
      </c>
      <c r="H5217" s="344" t="s">
        <v>1939</v>
      </c>
    </row>
    <row r="5218" spans="1:8">
      <c r="A5218" s="1"/>
      <c r="B5218" s="1"/>
      <c r="C5218" s="1"/>
      <c r="D5218" s="1"/>
      <c r="E5218" s="357">
        <v>45709</v>
      </c>
      <c r="F5218" s="344" t="s">
        <v>625</v>
      </c>
      <c r="G5218" s="358">
        <v>38.0381</v>
      </c>
      <c r="H5218" s="344" t="s">
        <v>1939</v>
      </c>
    </row>
    <row r="5219" spans="1:8">
      <c r="A5219" s="1"/>
      <c r="B5219" s="1"/>
      <c r="C5219" s="1"/>
      <c r="D5219" s="1"/>
      <c r="E5219" s="357">
        <v>45709</v>
      </c>
      <c r="F5219" s="344" t="s">
        <v>628</v>
      </c>
      <c r="G5219" s="358">
        <v>45.868299999999998</v>
      </c>
      <c r="H5219" s="344" t="s">
        <v>1939</v>
      </c>
    </row>
    <row r="5220" spans="1:8">
      <c r="A5220" s="1"/>
      <c r="B5220" s="1"/>
      <c r="C5220" s="1"/>
      <c r="D5220" s="1"/>
      <c r="E5220" s="357">
        <v>45709</v>
      </c>
      <c r="F5220" s="344" t="s">
        <v>631</v>
      </c>
      <c r="G5220" s="358">
        <v>36.305999999999997</v>
      </c>
      <c r="H5220" s="344" t="s">
        <v>1939</v>
      </c>
    </row>
    <row r="5221" spans="1:8">
      <c r="A5221" s="1"/>
      <c r="B5221" s="1"/>
      <c r="C5221" s="1"/>
      <c r="D5221" s="1"/>
      <c r="E5221" s="357">
        <v>45712</v>
      </c>
      <c r="F5221" s="344" t="s">
        <v>621</v>
      </c>
      <c r="G5221" s="358">
        <v>40.386699999999998</v>
      </c>
      <c r="H5221" s="344" t="s">
        <v>1940</v>
      </c>
    </row>
    <row r="5222" spans="1:8">
      <c r="A5222" s="1"/>
      <c r="B5222" s="1"/>
      <c r="C5222" s="1"/>
      <c r="D5222" s="1"/>
      <c r="E5222" s="357">
        <v>45712</v>
      </c>
      <c r="F5222" s="344" t="s">
        <v>625</v>
      </c>
      <c r="G5222" s="358">
        <v>38.113500000000002</v>
      </c>
      <c r="H5222" s="344" t="s">
        <v>1940</v>
      </c>
    </row>
    <row r="5223" spans="1:8">
      <c r="A5223" s="1"/>
      <c r="B5223" s="1"/>
      <c r="C5223" s="1"/>
      <c r="D5223" s="1"/>
      <c r="E5223" s="357">
        <v>45712</v>
      </c>
      <c r="F5223" s="344" t="s">
        <v>628</v>
      </c>
      <c r="G5223" s="358">
        <v>45.900100000000002</v>
      </c>
      <c r="H5223" s="344" t="s">
        <v>1940</v>
      </c>
    </row>
    <row r="5224" spans="1:8">
      <c r="A5224" s="1"/>
      <c r="B5224" s="1"/>
      <c r="C5224" s="1"/>
      <c r="D5224" s="1"/>
      <c r="E5224" s="357">
        <v>45712</v>
      </c>
      <c r="F5224" s="344" t="s">
        <v>631</v>
      </c>
      <c r="G5224" s="358">
        <v>36.356299999999997</v>
      </c>
      <c r="H5224" s="344" t="s">
        <v>1940</v>
      </c>
    </row>
    <row r="5225" spans="1:8">
      <c r="A5225" s="1"/>
      <c r="B5225" s="1"/>
      <c r="C5225" s="1"/>
      <c r="D5225" s="1"/>
      <c r="E5225" s="357">
        <v>45713</v>
      </c>
      <c r="F5225" s="344" t="s">
        <v>621</v>
      </c>
      <c r="G5225" s="358">
        <v>40.502499999999998</v>
      </c>
      <c r="H5225" s="344" t="s">
        <v>1941</v>
      </c>
    </row>
    <row r="5226" spans="1:8">
      <c r="A5226" s="1"/>
      <c r="B5226" s="1"/>
      <c r="C5226" s="1"/>
      <c r="D5226" s="1"/>
      <c r="E5226" s="357">
        <v>45713</v>
      </c>
      <c r="F5226" s="344" t="s">
        <v>625</v>
      </c>
      <c r="G5226" s="358">
        <v>38.114400000000003</v>
      </c>
      <c r="H5226" s="344" t="s">
        <v>1941</v>
      </c>
    </row>
    <row r="5227" spans="1:8">
      <c r="A5227" s="1"/>
      <c r="B5227" s="1"/>
      <c r="C5227" s="1"/>
      <c r="D5227" s="1"/>
      <c r="E5227" s="357">
        <v>45713</v>
      </c>
      <c r="F5227" s="344" t="s">
        <v>628</v>
      </c>
      <c r="G5227" s="358">
        <v>45.871600000000001</v>
      </c>
      <c r="H5227" s="344" t="s">
        <v>1941</v>
      </c>
    </row>
    <row r="5228" spans="1:8">
      <c r="A5228" s="1"/>
      <c r="B5228" s="1"/>
      <c r="C5228" s="1"/>
      <c r="D5228" s="1"/>
      <c r="E5228" s="357">
        <v>45713</v>
      </c>
      <c r="F5228" s="344" t="s">
        <v>631</v>
      </c>
      <c r="G5228" s="358">
        <v>36.387500000000003</v>
      </c>
      <c r="H5228" s="344" t="s">
        <v>1941</v>
      </c>
    </row>
    <row r="5229" spans="1:8">
      <c r="A5229" s="1"/>
      <c r="B5229" s="1"/>
      <c r="C5229" s="1"/>
      <c r="D5229" s="1"/>
      <c r="E5229" s="357">
        <v>45714</v>
      </c>
      <c r="F5229" s="344" t="s">
        <v>621</v>
      </c>
      <c r="G5229" s="358">
        <v>40.549700000000001</v>
      </c>
      <c r="H5229" s="344" t="s">
        <v>1942</v>
      </c>
    </row>
    <row r="5230" spans="1:8">
      <c r="A5230" s="1"/>
      <c r="B5230" s="1"/>
      <c r="C5230" s="1"/>
      <c r="D5230" s="1"/>
      <c r="E5230" s="357">
        <v>45714</v>
      </c>
      <c r="F5230" s="344" t="s">
        <v>625</v>
      </c>
      <c r="G5230" s="358">
        <v>38.176299999999998</v>
      </c>
      <c r="H5230" s="344" t="s">
        <v>1942</v>
      </c>
    </row>
    <row r="5231" spans="1:8">
      <c r="A5231" s="1"/>
      <c r="B5231" s="1"/>
      <c r="C5231" s="1"/>
      <c r="D5231" s="1"/>
      <c r="E5231" s="357">
        <v>45714</v>
      </c>
      <c r="F5231" s="344" t="s">
        <v>628</v>
      </c>
      <c r="G5231" s="358">
        <v>45.9298</v>
      </c>
      <c r="H5231" s="344" t="s">
        <v>1942</v>
      </c>
    </row>
    <row r="5232" spans="1:8">
      <c r="A5232" s="1"/>
      <c r="B5232" s="1"/>
      <c r="C5232" s="1"/>
      <c r="D5232" s="1"/>
      <c r="E5232" s="357">
        <v>45714</v>
      </c>
      <c r="F5232" s="344" t="s">
        <v>631</v>
      </c>
      <c r="G5232" s="358">
        <v>36.371699999999997</v>
      </c>
      <c r="H5232" s="344" t="s">
        <v>1942</v>
      </c>
    </row>
    <row r="5233" spans="1:8">
      <c r="A5233" s="1"/>
      <c r="B5233" s="1"/>
      <c r="C5233" s="1"/>
      <c r="D5233" s="1"/>
      <c r="E5233" s="357">
        <v>45715</v>
      </c>
      <c r="F5233" s="344" t="s">
        <v>621</v>
      </c>
      <c r="G5233" s="358">
        <v>40.432899999999997</v>
      </c>
      <c r="H5233" s="344" t="s">
        <v>1943</v>
      </c>
    </row>
    <row r="5234" spans="1:8">
      <c r="A5234" s="1"/>
      <c r="B5234" s="1"/>
      <c r="C5234" s="1"/>
      <c r="D5234" s="1"/>
      <c r="E5234" s="357">
        <v>45715</v>
      </c>
      <c r="F5234" s="344" t="s">
        <v>625</v>
      </c>
      <c r="G5234" s="358">
        <v>38.103999999999999</v>
      </c>
      <c r="H5234" s="344" t="s">
        <v>1943</v>
      </c>
    </row>
    <row r="5235" spans="1:8">
      <c r="A5235" s="1"/>
      <c r="B5235" s="1"/>
      <c r="C5235" s="1"/>
      <c r="D5235" s="1"/>
      <c r="E5235" s="357">
        <v>45715</v>
      </c>
      <c r="F5235" s="344" t="s">
        <v>628</v>
      </c>
      <c r="G5235" s="358">
        <v>46.003500000000003</v>
      </c>
      <c r="H5235" s="344" t="s">
        <v>1943</v>
      </c>
    </row>
    <row r="5236" spans="1:8">
      <c r="A5236" s="1"/>
      <c r="B5236" s="1"/>
      <c r="C5236" s="1"/>
      <c r="D5236" s="1"/>
      <c r="E5236" s="357">
        <v>45715</v>
      </c>
      <c r="F5236" s="344" t="s">
        <v>631</v>
      </c>
      <c r="G5236" s="358">
        <v>36.365200000000002</v>
      </c>
      <c r="H5236" s="344" t="s">
        <v>1943</v>
      </c>
    </row>
    <row r="5237" spans="1:8">
      <c r="A5237" s="1"/>
      <c r="B5237" s="1"/>
      <c r="C5237" s="1"/>
      <c r="D5237" s="1"/>
      <c r="E5237" s="357">
        <v>45716</v>
      </c>
      <c r="F5237" s="344" t="s">
        <v>621</v>
      </c>
      <c r="G5237" s="358">
        <v>40.255200000000002</v>
      </c>
      <c r="H5237" s="344" t="s">
        <v>1944</v>
      </c>
    </row>
    <row r="5238" spans="1:8">
      <c r="A5238" s="1"/>
      <c r="B5238" s="1"/>
      <c r="C5238" s="1"/>
      <c r="D5238" s="1"/>
      <c r="E5238" s="357">
        <v>45716</v>
      </c>
      <c r="F5238" s="344" t="s">
        <v>625</v>
      </c>
      <c r="G5238" s="358">
        <v>37.823399999999999</v>
      </c>
      <c r="H5238" s="344" t="s">
        <v>1944</v>
      </c>
    </row>
    <row r="5239" spans="1:8">
      <c r="A5239" s="1"/>
      <c r="B5239" s="1"/>
      <c r="C5239" s="1"/>
      <c r="D5239" s="1"/>
      <c r="E5239" s="357">
        <v>45716</v>
      </c>
      <c r="F5239" s="344" t="s">
        <v>628</v>
      </c>
      <c r="G5239" s="358">
        <v>45.732599999999998</v>
      </c>
      <c r="H5239" s="344" t="s">
        <v>1944</v>
      </c>
    </row>
    <row r="5240" spans="1:8">
      <c r="A5240" s="1"/>
      <c r="B5240" s="1"/>
      <c r="C5240" s="1"/>
      <c r="D5240" s="1"/>
      <c r="E5240" s="357">
        <v>45716</v>
      </c>
      <c r="F5240" s="344" t="s">
        <v>631</v>
      </c>
      <c r="G5240" s="358">
        <v>36.3812</v>
      </c>
      <c r="H5240" s="344" t="s">
        <v>1944</v>
      </c>
    </row>
    <row r="5241" spans="1:8">
      <c r="A5241" s="1"/>
      <c r="B5241" s="1"/>
      <c r="C5241" s="1"/>
      <c r="D5241" s="1"/>
      <c r="E5241" s="357">
        <v>45719</v>
      </c>
      <c r="F5241" s="344" t="s">
        <v>621</v>
      </c>
      <c r="G5241" s="358">
        <v>40.292299999999997</v>
      </c>
      <c r="H5241" s="344" t="s">
        <v>1945</v>
      </c>
    </row>
    <row r="5242" spans="1:8">
      <c r="A5242" s="1"/>
      <c r="B5242" s="1"/>
      <c r="C5242" s="1"/>
      <c r="D5242" s="1"/>
      <c r="E5242" s="357">
        <v>45719</v>
      </c>
      <c r="F5242" s="344" t="s">
        <v>625</v>
      </c>
      <c r="G5242" s="358">
        <v>37.950699999999998</v>
      </c>
      <c r="H5242" s="344" t="s">
        <v>1945</v>
      </c>
    </row>
    <row r="5243" spans="1:8">
      <c r="A5243" s="1"/>
      <c r="B5243" s="1"/>
      <c r="C5243" s="1"/>
      <c r="D5243" s="1"/>
      <c r="E5243" s="357">
        <v>45719</v>
      </c>
      <c r="F5243" s="344" t="s">
        <v>628</v>
      </c>
      <c r="G5243" s="358">
        <v>45.874400000000001</v>
      </c>
      <c r="H5243" s="344" t="s">
        <v>1945</v>
      </c>
    </row>
    <row r="5244" spans="1:8">
      <c r="A5244" s="1"/>
      <c r="B5244" s="1"/>
      <c r="C5244" s="1"/>
      <c r="D5244" s="1"/>
      <c r="E5244" s="357">
        <v>45719</v>
      </c>
      <c r="F5244" s="344" t="s">
        <v>631</v>
      </c>
      <c r="G5244" s="358">
        <v>36.409700000000001</v>
      </c>
      <c r="H5244" s="344" t="s">
        <v>1945</v>
      </c>
    </row>
    <row r="5245" spans="1:8">
      <c r="A5245" s="1"/>
      <c r="B5245" s="1"/>
      <c r="C5245" s="1"/>
      <c r="D5245" s="1"/>
      <c r="E5245" s="357">
        <v>45720</v>
      </c>
      <c r="F5245" s="344" t="s">
        <v>621</v>
      </c>
      <c r="G5245" s="358">
        <v>40.684399999999997</v>
      </c>
      <c r="H5245" s="344" t="s">
        <v>1946</v>
      </c>
    </row>
    <row r="5246" spans="1:8">
      <c r="A5246" s="1"/>
      <c r="B5246" s="1"/>
      <c r="C5246" s="1"/>
      <c r="D5246" s="1"/>
      <c r="E5246" s="357">
        <v>45720</v>
      </c>
      <c r="F5246" s="344" t="s">
        <v>625</v>
      </c>
      <c r="G5246" s="358">
        <v>38.260599999999997</v>
      </c>
      <c r="H5246" s="344" t="s">
        <v>1946</v>
      </c>
    </row>
    <row r="5247" spans="1:8">
      <c r="A5247" s="1"/>
      <c r="B5247" s="1"/>
      <c r="C5247" s="1"/>
      <c r="D5247" s="1"/>
      <c r="E5247" s="357">
        <v>45720</v>
      </c>
      <c r="F5247" s="344" t="s">
        <v>628</v>
      </c>
      <c r="G5247" s="358">
        <v>46.217399999999998</v>
      </c>
      <c r="H5247" s="344" t="s">
        <v>1946</v>
      </c>
    </row>
    <row r="5248" spans="1:8">
      <c r="A5248" s="1"/>
      <c r="B5248" s="1"/>
      <c r="C5248" s="1"/>
      <c r="D5248" s="1"/>
      <c r="E5248" s="357">
        <v>45720</v>
      </c>
      <c r="F5248" s="344" t="s">
        <v>631</v>
      </c>
      <c r="G5248" s="358">
        <v>36.4011</v>
      </c>
      <c r="H5248" s="344" t="s">
        <v>1946</v>
      </c>
    </row>
    <row r="5249" spans="1:8">
      <c r="A5249" s="1"/>
      <c r="B5249" s="1"/>
      <c r="C5249" s="1"/>
      <c r="D5249" s="1"/>
      <c r="E5249" s="357">
        <v>45721</v>
      </c>
      <c r="F5249" s="344" t="s">
        <v>621</v>
      </c>
      <c r="G5249" s="358">
        <v>40.8812</v>
      </c>
      <c r="H5249" s="344" t="s">
        <v>1947</v>
      </c>
    </row>
    <row r="5250" spans="1:8">
      <c r="A5250" s="1"/>
      <c r="B5250" s="1"/>
      <c r="C5250" s="1"/>
      <c r="D5250" s="1"/>
      <c r="E5250" s="357">
        <v>45721</v>
      </c>
      <c r="F5250" s="344" t="s">
        <v>625</v>
      </c>
      <c r="G5250" s="358">
        <v>38.8476</v>
      </c>
      <c r="H5250" s="344" t="s">
        <v>1947</v>
      </c>
    </row>
    <row r="5251" spans="1:8">
      <c r="A5251" s="1"/>
      <c r="B5251" s="1"/>
      <c r="C5251" s="1"/>
      <c r="D5251" s="1"/>
      <c r="E5251" s="357">
        <v>45721</v>
      </c>
      <c r="F5251" s="344" t="s">
        <v>628</v>
      </c>
      <c r="G5251" s="358">
        <v>46.563400000000001</v>
      </c>
      <c r="H5251" s="344" t="s">
        <v>1947</v>
      </c>
    </row>
    <row r="5252" spans="1:8">
      <c r="A5252" s="1"/>
      <c r="B5252" s="1"/>
      <c r="C5252" s="1"/>
      <c r="D5252" s="1"/>
      <c r="E5252" s="357">
        <v>45721</v>
      </c>
      <c r="F5252" s="344" t="s">
        <v>631</v>
      </c>
      <c r="G5252" s="358">
        <v>36.368200000000002</v>
      </c>
      <c r="H5252" s="344" t="s">
        <v>1947</v>
      </c>
    </row>
    <row r="5253" spans="1:8">
      <c r="A5253" s="1"/>
      <c r="B5253" s="1"/>
      <c r="C5253" s="1"/>
      <c r="D5253" s="1"/>
      <c r="E5253" s="357">
        <v>45722</v>
      </c>
      <c r="F5253" s="344" t="s">
        <v>621</v>
      </c>
      <c r="G5253" s="358">
        <v>40.887099999999997</v>
      </c>
      <c r="H5253" s="344" t="s">
        <v>1948</v>
      </c>
    </row>
    <row r="5254" spans="1:8">
      <c r="A5254" s="1"/>
      <c r="B5254" s="1"/>
      <c r="C5254" s="1"/>
      <c r="D5254" s="1"/>
      <c r="E5254" s="357">
        <v>45722</v>
      </c>
      <c r="F5254" s="344" t="s">
        <v>625</v>
      </c>
      <c r="G5254" s="358">
        <v>39.2821</v>
      </c>
      <c r="H5254" s="344" t="s">
        <v>1948</v>
      </c>
    </row>
    <row r="5255" spans="1:8">
      <c r="A5255" s="1"/>
      <c r="B5255" s="1"/>
      <c r="C5255" s="1"/>
      <c r="D5255" s="1"/>
      <c r="E5255" s="357">
        <v>45722</v>
      </c>
      <c r="F5255" s="344" t="s">
        <v>628</v>
      </c>
      <c r="G5255" s="358">
        <v>46.803100000000001</v>
      </c>
      <c r="H5255" s="344" t="s">
        <v>1948</v>
      </c>
    </row>
    <row r="5256" spans="1:8">
      <c r="A5256" s="1"/>
      <c r="B5256" s="1"/>
      <c r="C5256" s="1"/>
      <c r="D5256" s="1"/>
      <c r="E5256" s="357">
        <v>45722</v>
      </c>
      <c r="F5256" s="344" t="s">
        <v>631</v>
      </c>
      <c r="G5256" s="358">
        <v>36.3748</v>
      </c>
      <c r="H5256" s="344" t="s">
        <v>1948</v>
      </c>
    </row>
    <row r="5257" spans="1:8">
      <c r="A5257" s="1"/>
      <c r="B5257" s="1"/>
      <c r="C5257" s="1"/>
      <c r="D5257" s="1"/>
      <c r="E5257" s="357">
        <v>45723</v>
      </c>
      <c r="F5257" s="344" t="s">
        <v>621</v>
      </c>
      <c r="G5257" s="358">
        <v>41.204799999999999</v>
      </c>
      <c r="H5257" s="344" t="s">
        <v>1949</v>
      </c>
    </row>
    <row r="5258" spans="1:8">
      <c r="A5258" s="1"/>
      <c r="B5258" s="1"/>
      <c r="C5258" s="1"/>
      <c r="D5258" s="1"/>
      <c r="E5258" s="357">
        <v>45723</v>
      </c>
      <c r="F5258" s="344" t="s">
        <v>625</v>
      </c>
      <c r="G5258" s="358">
        <v>39.387</v>
      </c>
      <c r="H5258" s="344" t="s">
        <v>1949</v>
      </c>
    </row>
    <row r="5259" spans="1:8">
      <c r="A5259" s="1"/>
      <c r="B5259" s="1"/>
      <c r="C5259" s="1"/>
      <c r="D5259" s="1"/>
      <c r="E5259" s="357">
        <v>45723</v>
      </c>
      <c r="F5259" s="344" t="s">
        <v>628</v>
      </c>
      <c r="G5259" s="358">
        <v>46.828099999999999</v>
      </c>
      <c r="H5259" s="344" t="s">
        <v>1949</v>
      </c>
    </row>
    <row r="5260" spans="1:8">
      <c r="A5260" s="1"/>
      <c r="B5260" s="1"/>
      <c r="C5260" s="1"/>
      <c r="D5260" s="1"/>
      <c r="E5260" s="357">
        <v>45723</v>
      </c>
      <c r="F5260" s="344" t="s">
        <v>631</v>
      </c>
      <c r="G5260" s="358">
        <v>36.315300000000001</v>
      </c>
      <c r="H5260" s="344" t="s">
        <v>1949</v>
      </c>
    </row>
    <row r="5261" spans="1:8">
      <c r="A5261" s="1"/>
      <c r="B5261" s="1"/>
      <c r="C5261" s="1"/>
      <c r="D5261" s="1"/>
      <c r="E5261" s="357">
        <v>45726</v>
      </c>
      <c r="F5261" s="344" t="s">
        <v>621</v>
      </c>
      <c r="G5261" s="358">
        <v>41.426200000000001</v>
      </c>
      <c r="H5261" s="344" t="s">
        <v>1950</v>
      </c>
    </row>
    <row r="5262" spans="1:8">
      <c r="A5262" s="1"/>
      <c r="B5262" s="1"/>
      <c r="C5262" s="1"/>
      <c r="D5262" s="1"/>
      <c r="E5262" s="357">
        <v>45726</v>
      </c>
      <c r="F5262" s="344" t="s">
        <v>625</v>
      </c>
      <c r="G5262" s="358">
        <v>39.514400000000002</v>
      </c>
      <c r="H5262" s="344" t="s">
        <v>1950</v>
      </c>
    </row>
    <row r="5263" spans="1:8">
      <c r="A5263" s="1"/>
      <c r="B5263" s="1"/>
      <c r="C5263" s="1"/>
      <c r="D5263" s="1"/>
      <c r="E5263" s="357">
        <v>45726</v>
      </c>
      <c r="F5263" s="344" t="s">
        <v>628</v>
      </c>
      <c r="G5263" s="358">
        <v>46.973999999999997</v>
      </c>
      <c r="H5263" s="344" t="s">
        <v>1950</v>
      </c>
    </row>
    <row r="5264" spans="1:8">
      <c r="A5264" s="1"/>
      <c r="B5264" s="1"/>
      <c r="C5264" s="1"/>
      <c r="D5264" s="1"/>
      <c r="E5264" s="357">
        <v>45726</v>
      </c>
      <c r="F5264" s="344" t="s">
        <v>631</v>
      </c>
      <c r="G5264" s="358">
        <v>36.455800000000004</v>
      </c>
      <c r="H5264" s="344" t="s">
        <v>1950</v>
      </c>
    </row>
    <row r="5265" spans="1:8">
      <c r="A5265" s="1"/>
      <c r="B5265" s="1"/>
      <c r="C5265" s="1"/>
      <c r="D5265" s="1"/>
      <c r="E5265" s="357">
        <v>45727</v>
      </c>
      <c r="F5265" s="344" t="s">
        <v>621</v>
      </c>
      <c r="G5265" s="358">
        <v>41.355800000000002</v>
      </c>
      <c r="H5265" s="344" t="s">
        <v>1951</v>
      </c>
    </row>
    <row r="5266" spans="1:8">
      <c r="A5266" s="1"/>
      <c r="B5266" s="1"/>
      <c r="C5266" s="1"/>
      <c r="D5266" s="1"/>
      <c r="E5266" s="357">
        <v>45727</v>
      </c>
      <c r="F5266" s="344" t="s">
        <v>625</v>
      </c>
      <c r="G5266" s="358">
        <v>39.775500000000001</v>
      </c>
      <c r="H5266" s="344" t="s">
        <v>1951</v>
      </c>
    </row>
    <row r="5267" spans="1:8">
      <c r="A5267" s="1"/>
      <c r="B5267" s="1"/>
      <c r="C5267" s="1"/>
      <c r="D5267" s="1"/>
      <c r="E5267" s="357">
        <v>45727</v>
      </c>
      <c r="F5267" s="344" t="s">
        <v>628</v>
      </c>
      <c r="G5267" s="358">
        <v>47.0901</v>
      </c>
      <c r="H5267" s="344" t="s">
        <v>1951</v>
      </c>
    </row>
    <row r="5268" spans="1:8">
      <c r="A5268" s="1"/>
      <c r="B5268" s="1"/>
      <c r="C5268" s="1"/>
      <c r="D5268" s="1"/>
      <c r="E5268" s="357">
        <v>45727</v>
      </c>
      <c r="F5268" s="344" t="s">
        <v>631</v>
      </c>
      <c r="G5268" s="358">
        <v>36.508800000000001</v>
      </c>
      <c r="H5268" s="344" t="s">
        <v>1951</v>
      </c>
    </row>
    <row r="5269" spans="1:8">
      <c r="A5269" s="1"/>
      <c r="B5269" s="1"/>
      <c r="C5269" s="1"/>
      <c r="D5269" s="1"/>
      <c r="E5269" s="357">
        <v>45728</v>
      </c>
      <c r="F5269" s="344" t="s">
        <v>621</v>
      </c>
      <c r="G5269" s="358">
        <v>41.299700000000001</v>
      </c>
      <c r="H5269" s="344" t="s">
        <v>1952</v>
      </c>
    </row>
    <row r="5270" spans="1:8">
      <c r="A5270" s="1"/>
      <c r="B5270" s="1"/>
      <c r="C5270" s="1"/>
      <c r="D5270" s="1"/>
      <c r="E5270" s="357">
        <v>45728</v>
      </c>
      <c r="F5270" s="344" t="s">
        <v>625</v>
      </c>
      <c r="G5270" s="358">
        <v>39.8506</v>
      </c>
      <c r="H5270" s="344" t="s">
        <v>1952</v>
      </c>
    </row>
    <row r="5271" spans="1:8">
      <c r="A5271" s="1"/>
      <c r="B5271" s="1"/>
      <c r="C5271" s="1"/>
      <c r="D5271" s="1"/>
      <c r="E5271" s="357">
        <v>45728</v>
      </c>
      <c r="F5271" s="344" t="s">
        <v>628</v>
      </c>
      <c r="G5271" s="358">
        <v>47.179000000000002</v>
      </c>
      <c r="H5271" s="344" t="s">
        <v>1952</v>
      </c>
    </row>
    <row r="5272" spans="1:8">
      <c r="A5272" s="1"/>
      <c r="B5272" s="1"/>
      <c r="C5272" s="1"/>
      <c r="D5272" s="1"/>
      <c r="E5272" s="357">
        <v>45728</v>
      </c>
      <c r="F5272" s="344" t="s">
        <v>631</v>
      </c>
      <c r="G5272" s="358">
        <v>36.540100000000002</v>
      </c>
      <c r="H5272" s="344" t="s">
        <v>1952</v>
      </c>
    </row>
    <row r="5273" spans="1:8">
      <c r="A5273" s="1"/>
      <c r="B5273" s="1"/>
      <c r="C5273" s="1"/>
      <c r="D5273" s="1"/>
      <c r="E5273" s="357">
        <v>45729</v>
      </c>
      <c r="F5273" s="344" t="s">
        <v>621</v>
      </c>
      <c r="G5273" s="358">
        <v>41.323999999999998</v>
      </c>
      <c r="H5273" s="344" t="s">
        <v>1953</v>
      </c>
    </row>
    <row r="5274" spans="1:8">
      <c r="A5274" s="1"/>
      <c r="B5274" s="1"/>
      <c r="C5274" s="1"/>
      <c r="D5274" s="1"/>
      <c r="E5274" s="357">
        <v>45729</v>
      </c>
      <c r="F5274" s="344" t="s">
        <v>625</v>
      </c>
      <c r="G5274" s="358">
        <v>39.7179</v>
      </c>
      <c r="H5274" s="344" t="s">
        <v>1953</v>
      </c>
    </row>
    <row r="5275" spans="1:8">
      <c r="A5275" s="1"/>
      <c r="B5275" s="1"/>
      <c r="C5275" s="1"/>
      <c r="D5275" s="1"/>
      <c r="E5275" s="357">
        <v>45729</v>
      </c>
      <c r="F5275" s="344" t="s">
        <v>628</v>
      </c>
      <c r="G5275" s="358">
        <v>47.237499999999997</v>
      </c>
      <c r="H5275" s="344" t="s">
        <v>1953</v>
      </c>
    </row>
    <row r="5276" spans="1:8">
      <c r="A5276" s="1"/>
      <c r="B5276" s="1"/>
      <c r="C5276" s="1"/>
      <c r="D5276" s="1"/>
      <c r="E5276" s="357">
        <v>45729</v>
      </c>
      <c r="F5276" s="344" t="s">
        <v>631</v>
      </c>
      <c r="G5276" s="358">
        <v>36.538699999999999</v>
      </c>
      <c r="H5276" s="344" t="s">
        <v>1953</v>
      </c>
    </row>
    <row r="5277" spans="1:8">
      <c r="A5277" s="1"/>
      <c r="B5277" s="1"/>
      <c r="C5277" s="1"/>
      <c r="D5277" s="1"/>
      <c r="E5277" s="357">
        <v>45730</v>
      </c>
      <c r="F5277" s="344" t="s">
        <v>621</v>
      </c>
      <c r="G5277" s="358">
        <v>41.220799999999997</v>
      </c>
      <c r="H5277" s="344" t="s">
        <v>1954</v>
      </c>
    </row>
    <row r="5278" spans="1:8">
      <c r="A5278" s="1"/>
      <c r="B5278" s="1"/>
      <c r="C5278" s="1"/>
      <c r="D5278" s="1"/>
      <c r="E5278" s="357">
        <v>45730</v>
      </c>
      <c r="F5278" s="344" t="s">
        <v>625</v>
      </c>
      <c r="G5278" s="358">
        <v>39.6843</v>
      </c>
      <c r="H5278" s="344" t="s">
        <v>1954</v>
      </c>
    </row>
    <row r="5279" spans="1:8">
      <c r="A5279" s="1"/>
      <c r="B5279" s="1"/>
      <c r="C5279" s="1"/>
      <c r="D5279" s="1"/>
      <c r="E5279" s="357">
        <v>45730</v>
      </c>
      <c r="F5279" s="344" t="s">
        <v>628</v>
      </c>
      <c r="G5279" s="358">
        <v>47.176099999999998</v>
      </c>
      <c r="H5279" s="344" t="s">
        <v>1954</v>
      </c>
    </row>
    <row r="5280" spans="1:8">
      <c r="A5280" s="1"/>
      <c r="B5280" s="1"/>
      <c r="C5280" s="1"/>
      <c r="D5280" s="1"/>
      <c r="E5280" s="357">
        <v>45730</v>
      </c>
      <c r="F5280" s="344" t="s">
        <v>631</v>
      </c>
      <c r="G5280" s="358">
        <v>36.534999999999997</v>
      </c>
      <c r="H5280" s="344" t="s">
        <v>1954</v>
      </c>
    </row>
    <row r="5281" spans="1:8">
      <c r="A5281" s="1"/>
      <c r="B5281" s="1"/>
      <c r="C5281" s="1"/>
      <c r="D5281" s="1"/>
      <c r="E5281" s="357">
        <v>45733</v>
      </c>
      <c r="F5281" s="344" t="s">
        <v>621</v>
      </c>
      <c r="G5281" s="358">
        <v>41.3551</v>
      </c>
      <c r="H5281" s="344" t="s">
        <v>1955</v>
      </c>
    </row>
    <row r="5282" spans="1:8">
      <c r="A5282" s="1"/>
      <c r="B5282" s="1"/>
      <c r="C5282" s="1"/>
      <c r="D5282" s="1"/>
      <c r="E5282" s="357">
        <v>45733</v>
      </c>
      <c r="F5282" s="344" t="s">
        <v>625</v>
      </c>
      <c r="G5282" s="358">
        <v>39.876600000000003</v>
      </c>
      <c r="H5282" s="344" t="s">
        <v>1955</v>
      </c>
    </row>
    <row r="5283" spans="1:8">
      <c r="A5283" s="1"/>
      <c r="B5283" s="1"/>
      <c r="C5283" s="1"/>
      <c r="D5283" s="1"/>
      <c r="E5283" s="357">
        <v>45733</v>
      </c>
      <c r="F5283" s="344" t="s">
        <v>628</v>
      </c>
      <c r="G5283" s="358">
        <v>47.336500000000001</v>
      </c>
      <c r="H5283" s="344" t="s">
        <v>1955</v>
      </c>
    </row>
    <row r="5284" spans="1:8">
      <c r="A5284" s="1"/>
      <c r="B5284" s="1"/>
      <c r="C5284" s="1"/>
      <c r="D5284" s="1"/>
      <c r="E5284" s="357">
        <v>45733</v>
      </c>
      <c r="F5284" s="344" t="s">
        <v>631</v>
      </c>
      <c r="G5284" s="358">
        <v>36.613900000000001</v>
      </c>
      <c r="H5284" s="344" t="s">
        <v>1955</v>
      </c>
    </row>
    <row r="5285" spans="1:8">
      <c r="A5285" s="1"/>
      <c r="B5285" s="1"/>
      <c r="C5285" s="1"/>
      <c r="D5285" s="1"/>
      <c r="E5285" s="357">
        <v>45734</v>
      </c>
      <c r="F5285" s="344" t="s">
        <v>621</v>
      </c>
      <c r="G5285" s="358">
        <v>41.484000000000002</v>
      </c>
      <c r="H5285" s="344" t="s">
        <v>1956</v>
      </c>
    </row>
    <row r="5286" spans="1:8">
      <c r="A5286" s="1"/>
      <c r="B5286" s="1"/>
      <c r="C5286" s="1"/>
      <c r="D5286" s="1"/>
      <c r="E5286" s="357">
        <v>45734</v>
      </c>
      <c r="F5286" s="344" t="s">
        <v>625</v>
      </c>
      <c r="G5286" s="358">
        <v>40.013300000000001</v>
      </c>
      <c r="H5286" s="344" t="s">
        <v>1956</v>
      </c>
    </row>
    <row r="5287" spans="1:8">
      <c r="A5287" s="1"/>
      <c r="B5287" s="1"/>
      <c r="C5287" s="1"/>
      <c r="D5287" s="1"/>
      <c r="E5287" s="357">
        <v>45734</v>
      </c>
      <c r="F5287" s="344" t="s">
        <v>628</v>
      </c>
      <c r="G5287" s="358">
        <v>47.442100000000003</v>
      </c>
      <c r="H5287" s="344" t="s">
        <v>1956</v>
      </c>
    </row>
    <row r="5288" spans="1:8">
      <c r="A5288" s="1"/>
      <c r="B5288" s="1"/>
      <c r="C5288" s="1"/>
      <c r="D5288" s="1"/>
      <c r="E5288" s="357">
        <v>45734</v>
      </c>
      <c r="F5288" s="344" t="s">
        <v>631</v>
      </c>
      <c r="G5288" s="358">
        <v>36.592199999999998</v>
      </c>
      <c r="H5288" s="344" t="s">
        <v>1956</v>
      </c>
    </row>
    <row r="5289" spans="1:8">
      <c r="A5289" s="1"/>
      <c r="B5289" s="1"/>
      <c r="C5289" s="1"/>
      <c r="D5289" s="1"/>
      <c r="E5289" s="357">
        <v>45735</v>
      </c>
      <c r="F5289" s="344" t="s">
        <v>621</v>
      </c>
      <c r="G5289" s="358">
        <v>43.170400000000001</v>
      </c>
      <c r="H5289" s="344" t="s">
        <v>1957</v>
      </c>
    </row>
    <row r="5290" spans="1:8">
      <c r="A5290" s="1"/>
      <c r="B5290" s="1"/>
      <c r="C5290" s="1"/>
      <c r="D5290" s="1"/>
      <c r="E5290" s="357">
        <v>45735</v>
      </c>
      <c r="F5290" s="344" t="s">
        <v>625</v>
      </c>
      <c r="G5290" s="358">
        <v>41.421399999999998</v>
      </c>
      <c r="H5290" s="344" t="s">
        <v>1957</v>
      </c>
    </row>
    <row r="5291" spans="1:8">
      <c r="A5291" s="1"/>
      <c r="B5291" s="1"/>
      <c r="C5291" s="1"/>
      <c r="D5291" s="1"/>
      <c r="E5291" s="357">
        <v>45735</v>
      </c>
      <c r="F5291" s="344" t="s">
        <v>628</v>
      </c>
      <c r="G5291" s="358">
        <v>49.192</v>
      </c>
      <c r="H5291" s="344" t="s">
        <v>1957</v>
      </c>
    </row>
    <row r="5292" spans="1:8">
      <c r="A5292" s="1"/>
      <c r="B5292" s="1"/>
      <c r="C5292" s="1"/>
      <c r="D5292" s="1"/>
      <c r="E5292" s="357">
        <v>45735</v>
      </c>
      <c r="F5292" s="344" t="s">
        <v>631</v>
      </c>
      <c r="G5292" s="358">
        <v>37.983899999999998</v>
      </c>
      <c r="H5292" s="344" t="s">
        <v>1957</v>
      </c>
    </row>
    <row r="5293" spans="1:8">
      <c r="A5293" s="1"/>
      <c r="B5293" s="1"/>
      <c r="C5293" s="1"/>
      <c r="D5293" s="1"/>
      <c r="E5293" s="357">
        <v>45736</v>
      </c>
      <c r="F5293" s="344" t="s">
        <v>621</v>
      </c>
      <c r="G5293" s="358">
        <v>42.974699999999999</v>
      </c>
      <c r="H5293" s="344" t="s">
        <v>1958</v>
      </c>
    </row>
    <row r="5294" spans="1:8">
      <c r="A5294" s="1"/>
      <c r="B5294" s="1"/>
      <c r="C5294" s="1"/>
      <c r="D5294" s="1"/>
      <c r="E5294" s="357">
        <v>45736</v>
      </c>
      <c r="F5294" s="344" t="s">
        <v>625</v>
      </c>
      <c r="G5294" s="358">
        <v>41.191499999999998</v>
      </c>
      <c r="H5294" s="344" t="s">
        <v>1958</v>
      </c>
    </row>
    <row r="5295" spans="1:8">
      <c r="A5295" s="1"/>
      <c r="B5295" s="1"/>
      <c r="C5295" s="1"/>
      <c r="D5295" s="1"/>
      <c r="E5295" s="357">
        <v>45736</v>
      </c>
      <c r="F5295" s="344" t="s">
        <v>628</v>
      </c>
      <c r="G5295" s="358">
        <v>49.073500000000003</v>
      </c>
      <c r="H5295" s="344" t="s">
        <v>1958</v>
      </c>
    </row>
    <row r="5296" spans="1:8">
      <c r="A5296" s="1"/>
      <c r="B5296" s="1"/>
      <c r="C5296" s="1"/>
      <c r="D5296" s="1"/>
      <c r="E5296" s="357">
        <v>45736</v>
      </c>
      <c r="F5296" s="344" t="s">
        <v>631</v>
      </c>
      <c r="G5296" s="358">
        <v>37.914999999999999</v>
      </c>
      <c r="H5296" s="344" t="s">
        <v>1958</v>
      </c>
    </row>
    <row r="5297" spans="1:8">
      <c r="A5297" s="1"/>
      <c r="B5297" s="1"/>
      <c r="C5297" s="1"/>
      <c r="D5297" s="1"/>
      <c r="E5297" s="357">
        <v>45737</v>
      </c>
      <c r="F5297" s="344" t="s">
        <v>621</v>
      </c>
      <c r="G5297" s="358">
        <v>42.789400000000001</v>
      </c>
      <c r="H5297" s="344" t="s">
        <v>1959</v>
      </c>
    </row>
    <row r="5298" spans="1:8">
      <c r="A5298" s="1"/>
      <c r="B5298" s="1"/>
      <c r="C5298" s="1"/>
      <c r="D5298" s="1"/>
      <c r="E5298" s="357">
        <v>45737</v>
      </c>
      <c r="F5298" s="344" t="s">
        <v>625</v>
      </c>
      <c r="G5298" s="358">
        <v>41.019500000000001</v>
      </c>
      <c r="H5298" s="344" t="s">
        <v>1959</v>
      </c>
    </row>
    <row r="5299" spans="1:8">
      <c r="A5299" s="1"/>
      <c r="B5299" s="1"/>
      <c r="C5299" s="1"/>
      <c r="D5299" s="1"/>
      <c r="E5299" s="357">
        <v>45737</v>
      </c>
      <c r="F5299" s="344" t="s">
        <v>628</v>
      </c>
      <c r="G5299" s="358">
        <v>48.891300000000001</v>
      </c>
      <c r="H5299" s="344" t="s">
        <v>1959</v>
      </c>
    </row>
    <row r="5300" spans="1:8">
      <c r="A5300" s="1"/>
      <c r="B5300" s="1"/>
      <c r="C5300" s="1"/>
      <c r="D5300" s="1"/>
      <c r="E5300" s="357">
        <v>45737</v>
      </c>
      <c r="F5300" s="344" t="s">
        <v>631</v>
      </c>
      <c r="G5300" s="358">
        <v>37.850200000000001</v>
      </c>
      <c r="H5300" s="344" t="s">
        <v>1959</v>
      </c>
    </row>
    <row r="5301" spans="1:8">
      <c r="A5301" s="1"/>
      <c r="B5301" s="1"/>
      <c r="C5301" s="1"/>
      <c r="D5301" s="1"/>
      <c r="E5301" s="357">
        <v>45740</v>
      </c>
      <c r="F5301" s="344" t="s">
        <v>621</v>
      </c>
      <c r="G5301" s="358">
        <v>42.829599999999999</v>
      </c>
      <c r="H5301" s="344" t="s">
        <v>1960</v>
      </c>
    </row>
    <row r="5302" spans="1:8">
      <c r="A5302" s="1"/>
      <c r="B5302" s="1"/>
      <c r="C5302" s="1"/>
      <c r="D5302" s="1"/>
      <c r="E5302" s="357">
        <v>45740</v>
      </c>
      <c r="F5302" s="344" t="s">
        <v>625</v>
      </c>
      <c r="G5302" s="358">
        <v>41.04</v>
      </c>
      <c r="H5302" s="344" t="s">
        <v>1960</v>
      </c>
    </row>
    <row r="5303" spans="1:8">
      <c r="A5303" s="1"/>
      <c r="B5303" s="1"/>
      <c r="C5303" s="1"/>
      <c r="D5303" s="1"/>
      <c r="E5303" s="357">
        <v>45740</v>
      </c>
      <c r="F5303" s="344" t="s">
        <v>628</v>
      </c>
      <c r="G5303" s="358">
        <v>48.955100000000002</v>
      </c>
      <c r="H5303" s="344" t="s">
        <v>1960</v>
      </c>
    </row>
    <row r="5304" spans="1:8">
      <c r="A5304" s="1"/>
      <c r="B5304" s="1"/>
      <c r="C5304" s="1"/>
      <c r="D5304" s="1"/>
      <c r="E5304" s="357">
        <v>45740</v>
      </c>
      <c r="F5304" s="344" t="s">
        <v>631</v>
      </c>
      <c r="G5304" s="358">
        <v>37.86</v>
      </c>
      <c r="H5304" s="344" t="s">
        <v>1960</v>
      </c>
    </row>
    <row r="5305" spans="1:8">
      <c r="A5305" s="1"/>
      <c r="B5305" s="1"/>
      <c r="C5305" s="1"/>
      <c r="D5305" s="1"/>
      <c r="E5305" s="357">
        <v>45741</v>
      </c>
      <c r="F5305" s="344" t="s">
        <v>621</v>
      </c>
      <c r="G5305" s="358">
        <v>42.8142</v>
      </c>
      <c r="H5305" s="344" t="s">
        <v>1961</v>
      </c>
    </row>
    <row r="5306" spans="1:8">
      <c r="A5306" s="1"/>
      <c r="B5306" s="1"/>
      <c r="C5306" s="1"/>
      <c r="D5306" s="1"/>
      <c r="E5306" s="357">
        <v>45741</v>
      </c>
      <c r="F5306" s="344" t="s">
        <v>625</v>
      </c>
      <c r="G5306" s="358">
        <v>40.948900000000002</v>
      </c>
      <c r="H5306" s="344" t="s">
        <v>1961</v>
      </c>
    </row>
    <row r="5307" spans="1:8">
      <c r="A5307" s="1"/>
      <c r="B5307" s="1"/>
      <c r="C5307" s="1"/>
      <c r="D5307" s="1"/>
      <c r="E5307" s="357">
        <v>45741</v>
      </c>
      <c r="F5307" s="344" t="s">
        <v>628</v>
      </c>
      <c r="G5307" s="358">
        <v>48.917999999999999</v>
      </c>
      <c r="H5307" s="344" t="s">
        <v>1961</v>
      </c>
    </row>
    <row r="5308" spans="1:8">
      <c r="A5308" s="1"/>
      <c r="B5308" s="1"/>
      <c r="C5308" s="1"/>
      <c r="D5308" s="1"/>
      <c r="E5308" s="357">
        <v>45741</v>
      </c>
      <c r="F5308" s="344" t="s">
        <v>631</v>
      </c>
      <c r="G5308" s="358">
        <v>37.9086</v>
      </c>
      <c r="H5308" s="344" t="s">
        <v>1961</v>
      </c>
    </row>
    <row r="5309" spans="1:8">
      <c r="A5309" s="1"/>
      <c r="B5309" s="1"/>
      <c r="C5309" s="1"/>
      <c r="D5309" s="1"/>
      <c r="E5309" s="357">
        <v>45742</v>
      </c>
      <c r="F5309" s="344" t="s">
        <v>621</v>
      </c>
      <c r="G5309" s="358">
        <v>42.819499999999998</v>
      </c>
      <c r="H5309" s="344" t="s">
        <v>1962</v>
      </c>
    </row>
    <row r="5310" spans="1:8">
      <c r="A5310" s="1"/>
      <c r="B5310" s="1"/>
      <c r="C5310" s="1"/>
      <c r="D5310" s="1"/>
      <c r="E5310" s="357">
        <v>45742</v>
      </c>
      <c r="F5310" s="344" t="s">
        <v>625</v>
      </c>
      <c r="G5310" s="358">
        <v>40.932600000000001</v>
      </c>
      <c r="H5310" s="344" t="s">
        <v>1962</v>
      </c>
    </row>
    <row r="5311" spans="1:8">
      <c r="A5311" s="1"/>
      <c r="B5311" s="1"/>
      <c r="C5311" s="1"/>
      <c r="D5311" s="1"/>
      <c r="E5311" s="357">
        <v>45742</v>
      </c>
      <c r="F5311" s="344" t="s">
        <v>628</v>
      </c>
      <c r="G5311" s="358">
        <v>48.8902</v>
      </c>
      <c r="H5311" s="344" t="s">
        <v>1962</v>
      </c>
    </row>
    <row r="5312" spans="1:8">
      <c r="A5312" s="1"/>
      <c r="B5312" s="1"/>
      <c r="C5312" s="1"/>
      <c r="D5312" s="1"/>
      <c r="E5312" s="357">
        <v>45742</v>
      </c>
      <c r="F5312" s="344" t="s">
        <v>631</v>
      </c>
      <c r="G5312" s="358">
        <v>37.928699999999999</v>
      </c>
      <c r="H5312" s="344" t="s">
        <v>1962</v>
      </c>
    </row>
    <row r="5313" spans="1:8">
      <c r="A5313" s="1"/>
      <c r="B5313" s="1"/>
      <c r="C5313" s="1"/>
      <c r="D5313" s="1"/>
      <c r="E5313" s="357">
        <v>45743</v>
      </c>
      <c r="F5313" s="344" t="s">
        <v>621</v>
      </c>
      <c r="G5313" s="358">
        <v>42.8155</v>
      </c>
      <c r="H5313" s="344" t="s">
        <v>1963</v>
      </c>
    </row>
    <row r="5314" spans="1:8">
      <c r="A5314" s="1"/>
      <c r="B5314" s="1"/>
      <c r="C5314" s="1"/>
      <c r="D5314" s="1"/>
      <c r="E5314" s="357">
        <v>45743</v>
      </c>
      <c r="F5314" s="344" t="s">
        <v>625</v>
      </c>
      <c r="G5314" s="358">
        <v>40.874000000000002</v>
      </c>
      <c r="H5314" s="344" t="s">
        <v>1963</v>
      </c>
    </row>
    <row r="5315" spans="1:8">
      <c r="A5315" s="1"/>
      <c r="B5315" s="1"/>
      <c r="C5315" s="1"/>
      <c r="D5315" s="1"/>
      <c r="E5315" s="357">
        <v>45743</v>
      </c>
      <c r="F5315" s="344" t="s">
        <v>628</v>
      </c>
      <c r="G5315" s="358">
        <v>48.937800000000003</v>
      </c>
      <c r="H5315" s="344" t="s">
        <v>1963</v>
      </c>
    </row>
    <row r="5316" spans="1:8">
      <c r="A5316" s="1"/>
      <c r="B5316" s="1"/>
      <c r="C5316" s="1"/>
      <c r="D5316" s="1"/>
      <c r="E5316" s="357">
        <v>45743</v>
      </c>
      <c r="F5316" s="344" t="s">
        <v>631</v>
      </c>
      <c r="G5316" s="358">
        <v>37.932299999999998</v>
      </c>
      <c r="H5316" s="344" t="s">
        <v>1963</v>
      </c>
    </row>
    <row r="5317" spans="1:8">
      <c r="A5317" s="1"/>
      <c r="B5317" s="1"/>
      <c r="C5317" s="1"/>
      <c r="D5317" s="1"/>
      <c r="E5317" s="357">
        <v>45744</v>
      </c>
      <c r="F5317" s="344" t="s">
        <v>621</v>
      </c>
      <c r="G5317" s="358">
        <v>42.698999999999998</v>
      </c>
      <c r="H5317" s="344" t="s">
        <v>1964</v>
      </c>
    </row>
    <row r="5318" spans="1:8">
      <c r="A5318" s="1"/>
      <c r="B5318" s="1"/>
      <c r="C5318" s="1"/>
      <c r="D5318" s="1"/>
      <c r="E5318" s="357">
        <v>45744</v>
      </c>
      <c r="F5318" s="344" t="s">
        <v>625</v>
      </c>
      <c r="G5318" s="358">
        <v>40.701900000000002</v>
      </c>
      <c r="H5318" s="344" t="s">
        <v>1964</v>
      </c>
    </row>
    <row r="5319" spans="1:8">
      <c r="A5319" s="1"/>
      <c r="B5319" s="1"/>
      <c r="C5319" s="1"/>
      <c r="D5319" s="1"/>
      <c r="E5319" s="357">
        <v>45744</v>
      </c>
      <c r="F5319" s="344" t="s">
        <v>628</v>
      </c>
      <c r="G5319" s="358">
        <v>48.796300000000002</v>
      </c>
      <c r="H5319" s="344" t="s">
        <v>1964</v>
      </c>
    </row>
    <row r="5320" spans="1:8">
      <c r="A5320" s="1"/>
      <c r="B5320" s="1"/>
      <c r="C5320" s="1"/>
      <c r="D5320" s="1"/>
      <c r="E5320" s="357">
        <v>45744</v>
      </c>
      <c r="F5320" s="344" t="s">
        <v>631</v>
      </c>
      <c r="G5320" s="358">
        <v>37.765599999999999</v>
      </c>
      <c r="H5320" s="344" t="s">
        <v>1964</v>
      </c>
    </row>
    <row r="5321" spans="1:8">
      <c r="A5321" s="1"/>
      <c r="B5321" s="1"/>
      <c r="C5321" s="1"/>
      <c r="D5321" s="1"/>
      <c r="E5321" s="357">
        <v>45749</v>
      </c>
      <c r="F5321" s="344" t="s">
        <v>621</v>
      </c>
      <c r="G5321" s="358">
        <v>42.718800000000002</v>
      </c>
      <c r="H5321" s="344" t="s">
        <v>1965</v>
      </c>
    </row>
    <row r="5322" spans="1:8">
      <c r="A5322" s="1"/>
      <c r="B5322" s="1"/>
      <c r="C5322" s="1"/>
      <c r="D5322" s="1"/>
      <c r="E5322" s="357">
        <v>45749</v>
      </c>
      <c r="F5322" s="344" t="s">
        <v>625</v>
      </c>
      <c r="G5322" s="358">
        <v>40.874600000000001</v>
      </c>
      <c r="H5322" s="344" t="s">
        <v>1965</v>
      </c>
    </row>
    <row r="5323" spans="1:8">
      <c r="A5323" s="1"/>
      <c r="B5323" s="1"/>
      <c r="C5323" s="1"/>
      <c r="D5323" s="1"/>
      <c r="E5323" s="357">
        <v>45749</v>
      </c>
      <c r="F5323" s="344" t="s">
        <v>628</v>
      </c>
      <c r="G5323" s="358">
        <v>48.865699999999997</v>
      </c>
      <c r="H5323" s="344" t="s">
        <v>1965</v>
      </c>
    </row>
    <row r="5324" spans="1:8">
      <c r="A5324" s="1"/>
      <c r="B5324" s="1"/>
      <c r="C5324" s="1"/>
      <c r="D5324" s="1"/>
      <c r="E5324" s="357">
        <v>45749</v>
      </c>
      <c r="F5324" s="344" t="s">
        <v>631</v>
      </c>
      <c r="G5324" s="358">
        <v>37.855899999999998</v>
      </c>
      <c r="H5324" s="344" t="s">
        <v>1965</v>
      </c>
    </row>
    <row r="5325" spans="1:8">
      <c r="A5325" s="1"/>
      <c r="B5325" s="1"/>
      <c r="C5325" s="1"/>
      <c r="D5325" s="1"/>
      <c r="E5325" s="357">
        <v>45750</v>
      </c>
      <c r="F5325" s="344" t="s">
        <v>621</v>
      </c>
      <c r="G5325" s="358">
        <v>43.667299999999997</v>
      </c>
      <c r="H5325" s="344" t="s">
        <v>1966</v>
      </c>
    </row>
    <row r="5326" spans="1:8">
      <c r="A5326" s="1"/>
      <c r="B5326" s="1"/>
      <c r="C5326" s="1"/>
      <c r="D5326" s="1"/>
      <c r="E5326" s="357">
        <v>45750</v>
      </c>
      <c r="F5326" s="344" t="s">
        <v>625</v>
      </c>
      <c r="G5326" s="358">
        <v>41.74</v>
      </c>
      <c r="H5326" s="344" t="s">
        <v>1966</v>
      </c>
    </row>
    <row r="5327" spans="1:8">
      <c r="A5327" s="1"/>
      <c r="B5327" s="1"/>
      <c r="C5327" s="1"/>
      <c r="D5327" s="1"/>
      <c r="E5327" s="357">
        <v>45750</v>
      </c>
      <c r="F5327" s="344" t="s">
        <v>628</v>
      </c>
      <c r="G5327" s="358">
        <v>49.711799999999997</v>
      </c>
      <c r="H5327" s="344" t="s">
        <v>1966</v>
      </c>
    </row>
    <row r="5328" spans="1:8">
      <c r="A5328" s="1"/>
      <c r="B5328" s="1"/>
      <c r="C5328" s="1"/>
      <c r="D5328" s="1"/>
      <c r="E5328" s="357">
        <v>45750</v>
      </c>
      <c r="F5328" s="344" t="s">
        <v>631</v>
      </c>
      <c r="G5328" s="358">
        <v>37.863700000000001</v>
      </c>
      <c r="H5328" s="344" t="s">
        <v>1966</v>
      </c>
    </row>
    <row r="5329" spans="1:8">
      <c r="A5329" s="1"/>
      <c r="B5329" s="1"/>
      <c r="C5329" s="1"/>
      <c r="D5329" s="1"/>
      <c r="E5329" s="357">
        <v>45751</v>
      </c>
      <c r="F5329" s="344" t="s">
        <v>621</v>
      </c>
      <c r="G5329" s="358">
        <v>44.228099999999998</v>
      </c>
      <c r="H5329" s="344" t="s">
        <v>1967</v>
      </c>
    </row>
    <row r="5330" spans="1:8">
      <c r="A5330" s="1"/>
      <c r="B5330" s="1"/>
      <c r="C5330" s="1"/>
      <c r="D5330" s="1"/>
      <c r="E5330" s="357">
        <v>45751</v>
      </c>
      <c r="F5330" s="344" t="s">
        <v>625</v>
      </c>
      <c r="G5330" s="358">
        <v>41.711500000000001</v>
      </c>
      <c r="H5330" s="344" t="s">
        <v>1967</v>
      </c>
    </row>
    <row r="5331" spans="1:8">
      <c r="A5331" s="1"/>
      <c r="B5331" s="1"/>
      <c r="C5331" s="1"/>
      <c r="D5331" s="1"/>
      <c r="E5331" s="357">
        <v>45751</v>
      </c>
      <c r="F5331" s="344" t="s">
        <v>628</v>
      </c>
      <c r="G5331" s="358">
        <v>49.152000000000001</v>
      </c>
      <c r="H5331" s="344" t="s">
        <v>1967</v>
      </c>
    </row>
    <row r="5332" spans="1:8">
      <c r="A5332" s="1"/>
      <c r="B5332" s="1"/>
      <c r="C5332" s="1"/>
      <c r="D5332" s="1"/>
      <c r="E5332" s="357">
        <v>45751</v>
      </c>
      <c r="F5332" s="344" t="s">
        <v>631</v>
      </c>
      <c r="G5332" s="358">
        <v>37.846499999999999</v>
      </c>
      <c r="H5332" s="344" t="s">
        <v>1967</v>
      </c>
    </row>
    <row r="5333" spans="1:8">
      <c r="A5333" s="1"/>
      <c r="B5333" s="1"/>
      <c r="C5333" s="1"/>
      <c r="D5333" s="1"/>
      <c r="E5333" s="357">
        <v>45754</v>
      </c>
      <c r="F5333" s="344" t="s">
        <v>621</v>
      </c>
      <c r="G5333" s="358">
        <v>44.435499999999998</v>
      </c>
      <c r="H5333" s="344" t="s">
        <v>1968</v>
      </c>
    </row>
    <row r="5334" spans="1:8">
      <c r="A5334" s="1"/>
      <c r="B5334" s="1"/>
      <c r="C5334" s="1"/>
      <c r="D5334" s="1"/>
      <c r="E5334" s="357">
        <v>45754</v>
      </c>
      <c r="F5334" s="344" t="s">
        <v>625</v>
      </c>
      <c r="G5334" s="358">
        <v>41.655200000000001</v>
      </c>
      <c r="H5334" s="344" t="s">
        <v>1968</v>
      </c>
    </row>
    <row r="5335" spans="1:8">
      <c r="A5335" s="1"/>
      <c r="B5335" s="1"/>
      <c r="C5335" s="1"/>
      <c r="D5335" s="1"/>
      <c r="E5335" s="357">
        <v>45754</v>
      </c>
      <c r="F5335" s="344" t="s">
        <v>628</v>
      </c>
      <c r="G5335" s="358">
        <v>48.694800000000001</v>
      </c>
      <c r="H5335" s="344" t="s">
        <v>1968</v>
      </c>
    </row>
    <row r="5336" spans="1:8">
      <c r="A5336" s="1"/>
      <c r="B5336" s="1"/>
      <c r="C5336" s="1"/>
      <c r="D5336" s="1"/>
      <c r="E5336" s="357">
        <v>45754</v>
      </c>
      <c r="F5336" s="344" t="s">
        <v>631</v>
      </c>
      <c r="G5336" s="358">
        <v>37.933</v>
      </c>
      <c r="H5336" s="344" t="s">
        <v>1968</v>
      </c>
    </row>
    <row r="5337" spans="1:8">
      <c r="A5337" s="1"/>
      <c r="B5337" s="1"/>
      <c r="C5337" s="1"/>
      <c r="D5337" s="1"/>
      <c r="E5337" s="357">
        <v>45755</v>
      </c>
      <c r="F5337" s="344" t="s">
        <v>621</v>
      </c>
      <c r="G5337" s="358">
        <v>44.156300000000002</v>
      </c>
      <c r="H5337" s="344" t="s">
        <v>1969</v>
      </c>
    </row>
    <row r="5338" spans="1:8">
      <c r="A5338" s="1"/>
      <c r="B5338" s="1"/>
      <c r="C5338" s="1"/>
      <c r="D5338" s="1"/>
      <c r="E5338" s="357">
        <v>45755</v>
      </c>
      <c r="F5338" s="344" t="s">
        <v>625</v>
      </c>
      <c r="G5338" s="358">
        <v>41.482199999999999</v>
      </c>
      <c r="H5338" s="344" t="s">
        <v>1969</v>
      </c>
    </row>
    <row r="5339" spans="1:8">
      <c r="A5339" s="1"/>
      <c r="B5339" s="1"/>
      <c r="C5339" s="1"/>
      <c r="D5339" s="1"/>
      <c r="E5339" s="357">
        <v>45755</v>
      </c>
      <c r="F5339" s="344" t="s">
        <v>628</v>
      </c>
      <c r="G5339" s="358">
        <v>48.320099999999996</v>
      </c>
      <c r="H5339" s="344" t="s">
        <v>1969</v>
      </c>
    </row>
    <row r="5340" spans="1:8">
      <c r="A5340" s="1"/>
      <c r="B5340" s="1"/>
      <c r="C5340" s="1"/>
      <c r="D5340" s="1"/>
      <c r="E5340" s="357">
        <v>45755</v>
      </c>
      <c r="F5340" s="344" t="s">
        <v>631</v>
      </c>
      <c r="G5340" s="358">
        <v>37.93</v>
      </c>
      <c r="H5340" s="344" t="s">
        <v>1969</v>
      </c>
    </row>
    <row r="5341" spans="1:8">
      <c r="A5341" s="1"/>
      <c r="B5341" s="1"/>
      <c r="C5341" s="1"/>
      <c r="D5341" s="1"/>
      <c r="E5341" s="357">
        <v>45756</v>
      </c>
      <c r="F5341" s="344" t="s">
        <v>621</v>
      </c>
      <c r="G5341" s="358">
        <v>44.918999999999997</v>
      </c>
      <c r="H5341" s="344" t="s">
        <v>1970</v>
      </c>
    </row>
    <row r="5342" spans="1:8">
      <c r="A5342" s="1"/>
      <c r="B5342" s="1"/>
      <c r="C5342" s="1"/>
      <c r="D5342" s="1"/>
      <c r="E5342" s="357">
        <v>45756</v>
      </c>
      <c r="F5342" s="344" t="s">
        <v>625</v>
      </c>
      <c r="G5342" s="358">
        <v>41.871000000000002</v>
      </c>
      <c r="H5342" s="344" t="s">
        <v>1970</v>
      </c>
    </row>
    <row r="5343" spans="1:8">
      <c r="A5343" s="1"/>
      <c r="B5343" s="1"/>
      <c r="C5343" s="1"/>
      <c r="D5343" s="1"/>
      <c r="E5343" s="357">
        <v>45756</v>
      </c>
      <c r="F5343" s="344" t="s">
        <v>628</v>
      </c>
      <c r="G5343" s="358">
        <v>48.520699999999998</v>
      </c>
      <c r="H5343" s="344" t="s">
        <v>1970</v>
      </c>
    </row>
    <row r="5344" spans="1:8">
      <c r="A5344" s="1"/>
      <c r="B5344" s="1"/>
      <c r="C5344" s="1"/>
      <c r="D5344" s="1"/>
      <c r="E5344" s="357">
        <v>45756</v>
      </c>
      <c r="F5344" s="344" t="s">
        <v>631</v>
      </c>
      <c r="G5344" s="358">
        <v>37.932699999999997</v>
      </c>
      <c r="H5344" s="344" t="s">
        <v>1970</v>
      </c>
    </row>
    <row r="5345" spans="1:8">
      <c r="A5345" s="1"/>
      <c r="B5345" s="1"/>
      <c r="C5345" s="1"/>
      <c r="D5345" s="1"/>
      <c r="E5345" s="357">
        <v>45757</v>
      </c>
      <c r="F5345" s="344" t="s">
        <v>621</v>
      </c>
      <c r="G5345" s="358">
        <v>44.640999999999998</v>
      </c>
      <c r="H5345" s="344" t="s">
        <v>1971</v>
      </c>
    </row>
    <row r="5346" spans="1:8">
      <c r="A5346" s="1"/>
      <c r="B5346" s="1"/>
      <c r="C5346" s="1"/>
      <c r="D5346" s="1"/>
      <c r="E5346" s="357">
        <v>45757</v>
      </c>
      <c r="F5346" s="344" t="s">
        <v>625</v>
      </c>
      <c r="G5346" s="358">
        <v>41.813299999999998</v>
      </c>
      <c r="H5346" s="344" t="s">
        <v>1971</v>
      </c>
    </row>
    <row r="5347" spans="1:8">
      <c r="A5347" s="1"/>
      <c r="B5347" s="1"/>
      <c r="C5347" s="1"/>
      <c r="D5347" s="1"/>
      <c r="E5347" s="357">
        <v>45757</v>
      </c>
      <c r="F5347" s="344" t="s">
        <v>628</v>
      </c>
      <c r="G5347" s="358">
        <v>48.731699999999996</v>
      </c>
      <c r="H5347" s="344" t="s">
        <v>1971</v>
      </c>
    </row>
    <row r="5348" spans="1:8">
      <c r="A5348" s="1"/>
      <c r="B5348" s="1"/>
      <c r="C5348" s="1"/>
      <c r="D5348" s="1"/>
      <c r="E5348" s="357">
        <v>45757</v>
      </c>
      <c r="F5348" s="344" t="s">
        <v>631</v>
      </c>
      <c r="G5348" s="358">
        <v>37.864600000000003</v>
      </c>
      <c r="H5348" s="344" t="s">
        <v>1971</v>
      </c>
    </row>
    <row r="5349" spans="1:8">
      <c r="A5349" s="1"/>
      <c r="B5349" s="1"/>
      <c r="C5349" s="1"/>
      <c r="D5349" s="1"/>
      <c r="E5349" s="357">
        <v>45758</v>
      </c>
      <c r="F5349" s="344" t="s">
        <v>621</v>
      </c>
      <c r="G5349" s="358">
        <v>46.2545</v>
      </c>
      <c r="H5349" s="344" t="s">
        <v>1972</v>
      </c>
    </row>
    <row r="5350" spans="1:8">
      <c r="A5350" s="1"/>
      <c r="B5350" s="1"/>
      <c r="C5350" s="1"/>
      <c r="D5350" s="1"/>
      <c r="E5350" s="357">
        <v>45758</v>
      </c>
      <c r="F5350" s="344" t="s">
        <v>625</v>
      </c>
      <c r="G5350" s="358">
        <v>43.040500000000002</v>
      </c>
      <c r="H5350" s="344" t="s">
        <v>1972</v>
      </c>
    </row>
    <row r="5351" spans="1:8">
      <c r="A5351" s="1"/>
      <c r="B5351" s="1"/>
      <c r="C5351" s="1"/>
      <c r="D5351" s="1"/>
      <c r="E5351" s="357">
        <v>45758</v>
      </c>
      <c r="F5351" s="344" t="s">
        <v>628</v>
      </c>
      <c r="G5351" s="358">
        <v>49.498699999999999</v>
      </c>
      <c r="H5351" s="344" t="s">
        <v>1972</v>
      </c>
    </row>
    <row r="5352" spans="1:8">
      <c r="A5352" s="1"/>
      <c r="B5352" s="1"/>
      <c r="C5352" s="1"/>
      <c r="D5352" s="1"/>
      <c r="E5352" s="357">
        <v>45758</v>
      </c>
      <c r="F5352" s="344" t="s">
        <v>631</v>
      </c>
      <c r="G5352" s="358">
        <v>37.907299999999999</v>
      </c>
      <c r="H5352" s="344" t="s">
        <v>1972</v>
      </c>
    </row>
    <row r="5353" spans="1:8">
      <c r="A5353" s="1"/>
      <c r="B5353" s="1"/>
      <c r="C5353" s="1"/>
      <c r="D5353" s="1"/>
      <c r="E5353" s="357">
        <v>45761</v>
      </c>
      <c r="F5353" s="344" t="s">
        <v>621</v>
      </c>
      <c r="G5353" s="358">
        <v>46.326700000000002</v>
      </c>
      <c r="H5353" s="344" t="s">
        <v>1973</v>
      </c>
    </row>
    <row r="5354" spans="1:8">
      <c r="A5354" s="1"/>
      <c r="B5354" s="1"/>
      <c r="C5354" s="1"/>
      <c r="D5354" s="1"/>
      <c r="E5354" s="357">
        <v>45761</v>
      </c>
      <c r="F5354" s="344" t="s">
        <v>625</v>
      </c>
      <c r="G5354" s="358">
        <v>43.249600000000001</v>
      </c>
      <c r="H5354" s="344" t="s">
        <v>1973</v>
      </c>
    </row>
    <row r="5355" spans="1:8">
      <c r="A5355" s="1"/>
      <c r="B5355" s="1"/>
      <c r="C5355" s="1"/>
      <c r="D5355" s="1"/>
      <c r="E5355" s="357">
        <v>45761</v>
      </c>
      <c r="F5355" s="344" t="s">
        <v>628</v>
      </c>
      <c r="G5355" s="358">
        <v>49.938699999999997</v>
      </c>
      <c r="H5355" s="344" t="s">
        <v>1973</v>
      </c>
    </row>
    <row r="5356" spans="1:8">
      <c r="A5356" s="1"/>
      <c r="B5356" s="1"/>
      <c r="C5356" s="1"/>
      <c r="D5356" s="1"/>
      <c r="E5356" s="357">
        <v>45761</v>
      </c>
      <c r="F5356" s="344" t="s">
        <v>631</v>
      </c>
      <c r="G5356" s="358">
        <v>37.9649</v>
      </c>
      <c r="H5356" s="344" t="s">
        <v>1973</v>
      </c>
    </row>
    <row r="5357" spans="1:8">
      <c r="A5357" s="1"/>
      <c r="B5357" s="1"/>
      <c r="C5357" s="1"/>
      <c r="D5357" s="1"/>
      <c r="E5357" s="357">
        <v>45762</v>
      </c>
      <c r="F5357" s="344" t="s">
        <v>621</v>
      </c>
      <c r="G5357" s="358">
        <v>46.492199999999997</v>
      </c>
      <c r="H5357" s="344" t="s">
        <v>1974</v>
      </c>
    </row>
    <row r="5358" spans="1:8">
      <c r="A5358" s="1"/>
      <c r="B5358" s="1"/>
      <c r="C5358" s="1"/>
      <c r="D5358" s="1"/>
      <c r="E5358" s="357">
        <v>45762</v>
      </c>
      <c r="F5358" s="344" t="s">
        <v>625</v>
      </c>
      <c r="G5358" s="358">
        <v>43.100999999999999</v>
      </c>
      <c r="H5358" s="344" t="s">
        <v>1974</v>
      </c>
    </row>
    <row r="5359" spans="1:8">
      <c r="A5359" s="1"/>
      <c r="B5359" s="1"/>
      <c r="C5359" s="1"/>
      <c r="D5359" s="1"/>
      <c r="E5359" s="357">
        <v>45762</v>
      </c>
      <c r="F5359" s="344" t="s">
        <v>628</v>
      </c>
      <c r="G5359" s="358">
        <v>50.183500000000002</v>
      </c>
      <c r="H5359" s="344" t="s">
        <v>1974</v>
      </c>
    </row>
    <row r="5360" spans="1:8">
      <c r="A5360" s="1"/>
      <c r="B5360" s="1"/>
      <c r="C5360" s="1"/>
      <c r="D5360" s="1"/>
      <c r="E5360" s="357">
        <v>45762</v>
      </c>
      <c r="F5360" s="344" t="s">
        <v>631</v>
      </c>
      <c r="G5360" s="358">
        <v>38.006500000000003</v>
      </c>
      <c r="H5360" s="344" t="s">
        <v>1974</v>
      </c>
    </row>
    <row r="5361" spans="1:8">
      <c r="A5361" s="1"/>
      <c r="B5361" s="1"/>
      <c r="C5361" s="1"/>
      <c r="D5361" s="1"/>
      <c r="E5361" s="357">
        <v>45763</v>
      </c>
      <c r="F5361" s="344" t="s">
        <v>621</v>
      </c>
      <c r="G5361" s="358">
        <v>46.503500000000003</v>
      </c>
      <c r="H5361" s="344" t="s">
        <v>1975</v>
      </c>
    </row>
    <row r="5362" spans="1:8">
      <c r="A5362" s="1"/>
      <c r="B5362" s="1"/>
      <c r="C5362" s="1"/>
      <c r="D5362" s="1"/>
      <c r="E5362" s="357">
        <v>45763</v>
      </c>
      <c r="F5362" s="344" t="s">
        <v>625</v>
      </c>
      <c r="G5362" s="358">
        <v>43.245699999999999</v>
      </c>
      <c r="H5362" s="344" t="s">
        <v>1975</v>
      </c>
    </row>
    <row r="5363" spans="1:8">
      <c r="A5363" s="1"/>
      <c r="B5363" s="1"/>
      <c r="C5363" s="1"/>
      <c r="D5363" s="1"/>
      <c r="E5363" s="357">
        <v>45763</v>
      </c>
      <c r="F5363" s="344" t="s">
        <v>628</v>
      </c>
      <c r="G5363" s="358">
        <v>50.416400000000003</v>
      </c>
      <c r="H5363" s="344" t="s">
        <v>1975</v>
      </c>
    </row>
    <row r="5364" spans="1:8">
      <c r="A5364" s="1"/>
      <c r="B5364" s="1"/>
      <c r="C5364" s="1"/>
      <c r="D5364" s="1"/>
      <c r="E5364" s="357">
        <v>45763</v>
      </c>
      <c r="F5364" s="344" t="s">
        <v>631</v>
      </c>
      <c r="G5364" s="358">
        <v>38.047199999999997</v>
      </c>
      <c r="H5364" s="344" t="s">
        <v>1975</v>
      </c>
    </row>
    <row r="5365" spans="1:8">
      <c r="A5365" s="1"/>
      <c r="B5365" s="1"/>
      <c r="C5365" s="1"/>
      <c r="D5365" s="1"/>
      <c r="E5365" s="357">
        <v>45764</v>
      </c>
      <c r="F5365" s="344" t="s">
        <v>621</v>
      </c>
      <c r="G5365" s="358">
        <v>46.4527</v>
      </c>
      <c r="H5365" s="344" t="s">
        <v>1976</v>
      </c>
    </row>
    <row r="5366" spans="1:8">
      <c r="A5366" s="1"/>
      <c r="B5366" s="1"/>
      <c r="C5366" s="1"/>
      <c r="D5366" s="1"/>
      <c r="E5366" s="357">
        <v>45764</v>
      </c>
      <c r="F5366" s="344" t="s">
        <v>625</v>
      </c>
      <c r="G5366" s="358">
        <v>43.264400000000002</v>
      </c>
      <c r="H5366" s="344" t="s">
        <v>1976</v>
      </c>
    </row>
    <row r="5367" spans="1:8">
      <c r="A5367" s="1"/>
      <c r="B5367" s="1"/>
      <c r="C5367" s="1"/>
      <c r="D5367" s="1"/>
      <c r="E5367" s="357">
        <v>45764</v>
      </c>
      <c r="F5367" s="344" t="s">
        <v>628</v>
      </c>
      <c r="G5367" s="358">
        <v>50.283099999999997</v>
      </c>
      <c r="H5367" s="344" t="s">
        <v>1976</v>
      </c>
    </row>
    <row r="5368" spans="1:8">
      <c r="A5368" s="1"/>
      <c r="B5368" s="1"/>
      <c r="C5368" s="1"/>
      <c r="D5368" s="1"/>
      <c r="E5368" s="357">
        <v>45764</v>
      </c>
      <c r="F5368" s="344" t="s">
        <v>631</v>
      </c>
      <c r="G5368" s="358">
        <v>38.061100000000003</v>
      </c>
      <c r="H5368" s="344" t="s">
        <v>1976</v>
      </c>
    </row>
    <row r="5369" spans="1:8">
      <c r="A5369" s="1"/>
      <c r="B5369" s="1"/>
      <c r="C5369" s="1"/>
      <c r="D5369" s="1"/>
      <c r="E5369" s="357">
        <v>45765</v>
      </c>
      <c r="F5369" s="344" t="s">
        <v>621</v>
      </c>
      <c r="G5369" s="358">
        <v>46.3125</v>
      </c>
      <c r="H5369" s="344" t="s">
        <v>1977</v>
      </c>
    </row>
    <row r="5370" spans="1:8">
      <c r="A5370" s="1"/>
      <c r="B5370" s="1"/>
      <c r="C5370" s="1"/>
      <c r="D5370" s="1"/>
      <c r="E5370" s="357">
        <v>45765</v>
      </c>
      <c r="F5370" s="344" t="s">
        <v>625</v>
      </c>
      <c r="G5370" s="358">
        <v>43.214300000000001</v>
      </c>
      <c r="H5370" s="344" t="s">
        <v>1977</v>
      </c>
    </row>
    <row r="5371" spans="1:8">
      <c r="A5371" s="1"/>
      <c r="B5371" s="1"/>
      <c r="C5371" s="1"/>
      <c r="D5371" s="1"/>
      <c r="E5371" s="357">
        <v>45765</v>
      </c>
      <c r="F5371" s="344" t="s">
        <v>628</v>
      </c>
      <c r="G5371" s="358">
        <v>50.351999999999997</v>
      </c>
      <c r="H5371" s="344" t="s">
        <v>1977</v>
      </c>
    </row>
    <row r="5372" spans="1:8">
      <c r="A5372" s="1"/>
      <c r="B5372" s="1"/>
      <c r="C5372" s="1"/>
      <c r="D5372" s="1"/>
      <c r="E5372" s="357">
        <v>45765</v>
      </c>
      <c r="F5372" s="344" t="s">
        <v>631</v>
      </c>
      <c r="G5372" s="358">
        <v>38.0032</v>
      </c>
      <c r="H5372" s="344" t="s">
        <v>1977</v>
      </c>
    </row>
    <row r="5373" spans="1:8">
      <c r="A5373" s="1"/>
      <c r="B5373" s="1"/>
      <c r="C5373" s="1"/>
      <c r="D5373" s="1"/>
      <c r="E5373" s="357">
        <v>45768</v>
      </c>
      <c r="F5373" s="344" t="s">
        <v>621</v>
      </c>
      <c r="G5373" s="358">
        <v>47.169199999999996</v>
      </c>
      <c r="H5373" s="344" t="s">
        <v>1978</v>
      </c>
    </row>
    <row r="5374" spans="1:8">
      <c r="A5374" s="1"/>
      <c r="B5374" s="1"/>
      <c r="C5374" s="1"/>
      <c r="D5374" s="1"/>
      <c r="E5374" s="357">
        <v>45768</v>
      </c>
      <c r="F5374" s="344" t="s">
        <v>625</v>
      </c>
      <c r="G5374" s="358">
        <v>43.985700000000001</v>
      </c>
      <c r="H5374" s="344" t="s">
        <v>1978</v>
      </c>
    </row>
    <row r="5375" spans="1:8">
      <c r="A5375" s="1"/>
      <c r="B5375" s="1"/>
      <c r="C5375" s="1"/>
      <c r="D5375" s="1"/>
      <c r="E5375" s="357">
        <v>45768</v>
      </c>
      <c r="F5375" s="344" t="s">
        <v>628</v>
      </c>
      <c r="G5375" s="358">
        <v>50.983600000000003</v>
      </c>
      <c r="H5375" s="344" t="s">
        <v>1978</v>
      </c>
    </row>
    <row r="5376" spans="1:8">
      <c r="A5376" s="1"/>
      <c r="B5376" s="1"/>
      <c r="C5376" s="1"/>
      <c r="D5376" s="1"/>
      <c r="E5376" s="357">
        <v>45768</v>
      </c>
      <c r="F5376" s="344" t="s">
        <v>631</v>
      </c>
      <c r="G5376" s="358">
        <v>38.113999999999997</v>
      </c>
      <c r="H5376" s="344" t="s">
        <v>1978</v>
      </c>
    </row>
    <row r="5377" spans="1:8">
      <c r="A5377" s="1"/>
      <c r="B5377" s="1"/>
      <c r="C5377" s="1"/>
      <c r="D5377" s="1"/>
      <c r="E5377" s="357">
        <v>45769</v>
      </c>
      <c r="F5377" s="344" t="s">
        <v>621</v>
      </c>
      <c r="G5377" s="358">
        <v>46.896999999999998</v>
      </c>
      <c r="H5377" s="344" t="s">
        <v>1979</v>
      </c>
    </row>
    <row r="5378" spans="1:8">
      <c r="A5378" s="1"/>
      <c r="B5378" s="1"/>
      <c r="C5378" s="1"/>
      <c r="D5378" s="1"/>
      <c r="E5378" s="357">
        <v>45769</v>
      </c>
      <c r="F5378" s="344" t="s">
        <v>625</v>
      </c>
      <c r="G5378" s="358">
        <v>43.834299999999999</v>
      </c>
      <c r="H5378" s="344" t="s">
        <v>1979</v>
      </c>
    </row>
    <row r="5379" spans="1:8">
      <c r="A5379" s="1"/>
      <c r="B5379" s="1"/>
      <c r="C5379" s="1"/>
      <c r="D5379" s="1"/>
      <c r="E5379" s="357">
        <v>45769</v>
      </c>
      <c r="F5379" s="344" t="s">
        <v>628</v>
      </c>
      <c r="G5379" s="358">
        <v>50.927300000000002</v>
      </c>
      <c r="H5379" s="344" t="s">
        <v>1979</v>
      </c>
    </row>
    <row r="5380" spans="1:8">
      <c r="A5380" s="1"/>
      <c r="B5380" s="1"/>
      <c r="C5380" s="1"/>
      <c r="D5380" s="1"/>
      <c r="E5380" s="357">
        <v>45769</v>
      </c>
      <c r="F5380" s="344" t="s">
        <v>631</v>
      </c>
      <c r="G5380" s="358">
        <v>38.131399999999999</v>
      </c>
      <c r="H5380" s="344" t="s">
        <v>1979</v>
      </c>
    </row>
    <row r="5381" spans="1:8">
      <c r="A5381" s="1"/>
      <c r="B5381" s="1"/>
      <c r="C5381" s="1"/>
      <c r="D5381" s="1"/>
      <c r="E5381" s="357">
        <v>45771</v>
      </c>
      <c r="F5381" s="344" t="s">
        <v>621</v>
      </c>
      <c r="G5381" s="358">
        <v>46.162799999999997</v>
      </c>
      <c r="H5381" s="344" t="s">
        <v>1980</v>
      </c>
    </row>
    <row r="5382" spans="1:8">
      <c r="A5382" s="1"/>
      <c r="B5382" s="1"/>
      <c r="C5382" s="1"/>
      <c r="D5382" s="1"/>
      <c r="E5382" s="357">
        <v>45771</v>
      </c>
      <c r="F5382" s="344" t="s">
        <v>625</v>
      </c>
      <c r="G5382" s="358">
        <v>43.484999999999999</v>
      </c>
      <c r="H5382" s="344" t="s">
        <v>1980</v>
      </c>
    </row>
    <row r="5383" spans="1:8">
      <c r="A5383" s="1"/>
      <c r="B5383" s="1"/>
      <c r="C5383" s="1"/>
      <c r="D5383" s="1"/>
      <c r="E5383" s="357">
        <v>45771</v>
      </c>
      <c r="F5383" s="344" t="s">
        <v>628</v>
      </c>
      <c r="G5383" s="358">
        <v>50.747700000000002</v>
      </c>
      <c r="H5383" s="344" t="s">
        <v>1980</v>
      </c>
    </row>
    <row r="5384" spans="1:8">
      <c r="A5384" s="1"/>
      <c r="B5384" s="1"/>
      <c r="C5384" s="1"/>
      <c r="D5384" s="1"/>
      <c r="E5384" s="357">
        <v>45771</v>
      </c>
      <c r="F5384" s="344" t="s">
        <v>631</v>
      </c>
      <c r="G5384" s="358">
        <v>38.228900000000003</v>
      </c>
      <c r="H5384" s="344" t="s">
        <v>1980</v>
      </c>
    </row>
    <row r="5385" spans="1:8">
      <c r="A5385" s="1"/>
      <c r="B5385" s="1"/>
      <c r="C5385" s="1"/>
      <c r="D5385" s="1"/>
      <c r="E5385" s="357">
        <v>45772</v>
      </c>
      <c r="F5385" s="344" t="s">
        <v>621</v>
      </c>
      <c r="G5385" s="358">
        <v>45.947099999999999</v>
      </c>
      <c r="H5385" s="344" t="s">
        <v>1981</v>
      </c>
    </row>
    <row r="5386" spans="1:8">
      <c r="A5386" s="1"/>
      <c r="B5386" s="1"/>
      <c r="C5386" s="1"/>
      <c r="D5386" s="1"/>
      <c r="E5386" s="357">
        <v>45772</v>
      </c>
      <c r="F5386" s="344" t="s">
        <v>625</v>
      </c>
      <c r="G5386" s="358">
        <v>43.413200000000003</v>
      </c>
      <c r="H5386" s="344" t="s">
        <v>1981</v>
      </c>
    </row>
    <row r="5387" spans="1:8">
      <c r="A5387" s="1"/>
      <c r="B5387" s="1"/>
      <c r="C5387" s="1"/>
      <c r="D5387" s="1"/>
      <c r="E5387" s="357">
        <v>45772</v>
      </c>
      <c r="F5387" s="344" t="s">
        <v>628</v>
      </c>
      <c r="G5387" s="358">
        <v>50.800699999999999</v>
      </c>
      <c r="H5387" s="344" t="s">
        <v>1981</v>
      </c>
    </row>
    <row r="5388" spans="1:8">
      <c r="A5388" s="1"/>
      <c r="B5388" s="1"/>
      <c r="C5388" s="1"/>
      <c r="D5388" s="1"/>
      <c r="E5388" s="357">
        <v>45772</v>
      </c>
      <c r="F5388" s="344" t="s">
        <v>631</v>
      </c>
      <c r="G5388" s="358">
        <v>38.2455</v>
      </c>
      <c r="H5388" s="344" t="s">
        <v>1981</v>
      </c>
    </row>
    <row r="5389" spans="1:8">
      <c r="A5389" s="1"/>
      <c r="B5389" s="1"/>
      <c r="C5389" s="1"/>
      <c r="D5389" s="1"/>
      <c r="E5389" s="357">
        <v>45775</v>
      </c>
      <c r="F5389" s="344" t="s">
        <v>621</v>
      </c>
      <c r="G5389" s="358">
        <v>46.097900000000003</v>
      </c>
      <c r="H5389" s="344" t="s">
        <v>1982</v>
      </c>
    </row>
    <row r="5390" spans="1:8">
      <c r="A5390" s="1"/>
      <c r="B5390" s="1"/>
      <c r="C5390" s="1"/>
      <c r="D5390" s="1"/>
      <c r="E5390" s="357">
        <v>45775</v>
      </c>
      <c r="F5390" s="344" t="s">
        <v>625</v>
      </c>
      <c r="G5390" s="358">
        <v>43.530900000000003</v>
      </c>
      <c r="H5390" s="344" t="s">
        <v>1982</v>
      </c>
    </row>
    <row r="5391" spans="1:8">
      <c r="A5391" s="1"/>
      <c r="B5391" s="1"/>
      <c r="C5391" s="1"/>
      <c r="D5391" s="1"/>
      <c r="E5391" s="357">
        <v>45775</v>
      </c>
      <c r="F5391" s="344" t="s">
        <v>628</v>
      </c>
      <c r="G5391" s="358">
        <v>51.038600000000002</v>
      </c>
      <c r="H5391" s="344" t="s">
        <v>1982</v>
      </c>
    </row>
    <row r="5392" spans="1:8">
      <c r="A5392" s="1"/>
      <c r="B5392" s="1"/>
      <c r="C5392" s="1"/>
      <c r="D5392" s="1"/>
      <c r="E5392" s="357">
        <v>45775</v>
      </c>
      <c r="F5392" s="344" t="s">
        <v>631</v>
      </c>
      <c r="G5392" s="358">
        <v>38.366500000000002</v>
      </c>
      <c r="H5392" s="344" t="s">
        <v>1982</v>
      </c>
    </row>
    <row r="5393" spans="1:8">
      <c r="A5393" s="1"/>
      <c r="B5393" s="1"/>
      <c r="C5393" s="1"/>
      <c r="D5393" s="1"/>
      <c r="E5393" s="357">
        <v>45776</v>
      </c>
      <c r="F5393" s="344" t="s">
        <v>621</v>
      </c>
      <c r="G5393" s="358">
        <v>46.407499999999999</v>
      </c>
      <c r="H5393" s="344" t="s">
        <v>1983</v>
      </c>
    </row>
    <row r="5394" spans="1:8">
      <c r="A5394" s="1"/>
      <c r="B5394" s="1"/>
      <c r="C5394" s="1"/>
      <c r="D5394" s="1"/>
      <c r="E5394" s="357">
        <v>45776</v>
      </c>
      <c r="F5394" s="344" t="s">
        <v>625</v>
      </c>
      <c r="G5394" s="358">
        <v>43.6858</v>
      </c>
      <c r="H5394" s="344" t="s">
        <v>1983</v>
      </c>
    </row>
    <row r="5395" spans="1:8">
      <c r="A5395" s="1"/>
      <c r="B5395" s="1"/>
      <c r="C5395" s="1"/>
      <c r="D5395" s="1"/>
      <c r="E5395" s="357">
        <v>45776</v>
      </c>
      <c r="F5395" s="344" t="s">
        <v>628</v>
      </c>
      <c r="G5395" s="358">
        <v>51.3277</v>
      </c>
      <c r="H5395" s="344" t="s">
        <v>1983</v>
      </c>
    </row>
    <row r="5396" spans="1:8">
      <c r="A5396" s="1"/>
      <c r="B5396" s="1"/>
      <c r="C5396" s="1"/>
      <c r="D5396" s="1"/>
      <c r="E5396" s="357">
        <v>45776</v>
      </c>
      <c r="F5396" s="344" t="s">
        <v>631</v>
      </c>
      <c r="G5396" s="358">
        <v>38.367199999999997</v>
      </c>
      <c r="H5396" s="344" t="s">
        <v>1983</v>
      </c>
    </row>
    <row r="5397" spans="1:8">
      <c r="A5397" s="1"/>
      <c r="B5397" s="1"/>
      <c r="C5397" s="1"/>
      <c r="D5397" s="1"/>
      <c r="E5397" s="357">
        <v>45777</v>
      </c>
      <c r="F5397" s="344" t="s">
        <v>621</v>
      </c>
      <c r="G5397" s="358">
        <v>46.390700000000002</v>
      </c>
      <c r="H5397" s="344" t="s">
        <v>1984</v>
      </c>
    </row>
    <row r="5398" spans="1:8">
      <c r="A5398" s="1"/>
      <c r="B5398" s="1"/>
      <c r="C5398" s="1"/>
      <c r="D5398" s="1"/>
      <c r="E5398" s="357">
        <v>45777</v>
      </c>
      <c r="F5398" s="344" t="s">
        <v>625</v>
      </c>
      <c r="G5398" s="358">
        <v>43.636099999999999</v>
      </c>
      <c r="H5398" s="344" t="s">
        <v>1984</v>
      </c>
    </row>
    <row r="5399" spans="1:8">
      <c r="A5399" s="1"/>
      <c r="B5399" s="1"/>
      <c r="C5399" s="1"/>
      <c r="D5399" s="1"/>
      <c r="E5399" s="357">
        <v>45777</v>
      </c>
      <c r="F5399" s="344" t="s">
        <v>628</v>
      </c>
      <c r="G5399" s="358">
        <v>51.218000000000004</v>
      </c>
      <c r="H5399" s="344" t="s">
        <v>1984</v>
      </c>
    </row>
    <row r="5400" spans="1:8">
      <c r="A5400" s="1"/>
      <c r="B5400" s="1"/>
      <c r="C5400" s="1"/>
      <c r="D5400" s="1"/>
      <c r="E5400" s="357">
        <v>45777</v>
      </c>
      <c r="F5400" s="344" t="s">
        <v>631</v>
      </c>
      <c r="G5400" s="358">
        <v>38.368400000000001</v>
      </c>
      <c r="H5400" s="344" t="s">
        <v>1984</v>
      </c>
    </row>
    <row r="5401" spans="1:8">
      <c r="A5401" s="1"/>
      <c r="B5401" s="1"/>
      <c r="C5401" s="1"/>
      <c r="D5401" s="1"/>
      <c r="E5401" s="357">
        <v>45779</v>
      </c>
      <c r="F5401" s="344" t="s">
        <v>621</v>
      </c>
      <c r="G5401" s="358">
        <v>46.3874</v>
      </c>
      <c r="H5401" s="344" t="s">
        <v>1985</v>
      </c>
    </row>
    <row r="5402" spans="1:8">
      <c r="A5402" s="1"/>
      <c r="B5402" s="1"/>
      <c r="C5402" s="1"/>
      <c r="D5402" s="1"/>
      <c r="E5402" s="357">
        <v>45779</v>
      </c>
      <c r="F5402" s="344" t="s">
        <v>625</v>
      </c>
      <c r="G5402" s="358">
        <v>43.496000000000002</v>
      </c>
      <c r="H5402" s="344" t="s">
        <v>1985</v>
      </c>
    </row>
    <row r="5403" spans="1:8">
      <c r="A5403" s="1"/>
      <c r="B5403" s="1"/>
      <c r="C5403" s="1"/>
      <c r="D5403" s="1"/>
      <c r="E5403" s="357">
        <v>45779</v>
      </c>
      <c r="F5403" s="344" t="s">
        <v>628</v>
      </c>
      <c r="G5403" s="358">
        <v>50.9437</v>
      </c>
      <c r="H5403" s="344" t="s">
        <v>1985</v>
      </c>
    </row>
    <row r="5404" spans="1:8">
      <c r="A5404" s="1"/>
      <c r="B5404" s="1"/>
      <c r="C5404" s="1"/>
      <c r="D5404" s="1"/>
      <c r="E5404" s="357">
        <v>45779</v>
      </c>
      <c r="F5404" s="344" t="s">
        <v>631</v>
      </c>
      <c r="G5404" s="358">
        <v>38.369500000000002</v>
      </c>
      <c r="H5404" s="344" t="s">
        <v>1985</v>
      </c>
    </row>
    <row r="5405" spans="1:8">
      <c r="A5405" s="1"/>
      <c r="B5405" s="1"/>
      <c r="C5405" s="1"/>
      <c r="D5405" s="1"/>
      <c r="E5405" s="357">
        <v>45782</v>
      </c>
      <c r="F5405" s="344" t="s">
        <v>621</v>
      </c>
      <c r="G5405" s="358">
        <v>46.592700000000001</v>
      </c>
      <c r="H5405" s="344" t="s">
        <v>1986</v>
      </c>
    </row>
    <row r="5406" spans="1:8">
      <c r="A5406" s="1"/>
      <c r="B5406" s="1"/>
      <c r="C5406" s="1"/>
      <c r="D5406" s="1"/>
      <c r="E5406" s="357">
        <v>45782</v>
      </c>
      <c r="F5406" s="344" t="s">
        <v>625</v>
      </c>
      <c r="G5406" s="358">
        <v>43.642099999999999</v>
      </c>
      <c r="H5406" s="344" t="s">
        <v>1986</v>
      </c>
    </row>
    <row r="5407" spans="1:8">
      <c r="A5407" s="1"/>
      <c r="B5407" s="1"/>
      <c r="C5407" s="1"/>
      <c r="D5407" s="1"/>
      <c r="E5407" s="357">
        <v>45782</v>
      </c>
      <c r="F5407" s="344" t="s">
        <v>628</v>
      </c>
      <c r="G5407" s="358">
        <v>51.113</v>
      </c>
      <c r="H5407" s="344" t="s">
        <v>1986</v>
      </c>
    </row>
    <row r="5408" spans="1:8">
      <c r="A5408" s="1"/>
      <c r="B5408" s="1"/>
      <c r="C5408" s="1"/>
      <c r="D5408" s="1"/>
      <c r="E5408" s="357">
        <v>45782</v>
      </c>
      <c r="F5408" s="344" t="s">
        <v>631</v>
      </c>
      <c r="G5408" s="358">
        <v>38.5105</v>
      </c>
      <c r="H5408" s="344" t="s">
        <v>1986</v>
      </c>
    </row>
    <row r="5409" spans="1:8">
      <c r="A5409" s="1"/>
      <c r="B5409" s="1"/>
      <c r="C5409" s="1"/>
      <c r="D5409" s="1"/>
      <c r="E5409" s="357">
        <v>45783</v>
      </c>
      <c r="F5409" s="344" t="s">
        <v>621</v>
      </c>
      <c r="G5409" s="358">
        <v>46.616500000000002</v>
      </c>
      <c r="H5409" s="344" t="s">
        <v>1987</v>
      </c>
    </row>
    <row r="5410" spans="1:8">
      <c r="A5410" s="1"/>
      <c r="B5410" s="1"/>
      <c r="C5410" s="1"/>
      <c r="D5410" s="1"/>
      <c r="E5410" s="357">
        <v>45783</v>
      </c>
      <c r="F5410" s="344" t="s">
        <v>625</v>
      </c>
      <c r="G5410" s="358">
        <v>43.635399999999997</v>
      </c>
      <c r="H5410" s="344" t="s">
        <v>1987</v>
      </c>
    </row>
    <row r="5411" spans="1:8">
      <c r="A5411" s="1"/>
      <c r="B5411" s="1"/>
      <c r="C5411" s="1"/>
      <c r="D5411" s="1"/>
      <c r="E5411" s="357">
        <v>45783</v>
      </c>
      <c r="F5411" s="344" t="s">
        <v>628</v>
      </c>
      <c r="G5411" s="358">
        <v>51.263500000000001</v>
      </c>
      <c r="H5411" s="344" t="s">
        <v>1987</v>
      </c>
    </row>
    <row r="5412" spans="1:8">
      <c r="A5412" s="1"/>
      <c r="B5412" s="1"/>
      <c r="C5412" s="1"/>
      <c r="D5412" s="1"/>
      <c r="E5412" s="357">
        <v>45783</v>
      </c>
      <c r="F5412" s="344" t="s">
        <v>631</v>
      </c>
      <c r="G5412" s="358">
        <v>38.5259</v>
      </c>
      <c r="H5412" s="344" t="s">
        <v>1987</v>
      </c>
    </row>
    <row r="5413" spans="1:8">
      <c r="A5413" s="1"/>
      <c r="B5413" s="1"/>
      <c r="C5413" s="1"/>
      <c r="D5413" s="1"/>
      <c r="E5413" s="357">
        <v>45784</v>
      </c>
      <c r="F5413" s="344" t="s">
        <v>621</v>
      </c>
      <c r="G5413" s="358">
        <v>46.654299999999999</v>
      </c>
      <c r="H5413" s="344" t="s">
        <v>1988</v>
      </c>
    </row>
    <row r="5414" spans="1:8">
      <c r="A5414" s="1"/>
      <c r="B5414" s="1"/>
      <c r="C5414" s="1"/>
      <c r="D5414" s="1"/>
      <c r="E5414" s="357">
        <v>45784</v>
      </c>
      <c r="F5414" s="344" t="s">
        <v>625</v>
      </c>
      <c r="G5414" s="358">
        <v>43.808999999999997</v>
      </c>
      <c r="H5414" s="344" t="s">
        <v>1988</v>
      </c>
    </row>
    <row r="5415" spans="1:8">
      <c r="A5415" s="1"/>
      <c r="B5415" s="1"/>
      <c r="C5415" s="1"/>
      <c r="D5415" s="1"/>
      <c r="E5415" s="357">
        <v>45784</v>
      </c>
      <c r="F5415" s="344" t="s">
        <v>628</v>
      </c>
      <c r="G5415" s="358">
        <v>51.371600000000001</v>
      </c>
      <c r="H5415" s="344" t="s">
        <v>1988</v>
      </c>
    </row>
    <row r="5416" spans="1:8">
      <c r="A5416" s="1"/>
      <c r="B5416" s="1"/>
      <c r="C5416" s="1"/>
      <c r="D5416" s="1"/>
      <c r="E5416" s="357">
        <v>45784</v>
      </c>
      <c r="F5416" s="344" t="s">
        <v>631</v>
      </c>
      <c r="G5416" s="358">
        <v>38.555999999999997</v>
      </c>
      <c r="H5416" s="344" t="s">
        <v>1988</v>
      </c>
    </row>
    <row r="5417" spans="1:8">
      <c r="A5417" s="1"/>
      <c r="B5417" s="1"/>
      <c r="C5417" s="1"/>
      <c r="D5417" s="1"/>
      <c r="E5417" s="357">
        <v>45785</v>
      </c>
      <c r="F5417" s="344" t="s">
        <v>621</v>
      </c>
      <c r="G5417" s="358">
        <v>46.541400000000003</v>
      </c>
      <c r="H5417" s="344" t="s">
        <v>1989</v>
      </c>
    </row>
    <row r="5418" spans="1:8">
      <c r="A5418" s="1"/>
      <c r="B5418" s="1"/>
      <c r="C5418" s="1"/>
      <c r="D5418" s="1"/>
      <c r="E5418" s="357">
        <v>45785</v>
      </c>
      <c r="F5418" s="344" t="s">
        <v>625</v>
      </c>
      <c r="G5418" s="358">
        <v>43.5242</v>
      </c>
      <c r="H5418" s="344" t="s">
        <v>1989</v>
      </c>
    </row>
    <row r="5419" spans="1:8">
      <c r="A5419" s="1"/>
      <c r="B5419" s="1"/>
      <c r="C5419" s="1"/>
      <c r="D5419" s="1"/>
      <c r="E5419" s="357">
        <v>45785</v>
      </c>
      <c r="F5419" s="344" t="s">
        <v>628</v>
      </c>
      <c r="G5419" s="358">
        <v>51.126800000000003</v>
      </c>
      <c r="H5419" s="344" t="s">
        <v>1989</v>
      </c>
    </row>
    <row r="5420" spans="1:8">
      <c r="A5420" s="1"/>
      <c r="B5420" s="1"/>
      <c r="C5420" s="1"/>
      <c r="D5420" s="1"/>
      <c r="E5420" s="357">
        <v>45785</v>
      </c>
      <c r="F5420" s="344" t="s">
        <v>631</v>
      </c>
      <c r="G5420" s="358">
        <v>38.552900000000001</v>
      </c>
      <c r="H5420" s="344" t="s">
        <v>1989</v>
      </c>
    </row>
    <row r="5421" spans="1:8">
      <c r="A5421" s="1"/>
      <c r="B5421" s="1"/>
      <c r="C5421" s="1"/>
      <c r="D5421" s="1"/>
      <c r="E5421" s="357">
        <v>45786</v>
      </c>
      <c r="F5421" s="344" t="s">
        <v>621</v>
      </c>
      <c r="G5421" s="358">
        <v>46.316600000000001</v>
      </c>
      <c r="H5421" s="344" t="s">
        <v>1990</v>
      </c>
    </row>
    <row r="5422" spans="1:8">
      <c r="A5422" s="1"/>
      <c r="B5422" s="1"/>
      <c r="C5422" s="1"/>
      <c r="D5422" s="1"/>
      <c r="E5422" s="357">
        <v>45786</v>
      </c>
      <c r="F5422" s="344" t="s">
        <v>625</v>
      </c>
      <c r="G5422" s="358">
        <v>43.391399999999997</v>
      </c>
      <c r="H5422" s="344" t="s">
        <v>1990</v>
      </c>
    </row>
    <row r="5423" spans="1:8">
      <c r="A5423" s="1"/>
      <c r="B5423" s="1"/>
      <c r="C5423" s="1"/>
      <c r="D5423" s="1"/>
      <c r="E5423" s="357">
        <v>45786</v>
      </c>
      <c r="F5423" s="344" t="s">
        <v>628</v>
      </c>
      <c r="G5423" s="358">
        <v>51.078299999999999</v>
      </c>
      <c r="H5423" s="344" t="s">
        <v>1990</v>
      </c>
    </row>
    <row r="5424" spans="1:8">
      <c r="A5424" s="1"/>
      <c r="B5424" s="1"/>
      <c r="C5424" s="1"/>
      <c r="D5424" s="1"/>
      <c r="E5424" s="357">
        <v>45786</v>
      </c>
      <c r="F5424" s="344" t="s">
        <v>631</v>
      </c>
      <c r="G5424" s="358">
        <v>38.572499999999998</v>
      </c>
      <c r="H5424" s="344" t="s">
        <v>1990</v>
      </c>
    </row>
    <row r="5425" spans="1:8">
      <c r="A5425" s="1"/>
      <c r="B5425" s="1"/>
      <c r="C5425" s="1"/>
      <c r="D5425" s="1"/>
      <c r="E5425" s="357">
        <v>45789</v>
      </c>
      <c r="F5425" s="344" t="s">
        <v>621</v>
      </c>
      <c r="G5425" s="358">
        <v>45.800699999999999</v>
      </c>
      <c r="H5425" s="344" t="s">
        <v>1991</v>
      </c>
    </row>
    <row r="5426" spans="1:8">
      <c r="A5426" s="1"/>
      <c r="B5426" s="1"/>
      <c r="C5426" s="1"/>
      <c r="D5426" s="1"/>
      <c r="E5426" s="357">
        <v>45789</v>
      </c>
      <c r="F5426" s="344" t="s">
        <v>625</v>
      </c>
      <c r="G5426" s="358">
        <v>43.040399999999998</v>
      </c>
      <c r="H5426" s="344" t="s">
        <v>1991</v>
      </c>
    </row>
    <row r="5427" spans="1:8">
      <c r="A5427" s="1"/>
      <c r="B5427" s="1"/>
      <c r="C5427" s="1"/>
      <c r="D5427" s="1"/>
      <c r="E5427" s="357">
        <v>45789</v>
      </c>
      <c r="F5427" s="344" t="s">
        <v>628</v>
      </c>
      <c r="G5427" s="358">
        <v>50.9437</v>
      </c>
      <c r="H5427" s="344" t="s">
        <v>1991</v>
      </c>
    </row>
    <row r="5428" spans="1:8">
      <c r="A5428" s="1"/>
      <c r="B5428" s="1"/>
      <c r="C5428" s="1"/>
      <c r="D5428" s="1"/>
      <c r="E5428" s="357">
        <v>45789</v>
      </c>
      <c r="F5428" s="344" t="s">
        <v>631</v>
      </c>
      <c r="G5428" s="358">
        <v>38.676099999999998</v>
      </c>
      <c r="H5428" s="344" t="s">
        <v>1991</v>
      </c>
    </row>
    <row r="5429" spans="1:8">
      <c r="A5429" s="1"/>
      <c r="B5429" s="1"/>
      <c r="C5429" s="1"/>
      <c r="D5429" s="1"/>
      <c r="E5429" s="357">
        <v>45790</v>
      </c>
      <c r="F5429" s="344" t="s">
        <v>621</v>
      </c>
      <c r="G5429" s="358">
        <v>45.902099999999997</v>
      </c>
      <c r="H5429" s="344" t="s">
        <v>1992</v>
      </c>
    </row>
    <row r="5430" spans="1:8">
      <c r="A5430" s="1"/>
      <c r="B5430" s="1"/>
      <c r="C5430" s="1"/>
      <c r="D5430" s="1"/>
      <c r="E5430" s="357">
        <v>45790</v>
      </c>
      <c r="F5430" s="344" t="s">
        <v>625</v>
      </c>
      <c r="G5430" s="358">
        <v>43.008699999999997</v>
      </c>
      <c r="H5430" s="344" t="s">
        <v>1992</v>
      </c>
    </row>
    <row r="5431" spans="1:8">
      <c r="A5431" s="1"/>
      <c r="B5431" s="1"/>
      <c r="C5431" s="1"/>
      <c r="D5431" s="1"/>
      <c r="E5431" s="357">
        <v>45790</v>
      </c>
      <c r="F5431" s="344" t="s">
        <v>628</v>
      </c>
      <c r="G5431" s="358">
        <v>51.046100000000003</v>
      </c>
      <c r="H5431" s="344" t="s">
        <v>1992</v>
      </c>
    </row>
    <row r="5432" spans="1:8">
      <c r="A5432" s="1"/>
      <c r="B5432" s="1"/>
      <c r="C5432" s="1"/>
      <c r="D5432" s="1"/>
      <c r="E5432" s="357">
        <v>45790</v>
      </c>
      <c r="F5432" s="344" t="s">
        <v>631</v>
      </c>
      <c r="G5432" s="358">
        <v>38.712299999999999</v>
      </c>
      <c r="H5432" s="344" t="s">
        <v>1992</v>
      </c>
    </row>
    <row r="5433" spans="1:8">
      <c r="A5433" s="1"/>
      <c r="B5433" s="1"/>
      <c r="C5433" s="1"/>
      <c r="D5433" s="1"/>
      <c r="E5433" s="357">
        <v>45791</v>
      </c>
      <c r="F5433" s="344" t="s">
        <v>621</v>
      </c>
      <c r="G5433" s="358">
        <v>46.145099999999999</v>
      </c>
      <c r="H5433" s="344" t="s">
        <v>1993</v>
      </c>
    </row>
    <row r="5434" spans="1:8">
      <c r="A5434" s="1"/>
      <c r="B5434" s="1"/>
      <c r="C5434" s="1"/>
      <c r="D5434" s="1"/>
      <c r="E5434" s="357">
        <v>45791</v>
      </c>
      <c r="F5434" s="344" t="s">
        <v>625</v>
      </c>
      <c r="G5434" s="358">
        <v>43.428800000000003</v>
      </c>
      <c r="H5434" s="344" t="s">
        <v>1993</v>
      </c>
    </row>
    <row r="5435" spans="1:8">
      <c r="A5435" s="1"/>
      <c r="B5435" s="1"/>
      <c r="C5435" s="1"/>
      <c r="D5435" s="1"/>
      <c r="E5435" s="357">
        <v>45791</v>
      </c>
      <c r="F5435" s="344" t="s">
        <v>628</v>
      </c>
      <c r="G5435" s="358">
        <v>51.5075</v>
      </c>
      <c r="H5435" s="344" t="s">
        <v>1993</v>
      </c>
    </row>
    <row r="5436" spans="1:8">
      <c r="A5436" s="1"/>
      <c r="B5436" s="1"/>
      <c r="C5436" s="1"/>
      <c r="D5436" s="1"/>
      <c r="E5436" s="357">
        <v>45791</v>
      </c>
      <c r="F5436" s="344" t="s">
        <v>631</v>
      </c>
      <c r="G5436" s="358">
        <v>38.693300000000001</v>
      </c>
      <c r="H5436" s="344" t="s">
        <v>1993</v>
      </c>
    </row>
    <row r="5437" spans="1:8">
      <c r="A5437" s="1"/>
      <c r="B5437" s="1"/>
      <c r="C5437" s="1"/>
      <c r="D5437" s="1"/>
      <c r="E5437" s="357">
        <v>45792</v>
      </c>
      <c r="F5437" s="344" t="s">
        <v>621</v>
      </c>
      <c r="G5437" s="358">
        <v>46.015000000000001</v>
      </c>
      <c r="H5437" s="344" t="s">
        <v>1994</v>
      </c>
    </row>
    <row r="5438" spans="1:8">
      <c r="A5438" s="1"/>
      <c r="B5438" s="1"/>
      <c r="C5438" s="1"/>
      <c r="D5438" s="1"/>
      <c r="E5438" s="357">
        <v>45792</v>
      </c>
      <c r="F5438" s="344" t="s">
        <v>625</v>
      </c>
      <c r="G5438" s="358">
        <v>43.284700000000001</v>
      </c>
      <c r="H5438" s="344" t="s">
        <v>1994</v>
      </c>
    </row>
    <row r="5439" spans="1:8">
      <c r="A5439" s="1"/>
      <c r="B5439" s="1"/>
      <c r="C5439" s="1"/>
      <c r="D5439" s="1"/>
      <c r="E5439" s="357">
        <v>45792</v>
      </c>
      <c r="F5439" s="344" t="s">
        <v>628</v>
      </c>
      <c r="G5439" s="358">
        <v>51.2395</v>
      </c>
      <c r="H5439" s="344" t="s">
        <v>1994</v>
      </c>
    </row>
    <row r="5440" spans="1:8">
      <c r="A5440" s="1"/>
      <c r="B5440" s="1"/>
      <c r="C5440" s="1"/>
      <c r="D5440" s="1"/>
      <c r="E5440" s="357">
        <v>45792</v>
      </c>
      <c r="F5440" s="344" t="s">
        <v>631</v>
      </c>
      <c r="G5440" s="358">
        <v>38.634900000000002</v>
      </c>
      <c r="H5440" s="344" t="s">
        <v>1994</v>
      </c>
    </row>
    <row r="5441" spans="1:8">
      <c r="A5441" s="1"/>
      <c r="B5441" s="1"/>
      <c r="C5441" s="1"/>
      <c r="D5441" s="1"/>
      <c r="E5441" s="357">
        <v>45793</v>
      </c>
      <c r="F5441" s="344" t="s">
        <v>621</v>
      </c>
      <c r="G5441" s="358">
        <v>46.083100000000002</v>
      </c>
      <c r="H5441" s="344" t="s">
        <v>1995</v>
      </c>
    </row>
    <row r="5442" spans="1:8">
      <c r="A5442" s="1"/>
      <c r="B5442" s="1"/>
      <c r="C5442" s="1"/>
      <c r="D5442" s="1"/>
      <c r="E5442" s="357">
        <v>45793</v>
      </c>
      <c r="F5442" s="344" t="s">
        <v>625</v>
      </c>
      <c r="G5442" s="358">
        <v>43.230899999999998</v>
      </c>
      <c r="H5442" s="344" t="s">
        <v>1995</v>
      </c>
    </row>
    <row r="5443" spans="1:8">
      <c r="A5443" s="1"/>
      <c r="B5443" s="1"/>
      <c r="C5443" s="1"/>
      <c r="D5443" s="1"/>
      <c r="E5443" s="357">
        <v>45793</v>
      </c>
      <c r="F5443" s="344" t="s">
        <v>628</v>
      </c>
      <c r="G5443" s="358">
        <v>51.249299999999998</v>
      </c>
      <c r="H5443" s="344" t="s">
        <v>1995</v>
      </c>
    </row>
    <row r="5444" spans="1:8">
      <c r="A5444" s="1"/>
      <c r="B5444" s="1"/>
      <c r="C5444" s="1"/>
      <c r="D5444" s="1"/>
      <c r="E5444" s="357">
        <v>45793</v>
      </c>
      <c r="F5444" s="344" t="s">
        <v>631</v>
      </c>
      <c r="G5444" s="358">
        <v>38.5944</v>
      </c>
      <c r="H5444" s="344" t="s">
        <v>1995</v>
      </c>
    </row>
    <row r="5445" spans="1:8">
      <c r="A5445" s="1"/>
      <c r="B5445" s="1"/>
      <c r="C5445" s="1"/>
      <c r="D5445" s="1"/>
      <c r="E5445" s="357">
        <v>45797</v>
      </c>
      <c r="F5445" s="344" t="s">
        <v>621</v>
      </c>
      <c r="G5445" s="358">
        <v>46.445399999999999</v>
      </c>
      <c r="H5445" s="344" t="s">
        <v>1996</v>
      </c>
    </row>
    <row r="5446" spans="1:8">
      <c r="A5446" s="1"/>
      <c r="B5446" s="1"/>
      <c r="C5446" s="1"/>
      <c r="D5446" s="1"/>
      <c r="E5446" s="357">
        <v>45797</v>
      </c>
      <c r="F5446" s="344" t="s">
        <v>625</v>
      </c>
      <c r="G5446" s="358">
        <v>43.642200000000003</v>
      </c>
      <c r="H5446" s="344" t="s">
        <v>1996</v>
      </c>
    </row>
    <row r="5447" spans="1:8">
      <c r="A5447" s="1"/>
      <c r="B5447" s="1"/>
      <c r="C5447" s="1"/>
      <c r="D5447" s="1"/>
      <c r="E5447" s="357">
        <v>45797</v>
      </c>
      <c r="F5447" s="344" t="s">
        <v>628</v>
      </c>
      <c r="G5447" s="358">
        <v>51.756900000000002</v>
      </c>
      <c r="H5447" s="344" t="s">
        <v>1996</v>
      </c>
    </row>
    <row r="5448" spans="1:8">
      <c r="A5448" s="1"/>
      <c r="B5448" s="1"/>
      <c r="C5448" s="1"/>
      <c r="D5448" s="1"/>
      <c r="E5448" s="357">
        <v>45797</v>
      </c>
      <c r="F5448" s="344" t="s">
        <v>631</v>
      </c>
      <c r="G5448" s="358">
        <v>38.770899999999997</v>
      </c>
      <c r="H5448" s="344" t="s">
        <v>1996</v>
      </c>
    </row>
    <row r="5449" spans="1:8">
      <c r="A5449" s="1"/>
      <c r="B5449" s="1"/>
      <c r="C5449" s="1"/>
      <c r="D5449" s="1"/>
      <c r="E5449" s="357">
        <v>45798</v>
      </c>
      <c r="F5449" s="344" t="s">
        <v>621</v>
      </c>
      <c r="G5449" s="358">
        <v>46.911799999999999</v>
      </c>
      <c r="H5449" s="344" t="s">
        <v>1997</v>
      </c>
    </row>
    <row r="5450" spans="1:8">
      <c r="A5450" s="1"/>
      <c r="B5450" s="1"/>
      <c r="C5450" s="1"/>
      <c r="D5450" s="1"/>
      <c r="E5450" s="357">
        <v>45798</v>
      </c>
      <c r="F5450" s="344" t="s">
        <v>625</v>
      </c>
      <c r="G5450" s="358">
        <v>43.913400000000003</v>
      </c>
      <c r="H5450" s="344" t="s">
        <v>1997</v>
      </c>
    </row>
    <row r="5451" spans="1:8">
      <c r="A5451" s="1"/>
      <c r="B5451" s="1"/>
      <c r="C5451" s="1"/>
      <c r="D5451" s="1"/>
      <c r="E5451" s="357">
        <v>45798</v>
      </c>
      <c r="F5451" s="344" t="s">
        <v>628</v>
      </c>
      <c r="G5451" s="358">
        <v>51.910299999999999</v>
      </c>
      <c r="H5451" s="344" t="s">
        <v>1997</v>
      </c>
    </row>
    <row r="5452" spans="1:8">
      <c r="A5452" s="1"/>
      <c r="B5452" s="1"/>
      <c r="C5452" s="1"/>
      <c r="D5452" s="1"/>
      <c r="E5452" s="357">
        <v>45798</v>
      </c>
      <c r="F5452" s="344" t="s">
        <v>631</v>
      </c>
      <c r="G5452" s="358">
        <v>38.760199999999998</v>
      </c>
      <c r="H5452" s="344" t="s">
        <v>1997</v>
      </c>
    </row>
    <row r="5453" spans="1:8">
      <c r="A5453" s="1"/>
      <c r="B5453" s="1"/>
      <c r="C5453" s="1"/>
      <c r="D5453" s="1"/>
      <c r="E5453" s="357">
        <v>45799</v>
      </c>
      <c r="F5453" s="344" t="s">
        <v>621</v>
      </c>
      <c r="G5453" s="358">
        <v>46.861499999999999</v>
      </c>
      <c r="H5453" s="344" t="s">
        <v>1998</v>
      </c>
    </row>
    <row r="5454" spans="1:8">
      <c r="A5454" s="1"/>
      <c r="B5454" s="1"/>
      <c r="C5454" s="1"/>
      <c r="D5454" s="1"/>
      <c r="E5454" s="357">
        <v>45799</v>
      </c>
      <c r="F5454" s="344" t="s">
        <v>625</v>
      </c>
      <c r="G5454" s="358">
        <v>43.866599999999998</v>
      </c>
      <c r="H5454" s="344" t="s">
        <v>1998</v>
      </c>
    </row>
    <row r="5455" spans="1:8">
      <c r="A5455" s="1"/>
      <c r="B5455" s="1"/>
      <c r="C5455" s="1"/>
      <c r="D5455" s="1"/>
      <c r="E5455" s="357">
        <v>45799</v>
      </c>
      <c r="F5455" s="344" t="s">
        <v>628</v>
      </c>
      <c r="G5455" s="358">
        <v>51.947899999999997</v>
      </c>
      <c r="H5455" s="344" t="s">
        <v>1998</v>
      </c>
    </row>
    <row r="5456" spans="1:8">
      <c r="A5456" s="1"/>
      <c r="B5456" s="1"/>
      <c r="C5456" s="1"/>
      <c r="D5456" s="1"/>
      <c r="E5456" s="357">
        <v>45799</v>
      </c>
      <c r="F5456" s="344" t="s">
        <v>631</v>
      </c>
      <c r="G5456" s="358">
        <v>38.796500000000002</v>
      </c>
      <c r="H5456" s="344" t="s">
        <v>1998</v>
      </c>
    </row>
    <row r="5457" spans="1:8">
      <c r="A5457" s="1"/>
      <c r="B5457" s="1"/>
      <c r="C5457" s="1"/>
      <c r="D5457" s="1"/>
      <c r="E5457" s="357">
        <v>45800</v>
      </c>
      <c r="F5457" s="344" t="s">
        <v>621</v>
      </c>
      <c r="G5457" s="358">
        <v>46.901899999999998</v>
      </c>
      <c r="H5457" s="344" t="s">
        <v>1999</v>
      </c>
    </row>
    <row r="5458" spans="1:8">
      <c r="A5458" s="1"/>
      <c r="B5458" s="1"/>
      <c r="C5458" s="1"/>
      <c r="D5458" s="1"/>
      <c r="E5458" s="357">
        <v>45800</v>
      </c>
      <c r="F5458" s="344" t="s">
        <v>625</v>
      </c>
      <c r="G5458" s="358">
        <v>44.002800000000001</v>
      </c>
      <c r="H5458" s="344" t="s">
        <v>1999</v>
      </c>
    </row>
    <row r="5459" spans="1:8">
      <c r="A5459" s="1"/>
      <c r="B5459" s="1"/>
      <c r="C5459" s="1"/>
      <c r="D5459" s="1"/>
      <c r="E5459" s="357">
        <v>45800</v>
      </c>
      <c r="F5459" s="344" t="s">
        <v>628</v>
      </c>
      <c r="G5459" s="358">
        <v>52.250399999999999</v>
      </c>
      <c r="H5459" s="344" t="s">
        <v>1999</v>
      </c>
    </row>
    <row r="5460" spans="1:8">
      <c r="A5460" s="1"/>
      <c r="B5460" s="1"/>
      <c r="C5460" s="1"/>
      <c r="D5460" s="1"/>
      <c r="E5460" s="357">
        <v>45800</v>
      </c>
      <c r="F5460" s="344" t="s">
        <v>631</v>
      </c>
      <c r="G5460" s="358">
        <v>38.817399999999999</v>
      </c>
      <c r="H5460" s="344" t="s">
        <v>1999</v>
      </c>
    </row>
    <row r="5461" spans="1:8">
      <c r="A5461" s="1"/>
      <c r="B5461" s="1"/>
      <c r="C5461" s="1"/>
      <c r="D5461" s="1"/>
      <c r="E5461" s="357">
        <v>45803</v>
      </c>
      <c r="F5461" s="344" t="s">
        <v>621</v>
      </c>
      <c r="G5461" s="358">
        <v>47.238900000000001</v>
      </c>
      <c r="H5461" s="344" t="s">
        <v>2000</v>
      </c>
    </row>
    <row r="5462" spans="1:8">
      <c r="A5462" s="1"/>
      <c r="B5462" s="1"/>
      <c r="C5462" s="1"/>
      <c r="D5462" s="1"/>
      <c r="E5462" s="357">
        <v>45803</v>
      </c>
      <c r="F5462" s="344" t="s">
        <v>625</v>
      </c>
      <c r="G5462" s="358">
        <v>44.285499999999999</v>
      </c>
      <c r="H5462" s="344" t="s">
        <v>2000</v>
      </c>
    </row>
    <row r="5463" spans="1:8">
      <c r="A5463" s="1"/>
      <c r="B5463" s="1"/>
      <c r="C5463" s="1"/>
      <c r="D5463" s="1"/>
      <c r="E5463" s="357">
        <v>45803</v>
      </c>
      <c r="F5463" s="344" t="s">
        <v>628</v>
      </c>
      <c r="G5463" s="358">
        <v>52.664200000000001</v>
      </c>
      <c r="H5463" s="344" t="s">
        <v>2000</v>
      </c>
    </row>
    <row r="5464" spans="1:8">
      <c r="A5464" s="1"/>
      <c r="B5464" s="1"/>
      <c r="C5464" s="1"/>
      <c r="D5464" s="1"/>
      <c r="E5464" s="357">
        <v>45803</v>
      </c>
      <c r="F5464" s="344" t="s">
        <v>631</v>
      </c>
      <c r="G5464" s="358">
        <v>38.890700000000002</v>
      </c>
      <c r="H5464" s="344" t="s">
        <v>2000</v>
      </c>
    </row>
    <row r="5465" spans="1:8">
      <c r="A5465" s="1"/>
      <c r="B5465" s="1"/>
      <c r="C5465" s="1"/>
      <c r="D5465" s="1"/>
      <c r="E5465" s="357">
        <v>45804</v>
      </c>
      <c r="F5465" s="344" t="s">
        <v>621</v>
      </c>
      <c r="G5465" s="358">
        <v>47.023400000000002</v>
      </c>
      <c r="H5465" s="344" t="s">
        <v>2001</v>
      </c>
    </row>
    <row r="5466" spans="1:8">
      <c r="A5466" s="1"/>
      <c r="B5466" s="1"/>
      <c r="C5466" s="1"/>
      <c r="D5466" s="1"/>
      <c r="E5466" s="357">
        <v>45804</v>
      </c>
      <c r="F5466" s="344" t="s">
        <v>625</v>
      </c>
      <c r="G5466" s="358">
        <v>44.1526</v>
      </c>
      <c r="H5466" s="344" t="s">
        <v>2001</v>
      </c>
    </row>
    <row r="5467" spans="1:8">
      <c r="A5467" s="1"/>
      <c r="B5467" s="1"/>
      <c r="C5467" s="1"/>
      <c r="D5467" s="1"/>
      <c r="E5467" s="357">
        <v>45804</v>
      </c>
      <c r="F5467" s="344" t="s">
        <v>628</v>
      </c>
      <c r="G5467" s="358">
        <v>52.587200000000003</v>
      </c>
      <c r="H5467" s="344" t="s">
        <v>2001</v>
      </c>
    </row>
    <row r="5468" spans="1:8">
      <c r="A5468" s="1"/>
      <c r="B5468" s="1"/>
      <c r="C5468" s="1"/>
      <c r="D5468" s="1"/>
      <c r="E5468" s="357">
        <v>45804</v>
      </c>
      <c r="F5468" s="344" t="s">
        <v>631</v>
      </c>
      <c r="G5468" s="358">
        <v>38.902700000000003</v>
      </c>
      <c r="H5468" s="344" t="s">
        <v>2001</v>
      </c>
    </row>
    <row r="5469" spans="1:8">
      <c r="A5469" s="1"/>
      <c r="B5469" s="1"/>
      <c r="C5469" s="1"/>
      <c r="D5469" s="1"/>
      <c r="E5469" s="357">
        <v>45805</v>
      </c>
      <c r="F5469" s="344" t="s">
        <v>621</v>
      </c>
      <c r="G5469" s="358">
        <v>47.022399999999998</v>
      </c>
      <c r="H5469" s="344" t="s">
        <v>2002</v>
      </c>
    </row>
    <row r="5470" spans="1:8">
      <c r="A5470" s="1"/>
      <c r="B5470" s="1"/>
      <c r="C5470" s="1"/>
      <c r="D5470" s="1"/>
      <c r="E5470" s="357">
        <v>45805</v>
      </c>
      <c r="F5470" s="344" t="s">
        <v>625</v>
      </c>
      <c r="G5470" s="358">
        <v>44.139899999999997</v>
      </c>
      <c r="H5470" s="344" t="s">
        <v>2002</v>
      </c>
    </row>
    <row r="5471" spans="1:8">
      <c r="A5471" s="1"/>
      <c r="B5471" s="1"/>
      <c r="C5471" s="1"/>
      <c r="D5471" s="1"/>
      <c r="E5471" s="357">
        <v>45805</v>
      </c>
      <c r="F5471" s="344" t="s">
        <v>628</v>
      </c>
      <c r="G5471" s="358">
        <v>52.5154</v>
      </c>
      <c r="H5471" s="344" t="s">
        <v>2002</v>
      </c>
    </row>
    <row r="5472" spans="1:8">
      <c r="A5472" s="1"/>
      <c r="B5472" s="1"/>
      <c r="C5472" s="1"/>
      <c r="D5472" s="1"/>
      <c r="E5472" s="357">
        <v>45805</v>
      </c>
      <c r="F5472" s="344" t="s">
        <v>631</v>
      </c>
      <c r="G5472" s="358">
        <v>38.980800000000002</v>
      </c>
      <c r="H5472" s="344" t="s">
        <v>2002</v>
      </c>
    </row>
    <row r="5473" spans="1:8">
      <c r="A5473" s="1"/>
      <c r="B5473" s="1"/>
      <c r="C5473" s="1"/>
      <c r="D5473" s="1"/>
      <c r="E5473" s="357">
        <v>45806</v>
      </c>
      <c r="F5473" s="344" t="s">
        <v>621</v>
      </c>
      <c r="G5473" s="358">
        <v>46.939100000000003</v>
      </c>
      <c r="H5473" s="344" t="s">
        <v>2003</v>
      </c>
    </row>
    <row r="5474" spans="1:8">
      <c r="A5474" s="1"/>
      <c r="B5474" s="1"/>
      <c r="C5474" s="1"/>
      <c r="D5474" s="1"/>
      <c r="E5474" s="357">
        <v>45806</v>
      </c>
      <c r="F5474" s="344" t="s">
        <v>625</v>
      </c>
      <c r="G5474" s="358">
        <v>43.999600000000001</v>
      </c>
      <c r="H5474" s="344" t="s">
        <v>2003</v>
      </c>
    </row>
    <row r="5475" spans="1:8">
      <c r="A5475" s="1"/>
      <c r="B5475" s="1"/>
      <c r="C5475" s="1"/>
      <c r="D5475" s="1"/>
      <c r="E5475" s="357">
        <v>45806</v>
      </c>
      <c r="F5475" s="344" t="s">
        <v>628</v>
      </c>
      <c r="G5475" s="358">
        <v>52.449300000000001</v>
      </c>
      <c r="H5475" s="344" t="s">
        <v>2003</v>
      </c>
    </row>
    <row r="5476" spans="1:8">
      <c r="A5476" s="1"/>
      <c r="B5476" s="1"/>
      <c r="C5476" s="1"/>
      <c r="D5476" s="1"/>
      <c r="E5476" s="357">
        <v>45806</v>
      </c>
      <c r="F5476" s="344" t="s">
        <v>631</v>
      </c>
      <c r="G5476" s="358">
        <v>39.0212</v>
      </c>
      <c r="H5476" s="344" t="s">
        <v>2003</v>
      </c>
    </row>
    <row r="5477" spans="1:8">
      <c r="A5477" s="1"/>
      <c r="B5477" s="1"/>
      <c r="C5477" s="1"/>
      <c r="D5477" s="1"/>
      <c r="E5477" s="357">
        <v>45807</v>
      </c>
      <c r="F5477" s="344" t="s">
        <v>621</v>
      </c>
      <c r="G5477" s="358">
        <v>47.295000000000002</v>
      </c>
      <c r="H5477" s="344" t="s">
        <v>2004</v>
      </c>
    </row>
    <row r="5478" spans="1:8">
      <c r="A5478" s="1"/>
      <c r="B5478" s="1"/>
      <c r="C5478" s="1"/>
      <c r="D5478" s="1"/>
      <c r="E5478" s="357">
        <v>45807</v>
      </c>
      <c r="F5478" s="344" t="s">
        <v>625</v>
      </c>
      <c r="G5478" s="358">
        <v>44.270600000000002</v>
      </c>
      <c r="H5478" s="344" t="s">
        <v>2004</v>
      </c>
    </row>
    <row r="5479" spans="1:8">
      <c r="A5479" s="1"/>
      <c r="B5479" s="1"/>
      <c r="C5479" s="1"/>
      <c r="D5479" s="1"/>
      <c r="E5479" s="357">
        <v>45807</v>
      </c>
      <c r="F5479" s="344" t="s">
        <v>628</v>
      </c>
      <c r="G5479" s="358">
        <v>52.540700000000001</v>
      </c>
      <c r="H5479" s="344" t="s">
        <v>2004</v>
      </c>
    </row>
    <row r="5480" spans="1:8">
      <c r="A5480" s="1"/>
      <c r="B5480" s="1"/>
      <c r="C5480" s="1"/>
      <c r="D5480" s="1"/>
      <c r="E5480" s="357">
        <v>45807</v>
      </c>
      <c r="F5480" s="344" t="s">
        <v>631</v>
      </c>
      <c r="G5480" s="358">
        <v>39.062600000000003</v>
      </c>
      <c r="H5480" s="344" t="s">
        <v>2004</v>
      </c>
    </row>
    <row r="5481" spans="1:8">
      <c r="A5481" s="1"/>
      <c r="B5481" s="1"/>
      <c r="C5481" s="1"/>
      <c r="D5481" s="1"/>
      <c r="E5481" s="357">
        <v>45810</v>
      </c>
      <c r="F5481" s="344" t="s">
        <v>621</v>
      </c>
      <c r="G5481" s="358">
        <v>47.699100000000001</v>
      </c>
      <c r="H5481" s="344" t="s">
        <v>2005</v>
      </c>
    </row>
    <row r="5482" spans="1:8">
      <c r="A5482" s="1"/>
      <c r="B5482" s="1"/>
      <c r="C5482" s="1"/>
      <c r="D5482" s="1"/>
      <c r="E5482" s="357">
        <v>45810</v>
      </c>
      <c r="F5482" s="344" t="s">
        <v>625</v>
      </c>
      <c r="G5482" s="358">
        <v>44.6554</v>
      </c>
      <c r="H5482" s="344" t="s">
        <v>2005</v>
      </c>
    </row>
    <row r="5483" spans="1:8">
      <c r="A5483" s="1"/>
      <c r="B5483" s="1"/>
      <c r="C5483" s="1"/>
      <c r="D5483" s="1"/>
      <c r="E5483" s="357">
        <v>45810</v>
      </c>
      <c r="F5483" s="344" t="s">
        <v>628</v>
      </c>
      <c r="G5483" s="358">
        <v>52.8658</v>
      </c>
      <c r="H5483" s="344" t="s">
        <v>2005</v>
      </c>
    </row>
    <row r="5484" spans="1:8">
      <c r="A5484" s="1"/>
      <c r="B5484" s="1"/>
      <c r="C5484" s="1"/>
      <c r="D5484" s="1"/>
      <c r="E5484" s="357">
        <v>45810</v>
      </c>
      <c r="F5484" s="344" t="s">
        <v>631</v>
      </c>
      <c r="G5484" s="358">
        <v>39.115099999999998</v>
      </c>
      <c r="H5484" s="344" t="s">
        <v>2005</v>
      </c>
    </row>
    <row r="5485" spans="1:8">
      <c r="A5485" s="1"/>
      <c r="B5485" s="1"/>
      <c r="C5485" s="1"/>
      <c r="D5485" s="1"/>
      <c r="E5485" s="357">
        <v>45811</v>
      </c>
      <c r="F5485" s="344" t="s">
        <v>621</v>
      </c>
      <c r="G5485" s="358">
        <v>47.597900000000003</v>
      </c>
      <c r="H5485" s="344" t="s">
        <v>2006</v>
      </c>
    </row>
    <row r="5486" spans="1:8">
      <c r="A5486" s="1"/>
      <c r="B5486" s="1"/>
      <c r="C5486" s="1"/>
      <c r="D5486" s="1"/>
      <c r="E5486" s="357">
        <v>45811</v>
      </c>
      <c r="F5486" s="344" t="s">
        <v>625</v>
      </c>
      <c r="G5486" s="358">
        <v>44.587800000000001</v>
      </c>
      <c r="H5486" s="344" t="s">
        <v>2006</v>
      </c>
    </row>
    <row r="5487" spans="1:8">
      <c r="A5487" s="1"/>
      <c r="B5487" s="1"/>
      <c r="C5487" s="1"/>
      <c r="D5487" s="1"/>
      <c r="E5487" s="357">
        <v>45811</v>
      </c>
      <c r="F5487" s="344" t="s">
        <v>628</v>
      </c>
      <c r="G5487" s="358">
        <v>52.728099999999998</v>
      </c>
      <c r="H5487" s="344" t="s">
        <v>2006</v>
      </c>
    </row>
    <row r="5488" spans="1:8">
      <c r="A5488" s="1"/>
      <c r="B5488" s="1"/>
      <c r="C5488" s="1"/>
      <c r="D5488" s="1"/>
      <c r="E5488" s="357">
        <v>45811</v>
      </c>
      <c r="F5488" s="344" t="s">
        <v>631</v>
      </c>
      <c r="G5488" s="358">
        <v>39.079799999999999</v>
      </c>
      <c r="H5488" s="344" t="s">
        <v>2006</v>
      </c>
    </row>
    <row r="5489" spans="1:8">
      <c r="A5489" s="1"/>
      <c r="B5489" s="1"/>
      <c r="C5489" s="1"/>
      <c r="D5489" s="1"/>
      <c r="E5489" s="357">
        <v>45812</v>
      </c>
      <c r="F5489" s="344" t="s">
        <v>621</v>
      </c>
      <c r="G5489" s="358">
        <v>47.331000000000003</v>
      </c>
      <c r="H5489" s="344" t="s">
        <v>2007</v>
      </c>
    </row>
    <row r="5490" spans="1:8">
      <c r="A5490" s="1"/>
      <c r="B5490" s="1"/>
      <c r="C5490" s="1"/>
      <c r="D5490" s="1"/>
      <c r="E5490" s="357">
        <v>45812</v>
      </c>
      <c r="F5490" s="344" t="s">
        <v>625</v>
      </c>
      <c r="G5490" s="358">
        <v>44.467300000000002</v>
      </c>
      <c r="H5490" s="344" t="s">
        <v>2007</v>
      </c>
    </row>
    <row r="5491" spans="1:8">
      <c r="A5491" s="1"/>
      <c r="B5491" s="1"/>
      <c r="C5491" s="1"/>
      <c r="D5491" s="1"/>
      <c r="E5491" s="357">
        <v>45812</v>
      </c>
      <c r="F5491" s="344" t="s">
        <v>628</v>
      </c>
      <c r="G5491" s="358">
        <v>52.748399999999997</v>
      </c>
      <c r="H5491" s="344" t="s">
        <v>2007</v>
      </c>
    </row>
    <row r="5492" spans="1:8">
      <c r="A5492" s="1"/>
      <c r="B5492" s="1"/>
      <c r="C5492" s="1"/>
      <c r="D5492" s="1"/>
      <c r="E5492" s="357">
        <v>45812</v>
      </c>
      <c r="F5492" s="344" t="s">
        <v>631</v>
      </c>
      <c r="G5492" s="358">
        <v>39.057499999999997</v>
      </c>
      <c r="H5492" s="344" t="s">
        <v>2007</v>
      </c>
    </row>
    <row r="5493" spans="1:8">
      <c r="A5493" s="1"/>
      <c r="B5493" s="1"/>
      <c r="C5493" s="1"/>
      <c r="D5493" s="1"/>
      <c r="E5493" s="357">
        <v>45818</v>
      </c>
      <c r="F5493" s="344" t="s">
        <v>621</v>
      </c>
      <c r="G5493" s="358">
        <v>47.528199999999998</v>
      </c>
      <c r="H5493" s="344" t="s">
        <v>2008</v>
      </c>
    </row>
    <row r="5494" spans="1:8">
      <c r="A5494" s="1"/>
      <c r="B5494" s="1"/>
      <c r="C5494" s="1"/>
      <c r="D5494" s="1"/>
      <c r="E5494" s="357">
        <v>45818</v>
      </c>
      <c r="F5494" s="344" t="s">
        <v>625</v>
      </c>
      <c r="G5494" s="358">
        <v>44.6599</v>
      </c>
      <c r="H5494" s="344" t="s">
        <v>2008</v>
      </c>
    </row>
    <row r="5495" spans="1:8">
      <c r="A5495" s="1"/>
      <c r="B5495" s="1"/>
      <c r="C5495" s="1"/>
      <c r="D5495" s="1"/>
      <c r="E5495" s="357">
        <v>45818</v>
      </c>
      <c r="F5495" s="344" t="s">
        <v>628</v>
      </c>
      <c r="G5495" s="358">
        <v>52.713200000000001</v>
      </c>
      <c r="H5495" s="344" t="s">
        <v>2008</v>
      </c>
    </row>
    <row r="5496" spans="1:8">
      <c r="A5496" s="1"/>
      <c r="B5496" s="1"/>
      <c r="C5496" s="1"/>
      <c r="D5496" s="1"/>
      <c r="E5496" s="357">
        <v>45818</v>
      </c>
      <c r="F5496" s="344" t="s">
        <v>631</v>
      </c>
      <c r="G5496" s="358">
        <v>39.138500000000001</v>
      </c>
      <c r="H5496" s="344" t="s">
        <v>2008</v>
      </c>
    </row>
    <row r="5497" spans="1:8">
      <c r="A5497" s="1"/>
      <c r="B5497" s="1"/>
      <c r="C5497" s="1"/>
      <c r="D5497" s="1"/>
      <c r="E5497" s="357">
        <v>45819</v>
      </c>
      <c r="F5497" s="344" t="s">
        <v>621</v>
      </c>
      <c r="G5497" s="358">
        <v>47.456600000000002</v>
      </c>
      <c r="H5497" s="344" t="s">
        <v>2009</v>
      </c>
    </row>
    <row r="5498" spans="1:8">
      <c r="A5498" s="1"/>
      <c r="B5498" s="1"/>
      <c r="C5498" s="1"/>
      <c r="D5498" s="1"/>
      <c r="E5498" s="357">
        <v>45819</v>
      </c>
      <c r="F5498" s="344" t="s">
        <v>625</v>
      </c>
      <c r="G5498" s="358">
        <v>44.704700000000003</v>
      </c>
      <c r="H5498" s="344" t="s">
        <v>2009</v>
      </c>
    </row>
    <row r="5499" spans="1:8">
      <c r="A5499" s="1"/>
      <c r="B5499" s="1"/>
      <c r="C5499" s="1"/>
      <c r="D5499" s="1"/>
      <c r="E5499" s="357">
        <v>45819</v>
      </c>
      <c r="F5499" s="344" t="s">
        <v>628</v>
      </c>
      <c r="G5499" s="358">
        <v>52.679000000000002</v>
      </c>
      <c r="H5499" s="344" t="s">
        <v>2009</v>
      </c>
    </row>
    <row r="5500" spans="1:8">
      <c r="A5500" s="1"/>
      <c r="B5500" s="1"/>
      <c r="C5500" s="1"/>
      <c r="D5500" s="1"/>
      <c r="E5500" s="357">
        <v>45819</v>
      </c>
      <c r="F5500" s="344" t="s">
        <v>631</v>
      </c>
      <c r="G5500" s="358">
        <v>39.119199999999999</v>
      </c>
      <c r="H5500" s="344" t="s">
        <v>2009</v>
      </c>
    </row>
    <row r="5501" spans="1:8">
      <c r="A5501" s="1"/>
      <c r="B5501" s="1"/>
      <c r="C5501" s="1"/>
      <c r="D5501" s="1"/>
      <c r="E5501" s="357">
        <v>45820</v>
      </c>
      <c r="F5501" s="344" t="s">
        <v>621</v>
      </c>
      <c r="G5501" s="358">
        <v>48.056600000000003</v>
      </c>
      <c r="H5501" s="344" t="s">
        <v>2010</v>
      </c>
    </row>
    <row r="5502" spans="1:8">
      <c r="A5502" s="1"/>
      <c r="B5502" s="1"/>
      <c r="C5502" s="1"/>
      <c r="D5502" s="1"/>
      <c r="E5502" s="357">
        <v>45820</v>
      </c>
      <c r="F5502" s="344" t="s">
        <v>625</v>
      </c>
      <c r="G5502" s="358">
        <v>45.3249</v>
      </c>
      <c r="H5502" s="344" t="s">
        <v>2010</v>
      </c>
    </row>
    <row r="5503" spans="1:8">
      <c r="A5503" s="1"/>
      <c r="B5503" s="1"/>
      <c r="C5503" s="1"/>
      <c r="D5503" s="1"/>
      <c r="E5503" s="357">
        <v>45820</v>
      </c>
      <c r="F5503" s="344" t="s">
        <v>628</v>
      </c>
      <c r="G5503" s="358">
        <v>53.133499999999998</v>
      </c>
      <c r="H5503" s="344" t="s">
        <v>2010</v>
      </c>
    </row>
    <row r="5504" spans="1:8">
      <c r="A5504" s="1"/>
      <c r="B5504" s="1"/>
      <c r="C5504" s="1"/>
      <c r="D5504" s="1"/>
      <c r="E5504" s="357">
        <v>45820</v>
      </c>
      <c r="F5504" s="344" t="s">
        <v>631</v>
      </c>
      <c r="G5504" s="358">
        <v>39.216299999999997</v>
      </c>
      <c r="H5504" s="344" t="s">
        <v>2010</v>
      </c>
    </row>
    <row r="5505" spans="1:8">
      <c r="A5505" s="1"/>
      <c r="B5505" s="1"/>
      <c r="C5505" s="1"/>
      <c r="D5505" s="1"/>
      <c r="E5505" s="357">
        <v>45821</v>
      </c>
      <c r="F5505" s="344" t="s">
        <v>621</v>
      </c>
      <c r="G5505" s="358">
        <v>48.201700000000002</v>
      </c>
      <c r="H5505" s="344" t="s">
        <v>2011</v>
      </c>
    </row>
    <row r="5506" spans="1:8">
      <c r="A5506" s="1"/>
      <c r="B5506" s="1"/>
      <c r="C5506" s="1"/>
      <c r="D5506" s="1"/>
      <c r="E5506" s="357">
        <v>45821</v>
      </c>
      <c r="F5506" s="344" t="s">
        <v>625</v>
      </c>
      <c r="G5506" s="358">
        <v>45.238399999999999</v>
      </c>
      <c r="H5506" s="344" t="s">
        <v>2011</v>
      </c>
    </row>
    <row r="5507" spans="1:8">
      <c r="A5507" s="1"/>
      <c r="B5507" s="1"/>
      <c r="C5507" s="1"/>
      <c r="D5507" s="1"/>
      <c r="E5507" s="357">
        <v>45821</v>
      </c>
      <c r="F5507" s="344" t="s">
        <v>628</v>
      </c>
      <c r="G5507" s="358">
        <v>53.0839</v>
      </c>
      <c r="H5507" s="344" t="s">
        <v>2011</v>
      </c>
    </row>
    <row r="5508" spans="1:8">
      <c r="A5508" s="1"/>
      <c r="B5508" s="1"/>
      <c r="C5508" s="1"/>
      <c r="D5508" s="1"/>
      <c r="E5508" s="357">
        <v>45821</v>
      </c>
      <c r="F5508" s="344" t="s">
        <v>631</v>
      </c>
      <c r="G5508" s="358">
        <v>39.254600000000003</v>
      </c>
      <c r="H5508" s="344" t="s">
        <v>2011</v>
      </c>
    </row>
    <row r="5509" spans="1:8">
      <c r="A5509" s="1"/>
      <c r="B5509" s="1"/>
      <c r="C5509" s="1"/>
      <c r="D5509" s="1"/>
      <c r="E5509" s="357">
        <v>45824</v>
      </c>
      <c r="F5509" s="344" t="s">
        <v>621</v>
      </c>
      <c r="G5509" s="358">
        <v>48.350099999999998</v>
      </c>
      <c r="H5509" s="344" t="s">
        <v>2012</v>
      </c>
    </row>
    <row r="5510" spans="1:8">
      <c r="A5510" s="1"/>
      <c r="B5510" s="1"/>
      <c r="C5510" s="1"/>
      <c r="D5510" s="1"/>
      <c r="E5510" s="357">
        <v>45824</v>
      </c>
      <c r="F5510" s="344" t="s">
        <v>625</v>
      </c>
      <c r="G5510" s="358">
        <v>45.522500000000001</v>
      </c>
      <c r="H5510" s="344" t="s">
        <v>2012</v>
      </c>
    </row>
    <row r="5511" spans="1:8">
      <c r="A5511" s="1"/>
      <c r="B5511" s="1"/>
      <c r="C5511" s="1"/>
      <c r="D5511" s="1"/>
      <c r="E5511" s="357">
        <v>45824</v>
      </c>
      <c r="F5511" s="344" t="s">
        <v>628</v>
      </c>
      <c r="G5511" s="358">
        <v>53.315899999999999</v>
      </c>
      <c r="H5511" s="344" t="s">
        <v>2012</v>
      </c>
    </row>
    <row r="5512" spans="1:8">
      <c r="A5512" s="1"/>
      <c r="B5512" s="1"/>
      <c r="C5512" s="1"/>
      <c r="D5512" s="1"/>
      <c r="E5512" s="357">
        <v>45824</v>
      </c>
      <c r="F5512" s="344" t="s">
        <v>631</v>
      </c>
      <c r="G5512" s="358">
        <v>39.320999999999998</v>
      </c>
      <c r="H5512" s="344" t="s">
        <v>2012</v>
      </c>
    </row>
    <row r="5513" spans="1:8">
      <c r="A5513" s="1"/>
      <c r="B5513" s="1"/>
      <c r="C5513" s="1"/>
      <c r="D5513" s="1"/>
      <c r="E5513" s="357">
        <v>45825</v>
      </c>
      <c r="F5513" s="344" t="s">
        <v>621</v>
      </c>
      <c r="G5513" s="358">
        <v>48.2468</v>
      </c>
      <c r="H5513" s="344" t="s">
        <v>2013</v>
      </c>
    </row>
    <row r="5514" spans="1:8">
      <c r="A5514" s="1"/>
      <c r="B5514" s="1"/>
      <c r="C5514" s="1"/>
      <c r="D5514" s="1"/>
      <c r="E5514" s="357">
        <v>45825</v>
      </c>
      <c r="F5514" s="344" t="s">
        <v>625</v>
      </c>
      <c r="G5514" s="358">
        <v>45.431199999999997</v>
      </c>
      <c r="H5514" s="344" t="s">
        <v>2013</v>
      </c>
    </row>
    <row r="5515" spans="1:8">
      <c r="A5515" s="1"/>
      <c r="B5515" s="1"/>
      <c r="C5515" s="1"/>
      <c r="D5515" s="1"/>
      <c r="E5515" s="357">
        <v>45825</v>
      </c>
      <c r="F5515" s="344" t="s">
        <v>628</v>
      </c>
      <c r="G5515" s="358">
        <v>53.189399999999999</v>
      </c>
      <c r="H5515" s="344" t="s">
        <v>2013</v>
      </c>
    </row>
    <row r="5516" spans="1:8">
      <c r="A5516" s="1"/>
      <c r="B5516" s="1"/>
      <c r="C5516" s="1"/>
      <c r="D5516" s="1"/>
      <c r="E5516" s="357">
        <v>45825</v>
      </c>
      <c r="F5516" s="344" t="s">
        <v>631</v>
      </c>
      <c r="G5516" s="358">
        <v>39.301499999999997</v>
      </c>
      <c r="H5516" s="344" t="s">
        <v>2013</v>
      </c>
    </row>
    <row r="5517" spans="1:8">
      <c r="A5517" s="1"/>
      <c r="B5517" s="1"/>
      <c r="C5517" s="1"/>
      <c r="D5517" s="1"/>
      <c r="E5517" s="357">
        <v>45826</v>
      </c>
      <c r="F5517" s="344" t="s">
        <v>621</v>
      </c>
      <c r="G5517" s="358">
        <v>48.147500000000001</v>
      </c>
      <c r="H5517" s="344" t="s">
        <v>2014</v>
      </c>
    </row>
    <row r="5518" spans="1:8">
      <c r="A5518" s="1"/>
      <c r="B5518" s="1"/>
      <c r="C5518" s="1"/>
      <c r="D5518" s="1"/>
      <c r="E5518" s="357">
        <v>45826</v>
      </c>
      <c r="F5518" s="344" t="s">
        <v>625</v>
      </c>
      <c r="G5518" s="358">
        <v>45.356999999999999</v>
      </c>
      <c r="H5518" s="344" t="s">
        <v>2014</v>
      </c>
    </row>
    <row r="5519" spans="1:8">
      <c r="A5519" s="1"/>
      <c r="B5519" s="1"/>
      <c r="C5519" s="1"/>
      <c r="D5519" s="1"/>
      <c r="E5519" s="357">
        <v>45826</v>
      </c>
      <c r="F5519" s="344" t="s">
        <v>628</v>
      </c>
      <c r="G5519" s="358">
        <v>52.955500000000001</v>
      </c>
      <c r="H5519" s="344" t="s">
        <v>2014</v>
      </c>
    </row>
    <row r="5520" spans="1:8">
      <c r="A5520" s="1"/>
      <c r="B5520" s="1"/>
      <c r="C5520" s="1"/>
      <c r="D5520" s="1"/>
      <c r="E5520" s="357">
        <v>45826</v>
      </c>
      <c r="F5520" s="344" t="s">
        <v>631</v>
      </c>
      <c r="G5520" s="358">
        <v>39.422899999999998</v>
      </c>
      <c r="H5520" s="344" t="s">
        <v>2014</v>
      </c>
    </row>
    <row r="5521" spans="1:8">
      <c r="A5521" s="1"/>
      <c r="B5521" s="1"/>
      <c r="C5521" s="1"/>
      <c r="D5521" s="1"/>
      <c r="E5521" s="357">
        <v>45827</v>
      </c>
      <c r="F5521" s="344" t="s">
        <v>621</v>
      </c>
      <c r="G5521" s="358">
        <v>48.150599999999997</v>
      </c>
      <c r="H5521" s="344" t="s">
        <v>2015</v>
      </c>
    </row>
    <row r="5522" spans="1:8">
      <c r="A5522" s="1"/>
      <c r="B5522" s="1"/>
      <c r="C5522" s="1"/>
      <c r="D5522" s="1"/>
      <c r="E5522" s="357">
        <v>45827</v>
      </c>
      <c r="F5522" s="344" t="s">
        <v>625</v>
      </c>
      <c r="G5522" s="358">
        <v>45.293900000000001</v>
      </c>
      <c r="H5522" s="344" t="s">
        <v>2015</v>
      </c>
    </row>
    <row r="5523" spans="1:8">
      <c r="A5523" s="1"/>
      <c r="B5523" s="1"/>
      <c r="C5523" s="1"/>
      <c r="D5523" s="1"/>
      <c r="E5523" s="357">
        <v>45827</v>
      </c>
      <c r="F5523" s="344" t="s">
        <v>628</v>
      </c>
      <c r="G5523" s="358">
        <v>52.8994</v>
      </c>
      <c r="H5523" s="344" t="s">
        <v>2015</v>
      </c>
    </row>
    <row r="5524" spans="1:8">
      <c r="A5524" s="1"/>
      <c r="B5524" s="1"/>
      <c r="C5524" s="1"/>
      <c r="D5524" s="1"/>
      <c r="E5524" s="357">
        <v>45827</v>
      </c>
      <c r="F5524" s="344" t="s">
        <v>631</v>
      </c>
      <c r="G5524" s="358">
        <v>39.4801</v>
      </c>
      <c r="H5524" s="344" t="s">
        <v>2015</v>
      </c>
    </row>
    <row r="5525" spans="1:8">
      <c r="A5525" s="1"/>
      <c r="B5525" s="1"/>
      <c r="C5525" s="1"/>
      <c r="D5525" s="1"/>
      <c r="E5525" s="357">
        <v>45828</v>
      </c>
      <c r="F5525" s="344" t="s">
        <v>621</v>
      </c>
      <c r="G5525" s="358">
        <v>48.320399999999999</v>
      </c>
      <c r="H5525" s="344" t="s">
        <v>2016</v>
      </c>
    </row>
    <row r="5526" spans="1:8">
      <c r="A5526" s="1"/>
      <c r="B5526" s="1"/>
      <c r="C5526" s="1"/>
      <c r="D5526" s="1"/>
      <c r="E5526" s="357">
        <v>45828</v>
      </c>
      <c r="F5526" s="344" t="s">
        <v>625</v>
      </c>
      <c r="G5526" s="358">
        <v>45.5548</v>
      </c>
      <c r="H5526" s="344" t="s">
        <v>2016</v>
      </c>
    </row>
    <row r="5527" spans="1:8">
      <c r="A5527" s="1"/>
      <c r="B5527" s="1"/>
      <c r="C5527" s="1"/>
      <c r="D5527" s="1"/>
      <c r="E5527" s="357">
        <v>45828</v>
      </c>
      <c r="F5527" s="344" t="s">
        <v>628</v>
      </c>
      <c r="G5527" s="358">
        <v>53.238500000000002</v>
      </c>
      <c r="H5527" s="344" t="s">
        <v>2016</v>
      </c>
    </row>
    <row r="5528" spans="1:8">
      <c r="A5528" s="1"/>
      <c r="B5528" s="1"/>
      <c r="C5528" s="1"/>
      <c r="D5528" s="1"/>
      <c r="E5528" s="357">
        <v>45828</v>
      </c>
      <c r="F5528" s="344" t="s">
        <v>631</v>
      </c>
      <c r="G5528" s="358">
        <v>39.540999999999997</v>
      </c>
      <c r="H5528" s="344" t="s">
        <v>2016</v>
      </c>
    </row>
    <row r="5529" spans="1:8">
      <c r="A5529" s="1"/>
      <c r="B5529" s="1"/>
      <c r="C5529" s="1"/>
      <c r="D5529" s="1"/>
      <c r="E5529" s="357">
        <v>45831</v>
      </c>
      <c r="F5529" s="344" t="s">
        <v>621</v>
      </c>
      <c r="G5529" s="358">
        <v>48.376899999999999</v>
      </c>
      <c r="H5529" s="344" t="s">
        <v>2017</v>
      </c>
    </row>
    <row r="5530" spans="1:8">
      <c r="A5530" s="1"/>
      <c r="B5530" s="1"/>
      <c r="C5530" s="1"/>
      <c r="D5530" s="1"/>
      <c r="E5530" s="357">
        <v>45831</v>
      </c>
      <c r="F5530" s="344" t="s">
        <v>625</v>
      </c>
      <c r="G5530" s="358">
        <v>45.526000000000003</v>
      </c>
      <c r="H5530" s="344" t="s">
        <v>2017</v>
      </c>
    </row>
    <row r="5531" spans="1:8">
      <c r="A5531" s="1"/>
      <c r="B5531" s="1"/>
      <c r="C5531" s="1"/>
      <c r="D5531" s="1"/>
      <c r="E5531" s="357">
        <v>45831</v>
      </c>
      <c r="F5531" s="344" t="s">
        <v>628</v>
      </c>
      <c r="G5531" s="358">
        <v>53.071899999999999</v>
      </c>
      <c r="H5531" s="344" t="s">
        <v>2017</v>
      </c>
    </row>
    <row r="5532" spans="1:8">
      <c r="A5532" s="1"/>
      <c r="B5532" s="1"/>
      <c r="C5532" s="1"/>
      <c r="D5532" s="1"/>
      <c r="E5532" s="357">
        <v>45831</v>
      </c>
      <c r="F5532" s="344" t="s">
        <v>631</v>
      </c>
      <c r="G5532" s="358">
        <v>39.646999999999998</v>
      </c>
      <c r="H5532" s="344" t="s">
        <v>2017</v>
      </c>
    </row>
    <row r="5533" spans="1:8">
      <c r="A5533" s="1"/>
      <c r="B5533" s="1"/>
      <c r="C5533" s="1"/>
      <c r="D5533" s="1"/>
      <c r="E5533" s="357">
        <v>45832</v>
      </c>
      <c r="F5533" s="344" t="s">
        <v>621</v>
      </c>
      <c r="G5533" s="358">
        <v>48.673000000000002</v>
      </c>
      <c r="H5533" s="344" t="s">
        <v>2018</v>
      </c>
    </row>
    <row r="5534" spans="1:8">
      <c r="A5534" s="1"/>
      <c r="B5534" s="1"/>
      <c r="C5534" s="1"/>
      <c r="D5534" s="1"/>
      <c r="E5534" s="357">
        <v>45832</v>
      </c>
      <c r="F5534" s="344" t="s">
        <v>625</v>
      </c>
      <c r="G5534" s="358">
        <v>45.881900000000002</v>
      </c>
      <c r="H5534" s="344" t="s">
        <v>2018</v>
      </c>
    </row>
    <row r="5535" spans="1:8">
      <c r="A5535" s="1"/>
      <c r="B5535" s="1"/>
      <c r="C5535" s="1"/>
      <c r="D5535" s="1"/>
      <c r="E5535" s="357">
        <v>45832</v>
      </c>
      <c r="F5535" s="344" t="s">
        <v>628</v>
      </c>
      <c r="G5535" s="358">
        <v>53.6922</v>
      </c>
      <c r="H5535" s="344" t="s">
        <v>2018</v>
      </c>
    </row>
    <row r="5536" spans="1:8">
      <c r="A5536" s="1"/>
      <c r="B5536" s="1"/>
      <c r="C5536" s="1"/>
      <c r="D5536" s="1"/>
      <c r="E5536" s="357">
        <v>45832</v>
      </c>
      <c r="F5536" s="344" t="s">
        <v>631</v>
      </c>
      <c r="G5536" s="358">
        <v>39.550199999999997</v>
      </c>
      <c r="H5536" s="344" t="s">
        <v>2018</v>
      </c>
    </row>
    <row r="5537" spans="1:8">
      <c r="A5537" s="1"/>
      <c r="B5537" s="1"/>
      <c r="C5537" s="1"/>
      <c r="D5537" s="1"/>
      <c r="E5537" s="357">
        <v>45833</v>
      </c>
      <c r="F5537" s="344" t="s">
        <v>621</v>
      </c>
      <c r="G5537" s="358">
        <v>49.066400000000002</v>
      </c>
      <c r="H5537" s="344" t="s">
        <v>2019</v>
      </c>
    </row>
    <row r="5538" spans="1:8">
      <c r="A5538" s="1"/>
      <c r="B5538" s="1"/>
      <c r="C5538" s="1"/>
      <c r="D5538" s="1"/>
      <c r="E5538" s="357">
        <v>45833</v>
      </c>
      <c r="F5538" s="344" t="s">
        <v>625</v>
      </c>
      <c r="G5538" s="358">
        <v>45.994599999999998</v>
      </c>
      <c r="H5538" s="344" t="s">
        <v>2019</v>
      </c>
    </row>
    <row r="5539" spans="1:8">
      <c r="A5539" s="1"/>
      <c r="B5539" s="1"/>
      <c r="C5539" s="1"/>
      <c r="D5539" s="1"/>
      <c r="E5539" s="357">
        <v>45833</v>
      </c>
      <c r="F5539" s="344" t="s">
        <v>628</v>
      </c>
      <c r="G5539" s="358">
        <v>53.874200000000002</v>
      </c>
      <c r="H5539" s="344" t="s">
        <v>2019</v>
      </c>
    </row>
    <row r="5540" spans="1:8">
      <c r="A5540" s="1"/>
      <c r="B5540" s="1"/>
      <c r="C5540" s="1"/>
      <c r="D5540" s="1"/>
      <c r="E5540" s="357">
        <v>45833</v>
      </c>
      <c r="F5540" s="344" t="s">
        <v>631</v>
      </c>
      <c r="G5540" s="358">
        <v>39.639200000000002</v>
      </c>
      <c r="H5540" s="344" t="s">
        <v>2019</v>
      </c>
    </row>
    <row r="5541" spans="1:8">
      <c r="A5541" s="1"/>
      <c r="B5541" s="1"/>
      <c r="C5541" s="1"/>
      <c r="D5541" s="1"/>
      <c r="E5541" s="357">
        <v>45834</v>
      </c>
      <c r="F5541" s="344" t="s">
        <v>621</v>
      </c>
      <c r="G5541" s="358">
        <v>49.448099999999997</v>
      </c>
      <c r="H5541" s="344" t="s">
        <v>2020</v>
      </c>
    </row>
    <row r="5542" spans="1:8">
      <c r="A5542" s="1"/>
      <c r="B5542" s="1"/>
      <c r="C5542" s="1"/>
      <c r="D5542" s="1"/>
      <c r="E5542" s="357">
        <v>45834</v>
      </c>
      <c r="F5542" s="344" t="s">
        <v>625</v>
      </c>
      <c r="G5542" s="358">
        <v>46.494100000000003</v>
      </c>
      <c r="H5542" s="344" t="s">
        <v>2020</v>
      </c>
    </row>
    <row r="5543" spans="1:8">
      <c r="A5543" s="1"/>
      <c r="B5543" s="1"/>
      <c r="C5543" s="1"/>
      <c r="D5543" s="1"/>
      <c r="E5543" s="357">
        <v>45834</v>
      </c>
      <c r="F5543" s="344" t="s">
        <v>628</v>
      </c>
      <c r="G5543" s="358">
        <v>54.4178</v>
      </c>
      <c r="H5543" s="344" t="s">
        <v>2020</v>
      </c>
    </row>
    <row r="5544" spans="1:8">
      <c r="A5544" s="1"/>
      <c r="B5544" s="1"/>
      <c r="C5544" s="1"/>
      <c r="D5544" s="1"/>
      <c r="E5544" s="357">
        <v>45834</v>
      </c>
      <c r="F5544" s="344" t="s">
        <v>631</v>
      </c>
      <c r="G5544" s="358">
        <v>39.698900000000002</v>
      </c>
      <c r="H5544" s="344" t="s">
        <v>2020</v>
      </c>
    </row>
    <row r="5545" spans="1:8">
      <c r="A5545" s="1"/>
      <c r="B5545" s="1"/>
      <c r="C5545" s="1"/>
      <c r="D5545" s="1"/>
      <c r="E5545" s="357">
        <v>45835</v>
      </c>
      <c r="F5545" s="344" t="s">
        <v>621</v>
      </c>
      <c r="G5545" s="358">
        <v>49.636000000000003</v>
      </c>
      <c r="H5545" s="344" t="s">
        <v>2021</v>
      </c>
    </row>
    <row r="5546" spans="1:8">
      <c r="A5546" s="1"/>
      <c r="B5546" s="1"/>
      <c r="C5546" s="1"/>
      <c r="D5546" s="1"/>
      <c r="E5546" s="357">
        <v>45835</v>
      </c>
      <c r="F5546" s="344" t="s">
        <v>625</v>
      </c>
      <c r="G5546" s="358">
        <v>46.552599999999998</v>
      </c>
      <c r="H5546" s="344" t="s">
        <v>2021</v>
      </c>
    </row>
    <row r="5547" spans="1:8">
      <c r="A5547" s="1"/>
      <c r="B5547" s="1"/>
      <c r="C5547" s="1"/>
      <c r="D5547" s="1"/>
      <c r="E5547" s="357">
        <v>45835</v>
      </c>
      <c r="F5547" s="344" t="s">
        <v>628</v>
      </c>
      <c r="G5547" s="358">
        <v>54.507800000000003</v>
      </c>
      <c r="H5547" s="344" t="s">
        <v>2021</v>
      </c>
    </row>
    <row r="5548" spans="1:8">
      <c r="A5548" s="1"/>
      <c r="B5548" s="1"/>
      <c r="C5548" s="1"/>
      <c r="D5548" s="1"/>
      <c r="E5548" s="357">
        <v>45835</v>
      </c>
      <c r="F5548" s="344" t="s">
        <v>631</v>
      </c>
      <c r="G5548" s="358">
        <v>39.742400000000004</v>
      </c>
      <c r="H5548" s="344" t="s">
        <v>2021</v>
      </c>
    </row>
    <row r="5549" spans="1:8">
      <c r="A5549" s="1"/>
      <c r="B5549" s="1"/>
      <c r="C5549" s="1"/>
      <c r="D5549" s="1"/>
      <c r="E5549" s="357">
        <v>45838</v>
      </c>
      <c r="F5549" s="344" t="s">
        <v>621</v>
      </c>
      <c r="G5549" s="358">
        <v>49.703499999999998</v>
      </c>
      <c r="H5549" s="344" t="s">
        <v>2022</v>
      </c>
    </row>
    <row r="5550" spans="1:8">
      <c r="A5550" s="1"/>
      <c r="B5550" s="1"/>
      <c r="C5550" s="1"/>
      <c r="D5550" s="1"/>
      <c r="E5550" s="357">
        <v>45838</v>
      </c>
      <c r="F5550" s="344" t="s">
        <v>625</v>
      </c>
      <c r="G5550" s="358">
        <v>46.607399999999998</v>
      </c>
      <c r="H5550" s="344" t="s">
        <v>2022</v>
      </c>
    </row>
    <row r="5551" spans="1:8">
      <c r="A5551" s="1"/>
      <c r="B5551" s="1"/>
      <c r="C5551" s="1"/>
      <c r="D5551" s="1"/>
      <c r="E5551" s="357">
        <v>45838</v>
      </c>
      <c r="F5551" s="344" t="s">
        <v>628</v>
      </c>
      <c r="G5551" s="358">
        <v>54.377699999999997</v>
      </c>
      <c r="H5551" s="344" t="s">
        <v>2022</v>
      </c>
    </row>
    <row r="5552" spans="1:8">
      <c r="A5552" s="1"/>
      <c r="B5552" s="1"/>
      <c r="C5552" s="1"/>
      <c r="D5552" s="1"/>
      <c r="E5552" s="357">
        <v>45838</v>
      </c>
      <c r="F5552" s="344" t="s">
        <v>631</v>
      </c>
      <c r="G5552" s="358">
        <v>39.7408</v>
      </c>
      <c r="H5552" s="344" t="s">
        <v>2022</v>
      </c>
    </row>
    <row r="5553" spans="1:8">
      <c r="A5553" s="1"/>
      <c r="B5553" s="1"/>
      <c r="C5553" s="1"/>
      <c r="D5553" s="1"/>
      <c r="E5553" s="357">
        <v>45839</v>
      </c>
      <c r="F5553" s="344" t="s">
        <v>621</v>
      </c>
      <c r="G5553" s="358">
        <v>50.256599999999999</v>
      </c>
      <c r="H5553" s="344" t="s">
        <v>2023</v>
      </c>
    </row>
    <row r="5554" spans="1:8">
      <c r="A5554" s="1"/>
      <c r="B5554" s="1"/>
      <c r="C5554" s="1"/>
      <c r="D5554" s="1"/>
      <c r="E5554" s="357">
        <v>45839</v>
      </c>
      <c r="F5554" s="344" t="s">
        <v>625</v>
      </c>
      <c r="G5554" s="358">
        <v>46.9375</v>
      </c>
      <c r="H5554" s="344" t="s">
        <v>2023</v>
      </c>
    </row>
    <row r="5555" spans="1:8">
      <c r="A5555" s="1"/>
      <c r="B5555" s="1"/>
      <c r="C5555" s="1"/>
      <c r="D5555" s="1"/>
      <c r="E5555" s="357">
        <v>45839</v>
      </c>
      <c r="F5555" s="344" t="s">
        <v>628</v>
      </c>
      <c r="G5555" s="358">
        <v>54.652200000000001</v>
      </c>
      <c r="H5555" s="344" t="s">
        <v>2023</v>
      </c>
    </row>
    <row r="5556" spans="1:8">
      <c r="A5556" s="1"/>
      <c r="B5556" s="1"/>
      <c r="C5556" s="1"/>
      <c r="D5556" s="1"/>
      <c r="E5556" s="357">
        <v>45839</v>
      </c>
      <c r="F5556" s="344" t="s">
        <v>631</v>
      </c>
      <c r="G5556" s="358">
        <v>39.773299999999999</v>
      </c>
      <c r="H5556" s="344" t="s">
        <v>2023</v>
      </c>
    </row>
    <row r="5557" spans="1:8">
      <c r="A5557" s="1"/>
      <c r="B5557" s="1"/>
      <c r="C5557" s="1"/>
      <c r="D5557" s="1"/>
      <c r="E5557" s="357">
        <v>45840</v>
      </c>
      <c r="F5557" s="344" t="s">
        <v>621</v>
      </c>
      <c r="G5557" s="358">
        <v>50.000799999999998</v>
      </c>
      <c r="H5557" s="344" t="s">
        <v>2024</v>
      </c>
    </row>
    <row r="5558" spans="1:8">
      <c r="A5558" s="1"/>
      <c r="B5558" s="1"/>
      <c r="C5558" s="1"/>
      <c r="D5558" s="1"/>
      <c r="E5558" s="357">
        <v>45840</v>
      </c>
      <c r="F5558" s="344" t="s">
        <v>625</v>
      </c>
      <c r="G5558" s="358">
        <v>46.760599999999997</v>
      </c>
      <c r="H5558" s="344" t="s">
        <v>2024</v>
      </c>
    </row>
    <row r="5559" spans="1:8">
      <c r="A5559" s="1"/>
      <c r="B5559" s="1"/>
      <c r="C5559" s="1"/>
      <c r="D5559" s="1"/>
      <c r="E5559" s="357">
        <v>45840</v>
      </c>
      <c r="F5559" s="344" t="s">
        <v>628</v>
      </c>
      <c r="G5559" s="358">
        <v>54.328400000000002</v>
      </c>
      <c r="H5559" s="344" t="s">
        <v>2024</v>
      </c>
    </row>
    <row r="5560" spans="1:8">
      <c r="A5560" s="1"/>
      <c r="B5560" s="1"/>
      <c r="C5560" s="1"/>
      <c r="D5560" s="1"/>
      <c r="E5560" s="357">
        <v>45840</v>
      </c>
      <c r="F5560" s="344" t="s">
        <v>631</v>
      </c>
      <c r="G5560" s="358">
        <v>39.729199999999999</v>
      </c>
      <c r="H5560" s="344" t="s">
        <v>2024</v>
      </c>
    </row>
    <row r="5561" spans="1:8">
      <c r="A5561" s="1"/>
      <c r="B5561" s="1"/>
      <c r="C5561" s="1"/>
      <c r="D5561" s="1"/>
      <c r="E5561" s="357">
        <v>45841</v>
      </c>
      <c r="F5561" s="344" t="s">
        <v>621</v>
      </c>
      <c r="G5561" s="358">
        <v>49.9788</v>
      </c>
      <c r="H5561" s="344" t="s">
        <v>2025</v>
      </c>
    </row>
    <row r="5562" spans="1:8">
      <c r="A5562" s="1"/>
      <c r="B5562" s="1"/>
      <c r="C5562" s="1"/>
      <c r="D5562" s="1"/>
      <c r="E5562" s="357">
        <v>45841</v>
      </c>
      <c r="F5562" s="344" t="s">
        <v>625</v>
      </c>
      <c r="G5562" s="358">
        <v>46.800400000000003</v>
      </c>
      <c r="H5562" s="344" t="s">
        <v>2025</v>
      </c>
    </row>
    <row r="5563" spans="1:8">
      <c r="A5563" s="1"/>
      <c r="B5563" s="1"/>
      <c r="C5563" s="1"/>
      <c r="D5563" s="1"/>
      <c r="E5563" s="357">
        <v>45841</v>
      </c>
      <c r="F5563" s="344" t="s">
        <v>628</v>
      </c>
      <c r="G5563" s="358">
        <v>54.0944</v>
      </c>
      <c r="H5563" s="344" t="s">
        <v>2025</v>
      </c>
    </row>
    <row r="5564" spans="1:8">
      <c r="A5564" s="1"/>
      <c r="B5564" s="1"/>
      <c r="C5564" s="1"/>
      <c r="D5564" s="1"/>
      <c r="E5564" s="357">
        <v>45841</v>
      </c>
      <c r="F5564" s="344" t="s">
        <v>631</v>
      </c>
      <c r="G5564" s="358">
        <v>39.677</v>
      </c>
      <c r="H5564" s="344" t="s">
        <v>2025</v>
      </c>
    </row>
    <row r="5565" spans="1:8">
      <c r="A5565" s="1"/>
      <c r="B5565" s="1"/>
      <c r="C5565" s="1"/>
      <c r="D5565" s="1"/>
      <c r="E5565" s="357">
        <v>45842</v>
      </c>
      <c r="F5565" s="344" t="s">
        <v>621</v>
      </c>
      <c r="G5565" s="358">
        <v>49.8917</v>
      </c>
      <c r="H5565" s="344" t="s">
        <v>2026</v>
      </c>
    </row>
    <row r="5566" spans="1:8">
      <c r="A5566" s="1"/>
      <c r="B5566" s="1"/>
      <c r="C5566" s="1"/>
      <c r="D5566" s="1"/>
      <c r="E5566" s="357">
        <v>45842</v>
      </c>
      <c r="F5566" s="344" t="s">
        <v>625</v>
      </c>
      <c r="G5566" s="358">
        <v>46.722200000000001</v>
      </c>
      <c r="H5566" s="344" t="s">
        <v>2026</v>
      </c>
    </row>
    <row r="5567" spans="1:8">
      <c r="A5567" s="1"/>
      <c r="B5567" s="1"/>
      <c r="C5567" s="1"/>
      <c r="D5567" s="1"/>
      <c r="E5567" s="357">
        <v>45842</v>
      </c>
      <c r="F5567" s="344" t="s">
        <v>628</v>
      </c>
      <c r="G5567" s="358">
        <v>54.103200000000001</v>
      </c>
      <c r="H5567" s="344" t="s">
        <v>2026</v>
      </c>
    </row>
    <row r="5568" spans="1:8">
      <c r="A5568" s="1"/>
      <c r="B5568" s="1"/>
      <c r="C5568" s="1"/>
      <c r="D5568" s="1"/>
      <c r="E5568" s="357">
        <v>45842</v>
      </c>
      <c r="F5568" s="344" t="s">
        <v>631</v>
      </c>
      <c r="G5568" s="358">
        <v>39.679200000000002</v>
      </c>
      <c r="H5568" s="344" t="s">
        <v>2026</v>
      </c>
    </row>
    <row r="5569" spans="1:8">
      <c r="A5569" s="1"/>
      <c r="B5569" s="1"/>
      <c r="C5569" s="1"/>
      <c r="D5569" s="1"/>
      <c r="E5569" s="357">
        <v>45845</v>
      </c>
      <c r="F5569" s="344" t="s">
        <v>621</v>
      </c>
      <c r="G5569" s="358">
        <v>49.962400000000002</v>
      </c>
      <c r="H5569" s="344" t="s">
        <v>2027</v>
      </c>
    </row>
    <row r="5570" spans="1:8">
      <c r="A5570" s="1"/>
      <c r="B5570" s="1"/>
      <c r="C5570" s="1"/>
      <c r="D5570" s="1"/>
      <c r="E5570" s="357">
        <v>45845</v>
      </c>
      <c r="F5570" s="344" t="s">
        <v>625</v>
      </c>
      <c r="G5570" s="358">
        <v>46.830199999999998</v>
      </c>
      <c r="H5570" s="344" t="s">
        <v>2027</v>
      </c>
    </row>
    <row r="5571" spans="1:8">
      <c r="A5571" s="1"/>
      <c r="B5571" s="1"/>
      <c r="C5571" s="1"/>
      <c r="D5571" s="1"/>
      <c r="E5571" s="357">
        <v>45845</v>
      </c>
      <c r="F5571" s="344" t="s">
        <v>628</v>
      </c>
      <c r="G5571" s="358">
        <v>54.191200000000002</v>
      </c>
      <c r="H5571" s="344" t="s">
        <v>2027</v>
      </c>
    </row>
    <row r="5572" spans="1:8">
      <c r="A5572" s="1"/>
      <c r="B5572" s="1"/>
      <c r="C5572" s="1"/>
      <c r="D5572" s="1"/>
      <c r="E5572" s="357">
        <v>45845</v>
      </c>
      <c r="F5572" s="344" t="s">
        <v>631</v>
      </c>
      <c r="G5572" s="358">
        <v>39.901899999999998</v>
      </c>
      <c r="H5572" s="344" t="s">
        <v>2027</v>
      </c>
    </row>
    <row r="5573" spans="1:8">
      <c r="A5573" s="1"/>
      <c r="B5573" s="1"/>
      <c r="C5573" s="1"/>
      <c r="D5573" s="1"/>
      <c r="E5573" s="357">
        <v>45846</v>
      </c>
      <c r="F5573" s="344" t="s">
        <v>621</v>
      </c>
      <c r="G5573" s="358">
        <v>49.996899999999997</v>
      </c>
      <c r="H5573" s="344" t="s">
        <v>2028</v>
      </c>
    </row>
    <row r="5574" spans="1:8">
      <c r="A5574" s="1"/>
      <c r="B5574" s="1"/>
      <c r="C5574" s="1"/>
      <c r="D5574" s="1"/>
      <c r="E5574" s="357">
        <v>45846</v>
      </c>
      <c r="F5574" s="344" t="s">
        <v>625</v>
      </c>
      <c r="G5574" s="358">
        <v>46.883600000000001</v>
      </c>
      <c r="H5574" s="344" t="s">
        <v>2028</v>
      </c>
    </row>
    <row r="5575" spans="1:8">
      <c r="A5575" s="1"/>
      <c r="B5575" s="1"/>
      <c r="C5575" s="1"/>
      <c r="D5575" s="1"/>
      <c r="E5575" s="357">
        <v>45846</v>
      </c>
      <c r="F5575" s="344" t="s">
        <v>628</v>
      </c>
      <c r="G5575" s="358">
        <v>54.234400000000001</v>
      </c>
      <c r="H5575" s="344" t="s">
        <v>2028</v>
      </c>
    </row>
    <row r="5576" spans="1:8">
      <c r="A5576" s="1"/>
      <c r="B5576" s="1"/>
      <c r="C5576" s="1"/>
      <c r="D5576" s="1"/>
      <c r="E5576" s="357">
        <v>45846</v>
      </c>
      <c r="F5576" s="344" t="s">
        <v>631</v>
      </c>
      <c r="G5576" s="358">
        <v>39.933199999999999</v>
      </c>
      <c r="H5576" s="344" t="s">
        <v>2028</v>
      </c>
    </row>
    <row r="5577" spans="1:8">
      <c r="A5577" s="1"/>
      <c r="B5577" s="1"/>
      <c r="C5577" s="1"/>
      <c r="D5577" s="1"/>
      <c r="E5577" s="357">
        <v>45847</v>
      </c>
      <c r="F5577" s="344" t="s">
        <v>621</v>
      </c>
      <c r="G5577" s="358">
        <v>50.051900000000003</v>
      </c>
      <c r="H5577" s="344" t="s">
        <v>2029</v>
      </c>
    </row>
    <row r="5578" spans="1:8">
      <c r="A5578" s="1"/>
      <c r="B5578" s="1"/>
      <c r="C5578" s="1"/>
      <c r="D5578" s="1"/>
      <c r="E5578" s="357">
        <v>45847</v>
      </c>
      <c r="F5578" s="344" t="s">
        <v>625</v>
      </c>
      <c r="G5578" s="358">
        <v>46.792299999999997</v>
      </c>
      <c r="H5578" s="344" t="s">
        <v>2029</v>
      </c>
    </row>
    <row r="5579" spans="1:8">
      <c r="A5579" s="1"/>
      <c r="B5579" s="1"/>
      <c r="C5579" s="1"/>
      <c r="D5579" s="1"/>
      <c r="E5579" s="357">
        <v>45847</v>
      </c>
      <c r="F5579" s="344" t="s">
        <v>628</v>
      </c>
      <c r="G5579" s="358">
        <v>54.221800000000002</v>
      </c>
      <c r="H5579" s="344" t="s">
        <v>2029</v>
      </c>
    </row>
    <row r="5580" spans="1:8">
      <c r="A5580" s="1"/>
      <c r="B5580" s="1"/>
      <c r="C5580" s="1"/>
      <c r="D5580" s="1"/>
      <c r="E5580" s="357">
        <v>45847</v>
      </c>
      <c r="F5580" s="344" t="s">
        <v>631</v>
      </c>
      <c r="G5580" s="358">
        <v>39.9621</v>
      </c>
      <c r="H5580" s="344" t="s">
        <v>2029</v>
      </c>
    </row>
    <row r="5581" spans="1:8">
      <c r="A5581" s="1"/>
      <c r="B5581" s="1"/>
      <c r="C5581" s="1"/>
      <c r="D5581" s="1"/>
      <c r="E5581" s="357">
        <v>45848</v>
      </c>
      <c r="F5581" s="344" t="s">
        <v>621</v>
      </c>
      <c r="G5581" s="358">
        <v>50.189900000000002</v>
      </c>
      <c r="H5581" s="344" t="s">
        <v>2030</v>
      </c>
    </row>
    <row r="5582" spans="1:8">
      <c r="A5582" s="1"/>
      <c r="B5582" s="1"/>
      <c r="C5582" s="1"/>
      <c r="D5582" s="1"/>
      <c r="E5582" s="357">
        <v>45848</v>
      </c>
      <c r="F5582" s="344" t="s">
        <v>625</v>
      </c>
      <c r="G5582" s="358">
        <v>46.883299999999998</v>
      </c>
      <c r="H5582" s="344" t="s">
        <v>2030</v>
      </c>
    </row>
    <row r="5583" spans="1:8">
      <c r="A5583" s="1"/>
      <c r="B5583" s="1"/>
      <c r="C5583" s="1"/>
      <c r="D5583" s="1"/>
      <c r="E5583" s="357">
        <v>45848</v>
      </c>
      <c r="F5583" s="344" t="s">
        <v>628</v>
      </c>
      <c r="G5583" s="358">
        <v>54.289900000000003</v>
      </c>
      <c r="H5583" s="344" t="s">
        <v>2030</v>
      </c>
    </row>
    <row r="5584" spans="1:8">
      <c r="A5584" s="1"/>
      <c r="B5584" s="1"/>
      <c r="C5584" s="1"/>
      <c r="D5584" s="1"/>
      <c r="E5584" s="357">
        <v>45848</v>
      </c>
      <c r="F5584" s="344" t="s">
        <v>631</v>
      </c>
      <c r="G5584" s="358">
        <v>39.977499999999999</v>
      </c>
      <c r="H5584" s="344" t="s">
        <v>2030</v>
      </c>
    </row>
    <row r="5585" spans="1:8">
      <c r="A5585" s="1"/>
      <c r="B5585" s="1"/>
      <c r="C5585" s="1"/>
      <c r="D5585" s="1"/>
      <c r="E5585" s="357">
        <v>45849</v>
      </c>
      <c r="F5585" s="344" t="s">
        <v>621</v>
      </c>
      <c r="G5585" s="358">
        <v>50.107300000000002</v>
      </c>
      <c r="H5585" s="344" t="s">
        <v>2031</v>
      </c>
    </row>
    <row r="5586" spans="1:8">
      <c r="A5586" s="1"/>
      <c r="B5586" s="1"/>
      <c r="C5586" s="1"/>
      <c r="D5586" s="1"/>
      <c r="E5586" s="357">
        <v>45849</v>
      </c>
      <c r="F5586" s="344" t="s">
        <v>625</v>
      </c>
      <c r="G5586" s="358">
        <v>46.7575</v>
      </c>
      <c r="H5586" s="344" t="s">
        <v>2031</v>
      </c>
    </row>
    <row r="5587" spans="1:8">
      <c r="A5587" s="1"/>
      <c r="B5587" s="1"/>
      <c r="C5587" s="1"/>
      <c r="D5587" s="1"/>
      <c r="E5587" s="357">
        <v>45849</v>
      </c>
      <c r="F5587" s="344" t="s">
        <v>628</v>
      </c>
      <c r="G5587" s="358">
        <v>54.042099999999998</v>
      </c>
      <c r="H5587" s="344" t="s">
        <v>2031</v>
      </c>
    </row>
    <row r="5588" spans="1:8">
      <c r="A5588" s="1"/>
      <c r="B5588" s="1"/>
      <c r="C5588" s="1"/>
      <c r="D5588" s="1"/>
      <c r="E5588" s="357">
        <v>45849</v>
      </c>
      <c r="F5588" s="344" t="s">
        <v>631</v>
      </c>
      <c r="G5588" s="358">
        <v>40.007599999999996</v>
      </c>
      <c r="H5588" s="344" t="s">
        <v>2031</v>
      </c>
    </row>
    <row r="5589" spans="1:8">
      <c r="A5589" s="1"/>
      <c r="B5589" s="1"/>
      <c r="C5589" s="1"/>
      <c r="D5589" s="1"/>
      <c r="E5589" s="357">
        <v>45852</v>
      </c>
      <c r="F5589" s="344" t="s">
        <v>621</v>
      </c>
      <c r="G5589" s="358">
        <v>50.181100000000001</v>
      </c>
      <c r="H5589" s="344" t="s">
        <v>2032</v>
      </c>
    </row>
    <row r="5590" spans="1:8">
      <c r="A5590" s="1"/>
      <c r="B5590" s="1"/>
      <c r="C5590" s="1"/>
      <c r="D5590" s="1"/>
      <c r="E5590" s="357">
        <v>45852</v>
      </c>
      <c r="F5590" s="344" t="s">
        <v>625</v>
      </c>
      <c r="G5590" s="358">
        <v>46.841500000000003</v>
      </c>
      <c r="H5590" s="344" t="s">
        <v>2032</v>
      </c>
    </row>
    <row r="5591" spans="1:8">
      <c r="A5591" s="1"/>
      <c r="B5591" s="1"/>
      <c r="C5591" s="1"/>
      <c r="D5591" s="1"/>
      <c r="E5591" s="357">
        <v>45852</v>
      </c>
      <c r="F5591" s="344" t="s">
        <v>628</v>
      </c>
      <c r="G5591" s="358">
        <v>53.941699999999997</v>
      </c>
      <c r="H5591" s="344" t="s">
        <v>2032</v>
      </c>
    </row>
    <row r="5592" spans="1:8">
      <c r="A5592" s="1"/>
      <c r="B5592" s="1"/>
      <c r="C5592" s="1"/>
      <c r="D5592" s="1"/>
      <c r="E5592" s="357">
        <v>45852</v>
      </c>
      <c r="F5592" s="344" t="s">
        <v>631</v>
      </c>
      <c r="G5592" s="358">
        <v>40.088299999999997</v>
      </c>
      <c r="H5592" s="344" t="s">
        <v>2032</v>
      </c>
    </row>
    <row r="5593" spans="1:8">
      <c r="A5593" s="1"/>
      <c r="B5593" s="1"/>
      <c r="C5593" s="1"/>
      <c r="D5593" s="1"/>
      <c r="E5593" s="357">
        <v>45854</v>
      </c>
      <c r="F5593" s="344" t="s">
        <v>621</v>
      </c>
      <c r="G5593" s="358">
        <v>49.979399999999998</v>
      </c>
      <c r="H5593" s="344" t="s">
        <v>2033</v>
      </c>
    </row>
    <row r="5594" spans="1:8">
      <c r="A5594" s="1"/>
      <c r="B5594" s="1"/>
      <c r="C5594" s="1"/>
      <c r="D5594" s="1"/>
      <c r="E5594" s="357">
        <v>45854</v>
      </c>
      <c r="F5594" s="344" t="s">
        <v>625</v>
      </c>
      <c r="G5594" s="358">
        <v>46.662399999999998</v>
      </c>
      <c r="H5594" s="344" t="s">
        <v>2033</v>
      </c>
    </row>
    <row r="5595" spans="1:8">
      <c r="A5595" s="1"/>
      <c r="B5595" s="1"/>
      <c r="C5595" s="1"/>
      <c r="D5595" s="1"/>
      <c r="E5595" s="357">
        <v>45854</v>
      </c>
      <c r="F5595" s="344" t="s">
        <v>628</v>
      </c>
      <c r="G5595" s="358">
        <v>53.7256</v>
      </c>
      <c r="H5595" s="344" t="s">
        <v>2033</v>
      </c>
    </row>
    <row r="5596" spans="1:8">
      <c r="A5596" s="1"/>
      <c r="B5596" s="1"/>
      <c r="C5596" s="1"/>
      <c r="D5596" s="1"/>
      <c r="E5596" s="357">
        <v>45854</v>
      </c>
      <c r="F5596" s="344" t="s">
        <v>631</v>
      </c>
      <c r="G5596" s="358">
        <v>40.163899999999998</v>
      </c>
      <c r="H5596" s="344" t="s">
        <v>2033</v>
      </c>
    </row>
    <row r="5597" spans="1:8">
      <c r="A5597" s="1"/>
      <c r="B5597" s="1"/>
      <c r="C5597" s="1"/>
      <c r="D5597" s="1"/>
      <c r="E5597" s="357">
        <v>45855</v>
      </c>
      <c r="F5597" s="344" t="s">
        <v>621</v>
      </c>
      <c r="G5597" s="358">
        <v>49.868499999999997</v>
      </c>
      <c r="H5597" s="344" t="s">
        <v>2034</v>
      </c>
    </row>
    <row r="5598" spans="1:8">
      <c r="A5598" s="1"/>
      <c r="B5598" s="1"/>
      <c r="C5598" s="1"/>
      <c r="D5598" s="1"/>
      <c r="E5598" s="357">
        <v>45855</v>
      </c>
      <c r="F5598" s="344" t="s">
        <v>625</v>
      </c>
      <c r="G5598" s="358">
        <v>46.584400000000002</v>
      </c>
      <c r="H5598" s="344" t="s">
        <v>2034</v>
      </c>
    </row>
    <row r="5599" spans="1:8">
      <c r="A5599" s="1"/>
      <c r="B5599" s="1"/>
      <c r="C5599" s="1"/>
      <c r="D5599" s="1"/>
      <c r="E5599" s="357">
        <v>45855</v>
      </c>
      <c r="F5599" s="344" t="s">
        <v>628</v>
      </c>
      <c r="G5599" s="358">
        <v>53.758499999999998</v>
      </c>
      <c r="H5599" s="344" t="s">
        <v>2034</v>
      </c>
    </row>
    <row r="5600" spans="1:8">
      <c r="A5600" s="1"/>
      <c r="B5600" s="1"/>
      <c r="C5600" s="1"/>
      <c r="D5600" s="1"/>
      <c r="E5600" s="357">
        <v>45855</v>
      </c>
      <c r="F5600" s="344" t="s">
        <v>631</v>
      </c>
      <c r="G5600" s="358">
        <v>40.2014</v>
      </c>
      <c r="H5600" s="344" t="s">
        <v>2034</v>
      </c>
    </row>
    <row r="5601" spans="1:8">
      <c r="A5601" s="1"/>
      <c r="B5601" s="1"/>
      <c r="C5601" s="1"/>
      <c r="D5601" s="1"/>
      <c r="E5601" s="357">
        <v>45856</v>
      </c>
      <c r="F5601" s="344" t="s">
        <v>621</v>
      </c>
      <c r="G5601" s="358">
        <v>50.033999999999999</v>
      </c>
      <c r="H5601" s="344" t="s">
        <v>2035</v>
      </c>
    </row>
    <row r="5602" spans="1:8">
      <c r="A5602" s="1"/>
      <c r="B5602" s="1"/>
      <c r="C5602" s="1"/>
      <c r="D5602" s="1"/>
      <c r="E5602" s="357">
        <v>45856</v>
      </c>
      <c r="F5602" s="344" t="s">
        <v>625</v>
      </c>
      <c r="G5602" s="358">
        <v>46.799900000000001</v>
      </c>
      <c r="H5602" s="344" t="s">
        <v>2035</v>
      </c>
    </row>
    <row r="5603" spans="1:8">
      <c r="A5603" s="1"/>
      <c r="B5603" s="1"/>
      <c r="C5603" s="1"/>
      <c r="D5603" s="1"/>
      <c r="E5603" s="357">
        <v>45856</v>
      </c>
      <c r="F5603" s="344" t="s">
        <v>628</v>
      </c>
      <c r="G5603" s="358">
        <v>53.981400000000001</v>
      </c>
      <c r="H5603" s="344" t="s">
        <v>2035</v>
      </c>
    </row>
    <row r="5604" spans="1:8">
      <c r="A5604" s="1"/>
      <c r="B5604" s="1"/>
      <c r="C5604" s="1"/>
      <c r="D5604" s="1"/>
      <c r="E5604" s="357">
        <v>45856</v>
      </c>
      <c r="F5604" s="344" t="s">
        <v>631</v>
      </c>
      <c r="G5604" s="358">
        <v>40.228200000000001</v>
      </c>
      <c r="H5604" s="344" t="s">
        <v>2035</v>
      </c>
    </row>
    <row r="5605" spans="1:8">
      <c r="A5605" s="1"/>
      <c r="B5605" s="1"/>
      <c r="C5605" s="1"/>
      <c r="D5605" s="1"/>
      <c r="E5605" s="357">
        <v>45859</v>
      </c>
      <c r="F5605" s="344" t="s">
        <v>621</v>
      </c>
      <c r="G5605" s="358">
        <v>50.258400000000002</v>
      </c>
      <c r="H5605" s="344" t="s">
        <v>2036</v>
      </c>
    </row>
    <row r="5606" spans="1:8">
      <c r="A5606" s="1"/>
      <c r="B5606" s="1"/>
      <c r="C5606" s="1"/>
      <c r="D5606" s="1"/>
      <c r="E5606" s="357">
        <v>45859</v>
      </c>
      <c r="F5606" s="344" t="s">
        <v>625</v>
      </c>
      <c r="G5606" s="358">
        <v>46.9527</v>
      </c>
      <c r="H5606" s="344" t="s">
        <v>2036</v>
      </c>
    </row>
    <row r="5607" spans="1:8">
      <c r="A5607" s="1"/>
      <c r="B5607" s="1"/>
      <c r="C5607" s="1"/>
      <c r="D5607" s="1"/>
      <c r="E5607" s="357">
        <v>45859</v>
      </c>
      <c r="F5607" s="344" t="s">
        <v>628</v>
      </c>
      <c r="G5607" s="358">
        <v>54.148899999999998</v>
      </c>
      <c r="H5607" s="344" t="s">
        <v>2036</v>
      </c>
    </row>
    <row r="5608" spans="1:8">
      <c r="A5608" s="1"/>
      <c r="B5608" s="1"/>
      <c r="C5608" s="1"/>
      <c r="D5608" s="1"/>
      <c r="E5608" s="357">
        <v>45859</v>
      </c>
      <c r="F5608" s="344" t="s">
        <v>631</v>
      </c>
      <c r="G5608" s="358">
        <v>40.3108</v>
      </c>
      <c r="H5608" s="344" t="s">
        <v>2036</v>
      </c>
    </row>
    <row r="5609" spans="1:8">
      <c r="A5609" s="1"/>
      <c r="B5609" s="1"/>
      <c r="C5609" s="1"/>
      <c r="D5609" s="1"/>
      <c r="E5609" s="357">
        <v>45860</v>
      </c>
      <c r="F5609" s="344" t="s">
        <v>621</v>
      </c>
      <c r="G5609" s="358">
        <v>50.469499999999996</v>
      </c>
      <c r="H5609" s="344" t="s">
        <v>2037</v>
      </c>
    </row>
    <row r="5610" spans="1:8">
      <c r="A5610" s="1"/>
      <c r="B5610" s="1"/>
      <c r="C5610" s="1"/>
      <c r="D5610" s="1"/>
      <c r="E5610" s="357">
        <v>45860</v>
      </c>
      <c r="F5610" s="344" t="s">
        <v>625</v>
      </c>
      <c r="G5610" s="358">
        <v>47.182200000000002</v>
      </c>
      <c r="H5610" s="344" t="s">
        <v>2037</v>
      </c>
    </row>
    <row r="5611" spans="1:8">
      <c r="A5611" s="1"/>
      <c r="B5611" s="1"/>
      <c r="C5611" s="1"/>
      <c r="D5611" s="1"/>
      <c r="E5611" s="357">
        <v>45860</v>
      </c>
      <c r="F5611" s="344" t="s">
        <v>628</v>
      </c>
      <c r="G5611" s="358">
        <v>54.285600000000002</v>
      </c>
      <c r="H5611" s="344" t="s">
        <v>2037</v>
      </c>
    </row>
    <row r="5612" spans="1:8">
      <c r="A5612" s="1"/>
      <c r="B5612" s="1"/>
      <c r="C5612" s="1"/>
      <c r="D5612" s="1"/>
      <c r="E5612" s="357">
        <v>45860</v>
      </c>
      <c r="F5612" s="344" t="s">
        <v>631</v>
      </c>
      <c r="G5612" s="358">
        <v>40.335599999999999</v>
      </c>
      <c r="H5612" s="344" t="s">
        <v>2037</v>
      </c>
    </row>
    <row r="5613" spans="1:8">
      <c r="A5613" s="1"/>
      <c r="B5613" s="1"/>
      <c r="C5613" s="1"/>
      <c r="D5613" s="1"/>
      <c r="E5613" s="357">
        <v>45861</v>
      </c>
      <c r="F5613" s="344" t="s">
        <v>621</v>
      </c>
      <c r="G5613" s="358">
        <v>50.805700000000002</v>
      </c>
      <c r="H5613" s="344" t="s">
        <v>2038</v>
      </c>
    </row>
    <row r="5614" spans="1:8">
      <c r="A5614" s="1"/>
      <c r="B5614" s="1"/>
      <c r="C5614" s="1"/>
      <c r="D5614" s="1"/>
      <c r="E5614" s="357">
        <v>45861</v>
      </c>
      <c r="F5614" s="344" t="s">
        <v>625</v>
      </c>
      <c r="G5614" s="358">
        <v>47.369199999999999</v>
      </c>
      <c r="H5614" s="344" t="s">
        <v>2038</v>
      </c>
    </row>
    <row r="5615" spans="1:8">
      <c r="A5615" s="1"/>
      <c r="B5615" s="1"/>
      <c r="C5615" s="1"/>
      <c r="D5615" s="1"/>
      <c r="E5615" s="357">
        <v>45861</v>
      </c>
      <c r="F5615" s="344" t="s">
        <v>628</v>
      </c>
      <c r="G5615" s="358">
        <v>54.564999999999998</v>
      </c>
      <c r="H5615" s="344" t="s">
        <v>2038</v>
      </c>
    </row>
    <row r="5616" spans="1:8">
      <c r="A5616" s="1"/>
      <c r="B5616" s="1"/>
      <c r="C5616" s="1"/>
      <c r="D5616" s="1"/>
      <c r="E5616" s="357">
        <v>45861</v>
      </c>
      <c r="F5616" s="344" t="s">
        <v>631</v>
      </c>
      <c r="G5616" s="358">
        <v>40.368299999999998</v>
      </c>
      <c r="H5616" s="344" t="s">
        <v>2038</v>
      </c>
    </row>
    <row r="5617" spans="1:8">
      <c r="A5617" s="1"/>
      <c r="B5617" s="1"/>
      <c r="C5617" s="1"/>
      <c r="D5617" s="1"/>
      <c r="E5617" s="357">
        <v>45862</v>
      </c>
      <c r="F5617" s="344" t="s">
        <v>621</v>
      </c>
      <c r="G5617" s="358">
        <v>50.759300000000003</v>
      </c>
      <c r="H5617" s="344" t="s">
        <v>2039</v>
      </c>
    </row>
    <row r="5618" spans="1:8">
      <c r="A5618" s="1"/>
      <c r="B5618" s="1"/>
      <c r="C5618" s="1"/>
      <c r="D5618" s="1"/>
      <c r="E5618" s="357">
        <v>45862</v>
      </c>
      <c r="F5618" s="344" t="s">
        <v>625</v>
      </c>
      <c r="G5618" s="358">
        <v>47.484299999999998</v>
      </c>
      <c r="H5618" s="344" t="s">
        <v>2039</v>
      </c>
    </row>
    <row r="5619" spans="1:8">
      <c r="A5619" s="1"/>
      <c r="B5619" s="1"/>
      <c r="C5619" s="1"/>
      <c r="D5619" s="1"/>
      <c r="E5619" s="357">
        <v>45862</v>
      </c>
      <c r="F5619" s="344" t="s">
        <v>628</v>
      </c>
      <c r="G5619" s="358">
        <v>54.643000000000001</v>
      </c>
      <c r="H5619" s="344" t="s">
        <v>2039</v>
      </c>
    </row>
    <row r="5620" spans="1:8">
      <c r="A5620" s="1"/>
      <c r="B5620" s="1"/>
      <c r="C5620" s="1"/>
      <c r="D5620" s="1"/>
      <c r="E5620" s="357">
        <v>45862</v>
      </c>
      <c r="F5620" s="344" t="s">
        <v>631</v>
      </c>
      <c r="G5620" s="358">
        <v>40.392899999999997</v>
      </c>
      <c r="H5620" s="344" t="s">
        <v>2039</v>
      </c>
    </row>
    <row r="5621" spans="1:8">
      <c r="A5621" s="1"/>
      <c r="B5621" s="1"/>
      <c r="C5621" s="1"/>
      <c r="D5621" s="1"/>
      <c r="E5621" s="357">
        <v>45863</v>
      </c>
      <c r="F5621" s="344" t="s">
        <v>621</v>
      </c>
      <c r="G5621" s="358">
        <v>50.622</v>
      </c>
      <c r="H5621" s="344" t="s">
        <v>2040</v>
      </c>
    </row>
    <row r="5622" spans="1:8">
      <c r="A5622" s="1"/>
      <c r="B5622" s="1"/>
      <c r="C5622" s="1"/>
      <c r="D5622" s="1"/>
      <c r="E5622" s="357">
        <v>45863</v>
      </c>
      <c r="F5622" s="344" t="s">
        <v>625</v>
      </c>
      <c r="G5622" s="358">
        <v>47.421700000000001</v>
      </c>
      <c r="H5622" s="344" t="s">
        <v>2040</v>
      </c>
    </row>
    <row r="5623" spans="1:8">
      <c r="A5623" s="1"/>
      <c r="B5623" s="1"/>
      <c r="C5623" s="1"/>
      <c r="D5623" s="1"/>
      <c r="E5623" s="357">
        <v>45863</v>
      </c>
      <c r="F5623" s="344" t="s">
        <v>628</v>
      </c>
      <c r="G5623" s="358">
        <v>54.305799999999998</v>
      </c>
      <c r="H5623" s="344" t="s">
        <v>2040</v>
      </c>
    </row>
    <row r="5624" spans="1:8">
      <c r="A5624" s="1"/>
      <c r="B5624" s="1"/>
      <c r="C5624" s="1"/>
      <c r="D5624" s="1"/>
      <c r="E5624" s="357">
        <v>45863</v>
      </c>
      <c r="F5624" s="344" t="s">
        <v>631</v>
      </c>
      <c r="G5624" s="358">
        <v>40.399000000000001</v>
      </c>
      <c r="H5624" s="344" t="s">
        <v>2040</v>
      </c>
    </row>
    <row r="5625" spans="1:8">
      <c r="A5625" s="1"/>
      <c r="B5625" s="1"/>
      <c r="C5625" s="1"/>
      <c r="D5625" s="1"/>
      <c r="E5625" s="357">
        <v>45866</v>
      </c>
      <c r="F5625" s="344" t="s">
        <v>621</v>
      </c>
      <c r="G5625" s="358">
        <v>50.5137</v>
      </c>
      <c r="H5625" s="344" t="s">
        <v>2041</v>
      </c>
    </row>
    <row r="5626" spans="1:8">
      <c r="A5626" s="1"/>
      <c r="B5626" s="1"/>
      <c r="C5626" s="1"/>
      <c r="D5626" s="1"/>
      <c r="E5626" s="357">
        <v>45866</v>
      </c>
      <c r="F5626" s="344" t="s">
        <v>625</v>
      </c>
      <c r="G5626" s="358">
        <v>47.253100000000003</v>
      </c>
      <c r="H5626" s="344" t="s">
        <v>2041</v>
      </c>
    </row>
    <row r="5627" spans="1:8">
      <c r="A5627" s="1"/>
      <c r="B5627" s="1"/>
      <c r="C5627" s="1"/>
      <c r="D5627" s="1"/>
      <c r="E5627" s="357">
        <v>45866</v>
      </c>
      <c r="F5627" s="344" t="s">
        <v>628</v>
      </c>
      <c r="G5627" s="358">
        <v>54.2149</v>
      </c>
      <c r="H5627" s="344" t="s">
        <v>2041</v>
      </c>
    </row>
    <row r="5628" spans="1:8">
      <c r="A5628" s="1"/>
      <c r="B5628" s="1"/>
      <c r="C5628" s="1"/>
      <c r="D5628" s="1"/>
      <c r="E5628" s="357">
        <v>45866</v>
      </c>
      <c r="F5628" s="344" t="s">
        <v>631</v>
      </c>
      <c r="G5628" s="358">
        <v>40.471699999999998</v>
      </c>
      <c r="H5628" s="344" t="s">
        <v>2041</v>
      </c>
    </row>
    <row r="5629" spans="1:8">
      <c r="A5629" s="1"/>
      <c r="B5629" s="1"/>
      <c r="C5629" s="1"/>
      <c r="D5629" s="1"/>
      <c r="E5629" s="357">
        <v>45867</v>
      </c>
      <c r="F5629" s="344" t="s">
        <v>621</v>
      </c>
      <c r="G5629" s="358">
        <v>50.147199999999998</v>
      </c>
      <c r="H5629" s="344" t="s">
        <v>2042</v>
      </c>
    </row>
    <row r="5630" spans="1:8">
      <c r="A5630" s="1"/>
      <c r="B5630" s="1"/>
      <c r="C5630" s="1"/>
      <c r="D5630" s="1"/>
      <c r="E5630" s="357">
        <v>45867</v>
      </c>
      <c r="F5630" s="344" t="s">
        <v>625</v>
      </c>
      <c r="G5630" s="358">
        <v>46.801499999999997</v>
      </c>
      <c r="H5630" s="344" t="s">
        <v>2042</v>
      </c>
    </row>
    <row r="5631" spans="1:8">
      <c r="A5631" s="1"/>
      <c r="B5631" s="1"/>
      <c r="C5631" s="1"/>
      <c r="D5631" s="1"/>
      <c r="E5631" s="357">
        <v>45867</v>
      </c>
      <c r="F5631" s="344" t="s">
        <v>628</v>
      </c>
      <c r="G5631" s="358">
        <v>53.930500000000002</v>
      </c>
      <c r="H5631" s="344" t="s">
        <v>2042</v>
      </c>
    </row>
    <row r="5632" spans="1:8">
      <c r="A5632" s="1"/>
      <c r="B5632" s="1"/>
      <c r="C5632" s="1"/>
      <c r="D5632" s="1"/>
      <c r="E5632" s="357">
        <v>45867</v>
      </c>
      <c r="F5632" s="344" t="s">
        <v>631</v>
      </c>
      <c r="G5632" s="358">
        <v>40.493000000000002</v>
      </c>
      <c r="H5632" s="344" t="s">
        <v>2042</v>
      </c>
    </row>
    <row r="5633" spans="1:8">
      <c r="A5633" s="1"/>
      <c r="B5633" s="1"/>
      <c r="C5633" s="1"/>
      <c r="D5633" s="1"/>
      <c r="E5633" s="357">
        <v>45868</v>
      </c>
      <c r="F5633" s="344" t="s">
        <v>621</v>
      </c>
      <c r="G5633" s="358">
        <v>50.175800000000002</v>
      </c>
      <c r="H5633" s="344" t="s">
        <v>2043</v>
      </c>
    </row>
    <row r="5634" spans="1:8">
      <c r="A5634" s="1"/>
      <c r="B5634" s="1"/>
      <c r="C5634" s="1"/>
      <c r="D5634" s="1"/>
      <c r="E5634" s="357">
        <v>45868</v>
      </c>
      <c r="F5634" s="344" t="s">
        <v>625</v>
      </c>
      <c r="G5634" s="358">
        <v>46.7684</v>
      </c>
      <c r="H5634" s="344" t="s">
        <v>2043</v>
      </c>
    </row>
    <row r="5635" spans="1:8">
      <c r="A5635" s="1"/>
      <c r="B5635" s="1"/>
      <c r="C5635" s="1"/>
      <c r="D5635" s="1"/>
      <c r="E5635" s="357">
        <v>45868</v>
      </c>
      <c r="F5635" s="344" t="s">
        <v>628</v>
      </c>
      <c r="G5635" s="358">
        <v>54.049900000000001</v>
      </c>
      <c r="H5635" s="344" t="s">
        <v>2043</v>
      </c>
    </row>
    <row r="5636" spans="1:8">
      <c r="A5636" s="1"/>
      <c r="B5636" s="1"/>
      <c r="C5636" s="1"/>
      <c r="D5636" s="1"/>
      <c r="E5636" s="357">
        <v>45868</v>
      </c>
      <c r="F5636" s="344" t="s">
        <v>631</v>
      </c>
      <c r="G5636" s="358">
        <v>40.499400000000001</v>
      </c>
      <c r="H5636" s="344" t="s">
        <v>2043</v>
      </c>
    </row>
    <row r="5637" spans="1:8">
      <c r="A5637" s="1"/>
      <c r="B5637" s="1"/>
      <c r="C5637" s="1"/>
      <c r="D5637" s="1"/>
      <c r="E5637" s="357">
        <v>45869</v>
      </c>
      <c r="F5637" s="344" t="s">
        <v>621</v>
      </c>
      <c r="G5637" s="358">
        <v>49.747100000000003</v>
      </c>
      <c r="H5637" s="344" t="s">
        <v>2044</v>
      </c>
    </row>
    <row r="5638" spans="1:8">
      <c r="A5638" s="1"/>
      <c r="B5638" s="1"/>
      <c r="C5638" s="1"/>
      <c r="D5638" s="1"/>
      <c r="E5638" s="357">
        <v>45869</v>
      </c>
      <c r="F5638" s="344" t="s">
        <v>625</v>
      </c>
      <c r="G5638" s="358">
        <v>46.374000000000002</v>
      </c>
      <c r="H5638" s="344" t="s">
        <v>2044</v>
      </c>
    </row>
    <row r="5639" spans="1:8">
      <c r="A5639" s="1"/>
      <c r="B5639" s="1"/>
      <c r="C5639" s="1"/>
      <c r="D5639" s="1"/>
      <c r="E5639" s="357">
        <v>45869</v>
      </c>
      <c r="F5639" s="344" t="s">
        <v>628</v>
      </c>
      <c r="G5639" s="358">
        <v>53.576999999999998</v>
      </c>
      <c r="H5639" s="344" t="s">
        <v>2044</v>
      </c>
    </row>
    <row r="5640" spans="1:8">
      <c r="A5640" s="1"/>
      <c r="B5640" s="1"/>
      <c r="C5640" s="1"/>
      <c r="D5640" s="1"/>
      <c r="E5640" s="357">
        <v>45869</v>
      </c>
      <c r="F5640" s="344" t="s">
        <v>631</v>
      </c>
      <c r="G5640" s="358">
        <v>40.512799999999999</v>
      </c>
      <c r="H5640" s="344" t="s">
        <v>2044</v>
      </c>
    </row>
    <row r="5641" spans="1:8">
      <c r="A5641" s="1"/>
      <c r="B5641" s="1"/>
      <c r="C5641" s="1"/>
      <c r="D5641" s="1"/>
      <c r="E5641" s="357">
        <v>45870</v>
      </c>
      <c r="F5641" s="344" t="s">
        <v>621</v>
      </c>
      <c r="G5641" s="358">
        <v>49.566699999999997</v>
      </c>
      <c r="H5641" s="344" t="s">
        <v>2045</v>
      </c>
    </row>
    <row r="5642" spans="1:8">
      <c r="A5642" s="1"/>
      <c r="B5642" s="1"/>
      <c r="C5642" s="1"/>
      <c r="D5642" s="1"/>
      <c r="E5642" s="357">
        <v>45870</v>
      </c>
      <c r="F5642" s="344" t="s">
        <v>625</v>
      </c>
      <c r="G5642" s="358">
        <v>46.240699999999997</v>
      </c>
      <c r="H5642" s="344" t="s">
        <v>2045</v>
      </c>
    </row>
    <row r="5643" spans="1:8">
      <c r="A5643" s="1"/>
      <c r="B5643" s="1"/>
      <c r="C5643" s="1"/>
      <c r="D5643" s="1"/>
      <c r="E5643" s="357">
        <v>45870</v>
      </c>
      <c r="F5643" s="344" t="s">
        <v>628</v>
      </c>
      <c r="G5643" s="358">
        <v>53.283200000000001</v>
      </c>
      <c r="H5643" s="344" t="s">
        <v>2045</v>
      </c>
    </row>
    <row r="5644" spans="1:8">
      <c r="A5644" s="1"/>
      <c r="B5644" s="1"/>
      <c r="C5644" s="1"/>
      <c r="D5644" s="1"/>
      <c r="E5644" s="357">
        <v>45870</v>
      </c>
      <c r="F5644" s="344" t="s">
        <v>631</v>
      </c>
      <c r="G5644" s="358">
        <v>40.518999999999998</v>
      </c>
      <c r="H5644" s="344" t="s">
        <v>2045</v>
      </c>
    </row>
    <row r="5645" spans="1:8">
      <c r="A5645" s="1"/>
      <c r="B5645" s="1"/>
      <c r="C5645" s="1"/>
      <c r="D5645" s="1"/>
      <c r="E5645" s="357">
        <v>45873</v>
      </c>
      <c r="F5645" s="344" t="s">
        <v>621</v>
      </c>
      <c r="G5645" s="358">
        <v>50.107399999999998</v>
      </c>
      <c r="H5645" s="344" t="s">
        <v>2046</v>
      </c>
    </row>
    <row r="5646" spans="1:8">
      <c r="A5646" s="1"/>
      <c r="B5646" s="1"/>
      <c r="C5646" s="1"/>
      <c r="D5646" s="1"/>
      <c r="E5646" s="357">
        <v>45873</v>
      </c>
      <c r="F5646" s="344" t="s">
        <v>625</v>
      </c>
      <c r="G5646" s="358">
        <v>46.9544</v>
      </c>
      <c r="H5646" s="344" t="s">
        <v>2046</v>
      </c>
    </row>
    <row r="5647" spans="1:8">
      <c r="A5647" s="1"/>
      <c r="B5647" s="1"/>
      <c r="C5647" s="1"/>
      <c r="D5647" s="1"/>
      <c r="E5647" s="357">
        <v>45873</v>
      </c>
      <c r="F5647" s="344" t="s">
        <v>628</v>
      </c>
      <c r="G5647" s="358">
        <v>53.845199999999998</v>
      </c>
      <c r="H5647" s="344" t="s">
        <v>2046</v>
      </c>
    </row>
    <row r="5648" spans="1:8">
      <c r="A5648" s="1"/>
      <c r="B5648" s="1"/>
      <c r="C5648" s="1"/>
      <c r="D5648" s="1"/>
      <c r="E5648" s="357">
        <v>45873</v>
      </c>
      <c r="F5648" s="344" t="s">
        <v>631</v>
      </c>
      <c r="G5648" s="358">
        <v>40.594000000000001</v>
      </c>
      <c r="H5648" s="344" t="s">
        <v>2046</v>
      </c>
    </row>
    <row r="5649" spans="1:8">
      <c r="A5649" s="1"/>
      <c r="B5649" s="1"/>
      <c r="C5649" s="1"/>
      <c r="D5649" s="1"/>
      <c r="E5649" s="357">
        <v>45874</v>
      </c>
      <c r="F5649" s="344" t="s">
        <v>621</v>
      </c>
      <c r="G5649" s="358">
        <v>50.001399999999997</v>
      </c>
      <c r="H5649" s="344" t="s">
        <v>2047</v>
      </c>
    </row>
    <row r="5650" spans="1:8">
      <c r="A5650" s="1"/>
      <c r="B5650" s="1"/>
      <c r="C5650" s="1"/>
      <c r="D5650" s="1"/>
      <c r="E5650" s="357">
        <v>45874</v>
      </c>
      <c r="F5650" s="344" t="s">
        <v>625</v>
      </c>
      <c r="G5650" s="358">
        <v>46.868899999999996</v>
      </c>
      <c r="H5650" s="344" t="s">
        <v>2047</v>
      </c>
    </row>
    <row r="5651" spans="1:8">
      <c r="A5651" s="1"/>
      <c r="B5651" s="1"/>
      <c r="C5651" s="1"/>
      <c r="D5651" s="1"/>
      <c r="E5651" s="357">
        <v>45874</v>
      </c>
      <c r="F5651" s="344" t="s">
        <v>628</v>
      </c>
      <c r="G5651" s="358">
        <v>53.835900000000002</v>
      </c>
      <c r="H5651" s="344" t="s">
        <v>2047</v>
      </c>
    </row>
    <row r="5652" spans="1:8">
      <c r="A5652" s="1"/>
      <c r="B5652" s="1"/>
      <c r="C5652" s="1"/>
      <c r="D5652" s="1"/>
      <c r="E5652" s="357">
        <v>45874</v>
      </c>
      <c r="F5652" s="344" t="s">
        <v>631</v>
      </c>
      <c r="G5652" s="358">
        <v>40.602600000000002</v>
      </c>
      <c r="H5652" s="344" t="s">
        <v>2047</v>
      </c>
    </row>
    <row r="5653" spans="1:8">
      <c r="A5653" s="1"/>
      <c r="B5653" s="1"/>
      <c r="C5653" s="1"/>
      <c r="D5653" s="1"/>
      <c r="E5653" s="357">
        <v>45875</v>
      </c>
      <c r="F5653" s="344" t="s">
        <v>621</v>
      </c>
      <c r="G5653" s="358">
        <v>50.1447</v>
      </c>
      <c r="H5653" s="344" t="s">
        <v>2048</v>
      </c>
    </row>
    <row r="5654" spans="1:8">
      <c r="A5654" s="1"/>
      <c r="B5654" s="1"/>
      <c r="C5654" s="1"/>
      <c r="D5654" s="1"/>
      <c r="E5654" s="357">
        <v>45875</v>
      </c>
      <c r="F5654" s="344" t="s">
        <v>625</v>
      </c>
      <c r="G5654" s="358">
        <v>47.041400000000003</v>
      </c>
      <c r="H5654" s="344" t="s">
        <v>2048</v>
      </c>
    </row>
    <row r="5655" spans="1:8">
      <c r="A5655" s="1"/>
      <c r="B5655" s="1"/>
      <c r="C5655" s="1"/>
      <c r="D5655" s="1"/>
      <c r="E5655" s="357">
        <v>45875</v>
      </c>
      <c r="F5655" s="344" t="s">
        <v>628</v>
      </c>
      <c r="G5655" s="358">
        <v>53.911999999999999</v>
      </c>
      <c r="H5655" s="344" t="s">
        <v>2048</v>
      </c>
    </row>
    <row r="5656" spans="1:8">
      <c r="A5656" s="1"/>
      <c r="B5656" s="1"/>
      <c r="C5656" s="1"/>
      <c r="D5656" s="1"/>
      <c r="E5656" s="357">
        <v>45875</v>
      </c>
      <c r="F5656" s="344" t="s">
        <v>631</v>
      </c>
      <c r="G5656" s="358">
        <v>40.593200000000003</v>
      </c>
      <c r="H5656" s="344" t="s">
        <v>2048</v>
      </c>
    </row>
    <row r="5657" spans="1:8">
      <c r="A5657" s="1"/>
      <c r="B5657" s="1"/>
      <c r="C5657" s="1"/>
      <c r="D5657" s="1"/>
      <c r="E5657" s="357">
        <v>45876</v>
      </c>
      <c r="F5657" s="344" t="s">
        <v>621</v>
      </c>
      <c r="G5657" s="358">
        <v>50.230400000000003</v>
      </c>
      <c r="H5657" s="344" t="s">
        <v>2049</v>
      </c>
    </row>
    <row r="5658" spans="1:8">
      <c r="A5658" s="1"/>
      <c r="B5658" s="1"/>
      <c r="C5658" s="1"/>
      <c r="D5658" s="1"/>
      <c r="E5658" s="357">
        <v>45876</v>
      </c>
      <c r="F5658" s="344" t="s">
        <v>625</v>
      </c>
      <c r="G5658" s="358">
        <v>47.367199999999997</v>
      </c>
      <c r="H5658" s="344" t="s">
        <v>2049</v>
      </c>
    </row>
    <row r="5659" spans="1:8">
      <c r="A5659" s="1"/>
      <c r="B5659" s="1"/>
      <c r="C5659" s="1"/>
      <c r="D5659" s="1"/>
      <c r="E5659" s="357">
        <v>45876</v>
      </c>
      <c r="F5659" s="344" t="s">
        <v>628</v>
      </c>
      <c r="G5659" s="358">
        <v>54.203299999999999</v>
      </c>
      <c r="H5659" s="344" t="s">
        <v>2049</v>
      </c>
    </row>
    <row r="5660" spans="1:8">
      <c r="A5660" s="1"/>
      <c r="B5660" s="1"/>
      <c r="C5660" s="1"/>
      <c r="D5660" s="1"/>
      <c r="E5660" s="357">
        <v>45876</v>
      </c>
      <c r="F5660" s="344" t="s">
        <v>631</v>
      </c>
      <c r="G5660" s="358">
        <v>40.580800000000004</v>
      </c>
      <c r="H5660" s="344" t="s">
        <v>2049</v>
      </c>
    </row>
    <row r="5661" spans="1:8">
      <c r="A5661" s="1"/>
      <c r="B5661" s="1"/>
      <c r="C5661" s="1"/>
      <c r="D5661" s="1"/>
      <c r="E5661" s="357">
        <v>45877</v>
      </c>
      <c r="F5661" s="344" t="s">
        <v>621</v>
      </c>
      <c r="G5661" s="358">
        <v>50.081699999999998</v>
      </c>
      <c r="H5661" s="344" t="s">
        <v>2050</v>
      </c>
    </row>
    <row r="5662" spans="1:8">
      <c r="A5662" s="1"/>
      <c r="B5662" s="1"/>
      <c r="C5662" s="1"/>
      <c r="D5662" s="1"/>
      <c r="E5662" s="357">
        <v>45877</v>
      </c>
      <c r="F5662" s="344" t="s">
        <v>625</v>
      </c>
      <c r="G5662" s="358">
        <v>47.224499999999999</v>
      </c>
      <c r="H5662" s="344" t="s">
        <v>2050</v>
      </c>
    </row>
    <row r="5663" spans="1:8">
      <c r="A5663" s="1"/>
      <c r="B5663" s="1"/>
      <c r="C5663" s="1"/>
      <c r="D5663" s="1"/>
      <c r="E5663" s="357">
        <v>45877</v>
      </c>
      <c r="F5663" s="344" t="s">
        <v>628</v>
      </c>
      <c r="G5663" s="358">
        <v>54.408900000000003</v>
      </c>
      <c r="H5663" s="344" t="s">
        <v>2050</v>
      </c>
    </row>
    <row r="5664" spans="1:8">
      <c r="A5664" s="1"/>
      <c r="B5664" s="1"/>
      <c r="C5664" s="1"/>
      <c r="D5664" s="1"/>
      <c r="E5664" s="357">
        <v>45877</v>
      </c>
      <c r="F5664" s="344" t="s">
        <v>631</v>
      </c>
      <c r="G5664" s="358">
        <v>40.554299999999998</v>
      </c>
      <c r="H5664" s="344" t="s">
        <v>2050</v>
      </c>
    </row>
    <row r="5665" spans="1:8">
      <c r="A5665" s="1"/>
      <c r="B5665" s="1"/>
      <c r="C5665" s="1"/>
      <c r="D5665" s="1"/>
      <c r="E5665" s="357">
        <v>45880</v>
      </c>
      <c r="F5665" s="344" t="s">
        <v>621</v>
      </c>
      <c r="G5665" s="358">
        <v>50.118200000000002</v>
      </c>
      <c r="H5665" s="344" t="s">
        <v>2051</v>
      </c>
    </row>
    <row r="5666" spans="1:8">
      <c r="A5666" s="1"/>
      <c r="B5666" s="1"/>
      <c r="C5666" s="1"/>
      <c r="D5666" s="1"/>
      <c r="E5666" s="357">
        <v>45880</v>
      </c>
      <c r="F5666" s="344" t="s">
        <v>625</v>
      </c>
      <c r="G5666" s="358">
        <v>47.326000000000001</v>
      </c>
      <c r="H5666" s="344" t="s">
        <v>2051</v>
      </c>
    </row>
    <row r="5667" spans="1:8">
      <c r="A5667" s="1"/>
      <c r="B5667" s="1"/>
      <c r="C5667" s="1"/>
      <c r="D5667" s="1"/>
      <c r="E5667" s="357">
        <v>45880</v>
      </c>
      <c r="F5667" s="344" t="s">
        <v>628</v>
      </c>
      <c r="G5667" s="358">
        <v>54.568899999999999</v>
      </c>
      <c r="H5667" s="344" t="s">
        <v>2051</v>
      </c>
    </row>
    <row r="5668" spans="1:8">
      <c r="A5668" s="1"/>
      <c r="B5668" s="1"/>
      <c r="C5668" s="1"/>
      <c r="D5668" s="1"/>
      <c r="E5668" s="357">
        <v>45880</v>
      </c>
      <c r="F5668" s="344" t="s">
        <v>631</v>
      </c>
      <c r="G5668" s="358">
        <v>40.6325</v>
      </c>
      <c r="H5668" s="344" t="s">
        <v>2051</v>
      </c>
    </row>
    <row r="5669" spans="1:8">
      <c r="A5669" s="1"/>
      <c r="B5669" s="1"/>
      <c r="C5669" s="1"/>
      <c r="D5669" s="1"/>
      <c r="E5669" s="357">
        <v>45881</v>
      </c>
      <c r="F5669" s="344" t="s">
        <v>621</v>
      </c>
      <c r="G5669" s="358">
        <v>50.006</v>
      </c>
      <c r="H5669" s="344" t="s">
        <v>2052</v>
      </c>
    </row>
    <row r="5670" spans="1:8">
      <c r="A5670" s="1"/>
      <c r="B5670" s="1"/>
      <c r="C5670" s="1"/>
      <c r="D5670" s="1"/>
      <c r="E5670" s="357">
        <v>45881</v>
      </c>
      <c r="F5670" s="344" t="s">
        <v>625</v>
      </c>
      <c r="G5670" s="358">
        <v>47.184600000000003</v>
      </c>
      <c r="H5670" s="344" t="s">
        <v>2052</v>
      </c>
    </row>
    <row r="5671" spans="1:8">
      <c r="A5671" s="1"/>
      <c r="B5671" s="1"/>
      <c r="C5671" s="1"/>
      <c r="D5671" s="1"/>
      <c r="E5671" s="357">
        <v>45881</v>
      </c>
      <c r="F5671" s="344" t="s">
        <v>628</v>
      </c>
      <c r="G5671" s="358">
        <v>54.59</v>
      </c>
      <c r="H5671" s="344" t="s">
        <v>2052</v>
      </c>
    </row>
    <row r="5672" spans="1:8">
      <c r="A5672" s="1"/>
      <c r="B5672" s="1"/>
      <c r="C5672" s="1"/>
      <c r="D5672" s="1"/>
      <c r="E5672" s="357">
        <v>45881</v>
      </c>
      <c r="F5672" s="344" t="s">
        <v>631</v>
      </c>
      <c r="G5672" s="358">
        <v>40.638399999999997</v>
      </c>
      <c r="H5672" s="344" t="s">
        <v>2052</v>
      </c>
    </row>
    <row r="5673" spans="1:8">
      <c r="A5673" s="1"/>
      <c r="B5673" s="1"/>
      <c r="C5673" s="1"/>
      <c r="D5673" s="1"/>
      <c r="E5673" s="357">
        <v>45882</v>
      </c>
      <c r="F5673" s="344" t="s">
        <v>621</v>
      </c>
      <c r="G5673" s="358">
        <v>50.466000000000001</v>
      </c>
      <c r="H5673" s="344" t="s">
        <v>2053</v>
      </c>
    </row>
    <row r="5674" spans="1:8">
      <c r="A5674" s="1"/>
      <c r="B5674" s="1"/>
      <c r="C5674" s="1"/>
      <c r="D5674" s="1"/>
      <c r="E5674" s="357">
        <v>45882</v>
      </c>
      <c r="F5674" s="344" t="s">
        <v>625</v>
      </c>
      <c r="G5674" s="358">
        <v>47.622199999999999</v>
      </c>
      <c r="H5674" s="344" t="s">
        <v>2053</v>
      </c>
    </row>
    <row r="5675" spans="1:8">
      <c r="A5675" s="1"/>
      <c r="B5675" s="1"/>
      <c r="C5675" s="1"/>
      <c r="D5675" s="1"/>
      <c r="E5675" s="357">
        <v>45882</v>
      </c>
      <c r="F5675" s="344" t="s">
        <v>628</v>
      </c>
      <c r="G5675" s="358">
        <v>55.024000000000001</v>
      </c>
      <c r="H5675" s="344" t="s">
        <v>2053</v>
      </c>
    </row>
    <row r="5676" spans="1:8">
      <c r="A5676" s="1"/>
      <c r="B5676" s="1"/>
      <c r="C5676" s="1"/>
      <c r="D5676" s="1"/>
      <c r="E5676" s="357">
        <v>45882</v>
      </c>
      <c r="F5676" s="344" t="s">
        <v>631</v>
      </c>
      <c r="G5676" s="358">
        <v>40.657299999999999</v>
      </c>
      <c r="H5676" s="344" t="s">
        <v>2053</v>
      </c>
    </row>
    <row r="5677" spans="1:8">
      <c r="A5677" s="1"/>
      <c r="B5677" s="1"/>
      <c r="C5677" s="1"/>
      <c r="D5677" s="1"/>
      <c r="E5677" s="357">
        <v>45883</v>
      </c>
      <c r="F5677" s="344" t="s">
        <v>621</v>
      </c>
      <c r="G5677" s="358">
        <v>50.381300000000003</v>
      </c>
      <c r="H5677" s="344" t="s">
        <v>2054</v>
      </c>
    </row>
    <row r="5678" spans="1:8">
      <c r="A5678" s="1"/>
      <c r="B5678" s="1"/>
      <c r="C5678" s="1"/>
      <c r="D5678" s="1"/>
      <c r="E5678" s="357">
        <v>45883</v>
      </c>
      <c r="F5678" s="344" t="s">
        <v>625</v>
      </c>
      <c r="G5678" s="358">
        <v>47.561199999999999</v>
      </c>
      <c r="H5678" s="344" t="s">
        <v>2054</v>
      </c>
    </row>
    <row r="5679" spans="1:8">
      <c r="A5679" s="1"/>
      <c r="B5679" s="1"/>
      <c r="C5679" s="1"/>
      <c r="D5679" s="1"/>
      <c r="E5679" s="357">
        <v>45883</v>
      </c>
      <c r="F5679" s="344" t="s">
        <v>628</v>
      </c>
      <c r="G5679" s="358">
        <v>55.173099999999998</v>
      </c>
      <c r="H5679" s="344" t="s">
        <v>2054</v>
      </c>
    </row>
    <row r="5680" spans="1:8">
      <c r="A5680" s="1"/>
      <c r="B5680" s="1"/>
      <c r="C5680" s="1"/>
      <c r="D5680" s="1"/>
      <c r="E5680" s="357">
        <v>45883</v>
      </c>
      <c r="F5680" s="344" t="s">
        <v>631</v>
      </c>
      <c r="G5680" s="358">
        <v>40.709400000000002</v>
      </c>
      <c r="H5680" s="344" t="s">
        <v>2054</v>
      </c>
    </row>
    <row r="5681" spans="1:8">
      <c r="A5681" s="1"/>
      <c r="B5681" s="1"/>
      <c r="C5681" s="1"/>
      <c r="D5681" s="1"/>
      <c r="E5681" s="357">
        <v>45884</v>
      </c>
      <c r="F5681" s="344" t="s">
        <v>621</v>
      </c>
      <c r="G5681" s="358">
        <v>50.438099999999999</v>
      </c>
      <c r="H5681" s="344" t="s">
        <v>2055</v>
      </c>
    </row>
    <row r="5682" spans="1:8">
      <c r="A5682" s="1"/>
      <c r="B5682" s="1"/>
      <c r="C5682" s="1"/>
      <c r="D5682" s="1"/>
      <c r="E5682" s="357">
        <v>45884</v>
      </c>
      <c r="F5682" s="344" t="s">
        <v>625</v>
      </c>
      <c r="G5682" s="358">
        <v>47.586399999999998</v>
      </c>
      <c r="H5682" s="344" t="s">
        <v>2055</v>
      </c>
    </row>
    <row r="5683" spans="1:8">
      <c r="A5683" s="1"/>
      <c r="B5683" s="1"/>
      <c r="C5683" s="1"/>
      <c r="D5683" s="1"/>
      <c r="E5683" s="357">
        <v>45884</v>
      </c>
      <c r="F5683" s="344" t="s">
        <v>628</v>
      </c>
      <c r="G5683" s="358">
        <v>55.1173</v>
      </c>
      <c r="H5683" s="344" t="s">
        <v>2055</v>
      </c>
    </row>
    <row r="5684" spans="1:8">
      <c r="A5684" s="1"/>
      <c r="B5684" s="1"/>
      <c r="C5684" s="1"/>
      <c r="D5684" s="1"/>
      <c r="E5684" s="357">
        <v>45884</v>
      </c>
      <c r="F5684" s="344" t="s">
        <v>631</v>
      </c>
      <c r="G5684" s="358">
        <v>40.731299999999997</v>
      </c>
      <c r="H5684" s="344" t="s">
        <v>2055</v>
      </c>
    </row>
    <row r="5685" spans="1:8">
      <c r="A5685" s="1"/>
      <c r="B5685" s="1"/>
      <c r="C5685" s="1"/>
      <c r="D5685" s="1"/>
      <c r="E5685" s="357">
        <v>45887</v>
      </c>
      <c r="F5685" s="344" t="s">
        <v>621</v>
      </c>
      <c r="G5685" s="358">
        <v>50.454300000000003</v>
      </c>
      <c r="H5685" s="344" t="s">
        <v>2056</v>
      </c>
    </row>
    <row r="5686" spans="1:8">
      <c r="A5686" s="1"/>
      <c r="B5686" s="1"/>
      <c r="C5686" s="1"/>
      <c r="D5686" s="1"/>
      <c r="E5686" s="357">
        <v>45887</v>
      </c>
      <c r="F5686" s="344" t="s">
        <v>625</v>
      </c>
      <c r="G5686" s="358">
        <v>47.6755</v>
      </c>
      <c r="H5686" s="344" t="s">
        <v>2056</v>
      </c>
    </row>
    <row r="5687" spans="1:8">
      <c r="A5687" s="1"/>
      <c r="B5687" s="1"/>
      <c r="C5687" s="1"/>
      <c r="D5687" s="1"/>
      <c r="E5687" s="357">
        <v>45887</v>
      </c>
      <c r="F5687" s="344" t="s">
        <v>628</v>
      </c>
      <c r="G5687" s="358">
        <v>55.164299999999997</v>
      </c>
      <c r="H5687" s="344" t="s">
        <v>2056</v>
      </c>
    </row>
    <row r="5688" spans="1:8">
      <c r="A5688" s="1"/>
      <c r="B5688" s="1"/>
      <c r="C5688" s="1"/>
      <c r="D5688" s="1"/>
      <c r="E5688" s="357">
        <v>45887</v>
      </c>
      <c r="F5688" s="344" t="s">
        <v>631</v>
      </c>
      <c r="G5688" s="358">
        <v>40.808399999999999</v>
      </c>
      <c r="H5688" s="344" t="s">
        <v>2056</v>
      </c>
    </row>
    <row r="5689" spans="1:8">
      <c r="A5689" s="1"/>
      <c r="B5689" s="1"/>
      <c r="C5689" s="1"/>
      <c r="D5689" s="1"/>
      <c r="E5689" s="357">
        <v>45888</v>
      </c>
      <c r="F5689" s="344" t="s">
        <v>621</v>
      </c>
      <c r="G5689" s="358">
        <v>50.537399999999998</v>
      </c>
      <c r="H5689" s="344" t="s">
        <v>2057</v>
      </c>
    </row>
    <row r="5690" spans="1:8">
      <c r="A5690" s="1"/>
      <c r="B5690" s="1"/>
      <c r="C5690" s="1"/>
      <c r="D5690" s="1"/>
      <c r="E5690" s="357">
        <v>45888</v>
      </c>
      <c r="F5690" s="344" t="s">
        <v>625</v>
      </c>
      <c r="G5690" s="358">
        <v>47.674500000000002</v>
      </c>
      <c r="H5690" s="344" t="s">
        <v>2057</v>
      </c>
    </row>
    <row r="5691" spans="1:8">
      <c r="A5691" s="1"/>
      <c r="B5691" s="1"/>
      <c r="C5691" s="1"/>
      <c r="D5691" s="1"/>
      <c r="E5691" s="357">
        <v>45888</v>
      </c>
      <c r="F5691" s="344" t="s">
        <v>628</v>
      </c>
      <c r="G5691" s="358">
        <v>55.081499999999998</v>
      </c>
      <c r="H5691" s="344" t="s">
        <v>2057</v>
      </c>
    </row>
    <row r="5692" spans="1:8">
      <c r="A5692" s="1"/>
      <c r="B5692" s="1"/>
      <c r="C5692" s="1"/>
      <c r="D5692" s="1"/>
      <c r="E5692" s="357">
        <v>45888</v>
      </c>
      <c r="F5692" s="344" t="s">
        <v>631</v>
      </c>
      <c r="G5692" s="358">
        <v>40.811999999999998</v>
      </c>
      <c r="H5692" s="344" t="s">
        <v>2057</v>
      </c>
    </row>
    <row r="5693" spans="1:8">
      <c r="A5693" s="1"/>
      <c r="B5693" s="1"/>
      <c r="C5693" s="1"/>
      <c r="D5693" s="1"/>
      <c r="E5693" s="357">
        <v>45889</v>
      </c>
      <c r="F5693" s="344" t="s">
        <v>621</v>
      </c>
      <c r="G5693" s="358">
        <v>50.445599999999999</v>
      </c>
      <c r="H5693" s="344" t="s">
        <v>2058</v>
      </c>
    </row>
    <row r="5694" spans="1:8">
      <c r="A5694" s="1"/>
      <c r="B5694" s="1"/>
      <c r="C5694" s="1"/>
      <c r="D5694" s="1"/>
      <c r="E5694" s="357">
        <v>45889</v>
      </c>
      <c r="F5694" s="344" t="s">
        <v>625</v>
      </c>
      <c r="G5694" s="358">
        <v>47.545699999999997</v>
      </c>
      <c r="H5694" s="344" t="s">
        <v>2058</v>
      </c>
    </row>
    <row r="5695" spans="1:8">
      <c r="A5695" s="1"/>
      <c r="B5695" s="1"/>
      <c r="C5695" s="1"/>
      <c r="D5695" s="1"/>
      <c r="E5695" s="357">
        <v>45889</v>
      </c>
      <c r="F5695" s="344" t="s">
        <v>628</v>
      </c>
      <c r="G5695" s="358">
        <v>55.018799999999999</v>
      </c>
      <c r="H5695" s="344" t="s">
        <v>2058</v>
      </c>
    </row>
    <row r="5696" spans="1:8">
      <c r="A5696" s="1"/>
      <c r="B5696" s="1"/>
      <c r="C5696" s="1"/>
      <c r="D5696" s="1"/>
      <c r="E5696" s="357">
        <v>45889</v>
      </c>
      <c r="F5696" s="344" t="s">
        <v>631</v>
      </c>
      <c r="G5696" s="358">
        <v>40.841000000000001</v>
      </c>
      <c r="H5696" s="344" t="s">
        <v>2058</v>
      </c>
    </row>
    <row r="5697" spans="1:8">
      <c r="A5697" s="1"/>
      <c r="B5697" s="1"/>
      <c r="C5697" s="1"/>
      <c r="D5697" s="1"/>
      <c r="E5697" s="357">
        <v>45890</v>
      </c>
      <c r="F5697" s="344" t="s">
        <v>621</v>
      </c>
      <c r="G5697" s="358">
        <v>50.594700000000003</v>
      </c>
      <c r="H5697" s="344" t="s">
        <v>2059</v>
      </c>
    </row>
    <row r="5698" spans="1:8">
      <c r="A5698" s="1"/>
      <c r="B5698" s="1"/>
      <c r="C5698" s="1"/>
      <c r="D5698" s="1"/>
      <c r="E5698" s="357">
        <v>45890</v>
      </c>
      <c r="F5698" s="344" t="s">
        <v>625</v>
      </c>
      <c r="G5698" s="358">
        <v>47.590400000000002</v>
      </c>
      <c r="H5698" s="344" t="s">
        <v>2059</v>
      </c>
    </row>
    <row r="5699" spans="1:8">
      <c r="A5699" s="1"/>
      <c r="B5699" s="1"/>
      <c r="C5699" s="1"/>
      <c r="D5699" s="1"/>
      <c r="E5699" s="357">
        <v>45890</v>
      </c>
      <c r="F5699" s="344" t="s">
        <v>628</v>
      </c>
      <c r="G5699" s="358">
        <v>54.908999999999999</v>
      </c>
      <c r="H5699" s="344" t="s">
        <v>2059</v>
      </c>
    </row>
    <row r="5700" spans="1:8">
      <c r="A5700" s="1"/>
      <c r="B5700" s="1"/>
      <c r="C5700" s="1"/>
      <c r="D5700" s="1"/>
      <c r="E5700" s="357">
        <v>45890</v>
      </c>
      <c r="F5700" s="344" t="s">
        <v>631</v>
      </c>
      <c r="G5700" s="358">
        <v>40.858600000000003</v>
      </c>
      <c r="H5700" s="344" t="s">
        <v>2059</v>
      </c>
    </row>
    <row r="5701" spans="1:8">
      <c r="A5701" s="1"/>
      <c r="B5701" s="1"/>
      <c r="C5701" s="1"/>
      <c r="D5701" s="1"/>
      <c r="E5701" s="357">
        <v>45891</v>
      </c>
      <c r="F5701" s="344" t="s">
        <v>621</v>
      </c>
      <c r="G5701" s="358">
        <v>50.359400000000001</v>
      </c>
      <c r="H5701" s="344" t="s">
        <v>2060</v>
      </c>
    </row>
    <row r="5702" spans="1:8">
      <c r="A5702" s="1"/>
      <c r="B5702" s="1"/>
      <c r="C5702" s="1"/>
      <c r="D5702" s="1"/>
      <c r="E5702" s="357">
        <v>45891</v>
      </c>
      <c r="F5702" s="344" t="s">
        <v>625</v>
      </c>
      <c r="G5702" s="358">
        <v>47.372900000000001</v>
      </c>
      <c r="H5702" s="344" t="s">
        <v>2060</v>
      </c>
    </row>
    <row r="5703" spans="1:8">
      <c r="A5703" s="1"/>
      <c r="B5703" s="1"/>
      <c r="C5703" s="1"/>
      <c r="D5703" s="1"/>
      <c r="E5703" s="357">
        <v>45891</v>
      </c>
      <c r="F5703" s="344" t="s">
        <v>628</v>
      </c>
      <c r="G5703" s="358">
        <v>54.687899999999999</v>
      </c>
      <c r="H5703" s="344" t="s">
        <v>2060</v>
      </c>
    </row>
    <row r="5704" spans="1:8">
      <c r="A5704" s="1"/>
      <c r="B5704" s="1"/>
      <c r="C5704" s="1"/>
      <c r="D5704" s="1"/>
      <c r="E5704" s="357">
        <v>45891</v>
      </c>
      <c r="F5704" s="344" t="s">
        <v>631</v>
      </c>
      <c r="G5704" s="358">
        <v>40.850700000000003</v>
      </c>
      <c r="H5704" s="344" t="s">
        <v>2060</v>
      </c>
    </row>
    <row r="5705" spans="1:8">
      <c r="A5705" s="1"/>
      <c r="B5705" s="1"/>
      <c r="C5705" s="1"/>
      <c r="D5705" s="1"/>
      <c r="E5705" s="357">
        <v>45894</v>
      </c>
      <c r="F5705" s="344" t="s">
        <v>621</v>
      </c>
      <c r="G5705" s="358">
        <v>50.886000000000003</v>
      </c>
      <c r="H5705" s="344" t="s">
        <v>2061</v>
      </c>
    </row>
    <row r="5706" spans="1:8">
      <c r="A5706" s="1"/>
      <c r="B5706" s="1"/>
      <c r="C5706" s="1"/>
      <c r="D5706" s="1"/>
      <c r="E5706" s="357">
        <v>45894</v>
      </c>
      <c r="F5706" s="344" t="s">
        <v>625</v>
      </c>
      <c r="G5706" s="358">
        <v>47.877299999999998</v>
      </c>
      <c r="H5706" s="344" t="s">
        <v>2061</v>
      </c>
    </row>
    <row r="5707" spans="1:8">
      <c r="A5707" s="1"/>
      <c r="B5707" s="1"/>
      <c r="C5707" s="1"/>
      <c r="D5707" s="1"/>
      <c r="E5707" s="357">
        <v>45894</v>
      </c>
      <c r="F5707" s="344" t="s">
        <v>628</v>
      </c>
      <c r="G5707" s="358">
        <v>55.171100000000003</v>
      </c>
      <c r="H5707" s="344" t="s">
        <v>2061</v>
      </c>
    </row>
    <row r="5708" spans="1:8">
      <c r="A5708" s="1"/>
      <c r="B5708" s="1"/>
      <c r="C5708" s="1"/>
      <c r="D5708" s="1"/>
      <c r="E5708" s="357">
        <v>45894</v>
      </c>
      <c r="F5708" s="344" t="s">
        <v>631</v>
      </c>
      <c r="G5708" s="358">
        <v>40.920499999999997</v>
      </c>
      <c r="H5708" s="344" t="s">
        <v>2061</v>
      </c>
    </row>
    <row r="5709" spans="1:8">
      <c r="A5709" s="1"/>
      <c r="B5709" s="1"/>
      <c r="C5709" s="1"/>
      <c r="D5709" s="1"/>
      <c r="E5709" s="357">
        <v>45895</v>
      </c>
      <c r="F5709" s="344" t="s">
        <v>621</v>
      </c>
      <c r="G5709" s="358">
        <v>50.682899999999997</v>
      </c>
      <c r="H5709" s="344" t="s">
        <v>2062</v>
      </c>
    </row>
    <row r="5710" spans="1:8">
      <c r="A5710" s="1"/>
      <c r="B5710" s="1"/>
      <c r="C5710" s="1"/>
      <c r="D5710" s="1"/>
      <c r="E5710" s="357">
        <v>45895</v>
      </c>
      <c r="F5710" s="344" t="s">
        <v>625</v>
      </c>
      <c r="G5710" s="358">
        <v>47.631799999999998</v>
      </c>
      <c r="H5710" s="344" t="s">
        <v>2062</v>
      </c>
    </row>
    <row r="5711" spans="1:8">
      <c r="A5711" s="1"/>
      <c r="B5711" s="1"/>
      <c r="C5711" s="1"/>
      <c r="D5711" s="1"/>
      <c r="E5711" s="357">
        <v>45895</v>
      </c>
      <c r="F5711" s="344" t="s">
        <v>628</v>
      </c>
      <c r="G5711" s="358">
        <v>55.058100000000003</v>
      </c>
      <c r="H5711" s="344" t="s">
        <v>2062</v>
      </c>
    </row>
    <row r="5712" spans="1:8">
      <c r="A5712" s="1"/>
      <c r="B5712" s="1"/>
      <c r="C5712" s="1"/>
      <c r="D5712" s="1"/>
      <c r="E5712" s="357">
        <v>45895</v>
      </c>
      <c r="F5712" s="344" t="s">
        <v>631</v>
      </c>
      <c r="G5712" s="358">
        <v>40.941299999999998</v>
      </c>
      <c r="H5712" s="344" t="s">
        <v>2062</v>
      </c>
    </row>
    <row r="5713" spans="1:8">
      <c r="A5713" s="1"/>
      <c r="B5713" s="1"/>
      <c r="C5713" s="1"/>
      <c r="D5713" s="1"/>
      <c r="E5713" s="357">
        <v>45896</v>
      </c>
      <c r="F5713" s="344" t="s">
        <v>621</v>
      </c>
      <c r="G5713" s="358">
        <v>50.6798</v>
      </c>
      <c r="H5713" s="344" t="s">
        <v>2063</v>
      </c>
    </row>
    <row r="5714" spans="1:8">
      <c r="A5714" s="1"/>
      <c r="B5714" s="1"/>
      <c r="C5714" s="1"/>
      <c r="D5714" s="1"/>
      <c r="E5714" s="357">
        <v>45896</v>
      </c>
      <c r="F5714" s="344" t="s">
        <v>625</v>
      </c>
      <c r="G5714" s="358">
        <v>47.496499999999997</v>
      </c>
      <c r="H5714" s="344" t="s">
        <v>2063</v>
      </c>
    </row>
    <row r="5715" spans="1:8">
      <c r="A5715" s="1"/>
      <c r="B5715" s="1"/>
      <c r="C5715" s="1"/>
      <c r="D5715" s="1"/>
      <c r="E5715" s="357">
        <v>45896</v>
      </c>
      <c r="F5715" s="344" t="s">
        <v>628</v>
      </c>
      <c r="G5715" s="358">
        <v>54.973100000000002</v>
      </c>
      <c r="H5715" s="344" t="s">
        <v>2063</v>
      </c>
    </row>
    <row r="5716" spans="1:8">
      <c r="A5716" s="1"/>
      <c r="B5716" s="1"/>
      <c r="C5716" s="1"/>
      <c r="D5716" s="1"/>
      <c r="E5716" s="357">
        <v>45896</v>
      </c>
      <c r="F5716" s="344" t="s">
        <v>631</v>
      </c>
      <c r="G5716" s="358">
        <v>40.962899999999998</v>
      </c>
      <c r="H5716" s="344" t="s">
        <v>2063</v>
      </c>
    </row>
    <row r="5717" spans="1:8">
      <c r="A5717" s="1"/>
      <c r="B5717" s="1"/>
      <c r="C5717" s="1"/>
      <c r="D5717" s="1"/>
      <c r="E5717" s="357">
        <v>45897</v>
      </c>
      <c r="F5717" s="344" t="s">
        <v>621</v>
      </c>
      <c r="G5717" s="358">
        <v>51.036799999999999</v>
      </c>
      <c r="H5717" s="344" t="s">
        <v>2064</v>
      </c>
    </row>
    <row r="5718" spans="1:8">
      <c r="A5718" s="1"/>
      <c r="B5718" s="1"/>
      <c r="C5718" s="1"/>
      <c r="D5718" s="1"/>
      <c r="E5718" s="357">
        <v>45897</v>
      </c>
      <c r="F5718" s="344" t="s">
        <v>625</v>
      </c>
      <c r="G5718" s="358">
        <v>47.744399999999999</v>
      </c>
      <c r="H5718" s="344" t="s">
        <v>2064</v>
      </c>
    </row>
    <row r="5719" spans="1:8">
      <c r="A5719" s="1"/>
      <c r="B5719" s="1"/>
      <c r="C5719" s="1"/>
      <c r="D5719" s="1"/>
      <c r="E5719" s="357">
        <v>45897</v>
      </c>
      <c r="F5719" s="344" t="s">
        <v>628</v>
      </c>
      <c r="G5719" s="358">
        <v>55.247799999999998</v>
      </c>
      <c r="H5719" s="344" t="s">
        <v>2064</v>
      </c>
    </row>
    <row r="5720" spans="1:8">
      <c r="A5720" s="1"/>
      <c r="B5720" s="1"/>
      <c r="C5720" s="1"/>
      <c r="D5720" s="1"/>
      <c r="E5720" s="357">
        <v>45897</v>
      </c>
      <c r="F5720" s="344" t="s">
        <v>631</v>
      </c>
      <c r="G5720" s="358">
        <v>40.973500000000001</v>
      </c>
      <c r="H5720" s="344" t="s">
        <v>2064</v>
      </c>
    </row>
    <row r="5721" spans="1:8">
      <c r="A5721" s="1"/>
      <c r="B5721" s="1"/>
      <c r="C5721" s="1"/>
      <c r="D5721" s="1"/>
      <c r="E5721" s="357">
        <v>45898</v>
      </c>
      <c r="F5721" s="344" t="s">
        <v>621</v>
      </c>
      <c r="G5721" s="358">
        <v>50.958199999999998</v>
      </c>
      <c r="H5721" s="344" t="s">
        <v>2065</v>
      </c>
    </row>
    <row r="5722" spans="1:8">
      <c r="A5722" s="1"/>
      <c r="B5722" s="1"/>
      <c r="C5722" s="1"/>
      <c r="D5722" s="1"/>
      <c r="E5722" s="357">
        <v>45898</v>
      </c>
      <c r="F5722" s="344" t="s">
        <v>625</v>
      </c>
      <c r="G5722" s="358">
        <v>47.784100000000002</v>
      </c>
      <c r="H5722" s="344" t="s">
        <v>2065</v>
      </c>
    </row>
    <row r="5723" spans="1:8">
      <c r="A5723" s="1"/>
      <c r="B5723" s="1"/>
      <c r="C5723" s="1"/>
      <c r="D5723" s="1"/>
      <c r="E5723" s="357">
        <v>45898</v>
      </c>
      <c r="F5723" s="344" t="s">
        <v>628</v>
      </c>
      <c r="G5723" s="358">
        <v>55.068100000000001</v>
      </c>
      <c r="H5723" s="344" t="s">
        <v>2065</v>
      </c>
    </row>
    <row r="5724" spans="1:8">
      <c r="A5724" s="1"/>
      <c r="B5724" s="1"/>
      <c r="C5724" s="1"/>
      <c r="D5724" s="1"/>
      <c r="E5724" s="357">
        <v>45898</v>
      </c>
      <c r="F5724" s="344" t="s">
        <v>631</v>
      </c>
      <c r="G5724" s="358">
        <v>40.944099999999999</v>
      </c>
      <c r="H5724" s="344" t="s">
        <v>2065</v>
      </c>
    </row>
    <row r="5725" spans="1:8">
      <c r="A5725" s="1"/>
      <c r="B5725" s="1"/>
      <c r="C5725" s="1"/>
      <c r="D5725" s="1"/>
      <c r="E5725" s="357">
        <v>45901</v>
      </c>
      <c r="F5725" s="344" t="s">
        <v>621</v>
      </c>
      <c r="G5725" s="358">
        <v>51.219799999999999</v>
      </c>
      <c r="H5725" s="344" t="s">
        <v>2066</v>
      </c>
    </row>
    <row r="5726" spans="1:8">
      <c r="A5726" s="1"/>
      <c r="B5726" s="1"/>
      <c r="C5726" s="1"/>
      <c r="D5726" s="1"/>
      <c r="E5726" s="357">
        <v>45901</v>
      </c>
      <c r="F5726" s="344" t="s">
        <v>625</v>
      </c>
      <c r="G5726" s="358">
        <v>48.110100000000003</v>
      </c>
      <c r="H5726" s="344" t="s">
        <v>2066</v>
      </c>
    </row>
    <row r="5727" spans="1:8">
      <c r="A5727" s="1"/>
      <c r="B5727" s="1"/>
      <c r="C5727" s="1"/>
      <c r="D5727" s="1"/>
      <c r="E5727" s="357">
        <v>45901</v>
      </c>
      <c r="F5727" s="344" t="s">
        <v>628</v>
      </c>
      <c r="G5727" s="358">
        <v>55.427</v>
      </c>
      <c r="H5727" s="344" t="s">
        <v>2066</v>
      </c>
    </row>
    <row r="5728" spans="1:8">
      <c r="A5728" s="1"/>
      <c r="B5728" s="1"/>
      <c r="C5728" s="1"/>
      <c r="D5728" s="1"/>
      <c r="E5728" s="357">
        <v>45901</v>
      </c>
      <c r="F5728" s="344" t="s">
        <v>631</v>
      </c>
      <c r="G5728" s="358">
        <v>41.0379</v>
      </c>
      <c r="H5728" s="344" t="s">
        <v>2066</v>
      </c>
    </row>
    <row r="5729" spans="1:8">
      <c r="A5729" s="1"/>
      <c r="B5729" s="1"/>
      <c r="C5729" s="1"/>
      <c r="D5729" s="1"/>
      <c r="E5729" s="357">
        <v>45902</v>
      </c>
      <c r="F5729" s="344" t="s">
        <v>621</v>
      </c>
      <c r="G5729" s="358">
        <v>50.981400000000001</v>
      </c>
      <c r="H5729" s="344" t="s">
        <v>2067</v>
      </c>
    </row>
    <row r="5730" spans="1:8">
      <c r="A5730" s="1"/>
      <c r="B5730" s="1"/>
      <c r="C5730" s="1"/>
      <c r="D5730" s="1"/>
      <c r="E5730" s="357">
        <v>45902</v>
      </c>
      <c r="F5730" s="344" t="s">
        <v>625</v>
      </c>
      <c r="G5730" s="358">
        <v>47.860300000000002</v>
      </c>
      <c r="H5730" s="344" t="s">
        <v>2067</v>
      </c>
    </row>
    <row r="5731" spans="1:8">
      <c r="A5731" s="1"/>
      <c r="B5731" s="1"/>
      <c r="C5731" s="1"/>
      <c r="D5731" s="1"/>
      <c r="E5731" s="357">
        <v>45902</v>
      </c>
      <c r="F5731" s="344" t="s">
        <v>628</v>
      </c>
      <c r="G5731" s="358">
        <v>55.0244</v>
      </c>
      <c r="H5731" s="344" t="s">
        <v>2067</v>
      </c>
    </row>
    <row r="5732" spans="1:8">
      <c r="A5732" s="1"/>
      <c r="B5732" s="1"/>
      <c r="C5732" s="1"/>
      <c r="D5732" s="1"/>
      <c r="E5732" s="357">
        <v>45902</v>
      </c>
      <c r="F5732" s="344" t="s">
        <v>631</v>
      </c>
      <c r="G5732" s="358">
        <v>41.076799999999999</v>
      </c>
      <c r="H5732" s="344" t="s">
        <v>2067</v>
      </c>
    </row>
    <row r="5733" spans="1:8">
      <c r="A5733" s="1"/>
      <c r="B5733" s="1"/>
      <c r="C5733" s="1"/>
      <c r="D5733" s="1"/>
      <c r="E5733" s="357">
        <v>45903</v>
      </c>
      <c r="F5733" s="344" t="s">
        <v>621</v>
      </c>
      <c r="G5733" s="358">
        <v>50.950400000000002</v>
      </c>
      <c r="H5733" s="344" t="s">
        <v>2068</v>
      </c>
    </row>
    <row r="5734" spans="1:8">
      <c r="A5734" s="1"/>
      <c r="B5734" s="1"/>
      <c r="C5734" s="1"/>
      <c r="D5734" s="1"/>
      <c r="E5734" s="357">
        <v>45903</v>
      </c>
      <c r="F5734" s="344" t="s">
        <v>625</v>
      </c>
      <c r="G5734" s="358">
        <v>47.848700000000001</v>
      </c>
      <c r="H5734" s="344" t="s">
        <v>2068</v>
      </c>
    </row>
    <row r="5735" spans="1:8">
      <c r="A5735" s="1"/>
      <c r="B5735" s="1"/>
      <c r="C5735" s="1"/>
      <c r="D5735" s="1"/>
      <c r="E5735" s="357">
        <v>45903</v>
      </c>
      <c r="F5735" s="344" t="s">
        <v>628</v>
      </c>
      <c r="G5735" s="358">
        <v>54.9405</v>
      </c>
      <c r="H5735" s="344" t="s">
        <v>2068</v>
      </c>
    </row>
    <row r="5736" spans="1:8">
      <c r="A5736" s="1"/>
      <c r="B5736" s="1"/>
      <c r="C5736" s="1"/>
      <c r="D5736" s="1"/>
      <c r="E5736" s="357">
        <v>45903</v>
      </c>
      <c r="F5736" s="344" t="s">
        <v>631</v>
      </c>
      <c r="G5736" s="358">
        <v>41.085099999999997</v>
      </c>
      <c r="H5736" s="344" t="s">
        <v>2068</v>
      </c>
    </row>
    <row r="5737" spans="1:8">
      <c r="A5737" s="1"/>
      <c r="B5737" s="1"/>
      <c r="C5737" s="1"/>
      <c r="D5737" s="1"/>
      <c r="E5737" s="357">
        <v>45904</v>
      </c>
      <c r="F5737" s="344" t="s">
        <v>621</v>
      </c>
      <c r="G5737" s="358">
        <v>50.926400000000001</v>
      </c>
      <c r="H5737" s="344" t="s">
        <v>2069</v>
      </c>
    </row>
    <row r="5738" spans="1:8">
      <c r="A5738" s="1"/>
      <c r="B5738" s="1"/>
      <c r="C5738" s="1"/>
      <c r="D5738" s="1"/>
      <c r="E5738" s="357">
        <v>45904</v>
      </c>
      <c r="F5738" s="344" t="s">
        <v>625</v>
      </c>
      <c r="G5738" s="358">
        <v>47.870399999999997</v>
      </c>
      <c r="H5738" s="344" t="s">
        <v>2069</v>
      </c>
    </row>
    <row r="5739" spans="1:8">
      <c r="A5739" s="1"/>
      <c r="B5739" s="1"/>
      <c r="C5739" s="1"/>
      <c r="D5739" s="1"/>
      <c r="E5739" s="357">
        <v>45904</v>
      </c>
      <c r="F5739" s="344" t="s">
        <v>628</v>
      </c>
      <c r="G5739" s="358">
        <v>55.131</v>
      </c>
      <c r="H5739" s="344" t="s">
        <v>2069</v>
      </c>
    </row>
    <row r="5740" spans="1:8">
      <c r="A5740" s="1"/>
      <c r="B5740" s="1"/>
      <c r="C5740" s="1"/>
      <c r="D5740" s="1"/>
      <c r="E5740" s="357">
        <v>45904</v>
      </c>
      <c r="F5740" s="344" t="s">
        <v>631</v>
      </c>
      <c r="G5740" s="358">
        <v>41.090800000000002</v>
      </c>
      <c r="H5740" s="344" t="s">
        <v>2069</v>
      </c>
    </row>
    <row r="5741" spans="1:8">
      <c r="A5741" s="1"/>
      <c r="B5741" s="1"/>
      <c r="C5741" s="1"/>
      <c r="D5741" s="1"/>
      <c r="E5741" s="357">
        <v>45905</v>
      </c>
      <c r="F5741" s="344" t="s">
        <v>621</v>
      </c>
      <c r="G5741" s="358">
        <v>51.030299999999997</v>
      </c>
      <c r="H5741" s="344" t="s">
        <v>2070</v>
      </c>
    </row>
    <row r="5742" spans="1:8">
      <c r="A5742" s="1"/>
      <c r="B5742" s="1"/>
      <c r="C5742" s="1"/>
      <c r="D5742" s="1"/>
      <c r="E5742" s="357">
        <v>45905</v>
      </c>
      <c r="F5742" s="344" t="s">
        <v>625</v>
      </c>
      <c r="G5742" s="358">
        <v>48.013300000000001</v>
      </c>
      <c r="H5742" s="344" t="s">
        <v>2070</v>
      </c>
    </row>
    <row r="5743" spans="1:8">
      <c r="A5743" s="1"/>
      <c r="B5743" s="1"/>
      <c r="C5743" s="1"/>
      <c r="D5743" s="1"/>
      <c r="E5743" s="357">
        <v>45905</v>
      </c>
      <c r="F5743" s="344" t="s">
        <v>628</v>
      </c>
      <c r="G5743" s="358">
        <v>55.258000000000003</v>
      </c>
      <c r="H5743" s="344" t="s">
        <v>2070</v>
      </c>
    </row>
    <row r="5744" spans="1:8">
      <c r="A5744" s="1"/>
      <c r="B5744" s="1"/>
      <c r="C5744" s="1"/>
      <c r="D5744" s="1"/>
      <c r="E5744" s="357">
        <v>45905</v>
      </c>
      <c r="F5744" s="344" t="s">
        <v>631</v>
      </c>
      <c r="G5744" s="358">
        <v>41.097000000000001</v>
      </c>
      <c r="H5744" s="344" t="s">
        <v>2070</v>
      </c>
    </row>
    <row r="5745" spans="1:8">
      <c r="A5745" s="1"/>
      <c r="B5745" s="1"/>
      <c r="C5745" s="1"/>
      <c r="D5745" s="1"/>
      <c r="E5745" s="357">
        <v>45908</v>
      </c>
      <c r="F5745" s="344" t="s">
        <v>621</v>
      </c>
      <c r="G5745" s="358">
        <v>51.620399999999997</v>
      </c>
      <c r="H5745" s="344" t="s">
        <v>2071</v>
      </c>
    </row>
    <row r="5746" spans="1:8">
      <c r="A5746" s="1"/>
      <c r="B5746" s="1"/>
      <c r="C5746" s="1"/>
      <c r="D5746" s="1"/>
      <c r="E5746" s="357">
        <v>45908</v>
      </c>
      <c r="F5746" s="344" t="s">
        <v>625</v>
      </c>
      <c r="G5746" s="358">
        <v>48.299500000000002</v>
      </c>
      <c r="H5746" s="344" t="s">
        <v>2071</v>
      </c>
    </row>
    <row r="5747" spans="1:8">
      <c r="A5747" s="1"/>
      <c r="B5747" s="1"/>
      <c r="C5747" s="1"/>
      <c r="D5747" s="1"/>
      <c r="E5747" s="357">
        <v>45908</v>
      </c>
      <c r="F5747" s="344" t="s">
        <v>628</v>
      </c>
      <c r="G5747" s="358">
        <v>55.580100000000002</v>
      </c>
      <c r="H5747" s="344" t="s">
        <v>2071</v>
      </c>
    </row>
    <row r="5748" spans="1:8">
      <c r="A5748" s="1"/>
      <c r="B5748" s="1"/>
      <c r="C5748" s="1"/>
      <c r="D5748" s="1"/>
      <c r="E5748" s="357">
        <v>45908</v>
      </c>
      <c r="F5748" s="344" t="s">
        <v>631</v>
      </c>
      <c r="G5748" s="358">
        <v>41.181600000000003</v>
      </c>
      <c r="H5748" s="344" t="s">
        <v>2071</v>
      </c>
    </row>
    <row r="5749" spans="1:8">
      <c r="A5749" s="1"/>
      <c r="B5749" s="1"/>
      <c r="C5749" s="1"/>
      <c r="D5749" s="1"/>
      <c r="E5749" s="357">
        <v>45909</v>
      </c>
      <c r="F5749" s="344" t="s">
        <v>621</v>
      </c>
      <c r="G5749" s="358">
        <v>51.808100000000003</v>
      </c>
      <c r="H5749" s="344" t="s">
        <v>2072</v>
      </c>
    </row>
    <row r="5750" spans="1:8">
      <c r="A5750" s="1"/>
      <c r="B5750" s="1"/>
      <c r="C5750" s="1"/>
      <c r="D5750" s="1"/>
      <c r="E5750" s="357">
        <v>45909</v>
      </c>
      <c r="F5750" s="344" t="s">
        <v>625</v>
      </c>
      <c r="G5750" s="358">
        <v>48.428100000000001</v>
      </c>
      <c r="H5750" s="344" t="s">
        <v>2072</v>
      </c>
    </row>
    <row r="5751" spans="1:8">
      <c r="A5751" s="1"/>
      <c r="B5751" s="1"/>
      <c r="C5751" s="1"/>
      <c r="D5751" s="1"/>
      <c r="E5751" s="357">
        <v>45909</v>
      </c>
      <c r="F5751" s="344" t="s">
        <v>628</v>
      </c>
      <c r="G5751" s="358">
        <v>55.806899999999999</v>
      </c>
      <c r="H5751" s="344" t="s">
        <v>2072</v>
      </c>
    </row>
    <row r="5752" spans="1:8">
      <c r="A5752" s="1"/>
      <c r="B5752" s="1"/>
      <c r="C5752" s="1"/>
      <c r="D5752" s="1"/>
      <c r="E5752" s="357">
        <v>45909</v>
      </c>
      <c r="F5752" s="344" t="s">
        <v>631</v>
      </c>
      <c r="G5752" s="358">
        <v>41.192</v>
      </c>
      <c r="H5752" s="344" t="s">
        <v>2072</v>
      </c>
    </row>
    <row r="5753" spans="1:8">
      <c r="A5753" s="1"/>
      <c r="B5753" s="1"/>
      <c r="C5753" s="1"/>
      <c r="D5753" s="1"/>
      <c r="E5753" s="357">
        <v>45910</v>
      </c>
      <c r="F5753" s="344" t="s">
        <v>621</v>
      </c>
      <c r="G5753" s="358">
        <v>51.541499999999999</v>
      </c>
      <c r="H5753" s="344" t="s">
        <v>2073</v>
      </c>
    </row>
    <row r="5754" spans="1:8">
      <c r="A5754" s="1"/>
      <c r="B5754" s="1"/>
      <c r="C5754" s="1"/>
      <c r="D5754" s="1"/>
      <c r="E5754" s="357">
        <v>45910</v>
      </c>
      <c r="F5754" s="344" t="s">
        <v>625</v>
      </c>
      <c r="G5754" s="358">
        <v>48.216500000000003</v>
      </c>
      <c r="H5754" s="344" t="s">
        <v>2073</v>
      </c>
    </row>
    <row r="5755" spans="1:8">
      <c r="A5755" s="1"/>
      <c r="B5755" s="1"/>
      <c r="C5755" s="1"/>
      <c r="D5755" s="1"/>
      <c r="E5755" s="357">
        <v>45910</v>
      </c>
      <c r="F5755" s="344" t="s">
        <v>628</v>
      </c>
      <c r="G5755" s="358">
        <v>55.665300000000002</v>
      </c>
      <c r="H5755" s="344" t="s">
        <v>2073</v>
      </c>
    </row>
    <row r="5756" spans="1:8">
      <c r="A5756" s="1"/>
      <c r="B5756" s="1"/>
      <c r="C5756" s="1"/>
      <c r="D5756" s="1"/>
      <c r="E5756" s="357">
        <v>45910</v>
      </c>
      <c r="F5756" s="344" t="s">
        <v>631</v>
      </c>
      <c r="G5756" s="358">
        <v>41.201300000000003</v>
      </c>
      <c r="H5756" s="344" t="s">
        <v>2073</v>
      </c>
    </row>
    <row r="5757" spans="1:8">
      <c r="A5757" s="1"/>
      <c r="B5757" s="1"/>
      <c r="C5757" s="1"/>
      <c r="D5757" s="1"/>
      <c r="E5757" s="357">
        <v>45911</v>
      </c>
      <c r="F5757" s="344" t="s">
        <v>621</v>
      </c>
      <c r="G5757" s="358">
        <v>51.427199999999999</v>
      </c>
      <c r="H5757" s="344" t="s">
        <v>2074</v>
      </c>
    </row>
    <row r="5758" spans="1:8">
      <c r="A5758" s="1"/>
      <c r="B5758" s="1"/>
      <c r="C5758" s="1"/>
      <c r="D5758" s="1"/>
      <c r="E5758" s="357">
        <v>45911</v>
      </c>
      <c r="F5758" s="344" t="s">
        <v>625</v>
      </c>
      <c r="G5758" s="358">
        <v>48.167200000000001</v>
      </c>
      <c r="H5758" s="344" t="s">
        <v>2074</v>
      </c>
    </row>
    <row r="5759" spans="1:8">
      <c r="A5759" s="1"/>
      <c r="B5759" s="1"/>
      <c r="C5759" s="1"/>
      <c r="D5759" s="1"/>
      <c r="E5759" s="357">
        <v>45911</v>
      </c>
      <c r="F5759" s="344" t="s">
        <v>628</v>
      </c>
      <c r="G5759" s="358">
        <v>55.591099999999997</v>
      </c>
      <c r="H5759" s="344" t="s">
        <v>2074</v>
      </c>
    </row>
    <row r="5760" spans="1:8">
      <c r="A5760" s="1"/>
      <c r="B5760" s="1"/>
      <c r="C5760" s="1"/>
      <c r="D5760" s="1"/>
      <c r="E5760" s="357">
        <v>45911</v>
      </c>
      <c r="F5760" s="344" t="s">
        <v>631</v>
      </c>
      <c r="G5760" s="358">
        <v>41.211399999999998</v>
      </c>
      <c r="H5760" s="344" t="s">
        <v>2074</v>
      </c>
    </row>
    <row r="5761" spans="1:8">
      <c r="A5761" s="1"/>
      <c r="B5761" s="1"/>
      <c r="C5761" s="1"/>
      <c r="D5761" s="1"/>
      <c r="E5761" s="357">
        <v>45912</v>
      </c>
      <c r="F5761" s="344" t="s">
        <v>621</v>
      </c>
      <c r="G5761" s="358">
        <v>51.5991</v>
      </c>
      <c r="H5761" s="344" t="s">
        <v>2075</v>
      </c>
    </row>
    <row r="5762" spans="1:8">
      <c r="A5762" s="1"/>
      <c r="B5762" s="1"/>
      <c r="C5762" s="1"/>
      <c r="D5762" s="1"/>
      <c r="E5762" s="357">
        <v>45912</v>
      </c>
      <c r="F5762" s="344" t="s">
        <v>625</v>
      </c>
      <c r="G5762" s="358">
        <v>48.335099999999997</v>
      </c>
      <c r="H5762" s="344" t="s">
        <v>2075</v>
      </c>
    </row>
    <row r="5763" spans="1:8">
      <c r="A5763" s="1"/>
      <c r="B5763" s="1"/>
      <c r="C5763" s="1"/>
      <c r="D5763" s="1"/>
      <c r="E5763" s="357">
        <v>45912</v>
      </c>
      <c r="F5763" s="344" t="s">
        <v>628</v>
      </c>
      <c r="G5763" s="358">
        <v>55.749099999999999</v>
      </c>
      <c r="H5763" s="344" t="s">
        <v>2075</v>
      </c>
    </row>
    <row r="5764" spans="1:8">
      <c r="A5764" s="1"/>
      <c r="B5764" s="1"/>
      <c r="C5764" s="1"/>
      <c r="D5764" s="1"/>
      <c r="E5764" s="357">
        <v>45912</v>
      </c>
      <c r="F5764" s="344" t="s">
        <v>631</v>
      </c>
      <c r="G5764" s="358">
        <v>41.209000000000003</v>
      </c>
      <c r="H5764" s="344" t="s">
        <v>2075</v>
      </c>
    </row>
    <row r="5765" spans="1:8">
      <c r="A5765" s="1"/>
      <c r="B5765" s="1"/>
      <c r="C5765" s="1"/>
      <c r="D5765" s="1"/>
      <c r="E5765" s="357">
        <v>45915</v>
      </c>
      <c r="F5765" s="344" t="s">
        <v>621</v>
      </c>
      <c r="G5765" s="358">
        <v>51.720500000000001</v>
      </c>
      <c r="H5765" s="344" t="s">
        <v>2076</v>
      </c>
    </row>
    <row r="5766" spans="1:8">
      <c r="A5766" s="1"/>
      <c r="B5766" s="1"/>
      <c r="C5766" s="1"/>
      <c r="D5766" s="1"/>
      <c r="E5766" s="357">
        <v>45915</v>
      </c>
      <c r="F5766" s="344" t="s">
        <v>625</v>
      </c>
      <c r="G5766" s="358">
        <v>48.444000000000003</v>
      </c>
      <c r="H5766" s="344" t="s">
        <v>2076</v>
      </c>
    </row>
    <row r="5767" spans="1:8">
      <c r="A5767" s="1"/>
      <c r="B5767" s="1"/>
      <c r="C5767" s="1"/>
      <c r="D5767" s="1"/>
      <c r="E5767" s="357">
        <v>45915</v>
      </c>
      <c r="F5767" s="344" t="s">
        <v>628</v>
      </c>
      <c r="G5767" s="358">
        <v>55.9711</v>
      </c>
      <c r="H5767" s="344" t="s">
        <v>2076</v>
      </c>
    </row>
    <row r="5768" spans="1:8">
      <c r="A5768" s="1"/>
      <c r="B5768" s="1"/>
      <c r="C5768" s="1"/>
      <c r="D5768" s="1"/>
      <c r="E5768" s="357">
        <v>45915</v>
      </c>
      <c r="F5768" s="344" t="s">
        <v>631</v>
      </c>
      <c r="G5768" s="358">
        <v>41.255000000000003</v>
      </c>
      <c r="H5768" s="344" t="s">
        <v>2076</v>
      </c>
    </row>
    <row r="5769" spans="1:8">
      <c r="A5769" s="1"/>
      <c r="B5769" s="1"/>
      <c r="C5769" s="1"/>
      <c r="D5769" s="1"/>
      <c r="E5769" s="357">
        <v>45916</v>
      </c>
      <c r="F5769" s="344" t="s">
        <v>621</v>
      </c>
      <c r="G5769" s="358">
        <v>51.9649</v>
      </c>
      <c r="H5769" s="344" t="s">
        <v>2077</v>
      </c>
    </row>
    <row r="5770" spans="1:8">
      <c r="A5770" s="1"/>
      <c r="B5770" s="1"/>
      <c r="C5770" s="1"/>
      <c r="D5770" s="1"/>
      <c r="E5770" s="357">
        <v>45916</v>
      </c>
      <c r="F5770" s="344" t="s">
        <v>625</v>
      </c>
      <c r="G5770" s="358">
        <v>48.661499999999997</v>
      </c>
      <c r="H5770" s="344" t="s">
        <v>2077</v>
      </c>
    </row>
    <row r="5771" spans="1:8">
      <c r="A5771" s="1"/>
      <c r="B5771" s="1"/>
      <c r="C5771" s="1"/>
      <c r="D5771" s="1"/>
      <c r="E5771" s="357">
        <v>45916</v>
      </c>
      <c r="F5771" s="344" t="s">
        <v>628</v>
      </c>
      <c r="G5771" s="358">
        <v>56.111199999999997</v>
      </c>
      <c r="H5771" s="344" t="s">
        <v>2077</v>
      </c>
    </row>
    <row r="5772" spans="1:8">
      <c r="A5772" s="1"/>
      <c r="B5772" s="1"/>
      <c r="C5772" s="1"/>
      <c r="D5772" s="1"/>
      <c r="E5772" s="357">
        <v>45916</v>
      </c>
      <c r="F5772" s="344" t="s">
        <v>631</v>
      </c>
      <c r="G5772" s="358">
        <v>41.229500000000002</v>
      </c>
      <c r="H5772" s="344" t="s">
        <v>2077</v>
      </c>
    </row>
    <row r="5773" spans="1:8">
      <c r="A5773" s="1"/>
      <c r="B5773" s="1"/>
      <c r="C5773" s="1"/>
      <c r="D5773" s="1"/>
      <c r="E5773" s="357">
        <v>45917</v>
      </c>
      <c r="F5773" s="344" t="s">
        <v>621</v>
      </c>
      <c r="G5773" s="358">
        <v>52.253399999999999</v>
      </c>
      <c r="H5773" s="344" t="s">
        <v>2078</v>
      </c>
    </row>
    <row r="5774" spans="1:8">
      <c r="A5774" s="1"/>
      <c r="B5774" s="1"/>
      <c r="C5774" s="1"/>
      <c r="D5774" s="1"/>
      <c r="E5774" s="357">
        <v>45917</v>
      </c>
      <c r="F5774" s="344" t="s">
        <v>625</v>
      </c>
      <c r="G5774" s="358">
        <v>48.818100000000001</v>
      </c>
      <c r="H5774" s="344" t="s">
        <v>2078</v>
      </c>
    </row>
    <row r="5775" spans="1:8">
      <c r="A5775" s="1"/>
      <c r="B5775" s="1"/>
      <c r="C5775" s="1"/>
      <c r="D5775" s="1"/>
      <c r="E5775" s="357">
        <v>45917</v>
      </c>
      <c r="F5775" s="344" t="s">
        <v>628</v>
      </c>
      <c r="G5775" s="358">
        <v>56.1327</v>
      </c>
      <c r="H5775" s="344" t="s">
        <v>2078</v>
      </c>
    </row>
    <row r="5776" spans="1:8">
      <c r="A5776" s="1"/>
      <c r="B5776" s="1"/>
      <c r="C5776" s="1"/>
      <c r="D5776" s="1"/>
      <c r="E5776" s="357">
        <v>45917</v>
      </c>
      <c r="F5776" s="344" t="s">
        <v>631</v>
      </c>
      <c r="G5776" s="358">
        <v>41.216099999999997</v>
      </c>
      <c r="H5776" s="344" t="s">
        <v>2078</v>
      </c>
    </row>
    <row r="5777" spans="1:8">
      <c r="A5777" s="1"/>
      <c r="B5777" s="1"/>
      <c r="C5777" s="1"/>
      <c r="D5777" s="1"/>
      <c r="E5777" s="357">
        <v>45918</v>
      </c>
      <c r="F5777" s="344" t="s">
        <v>621</v>
      </c>
      <c r="G5777" s="358">
        <v>52.149099999999997</v>
      </c>
      <c r="H5777" s="344" t="s">
        <v>2079</v>
      </c>
    </row>
    <row r="5778" spans="1:8">
      <c r="A5778" s="1"/>
      <c r="B5778" s="1"/>
      <c r="C5778" s="1"/>
      <c r="D5778" s="1"/>
      <c r="E5778" s="357">
        <v>45918</v>
      </c>
      <c r="F5778" s="344" t="s">
        <v>625</v>
      </c>
      <c r="G5778" s="358">
        <v>48.770600000000002</v>
      </c>
      <c r="H5778" s="344" t="s">
        <v>2079</v>
      </c>
    </row>
    <row r="5779" spans="1:8">
      <c r="A5779" s="1"/>
      <c r="B5779" s="1"/>
      <c r="C5779" s="1"/>
      <c r="D5779" s="1"/>
      <c r="E5779" s="357">
        <v>45918</v>
      </c>
      <c r="F5779" s="344" t="s">
        <v>628</v>
      </c>
      <c r="G5779" s="358">
        <v>56.119300000000003</v>
      </c>
      <c r="H5779" s="344" t="s">
        <v>2079</v>
      </c>
    </row>
    <row r="5780" spans="1:8">
      <c r="A5780" s="1"/>
      <c r="B5780" s="1"/>
      <c r="C5780" s="1"/>
      <c r="D5780" s="1"/>
      <c r="E5780" s="357">
        <v>45918</v>
      </c>
      <c r="F5780" s="344" t="s">
        <v>631</v>
      </c>
      <c r="G5780" s="358">
        <v>41.241</v>
      </c>
      <c r="H5780" s="344" t="s">
        <v>2079</v>
      </c>
    </row>
    <row r="5781" spans="1:8">
      <c r="A5781" s="1"/>
      <c r="B5781" s="1"/>
      <c r="C5781" s="1"/>
      <c r="D5781" s="1"/>
      <c r="E5781" s="357">
        <v>45919</v>
      </c>
      <c r="F5781" s="344" t="s">
        <v>621</v>
      </c>
      <c r="G5781" s="358">
        <v>51.7483</v>
      </c>
      <c r="H5781" s="344" t="s">
        <v>2080</v>
      </c>
    </row>
    <row r="5782" spans="1:8">
      <c r="A5782" s="1"/>
      <c r="B5782" s="1"/>
      <c r="C5782" s="1"/>
      <c r="D5782" s="1"/>
      <c r="E5782" s="357">
        <v>45919</v>
      </c>
      <c r="F5782" s="344" t="s">
        <v>625</v>
      </c>
      <c r="G5782" s="358">
        <v>48.488900000000001</v>
      </c>
      <c r="H5782" s="344" t="s">
        <v>2080</v>
      </c>
    </row>
    <row r="5783" spans="1:8">
      <c r="A5783" s="1"/>
      <c r="B5783" s="1"/>
      <c r="C5783" s="1"/>
      <c r="D5783" s="1"/>
      <c r="E5783" s="357">
        <v>45919</v>
      </c>
      <c r="F5783" s="344" t="s">
        <v>628</v>
      </c>
      <c r="G5783" s="358">
        <v>55.556600000000003</v>
      </c>
      <c r="H5783" s="344" t="s">
        <v>2080</v>
      </c>
    </row>
    <row r="5784" spans="1:8">
      <c r="A5784" s="1"/>
      <c r="B5784" s="1"/>
      <c r="C5784" s="1"/>
      <c r="D5784" s="1"/>
      <c r="E5784" s="357">
        <v>45919</v>
      </c>
      <c r="F5784" s="344" t="s">
        <v>631</v>
      </c>
      <c r="G5784" s="358">
        <v>41.234400000000001</v>
      </c>
      <c r="H5784" s="344" t="s">
        <v>2080</v>
      </c>
    </row>
    <row r="5785" spans="1:8">
      <c r="A5785" s="1"/>
      <c r="B5785" s="1"/>
      <c r="C5785" s="1"/>
      <c r="D5785" s="1"/>
      <c r="E5785" s="357">
        <v>45922</v>
      </c>
      <c r="F5785" s="344" t="s">
        <v>621</v>
      </c>
      <c r="G5785" s="358">
        <v>51.8568</v>
      </c>
      <c r="H5785" s="344" t="s">
        <v>2081</v>
      </c>
    </row>
    <row r="5786" spans="1:8">
      <c r="A5786" s="1"/>
      <c r="B5786" s="1"/>
      <c r="C5786" s="1"/>
      <c r="D5786" s="1"/>
      <c r="E5786" s="357">
        <v>45922</v>
      </c>
      <c r="F5786" s="344" t="s">
        <v>625</v>
      </c>
      <c r="G5786" s="358">
        <v>48.582000000000001</v>
      </c>
      <c r="H5786" s="344" t="s">
        <v>2081</v>
      </c>
    </row>
    <row r="5787" spans="1:8">
      <c r="A5787" s="1"/>
      <c r="B5787" s="1"/>
      <c r="C5787" s="1"/>
      <c r="D5787" s="1"/>
      <c r="E5787" s="357">
        <v>45922</v>
      </c>
      <c r="F5787" s="344" t="s">
        <v>628</v>
      </c>
      <c r="G5787" s="358">
        <v>55.623899999999999</v>
      </c>
      <c r="H5787" s="344" t="s">
        <v>2081</v>
      </c>
    </row>
    <row r="5788" spans="1:8">
      <c r="A5788" s="1"/>
      <c r="B5788" s="1"/>
      <c r="C5788" s="1"/>
      <c r="D5788" s="1"/>
      <c r="E5788" s="357">
        <v>45922</v>
      </c>
      <c r="F5788" s="344" t="s">
        <v>631</v>
      </c>
      <c r="G5788" s="358">
        <v>41.298299999999998</v>
      </c>
      <c r="H5788" s="344" t="s">
        <v>2081</v>
      </c>
    </row>
    <row r="5789" spans="1:8">
      <c r="A5789" s="1"/>
      <c r="B5789" s="1"/>
      <c r="C5789" s="1"/>
      <c r="D5789" s="1"/>
      <c r="E5789" s="357">
        <v>45923</v>
      </c>
      <c r="F5789" s="344" t="s">
        <v>621</v>
      </c>
      <c r="G5789" s="358">
        <v>52.058799999999998</v>
      </c>
      <c r="H5789" s="344" t="s">
        <v>2082</v>
      </c>
    </row>
    <row r="5790" spans="1:8">
      <c r="A5790" s="1"/>
      <c r="B5790" s="1"/>
      <c r="C5790" s="1"/>
      <c r="D5790" s="1"/>
      <c r="E5790" s="357">
        <v>45923</v>
      </c>
      <c r="F5790" s="344" t="s">
        <v>625</v>
      </c>
      <c r="G5790" s="358">
        <v>48.764400000000002</v>
      </c>
      <c r="H5790" s="344" t="s">
        <v>2082</v>
      </c>
    </row>
    <row r="5791" spans="1:8">
      <c r="A5791" s="1"/>
      <c r="B5791" s="1"/>
      <c r="C5791" s="1"/>
      <c r="D5791" s="1"/>
      <c r="E5791" s="357">
        <v>45923</v>
      </c>
      <c r="F5791" s="344" t="s">
        <v>628</v>
      </c>
      <c r="G5791" s="358">
        <v>55.7605</v>
      </c>
      <c r="H5791" s="344" t="s">
        <v>2082</v>
      </c>
    </row>
    <row r="5792" spans="1:8">
      <c r="A5792" s="1"/>
      <c r="B5792" s="1"/>
      <c r="C5792" s="1"/>
      <c r="D5792" s="1"/>
      <c r="E5792" s="357">
        <v>45923</v>
      </c>
      <c r="F5792" s="344" t="s">
        <v>631</v>
      </c>
      <c r="G5792" s="358">
        <v>41.337499999999999</v>
      </c>
      <c r="H5792" s="344" t="s">
        <v>2082</v>
      </c>
    </row>
    <row r="5793" spans="1:8">
      <c r="A5793" s="1"/>
      <c r="B5793" s="1"/>
      <c r="C5793" s="1"/>
      <c r="D5793" s="1"/>
      <c r="E5793" s="357">
        <v>45924</v>
      </c>
      <c r="F5793" s="344" t="s">
        <v>621</v>
      </c>
      <c r="G5793" s="358">
        <v>51.993099999999998</v>
      </c>
      <c r="H5793" s="344" t="s">
        <v>2083</v>
      </c>
    </row>
    <row r="5794" spans="1:8">
      <c r="A5794" s="1"/>
      <c r="B5794" s="1"/>
      <c r="C5794" s="1"/>
      <c r="D5794" s="1"/>
      <c r="E5794" s="357">
        <v>45924</v>
      </c>
      <c r="F5794" s="344" t="s">
        <v>625</v>
      </c>
      <c r="G5794" s="358">
        <v>48.6935</v>
      </c>
      <c r="H5794" s="344" t="s">
        <v>2083</v>
      </c>
    </row>
    <row r="5795" spans="1:8">
      <c r="A5795" s="1"/>
      <c r="B5795" s="1"/>
      <c r="C5795" s="1"/>
      <c r="D5795" s="1"/>
      <c r="E5795" s="357">
        <v>45924</v>
      </c>
      <c r="F5795" s="344" t="s">
        <v>628</v>
      </c>
      <c r="G5795" s="358">
        <v>55.666400000000003</v>
      </c>
      <c r="H5795" s="344" t="s">
        <v>2083</v>
      </c>
    </row>
    <row r="5796" spans="1:8">
      <c r="A5796" s="1"/>
      <c r="B5796" s="1"/>
      <c r="C5796" s="1"/>
      <c r="D5796" s="1"/>
      <c r="E5796" s="357">
        <v>45924</v>
      </c>
      <c r="F5796" s="344" t="s">
        <v>631</v>
      </c>
      <c r="G5796" s="358">
        <v>41.372599999999998</v>
      </c>
      <c r="H5796" s="344" t="s">
        <v>2083</v>
      </c>
    </row>
    <row r="5797" spans="1:8">
      <c r="A5797" s="1"/>
      <c r="B5797" s="1"/>
      <c r="C5797" s="1"/>
      <c r="D5797" s="1"/>
      <c r="E5797" s="357">
        <v>45925</v>
      </c>
      <c r="F5797" s="344" t="s">
        <v>621</v>
      </c>
      <c r="G5797" s="358">
        <v>51.892099999999999</v>
      </c>
      <c r="H5797" s="344" t="s">
        <v>2084</v>
      </c>
    </row>
    <row r="5798" spans="1:8">
      <c r="A5798" s="1"/>
      <c r="B5798" s="1"/>
      <c r="C5798" s="1"/>
      <c r="D5798" s="1"/>
      <c r="E5798" s="357">
        <v>45925</v>
      </c>
      <c r="F5798" s="344" t="s">
        <v>625</v>
      </c>
      <c r="G5798" s="358">
        <v>48.606999999999999</v>
      </c>
      <c r="H5798" s="344" t="s">
        <v>2084</v>
      </c>
    </row>
    <row r="5799" spans="1:8">
      <c r="A5799" s="1"/>
      <c r="B5799" s="1"/>
      <c r="C5799" s="1"/>
      <c r="D5799" s="1"/>
      <c r="E5799" s="357">
        <v>45925</v>
      </c>
      <c r="F5799" s="344" t="s">
        <v>628</v>
      </c>
      <c r="G5799" s="358">
        <v>55.562899999999999</v>
      </c>
      <c r="H5799" s="344" t="s">
        <v>2084</v>
      </c>
    </row>
    <row r="5800" spans="1:8">
      <c r="A5800" s="1"/>
      <c r="B5800" s="1"/>
      <c r="C5800" s="1"/>
      <c r="D5800" s="1"/>
      <c r="E5800" s="357">
        <v>45925</v>
      </c>
      <c r="F5800" s="344" t="s">
        <v>631</v>
      </c>
      <c r="G5800" s="358">
        <v>41.395000000000003</v>
      </c>
      <c r="H5800" s="344" t="s">
        <v>2084</v>
      </c>
    </row>
    <row r="5801" spans="1:8">
      <c r="A5801" s="1"/>
      <c r="B5801" s="1"/>
      <c r="C5801" s="1"/>
      <c r="D5801" s="1"/>
      <c r="E5801" s="357">
        <v>45926</v>
      </c>
      <c r="F5801" s="344" t="s">
        <v>621</v>
      </c>
      <c r="G5801" s="358">
        <v>51.680100000000003</v>
      </c>
      <c r="H5801" s="344" t="s">
        <v>2085</v>
      </c>
    </row>
    <row r="5802" spans="1:8">
      <c r="A5802" s="1"/>
      <c r="B5802" s="1"/>
      <c r="C5802" s="1"/>
      <c r="D5802" s="1"/>
      <c r="E5802" s="357">
        <v>45926</v>
      </c>
      <c r="F5802" s="344" t="s">
        <v>625</v>
      </c>
      <c r="G5802" s="358">
        <v>48.350900000000003</v>
      </c>
      <c r="H5802" s="344" t="s">
        <v>2085</v>
      </c>
    </row>
    <row r="5803" spans="1:8">
      <c r="A5803" s="1"/>
      <c r="B5803" s="1"/>
      <c r="C5803" s="1"/>
      <c r="D5803" s="1"/>
      <c r="E5803" s="357">
        <v>45926</v>
      </c>
      <c r="F5803" s="344" t="s">
        <v>628</v>
      </c>
      <c r="G5803" s="358">
        <v>55.219499999999996</v>
      </c>
      <c r="H5803" s="344" t="s">
        <v>2085</v>
      </c>
    </row>
    <row r="5804" spans="1:8">
      <c r="A5804" s="1"/>
      <c r="B5804" s="1"/>
      <c r="C5804" s="1"/>
      <c r="D5804" s="1"/>
      <c r="E5804" s="357">
        <v>45926</v>
      </c>
      <c r="F5804" s="344" t="s">
        <v>631</v>
      </c>
      <c r="G5804" s="358">
        <v>41.417900000000003</v>
      </c>
      <c r="H5804" s="344" t="s">
        <v>2085</v>
      </c>
    </row>
    <row r="5805" spans="1:8">
      <c r="A5805" s="1"/>
      <c r="B5805" s="1"/>
      <c r="C5805" s="1"/>
      <c r="D5805" s="1"/>
      <c r="E5805" s="357">
        <v>45929</v>
      </c>
      <c r="F5805" s="344" t="s">
        <v>621</v>
      </c>
      <c r="G5805" s="358">
        <v>51.961399999999998</v>
      </c>
      <c r="H5805" s="344" t="s">
        <v>2086</v>
      </c>
    </row>
    <row r="5806" spans="1:8">
      <c r="A5806" s="1"/>
      <c r="B5806" s="1"/>
      <c r="C5806" s="1"/>
      <c r="D5806" s="1"/>
      <c r="E5806" s="357">
        <v>45929</v>
      </c>
      <c r="F5806" s="344" t="s">
        <v>625</v>
      </c>
      <c r="G5806" s="358">
        <v>48.6479</v>
      </c>
      <c r="H5806" s="344" t="s">
        <v>2086</v>
      </c>
    </row>
    <row r="5807" spans="1:8">
      <c r="A5807" s="1"/>
      <c r="B5807" s="1"/>
      <c r="C5807" s="1"/>
      <c r="D5807" s="1"/>
      <c r="E5807" s="357">
        <v>45929</v>
      </c>
      <c r="F5807" s="344" t="s">
        <v>628</v>
      </c>
      <c r="G5807" s="358">
        <v>55.67</v>
      </c>
      <c r="H5807" s="344" t="s">
        <v>2086</v>
      </c>
    </row>
    <row r="5808" spans="1:8">
      <c r="A5808" s="1"/>
      <c r="B5808" s="1"/>
      <c r="C5808" s="1"/>
      <c r="D5808" s="1"/>
      <c r="E5808" s="357">
        <v>45929</v>
      </c>
      <c r="F5808" s="344" t="s">
        <v>631</v>
      </c>
      <c r="G5808" s="358">
        <v>41.498399999999997</v>
      </c>
      <c r="H5808" s="344" t="s">
        <v>2086</v>
      </c>
    </row>
    <row r="5809" spans="1:8">
      <c r="A5809" s="1"/>
      <c r="B5809" s="1"/>
      <c r="C5809" s="1"/>
      <c r="D5809" s="1"/>
      <c r="E5809" s="357">
        <v>45930</v>
      </c>
      <c r="F5809" s="344" t="s">
        <v>621</v>
      </c>
      <c r="G5809" s="358">
        <v>51.9709</v>
      </c>
      <c r="H5809" s="344" t="s">
        <v>2087</v>
      </c>
    </row>
    <row r="5810" spans="1:8">
      <c r="A5810" s="1"/>
      <c r="B5810" s="1"/>
      <c r="C5810" s="1"/>
      <c r="D5810" s="1"/>
      <c r="E5810" s="357">
        <v>45930</v>
      </c>
      <c r="F5810" s="344" t="s">
        <v>625</v>
      </c>
      <c r="G5810" s="358">
        <v>48.751199999999997</v>
      </c>
      <c r="H5810" s="344" t="s">
        <v>2087</v>
      </c>
    </row>
    <row r="5811" spans="1:8">
      <c r="A5811" s="1"/>
      <c r="B5811" s="1"/>
      <c r="C5811" s="1"/>
      <c r="D5811" s="1"/>
      <c r="E5811" s="357">
        <v>45930</v>
      </c>
      <c r="F5811" s="344" t="s">
        <v>628</v>
      </c>
      <c r="G5811" s="358">
        <v>55.701000000000001</v>
      </c>
      <c r="H5811" s="344" t="s">
        <v>2087</v>
      </c>
    </row>
    <row r="5812" spans="1:8">
      <c r="A5812" s="1"/>
      <c r="B5812" s="1"/>
      <c r="C5812" s="1"/>
      <c r="D5812" s="1"/>
      <c r="E5812" s="357">
        <v>45930</v>
      </c>
      <c r="F5812" s="344" t="s">
        <v>631</v>
      </c>
      <c r="G5812" s="358">
        <v>41.506799999999998</v>
      </c>
      <c r="H5812" s="344" t="s">
        <v>2087</v>
      </c>
    </row>
    <row r="5813" spans="1:8">
      <c r="A5813" s="1"/>
      <c r="B5813" s="1"/>
      <c r="C5813" s="1"/>
      <c r="D5813" s="1"/>
      <c r="E5813" s="357">
        <v>45931</v>
      </c>
      <c r="F5813" s="344" t="s">
        <v>621</v>
      </c>
      <c r="G5813" s="358">
        <v>52.020499999999998</v>
      </c>
      <c r="H5813" s="344" t="s">
        <v>2088</v>
      </c>
    </row>
    <row r="5814" spans="1:8">
      <c r="A5814" s="1"/>
      <c r="B5814" s="1"/>
      <c r="C5814" s="1"/>
      <c r="D5814" s="1"/>
      <c r="E5814" s="357">
        <v>45931</v>
      </c>
      <c r="F5814" s="344" t="s">
        <v>625</v>
      </c>
      <c r="G5814" s="358">
        <v>48.750799999999998</v>
      </c>
      <c r="H5814" s="344" t="s">
        <v>2088</v>
      </c>
    </row>
    <row r="5815" spans="1:8">
      <c r="A5815" s="1"/>
      <c r="B5815" s="1"/>
      <c r="C5815" s="1"/>
      <c r="D5815" s="1"/>
      <c r="E5815" s="357">
        <v>45931</v>
      </c>
      <c r="F5815" s="344" t="s">
        <v>628</v>
      </c>
      <c r="G5815" s="358">
        <v>55.822499999999998</v>
      </c>
      <c r="H5815" s="344" t="s">
        <v>2088</v>
      </c>
    </row>
    <row r="5816" spans="1:8">
      <c r="A5816" s="1"/>
      <c r="B5816" s="1"/>
      <c r="C5816" s="1"/>
      <c r="D5816" s="1"/>
      <c r="E5816" s="357">
        <v>45931</v>
      </c>
      <c r="F5816" s="344" t="s">
        <v>631</v>
      </c>
      <c r="G5816" s="358">
        <v>41.512999999999998</v>
      </c>
      <c r="H5816" s="344" t="s">
        <v>2088</v>
      </c>
    </row>
    <row r="5817" spans="1:8">
      <c r="A5817" s="1"/>
      <c r="B5817" s="1"/>
      <c r="C5817" s="1"/>
      <c r="D5817" s="1"/>
      <c r="E5817" s="357">
        <v>45932</v>
      </c>
      <c r="F5817" s="344" t="s">
        <v>621</v>
      </c>
      <c r="G5817" s="358">
        <v>52.044600000000003</v>
      </c>
      <c r="H5817" s="344" t="s">
        <v>2089</v>
      </c>
    </row>
    <row r="5818" spans="1:8">
      <c r="A5818" s="1"/>
      <c r="B5818" s="1"/>
      <c r="C5818" s="1"/>
      <c r="D5818" s="1"/>
      <c r="E5818" s="357">
        <v>45932</v>
      </c>
      <c r="F5818" s="344" t="s">
        <v>625</v>
      </c>
      <c r="G5818" s="358">
        <v>48.798499999999997</v>
      </c>
      <c r="H5818" s="344" t="s">
        <v>2089</v>
      </c>
    </row>
    <row r="5819" spans="1:8">
      <c r="A5819" s="1"/>
      <c r="B5819" s="1"/>
      <c r="C5819" s="1"/>
      <c r="D5819" s="1"/>
      <c r="E5819" s="357">
        <v>45932</v>
      </c>
      <c r="F5819" s="344" t="s">
        <v>628</v>
      </c>
      <c r="G5819" s="358">
        <v>55.929499999999997</v>
      </c>
      <c r="H5819" s="344" t="s">
        <v>2089</v>
      </c>
    </row>
    <row r="5820" spans="1:8">
      <c r="A5820" s="1"/>
      <c r="B5820" s="1"/>
      <c r="C5820" s="1"/>
      <c r="D5820" s="1"/>
      <c r="E5820" s="357">
        <v>45932</v>
      </c>
      <c r="F5820" s="344" t="s">
        <v>631</v>
      </c>
      <c r="G5820" s="358">
        <v>41.528300000000002</v>
      </c>
      <c r="H5820" s="344" t="s">
        <v>2089</v>
      </c>
    </row>
    <row r="5821" spans="1:8">
      <c r="A5821" s="1"/>
      <c r="B5821" s="1"/>
      <c r="C5821" s="1"/>
      <c r="D5821" s="1"/>
      <c r="E5821" s="357">
        <v>45933</v>
      </c>
      <c r="F5821" s="344" t="s">
        <v>621</v>
      </c>
      <c r="G5821" s="358">
        <v>51.994999999999997</v>
      </c>
      <c r="H5821" s="344" t="s">
        <v>2090</v>
      </c>
    </row>
    <row r="5822" spans="1:8">
      <c r="A5822" s="1"/>
      <c r="B5822" s="1"/>
      <c r="C5822" s="1"/>
      <c r="D5822" s="1"/>
      <c r="E5822" s="357">
        <v>45933</v>
      </c>
      <c r="F5822" s="344" t="s">
        <v>625</v>
      </c>
      <c r="G5822" s="358">
        <v>48.720500000000001</v>
      </c>
      <c r="H5822" s="344" t="s">
        <v>2090</v>
      </c>
    </row>
    <row r="5823" spans="1:8">
      <c r="A5823" s="1"/>
      <c r="B5823" s="1"/>
      <c r="C5823" s="1"/>
      <c r="D5823" s="1"/>
      <c r="E5823" s="357">
        <v>45933</v>
      </c>
      <c r="F5823" s="344" t="s">
        <v>628</v>
      </c>
      <c r="G5823" s="358">
        <v>55.7577</v>
      </c>
      <c r="H5823" s="344" t="s">
        <v>2090</v>
      </c>
    </row>
    <row r="5824" spans="1:8">
      <c r="A5824" s="1"/>
      <c r="B5824" s="1"/>
      <c r="C5824" s="1"/>
      <c r="D5824" s="1"/>
      <c r="E5824" s="357">
        <v>45933</v>
      </c>
      <c r="F5824" s="344" t="s">
        <v>631</v>
      </c>
      <c r="G5824" s="358">
        <v>41.522599999999997</v>
      </c>
      <c r="H5824" s="344" t="s">
        <v>2090</v>
      </c>
    </row>
    <row r="5825" spans="1:8">
      <c r="A5825" s="1"/>
      <c r="B5825" s="1"/>
      <c r="C5825" s="1"/>
      <c r="D5825" s="1"/>
      <c r="E5825" s="357">
        <v>45936</v>
      </c>
      <c r="F5825" s="344" t="s">
        <v>621</v>
      </c>
      <c r="G5825" s="358">
        <v>52.009099999999997</v>
      </c>
      <c r="H5825" s="344" t="s">
        <v>2091</v>
      </c>
    </row>
    <row r="5826" spans="1:8">
      <c r="A5826" s="1"/>
      <c r="B5826" s="1"/>
      <c r="C5826" s="1"/>
      <c r="D5826" s="1"/>
      <c r="E5826" s="357">
        <v>45936</v>
      </c>
      <c r="F5826" s="344" t="s">
        <v>625</v>
      </c>
      <c r="G5826" s="358">
        <v>48.58</v>
      </c>
      <c r="H5826" s="344" t="s">
        <v>2091</v>
      </c>
    </row>
    <row r="5827" spans="1:8">
      <c r="A5827" s="1"/>
      <c r="B5827" s="1"/>
      <c r="C5827" s="1"/>
      <c r="D5827" s="1"/>
      <c r="E5827" s="357">
        <v>45936</v>
      </c>
      <c r="F5827" s="344" t="s">
        <v>628</v>
      </c>
      <c r="G5827" s="358">
        <v>55.8215</v>
      </c>
      <c r="H5827" s="344" t="s">
        <v>2091</v>
      </c>
    </row>
    <row r="5828" spans="1:8">
      <c r="A5828" s="1"/>
      <c r="B5828" s="1"/>
      <c r="C5828" s="1"/>
      <c r="D5828" s="1"/>
      <c r="E5828" s="357">
        <v>45936</v>
      </c>
      <c r="F5828" s="344" t="s">
        <v>631</v>
      </c>
      <c r="G5828" s="358">
        <v>41.622500000000002</v>
      </c>
      <c r="H5828" s="344" t="s">
        <v>2091</v>
      </c>
    </row>
    <row r="5829" spans="1:8">
      <c r="A5829" s="1"/>
      <c r="B5829" s="1"/>
      <c r="C5829" s="1"/>
      <c r="D5829" s="1"/>
      <c r="E5829" s="357">
        <v>45937</v>
      </c>
      <c r="F5829" s="344" t="s">
        <v>621</v>
      </c>
      <c r="G5829" s="358">
        <v>52.059800000000003</v>
      </c>
      <c r="H5829" s="344" t="s">
        <v>2092</v>
      </c>
    </row>
    <row r="5830" spans="1:8">
      <c r="A5830" s="1"/>
      <c r="B5830" s="1"/>
      <c r="C5830" s="1"/>
      <c r="D5830" s="1"/>
      <c r="E5830" s="357">
        <v>45937</v>
      </c>
      <c r="F5830" s="344" t="s">
        <v>625</v>
      </c>
      <c r="G5830" s="358">
        <v>48.5809</v>
      </c>
      <c r="H5830" s="344" t="s">
        <v>2092</v>
      </c>
    </row>
    <row r="5831" spans="1:8">
      <c r="A5831" s="1"/>
      <c r="B5831" s="1"/>
      <c r="C5831" s="1"/>
      <c r="D5831" s="1"/>
      <c r="E5831" s="357">
        <v>45937</v>
      </c>
      <c r="F5831" s="344" t="s">
        <v>628</v>
      </c>
      <c r="G5831" s="358">
        <v>55.815300000000001</v>
      </c>
      <c r="H5831" s="344" t="s">
        <v>2092</v>
      </c>
    </row>
    <row r="5832" spans="1:8">
      <c r="A5832" s="1"/>
      <c r="B5832" s="1"/>
      <c r="C5832" s="1"/>
      <c r="D5832" s="1"/>
      <c r="E5832" s="357">
        <v>45937</v>
      </c>
      <c r="F5832" s="344" t="s">
        <v>631</v>
      </c>
      <c r="G5832" s="358">
        <v>41.621699999999997</v>
      </c>
      <c r="H5832" s="344" t="s">
        <v>2092</v>
      </c>
    </row>
    <row r="5833" spans="1:8">
      <c r="A5833" s="1"/>
      <c r="B5833" s="1"/>
      <c r="C5833" s="1"/>
      <c r="D5833" s="1"/>
      <c r="E5833" s="357">
        <v>45938</v>
      </c>
      <c r="F5833" s="344" t="s">
        <v>621</v>
      </c>
      <c r="G5833" s="358">
        <v>51.875999999999998</v>
      </c>
      <c r="H5833" s="344" t="s">
        <v>2093</v>
      </c>
    </row>
    <row r="5834" spans="1:8">
      <c r="A5834" s="1"/>
      <c r="B5834" s="1"/>
      <c r="C5834" s="1"/>
      <c r="D5834" s="1"/>
      <c r="E5834" s="357">
        <v>45938</v>
      </c>
      <c r="F5834" s="344" t="s">
        <v>625</v>
      </c>
      <c r="G5834" s="358">
        <v>48.387900000000002</v>
      </c>
      <c r="H5834" s="344" t="s">
        <v>2093</v>
      </c>
    </row>
    <row r="5835" spans="1:8">
      <c r="A5835" s="1"/>
      <c r="B5835" s="1"/>
      <c r="C5835" s="1"/>
      <c r="D5835" s="1"/>
      <c r="E5835" s="357">
        <v>45938</v>
      </c>
      <c r="F5835" s="344" t="s">
        <v>628</v>
      </c>
      <c r="G5835" s="358">
        <v>55.724400000000003</v>
      </c>
      <c r="H5835" s="344" t="s">
        <v>2093</v>
      </c>
    </row>
    <row r="5836" spans="1:8">
      <c r="A5836" s="1"/>
      <c r="B5836" s="1"/>
      <c r="C5836" s="1"/>
      <c r="D5836" s="1"/>
      <c r="E5836" s="357">
        <v>45938</v>
      </c>
      <c r="F5836" s="344" t="s">
        <v>631</v>
      </c>
      <c r="G5836" s="358">
        <v>41.633000000000003</v>
      </c>
      <c r="H5836" s="344" t="s">
        <v>2093</v>
      </c>
    </row>
    <row r="5837" spans="1:8">
      <c r="A5837" s="1"/>
      <c r="B5837" s="1"/>
      <c r="C5837" s="1"/>
      <c r="D5837" s="1"/>
      <c r="E5837" s="357">
        <v>45939</v>
      </c>
      <c r="F5837" s="344" t="s">
        <v>621</v>
      </c>
      <c r="G5837" s="358">
        <v>51.815100000000001</v>
      </c>
      <c r="H5837" s="344" t="s">
        <v>2094</v>
      </c>
    </row>
    <row r="5838" spans="1:8">
      <c r="A5838" s="1"/>
      <c r="B5838" s="1"/>
      <c r="C5838" s="1"/>
      <c r="D5838" s="1"/>
      <c r="E5838" s="357">
        <v>45939</v>
      </c>
      <c r="F5838" s="344" t="s">
        <v>625</v>
      </c>
      <c r="G5838" s="358">
        <v>48.370399999999997</v>
      </c>
      <c r="H5838" s="344" t="s">
        <v>2094</v>
      </c>
    </row>
    <row r="5839" spans="1:8">
      <c r="A5839" s="1"/>
      <c r="B5839" s="1"/>
      <c r="C5839" s="1"/>
      <c r="D5839" s="1"/>
      <c r="E5839" s="357">
        <v>45939</v>
      </c>
      <c r="F5839" s="344" t="s">
        <v>628</v>
      </c>
      <c r="G5839" s="358">
        <v>55.573099999999997</v>
      </c>
      <c r="H5839" s="344" t="s">
        <v>2094</v>
      </c>
    </row>
    <row r="5840" spans="1:8">
      <c r="A5840" s="1"/>
      <c r="B5840" s="1"/>
      <c r="C5840" s="1"/>
      <c r="D5840" s="1"/>
      <c r="E5840" s="357">
        <v>45939</v>
      </c>
      <c r="F5840" s="344" t="s">
        <v>631</v>
      </c>
      <c r="G5840" s="358">
        <v>41.642099999999999</v>
      </c>
      <c r="H5840" s="344" t="s">
        <v>2094</v>
      </c>
    </row>
    <row r="5841" spans="1:8">
      <c r="A5841" s="1"/>
      <c r="B5841" s="1"/>
      <c r="C5841" s="1"/>
      <c r="D5841" s="1"/>
      <c r="E5841" s="357">
        <v>45940</v>
      </c>
      <c r="F5841" s="344" t="s">
        <v>621</v>
      </c>
      <c r="G5841" s="358">
        <v>51.557600000000001</v>
      </c>
      <c r="H5841" s="344" t="s">
        <v>2095</v>
      </c>
    </row>
    <row r="5842" spans="1:8">
      <c r="A5842" s="1"/>
      <c r="B5842" s="1"/>
      <c r="C5842" s="1"/>
      <c r="D5842" s="1"/>
      <c r="E5842" s="357">
        <v>45940</v>
      </c>
      <c r="F5842" s="344" t="s">
        <v>625</v>
      </c>
      <c r="G5842" s="358">
        <v>48.187199999999997</v>
      </c>
      <c r="H5842" s="344" t="s">
        <v>2095</v>
      </c>
    </row>
    <row r="5843" spans="1:8">
      <c r="A5843" s="1"/>
      <c r="B5843" s="1"/>
      <c r="C5843" s="1"/>
      <c r="D5843" s="1"/>
      <c r="E5843" s="357">
        <v>45940</v>
      </c>
      <c r="F5843" s="344" t="s">
        <v>628</v>
      </c>
      <c r="G5843" s="358">
        <v>55.238999999999997</v>
      </c>
      <c r="H5843" s="344" t="s">
        <v>2095</v>
      </c>
    </row>
    <row r="5844" spans="1:8">
      <c r="A5844" s="1"/>
      <c r="B5844" s="1"/>
      <c r="C5844" s="1"/>
      <c r="D5844" s="1"/>
      <c r="E5844" s="357">
        <v>45940</v>
      </c>
      <c r="F5844" s="344" t="s">
        <v>631</v>
      </c>
      <c r="G5844" s="358">
        <v>41.638800000000003</v>
      </c>
      <c r="H5844" s="344" t="s">
        <v>2095</v>
      </c>
    </row>
    <row r="5845" spans="1:8">
      <c r="A5845" s="1"/>
      <c r="B5845" s="1"/>
      <c r="C5845" s="1"/>
      <c r="D5845" s="1"/>
      <c r="E5845" s="357">
        <v>45943</v>
      </c>
      <c r="F5845" s="344" t="s">
        <v>621</v>
      </c>
      <c r="G5845" s="358">
        <v>51.82</v>
      </c>
      <c r="H5845" s="344" t="s">
        <v>2096</v>
      </c>
    </row>
    <row r="5846" spans="1:8">
      <c r="A5846" s="1"/>
      <c r="B5846" s="1"/>
      <c r="C5846" s="1"/>
      <c r="D5846" s="1"/>
      <c r="E5846" s="357">
        <v>45943</v>
      </c>
      <c r="F5846" s="344" t="s">
        <v>625</v>
      </c>
      <c r="G5846" s="358">
        <v>48.356499999999997</v>
      </c>
      <c r="H5846" s="344" t="s">
        <v>2096</v>
      </c>
    </row>
    <row r="5847" spans="1:8">
      <c r="A5847" s="1"/>
      <c r="B5847" s="1"/>
      <c r="C5847" s="1"/>
      <c r="D5847" s="1"/>
      <c r="E5847" s="357">
        <v>45943</v>
      </c>
      <c r="F5847" s="344" t="s">
        <v>628</v>
      </c>
      <c r="G5847" s="358">
        <v>55.5426</v>
      </c>
      <c r="H5847" s="344" t="s">
        <v>2096</v>
      </c>
    </row>
    <row r="5848" spans="1:8">
      <c r="A5848" s="1"/>
      <c r="B5848" s="1"/>
      <c r="C5848" s="1"/>
      <c r="D5848" s="1"/>
      <c r="E5848" s="357">
        <v>45943</v>
      </c>
      <c r="F5848" s="344" t="s">
        <v>631</v>
      </c>
      <c r="G5848" s="358">
        <v>41.7196</v>
      </c>
      <c r="H5848" s="344" t="s">
        <v>2096</v>
      </c>
    </row>
    <row r="5849" spans="1:8">
      <c r="A5849" s="1"/>
      <c r="B5849" s="1"/>
      <c r="C5849" s="1"/>
      <c r="D5849" s="1"/>
      <c r="E5849" s="357">
        <v>45944</v>
      </c>
      <c r="F5849" s="344" t="s">
        <v>621</v>
      </c>
      <c r="G5849" s="358">
        <v>51.811599999999999</v>
      </c>
      <c r="H5849" s="344" t="s">
        <v>2097</v>
      </c>
    </row>
    <row r="5850" spans="1:8">
      <c r="A5850" s="1"/>
      <c r="B5850" s="1"/>
      <c r="C5850" s="1"/>
      <c r="D5850" s="1"/>
      <c r="E5850" s="357">
        <v>45944</v>
      </c>
      <c r="F5850" s="344" t="s">
        <v>625</v>
      </c>
      <c r="G5850" s="358">
        <v>48.247599999999998</v>
      </c>
      <c r="H5850" s="344" t="s">
        <v>2097</v>
      </c>
    </row>
    <row r="5851" spans="1:8">
      <c r="A5851" s="1"/>
      <c r="B5851" s="1"/>
      <c r="C5851" s="1"/>
      <c r="D5851" s="1"/>
      <c r="E5851" s="357">
        <v>45944</v>
      </c>
      <c r="F5851" s="344" t="s">
        <v>628</v>
      </c>
      <c r="G5851" s="358">
        <v>55.308900000000001</v>
      </c>
      <c r="H5851" s="344" t="s">
        <v>2097</v>
      </c>
    </row>
    <row r="5852" spans="1:8">
      <c r="A5852" s="1"/>
      <c r="B5852" s="1"/>
      <c r="C5852" s="1"/>
      <c r="D5852" s="1"/>
      <c r="E5852" s="357">
        <v>45944</v>
      </c>
      <c r="F5852" s="344" t="s">
        <v>631</v>
      </c>
      <c r="G5852" s="358">
        <v>41.749600000000001</v>
      </c>
      <c r="H5852" s="344" t="s">
        <v>2097</v>
      </c>
    </row>
    <row r="5853" spans="1:8">
      <c r="A5853" s="1"/>
      <c r="B5853" s="1"/>
      <c r="C5853" s="1"/>
      <c r="D5853" s="1"/>
      <c r="E5853" s="357">
        <v>45945</v>
      </c>
      <c r="F5853" s="344" t="s">
        <v>621</v>
      </c>
      <c r="G5853" s="358">
        <v>52.078000000000003</v>
      </c>
      <c r="H5853" s="344" t="s">
        <v>2098</v>
      </c>
    </row>
    <row r="5854" spans="1:8">
      <c r="A5854" s="1"/>
      <c r="B5854" s="1"/>
      <c r="C5854" s="1"/>
      <c r="D5854" s="1"/>
      <c r="E5854" s="357">
        <v>45945</v>
      </c>
      <c r="F5854" s="344" t="s">
        <v>625</v>
      </c>
      <c r="G5854" s="358">
        <v>48.5717</v>
      </c>
      <c r="H5854" s="344" t="s">
        <v>2098</v>
      </c>
    </row>
    <row r="5855" spans="1:8">
      <c r="A5855" s="1"/>
      <c r="B5855" s="1"/>
      <c r="C5855" s="1"/>
      <c r="D5855" s="1"/>
      <c r="E5855" s="357">
        <v>45945</v>
      </c>
      <c r="F5855" s="344" t="s">
        <v>628</v>
      </c>
      <c r="G5855" s="358">
        <v>55.675400000000003</v>
      </c>
      <c r="H5855" s="344" t="s">
        <v>2098</v>
      </c>
    </row>
    <row r="5856" spans="1:8">
      <c r="A5856" s="1"/>
      <c r="B5856" s="1"/>
      <c r="C5856" s="1"/>
      <c r="D5856" s="1"/>
      <c r="E5856" s="357">
        <v>45945</v>
      </c>
      <c r="F5856" s="344" t="s">
        <v>631</v>
      </c>
      <c r="G5856" s="358">
        <v>41.761099999999999</v>
      </c>
      <c r="H5856" s="344" t="s">
        <v>2098</v>
      </c>
    </row>
    <row r="5857" spans="1:8">
      <c r="A5857" s="1"/>
      <c r="B5857" s="1"/>
      <c r="C5857" s="1"/>
      <c r="D5857" s="1"/>
      <c r="E5857" s="357">
        <v>45946</v>
      </c>
      <c r="F5857" s="344" t="s">
        <v>621</v>
      </c>
      <c r="G5857" s="358">
        <v>52.296100000000003</v>
      </c>
      <c r="H5857" s="344" t="s">
        <v>2099</v>
      </c>
    </row>
    <row r="5858" spans="1:8">
      <c r="A5858" s="1"/>
      <c r="B5858" s="1"/>
      <c r="C5858" s="1"/>
      <c r="D5858" s="1"/>
      <c r="E5858" s="357">
        <v>45946</v>
      </c>
      <c r="F5858" s="344" t="s">
        <v>625</v>
      </c>
      <c r="G5858" s="358">
        <v>48.688499999999998</v>
      </c>
      <c r="H5858" s="344" t="s">
        <v>2099</v>
      </c>
    </row>
    <row r="5859" spans="1:8">
      <c r="A5859" s="1"/>
      <c r="B5859" s="1"/>
      <c r="C5859" s="1"/>
      <c r="D5859" s="1"/>
      <c r="E5859" s="357">
        <v>45946</v>
      </c>
      <c r="F5859" s="344" t="s">
        <v>628</v>
      </c>
      <c r="G5859" s="358">
        <v>56.010300000000001</v>
      </c>
      <c r="H5859" s="344" t="s">
        <v>2099</v>
      </c>
    </row>
    <row r="5860" spans="1:8">
      <c r="A5860" s="1"/>
      <c r="B5860" s="1"/>
      <c r="C5860" s="1"/>
      <c r="D5860" s="1"/>
      <c r="E5860" s="357">
        <v>45946</v>
      </c>
      <c r="F5860" s="344" t="s">
        <v>631</v>
      </c>
      <c r="G5860" s="358">
        <v>41.773600000000002</v>
      </c>
      <c r="H5860" s="344" t="s">
        <v>2099</v>
      </c>
    </row>
    <row r="5861" spans="1:8">
      <c r="A5861" s="1"/>
      <c r="B5861" s="1"/>
      <c r="C5861" s="1"/>
      <c r="D5861" s="1"/>
      <c r="E5861" s="357">
        <v>45947</v>
      </c>
      <c r="F5861" s="344" t="s">
        <v>621</v>
      </c>
      <c r="G5861" s="358">
        <v>52.791800000000002</v>
      </c>
      <c r="H5861" s="344" t="s">
        <v>2100</v>
      </c>
    </row>
    <row r="5862" spans="1:8">
      <c r="A5862" s="1"/>
      <c r="B5862" s="1"/>
      <c r="C5862" s="1"/>
      <c r="D5862" s="1"/>
      <c r="E5862" s="357">
        <v>45947</v>
      </c>
      <c r="F5862" s="344" t="s">
        <v>625</v>
      </c>
      <c r="G5862" s="358">
        <v>48.885899999999999</v>
      </c>
      <c r="H5862" s="344" t="s">
        <v>2100</v>
      </c>
    </row>
    <row r="5863" spans="1:8">
      <c r="A5863" s="1"/>
      <c r="B5863" s="1"/>
      <c r="C5863" s="1"/>
      <c r="D5863" s="1"/>
      <c r="E5863" s="357">
        <v>45947</v>
      </c>
      <c r="F5863" s="344" t="s">
        <v>628</v>
      </c>
      <c r="G5863" s="358">
        <v>56.047400000000003</v>
      </c>
      <c r="H5863" s="344" t="s">
        <v>2100</v>
      </c>
    </row>
    <row r="5864" spans="1:8">
      <c r="A5864" s="1"/>
      <c r="B5864" s="1"/>
      <c r="C5864" s="1"/>
      <c r="D5864" s="1"/>
      <c r="E5864" s="357">
        <v>45947</v>
      </c>
      <c r="F5864" s="344" t="s">
        <v>631</v>
      </c>
      <c r="G5864" s="358">
        <v>41.785499999999999</v>
      </c>
      <c r="H5864" s="344" t="s">
        <v>2100</v>
      </c>
    </row>
    <row r="5865" spans="1:8">
      <c r="A5865" s="1"/>
      <c r="B5865" s="1"/>
      <c r="C5865" s="1"/>
      <c r="D5865" s="1"/>
      <c r="E5865" s="357">
        <v>45950</v>
      </c>
      <c r="F5865" s="344" t="s">
        <v>621</v>
      </c>
      <c r="G5865" s="358">
        <v>52.690300000000001</v>
      </c>
      <c r="H5865" s="344" t="s">
        <v>2101</v>
      </c>
    </row>
    <row r="5866" spans="1:8">
      <c r="A5866" s="1"/>
      <c r="B5866" s="1"/>
      <c r="C5866" s="1"/>
      <c r="D5866" s="1"/>
      <c r="E5866" s="357">
        <v>45950</v>
      </c>
      <c r="F5866" s="344" t="s">
        <v>625</v>
      </c>
      <c r="G5866" s="358">
        <v>48.825499999999998</v>
      </c>
      <c r="H5866" s="344" t="s">
        <v>2101</v>
      </c>
    </row>
    <row r="5867" spans="1:8">
      <c r="A5867" s="1"/>
      <c r="B5867" s="1"/>
      <c r="C5867" s="1"/>
      <c r="D5867" s="1"/>
      <c r="E5867" s="357">
        <v>45950</v>
      </c>
      <c r="F5867" s="344" t="s">
        <v>628</v>
      </c>
      <c r="G5867" s="358">
        <v>56.097099999999998</v>
      </c>
      <c r="H5867" s="344" t="s">
        <v>2101</v>
      </c>
    </row>
    <row r="5868" spans="1:8">
      <c r="A5868" s="1"/>
      <c r="B5868" s="1"/>
      <c r="C5868" s="1"/>
      <c r="D5868" s="1"/>
      <c r="E5868" s="357">
        <v>45950</v>
      </c>
      <c r="F5868" s="344" t="s">
        <v>631</v>
      </c>
      <c r="G5868" s="358">
        <v>41.876800000000003</v>
      </c>
      <c r="H5868" s="344" t="s">
        <v>2101</v>
      </c>
    </row>
    <row r="5869" spans="1:8">
      <c r="A5869" s="1"/>
      <c r="B5869" s="1"/>
      <c r="C5869" s="1"/>
      <c r="D5869" s="1"/>
      <c r="E5869" s="357">
        <v>45951</v>
      </c>
      <c r="F5869" s="344" t="s">
        <v>621</v>
      </c>
      <c r="G5869" s="358">
        <v>52.651400000000002</v>
      </c>
      <c r="H5869" s="344" t="s">
        <v>2102</v>
      </c>
    </row>
    <row r="5870" spans="1:8">
      <c r="A5870" s="1"/>
      <c r="B5870" s="1"/>
      <c r="C5870" s="1"/>
      <c r="D5870" s="1"/>
      <c r="E5870" s="357">
        <v>45951</v>
      </c>
      <c r="F5870" s="344" t="s">
        <v>625</v>
      </c>
      <c r="G5870" s="358">
        <v>48.6813</v>
      </c>
      <c r="H5870" s="344" t="s">
        <v>2102</v>
      </c>
    </row>
    <row r="5871" spans="1:8">
      <c r="A5871" s="1"/>
      <c r="B5871" s="1"/>
      <c r="C5871" s="1"/>
      <c r="D5871" s="1"/>
      <c r="E5871" s="357">
        <v>45951</v>
      </c>
      <c r="F5871" s="344" t="s">
        <v>628</v>
      </c>
      <c r="G5871" s="358">
        <v>55.976500000000001</v>
      </c>
      <c r="H5871" s="344" t="s">
        <v>2102</v>
      </c>
    </row>
    <row r="5872" spans="1:8">
      <c r="A5872" s="1"/>
      <c r="B5872" s="1"/>
      <c r="C5872" s="1"/>
      <c r="D5872" s="1"/>
      <c r="E5872" s="357">
        <v>45951</v>
      </c>
      <c r="F5872" s="344" t="s">
        <v>631</v>
      </c>
      <c r="G5872" s="358">
        <v>41.8872</v>
      </c>
      <c r="H5872" s="344" t="s">
        <v>2102</v>
      </c>
    </row>
    <row r="5873" spans="1:8">
      <c r="A5873" s="1"/>
      <c r="B5873" s="1"/>
      <c r="C5873" s="1"/>
      <c r="D5873" s="1"/>
      <c r="E5873" s="357">
        <v>45952</v>
      </c>
      <c r="F5873" s="344" t="s">
        <v>621</v>
      </c>
      <c r="G5873" s="358">
        <v>52.501199999999997</v>
      </c>
      <c r="H5873" s="344" t="s">
        <v>2103</v>
      </c>
    </row>
    <row r="5874" spans="1:8">
      <c r="A5874" s="1"/>
      <c r="B5874" s="1"/>
      <c r="C5874" s="1"/>
      <c r="D5874" s="1"/>
      <c r="E5874" s="357">
        <v>45952</v>
      </c>
      <c r="F5874" s="344" t="s">
        <v>625</v>
      </c>
      <c r="G5874" s="358">
        <v>48.580800000000004</v>
      </c>
      <c r="H5874" s="344" t="s">
        <v>2103</v>
      </c>
    </row>
    <row r="5875" spans="1:8">
      <c r="A5875" s="1"/>
      <c r="B5875" s="1"/>
      <c r="C5875" s="1"/>
      <c r="D5875" s="1"/>
      <c r="E5875" s="357">
        <v>45952</v>
      </c>
      <c r="F5875" s="344" t="s">
        <v>628</v>
      </c>
      <c r="G5875" s="358">
        <v>55.724200000000003</v>
      </c>
      <c r="H5875" s="344" t="s">
        <v>2103</v>
      </c>
    </row>
    <row r="5876" spans="1:8">
      <c r="A5876" s="1"/>
      <c r="B5876" s="1"/>
      <c r="C5876" s="1"/>
      <c r="D5876" s="1"/>
      <c r="E5876" s="357">
        <v>45952</v>
      </c>
      <c r="F5876" s="344" t="s">
        <v>631</v>
      </c>
      <c r="G5876" s="358">
        <v>41.896599999999999</v>
      </c>
      <c r="H5876" s="344" t="s">
        <v>2103</v>
      </c>
    </row>
    <row r="5877" spans="1:8">
      <c r="A5877" s="1"/>
      <c r="B5877" s="1"/>
      <c r="C5877" s="1"/>
      <c r="D5877" s="1"/>
      <c r="E5877" s="357">
        <v>45953</v>
      </c>
      <c r="F5877" s="344" t="s">
        <v>621</v>
      </c>
      <c r="G5877" s="358">
        <v>52.403799999999997</v>
      </c>
      <c r="H5877" s="344" t="s">
        <v>2104</v>
      </c>
    </row>
    <row r="5878" spans="1:8">
      <c r="A5878" s="1"/>
      <c r="B5878" s="1"/>
      <c r="C5878" s="1"/>
      <c r="D5878" s="1"/>
      <c r="E5878" s="357">
        <v>45953</v>
      </c>
      <c r="F5878" s="344" t="s">
        <v>625</v>
      </c>
      <c r="G5878" s="358">
        <v>48.580300000000001</v>
      </c>
      <c r="H5878" s="344" t="s">
        <v>2104</v>
      </c>
    </row>
    <row r="5879" spans="1:8">
      <c r="A5879" s="1"/>
      <c r="B5879" s="1"/>
      <c r="C5879" s="1"/>
      <c r="D5879" s="1"/>
      <c r="E5879" s="357">
        <v>45953</v>
      </c>
      <c r="F5879" s="344" t="s">
        <v>628</v>
      </c>
      <c r="G5879" s="358">
        <v>55.828499999999998</v>
      </c>
      <c r="H5879" s="344" t="s">
        <v>2104</v>
      </c>
    </row>
    <row r="5880" spans="1:8">
      <c r="A5880" s="1"/>
      <c r="B5880" s="1"/>
      <c r="C5880" s="1"/>
      <c r="D5880" s="1"/>
      <c r="E5880" s="357">
        <v>45953</v>
      </c>
      <c r="F5880" s="344" t="s">
        <v>631</v>
      </c>
      <c r="G5880" s="358">
        <v>41.904200000000003</v>
      </c>
      <c r="H5880" s="344" t="s">
        <v>2104</v>
      </c>
    </row>
    <row r="5881" spans="1:8">
      <c r="A5881" s="1"/>
      <c r="B5881" s="1"/>
      <c r="C5881" s="1"/>
      <c r="D5881" s="1"/>
      <c r="E5881" s="357">
        <v>45954</v>
      </c>
      <c r="F5881" s="344" t="s">
        <v>621</v>
      </c>
      <c r="G5881" s="358">
        <v>52.4495</v>
      </c>
      <c r="H5881" s="344" t="s">
        <v>2105</v>
      </c>
    </row>
    <row r="5882" spans="1:8">
      <c r="A5882" s="1"/>
      <c r="B5882" s="1"/>
      <c r="C5882" s="1"/>
      <c r="D5882" s="1"/>
      <c r="E5882" s="357">
        <v>45954</v>
      </c>
      <c r="F5882" s="344" t="s">
        <v>625</v>
      </c>
      <c r="G5882" s="358">
        <v>48.594299999999997</v>
      </c>
      <c r="H5882" s="344" t="s">
        <v>2105</v>
      </c>
    </row>
    <row r="5883" spans="1:8">
      <c r="A5883" s="1"/>
      <c r="B5883" s="1"/>
      <c r="C5883" s="1"/>
      <c r="D5883" s="1"/>
      <c r="E5883" s="357">
        <v>45954</v>
      </c>
      <c r="F5883" s="344" t="s">
        <v>628</v>
      </c>
      <c r="G5883" s="358">
        <v>55.635100000000001</v>
      </c>
      <c r="H5883" s="344" t="s">
        <v>2105</v>
      </c>
    </row>
    <row r="5884" spans="1:8">
      <c r="A5884" s="1"/>
      <c r="B5884" s="1"/>
      <c r="C5884" s="1"/>
      <c r="D5884" s="1"/>
      <c r="E5884" s="357">
        <v>45954</v>
      </c>
      <c r="F5884" s="344" t="s">
        <v>631</v>
      </c>
      <c r="G5884" s="358">
        <v>41.842700000000001</v>
      </c>
      <c r="H5884" s="344" t="s">
        <v>2105</v>
      </c>
    </row>
    <row r="5885" spans="1:8">
      <c r="A5885" s="1"/>
      <c r="B5885" s="1"/>
      <c r="C5885" s="1"/>
      <c r="D5885" s="1"/>
      <c r="E5885" s="357">
        <v>45957</v>
      </c>
      <c r="F5885" s="344" t="s">
        <v>621</v>
      </c>
      <c r="G5885" s="358">
        <v>52.457900000000002</v>
      </c>
      <c r="H5885" s="344" t="s">
        <v>2106</v>
      </c>
    </row>
    <row r="5886" spans="1:8">
      <c r="A5886" s="1"/>
      <c r="B5886" s="1"/>
      <c r="C5886" s="1"/>
      <c r="D5886" s="1"/>
      <c r="E5886" s="357">
        <v>45957</v>
      </c>
      <c r="F5886" s="344" t="s">
        <v>625</v>
      </c>
      <c r="G5886" s="358">
        <v>48.708599999999997</v>
      </c>
      <c r="H5886" s="344" t="s">
        <v>2106</v>
      </c>
    </row>
    <row r="5887" spans="1:8">
      <c r="A5887" s="1"/>
      <c r="B5887" s="1"/>
      <c r="C5887" s="1"/>
      <c r="D5887" s="1"/>
      <c r="E5887" s="357">
        <v>45957</v>
      </c>
      <c r="F5887" s="344" t="s">
        <v>628</v>
      </c>
      <c r="G5887" s="358">
        <v>55.734299999999998</v>
      </c>
      <c r="H5887" s="344" t="s">
        <v>2106</v>
      </c>
    </row>
    <row r="5888" spans="1:8">
      <c r="A5888" s="1"/>
      <c r="B5888" s="1"/>
      <c r="C5888" s="1"/>
      <c r="D5888" s="1"/>
      <c r="E5888" s="357">
        <v>45957</v>
      </c>
      <c r="F5888" s="344" t="s">
        <v>631</v>
      </c>
      <c r="G5888" s="358">
        <v>41.869900000000001</v>
      </c>
      <c r="H5888" s="344" t="s">
        <v>2106</v>
      </c>
    </row>
    <row r="5889" spans="1:8">
      <c r="A5889" s="1"/>
      <c r="B5889" s="1"/>
      <c r="C5889" s="1"/>
      <c r="D5889" s="1"/>
      <c r="E5889" s="357">
        <v>45960</v>
      </c>
      <c r="F5889" s="344" t="s">
        <v>621</v>
      </c>
      <c r="G5889" s="358">
        <v>52.300199999999997</v>
      </c>
      <c r="H5889" s="344" t="s">
        <v>2107</v>
      </c>
    </row>
    <row r="5890" spans="1:8">
      <c r="A5890" s="1"/>
      <c r="B5890" s="1"/>
      <c r="C5890" s="1"/>
      <c r="D5890" s="1"/>
      <c r="E5890" s="357">
        <v>45960</v>
      </c>
      <c r="F5890" s="344" t="s">
        <v>625</v>
      </c>
      <c r="G5890" s="358">
        <v>48.658200000000001</v>
      </c>
      <c r="H5890" s="344" t="s">
        <v>2107</v>
      </c>
    </row>
    <row r="5891" spans="1:8">
      <c r="A5891" s="1"/>
      <c r="B5891" s="1"/>
      <c r="C5891" s="1"/>
      <c r="D5891" s="1"/>
      <c r="E5891" s="357">
        <v>45960</v>
      </c>
      <c r="F5891" s="344" t="s">
        <v>628</v>
      </c>
      <c r="G5891" s="358">
        <v>55.180100000000003</v>
      </c>
      <c r="H5891" s="344" t="s">
        <v>2107</v>
      </c>
    </row>
    <row r="5892" spans="1:8">
      <c r="A5892" s="1"/>
      <c r="B5892" s="1"/>
      <c r="C5892" s="1"/>
      <c r="D5892" s="1"/>
      <c r="E5892" s="357">
        <v>45960</v>
      </c>
      <c r="F5892" s="344" t="s">
        <v>631</v>
      </c>
      <c r="G5892" s="358">
        <v>41.9</v>
      </c>
      <c r="H5892" s="344" t="s">
        <v>2107</v>
      </c>
    </row>
    <row r="5893" spans="1:8">
      <c r="A5893" s="1"/>
      <c r="B5893" s="1"/>
      <c r="C5893" s="1"/>
      <c r="D5893" s="1"/>
      <c r="E5893" s="357">
        <v>45961</v>
      </c>
      <c r="F5893" s="344" t="s">
        <v>621</v>
      </c>
      <c r="G5893" s="358">
        <v>52.083599999999997</v>
      </c>
      <c r="H5893" s="344" t="s">
        <v>2108</v>
      </c>
    </row>
    <row r="5894" spans="1:8">
      <c r="A5894" s="1"/>
      <c r="B5894" s="1"/>
      <c r="C5894" s="1"/>
      <c r="D5894" s="1"/>
      <c r="E5894" s="357">
        <v>45961</v>
      </c>
      <c r="F5894" s="344" t="s">
        <v>625</v>
      </c>
      <c r="G5894" s="358">
        <v>48.462000000000003</v>
      </c>
      <c r="H5894" s="344" t="s">
        <v>2108</v>
      </c>
    </row>
    <row r="5895" spans="1:8">
      <c r="A5895" s="1"/>
      <c r="B5895" s="1"/>
      <c r="C5895" s="1"/>
      <c r="D5895" s="1"/>
      <c r="E5895" s="357">
        <v>45961</v>
      </c>
      <c r="F5895" s="344" t="s">
        <v>628</v>
      </c>
      <c r="G5895" s="358">
        <v>54.944400000000002</v>
      </c>
      <c r="H5895" s="344" t="s">
        <v>2108</v>
      </c>
    </row>
    <row r="5896" spans="1:8">
      <c r="A5896" s="1"/>
      <c r="B5896" s="1"/>
      <c r="C5896" s="1"/>
      <c r="D5896" s="1"/>
      <c r="E5896" s="357">
        <v>45961</v>
      </c>
      <c r="F5896" s="344" t="s">
        <v>631</v>
      </c>
      <c r="G5896" s="358">
        <v>41.892200000000003</v>
      </c>
      <c r="H5896" s="344" t="s">
        <v>2108</v>
      </c>
    </row>
    <row r="5897" spans="1:8">
      <c r="A5897" s="1"/>
      <c r="B5897" s="1"/>
      <c r="C5897" s="1"/>
      <c r="D5897" s="1"/>
      <c r="E5897" s="357">
        <v>45964</v>
      </c>
      <c r="F5897" s="344" t="s">
        <v>621</v>
      </c>
      <c r="G5897" s="358">
        <v>51.9422</v>
      </c>
      <c r="H5897" s="344" t="s">
        <v>2109</v>
      </c>
    </row>
    <row r="5898" spans="1:8">
      <c r="A5898" s="1"/>
      <c r="B5898" s="1"/>
      <c r="C5898" s="1"/>
      <c r="D5898" s="1"/>
      <c r="E5898" s="357">
        <v>45964</v>
      </c>
      <c r="F5898" s="344" t="s">
        <v>625</v>
      </c>
      <c r="G5898" s="358">
        <v>48.366100000000003</v>
      </c>
      <c r="H5898" s="344" t="s">
        <v>2109</v>
      </c>
    </row>
    <row r="5899" spans="1:8">
      <c r="A5899" s="1"/>
      <c r="B5899" s="1"/>
      <c r="C5899" s="1"/>
      <c r="D5899" s="1"/>
      <c r="E5899" s="357">
        <v>45964</v>
      </c>
      <c r="F5899" s="344" t="s">
        <v>628</v>
      </c>
      <c r="G5899" s="358">
        <v>55.028199999999998</v>
      </c>
      <c r="H5899" s="344" t="s">
        <v>2109</v>
      </c>
    </row>
    <row r="5900" spans="1:8">
      <c r="A5900" s="1"/>
      <c r="B5900" s="1"/>
      <c r="C5900" s="1"/>
      <c r="D5900" s="1"/>
      <c r="E5900" s="357">
        <v>45964</v>
      </c>
      <c r="F5900" s="344" t="s">
        <v>631</v>
      </c>
      <c r="G5900" s="358">
        <v>41.975099999999998</v>
      </c>
      <c r="H5900" s="344" t="s">
        <v>2109</v>
      </c>
    </row>
    <row r="5901" spans="1:8">
      <c r="A5901" s="1"/>
      <c r="B5901" s="1"/>
      <c r="C5901" s="1"/>
      <c r="D5901" s="1"/>
      <c r="E5901" s="357">
        <v>45965</v>
      </c>
      <c r="F5901" s="344" t="s">
        <v>621</v>
      </c>
      <c r="G5901" s="358">
        <v>51.847499999999997</v>
      </c>
      <c r="H5901" s="344" t="s">
        <v>2110</v>
      </c>
    </row>
    <row r="5902" spans="1:8">
      <c r="A5902" s="1"/>
      <c r="B5902" s="1"/>
      <c r="C5902" s="1"/>
      <c r="D5902" s="1"/>
      <c r="E5902" s="357">
        <v>45965</v>
      </c>
      <c r="F5902" s="344" t="s">
        <v>625</v>
      </c>
      <c r="G5902" s="358">
        <v>48.346400000000003</v>
      </c>
      <c r="H5902" s="344" t="s">
        <v>2110</v>
      </c>
    </row>
    <row r="5903" spans="1:8">
      <c r="A5903" s="1"/>
      <c r="B5903" s="1"/>
      <c r="C5903" s="1"/>
      <c r="D5903" s="1"/>
      <c r="E5903" s="357">
        <v>45965</v>
      </c>
      <c r="F5903" s="344" t="s">
        <v>628</v>
      </c>
      <c r="G5903" s="358">
        <v>54.884700000000002</v>
      </c>
      <c r="H5903" s="344" t="s">
        <v>2110</v>
      </c>
    </row>
    <row r="5904" spans="1:8">
      <c r="A5904" s="1"/>
      <c r="B5904" s="1"/>
      <c r="C5904" s="1"/>
      <c r="D5904" s="1"/>
      <c r="E5904" s="357">
        <v>45965</v>
      </c>
      <c r="F5904" s="344" t="s">
        <v>631</v>
      </c>
      <c r="G5904" s="358">
        <v>42.004199999999997</v>
      </c>
      <c r="H5904" s="344" t="s">
        <v>2110</v>
      </c>
    </row>
    <row r="5905" spans="1:8">
      <c r="A5905" s="1"/>
      <c r="B5905" s="1"/>
      <c r="C5905" s="1"/>
      <c r="D5905" s="1"/>
      <c r="E5905" s="357">
        <v>45966</v>
      </c>
      <c r="F5905" s="344" t="s">
        <v>621</v>
      </c>
      <c r="G5905" s="358">
        <v>51.776499999999999</v>
      </c>
      <c r="H5905" s="344" t="s">
        <v>2111</v>
      </c>
    </row>
    <row r="5906" spans="1:8">
      <c r="A5906" s="1"/>
      <c r="B5906" s="1"/>
      <c r="C5906" s="1"/>
      <c r="D5906" s="1"/>
      <c r="E5906" s="357">
        <v>45966</v>
      </c>
      <c r="F5906" s="344" t="s">
        <v>625</v>
      </c>
      <c r="G5906" s="358">
        <v>48.287999999999997</v>
      </c>
      <c r="H5906" s="344" t="s">
        <v>2111</v>
      </c>
    </row>
    <row r="5907" spans="1:8">
      <c r="A5907" s="1"/>
      <c r="B5907" s="1"/>
      <c r="C5907" s="1"/>
      <c r="D5907" s="1"/>
      <c r="E5907" s="357">
        <v>45966</v>
      </c>
      <c r="F5907" s="344" t="s">
        <v>628</v>
      </c>
      <c r="G5907" s="358">
        <v>54.693899999999999</v>
      </c>
      <c r="H5907" s="344" t="s">
        <v>2111</v>
      </c>
    </row>
    <row r="5908" spans="1:8">
      <c r="A5908" s="1"/>
      <c r="B5908" s="1"/>
      <c r="C5908" s="1"/>
      <c r="D5908" s="1"/>
      <c r="E5908" s="357">
        <v>45966</v>
      </c>
      <c r="F5908" s="344" t="s">
        <v>631</v>
      </c>
      <c r="G5908" s="358">
        <v>42.036200000000001</v>
      </c>
      <c r="H5908" s="344" t="s">
        <v>2111</v>
      </c>
    </row>
    <row r="5909" spans="1:8">
      <c r="A5909" s="1"/>
      <c r="B5909" s="1"/>
      <c r="C5909" s="1"/>
      <c r="D5909" s="1"/>
      <c r="E5909" s="357">
        <v>45967</v>
      </c>
      <c r="F5909" s="344" t="s">
        <v>621</v>
      </c>
      <c r="G5909" s="358">
        <v>51.848399999999998</v>
      </c>
      <c r="H5909" s="344" t="s">
        <v>2112</v>
      </c>
    </row>
    <row r="5910" spans="1:8">
      <c r="A5910" s="1"/>
      <c r="B5910" s="1"/>
      <c r="C5910" s="1"/>
      <c r="D5910" s="1"/>
      <c r="E5910" s="357">
        <v>45967</v>
      </c>
      <c r="F5910" s="344" t="s">
        <v>625</v>
      </c>
      <c r="G5910" s="358">
        <v>48.406799999999997</v>
      </c>
      <c r="H5910" s="344" t="s">
        <v>2112</v>
      </c>
    </row>
    <row r="5911" spans="1:8">
      <c r="A5911" s="1"/>
      <c r="B5911" s="1"/>
      <c r="C5911" s="1"/>
      <c r="D5911" s="1"/>
      <c r="E5911" s="357">
        <v>45967</v>
      </c>
      <c r="F5911" s="344" t="s">
        <v>628</v>
      </c>
      <c r="G5911" s="358">
        <v>54.879600000000003</v>
      </c>
      <c r="H5911" s="344" t="s">
        <v>2112</v>
      </c>
    </row>
    <row r="5912" spans="1:8">
      <c r="A5912" s="1"/>
      <c r="B5912" s="1"/>
      <c r="C5912" s="1"/>
      <c r="D5912" s="1"/>
      <c r="E5912" s="357">
        <v>45967</v>
      </c>
      <c r="F5912" s="344" t="s">
        <v>631</v>
      </c>
      <c r="G5912" s="358">
        <v>42.0426</v>
      </c>
      <c r="H5912" s="344" t="s">
        <v>2112</v>
      </c>
    </row>
    <row r="5913" spans="1:8">
      <c r="A5913" s="1"/>
      <c r="B5913" s="1"/>
      <c r="C5913" s="1"/>
      <c r="D5913" s="1"/>
      <c r="E5913" s="357">
        <v>45968</v>
      </c>
      <c r="F5913" s="344" t="s">
        <v>621</v>
      </c>
      <c r="G5913" s="358">
        <v>51.955399999999997</v>
      </c>
      <c r="H5913" s="344" t="s">
        <v>2113</v>
      </c>
    </row>
    <row r="5914" spans="1:8">
      <c r="A5914" s="1"/>
      <c r="B5914" s="1"/>
      <c r="C5914" s="1"/>
      <c r="D5914" s="1"/>
      <c r="E5914" s="357">
        <v>45968</v>
      </c>
      <c r="F5914" s="344" t="s">
        <v>625</v>
      </c>
      <c r="G5914" s="358">
        <v>48.528100000000002</v>
      </c>
      <c r="H5914" s="344" t="s">
        <v>2113</v>
      </c>
    </row>
    <row r="5915" spans="1:8">
      <c r="A5915" s="1"/>
      <c r="B5915" s="1"/>
      <c r="C5915" s="1"/>
      <c r="D5915" s="1"/>
      <c r="E5915" s="357">
        <v>45968</v>
      </c>
      <c r="F5915" s="344" t="s">
        <v>628</v>
      </c>
      <c r="G5915" s="358">
        <v>55.0398</v>
      </c>
      <c r="H5915" s="344" t="s">
        <v>2113</v>
      </c>
    </row>
    <row r="5916" spans="1:8">
      <c r="A5916" s="1"/>
      <c r="B5916" s="1"/>
      <c r="C5916" s="1"/>
      <c r="D5916" s="1"/>
      <c r="E5916" s="357">
        <v>45968</v>
      </c>
      <c r="F5916" s="344" t="s">
        <v>631</v>
      </c>
      <c r="G5916" s="358">
        <v>42.048999999999999</v>
      </c>
      <c r="H5916" s="344" t="s">
        <v>2113</v>
      </c>
    </row>
    <row r="5917" spans="1:8">
      <c r="A5917" s="1"/>
      <c r="B5917" s="1"/>
      <c r="C5917" s="1"/>
      <c r="D5917" s="1"/>
      <c r="E5917" s="357">
        <v>45971</v>
      </c>
      <c r="F5917" s="344" t="s">
        <v>621</v>
      </c>
      <c r="G5917" s="358">
        <v>52.127800000000001</v>
      </c>
      <c r="H5917" s="344" t="s">
        <v>2114</v>
      </c>
    </row>
    <row r="5918" spans="1:8">
      <c r="A5918" s="1"/>
      <c r="B5918" s="1"/>
      <c r="C5918" s="1"/>
      <c r="D5918" s="1"/>
      <c r="E5918" s="357">
        <v>45971</v>
      </c>
      <c r="F5918" s="344" t="s">
        <v>625</v>
      </c>
      <c r="G5918" s="358">
        <v>48.702300000000001</v>
      </c>
      <c r="H5918" s="344" t="s">
        <v>2114</v>
      </c>
    </row>
    <row r="5919" spans="1:8">
      <c r="A5919" s="1"/>
      <c r="B5919" s="1"/>
      <c r="C5919" s="1"/>
      <c r="D5919" s="1"/>
      <c r="E5919" s="357">
        <v>45971</v>
      </c>
      <c r="F5919" s="344" t="s">
        <v>628</v>
      </c>
      <c r="G5919" s="358">
        <v>55.341799999999999</v>
      </c>
      <c r="H5919" s="344" t="s">
        <v>2114</v>
      </c>
    </row>
    <row r="5920" spans="1:8">
      <c r="A5920" s="1"/>
      <c r="B5920" s="1"/>
      <c r="C5920" s="1"/>
      <c r="D5920" s="1"/>
      <c r="E5920" s="357">
        <v>45971</v>
      </c>
      <c r="F5920" s="344" t="s">
        <v>631</v>
      </c>
      <c r="G5920" s="358">
        <v>42.112400000000001</v>
      </c>
      <c r="H5920" s="344" t="s">
        <v>2114</v>
      </c>
    </row>
    <row r="5921" spans="1:8">
      <c r="A5921" s="1"/>
      <c r="B5921" s="1"/>
      <c r="C5921" s="1"/>
      <c r="D5921" s="1"/>
      <c r="E5921" s="357">
        <v>45972</v>
      </c>
      <c r="F5921" s="344" t="s">
        <v>621</v>
      </c>
      <c r="G5921" s="358">
        <v>52.3568</v>
      </c>
      <c r="H5921" s="344" t="s">
        <v>2115</v>
      </c>
    </row>
    <row r="5922" spans="1:8">
      <c r="A5922" s="1"/>
      <c r="B5922" s="1"/>
      <c r="C5922" s="1"/>
      <c r="D5922" s="1"/>
      <c r="E5922" s="357">
        <v>45972</v>
      </c>
      <c r="F5922" s="344" t="s">
        <v>625</v>
      </c>
      <c r="G5922" s="358">
        <v>48.74</v>
      </c>
      <c r="H5922" s="344" t="s">
        <v>2115</v>
      </c>
    </row>
    <row r="5923" spans="1:8">
      <c r="A5923" s="1"/>
      <c r="B5923" s="1"/>
      <c r="C5923" s="1"/>
      <c r="D5923" s="1"/>
      <c r="E5923" s="357">
        <v>45972</v>
      </c>
      <c r="F5923" s="344" t="s">
        <v>628</v>
      </c>
      <c r="G5923" s="358">
        <v>55.2806</v>
      </c>
      <c r="H5923" s="344" t="s">
        <v>2115</v>
      </c>
    </row>
    <row r="5924" spans="1:8">
      <c r="A5924" s="1"/>
      <c r="B5924" s="1"/>
      <c r="C5924" s="1"/>
      <c r="D5924" s="1"/>
      <c r="E5924" s="357">
        <v>45972</v>
      </c>
      <c r="F5924" s="344" t="s">
        <v>631</v>
      </c>
      <c r="G5924" s="358">
        <v>42.1526</v>
      </c>
      <c r="H5924" s="344" t="s">
        <v>2115</v>
      </c>
    </row>
    <row r="5925" spans="1:8">
      <c r="A5925" s="1"/>
      <c r="B5925" s="1"/>
      <c r="C5925" s="1"/>
      <c r="D5925" s="1"/>
      <c r="E5925" s="357">
        <v>45973</v>
      </c>
      <c r="F5925" s="344" t="s">
        <v>621</v>
      </c>
      <c r="G5925" s="358">
        <v>52.615499999999997</v>
      </c>
      <c r="H5925" s="344" t="s">
        <v>2116</v>
      </c>
    </row>
    <row r="5926" spans="1:8">
      <c r="A5926" s="1"/>
      <c r="B5926" s="1"/>
      <c r="C5926" s="1"/>
      <c r="D5926" s="1"/>
      <c r="E5926" s="357">
        <v>45973</v>
      </c>
      <c r="F5926" s="344" t="s">
        <v>625</v>
      </c>
      <c r="G5926" s="358">
        <v>48.813499999999998</v>
      </c>
      <c r="H5926" s="344" t="s">
        <v>2116</v>
      </c>
    </row>
    <row r="5927" spans="1:8">
      <c r="A5927" s="1"/>
      <c r="B5927" s="1"/>
      <c r="C5927" s="1"/>
      <c r="D5927" s="1"/>
      <c r="E5927" s="357">
        <v>45973</v>
      </c>
      <c r="F5927" s="344" t="s">
        <v>628</v>
      </c>
      <c r="G5927" s="358">
        <v>55.268000000000001</v>
      </c>
      <c r="H5927" s="344" t="s">
        <v>2116</v>
      </c>
    </row>
    <row r="5928" spans="1:8">
      <c r="A5928" s="1"/>
      <c r="B5928" s="1"/>
      <c r="C5928" s="1"/>
      <c r="D5928" s="1"/>
      <c r="E5928" s="357">
        <v>45973</v>
      </c>
      <c r="F5928" s="344" t="s">
        <v>631</v>
      </c>
      <c r="G5928" s="358">
        <v>42.163600000000002</v>
      </c>
      <c r="H5928" s="344" t="s">
        <v>2116</v>
      </c>
    </row>
    <row r="5929" spans="1:8">
      <c r="A5929" s="1"/>
      <c r="B5929" s="1"/>
      <c r="C5929" s="1"/>
      <c r="D5929" s="1"/>
      <c r="E5929" s="357">
        <v>45974</v>
      </c>
      <c r="F5929" s="344" t="s">
        <v>621</v>
      </c>
      <c r="G5929" s="358">
        <v>52.850700000000003</v>
      </c>
      <c r="H5929" s="344" t="s">
        <v>2117</v>
      </c>
    </row>
    <row r="5930" spans="1:8">
      <c r="A5930" s="1"/>
      <c r="B5930" s="1"/>
      <c r="C5930" s="1"/>
      <c r="D5930" s="1"/>
      <c r="E5930" s="357">
        <v>45974</v>
      </c>
      <c r="F5930" s="344" t="s">
        <v>625</v>
      </c>
      <c r="G5930" s="358">
        <v>48.964300000000001</v>
      </c>
      <c r="H5930" s="344" t="s">
        <v>2117</v>
      </c>
    </row>
    <row r="5931" spans="1:8">
      <c r="A5931" s="1"/>
      <c r="B5931" s="1"/>
      <c r="C5931" s="1"/>
      <c r="D5931" s="1"/>
      <c r="E5931" s="357">
        <v>45974</v>
      </c>
      <c r="F5931" s="344" t="s">
        <v>628</v>
      </c>
      <c r="G5931" s="358">
        <v>55.3553</v>
      </c>
      <c r="H5931" s="344" t="s">
        <v>2117</v>
      </c>
    </row>
    <row r="5932" spans="1:8">
      <c r="A5932" s="1"/>
      <c r="B5932" s="1"/>
      <c r="C5932" s="1"/>
      <c r="D5932" s="1"/>
      <c r="E5932" s="357">
        <v>45974</v>
      </c>
      <c r="F5932" s="344" t="s">
        <v>631</v>
      </c>
      <c r="G5932" s="358">
        <v>42.172400000000003</v>
      </c>
      <c r="H5932" s="344" t="s">
        <v>2117</v>
      </c>
    </row>
    <row r="5933" spans="1:8">
      <c r="A5933" s="1"/>
      <c r="B5933" s="1"/>
      <c r="C5933" s="1"/>
      <c r="D5933" s="1"/>
      <c r="E5933" s="357">
        <v>45975</v>
      </c>
      <c r="F5933" s="344" t="s">
        <v>621</v>
      </c>
      <c r="G5933" s="358">
        <v>53.124699999999997</v>
      </c>
      <c r="H5933" s="344" t="s">
        <v>2118</v>
      </c>
    </row>
    <row r="5934" spans="1:8">
      <c r="A5934" s="1"/>
      <c r="B5934" s="1"/>
      <c r="C5934" s="1"/>
      <c r="D5934" s="1"/>
      <c r="E5934" s="357">
        <v>45975</v>
      </c>
      <c r="F5934" s="344" t="s">
        <v>625</v>
      </c>
      <c r="G5934" s="358">
        <v>49.021599999999999</v>
      </c>
      <c r="H5934" s="344" t="s">
        <v>2118</v>
      </c>
    </row>
    <row r="5935" spans="1:8">
      <c r="A5935" s="1"/>
      <c r="B5935" s="1"/>
      <c r="C5935" s="1"/>
      <c r="D5935" s="1"/>
      <c r="E5935" s="357">
        <v>45975</v>
      </c>
      <c r="F5935" s="344" t="s">
        <v>628</v>
      </c>
      <c r="G5935" s="358">
        <v>55.3491</v>
      </c>
      <c r="H5935" s="344" t="s">
        <v>2118</v>
      </c>
    </row>
    <row r="5936" spans="1:8">
      <c r="A5936" s="1"/>
      <c r="B5936" s="1"/>
      <c r="C5936" s="1"/>
      <c r="D5936" s="1"/>
      <c r="E5936" s="357">
        <v>45975</v>
      </c>
      <c r="F5936" s="344" t="s">
        <v>631</v>
      </c>
      <c r="G5936" s="358">
        <v>42.1661</v>
      </c>
      <c r="H5936" s="344" t="s">
        <v>2118</v>
      </c>
    </row>
    <row r="5937" spans="1:8">
      <c r="A5937" s="1"/>
      <c r="B5937" s="1"/>
      <c r="C5937" s="1"/>
      <c r="D5937" s="1"/>
      <c r="E5937" s="357">
        <v>45978</v>
      </c>
      <c r="F5937" s="344" t="s">
        <v>621</v>
      </c>
      <c r="G5937" s="358">
        <v>53.047699999999999</v>
      </c>
      <c r="H5937" s="344" t="s">
        <v>2119</v>
      </c>
    </row>
    <row r="5938" spans="1:8">
      <c r="A5938" s="1"/>
      <c r="B5938" s="1"/>
      <c r="C5938" s="1"/>
      <c r="D5938" s="1"/>
      <c r="E5938" s="357">
        <v>45978</v>
      </c>
      <c r="F5938" s="344" t="s">
        <v>625</v>
      </c>
      <c r="G5938" s="358">
        <v>49.031599999999997</v>
      </c>
      <c r="H5938" s="344" t="s">
        <v>2119</v>
      </c>
    </row>
    <row r="5939" spans="1:8">
      <c r="A5939" s="1"/>
      <c r="B5939" s="1"/>
      <c r="C5939" s="1"/>
      <c r="D5939" s="1"/>
      <c r="E5939" s="357">
        <v>45978</v>
      </c>
      <c r="F5939" s="344" t="s">
        <v>628</v>
      </c>
      <c r="G5939" s="358">
        <v>55.529800000000002</v>
      </c>
      <c r="H5939" s="344" t="s">
        <v>2119</v>
      </c>
    </row>
    <row r="5940" spans="1:8">
      <c r="A5940" s="1"/>
      <c r="B5940" s="1"/>
      <c r="C5940" s="1"/>
      <c r="D5940" s="1"/>
      <c r="E5940" s="357">
        <v>45978</v>
      </c>
      <c r="F5940" s="344" t="s">
        <v>631</v>
      </c>
      <c r="G5940" s="358">
        <v>42.252499999999998</v>
      </c>
      <c r="H5940" s="344" t="s">
        <v>2119</v>
      </c>
    </row>
    <row r="5941" spans="1:8">
      <c r="A5941" s="1"/>
      <c r="B5941" s="1"/>
      <c r="C5941" s="1"/>
      <c r="D5941" s="1"/>
      <c r="E5941" s="357">
        <v>45979</v>
      </c>
      <c r="F5941" s="344" t="s">
        <v>621</v>
      </c>
      <c r="G5941" s="358">
        <v>52.978900000000003</v>
      </c>
      <c r="H5941" s="344" t="s">
        <v>2120</v>
      </c>
    </row>
    <row r="5942" spans="1:8">
      <c r="A5942" s="1"/>
      <c r="B5942" s="1"/>
      <c r="C5942" s="1"/>
      <c r="D5942" s="1"/>
      <c r="E5942" s="357">
        <v>45979</v>
      </c>
      <c r="F5942" s="344" t="s">
        <v>625</v>
      </c>
      <c r="G5942" s="358">
        <v>48.979500000000002</v>
      </c>
      <c r="H5942" s="344" t="s">
        <v>2120</v>
      </c>
    </row>
    <row r="5943" spans="1:8">
      <c r="A5943" s="1"/>
      <c r="B5943" s="1"/>
      <c r="C5943" s="1"/>
      <c r="D5943" s="1"/>
      <c r="E5943" s="357">
        <v>45979</v>
      </c>
      <c r="F5943" s="344" t="s">
        <v>628</v>
      </c>
      <c r="G5943" s="358">
        <v>55.4803</v>
      </c>
      <c r="H5943" s="344" t="s">
        <v>2120</v>
      </c>
    </row>
    <row r="5944" spans="1:8">
      <c r="A5944" s="1"/>
      <c r="B5944" s="1"/>
      <c r="C5944" s="1"/>
      <c r="D5944" s="1"/>
      <c r="E5944" s="357">
        <v>45979</v>
      </c>
      <c r="F5944" s="344" t="s">
        <v>631</v>
      </c>
      <c r="G5944" s="358">
        <v>42.264099999999999</v>
      </c>
      <c r="H5944" s="344" t="s">
        <v>2120</v>
      </c>
    </row>
    <row r="5945" spans="1:8">
      <c r="A5945" s="1"/>
      <c r="B5945" s="1"/>
      <c r="C5945" s="1"/>
      <c r="D5945" s="1"/>
      <c r="E5945" s="357">
        <v>45980</v>
      </c>
      <c r="F5945" s="344" t="s">
        <v>621</v>
      </c>
      <c r="G5945" s="358">
        <v>52.664200000000001</v>
      </c>
      <c r="H5945" s="344" t="s">
        <v>2121</v>
      </c>
    </row>
    <row r="5946" spans="1:8">
      <c r="A5946" s="1"/>
      <c r="B5946" s="1"/>
      <c r="C5946" s="1"/>
      <c r="D5946" s="1"/>
      <c r="E5946" s="357">
        <v>45980</v>
      </c>
      <c r="F5946" s="344" t="s">
        <v>625</v>
      </c>
      <c r="G5946" s="358">
        <v>48.9495</v>
      </c>
      <c r="H5946" s="344" t="s">
        <v>2121</v>
      </c>
    </row>
    <row r="5947" spans="1:8">
      <c r="A5947" s="1"/>
      <c r="B5947" s="1"/>
      <c r="C5947" s="1"/>
      <c r="D5947" s="1"/>
      <c r="E5947" s="357">
        <v>45980</v>
      </c>
      <c r="F5947" s="344" t="s">
        <v>628</v>
      </c>
      <c r="G5947" s="358">
        <v>55.4131</v>
      </c>
      <c r="H5947" s="344" t="s">
        <v>2121</v>
      </c>
    </row>
    <row r="5948" spans="1:8">
      <c r="A5948" s="1"/>
      <c r="B5948" s="1"/>
      <c r="C5948" s="1"/>
      <c r="D5948" s="1"/>
      <c r="E5948" s="357">
        <v>45980</v>
      </c>
      <c r="F5948" s="344" t="s">
        <v>631</v>
      </c>
      <c r="G5948" s="358">
        <v>42.275599999999997</v>
      </c>
      <c r="H5948" s="344" t="s">
        <v>2121</v>
      </c>
    </row>
    <row r="5949" spans="1:8">
      <c r="A5949" s="1"/>
      <c r="B5949" s="1"/>
      <c r="C5949" s="1"/>
      <c r="D5949" s="1"/>
      <c r="E5949" s="357">
        <v>45981</v>
      </c>
      <c r="F5949" s="344" t="s">
        <v>621</v>
      </c>
      <c r="G5949" s="358">
        <v>52.326000000000001</v>
      </c>
      <c r="H5949" s="344" t="s">
        <v>2122</v>
      </c>
    </row>
    <row r="5950" spans="1:8">
      <c r="A5950" s="1"/>
      <c r="B5950" s="1"/>
      <c r="C5950" s="1"/>
      <c r="D5950" s="1"/>
      <c r="E5950" s="357">
        <v>45981</v>
      </c>
      <c r="F5950" s="344" t="s">
        <v>625</v>
      </c>
      <c r="G5950" s="358">
        <v>48.723799999999997</v>
      </c>
      <c r="H5950" s="344" t="s">
        <v>2122</v>
      </c>
    </row>
    <row r="5951" spans="1:8">
      <c r="A5951" s="1"/>
      <c r="B5951" s="1"/>
      <c r="C5951" s="1"/>
      <c r="D5951" s="1"/>
      <c r="E5951" s="357">
        <v>45981</v>
      </c>
      <c r="F5951" s="344" t="s">
        <v>628</v>
      </c>
      <c r="G5951" s="358">
        <v>55.172800000000002</v>
      </c>
      <c r="H5951" s="344" t="s">
        <v>2122</v>
      </c>
    </row>
    <row r="5952" spans="1:8">
      <c r="A5952" s="1"/>
      <c r="B5952" s="1"/>
      <c r="C5952" s="1"/>
      <c r="D5952" s="1"/>
      <c r="E5952" s="357">
        <v>45981</v>
      </c>
      <c r="F5952" s="344" t="s">
        <v>631</v>
      </c>
      <c r="G5952" s="358">
        <v>42.288200000000003</v>
      </c>
      <c r="H5952" s="344" t="s">
        <v>2122</v>
      </c>
    </row>
    <row r="5953" spans="1:8">
      <c r="A5953" s="1"/>
      <c r="B5953" s="1"/>
      <c r="C5953" s="1"/>
      <c r="D5953" s="1"/>
      <c r="E5953" s="357">
        <v>45982</v>
      </c>
      <c r="F5953" s="344" t="s">
        <v>621</v>
      </c>
      <c r="G5953" s="358">
        <v>52.375500000000002</v>
      </c>
      <c r="H5953" s="344" t="s">
        <v>2123</v>
      </c>
    </row>
    <row r="5954" spans="1:8">
      <c r="A5954" s="1"/>
      <c r="B5954" s="1"/>
      <c r="C5954" s="1"/>
      <c r="D5954" s="1"/>
      <c r="E5954" s="357">
        <v>45982</v>
      </c>
      <c r="F5954" s="344" t="s">
        <v>625</v>
      </c>
      <c r="G5954" s="358">
        <v>48.747199999999999</v>
      </c>
      <c r="H5954" s="344" t="s">
        <v>2123</v>
      </c>
    </row>
    <row r="5955" spans="1:8">
      <c r="A5955" s="1"/>
      <c r="B5955" s="1"/>
      <c r="C5955" s="1"/>
      <c r="D5955" s="1"/>
      <c r="E5955" s="357">
        <v>45982</v>
      </c>
      <c r="F5955" s="344" t="s">
        <v>628</v>
      </c>
      <c r="G5955" s="358">
        <v>55.183900000000001</v>
      </c>
      <c r="H5955" s="344" t="s">
        <v>2123</v>
      </c>
    </row>
    <row r="5956" spans="1:8">
      <c r="A5956" s="1"/>
      <c r="B5956" s="1"/>
      <c r="C5956" s="1"/>
      <c r="D5956" s="1"/>
      <c r="E5956" s="357">
        <v>45982</v>
      </c>
      <c r="F5956" s="344" t="s">
        <v>631</v>
      </c>
      <c r="G5956" s="358">
        <v>42.2819</v>
      </c>
      <c r="H5956" s="344" t="s">
        <v>2123</v>
      </c>
    </row>
    <row r="5957" spans="1:8">
      <c r="A5957" s="1"/>
      <c r="B5957" s="1"/>
      <c r="C5957" s="1"/>
      <c r="D5957" s="1"/>
      <c r="E5957" s="357">
        <v>45985</v>
      </c>
      <c r="F5957" s="344" t="s">
        <v>621</v>
      </c>
      <c r="G5957" s="358">
        <v>52.323500000000003</v>
      </c>
      <c r="H5957" s="344" t="s">
        <v>2124</v>
      </c>
    </row>
    <row r="5958" spans="1:8">
      <c r="A5958" s="1"/>
      <c r="B5958" s="1"/>
      <c r="C5958" s="1"/>
      <c r="D5958" s="1"/>
      <c r="E5958" s="357">
        <v>45985</v>
      </c>
      <c r="F5958" s="344" t="s">
        <v>625</v>
      </c>
      <c r="G5958" s="358">
        <v>48.847299999999997</v>
      </c>
      <c r="H5958" s="344" t="s">
        <v>2124</v>
      </c>
    </row>
    <row r="5959" spans="1:8">
      <c r="A5959" s="1"/>
      <c r="B5959" s="1"/>
      <c r="C5959" s="1"/>
      <c r="D5959" s="1"/>
      <c r="E5959" s="357">
        <v>45985</v>
      </c>
      <c r="F5959" s="344" t="s">
        <v>628</v>
      </c>
      <c r="G5959" s="358">
        <v>55.378799999999998</v>
      </c>
      <c r="H5959" s="344" t="s">
        <v>2124</v>
      </c>
    </row>
    <row r="5960" spans="1:8">
      <c r="A5960" s="1"/>
      <c r="B5960" s="1"/>
      <c r="C5960" s="1"/>
      <c r="D5960" s="1"/>
      <c r="E5960" s="357">
        <v>45985</v>
      </c>
      <c r="F5960" s="344" t="s">
        <v>631</v>
      </c>
      <c r="G5960" s="358">
        <v>42.3675</v>
      </c>
      <c r="H5960" s="344" t="s">
        <v>2124</v>
      </c>
    </row>
    <row r="5961" spans="1:8">
      <c r="A5961" s="1"/>
      <c r="B5961" s="1"/>
      <c r="C5961" s="1"/>
      <c r="D5961" s="1"/>
      <c r="E5961" s="357">
        <v>45986</v>
      </c>
      <c r="F5961" s="344" t="s">
        <v>621</v>
      </c>
      <c r="G5961" s="358">
        <v>52.218699999999998</v>
      </c>
      <c r="H5961" s="344" t="s">
        <v>2125</v>
      </c>
    </row>
    <row r="5962" spans="1:8">
      <c r="A5962" s="1"/>
      <c r="B5962" s="1"/>
      <c r="C5962" s="1"/>
      <c r="D5962" s="1"/>
      <c r="E5962" s="357">
        <v>45986</v>
      </c>
      <c r="F5962" s="344" t="s">
        <v>625</v>
      </c>
      <c r="G5962" s="358">
        <v>48.841500000000003</v>
      </c>
      <c r="H5962" s="344" t="s">
        <v>2125</v>
      </c>
    </row>
    <row r="5963" spans="1:8">
      <c r="A5963" s="1"/>
      <c r="B5963" s="1"/>
      <c r="C5963" s="1"/>
      <c r="D5963" s="1"/>
      <c r="E5963" s="357">
        <v>45986</v>
      </c>
      <c r="F5963" s="344" t="s">
        <v>628</v>
      </c>
      <c r="G5963" s="358">
        <v>55.485399999999998</v>
      </c>
      <c r="H5963" s="344" t="s">
        <v>2125</v>
      </c>
    </row>
    <row r="5964" spans="1:8">
      <c r="A5964" s="1"/>
      <c r="B5964" s="1"/>
      <c r="C5964" s="1"/>
      <c r="D5964" s="1"/>
      <c r="E5964" s="357">
        <v>45986</v>
      </c>
      <c r="F5964" s="344" t="s">
        <v>631</v>
      </c>
      <c r="G5964" s="358">
        <v>42.366799999999998</v>
      </c>
      <c r="H5964" s="344" t="s">
        <v>2125</v>
      </c>
    </row>
    <row r="5965" spans="1:8">
      <c r="A5965" s="1"/>
      <c r="B5965" s="1"/>
      <c r="C5965" s="1"/>
      <c r="D5965" s="1"/>
      <c r="E5965" s="357">
        <v>45987</v>
      </c>
      <c r="F5965" s="344" t="s">
        <v>621</v>
      </c>
      <c r="G5965" s="358">
        <v>52.421300000000002</v>
      </c>
      <c r="H5965" s="344" t="s">
        <v>2126</v>
      </c>
    </row>
    <row r="5966" spans="1:8">
      <c r="A5966" s="1"/>
      <c r="B5966" s="1"/>
      <c r="C5966" s="1"/>
      <c r="D5966" s="1"/>
      <c r="E5966" s="357">
        <v>45987</v>
      </c>
      <c r="F5966" s="344" t="s">
        <v>625</v>
      </c>
      <c r="G5966" s="358">
        <v>49.035499999999999</v>
      </c>
      <c r="H5966" s="344" t="s">
        <v>2126</v>
      </c>
    </row>
    <row r="5967" spans="1:8">
      <c r="A5967" s="1"/>
      <c r="B5967" s="1"/>
      <c r="C5967" s="1"/>
      <c r="D5967" s="1"/>
      <c r="E5967" s="357">
        <v>45987</v>
      </c>
      <c r="F5967" s="344" t="s">
        <v>628</v>
      </c>
      <c r="G5967" s="358">
        <v>55.712200000000003</v>
      </c>
      <c r="H5967" s="344" t="s">
        <v>2126</v>
      </c>
    </row>
    <row r="5968" spans="1:8">
      <c r="A5968" s="1"/>
      <c r="B5968" s="1"/>
      <c r="C5968" s="1"/>
      <c r="D5968" s="1"/>
      <c r="E5968" s="357">
        <v>45987</v>
      </c>
      <c r="F5968" s="344" t="s">
        <v>631</v>
      </c>
      <c r="G5968" s="358">
        <v>42.357799999999997</v>
      </c>
      <c r="H5968" s="344" t="s">
        <v>2126</v>
      </c>
    </row>
    <row r="5969" spans="1:8">
      <c r="A5969" s="1"/>
      <c r="B5969" s="1"/>
      <c r="C5969" s="1"/>
      <c r="D5969" s="1"/>
      <c r="E5969" s="357">
        <v>45988</v>
      </c>
      <c r="F5969" s="344" t="s">
        <v>621</v>
      </c>
      <c r="G5969" s="358">
        <v>52.487299999999998</v>
      </c>
      <c r="H5969" s="344" t="s">
        <v>2127</v>
      </c>
    </row>
    <row r="5970" spans="1:8">
      <c r="A5970" s="1"/>
      <c r="B5970" s="1"/>
      <c r="C5970" s="1"/>
      <c r="D5970" s="1"/>
      <c r="E5970" s="357">
        <v>45988</v>
      </c>
      <c r="F5970" s="344" t="s">
        <v>625</v>
      </c>
      <c r="G5970" s="358">
        <v>49.087800000000001</v>
      </c>
      <c r="H5970" s="344" t="s">
        <v>2127</v>
      </c>
    </row>
    <row r="5971" spans="1:8">
      <c r="A5971" s="1"/>
      <c r="B5971" s="1"/>
      <c r="C5971" s="1"/>
      <c r="D5971" s="1"/>
      <c r="E5971" s="357">
        <v>45988</v>
      </c>
      <c r="F5971" s="344" t="s">
        <v>628</v>
      </c>
      <c r="G5971" s="358">
        <v>55.945599999999999</v>
      </c>
      <c r="H5971" s="344" t="s">
        <v>2127</v>
      </c>
    </row>
    <row r="5972" spans="1:8">
      <c r="A5972" s="1"/>
      <c r="B5972" s="1"/>
      <c r="C5972" s="1"/>
      <c r="D5972" s="1"/>
      <c r="E5972" s="357">
        <v>45988</v>
      </c>
      <c r="F5972" s="344" t="s">
        <v>631</v>
      </c>
      <c r="G5972" s="358">
        <v>42.362400000000001</v>
      </c>
      <c r="H5972" s="344" t="s">
        <v>2127</v>
      </c>
    </row>
    <row r="5973" spans="1:8">
      <c r="A5973" s="1"/>
      <c r="B5973" s="1"/>
      <c r="C5973" s="1"/>
      <c r="D5973" s="1"/>
      <c r="E5973" s="357">
        <v>45989</v>
      </c>
      <c r="F5973" s="344" t="s">
        <v>621</v>
      </c>
      <c r="G5973" s="358">
        <v>52.433700000000002</v>
      </c>
      <c r="H5973" s="344" t="s">
        <v>2128</v>
      </c>
    </row>
    <row r="5974" spans="1:8">
      <c r="A5974" s="1"/>
      <c r="B5974" s="1"/>
      <c r="C5974" s="1"/>
      <c r="D5974" s="1"/>
      <c r="E5974" s="357">
        <v>45989</v>
      </c>
      <c r="F5974" s="344" t="s">
        <v>625</v>
      </c>
      <c r="G5974" s="358">
        <v>49.011400000000002</v>
      </c>
      <c r="H5974" s="344" t="s">
        <v>2128</v>
      </c>
    </row>
    <row r="5975" spans="1:8">
      <c r="A5975" s="1"/>
      <c r="B5975" s="1"/>
      <c r="C5975" s="1"/>
      <c r="D5975" s="1"/>
      <c r="E5975" s="357">
        <v>45989</v>
      </c>
      <c r="F5975" s="344" t="s">
        <v>628</v>
      </c>
      <c r="G5975" s="358">
        <v>55.8504</v>
      </c>
      <c r="H5975" s="344" t="s">
        <v>2128</v>
      </c>
    </row>
    <row r="5976" spans="1:8">
      <c r="A5976" s="1"/>
      <c r="B5976" s="1"/>
      <c r="C5976" s="1"/>
      <c r="D5976" s="1"/>
      <c r="E5976" s="357">
        <v>45989</v>
      </c>
      <c r="F5976" s="344" t="s">
        <v>631</v>
      </c>
      <c r="G5976" s="358">
        <v>42.354700000000001</v>
      </c>
      <c r="H5976" s="344" t="s">
        <v>2128</v>
      </c>
    </row>
    <row r="5977" spans="1:8">
      <c r="A5977" s="1"/>
      <c r="B5977" s="1"/>
      <c r="C5977" s="1"/>
      <c r="D5977" s="1"/>
      <c r="E5977" s="357">
        <v>45992</v>
      </c>
      <c r="F5977" s="344" t="s">
        <v>621</v>
      </c>
      <c r="G5977" s="358">
        <v>52.689900000000002</v>
      </c>
      <c r="H5977" s="344" t="s">
        <v>2129</v>
      </c>
    </row>
    <row r="5978" spans="1:8">
      <c r="A5978" s="1"/>
      <c r="B5978" s="1"/>
      <c r="C5978" s="1"/>
      <c r="D5978" s="1"/>
      <c r="E5978" s="357">
        <v>45992</v>
      </c>
      <c r="F5978" s="344" t="s">
        <v>625</v>
      </c>
      <c r="G5978" s="358">
        <v>49.270800000000001</v>
      </c>
      <c r="H5978" s="344" t="s">
        <v>2129</v>
      </c>
    </row>
    <row r="5979" spans="1:8">
      <c r="A5979" s="1"/>
      <c r="B5979" s="1"/>
      <c r="C5979" s="1"/>
      <c r="D5979" s="1"/>
      <c r="E5979" s="357">
        <v>45992</v>
      </c>
      <c r="F5979" s="344" t="s">
        <v>628</v>
      </c>
      <c r="G5979" s="358">
        <v>55.996200000000002</v>
      </c>
      <c r="H5979" s="344" t="s">
        <v>2129</v>
      </c>
    </row>
    <row r="5980" spans="1:8">
      <c r="A5980" s="1"/>
      <c r="B5980" s="1"/>
      <c r="C5980" s="1"/>
      <c r="D5980" s="1"/>
      <c r="E5980" s="357">
        <v>45992</v>
      </c>
      <c r="F5980" s="344" t="s">
        <v>631</v>
      </c>
      <c r="G5980" s="358">
        <v>42.415999999999997</v>
      </c>
      <c r="H5980" s="344" t="s">
        <v>2129</v>
      </c>
    </row>
    <row r="5981" spans="1:8">
      <c r="A5981" s="1"/>
      <c r="B5981" s="1"/>
      <c r="C5981" s="1"/>
      <c r="D5981" s="1"/>
      <c r="E5981" s="357">
        <v>45993</v>
      </c>
      <c r="F5981" s="344" t="s">
        <v>621</v>
      </c>
      <c r="G5981" s="358">
        <v>52.529899999999998</v>
      </c>
      <c r="H5981" s="344" t="s">
        <v>2130</v>
      </c>
    </row>
    <row r="5982" spans="1:8">
      <c r="A5982" s="1"/>
      <c r="B5982" s="1"/>
      <c r="C5982" s="1"/>
      <c r="D5982" s="1"/>
      <c r="E5982" s="357">
        <v>45993</v>
      </c>
      <c r="F5982" s="344" t="s">
        <v>625</v>
      </c>
      <c r="G5982" s="358">
        <v>49.1783</v>
      </c>
      <c r="H5982" s="344" t="s">
        <v>2130</v>
      </c>
    </row>
    <row r="5983" spans="1:8">
      <c r="A5983" s="1"/>
      <c r="B5983" s="1"/>
      <c r="C5983" s="1"/>
      <c r="D5983" s="1"/>
      <c r="E5983" s="357">
        <v>45993</v>
      </c>
      <c r="F5983" s="344" t="s">
        <v>628</v>
      </c>
      <c r="G5983" s="358">
        <v>55.849400000000003</v>
      </c>
      <c r="H5983" s="344" t="s">
        <v>2130</v>
      </c>
    </row>
    <row r="5984" spans="1:8">
      <c r="A5984" s="1"/>
      <c r="B5984" s="1"/>
      <c r="C5984" s="1"/>
      <c r="D5984" s="1"/>
      <c r="E5984" s="357">
        <v>45993</v>
      </c>
      <c r="F5984" s="344" t="s">
        <v>631</v>
      </c>
      <c r="G5984" s="358">
        <v>42.357399999999998</v>
      </c>
      <c r="H5984" s="344" t="s">
        <v>2130</v>
      </c>
    </row>
    <row r="5985" spans="1:8">
      <c r="A5985" s="1"/>
      <c r="B5985" s="1"/>
      <c r="C5985" s="1"/>
      <c r="D5985" s="1"/>
      <c r="E5985" s="357">
        <v>45994</v>
      </c>
      <c r="F5985" s="344" t="s">
        <v>621</v>
      </c>
      <c r="G5985" s="358">
        <v>52.752400000000002</v>
      </c>
      <c r="H5985" s="344" t="s">
        <v>2131</v>
      </c>
    </row>
    <row r="5986" spans="1:8">
      <c r="A5986" s="1"/>
      <c r="B5986" s="1"/>
      <c r="C5986" s="1"/>
      <c r="D5986" s="1"/>
      <c r="E5986" s="357">
        <v>45994</v>
      </c>
      <c r="F5986" s="344" t="s">
        <v>625</v>
      </c>
      <c r="G5986" s="358">
        <v>49.360900000000001</v>
      </c>
      <c r="H5986" s="344" t="s">
        <v>2131</v>
      </c>
    </row>
    <row r="5987" spans="1:8">
      <c r="A5987" s="1"/>
      <c r="B5987" s="1"/>
      <c r="C5987" s="1"/>
      <c r="D5987" s="1"/>
      <c r="E5987" s="357">
        <v>45994</v>
      </c>
      <c r="F5987" s="344" t="s">
        <v>628</v>
      </c>
      <c r="G5987" s="358">
        <v>56.118299999999998</v>
      </c>
      <c r="H5987" s="344" t="s">
        <v>2131</v>
      </c>
    </row>
    <row r="5988" spans="1:8">
      <c r="A5988" s="1"/>
      <c r="B5988" s="1"/>
      <c r="C5988" s="1"/>
      <c r="D5988" s="1"/>
      <c r="E5988" s="357">
        <v>45994</v>
      </c>
      <c r="F5988" s="344" t="s">
        <v>631</v>
      </c>
      <c r="G5988" s="358">
        <v>42.370199999999997</v>
      </c>
      <c r="H5988" s="344" t="s">
        <v>2131</v>
      </c>
    </row>
    <row r="5989" spans="1:8">
      <c r="A5989" s="1"/>
      <c r="B5989" s="1"/>
      <c r="C5989" s="1"/>
      <c r="D5989" s="1"/>
      <c r="E5989" s="357">
        <v>45995</v>
      </c>
      <c r="F5989" s="344" t="s">
        <v>621</v>
      </c>
      <c r="G5989" s="358">
        <v>52.8279</v>
      </c>
      <c r="H5989" s="344" t="s">
        <v>2132</v>
      </c>
    </row>
    <row r="5990" spans="1:8">
      <c r="A5990" s="1"/>
      <c r="B5990" s="1"/>
      <c r="C5990" s="1"/>
      <c r="D5990" s="1"/>
      <c r="E5990" s="357">
        <v>45995</v>
      </c>
      <c r="F5990" s="344" t="s">
        <v>625</v>
      </c>
      <c r="G5990" s="358">
        <v>49.458300000000001</v>
      </c>
      <c r="H5990" s="344" t="s">
        <v>2132</v>
      </c>
    </row>
    <row r="5991" spans="1:8">
      <c r="A5991" s="1"/>
      <c r="B5991" s="1"/>
      <c r="C5991" s="1"/>
      <c r="D5991" s="1"/>
      <c r="E5991" s="357">
        <v>45995</v>
      </c>
      <c r="F5991" s="344" t="s">
        <v>628</v>
      </c>
      <c r="G5991" s="358">
        <v>56.4542</v>
      </c>
      <c r="H5991" s="344" t="s">
        <v>2132</v>
      </c>
    </row>
    <row r="5992" spans="1:8">
      <c r="A5992" s="1"/>
      <c r="B5992" s="1"/>
      <c r="C5992" s="1"/>
      <c r="D5992" s="1"/>
      <c r="E5992" s="357">
        <v>45995</v>
      </c>
      <c r="F5992" s="344" t="s">
        <v>631</v>
      </c>
      <c r="G5992" s="358">
        <v>42.377099999999999</v>
      </c>
      <c r="H5992" s="344" t="s">
        <v>2132</v>
      </c>
    </row>
    <row r="5993" spans="1:8">
      <c r="A5993" s="1"/>
      <c r="B5993" s="1"/>
      <c r="C5993" s="1"/>
      <c r="D5993" s="1"/>
      <c r="E5993" s="357">
        <v>45996</v>
      </c>
      <c r="F5993" s="344" t="s">
        <v>621</v>
      </c>
      <c r="G5993" s="358">
        <v>52.635300000000001</v>
      </c>
      <c r="H5993" s="344" t="s">
        <v>2133</v>
      </c>
    </row>
    <row r="5994" spans="1:8">
      <c r="A5994" s="1"/>
      <c r="B5994" s="1"/>
      <c r="C5994" s="1"/>
      <c r="D5994" s="1"/>
      <c r="E5994" s="357">
        <v>45996</v>
      </c>
      <c r="F5994" s="344" t="s">
        <v>625</v>
      </c>
      <c r="G5994" s="358">
        <v>49.369900000000001</v>
      </c>
      <c r="H5994" s="344" t="s">
        <v>2133</v>
      </c>
    </row>
    <row r="5995" spans="1:8">
      <c r="A5995" s="1"/>
      <c r="B5995" s="1"/>
      <c r="C5995" s="1"/>
      <c r="D5995" s="1"/>
      <c r="E5995" s="357">
        <v>45996</v>
      </c>
      <c r="F5995" s="344" t="s">
        <v>628</v>
      </c>
      <c r="G5995" s="358">
        <v>56.438299999999998</v>
      </c>
      <c r="H5995" s="344" t="s">
        <v>2133</v>
      </c>
    </row>
    <row r="5996" spans="1:8">
      <c r="A5996" s="1"/>
      <c r="B5996" s="1"/>
      <c r="C5996" s="1"/>
      <c r="D5996" s="1"/>
      <c r="E5996" s="357">
        <v>45996</v>
      </c>
      <c r="F5996" s="344" t="s">
        <v>631</v>
      </c>
      <c r="G5996" s="358">
        <v>42.360599999999998</v>
      </c>
      <c r="H5996" s="344" t="s">
        <v>2133</v>
      </c>
    </row>
    <row r="5997" spans="1:8">
      <c r="A5997" s="1"/>
      <c r="B5997" s="1"/>
      <c r="C5997" s="1"/>
      <c r="D5997" s="1"/>
      <c r="E5997" s="357">
        <v>45999</v>
      </c>
      <c r="F5997" s="344" t="s">
        <v>621</v>
      </c>
      <c r="G5997" s="358">
        <v>52.694099999999999</v>
      </c>
      <c r="H5997" s="344" t="s">
        <v>2134</v>
      </c>
    </row>
    <row r="5998" spans="1:8">
      <c r="A5998" s="1"/>
      <c r="B5998" s="1"/>
      <c r="C5998" s="1"/>
      <c r="D5998" s="1"/>
      <c r="E5998" s="357">
        <v>45999</v>
      </c>
      <c r="F5998" s="344" t="s">
        <v>625</v>
      </c>
      <c r="G5998" s="358">
        <v>49.500399999999999</v>
      </c>
      <c r="H5998" s="344" t="s">
        <v>2134</v>
      </c>
    </row>
    <row r="5999" spans="1:8">
      <c r="A5999" s="1"/>
      <c r="B5999" s="1"/>
      <c r="C5999" s="1"/>
      <c r="D5999" s="1"/>
      <c r="E5999" s="357">
        <v>45999</v>
      </c>
      <c r="F5999" s="344" t="s">
        <v>628</v>
      </c>
      <c r="G5999" s="358">
        <v>56.496499999999997</v>
      </c>
      <c r="H5999" s="344" t="s">
        <v>2134</v>
      </c>
    </row>
    <row r="6000" spans="1:8">
      <c r="A6000" s="1"/>
      <c r="B6000" s="1"/>
      <c r="C6000" s="1"/>
      <c r="D6000" s="1"/>
      <c r="E6000" s="357">
        <v>45999</v>
      </c>
      <c r="F6000" s="344" t="s">
        <v>631</v>
      </c>
      <c r="G6000" s="358">
        <v>42.473500000000001</v>
      </c>
      <c r="H6000" s="344" t="s">
        <v>2134</v>
      </c>
    </row>
    <row r="6001" spans="1:8">
      <c r="A6001" s="1"/>
      <c r="B6001" s="1"/>
      <c r="C6001" s="1"/>
      <c r="D6001" s="1"/>
      <c r="E6001" s="357">
        <v>46000</v>
      </c>
      <c r="F6001" s="344" t="s">
        <v>621</v>
      </c>
      <c r="G6001" s="358">
        <v>52.600099999999998</v>
      </c>
      <c r="H6001" s="344" t="s">
        <v>2135</v>
      </c>
    </row>
    <row r="6002" spans="1:8">
      <c r="A6002" s="1"/>
      <c r="B6002" s="1"/>
      <c r="C6002" s="1"/>
      <c r="D6002" s="1"/>
      <c r="E6002" s="357">
        <v>46000</v>
      </c>
      <c r="F6002" s="344" t="s">
        <v>625</v>
      </c>
      <c r="G6002" s="358">
        <v>49.487499999999997</v>
      </c>
      <c r="H6002" s="344" t="s">
        <v>2135</v>
      </c>
    </row>
    <row r="6003" spans="1:8">
      <c r="A6003" s="1"/>
      <c r="B6003" s="1"/>
      <c r="C6003" s="1"/>
      <c r="D6003" s="1"/>
      <c r="E6003" s="357">
        <v>46000</v>
      </c>
      <c r="F6003" s="344" t="s">
        <v>628</v>
      </c>
      <c r="G6003" s="358">
        <v>56.578699999999998</v>
      </c>
      <c r="H6003" s="344" t="s">
        <v>2135</v>
      </c>
    </row>
    <row r="6004" spans="1:8">
      <c r="A6004" s="1"/>
      <c r="B6004" s="1"/>
      <c r="C6004" s="1"/>
      <c r="D6004" s="1"/>
      <c r="E6004" s="357">
        <v>46000</v>
      </c>
      <c r="F6004" s="344" t="s">
        <v>631</v>
      </c>
      <c r="G6004" s="358">
        <v>42.497</v>
      </c>
      <c r="H6004" s="344" t="s">
        <v>2135</v>
      </c>
    </row>
    <row r="6005" spans="1:8">
      <c r="A6005" s="1"/>
      <c r="B6005" s="1"/>
      <c r="C6005" s="1"/>
      <c r="D6005" s="1"/>
      <c r="E6005" s="357">
        <v>46001</v>
      </c>
      <c r="F6005" s="344" t="s">
        <v>621</v>
      </c>
      <c r="G6005" s="358">
        <v>52.684699999999999</v>
      </c>
      <c r="H6005" s="344" t="s">
        <v>2136</v>
      </c>
    </row>
    <row r="6006" spans="1:8">
      <c r="A6006" s="1"/>
      <c r="B6006" s="1"/>
      <c r="C6006" s="1"/>
      <c r="D6006" s="1"/>
      <c r="E6006" s="357">
        <v>46001</v>
      </c>
      <c r="F6006" s="344" t="s">
        <v>625</v>
      </c>
      <c r="G6006" s="358">
        <v>49.493600000000001</v>
      </c>
      <c r="H6006" s="344" t="s">
        <v>2136</v>
      </c>
    </row>
    <row r="6007" spans="1:8">
      <c r="A6007" s="1"/>
      <c r="B6007" s="1"/>
      <c r="C6007" s="1"/>
      <c r="D6007" s="1"/>
      <c r="E6007" s="357">
        <v>46001</v>
      </c>
      <c r="F6007" s="344" t="s">
        <v>628</v>
      </c>
      <c r="G6007" s="358">
        <v>56.518300000000004</v>
      </c>
      <c r="H6007" s="344" t="s">
        <v>2136</v>
      </c>
    </row>
    <row r="6008" spans="1:8">
      <c r="A6008" s="1"/>
      <c r="B6008" s="1"/>
      <c r="C6008" s="1"/>
      <c r="D6008" s="1"/>
      <c r="E6008" s="357">
        <v>46001</v>
      </c>
      <c r="F6008" s="344" t="s">
        <v>631</v>
      </c>
      <c r="G6008" s="358">
        <v>42.517899999999997</v>
      </c>
      <c r="H6008" s="344" t="s">
        <v>2136</v>
      </c>
    </row>
    <row r="6009" spans="1:8">
      <c r="A6009" s="1"/>
      <c r="B6009" s="1"/>
      <c r="C6009" s="1"/>
      <c r="D6009" s="1"/>
      <c r="E6009" s="357">
        <v>46002</v>
      </c>
      <c r="F6009" s="344" t="s">
        <v>621</v>
      </c>
      <c r="G6009" s="358">
        <v>53.1556</v>
      </c>
      <c r="H6009" s="344" t="s">
        <v>2137</v>
      </c>
    </row>
    <row r="6010" spans="1:8">
      <c r="A6010" s="1"/>
      <c r="B6010" s="1"/>
      <c r="C6010" s="1"/>
      <c r="D6010" s="1"/>
      <c r="E6010" s="357">
        <v>46002</v>
      </c>
      <c r="F6010" s="344" t="s">
        <v>625</v>
      </c>
      <c r="G6010" s="358">
        <v>49.767200000000003</v>
      </c>
      <c r="H6010" s="344" t="s">
        <v>2137</v>
      </c>
    </row>
    <row r="6011" spans="1:8">
      <c r="A6011" s="1"/>
      <c r="B6011" s="1"/>
      <c r="C6011" s="1"/>
      <c r="D6011" s="1"/>
      <c r="E6011" s="357">
        <v>46002</v>
      </c>
      <c r="F6011" s="344" t="s">
        <v>628</v>
      </c>
      <c r="G6011" s="358">
        <v>56.787100000000002</v>
      </c>
      <c r="H6011" s="344" t="s">
        <v>2137</v>
      </c>
    </row>
    <row r="6012" spans="1:8">
      <c r="A6012" s="1"/>
      <c r="B6012" s="1"/>
      <c r="C6012" s="1"/>
      <c r="D6012" s="1"/>
      <c r="E6012" s="357">
        <v>46002</v>
      </c>
      <c r="F6012" s="344" t="s">
        <v>631</v>
      </c>
      <c r="G6012" s="358">
        <v>42.534300000000002</v>
      </c>
      <c r="H6012" s="344" t="s">
        <v>2137</v>
      </c>
    </row>
    <row r="6013" spans="1:8">
      <c r="A6013" s="1"/>
      <c r="B6013" s="1"/>
      <c r="C6013" s="1"/>
      <c r="D6013" s="1"/>
      <c r="E6013" s="357">
        <v>46003</v>
      </c>
      <c r="F6013" s="344" t="s">
        <v>621</v>
      </c>
      <c r="G6013" s="358">
        <v>53.374200000000002</v>
      </c>
      <c r="H6013" s="344" t="s">
        <v>2138</v>
      </c>
    </row>
    <row r="6014" spans="1:8">
      <c r="A6014" s="1"/>
      <c r="B6014" s="1"/>
      <c r="C6014" s="1"/>
      <c r="D6014" s="1"/>
      <c r="E6014" s="357">
        <v>46003</v>
      </c>
      <c r="F6014" s="344" t="s">
        <v>625</v>
      </c>
      <c r="G6014" s="358">
        <v>49.901000000000003</v>
      </c>
      <c r="H6014" s="344" t="s">
        <v>2138</v>
      </c>
    </row>
    <row r="6015" spans="1:8">
      <c r="A6015" s="1"/>
      <c r="B6015" s="1"/>
      <c r="C6015" s="1"/>
      <c r="D6015" s="1"/>
      <c r="E6015" s="357">
        <v>46003</v>
      </c>
      <c r="F6015" s="344" t="s">
        <v>628</v>
      </c>
      <c r="G6015" s="358">
        <v>56.823700000000002</v>
      </c>
      <c r="H6015" s="344" t="s">
        <v>2138</v>
      </c>
    </row>
    <row r="6016" spans="1:8">
      <c r="A6016" s="1"/>
      <c r="B6016" s="1"/>
      <c r="C6016" s="1"/>
      <c r="D6016" s="1"/>
      <c r="E6016" s="357">
        <v>46003</v>
      </c>
      <c r="F6016" s="344" t="s">
        <v>631</v>
      </c>
      <c r="G6016" s="358">
        <v>42.534399999999998</v>
      </c>
      <c r="H6016" s="344" t="s">
        <v>2138</v>
      </c>
    </row>
    <row r="6017" spans="1:8">
      <c r="A6017" s="1"/>
      <c r="B6017" s="1"/>
      <c r="C6017" s="1"/>
      <c r="D6017" s="1"/>
      <c r="E6017" s="357">
        <v>46006</v>
      </c>
      <c r="F6017" s="344" t="s">
        <v>621</v>
      </c>
      <c r="G6017" s="358">
        <v>53.395099999999999</v>
      </c>
      <c r="H6017" s="344" t="s">
        <v>2139</v>
      </c>
    </row>
    <row r="6018" spans="1:8">
      <c r="A6018" s="1"/>
      <c r="B6018" s="1"/>
      <c r="C6018" s="1"/>
      <c r="D6018" s="1"/>
      <c r="E6018" s="357">
        <v>46006</v>
      </c>
      <c r="F6018" s="344" t="s">
        <v>625</v>
      </c>
      <c r="G6018" s="358">
        <v>50.0304</v>
      </c>
      <c r="H6018" s="344" t="s">
        <v>2139</v>
      </c>
    </row>
    <row r="6019" spans="1:8">
      <c r="A6019" s="1"/>
      <c r="B6019" s="1"/>
      <c r="C6019" s="1"/>
      <c r="D6019" s="1"/>
      <c r="E6019" s="357">
        <v>46006</v>
      </c>
      <c r="F6019" s="344" t="s">
        <v>628</v>
      </c>
      <c r="G6019" s="358">
        <v>56.908299999999997</v>
      </c>
      <c r="H6019" s="344" t="s">
        <v>2139</v>
      </c>
    </row>
    <row r="6020" spans="1:8">
      <c r="A6020" s="1"/>
      <c r="B6020" s="1"/>
      <c r="C6020" s="1"/>
      <c r="D6020" s="1"/>
      <c r="E6020" s="357">
        <v>46006</v>
      </c>
      <c r="F6020" s="344" t="s">
        <v>631</v>
      </c>
      <c r="G6020" s="358">
        <v>42.621099999999998</v>
      </c>
      <c r="H6020" s="344" t="s">
        <v>2139</v>
      </c>
    </row>
    <row r="6021" spans="1:8">
      <c r="A6021" s="1"/>
      <c r="B6021" s="1"/>
      <c r="C6021" s="1"/>
      <c r="D6021" s="1"/>
      <c r="E6021" s="357">
        <v>46007</v>
      </c>
      <c r="F6021" s="344" t="s">
        <v>621</v>
      </c>
      <c r="G6021" s="358">
        <v>53.421199999999999</v>
      </c>
      <c r="H6021" s="344" t="s">
        <v>2140</v>
      </c>
    </row>
    <row r="6022" spans="1:8">
      <c r="A6022" s="1"/>
      <c r="B6022" s="1"/>
      <c r="C6022" s="1"/>
      <c r="D6022" s="1"/>
      <c r="E6022" s="357">
        <v>46007</v>
      </c>
      <c r="F6022" s="344" t="s">
        <v>625</v>
      </c>
      <c r="G6022" s="358">
        <v>50.118499999999997</v>
      </c>
      <c r="H6022" s="344" t="s">
        <v>2140</v>
      </c>
    </row>
    <row r="6023" spans="1:8">
      <c r="A6023" s="1"/>
      <c r="B6023" s="1"/>
      <c r="C6023" s="1"/>
      <c r="D6023" s="1"/>
      <c r="E6023" s="357">
        <v>46007</v>
      </c>
      <c r="F6023" s="344" t="s">
        <v>628</v>
      </c>
      <c r="G6023" s="358">
        <v>57.028500000000001</v>
      </c>
      <c r="H6023" s="344" t="s">
        <v>2140</v>
      </c>
    </row>
    <row r="6024" spans="1:8">
      <c r="A6024" s="1"/>
      <c r="B6024" s="1"/>
      <c r="C6024" s="1"/>
      <c r="D6024" s="1"/>
      <c r="E6024" s="357">
        <v>46007</v>
      </c>
      <c r="F6024" s="344" t="s">
        <v>631</v>
      </c>
      <c r="G6024" s="358">
        <v>42.631700000000002</v>
      </c>
      <c r="H6024" s="344" t="s">
        <v>2140</v>
      </c>
    </row>
    <row r="6025" spans="1:8">
      <c r="A6025" s="1"/>
      <c r="B6025" s="1"/>
      <c r="C6025" s="1"/>
      <c r="D6025" s="1"/>
      <c r="E6025" s="357">
        <v>46008</v>
      </c>
      <c r="F6025" s="344" t="s">
        <v>621</v>
      </c>
      <c r="G6025" s="358">
        <v>53.353499999999997</v>
      </c>
      <c r="H6025" s="344" t="s">
        <v>2141</v>
      </c>
    </row>
    <row r="6026" spans="1:8">
      <c r="A6026" s="1"/>
      <c r="B6026" s="1"/>
      <c r="C6026" s="1"/>
      <c r="D6026" s="1"/>
      <c r="E6026" s="357">
        <v>46008</v>
      </c>
      <c r="F6026" s="344" t="s">
        <v>625</v>
      </c>
      <c r="G6026" s="358">
        <v>49.968200000000003</v>
      </c>
      <c r="H6026" s="344" t="s">
        <v>2141</v>
      </c>
    </row>
    <row r="6027" spans="1:8">
      <c r="A6027" s="1"/>
      <c r="B6027" s="1"/>
      <c r="C6027" s="1"/>
      <c r="D6027" s="1"/>
      <c r="E6027" s="357">
        <v>46008</v>
      </c>
      <c r="F6027" s="344" t="s">
        <v>628</v>
      </c>
      <c r="G6027" s="358">
        <v>56.782400000000003</v>
      </c>
      <c r="H6027" s="344" t="s">
        <v>2141</v>
      </c>
    </row>
    <row r="6028" spans="1:8">
      <c r="A6028" s="1"/>
      <c r="B6028" s="1"/>
      <c r="C6028" s="1"/>
      <c r="D6028" s="1"/>
      <c r="E6028" s="357">
        <v>46008</v>
      </c>
      <c r="F6028" s="344" t="s">
        <v>631</v>
      </c>
      <c r="G6028" s="358">
        <v>42.651600000000002</v>
      </c>
      <c r="H6028" s="344" t="s">
        <v>2141</v>
      </c>
    </row>
    <row r="6029" spans="1:8">
      <c r="A6029" s="1"/>
      <c r="B6029" s="1"/>
      <c r="C6029" s="1"/>
      <c r="D6029" s="1"/>
      <c r="E6029" s="357">
        <v>46009</v>
      </c>
      <c r="F6029" s="344" t="s">
        <v>621</v>
      </c>
      <c r="G6029" s="358">
        <v>53.498600000000003</v>
      </c>
      <c r="H6029" s="344" t="s">
        <v>2142</v>
      </c>
    </row>
    <row r="6030" spans="1:8">
      <c r="A6030" s="1"/>
      <c r="B6030" s="1"/>
      <c r="C6030" s="1"/>
      <c r="D6030" s="1"/>
      <c r="E6030" s="357">
        <v>46009</v>
      </c>
      <c r="F6030" s="344" t="s">
        <v>625</v>
      </c>
      <c r="G6030" s="358">
        <v>50.037100000000002</v>
      </c>
      <c r="H6030" s="344" t="s">
        <v>2142</v>
      </c>
    </row>
    <row r="6031" spans="1:8">
      <c r="A6031" s="1"/>
      <c r="B6031" s="1"/>
      <c r="C6031" s="1"/>
      <c r="D6031" s="1"/>
      <c r="E6031" s="357">
        <v>46009</v>
      </c>
      <c r="F6031" s="344" t="s">
        <v>628</v>
      </c>
      <c r="G6031" s="358">
        <v>56.887700000000002</v>
      </c>
      <c r="H6031" s="344" t="s">
        <v>2142</v>
      </c>
    </row>
    <row r="6032" spans="1:8">
      <c r="A6032" s="1"/>
      <c r="B6032" s="1"/>
      <c r="C6032" s="1"/>
      <c r="D6032" s="1"/>
      <c r="E6032" s="357">
        <v>46009</v>
      </c>
      <c r="F6032" s="344" t="s">
        <v>631</v>
      </c>
      <c r="G6032" s="358">
        <v>42.658499999999997</v>
      </c>
      <c r="H6032" s="344" t="s">
        <v>2142</v>
      </c>
    </row>
    <row r="6033" spans="1:8">
      <c r="A6033" s="1"/>
      <c r="B6033" s="1"/>
      <c r="C6033" s="1"/>
      <c r="D6033" s="1"/>
      <c r="E6033" s="357">
        <v>46010</v>
      </c>
      <c r="F6033" s="344" t="s">
        <v>621</v>
      </c>
      <c r="G6033" s="358">
        <v>53.508200000000002</v>
      </c>
      <c r="H6033" s="344" t="s">
        <v>2143</v>
      </c>
    </row>
    <row r="6034" spans="1:8">
      <c r="A6034" s="1"/>
      <c r="B6034" s="1"/>
      <c r="C6034" s="1"/>
      <c r="D6034" s="1"/>
      <c r="E6034" s="357">
        <v>46010</v>
      </c>
      <c r="F6034" s="344" t="s">
        <v>625</v>
      </c>
      <c r="G6034" s="358">
        <v>49.961500000000001</v>
      </c>
      <c r="H6034" s="344" t="s">
        <v>2143</v>
      </c>
    </row>
    <row r="6035" spans="1:8">
      <c r="A6035" s="1"/>
      <c r="B6035" s="1"/>
      <c r="C6035" s="1"/>
      <c r="D6035" s="1"/>
      <c r="E6035" s="357">
        <v>46010</v>
      </c>
      <c r="F6035" s="344" t="s">
        <v>628</v>
      </c>
      <c r="G6035" s="358">
        <v>56.957000000000001</v>
      </c>
      <c r="H6035" s="344" t="s">
        <v>2143</v>
      </c>
    </row>
    <row r="6036" spans="1:8">
      <c r="A6036" s="1"/>
      <c r="B6036" s="1"/>
      <c r="C6036" s="1"/>
      <c r="D6036" s="1"/>
      <c r="E6036" s="357">
        <v>46010</v>
      </c>
      <c r="F6036" s="344" t="s">
        <v>631</v>
      </c>
      <c r="G6036" s="358">
        <v>42.653199999999998</v>
      </c>
      <c r="H6036" s="344" t="s">
        <v>2143</v>
      </c>
    </row>
    <row r="6037" spans="1:8">
      <c r="A6037" s="1"/>
      <c r="B6037" s="1"/>
      <c r="C6037" s="1"/>
      <c r="D6037" s="1"/>
      <c r="E6037" s="357">
        <v>46013</v>
      </c>
      <c r="F6037" s="344" t="s">
        <v>621</v>
      </c>
      <c r="G6037" s="358">
        <v>53.700600000000001</v>
      </c>
      <c r="H6037" s="344" t="s">
        <v>2144</v>
      </c>
    </row>
    <row r="6038" spans="1:8">
      <c r="A6038" s="1"/>
      <c r="B6038" s="1"/>
      <c r="C6038" s="1"/>
      <c r="D6038" s="1"/>
      <c r="E6038" s="357">
        <v>46013</v>
      </c>
      <c r="F6038" s="344" t="s">
        <v>625</v>
      </c>
      <c r="G6038" s="358">
        <v>50.125500000000002</v>
      </c>
      <c r="H6038" s="344" t="s">
        <v>2144</v>
      </c>
    </row>
    <row r="6039" spans="1:8">
      <c r="A6039" s="1"/>
      <c r="B6039" s="1"/>
      <c r="C6039" s="1"/>
      <c r="D6039" s="1"/>
      <c r="E6039" s="357">
        <v>46013</v>
      </c>
      <c r="F6039" s="344" t="s">
        <v>628</v>
      </c>
      <c r="G6039" s="358">
        <v>57.256700000000002</v>
      </c>
      <c r="H6039" s="344" t="s">
        <v>2144</v>
      </c>
    </row>
    <row r="6040" spans="1:8">
      <c r="A6040" s="1"/>
      <c r="B6040" s="1"/>
      <c r="C6040" s="1"/>
      <c r="D6040" s="1"/>
      <c r="E6040" s="357">
        <v>46013</v>
      </c>
      <c r="F6040" s="344" t="s">
        <v>631</v>
      </c>
      <c r="G6040" s="358">
        <v>42.734000000000002</v>
      </c>
      <c r="H6040" s="344" t="s">
        <v>2144</v>
      </c>
    </row>
    <row r="6041" spans="1:8">
      <c r="A6041" s="1"/>
      <c r="B6041" s="1"/>
      <c r="C6041" s="1"/>
      <c r="D6041" s="1"/>
      <c r="E6041" s="357">
        <v>46014</v>
      </c>
      <c r="F6041" s="344" t="s">
        <v>621</v>
      </c>
      <c r="G6041" s="358">
        <v>54.060200000000002</v>
      </c>
      <c r="H6041" s="344" t="s">
        <v>2145</v>
      </c>
    </row>
    <row r="6042" spans="1:8">
      <c r="A6042" s="1"/>
      <c r="B6042" s="1"/>
      <c r="C6042" s="1"/>
      <c r="D6042" s="1"/>
      <c r="E6042" s="357">
        <v>46014</v>
      </c>
      <c r="F6042" s="344" t="s">
        <v>625</v>
      </c>
      <c r="G6042" s="358">
        <v>50.3857</v>
      </c>
      <c r="H6042" s="344" t="s">
        <v>2145</v>
      </c>
    </row>
    <row r="6043" spans="1:8">
      <c r="A6043" s="1"/>
      <c r="B6043" s="1"/>
      <c r="C6043" s="1"/>
      <c r="D6043" s="1"/>
      <c r="E6043" s="357">
        <v>46014</v>
      </c>
      <c r="F6043" s="344" t="s">
        <v>628</v>
      </c>
      <c r="G6043" s="358">
        <v>57.622900000000001</v>
      </c>
      <c r="H6043" s="344" t="s">
        <v>2145</v>
      </c>
    </row>
    <row r="6044" spans="1:8">
      <c r="A6044" s="1"/>
      <c r="B6044" s="1"/>
      <c r="C6044" s="1"/>
      <c r="D6044" s="1"/>
      <c r="E6044" s="357">
        <v>46014</v>
      </c>
      <c r="F6044" s="344" t="s">
        <v>631</v>
      </c>
      <c r="G6044" s="358">
        <v>42.747399999999999</v>
      </c>
      <c r="H6044" s="344" t="s">
        <v>2145</v>
      </c>
    </row>
    <row r="6045" spans="1:8">
      <c r="A6045" s="1"/>
      <c r="B6045" s="1"/>
      <c r="C6045" s="1"/>
      <c r="D6045" s="1"/>
      <c r="E6045" s="357">
        <v>46015</v>
      </c>
      <c r="F6045" s="344" t="s">
        <v>621</v>
      </c>
      <c r="G6045" s="358">
        <v>54.197099999999999</v>
      </c>
      <c r="H6045" s="344" t="s">
        <v>2146</v>
      </c>
    </row>
    <row r="6046" spans="1:8">
      <c r="A6046" s="1"/>
      <c r="B6046" s="1"/>
      <c r="C6046" s="1"/>
      <c r="D6046" s="1"/>
      <c r="E6046" s="357">
        <v>46015</v>
      </c>
      <c r="F6046" s="344" t="s">
        <v>625</v>
      </c>
      <c r="G6046" s="358">
        <v>50.4208</v>
      </c>
      <c r="H6046" s="344" t="s">
        <v>2146</v>
      </c>
    </row>
    <row r="6047" spans="1:8">
      <c r="A6047" s="1"/>
      <c r="B6047" s="1"/>
      <c r="C6047" s="1"/>
      <c r="D6047" s="1"/>
      <c r="E6047" s="357">
        <v>46015</v>
      </c>
      <c r="F6047" s="344" t="s">
        <v>628</v>
      </c>
      <c r="G6047" s="358">
        <v>57.6815</v>
      </c>
      <c r="H6047" s="344" t="s">
        <v>2146</v>
      </c>
    </row>
    <row r="6048" spans="1:8">
      <c r="A6048" s="1"/>
      <c r="B6048" s="1"/>
      <c r="C6048" s="1"/>
      <c r="D6048" s="1"/>
      <c r="E6048" s="357">
        <v>46015</v>
      </c>
      <c r="F6048" s="344" t="s">
        <v>631</v>
      </c>
      <c r="G6048" s="358">
        <v>42.743400000000001</v>
      </c>
      <c r="H6048" s="344" t="s">
        <v>2146</v>
      </c>
    </row>
    <row r="6049" spans="1:8">
      <c r="A6049" s="1"/>
      <c r="B6049" s="1"/>
      <c r="C6049" s="1"/>
      <c r="D6049" s="1"/>
      <c r="E6049" s="357">
        <v>46016</v>
      </c>
      <c r="F6049" s="344" t="s">
        <v>621</v>
      </c>
      <c r="G6049" s="358">
        <v>54.187800000000003</v>
      </c>
      <c r="H6049" s="344" t="s">
        <v>2147</v>
      </c>
    </row>
    <row r="6050" spans="1:8">
      <c r="A6050" s="1"/>
      <c r="B6050" s="1"/>
      <c r="C6050" s="1"/>
      <c r="D6050" s="1"/>
      <c r="E6050" s="357">
        <v>46016</v>
      </c>
      <c r="F6050" s="344" t="s">
        <v>625</v>
      </c>
      <c r="G6050" s="358">
        <v>50.389600000000002</v>
      </c>
      <c r="H6050" s="344" t="s">
        <v>2147</v>
      </c>
    </row>
    <row r="6051" spans="1:8">
      <c r="A6051" s="1"/>
      <c r="B6051" s="1"/>
      <c r="C6051" s="1"/>
      <c r="D6051" s="1"/>
      <c r="E6051" s="357">
        <v>46016</v>
      </c>
      <c r="F6051" s="344" t="s">
        <v>628</v>
      </c>
      <c r="G6051" s="358">
        <v>57.732199999999999</v>
      </c>
      <c r="H6051" s="344" t="s">
        <v>2147</v>
      </c>
    </row>
    <row r="6052" spans="1:8">
      <c r="A6052" s="1"/>
      <c r="B6052" s="1"/>
      <c r="C6052" s="1"/>
      <c r="D6052" s="1"/>
      <c r="E6052" s="357">
        <v>46016</v>
      </c>
      <c r="F6052" s="344" t="s">
        <v>631</v>
      </c>
      <c r="G6052" s="358">
        <v>42.764099999999999</v>
      </c>
      <c r="H6052" s="344" t="s">
        <v>2147</v>
      </c>
    </row>
    <row r="6053" spans="1:8">
      <c r="A6053" s="1"/>
      <c r="B6053" s="1"/>
      <c r="C6053" s="1"/>
      <c r="D6053" s="1"/>
      <c r="E6053" s="357">
        <v>46017</v>
      </c>
      <c r="F6053" s="344" t="s">
        <v>621</v>
      </c>
      <c r="G6053" s="358">
        <v>54.052900000000001</v>
      </c>
      <c r="H6053" s="344" t="s">
        <v>2148</v>
      </c>
    </row>
    <row r="6054" spans="1:8">
      <c r="A6054" s="1"/>
      <c r="B6054" s="1"/>
      <c r="C6054" s="1"/>
      <c r="D6054" s="1"/>
      <c r="E6054" s="357">
        <v>46017</v>
      </c>
      <c r="F6054" s="344" t="s">
        <v>625</v>
      </c>
      <c r="G6054" s="358">
        <v>50.354700000000001</v>
      </c>
      <c r="H6054" s="344" t="s">
        <v>2148</v>
      </c>
    </row>
    <row r="6055" spans="1:8">
      <c r="A6055" s="1"/>
      <c r="B6055" s="1"/>
      <c r="C6055" s="1"/>
      <c r="D6055" s="1"/>
      <c r="E6055" s="357">
        <v>46017</v>
      </c>
      <c r="F6055" s="344" t="s">
        <v>628</v>
      </c>
      <c r="G6055" s="358">
        <v>57.589799999999997</v>
      </c>
      <c r="H6055" s="344" t="s">
        <v>2148</v>
      </c>
    </row>
    <row r="6056" spans="1:8">
      <c r="A6056" s="1"/>
      <c r="B6056" s="1"/>
      <c r="C6056" s="1"/>
      <c r="D6056" s="1"/>
      <c r="E6056" s="357">
        <v>46017</v>
      </c>
      <c r="F6056" s="344" t="s">
        <v>631</v>
      </c>
      <c r="G6056" s="358">
        <v>42.765599999999999</v>
      </c>
      <c r="H6056" s="344" t="s">
        <v>2148</v>
      </c>
    </row>
    <row r="6057" spans="1:8">
      <c r="A6057" s="1"/>
      <c r="B6057" s="1"/>
      <c r="C6057" s="1"/>
      <c r="D6057" s="1"/>
      <c r="E6057" s="357">
        <v>46020</v>
      </c>
      <c r="F6057" s="344" t="s">
        <v>621</v>
      </c>
      <c r="G6057" s="358">
        <v>54.164999999999999</v>
      </c>
      <c r="H6057" s="344" t="s">
        <v>2149</v>
      </c>
    </row>
    <row r="6058" spans="1:8">
      <c r="A6058" s="1"/>
      <c r="B6058" s="1"/>
      <c r="C6058" s="1"/>
      <c r="D6058" s="1"/>
      <c r="E6058" s="357">
        <v>46020</v>
      </c>
      <c r="F6058" s="344" t="s">
        <v>625</v>
      </c>
      <c r="G6058" s="358">
        <v>50.451900000000002</v>
      </c>
      <c r="H6058" s="344" t="s">
        <v>2149</v>
      </c>
    </row>
    <row r="6059" spans="1:8">
      <c r="A6059" s="1"/>
      <c r="B6059" s="1"/>
      <c r="C6059" s="1"/>
      <c r="D6059" s="1"/>
      <c r="E6059" s="357">
        <v>46020</v>
      </c>
      <c r="F6059" s="344" t="s">
        <v>628</v>
      </c>
      <c r="G6059" s="358">
        <v>57.716299999999997</v>
      </c>
      <c r="H6059" s="344" t="s">
        <v>2149</v>
      </c>
    </row>
    <row r="6060" spans="1:8">
      <c r="A6060" s="1"/>
      <c r="B6060" s="1"/>
      <c r="C6060" s="1"/>
      <c r="D6060" s="1"/>
      <c r="E6060" s="357">
        <v>46020</v>
      </c>
      <c r="F6060" s="344" t="s">
        <v>631</v>
      </c>
      <c r="G6060" s="358">
        <v>42.854199999999999</v>
      </c>
      <c r="H6060" s="344" t="s">
        <v>2149</v>
      </c>
    </row>
    <row r="6061" spans="1:8">
      <c r="A6061" s="1"/>
      <c r="B6061" s="1"/>
      <c r="C6061" s="1"/>
      <c r="D6061" s="1"/>
      <c r="E6061" s="357">
        <v>46021</v>
      </c>
      <c r="F6061" s="344" t="s">
        <v>621</v>
      </c>
      <c r="G6061" s="358">
        <v>54.214100000000002</v>
      </c>
      <c r="H6061" s="344" t="s">
        <v>2150</v>
      </c>
    </row>
    <row r="6062" spans="1:8">
      <c r="A6062" s="1"/>
      <c r="B6062" s="1"/>
      <c r="C6062" s="1"/>
      <c r="D6062" s="1"/>
      <c r="E6062" s="357">
        <v>46021</v>
      </c>
      <c r="F6062" s="344" t="s">
        <v>625</v>
      </c>
      <c r="G6062" s="358">
        <v>50.453200000000002</v>
      </c>
      <c r="H6062" s="344" t="s">
        <v>2150</v>
      </c>
    </row>
    <row r="6063" spans="1:8">
      <c r="A6063" s="1"/>
      <c r="B6063" s="1"/>
      <c r="C6063" s="1"/>
      <c r="D6063" s="1"/>
      <c r="E6063" s="357">
        <v>46021</v>
      </c>
      <c r="F6063" s="344" t="s">
        <v>628</v>
      </c>
      <c r="G6063" s="358">
        <v>57.815899999999999</v>
      </c>
      <c r="H6063" s="344" t="s">
        <v>2150</v>
      </c>
    </row>
    <row r="6064" spans="1:8">
      <c r="A6064" s="1"/>
      <c r="B6064" s="1"/>
      <c r="C6064" s="1"/>
      <c r="D6064" s="1"/>
      <c r="E6064" s="357">
        <v>46021</v>
      </c>
      <c r="F6064" s="344" t="s">
        <v>631</v>
      </c>
      <c r="G6064" s="358">
        <v>42.862299999999998</v>
      </c>
      <c r="H6064" s="344" t="s">
        <v>2150</v>
      </c>
    </row>
    <row r="6065" spans="1:8">
      <c r="A6065" s="1"/>
      <c r="B6065" s="1"/>
      <c r="C6065" s="1"/>
      <c r="D6065" s="1"/>
      <c r="E6065" s="357">
        <v>46022</v>
      </c>
      <c r="F6065" s="344" t="s">
        <v>621</v>
      </c>
      <c r="G6065" s="358">
        <v>53.8919</v>
      </c>
      <c r="H6065" s="344" t="s">
        <v>2151</v>
      </c>
    </row>
    <row r="6066" spans="1:8">
      <c r="A6066" s="1"/>
      <c r="B6066" s="1"/>
      <c r="C6066" s="1"/>
      <c r="D6066" s="1"/>
      <c r="E6066" s="357">
        <v>46022</v>
      </c>
      <c r="F6066" s="344" t="s">
        <v>625</v>
      </c>
      <c r="G6066" s="358">
        <v>50.285899999999998</v>
      </c>
      <c r="H6066" s="344" t="s">
        <v>2151</v>
      </c>
    </row>
    <row r="6067" spans="1:8">
      <c r="A6067" s="1"/>
      <c r="B6067" s="1"/>
      <c r="C6067" s="1"/>
      <c r="D6067" s="1"/>
      <c r="E6067" s="357">
        <v>46022</v>
      </c>
      <c r="F6067" s="344" t="s">
        <v>628</v>
      </c>
      <c r="G6067" s="358">
        <v>57.512300000000003</v>
      </c>
      <c r="H6067" s="344" t="s">
        <v>2151</v>
      </c>
    </row>
    <row r="6068" spans="1:8">
      <c r="A6068" s="1"/>
      <c r="B6068" s="1"/>
      <c r="C6068" s="1"/>
      <c r="D6068" s="1"/>
      <c r="E6068" s="357">
        <v>46022</v>
      </c>
      <c r="F6068" s="344" t="s">
        <v>631</v>
      </c>
      <c r="G6068" s="358">
        <v>42.845700000000001</v>
      </c>
      <c r="H6068" s="344" t="s">
        <v>2151</v>
      </c>
    </row>
    <row r="6069" spans="1:8">
      <c r="A6069" s="1"/>
      <c r="B6069" s="1"/>
      <c r="C6069" s="1"/>
      <c r="D6069" s="1"/>
      <c r="E6069" s="357">
        <v>46024</v>
      </c>
      <c r="F6069" s="344" t="s">
        <v>621</v>
      </c>
      <c r="G6069" s="358">
        <v>53.926699999999997</v>
      </c>
      <c r="H6069" s="344" t="s">
        <v>2152</v>
      </c>
    </row>
    <row r="6070" spans="1:8">
      <c r="A6070" s="1"/>
      <c r="B6070" s="1"/>
      <c r="C6070" s="1"/>
      <c r="D6070" s="1"/>
      <c r="E6070" s="357">
        <v>46024</v>
      </c>
      <c r="F6070" s="344" t="s">
        <v>625</v>
      </c>
      <c r="G6070" s="358">
        <v>50.293300000000002</v>
      </c>
      <c r="H6070" s="344" t="s">
        <v>2152</v>
      </c>
    </row>
    <row r="6071" spans="1:8">
      <c r="A6071" s="1"/>
      <c r="B6071" s="1"/>
      <c r="C6071" s="1"/>
      <c r="D6071" s="1"/>
      <c r="E6071" s="357">
        <v>46024</v>
      </c>
      <c r="F6071" s="344" t="s">
        <v>628</v>
      </c>
      <c r="G6071" s="358">
        <v>57.598599999999998</v>
      </c>
      <c r="H6071" s="344" t="s">
        <v>2152</v>
      </c>
    </row>
    <row r="6072" spans="1:8">
      <c r="A6072" s="1"/>
      <c r="B6072" s="1"/>
      <c r="C6072" s="1"/>
      <c r="D6072" s="1"/>
      <c r="E6072" s="357">
        <v>46024</v>
      </c>
      <c r="F6072" s="344" t="s">
        <v>631</v>
      </c>
      <c r="G6072" s="358">
        <v>42.881</v>
      </c>
      <c r="H6072" s="344" t="s">
        <v>2152</v>
      </c>
    </row>
    <row r="6073" spans="1:8">
      <c r="A6073" s="1"/>
      <c r="B6073" s="1"/>
      <c r="C6073" s="1"/>
      <c r="D6073" s="1"/>
      <c r="E6073" s="357">
        <v>46027</v>
      </c>
      <c r="F6073" s="344" t="s">
        <v>621</v>
      </c>
      <c r="G6073" s="358">
        <v>53.934100000000001</v>
      </c>
      <c r="H6073" s="344" t="s">
        <v>2153</v>
      </c>
    </row>
    <row r="6074" spans="1:8">
      <c r="A6074" s="1"/>
      <c r="B6074" s="1"/>
      <c r="C6074" s="1"/>
      <c r="D6074" s="1"/>
      <c r="E6074" s="357">
        <v>46027</v>
      </c>
      <c r="F6074" s="344" t="s">
        <v>625</v>
      </c>
      <c r="G6074" s="358">
        <v>50.208300000000001</v>
      </c>
      <c r="H6074" s="344" t="s">
        <v>2153</v>
      </c>
    </row>
    <row r="6075" spans="1:8">
      <c r="A6075" s="1"/>
      <c r="B6075" s="1"/>
      <c r="C6075" s="1"/>
      <c r="D6075" s="1"/>
      <c r="E6075" s="357">
        <v>46027</v>
      </c>
      <c r="F6075" s="344" t="s">
        <v>628</v>
      </c>
      <c r="G6075" s="358">
        <v>57.652900000000002</v>
      </c>
      <c r="H6075" s="344" t="s">
        <v>2153</v>
      </c>
    </row>
    <row r="6076" spans="1:8">
      <c r="A6076" s="1"/>
      <c r="B6076" s="1"/>
      <c r="C6076" s="1"/>
      <c r="D6076" s="1"/>
      <c r="E6076" s="357">
        <v>46027</v>
      </c>
      <c r="F6076" s="344" t="s">
        <v>631</v>
      </c>
      <c r="G6076" s="358">
        <v>42.964799999999997</v>
      </c>
      <c r="H6076" s="344" t="s">
        <v>2153</v>
      </c>
    </row>
    <row r="6077" spans="1:8">
      <c r="A6077" s="1"/>
      <c r="B6077" s="1"/>
      <c r="C6077" s="1"/>
      <c r="D6077" s="1"/>
      <c r="E6077" s="357">
        <v>46028</v>
      </c>
      <c r="F6077" s="344" t="s">
        <v>621</v>
      </c>
      <c r="G6077" s="358">
        <v>54.113</v>
      </c>
      <c r="H6077" s="344" t="s">
        <v>2154</v>
      </c>
    </row>
    <row r="6078" spans="1:8">
      <c r="A6078" s="1"/>
      <c r="B6078" s="1"/>
      <c r="C6078" s="1"/>
      <c r="D6078" s="1"/>
      <c r="E6078" s="357">
        <v>46028</v>
      </c>
      <c r="F6078" s="344" t="s">
        <v>625</v>
      </c>
      <c r="G6078" s="358">
        <v>50.361899999999999</v>
      </c>
      <c r="H6078" s="344" t="s">
        <v>2154</v>
      </c>
    </row>
    <row r="6079" spans="1:8">
      <c r="A6079" s="1"/>
      <c r="B6079" s="1"/>
      <c r="C6079" s="1"/>
      <c r="D6079" s="1"/>
      <c r="E6079" s="357">
        <v>46028</v>
      </c>
      <c r="F6079" s="344" t="s">
        <v>628</v>
      </c>
      <c r="G6079" s="358">
        <v>58.084200000000003</v>
      </c>
      <c r="H6079" s="344" t="s">
        <v>2154</v>
      </c>
    </row>
    <row r="6080" spans="1:8">
      <c r="A6080" s="1"/>
      <c r="B6080" s="1"/>
      <c r="C6080" s="1"/>
      <c r="D6080" s="1"/>
      <c r="E6080" s="357">
        <v>46028</v>
      </c>
      <c r="F6080" s="344" t="s">
        <v>631</v>
      </c>
      <c r="G6080" s="358">
        <v>42.966299999999997</v>
      </c>
      <c r="H6080" s="344" t="s">
        <v>2154</v>
      </c>
    </row>
    <row r="6081" spans="1:8">
      <c r="A6081" s="1"/>
      <c r="B6081" s="1"/>
      <c r="C6081" s="1"/>
      <c r="D6081" s="1"/>
      <c r="E6081" s="357">
        <v>46029</v>
      </c>
      <c r="F6081" s="344" t="s">
        <v>621</v>
      </c>
      <c r="G6081" s="358">
        <v>53.873100000000001</v>
      </c>
      <c r="H6081" s="344" t="s">
        <v>2155</v>
      </c>
    </row>
    <row r="6082" spans="1:8">
      <c r="A6082" s="1"/>
      <c r="B6082" s="1"/>
      <c r="C6082" s="1"/>
      <c r="D6082" s="1"/>
      <c r="E6082" s="357">
        <v>46029</v>
      </c>
      <c r="F6082" s="344" t="s">
        <v>625</v>
      </c>
      <c r="G6082" s="358">
        <v>50.228700000000003</v>
      </c>
      <c r="H6082" s="344" t="s">
        <v>2155</v>
      </c>
    </row>
    <row r="6083" spans="1:8">
      <c r="A6083" s="1"/>
      <c r="B6083" s="1"/>
      <c r="C6083" s="1"/>
      <c r="D6083" s="1"/>
      <c r="E6083" s="357">
        <v>46029</v>
      </c>
      <c r="F6083" s="344" t="s">
        <v>628</v>
      </c>
      <c r="G6083" s="358">
        <v>57.914099999999998</v>
      </c>
      <c r="H6083" s="344" t="s">
        <v>2155</v>
      </c>
    </row>
    <row r="6084" spans="1:8">
      <c r="A6084" s="1"/>
      <c r="B6084" s="1"/>
      <c r="C6084" s="1"/>
      <c r="D6084" s="1"/>
      <c r="E6084" s="357">
        <v>46029</v>
      </c>
      <c r="F6084" s="344" t="s">
        <v>631</v>
      </c>
      <c r="G6084" s="358">
        <v>42.974299999999999</v>
      </c>
      <c r="H6084" s="344" t="s">
        <v>2155</v>
      </c>
    </row>
    <row r="6085" spans="1:8">
      <c r="A6085" s="1"/>
      <c r="B6085" s="1"/>
      <c r="C6085" s="1"/>
      <c r="D6085" s="1"/>
      <c r="E6085" s="357">
        <v>46030</v>
      </c>
      <c r="F6085" s="344" t="s">
        <v>621</v>
      </c>
      <c r="G6085" s="358">
        <v>53.77</v>
      </c>
      <c r="H6085" s="344" t="s">
        <v>2156</v>
      </c>
    </row>
    <row r="6086" spans="1:8">
      <c r="A6086" s="1"/>
      <c r="B6086" s="1"/>
      <c r="C6086" s="1"/>
      <c r="D6086" s="1"/>
      <c r="E6086" s="357">
        <v>46030</v>
      </c>
      <c r="F6086" s="344" t="s">
        <v>625</v>
      </c>
      <c r="G6086" s="358">
        <v>50.184399999999997</v>
      </c>
      <c r="H6086" s="344" t="s">
        <v>2156</v>
      </c>
    </row>
    <row r="6087" spans="1:8">
      <c r="A6087" s="1"/>
      <c r="B6087" s="1"/>
      <c r="C6087" s="1"/>
      <c r="D6087" s="1"/>
      <c r="E6087" s="357">
        <v>46030</v>
      </c>
      <c r="F6087" s="344" t="s">
        <v>628</v>
      </c>
      <c r="G6087" s="358">
        <v>57.684100000000001</v>
      </c>
      <c r="H6087" s="344" t="s">
        <v>2156</v>
      </c>
    </row>
    <row r="6088" spans="1:8">
      <c r="A6088" s="1"/>
      <c r="B6088" s="1"/>
      <c r="C6088" s="1"/>
      <c r="D6088" s="1"/>
      <c r="E6088" s="357">
        <v>46030</v>
      </c>
      <c r="F6088" s="344" t="s">
        <v>631</v>
      </c>
      <c r="G6088" s="358">
        <v>42.974699999999999</v>
      </c>
      <c r="H6088" s="344" t="s">
        <v>2156</v>
      </c>
    </row>
    <row r="6089" spans="1:8">
      <c r="A6089" s="1"/>
      <c r="B6089" s="1"/>
      <c r="C6089" s="1"/>
      <c r="D6089" s="1"/>
      <c r="E6089" s="357">
        <v>46031</v>
      </c>
      <c r="F6089" s="344" t="s">
        <v>621</v>
      </c>
      <c r="G6089" s="358">
        <v>53.619799999999998</v>
      </c>
      <c r="H6089" s="344" t="s">
        <v>2157</v>
      </c>
    </row>
    <row r="6090" spans="1:8">
      <c r="A6090" s="1"/>
      <c r="B6090" s="1"/>
      <c r="C6090" s="1"/>
      <c r="D6090" s="1"/>
      <c r="E6090" s="357">
        <v>46031</v>
      </c>
      <c r="F6090" s="344" t="s">
        <v>625</v>
      </c>
      <c r="G6090" s="358">
        <v>50.067599999999999</v>
      </c>
      <c r="H6090" s="344" t="s">
        <v>2157</v>
      </c>
    </row>
    <row r="6091" spans="1:8">
      <c r="A6091" s="1"/>
      <c r="B6091" s="1"/>
      <c r="C6091" s="1"/>
      <c r="D6091" s="1"/>
      <c r="E6091" s="357">
        <v>46031</v>
      </c>
      <c r="F6091" s="344" t="s">
        <v>628</v>
      </c>
      <c r="G6091" s="358">
        <v>57.576999999999998</v>
      </c>
      <c r="H6091" s="344" t="s">
        <v>2157</v>
      </c>
    </row>
    <row r="6092" spans="1:8">
      <c r="A6092" s="1"/>
      <c r="B6092" s="1"/>
      <c r="C6092" s="1"/>
      <c r="D6092" s="1"/>
      <c r="E6092" s="357">
        <v>46031</v>
      </c>
      <c r="F6092" s="344" t="s">
        <v>631</v>
      </c>
      <c r="G6092" s="358">
        <v>42.9863</v>
      </c>
      <c r="H6092" s="344" t="s">
        <v>2157</v>
      </c>
    </row>
    <row r="6093" spans="1:8">
      <c r="A6093" s="1"/>
      <c r="B6093" s="1"/>
      <c r="C6093" s="1"/>
      <c r="D6093" s="1"/>
      <c r="E6093" s="357">
        <v>46034</v>
      </c>
      <c r="F6093" s="344" t="s">
        <v>621</v>
      </c>
      <c r="G6093" s="358">
        <v>53.904400000000003</v>
      </c>
      <c r="H6093" s="344" t="s">
        <v>2158</v>
      </c>
    </row>
    <row r="6094" spans="1:8">
      <c r="A6094" s="1"/>
      <c r="B6094" s="1"/>
      <c r="C6094" s="1"/>
      <c r="D6094" s="1"/>
      <c r="E6094" s="357">
        <v>46034</v>
      </c>
      <c r="F6094" s="344" t="s">
        <v>625</v>
      </c>
      <c r="G6094" s="358">
        <v>50.301600000000001</v>
      </c>
      <c r="H6094" s="344" t="s">
        <v>2158</v>
      </c>
    </row>
    <row r="6095" spans="1:8">
      <c r="A6095" s="1"/>
      <c r="B6095" s="1"/>
      <c r="C6095" s="1"/>
      <c r="D6095" s="1"/>
      <c r="E6095" s="357">
        <v>46034</v>
      </c>
      <c r="F6095" s="344" t="s">
        <v>628</v>
      </c>
      <c r="G6095" s="358">
        <v>57.836300000000001</v>
      </c>
      <c r="H6095" s="344" t="s">
        <v>2158</v>
      </c>
    </row>
    <row r="6096" spans="1:8">
      <c r="A6096" s="1"/>
      <c r="B6096" s="1"/>
      <c r="C6096" s="1"/>
      <c r="D6096" s="1"/>
      <c r="E6096" s="357">
        <v>46034</v>
      </c>
      <c r="F6096" s="344" t="s">
        <v>631</v>
      </c>
      <c r="G6096" s="358">
        <v>43.060899999999997</v>
      </c>
      <c r="H6096" s="344" t="s">
        <v>2158</v>
      </c>
    </row>
    <row r="6097" spans="1:8">
      <c r="A6097" s="1"/>
      <c r="B6097" s="1"/>
      <c r="C6097" s="1"/>
      <c r="D6097" s="1"/>
      <c r="E6097" s="357">
        <v>46035</v>
      </c>
      <c r="F6097" s="344" t="s">
        <v>621</v>
      </c>
      <c r="G6097" s="358">
        <v>53.867600000000003</v>
      </c>
      <c r="H6097" s="344" t="s">
        <v>2159</v>
      </c>
    </row>
    <row r="6098" spans="1:8">
      <c r="A6098" s="1"/>
      <c r="B6098" s="1"/>
      <c r="C6098" s="1"/>
      <c r="D6098" s="1"/>
      <c r="E6098" s="357">
        <v>46035</v>
      </c>
      <c r="F6098" s="344" t="s">
        <v>625</v>
      </c>
      <c r="G6098" s="358">
        <v>50.255600000000001</v>
      </c>
      <c r="H6098" s="344" t="s">
        <v>2159</v>
      </c>
    </row>
    <row r="6099" spans="1:8">
      <c r="A6099" s="1"/>
      <c r="B6099" s="1"/>
      <c r="C6099" s="1"/>
      <c r="D6099" s="1"/>
      <c r="E6099" s="357">
        <v>46035</v>
      </c>
      <c r="F6099" s="344" t="s">
        <v>628</v>
      </c>
      <c r="G6099" s="358">
        <v>57.94</v>
      </c>
      <c r="H6099" s="344" t="s">
        <v>2159</v>
      </c>
    </row>
    <row r="6100" spans="1:8">
      <c r="A6100" s="1"/>
      <c r="B6100" s="1"/>
      <c r="C6100" s="1"/>
      <c r="D6100" s="1"/>
      <c r="E6100" s="357">
        <v>46035</v>
      </c>
      <c r="F6100" s="344" t="s">
        <v>631</v>
      </c>
      <c r="G6100" s="358">
        <v>43.076500000000003</v>
      </c>
      <c r="H6100" s="344" t="s">
        <v>2159</v>
      </c>
    </row>
    <row r="6101" spans="1:8">
      <c r="A6101" s="1"/>
      <c r="B6101" s="1"/>
      <c r="C6101" s="1"/>
      <c r="D6101" s="1"/>
      <c r="E6101" s="357">
        <v>46036</v>
      </c>
      <c r="F6101" s="344" t="s">
        <v>621</v>
      </c>
      <c r="G6101" s="358">
        <v>53.652700000000003</v>
      </c>
      <c r="H6101" s="344" t="s">
        <v>2160</v>
      </c>
    </row>
    <row r="6102" spans="1:8">
      <c r="A6102" s="1"/>
      <c r="B6102" s="1"/>
      <c r="C6102" s="1"/>
      <c r="D6102" s="1"/>
      <c r="E6102" s="357">
        <v>46036</v>
      </c>
      <c r="F6102" s="344" t="s">
        <v>625</v>
      </c>
      <c r="G6102" s="358">
        <v>50.200600000000001</v>
      </c>
      <c r="H6102" s="344" t="s">
        <v>2160</v>
      </c>
    </row>
    <row r="6103" spans="1:8">
      <c r="A6103" s="1"/>
      <c r="B6103" s="1"/>
      <c r="C6103" s="1"/>
      <c r="D6103" s="1"/>
      <c r="E6103" s="357">
        <v>46036</v>
      </c>
      <c r="F6103" s="344" t="s">
        <v>628</v>
      </c>
      <c r="G6103" s="358">
        <v>57.857900000000001</v>
      </c>
      <c r="H6103" s="344" t="s">
        <v>2160</v>
      </c>
    </row>
    <row r="6104" spans="1:8">
      <c r="A6104" s="1"/>
      <c r="B6104" s="1"/>
      <c r="C6104" s="1"/>
      <c r="D6104" s="1"/>
      <c r="E6104" s="357">
        <v>46036</v>
      </c>
      <c r="F6104" s="344" t="s">
        <v>631</v>
      </c>
      <c r="G6104" s="358">
        <v>43.092500000000001</v>
      </c>
      <c r="H6104" s="344" t="s">
        <v>2160</v>
      </c>
    </row>
    <row r="6105" spans="1:8">
      <c r="A6105" s="1"/>
      <c r="B6105" s="1"/>
      <c r="C6105" s="1"/>
      <c r="D6105" s="1"/>
      <c r="E6105" s="357">
        <v>46037</v>
      </c>
      <c r="F6105" s="344" t="s">
        <v>621</v>
      </c>
      <c r="G6105" s="358">
        <v>53.701599999999999</v>
      </c>
      <c r="H6105" s="344" t="s">
        <v>2161</v>
      </c>
    </row>
    <row r="6106" spans="1:8">
      <c r="A6106" s="1"/>
      <c r="B6106" s="1"/>
      <c r="C6106" s="1"/>
      <c r="D6106" s="1"/>
      <c r="E6106" s="357">
        <v>46037</v>
      </c>
      <c r="F6106" s="344" t="s">
        <v>625</v>
      </c>
      <c r="G6106" s="358">
        <v>50.154600000000002</v>
      </c>
      <c r="H6106" s="344" t="s">
        <v>2161</v>
      </c>
    </row>
    <row r="6107" spans="1:8">
      <c r="A6107" s="1"/>
      <c r="B6107" s="1"/>
      <c r="C6107" s="1"/>
      <c r="D6107" s="1"/>
      <c r="E6107" s="357">
        <v>46037</v>
      </c>
      <c r="F6107" s="344" t="s">
        <v>628</v>
      </c>
      <c r="G6107" s="358">
        <v>57.803100000000001</v>
      </c>
      <c r="H6107" s="344" t="s">
        <v>2161</v>
      </c>
    </row>
    <row r="6108" spans="1:8">
      <c r="A6108" s="1"/>
      <c r="B6108" s="1"/>
      <c r="C6108" s="1"/>
      <c r="D6108" s="1"/>
      <c r="E6108" s="357">
        <v>46037</v>
      </c>
      <c r="F6108" s="344" t="s">
        <v>631</v>
      </c>
      <c r="G6108" s="358">
        <v>43.114699999999999</v>
      </c>
      <c r="H6108" s="344" t="s">
        <v>2161</v>
      </c>
    </row>
    <row r="6109" spans="1:8">
      <c r="A6109" s="1"/>
      <c r="B6109" s="1"/>
      <c r="C6109" s="1"/>
      <c r="D6109" s="1"/>
      <c r="E6109" s="357">
        <v>46038</v>
      </c>
      <c r="F6109" s="344" t="s">
        <v>621</v>
      </c>
      <c r="G6109" s="358">
        <v>53.594099999999997</v>
      </c>
      <c r="H6109" s="344" t="s">
        <v>2162</v>
      </c>
    </row>
    <row r="6110" spans="1:8">
      <c r="A6110" s="1"/>
      <c r="B6110" s="1"/>
      <c r="C6110" s="1"/>
      <c r="D6110" s="1"/>
      <c r="E6110" s="357">
        <v>46038</v>
      </c>
      <c r="F6110" s="344" t="s">
        <v>625</v>
      </c>
      <c r="G6110" s="358">
        <v>50.034500000000001</v>
      </c>
      <c r="H6110" s="344" t="s">
        <v>2162</v>
      </c>
    </row>
    <row r="6111" spans="1:8">
      <c r="A6111" s="1"/>
      <c r="B6111" s="1"/>
      <c r="C6111" s="1"/>
      <c r="D6111" s="1"/>
      <c r="E6111" s="357">
        <v>46038</v>
      </c>
      <c r="F6111" s="344" t="s">
        <v>628</v>
      </c>
      <c r="G6111" s="358">
        <v>57.622599999999998</v>
      </c>
      <c r="H6111" s="344" t="s">
        <v>2162</v>
      </c>
    </row>
    <row r="6112" spans="1:8">
      <c r="A6112" s="1"/>
      <c r="B6112" s="1"/>
      <c r="C6112" s="1"/>
      <c r="D6112" s="1"/>
      <c r="E6112" s="357">
        <v>46038</v>
      </c>
      <c r="F6112" s="344" t="s">
        <v>631</v>
      </c>
      <c r="G6112" s="358">
        <v>43.088299999999997</v>
      </c>
      <c r="H6112" s="344" t="s">
        <v>2162</v>
      </c>
    </row>
    <row r="6113" spans="1:8">
      <c r="A6113" s="1"/>
      <c r="B6113" s="1"/>
      <c r="C6113" s="1"/>
      <c r="D6113" s="1"/>
      <c r="E6113" s="357">
        <v>46041</v>
      </c>
      <c r="F6113" s="344" t="s">
        <v>621</v>
      </c>
      <c r="G6113" s="358">
        <v>53.939300000000003</v>
      </c>
      <c r="H6113" s="344" t="s">
        <v>2163</v>
      </c>
    </row>
    <row r="6114" spans="1:8">
      <c r="A6114" s="1"/>
      <c r="B6114" s="1"/>
      <c r="C6114" s="1"/>
      <c r="D6114" s="1"/>
      <c r="E6114" s="357">
        <v>46041</v>
      </c>
      <c r="F6114" s="344" t="s">
        <v>625</v>
      </c>
      <c r="G6114" s="358">
        <v>50.217300000000002</v>
      </c>
      <c r="H6114" s="344" t="s">
        <v>2163</v>
      </c>
    </row>
    <row r="6115" spans="1:8">
      <c r="A6115" s="1"/>
      <c r="B6115" s="1"/>
      <c r="C6115" s="1"/>
      <c r="D6115" s="1"/>
      <c r="E6115" s="357">
        <v>46041</v>
      </c>
      <c r="F6115" s="344" t="s">
        <v>628</v>
      </c>
      <c r="G6115" s="358">
        <v>57.796900000000001</v>
      </c>
      <c r="H6115" s="344" t="s">
        <v>2163</v>
      </c>
    </row>
    <row r="6116" spans="1:8">
      <c r="A6116" s="1"/>
      <c r="B6116" s="1"/>
      <c r="C6116" s="1"/>
      <c r="D6116" s="1"/>
      <c r="E6116" s="357">
        <v>46041</v>
      </c>
      <c r="F6116" s="344" t="s">
        <v>631</v>
      </c>
      <c r="G6116" s="358">
        <v>43.194299999999998</v>
      </c>
      <c r="H6116" s="344" t="s">
        <v>2163</v>
      </c>
    </row>
    <row r="6117" spans="1:8">
      <c r="A6117" s="1"/>
      <c r="B6117" s="1"/>
      <c r="C6117" s="1"/>
      <c r="D6117" s="1"/>
      <c r="E6117" s="357">
        <v>46042</v>
      </c>
      <c r="F6117" s="344" t="s">
        <v>621</v>
      </c>
      <c r="G6117" s="358">
        <v>54.4499</v>
      </c>
      <c r="H6117" s="344" t="s">
        <v>2164</v>
      </c>
    </row>
    <row r="6118" spans="1:8">
      <c r="A6118" s="1"/>
      <c r="B6118" s="1"/>
      <c r="C6118" s="1"/>
      <c r="D6118" s="1"/>
      <c r="E6118" s="357">
        <v>46042</v>
      </c>
      <c r="F6118" s="344" t="s">
        <v>625</v>
      </c>
      <c r="G6118" s="358">
        <v>50.598999999999997</v>
      </c>
      <c r="H6118" s="344" t="s">
        <v>2164</v>
      </c>
    </row>
    <row r="6119" spans="1:8">
      <c r="A6119" s="1"/>
      <c r="B6119" s="1"/>
      <c r="C6119" s="1"/>
      <c r="D6119" s="1"/>
      <c r="E6119" s="357">
        <v>46042</v>
      </c>
      <c r="F6119" s="344" t="s">
        <v>628</v>
      </c>
      <c r="G6119" s="358">
        <v>58.089799999999997</v>
      </c>
      <c r="H6119" s="344" t="s">
        <v>2164</v>
      </c>
    </row>
    <row r="6120" spans="1:8">
      <c r="A6120" s="1"/>
      <c r="B6120" s="1"/>
      <c r="C6120" s="1"/>
      <c r="D6120" s="1"/>
      <c r="E6120" s="357">
        <v>46042</v>
      </c>
      <c r="F6120" s="344" t="s">
        <v>631</v>
      </c>
      <c r="G6120" s="358">
        <v>43.206099999999999</v>
      </c>
      <c r="H6120" s="344" t="s">
        <v>2164</v>
      </c>
    </row>
    <row r="6121" spans="1:8">
      <c r="A6121" s="1"/>
      <c r="B6121" s="1"/>
      <c r="C6121" s="1"/>
      <c r="D6121" s="1"/>
      <c r="E6121" s="357">
        <v>46043</v>
      </c>
      <c r="F6121" s="344" t="s">
        <v>621</v>
      </c>
      <c r="G6121" s="358">
        <v>54.464799999999997</v>
      </c>
      <c r="H6121" s="344" t="s">
        <v>2165</v>
      </c>
    </row>
    <row r="6122" spans="1:8">
      <c r="A6122" s="1"/>
      <c r="B6122" s="1"/>
      <c r="C6122" s="1"/>
      <c r="D6122" s="1"/>
      <c r="E6122" s="357">
        <v>46043</v>
      </c>
      <c r="F6122" s="344" t="s">
        <v>625</v>
      </c>
      <c r="G6122" s="358">
        <v>50.618400000000001</v>
      </c>
      <c r="H6122" s="344" t="s">
        <v>2165</v>
      </c>
    </row>
    <row r="6123" spans="1:8">
      <c r="A6123" s="1"/>
      <c r="B6123" s="1"/>
      <c r="C6123" s="1"/>
      <c r="D6123" s="1"/>
      <c r="E6123" s="357">
        <v>46043</v>
      </c>
      <c r="F6123" s="344" t="s">
        <v>628</v>
      </c>
      <c r="G6123" s="358">
        <v>57.916899999999998</v>
      </c>
      <c r="H6123" s="344" t="s">
        <v>2165</v>
      </c>
    </row>
    <row r="6124" spans="1:8">
      <c r="A6124" s="1"/>
      <c r="B6124" s="1"/>
      <c r="C6124" s="1"/>
      <c r="D6124" s="1"/>
      <c r="E6124" s="357">
        <v>46043</v>
      </c>
      <c r="F6124" s="344" t="s">
        <v>631</v>
      </c>
      <c r="G6124" s="358">
        <v>43.216500000000003</v>
      </c>
      <c r="H6124" s="344" t="s">
        <v>2165</v>
      </c>
    </row>
    <row r="6125" spans="1:8">
      <c r="A6125" s="1"/>
      <c r="B6125" s="1"/>
      <c r="C6125" s="1"/>
      <c r="D6125" s="1"/>
      <c r="E6125" s="357">
        <v>46044</v>
      </c>
      <c r="F6125" s="344" t="s">
        <v>621</v>
      </c>
      <c r="G6125" s="358">
        <v>54.3367</v>
      </c>
      <c r="H6125" s="344" t="s">
        <v>2166</v>
      </c>
    </row>
    <row r="6126" spans="1:8">
      <c r="A6126" s="1"/>
      <c r="B6126" s="1"/>
      <c r="C6126" s="1"/>
      <c r="D6126" s="1"/>
      <c r="E6126" s="357">
        <v>46044</v>
      </c>
      <c r="F6126" s="344" t="s">
        <v>625</v>
      </c>
      <c r="G6126" s="358">
        <v>50.543399999999998</v>
      </c>
      <c r="H6126" s="344" t="s">
        <v>2166</v>
      </c>
    </row>
    <row r="6127" spans="1:8">
      <c r="A6127" s="1"/>
      <c r="B6127" s="1"/>
      <c r="C6127" s="1"/>
      <c r="D6127" s="1"/>
      <c r="E6127" s="357">
        <v>46044</v>
      </c>
      <c r="F6127" s="344" t="s">
        <v>628</v>
      </c>
      <c r="G6127" s="358">
        <v>57.957799999999999</v>
      </c>
      <c r="H6127" s="344" t="s">
        <v>2166</v>
      </c>
    </row>
    <row r="6128" spans="1:8">
      <c r="A6128" s="1"/>
      <c r="B6128" s="1"/>
      <c r="C6128" s="1"/>
      <c r="D6128" s="1"/>
      <c r="E6128" s="357">
        <v>46044</v>
      </c>
      <c r="F6128" s="344" t="s">
        <v>631</v>
      </c>
      <c r="G6128" s="358">
        <v>43.224699999999999</v>
      </c>
      <c r="H6128" s="344" t="s">
        <v>2166</v>
      </c>
    </row>
    <row r="6129" spans="1:8">
      <c r="A6129" s="1"/>
      <c r="B6129" s="1"/>
      <c r="C6129" s="1"/>
      <c r="D6129" s="1"/>
      <c r="E6129" s="357">
        <v>46045</v>
      </c>
      <c r="F6129" s="344" t="s">
        <v>621</v>
      </c>
      <c r="G6129" s="358">
        <v>54.523600000000002</v>
      </c>
      <c r="H6129" s="344" t="s">
        <v>2167</v>
      </c>
    </row>
    <row r="6130" spans="1:8">
      <c r="A6130" s="1"/>
      <c r="B6130" s="1"/>
      <c r="C6130" s="1"/>
      <c r="D6130" s="1"/>
      <c r="E6130" s="357">
        <v>46045</v>
      </c>
      <c r="F6130" s="344" t="s">
        <v>625</v>
      </c>
      <c r="G6130" s="358">
        <v>50.710500000000003</v>
      </c>
      <c r="H6130" s="344" t="s">
        <v>2167</v>
      </c>
    </row>
    <row r="6131" spans="1:8">
      <c r="A6131" s="1"/>
      <c r="B6131" s="1"/>
      <c r="C6131" s="1"/>
      <c r="D6131" s="1"/>
      <c r="E6131" s="357">
        <v>46045</v>
      </c>
      <c r="F6131" s="344" t="s">
        <v>628</v>
      </c>
      <c r="G6131" s="358">
        <v>58.262999999999998</v>
      </c>
      <c r="H6131" s="344" t="s">
        <v>2167</v>
      </c>
    </row>
    <row r="6132" spans="1:8">
      <c r="A6132" s="1"/>
      <c r="B6132" s="1"/>
      <c r="C6132" s="1"/>
      <c r="D6132" s="1"/>
      <c r="E6132" s="357">
        <v>46045</v>
      </c>
      <c r="F6132" s="344" t="s">
        <v>631</v>
      </c>
      <c r="G6132" s="358">
        <v>43.203600000000002</v>
      </c>
      <c r="H6132" s="344" t="s">
        <v>2167</v>
      </c>
    </row>
    <row r="6133" spans="1:8">
      <c r="A6133" s="1"/>
      <c r="B6133" s="1"/>
      <c r="C6133" s="1"/>
      <c r="D6133" s="1"/>
      <c r="E6133" s="357">
        <v>46048</v>
      </c>
      <c r="F6133" s="344" t="s">
        <v>621</v>
      </c>
      <c r="G6133" s="358">
        <v>55.568600000000004</v>
      </c>
      <c r="H6133" s="344" t="s">
        <v>2168</v>
      </c>
    </row>
    <row r="6134" spans="1:8">
      <c r="A6134" s="1"/>
      <c r="B6134" s="1"/>
      <c r="C6134" s="1"/>
      <c r="D6134" s="1"/>
      <c r="E6134" s="357">
        <v>46048</v>
      </c>
      <c r="F6134" s="344" t="s">
        <v>625</v>
      </c>
      <c r="G6134" s="358">
        <v>51.325600000000001</v>
      </c>
      <c r="H6134" s="344" t="s">
        <v>2168</v>
      </c>
    </row>
    <row r="6135" spans="1:8">
      <c r="A6135" s="1"/>
      <c r="B6135" s="1"/>
      <c r="C6135" s="1"/>
      <c r="D6135" s="1"/>
      <c r="E6135" s="357">
        <v>46048</v>
      </c>
      <c r="F6135" s="344" t="s">
        <v>628</v>
      </c>
      <c r="G6135" s="358">
        <v>59.054600000000001</v>
      </c>
      <c r="H6135" s="344" t="s">
        <v>2168</v>
      </c>
    </row>
    <row r="6136" spans="1:8">
      <c r="A6136" s="1"/>
      <c r="B6136" s="1"/>
      <c r="C6136" s="1"/>
      <c r="D6136" s="1"/>
      <c r="E6136" s="357">
        <v>46048</v>
      </c>
      <c r="F6136" s="344" t="s">
        <v>631</v>
      </c>
      <c r="G6136" s="358">
        <v>43.297800000000002</v>
      </c>
      <c r="H6136" s="344" t="s">
        <v>2168</v>
      </c>
    </row>
    <row r="6137" spans="1:8">
      <c r="A6137" s="1"/>
      <c r="B6137" s="1"/>
      <c r="C6137" s="1"/>
      <c r="D6137" s="1"/>
      <c r="E6137" s="357">
        <v>46049</v>
      </c>
      <c r="F6137" s="344" t="s">
        <v>621</v>
      </c>
      <c r="G6137" s="358">
        <v>55.663400000000003</v>
      </c>
      <c r="H6137" s="344" t="s">
        <v>2169</v>
      </c>
    </row>
    <row r="6138" spans="1:8">
      <c r="A6138" s="1"/>
      <c r="B6138" s="1"/>
      <c r="C6138" s="1"/>
      <c r="D6138" s="1"/>
      <c r="E6138" s="357">
        <v>46049</v>
      </c>
      <c r="F6138" s="344" t="s">
        <v>625</v>
      </c>
      <c r="G6138" s="358">
        <v>51.451300000000003</v>
      </c>
      <c r="H6138" s="344" t="s">
        <v>2169</v>
      </c>
    </row>
    <row r="6139" spans="1:8">
      <c r="A6139" s="1"/>
      <c r="B6139" s="1"/>
      <c r="C6139" s="1"/>
      <c r="D6139" s="1"/>
      <c r="E6139" s="357">
        <v>46049</v>
      </c>
      <c r="F6139" s="344" t="s">
        <v>628</v>
      </c>
      <c r="G6139" s="358">
        <v>59.201700000000002</v>
      </c>
      <c r="H6139" s="344" t="s">
        <v>2169</v>
      </c>
    </row>
    <row r="6140" spans="1:8">
      <c r="A6140" s="1"/>
      <c r="B6140" s="1"/>
      <c r="C6140" s="1"/>
      <c r="D6140" s="1"/>
      <c r="E6140" s="357">
        <v>46049</v>
      </c>
      <c r="F6140" s="344" t="s">
        <v>631</v>
      </c>
      <c r="G6140" s="358">
        <v>43.315800000000003</v>
      </c>
      <c r="H6140" s="344" t="s">
        <v>2169</v>
      </c>
    </row>
    <row r="6141" spans="1:8">
      <c r="A6141" s="1"/>
      <c r="B6141" s="1"/>
      <c r="C6141" s="1"/>
      <c r="D6141" s="1"/>
      <c r="E6141" s="357">
        <v>46050</v>
      </c>
      <c r="F6141" s="344" t="s">
        <v>621</v>
      </c>
      <c r="G6141" s="358">
        <v>56.384099999999997</v>
      </c>
      <c r="H6141" s="344" t="s">
        <v>2170</v>
      </c>
    </row>
    <row r="6142" spans="1:8">
      <c r="A6142" s="1"/>
      <c r="B6142" s="1"/>
      <c r="C6142" s="1"/>
      <c r="D6142" s="1"/>
      <c r="E6142" s="357">
        <v>46050</v>
      </c>
      <c r="F6142" s="344" t="s">
        <v>625</v>
      </c>
      <c r="G6142" s="358">
        <v>51.935000000000002</v>
      </c>
      <c r="H6142" s="344" t="s">
        <v>2170</v>
      </c>
    </row>
    <row r="6143" spans="1:8">
      <c r="A6143" s="1"/>
      <c r="B6143" s="1"/>
      <c r="C6143" s="1"/>
      <c r="D6143" s="1"/>
      <c r="E6143" s="357">
        <v>46050</v>
      </c>
      <c r="F6143" s="344" t="s">
        <v>628</v>
      </c>
      <c r="G6143" s="358">
        <v>59.658099999999997</v>
      </c>
      <c r="H6143" s="344" t="s">
        <v>2170</v>
      </c>
    </row>
    <row r="6144" spans="1:8">
      <c r="A6144" s="1"/>
      <c r="B6144" s="1"/>
      <c r="C6144" s="1"/>
      <c r="D6144" s="1"/>
      <c r="E6144" s="357">
        <v>46050</v>
      </c>
      <c r="F6144" s="344" t="s">
        <v>631</v>
      </c>
      <c r="G6144" s="358">
        <v>43.332700000000003</v>
      </c>
      <c r="H6144" s="344" t="s">
        <v>2170</v>
      </c>
    </row>
    <row r="6145" spans="1:8">
      <c r="A6145" s="1"/>
      <c r="B6145" s="1"/>
      <c r="C6145" s="1"/>
      <c r="D6145" s="1"/>
      <c r="E6145" s="357">
        <v>46051</v>
      </c>
      <c r="F6145" s="344" t="s">
        <v>621</v>
      </c>
      <c r="G6145" s="358">
        <v>56.360599999999998</v>
      </c>
      <c r="H6145" s="344" t="s">
        <v>2171</v>
      </c>
    </row>
    <row r="6146" spans="1:8">
      <c r="A6146" s="1"/>
      <c r="B6146" s="1"/>
      <c r="C6146" s="1"/>
      <c r="D6146" s="1"/>
      <c r="E6146" s="357">
        <v>46051</v>
      </c>
      <c r="F6146" s="344" t="s">
        <v>625</v>
      </c>
      <c r="G6146" s="358">
        <v>51.849200000000003</v>
      </c>
      <c r="H6146" s="344" t="s">
        <v>2171</v>
      </c>
    </row>
    <row r="6147" spans="1:8">
      <c r="A6147" s="1"/>
      <c r="B6147" s="1"/>
      <c r="C6147" s="1"/>
      <c r="D6147" s="1"/>
      <c r="E6147" s="357">
        <v>46051</v>
      </c>
      <c r="F6147" s="344" t="s">
        <v>628</v>
      </c>
      <c r="G6147" s="358">
        <v>59.764600000000002</v>
      </c>
      <c r="H6147" s="344" t="s">
        <v>2171</v>
      </c>
    </row>
    <row r="6148" spans="1:8">
      <c r="A6148" s="1"/>
      <c r="B6148" s="1"/>
      <c r="C6148" s="1"/>
      <c r="D6148" s="1"/>
      <c r="E6148" s="357">
        <v>46051</v>
      </c>
      <c r="F6148" s="344" t="s">
        <v>631</v>
      </c>
      <c r="G6148" s="358">
        <v>43.344299999999997</v>
      </c>
      <c r="H6148" s="344" t="s">
        <v>2171</v>
      </c>
    </row>
    <row r="6149" spans="1:8">
      <c r="A6149" s="1"/>
      <c r="B6149" s="1"/>
      <c r="C6149" s="1"/>
      <c r="D6149" s="1"/>
      <c r="E6149" s="357">
        <v>46052</v>
      </c>
      <c r="F6149" s="344" t="s">
        <v>621</v>
      </c>
      <c r="G6149" s="358">
        <v>56.285800000000002</v>
      </c>
      <c r="H6149" s="344" t="s">
        <v>2172</v>
      </c>
    </row>
    <row r="6150" spans="1:8">
      <c r="A6150" s="1"/>
      <c r="B6150" s="1"/>
      <c r="C6150" s="1"/>
      <c r="D6150" s="1"/>
      <c r="E6150" s="357">
        <v>46052</v>
      </c>
      <c r="F6150" s="344" t="s">
        <v>625</v>
      </c>
      <c r="G6150" s="358">
        <v>51.698999999999998</v>
      </c>
      <c r="H6150" s="344" t="s">
        <v>2172</v>
      </c>
    </row>
    <row r="6151" spans="1:8">
      <c r="A6151" s="1"/>
      <c r="B6151" s="1"/>
      <c r="C6151" s="1"/>
      <c r="D6151" s="1"/>
      <c r="E6151" s="357">
        <v>46052</v>
      </c>
      <c r="F6151" s="344" t="s">
        <v>628</v>
      </c>
      <c r="G6151" s="358">
        <v>59.526899999999998</v>
      </c>
      <c r="H6151" s="344" t="s">
        <v>2172</v>
      </c>
    </row>
    <row r="6152" spans="1:8">
      <c r="A6152" s="1"/>
      <c r="B6152" s="1"/>
      <c r="C6152" s="1"/>
      <c r="D6152" s="1"/>
      <c r="E6152" s="357">
        <v>46052</v>
      </c>
      <c r="F6152" s="344" t="s">
        <v>631</v>
      </c>
      <c r="G6152" s="358">
        <v>43.3414</v>
      </c>
      <c r="H6152" s="344" t="s">
        <v>2172</v>
      </c>
    </row>
    <row r="6153" spans="1:8">
      <c r="A6153" s="1"/>
      <c r="B6153" s="1"/>
      <c r="C6153" s="1"/>
      <c r="D6153" s="1"/>
      <c r="E6153" s="357">
        <v>46055</v>
      </c>
      <c r="F6153" s="344" t="s">
        <v>621</v>
      </c>
      <c r="G6153" s="358">
        <v>55.9343</v>
      </c>
      <c r="H6153" s="344" t="s">
        <v>2173</v>
      </c>
    </row>
    <row r="6154" spans="1:8">
      <c r="A6154" s="1"/>
      <c r="B6154" s="1"/>
      <c r="C6154" s="1"/>
      <c r="D6154" s="1"/>
      <c r="E6154" s="357">
        <v>46055</v>
      </c>
      <c r="F6154" s="344" t="s">
        <v>625</v>
      </c>
      <c r="G6154" s="358">
        <v>51.486199999999997</v>
      </c>
      <c r="H6154" s="344" t="s">
        <v>2173</v>
      </c>
    </row>
    <row r="6155" spans="1:8">
      <c r="A6155" s="1"/>
      <c r="B6155" s="1"/>
      <c r="C6155" s="1"/>
      <c r="D6155" s="1"/>
      <c r="E6155" s="357">
        <v>46055</v>
      </c>
      <c r="F6155" s="344" t="s">
        <v>628</v>
      </c>
      <c r="G6155" s="358">
        <v>59.350999999999999</v>
      </c>
      <c r="H6155" s="344" t="s">
        <v>2173</v>
      </c>
    </row>
    <row r="6156" spans="1:8">
      <c r="A6156" s="1"/>
      <c r="B6156" s="1"/>
      <c r="C6156" s="1"/>
      <c r="D6156" s="1"/>
      <c r="E6156" s="357">
        <v>46055</v>
      </c>
      <c r="F6156" s="344" t="s">
        <v>631</v>
      </c>
      <c r="G6156" s="358">
        <v>43.416800000000002</v>
      </c>
      <c r="H6156" s="344" t="s">
        <v>2173</v>
      </c>
    </row>
    <row r="6157" spans="1:8">
      <c r="A6157" s="1"/>
      <c r="B6157" s="1"/>
      <c r="C6157" s="1"/>
      <c r="D6157" s="1"/>
      <c r="E6157" s="357">
        <v>46056</v>
      </c>
      <c r="F6157" s="344" t="s">
        <v>621</v>
      </c>
      <c r="G6157" s="358">
        <v>55.668500000000002</v>
      </c>
      <c r="H6157" s="344" t="s">
        <v>2174</v>
      </c>
    </row>
    <row r="6158" spans="1:8">
      <c r="A6158" s="1"/>
      <c r="B6158" s="1"/>
      <c r="C6158" s="1"/>
      <c r="D6158" s="1"/>
      <c r="E6158" s="357">
        <v>46056</v>
      </c>
      <c r="F6158" s="344" t="s">
        <v>625</v>
      </c>
      <c r="G6158" s="358">
        <v>51.235300000000002</v>
      </c>
      <c r="H6158" s="344" t="s">
        <v>2174</v>
      </c>
    </row>
    <row r="6159" spans="1:8">
      <c r="A6159" s="1"/>
      <c r="B6159" s="1"/>
      <c r="C6159" s="1"/>
      <c r="D6159" s="1"/>
      <c r="E6159" s="357">
        <v>46056</v>
      </c>
      <c r="F6159" s="344" t="s">
        <v>628</v>
      </c>
      <c r="G6159" s="358">
        <v>59.267600000000002</v>
      </c>
      <c r="H6159" s="344" t="s">
        <v>2174</v>
      </c>
    </row>
    <row r="6160" spans="1:8">
      <c r="A6160" s="1"/>
      <c r="B6160" s="1"/>
      <c r="C6160" s="1"/>
      <c r="D6160" s="1"/>
      <c r="E6160" s="357">
        <v>46056</v>
      </c>
      <c r="F6160" s="344" t="s">
        <v>631</v>
      </c>
      <c r="G6160" s="358">
        <v>43.414200000000001</v>
      </c>
      <c r="H6160" s="344" t="s">
        <v>2174</v>
      </c>
    </row>
    <row r="6161" spans="1:8">
      <c r="A6161" s="1"/>
      <c r="B6161" s="1"/>
      <c r="C6161" s="1"/>
      <c r="D6161" s="1"/>
      <c r="E6161" s="357">
        <v>46057</v>
      </c>
      <c r="F6161" s="344" t="s">
        <v>621</v>
      </c>
      <c r="G6161" s="358">
        <v>55.825699999999998</v>
      </c>
      <c r="H6161" s="344" t="s">
        <v>2175</v>
      </c>
    </row>
    <row r="6162" spans="1:8">
      <c r="A6162" s="1"/>
      <c r="B6162" s="1"/>
      <c r="C6162" s="1"/>
      <c r="D6162" s="1"/>
      <c r="E6162" s="357">
        <v>46057</v>
      </c>
      <c r="F6162" s="344" t="s">
        <v>625</v>
      </c>
      <c r="G6162" s="358">
        <v>51.333500000000001</v>
      </c>
      <c r="H6162" s="344" t="s">
        <v>2175</v>
      </c>
    </row>
    <row r="6163" spans="1:8">
      <c r="A6163" s="1"/>
      <c r="B6163" s="1"/>
      <c r="C6163" s="1"/>
      <c r="D6163" s="1"/>
      <c r="E6163" s="357">
        <v>46057</v>
      </c>
      <c r="F6163" s="344" t="s">
        <v>628</v>
      </c>
      <c r="G6163" s="358">
        <v>59.457500000000003</v>
      </c>
      <c r="H6163" s="344" t="s">
        <v>2175</v>
      </c>
    </row>
    <row r="6164" spans="1:8">
      <c r="A6164" s="1"/>
      <c r="B6164" s="1"/>
      <c r="C6164" s="1"/>
      <c r="D6164" s="1"/>
      <c r="E6164" s="357">
        <v>46057</v>
      </c>
      <c r="F6164" s="344" t="s">
        <v>631</v>
      </c>
      <c r="G6164" s="358">
        <v>43.424500000000002</v>
      </c>
      <c r="H6164" s="344" t="s">
        <v>2175</v>
      </c>
    </row>
    <row r="6165" spans="1:8">
      <c r="A6165" s="1"/>
      <c r="B6165" s="1"/>
      <c r="C6165" s="1"/>
      <c r="D6165" s="1"/>
      <c r="E6165" s="357">
        <v>46058</v>
      </c>
      <c r="F6165" s="344" t="s">
        <v>621</v>
      </c>
      <c r="G6165" s="358">
        <v>55.740600000000001</v>
      </c>
      <c r="H6165" s="344" t="s">
        <v>2176</v>
      </c>
    </row>
    <row r="6166" spans="1:8">
      <c r="A6166" s="1"/>
      <c r="B6166" s="1"/>
      <c r="C6166" s="1"/>
      <c r="D6166" s="1"/>
      <c r="E6166" s="357">
        <v>46058</v>
      </c>
      <c r="F6166" s="344" t="s">
        <v>625</v>
      </c>
      <c r="G6166" s="358">
        <v>51.244199999999999</v>
      </c>
      <c r="H6166" s="344" t="s">
        <v>2176</v>
      </c>
    </row>
    <row r="6167" spans="1:8">
      <c r="A6167" s="1"/>
      <c r="B6167" s="1"/>
      <c r="C6167" s="1"/>
      <c r="D6167" s="1"/>
      <c r="E6167" s="357">
        <v>46058</v>
      </c>
      <c r="F6167" s="344" t="s">
        <v>628</v>
      </c>
      <c r="G6167" s="358">
        <v>59.0047</v>
      </c>
      <c r="H6167" s="344" t="s">
        <v>2176</v>
      </c>
    </row>
    <row r="6168" spans="1:8">
      <c r="A6168" s="1"/>
      <c r="B6168" s="1"/>
      <c r="C6168" s="1"/>
      <c r="D6168" s="1"/>
      <c r="E6168" s="357">
        <v>46058</v>
      </c>
      <c r="F6168" s="344" t="s">
        <v>631</v>
      </c>
      <c r="G6168" s="358">
        <v>43.455500000000001</v>
      </c>
      <c r="H6168" s="344" t="s">
        <v>2176</v>
      </c>
    </row>
    <row r="6169" spans="1:8">
      <c r="A6169" s="1"/>
      <c r="B6169" s="1"/>
      <c r="C6169" s="1"/>
      <c r="D6169" s="1"/>
      <c r="E6169" s="357">
        <v>46059</v>
      </c>
      <c r="F6169" s="344" t="s">
        <v>621</v>
      </c>
      <c r="G6169" s="358">
        <v>55.741799999999998</v>
      </c>
      <c r="H6169" s="344" t="s">
        <v>2177</v>
      </c>
    </row>
    <row r="6170" spans="1:8">
      <c r="A6170" s="1"/>
      <c r="B6170" s="1"/>
      <c r="C6170" s="1"/>
      <c r="D6170" s="1"/>
      <c r="E6170" s="357">
        <v>46059</v>
      </c>
      <c r="F6170" s="344" t="s">
        <v>625</v>
      </c>
      <c r="G6170" s="358">
        <v>51.243699999999997</v>
      </c>
      <c r="H6170" s="344" t="s">
        <v>2177</v>
      </c>
    </row>
    <row r="6171" spans="1:8">
      <c r="A6171" s="1"/>
      <c r="B6171" s="1"/>
      <c r="C6171" s="1"/>
      <c r="D6171" s="1"/>
      <c r="E6171" s="357">
        <v>46059</v>
      </c>
      <c r="F6171" s="344" t="s">
        <v>628</v>
      </c>
      <c r="G6171" s="358">
        <v>58.885800000000003</v>
      </c>
      <c r="H6171" s="344" t="s">
        <v>2177</v>
      </c>
    </row>
    <row r="6172" spans="1:8">
      <c r="A6172" s="1"/>
      <c r="B6172" s="1"/>
      <c r="C6172" s="1"/>
      <c r="D6172" s="1"/>
      <c r="E6172" s="357">
        <v>46059</v>
      </c>
      <c r="F6172" s="344" t="s">
        <v>631</v>
      </c>
      <c r="G6172" s="358">
        <v>43.4542</v>
      </c>
      <c r="H6172" s="344" t="s">
        <v>2177</v>
      </c>
    </row>
    <row r="6173" spans="1:8">
      <c r="A6173" s="1"/>
      <c r="B6173" s="1"/>
      <c r="C6173" s="1"/>
      <c r="D6173" s="1"/>
      <c r="E6173" s="357">
        <v>46062</v>
      </c>
      <c r="F6173" s="344" t="s">
        <v>621</v>
      </c>
      <c r="G6173" s="358">
        <v>56.203400000000002</v>
      </c>
      <c r="H6173" s="344" t="s">
        <v>2178</v>
      </c>
    </row>
    <row r="6174" spans="1:8">
      <c r="A6174" s="1"/>
      <c r="B6174" s="1"/>
      <c r="C6174" s="1"/>
      <c r="D6174" s="1"/>
      <c r="E6174" s="357">
        <v>46062</v>
      </c>
      <c r="F6174" s="344" t="s">
        <v>625</v>
      </c>
      <c r="G6174" s="358">
        <v>51.616199999999999</v>
      </c>
      <c r="H6174" s="344" t="s">
        <v>2178</v>
      </c>
    </row>
    <row r="6175" spans="1:8">
      <c r="A6175" s="1"/>
      <c r="B6175" s="1"/>
      <c r="C6175" s="1"/>
      <c r="D6175" s="1"/>
      <c r="E6175" s="357">
        <v>46062</v>
      </c>
      <c r="F6175" s="344" t="s">
        <v>628</v>
      </c>
      <c r="G6175" s="358">
        <v>59.134399999999999</v>
      </c>
      <c r="H6175" s="344" t="s">
        <v>2178</v>
      </c>
    </row>
    <row r="6176" spans="1:8">
      <c r="A6176" s="1"/>
      <c r="B6176" s="1"/>
      <c r="C6176" s="1"/>
      <c r="D6176" s="1"/>
      <c r="E6176" s="357">
        <v>46062</v>
      </c>
      <c r="F6176" s="344" t="s">
        <v>631</v>
      </c>
      <c r="G6176" s="358">
        <v>43.5182</v>
      </c>
      <c r="H6176" s="344" t="s">
        <v>2178</v>
      </c>
    </row>
    <row r="6177" spans="1:8">
      <c r="A6177" s="1"/>
      <c r="B6177" s="1"/>
      <c r="C6177" s="1"/>
      <c r="D6177" s="1"/>
      <c r="E6177" s="357">
        <v>46063</v>
      </c>
      <c r="F6177" s="344" t="s">
        <v>621</v>
      </c>
      <c r="G6177" s="358">
        <v>56.68</v>
      </c>
      <c r="H6177" s="344" t="s">
        <v>2179</v>
      </c>
    </row>
    <row r="6178" spans="1:8">
      <c r="A6178" s="1"/>
      <c r="B6178" s="1"/>
      <c r="C6178" s="1"/>
      <c r="D6178" s="1"/>
      <c r="E6178" s="357">
        <v>46063</v>
      </c>
      <c r="F6178" s="344" t="s">
        <v>625</v>
      </c>
      <c r="G6178" s="358">
        <v>51.853400000000001</v>
      </c>
      <c r="H6178" s="344" t="s">
        <v>2179</v>
      </c>
    </row>
    <row r="6179" spans="1:8">
      <c r="A6179" s="1"/>
      <c r="B6179" s="1"/>
      <c r="C6179" s="1"/>
      <c r="D6179" s="1"/>
      <c r="E6179" s="357">
        <v>46063</v>
      </c>
      <c r="F6179" s="344" t="s">
        <v>628</v>
      </c>
      <c r="G6179" s="358">
        <v>59.418199999999999</v>
      </c>
      <c r="H6179" s="344" t="s">
        <v>2179</v>
      </c>
    </row>
    <row r="6180" spans="1:8">
      <c r="A6180" s="1"/>
      <c r="B6180" s="1"/>
      <c r="C6180" s="1"/>
      <c r="D6180" s="1"/>
      <c r="E6180" s="357">
        <v>46063</v>
      </c>
      <c r="F6180" s="344" t="s">
        <v>631</v>
      </c>
      <c r="G6180" s="358">
        <v>43.545000000000002</v>
      </c>
      <c r="H6180" s="344" t="s">
        <v>2179</v>
      </c>
    </row>
    <row r="6181" spans="1:8">
      <c r="A6181" s="1"/>
      <c r="B6181" s="1"/>
      <c r="C6181" s="1"/>
      <c r="D6181" s="1"/>
      <c r="E6181" s="357">
        <v>46064</v>
      </c>
      <c r="F6181" s="344" t="s">
        <v>621</v>
      </c>
      <c r="G6181" s="358">
        <v>56.745100000000001</v>
      </c>
      <c r="H6181" s="344" t="s">
        <v>2180</v>
      </c>
    </row>
    <row r="6182" spans="1:8">
      <c r="A6182" s="1"/>
      <c r="B6182" s="1"/>
      <c r="C6182" s="1"/>
      <c r="D6182" s="1"/>
      <c r="E6182" s="357">
        <v>46064</v>
      </c>
      <c r="F6182" s="344" t="s">
        <v>625</v>
      </c>
      <c r="G6182" s="358">
        <v>51.9129</v>
      </c>
      <c r="H6182" s="344" t="s">
        <v>2180</v>
      </c>
    </row>
    <row r="6183" spans="1:8">
      <c r="A6183" s="1"/>
      <c r="B6183" s="1"/>
      <c r="C6183" s="1"/>
      <c r="D6183" s="1"/>
      <c r="E6183" s="357">
        <v>46064</v>
      </c>
      <c r="F6183" s="344" t="s">
        <v>628</v>
      </c>
      <c r="G6183" s="358">
        <v>59.529699999999998</v>
      </c>
      <c r="H6183" s="344" t="s">
        <v>2180</v>
      </c>
    </row>
    <row r="6184" spans="1:8">
      <c r="A6184" s="1"/>
      <c r="B6184" s="1"/>
      <c r="C6184" s="1"/>
      <c r="D6184" s="1"/>
      <c r="E6184" s="357">
        <v>46064</v>
      </c>
      <c r="F6184" s="344" t="s">
        <v>631</v>
      </c>
      <c r="G6184" s="358">
        <v>43.563299999999998</v>
      </c>
      <c r="H6184" s="344" t="s">
        <v>2180</v>
      </c>
    </row>
    <row r="6185" spans="1:8">
      <c r="A6185" s="1"/>
      <c r="B6185" s="1"/>
      <c r="C6185" s="1"/>
      <c r="D6185" s="1"/>
      <c r="E6185" s="357">
        <v>46065</v>
      </c>
      <c r="F6185" s="344" t="s">
        <v>621</v>
      </c>
      <c r="G6185" s="358">
        <v>56.5015</v>
      </c>
      <c r="H6185" s="344" t="s">
        <v>2181</v>
      </c>
    </row>
    <row r="6186" spans="1:8">
      <c r="A6186" s="1"/>
      <c r="B6186" s="1"/>
      <c r="C6186" s="1"/>
      <c r="D6186" s="1"/>
      <c r="E6186" s="357">
        <v>46065</v>
      </c>
      <c r="F6186" s="344" t="s">
        <v>625</v>
      </c>
      <c r="G6186" s="358">
        <v>51.749099999999999</v>
      </c>
      <c r="H6186" s="344" t="s">
        <v>2181</v>
      </c>
    </row>
    <row r="6187" spans="1:8">
      <c r="A6187" s="1"/>
      <c r="B6187" s="1"/>
      <c r="C6187" s="1"/>
      <c r="D6187" s="1"/>
      <c r="E6187" s="357">
        <v>46065</v>
      </c>
      <c r="F6187" s="344" t="s">
        <v>628</v>
      </c>
      <c r="G6187" s="358">
        <v>59.317399999999999</v>
      </c>
      <c r="H6187" s="344" t="s">
        <v>2181</v>
      </c>
    </row>
    <row r="6188" spans="1:8">
      <c r="A6188" s="1"/>
      <c r="B6188" s="1"/>
      <c r="C6188" s="1"/>
      <c r="D6188" s="1"/>
      <c r="E6188" s="357">
        <v>46065</v>
      </c>
      <c r="F6188" s="344" t="s">
        <v>631</v>
      </c>
      <c r="G6188" s="358">
        <v>43.5702</v>
      </c>
      <c r="H6188" s="344" t="s">
        <v>2181</v>
      </c>
    </row>
    <row r="6189" spans="1:8">
      <c r="A6189" s="1"/>
      <c r="B6189" s="1"/>
      <c r="C6189" s="1"/>
      <c r="D6189" s="1"/>
      <c r="E6189" s="357">
        <v>46066</v>
      </c>
      <c r="F6189" s="344" t="s">
        <v>621</v>
      </c>
      <c r="G6189" s="358">
        <v>56.421999999999997</v>
      </c>
      <c r="H6189" s="344" t="s">
        <v>2182</v>
      </c>
    </row>
    <row r="6190" spans="1:8">
      <c r="A6190" s="1"/>
      <c r="B6190" s="1"/>
      <c r="C6190" s="1"/>
      <c r="D6190" s="1"/>
      <c r="E6190" s="357">
        <v>46066</v>
      </c>
      <c r="F6190" s="344" t="s">
        <v>625</v>
      </c>
      <c r="G6190" s="358">
        <v>51.638399999999997</v>
      </c>
      <c r="H6190" s="344" t="s">
        <v>2182</v>
      </c>
    </row>
    <row r="6191" spans="1:8">
      <c r="A6191" s="1"/>
      <c r="B6191" s="1"/>
      <c r="C6191" s="1"/>
      <c r="D6191" s="1"/>
      <c r="E6191" s="357">
        <v>46066</v>
      </c>
      <c r="F6191" s="344" t="s">
        <v>628</v>
      </c>
      <c r="G6191" s="358">
        <v>59.179699999999997</v>
      </c>
      <c r="H6191" s="344" t="s">
        <v>2182</v>
      </c>
    </row>
    <row r="6192" spans="1:8">
      <c r="A6192" s="1"/>
      <c r="B6192" s="1"/>
      <c r="C6192" s="1"/>
      <c r="D6192" s="1"/>
      <c r="E6192" s="357">
        <v>46066</v>
      </c>
      <c r="F6192" s="344" t="s">
        <v>631</v>
      </c>
      <c r="G6192" s="358">
        <v>43.543300000000002</v>
      </c>
      <c r="H6192" s="344" t="s">
        <v>2182</v>
      </c>
    </row>
    <row r="6193" spans="1:8">
      <c r="A6193" s="1"/>
      <c r="B6193" s="1"/>
      <c r="C6193" s="1"/>
      <c r="D6193" s="1"/>
      <c r="E6193" s="357">
        <v>46069</v>
      </c>
      <c r="F6193" s="344" t="s">
        <v>621</v>
      </c>
      <c r="G6193" s="358">
        <v>56.600999999999999</v>
      </c>
      <c r="H6193" s="344" t="s">
        <v>2183</v>
      </c>
    </row>
    <row r="6194" spans="1:8">
      <c r="A6194" s="1"/>
      <c r="B6194" s="1"/>
      <c r="C6194" s="1"/>
      <c r="D6194" s="1"/>
      <c r="E6194" s="357">
        <v>46069</v>
      </c>
      <c r="F6194" s="344" t="s">
        <v>625</v>
      </c>
      <c r="G6194" s="358">
        <v>51.774099999999997</v>
      </c>
      <c r="H6194" s="344" t="s">
        <v>2183</v>
      </c>
    </row>
    <row r="6195" spans="1:8">
      <c r="A6195" s="1"/>
      <c r="B6195" s="1"/>
      <c r="C6195" s="1"/>
      <c r="D6195" s="1"/>
      <c r="E6195" s="357">
        <v>46069</v>
      </c>
      <c r="F6195" s="344" t="s">
        <v>628</v>
      </c>
      <c r="G6195" s="358">
        <v>59.449300000000001</v>
      </c>
      <c r="H6195" s="344" t="s">
        <v>2183</v>
      </c>
    </row>
    <row r="6196" spans="1:8">
      <c r="A6196" s="1"/>
      <c r="B6196" s="1"/>
      <c r="C6196" s="1"/>
      <c r="D6196" s="1"/>
      <c r="E6196" s="357">
        <v>46069</v>
      </c>
      <c r="F6196" s="344" t="s">
        <v>631</v>
      </c>
      <c r="G6196" s="358">
        <v>43.637500000000003</v>
      </c>
      <c r="H6196" s="344" t="s">
        <v>2183</v>
      </c>
    </row>
    <row r="6197" spans="1:8">
      <c r="A6197" s="1"/>
      <c r="B6197" s="1"/>
      <c r="C6197" s="1"/>
      <c r="D6197" s="1"/>
      <c r="E6197" s="357">
        <v>46070</v>
      </c>
      <c r="F6197" s="344" t="s">
        <v>621</v>
      </c>
      <c r="G6197" s="358">
        <v>56.586100000000002</v>
      </c>
      <c r="H6197" s="344" t="s">
        <v>2184</v>
      </c>
    </row>
    <row r="6198" spans="1:8">
      <c r="A6198" s="1"/>
      <c r="B6198" s="1"/>
      <c r="C6198" s="1"/>
      <c r="D6198" s="1"/>
      <c r="E6198" s="357">
        <v>46070</v>
      </c>
      <c r="F6198" s="344" t="s">
        <v>625</v>
      </c>
      <c r="G6198" s="358">
        <v>51.683700000000002</v>
      </c>
      <c r="H6198" s="344" t="s">
        <v>2184</v>
      </c>
    </row>
    <row r="6199" spans="1:8">
      <c r="A6199" s="1"/>
      <c r="B6199" s="1"/>
      <c r="C6199" s="1"/>
      <c r="D6199" s="1"/>
      <c r="E6199" s="357">
        <v>46070</v>
      </c>
      <c r="F6199" s="344" t="s">
        <v>628</v>
      </c>
      <c r="G6199" s="358">
        <v>59.202399999999997</v>
      </c>
      <c r="H6199" s="344" t="s">
        <v>2184</v>
      </c>
    </row>
    <row r="6200" spans="1:8">
      <c r="A6200" s="1"/>
      <c r="B6200" s="1"/>
      <c r="C6200" s="1"/>
      <c r="D6200" s="1"/>
      <c r="E6200" s="357">
        <v>46070</v>
      </c>
      <c r="F6200" s="344" t="s">
        <v>631</v>
      </c>
      <c r="G6200" s="358">
        <v>43.6524</v>
      </c>
      <c r="H6200" s="344" t="s">
        <v>2184</v>
      </c>
    </row>
    <row r="6201" spans="1:8">
      <c r="A6201" s="1"/>
      <c r="B6201" s="1"/>
      <c r="C6201" s="1"/>
      <c r="D6201" s="1"/>
      <c r="E6201" s="357">
        <v>46071</v>
      </c>
      <c r="F6201" s="344" t="s">
        <v>621</v>
      </c>
      <c r="G6201" s="358">
        <v>56.487099999999998</v>
      </c>
      <c r="H6201" s="344" t="s">
        <v>2185</v>
      </c>
    </row>
    <row r="6202" spans="1:8">
      <c r="A6202" s="1"/>
      <c r="B6202" s="1"/>
      <c r="C6202" s="1"/>
      <c r="D6202" s="1"/>
      <c r="E6202" s="357">
        <v>46071</v>
      </c>
      <c r="F6202" s="344" t="s">
        <v>625</v>
      </c>
      <c r="G6202" s="358">
        <v>51.691899999999997</v>
      </c>
      <c r="H6202" s="344" t="s">
        <v>2185</v>
      </c>
    </row>
    <row r="6203" spans="1:8">
      <c r="A6203" s="1"/>
      <c r="B6203" s="1"/>
      <c r="C6203" s="1"/>
      <c r="D6203" s="1"/>
      <c r="E6203" s="357">
        <v>46071</v>
      </c>
      <c r="F6203" s="344" t="s">
        <v>628</v>
      </c>
      <c r="G6203" s="358">
        <v>59.155900000000003</v>
      </c>
      <c r="H6203" s="344" t="s">
        <v>2185</v>
      </c>
    </row>
    <row r="6204" spans="1:8">
      <c r="A6204" s="1"/>
      <c r="B6204" s="1"/>
      <c r="C6204" s="1"/>
      <c r="D6204" s="1"/>
      <c r="E6204" s="357">
        <v>46071</v>
      </c>
      <c r="F6204" s="344" t="s">
        <v>631</v>
      </c>
      <c r="G6204" s="358">
        <v>43.674700000000001</v>
      </c>
      <c r="H6204" s="344" t="s">
        <v>2185</v>
      </c>
    </row>
    <row r="6205" spans="1:8">
      <c r="A6205" s="1"/>
      <c r="B6205" s="1"/>
      <c r="C6205" s="1"/>
      <c r="D6205" s="1"/>
      <c r="E6205" s="357">
        <v>46072</v>
      </c>
      <c r="F6205" s="344" t="s">
        <v>621</v>
      </c>
      <c r="G6205" s="358">
        <v>56.388599999999997</v>
      </c>
      <c r="H6205" s="344" t="s">
        <v>2186</v>
      </c>
    </row>
    <row r="6206" spans="1:8">
      <c r="A6206" s="1"/>
      <c r="B6206" s="1"/>
      <c r="C6206" s="1"/>
      <c r="D6206" s="1"/>
      <c r="E6206" s="357">
        <v>46072</v>
      </c>
      <c r="F6206" s="344" t="s">
        <v>625</v>
      </c>
      <c r="G6206" s="358">
        <v>51.534300000000002</v>
      </c>
      <c r="H6206" s="344" t="s">
        <v>2186</v>
      </c>
    </row>
    <row r="6207" spans="1:8">
      <c r="A6207" s="1"/>
      <c r="B6207" s="1"/>
      <c r="C6207" s="1"/>
      <c r="D6207" s="1"/>
      <c r="E6207" s="357">
        <v>46072</v>
      </c>
      <c r="F6207" s="344" t="s">
        <v>628</v>
      </c>
      <c r="G6207" s="358">
        <v>58.8658</v>
      </c>
      <c r="H6207" s="344" t="s">
        <v>2186</v>
      </c>
    </row>
    <row r="6208" spans="1:8">
      <c r="A6208" s="1"/>
      <c r="B6208" s="1"/>
      <c r="C6208" s="1"/>
      <c r="D6208" s="1"/>
      <c r="E6208" s="357">
        <v>46072</v>
      </c>
      <c r="F6208" s="344" t="s">
        <v>631</v>
      </c>
      <c r="G6208" s="358">
        <v>43.691299999999998</v>
      </c>
      <c r="H6208" s="344" t="s">
        <v>2186</v>
      </c>
    </row>
    <row r="6209" spans="1:8">
      <c r="A6209" s="1"/>
      <c r="B6209" s="1"/>
      <c r="C6209" s="1"/>
      <c r="D6209" s="1"/>
      <c r="E6209" s="357">
        <v>46073</v>
      </c>
      <c r="F6209" s="344" t="s">
        <v>621</v>
      </c>
      <c r="G6209" s="358">
        <v>56.178800000000003</v>
      </c>
      <c r="H6209" s="344" t="s">
        <v>2187</v>
      </c>
    </row>
    <row r="6210" spans="1:8">
      <c r="A6210" s="1"/>
      <c r="B6210" s="1"/>
      <c r="C6210" s="1"/>
      <c r="D6210" s="1"/>
      <c r="E6210" s="357">
        <v>46073</v>
      </c>
      <c r="F6210" s="344" t="s">
        <v>625</v>
      </c>
      <c r="G6210" s="358">
        <v>51.3825</v>
      </c>
      <c r="H6210" s="344" t="s">
        <v>2187</v>
      </c>
    </row>
    <row r="6211" spans="1:8">
      <c r="A6211" s="1"/>
      <c r="B6211" s="1"/>
      <c r="C6211" s="1"/>
      <c r="D6211" s="1"/>
      <c r="E6211" s="357">
        <v>46073</v>
      </c>
      <c r="F6211" s="344" t="s">
        <v>628</v>
      </c>
      <c r="G6211" s="358">
        <v>58.703600000000002</v>
      </c>
      <c r="H6211" s="344" t="s">
        <v>2187</v>
      </c>
    </row>
    <row r="6212" spans="1:8">
      <c r="A6212" s="1"/>
      <c r="B6212" s="1"/>
      <c r="C6212" s="1"/>
      <c r="D6212" s="1"/>
      <c r="E6212" s="357">
        <v>46073</v>
      </c>
      <c r="F6212" s="344" t="s">
        <v>631</v>
      </c>
      <c r="G6212" s="358">
        <v>43.688299999999998</v>
      </c>
      <c r="H6212" s="344" t="s">
        <v>2187</v>
      </c>
    </row>
    <row r="6213" spans="1:8">
      <c r="A6213" s="1"/>
      <c r="B6213" s="1"/>
      <c r="C6213" s="1"/>
      <c r="D6213" s="1"/>
      <c r="E6213" s="357">
        <v>46076</v>
      </c>
      <c r="F6213" s="344" t="s">
        <v>621</v>
      </c>
      <c r="G6213" s="358">
        <v>56.406599999999997</v>
      </c>
      <c r="H6213" s="344" t="s">
        <v>2188</v>
      </c>
    </row>
    <row r="6214" spans="1:8">
      <c r="A6214" s="1"/>
      <c r="B6214" s="1"/>
      <c r="C6214" s="1"/>
      <c r="D6214" s="1"/>
      <c r="E6214" s="357">
        <v>46076</v>
      </c>
      <c r="F6214" s="344" t="s">
        <v>625</v>
      </c>
      <c r="G6214" s="358">
        <v>51.661700000000003</v>
      </c>
      <c r="H6214" s="344" t="s">
        <v>2188</v>
      </c>
    </row>
    <row r="6215" spans="1:8">
      <c r="A6215" s="1"/>
      <c r="B6215" s="1"/>
      <c r="C6215" s="1"/>
      <c r="D6215" s="1"/>
      <c r="E6215" s="357">
        <v>46076</v>
      </c>
      <c r="F6215" s="344" t="s">
        <v>628</v>
      </c>
      <c r="G6215" s="358">
        <v>59.026000000000003</v>
      </c>
      <c r="H6215" s="344" t="s">
        <v>2188</v>
      </c>
    </row>
    <row r="6216" spans="1:8">
      <c r="A6216" s="1"/>
      <c r="B6216" s="1"/>
      <c r="C6216" s="1"/>
      <c r="D6216" s="1"/>
      <c r="E6216" s="357">
        <v>46076</v>
      </c>
      <c r="F6216" s="344" t="s">
        <v>631</v>
      </c>
      <c r="G6216" s="358">
        <v>43.754199999999997</v>
      </c>
      <c r="H6216" s="344" t="s">
        <v>2188</v>
      </c>
    </row>
    <row r="6217" spans="1:8">
      <c r="A6217" s="1"/>
      <c r="B6217" s="1"/>
      <c r="C6217" s="1"/>
      <c r="D6217" s="1"/>
      <c r="E6217" s="357">
        <v>46077</v>
      </c>
      <c r="F6217" s="344" t="s">
        <v>621</v>
      </c>
      <c r="G6217" s="358">
        <v>56.394100000000002</v>
      </c>
      <c r="H6217" s="344" t="s">
        <v>2189</v>
      </c>
    </row>
    <row r="6218" spans="1:8">
      <c r="A6218" s="1"/>
      <c r="B6218" s="1"/>
      <c r="C6218" s="1"/>
      <c r="D6218" s="1"/>
      <c r="E6218" s="357">
        <v>46077</v>
      </c>
      <c r="F6218" s="344" t="s">
        <v>625</v>
      </c>
      <c r="G6218" s="358">
        <v>51.583399999999997</v>
      </c>
      <c r="H6218" s="344" t="s">
        <v>2189</v>
      </c>
    </row>
    <row r="6219" spans="1:8">
      <c r="A6219" s="1"/>
      <c r="B6219" s="1"/>
      <c r="C6219" s="1"/>
      <c r="D6219" s="1"/>
      <c r="E6219" s="357">
        <v>46077</v>
      </c>
      <c r="F6219" s="344" t="s">
        <v>628</v>
      </c>
      <c r="G6219" s="358">
        <v>58.948900000000002</v>
      </c>
      <c r="H6219" s="344" t="s">
        <v>2189</v>
      </c>
    </row>
    <row r="6220" spans="1:8">
      <c r="A6220" s="1"/>
      <c r="B6220" s="1"/>
      <c r="C6220" s="1"/>
      <c r="D6220" s="1"/>
      <c r="E6220" s="357">
        <v>46077</v>
      </c>
      <c r="F6220" s="344" t="s">
        <v>631</v>
      </c>
      <c r="G6220" s="358">
        <v>43.777500000000003</v>
      </c>
      <c r="H6220" s="344" t="s">
        <v>2189</v>
      </c>
    </row>
    <row r="6221" spans="1:8">
      <c r="A6221" s="1"/>
      <c r="B6221" s="1"/>
      <c r="C6221" s="1"/>
      <c r="D6221" s="1"/>
      <c r="E6221" s="357">
        <v>46078</v>
      </c>
      <c r="F6221" s="344" t="s">
        <v>621</v>
      </c>
      <c r="G6221" s="358">
        <v>56.447499999999998</v>
      </c>
      <c r="H6221" s="344" t="s">
        <v>2190</v>
      </c>
    </row>
    <row r="6222" spans="1:8">
      <c r="A6222" s="1"/>
      <c r="B6222" s="1"/>
      <c r="C6222" s="1"/>
      <c r="D6222" s="1"/>
      <c r="E6222" s="357">
        <v>46078</v>
      </c>
      <c r="F6222" s="344" t="s">
        <v>625</v>
      </c>
      <c r="G6222" s="358">
        <v>51.623699999999999</v>
      </c>
      <c r="H6222" s="344" t="s">
        <v>2190</v>
      </c>
    </row>
    <row r="6223" spans="1:8">
      <c r="A6223" s="1"/>
      <c r="B6223" s="1"/>
      <c r="C6223" s="1"/>
      <c r="D6223" s="1"/>
      <c r="E6223" s="357">
        <v>46078</v>
      </c>
      <c r="F6223" s="344" t="s">
        <v>628</v>
      </c>
      <c r="G6223" s="358">
        <v>59.0901</v>
      </c>
      <c r="H6223" s="344" t="s">
        <v>2190</v>
      </c>
    </row>
    <row r="6224" spans="1:8">
      <c r="A6224" s="1"/>
      <c r="B6224" s="1"/>
      <c r="C6224" s="1"/>
      <c r="D6224" s="1"/>
      <c r="E6224" s="357">
        <v>46078</v>
      </c>
      <c r="F6224" s="344" t="s">
        <v>631</v>
      </c>
      <c r="G6224" s="358">
        <v>43.788800000000002</v>
      </c>
      <c r="H6224" s="344" t="s">
        <v>2190</v>
      </c>
    </row>
    <row r="6225" spans="1:8">
      <c r="A6225" s="1"/>
      <c r="B6225" s="1"/>
      <c r="C6225" s="1"/>
      <c r="D6225" s="1"/>
      <c r="E6225" s="357">
        <v>46079</v>
      </c>
      <c r="F6225" s="344" t="s">
        <v>621</v>
      </c>
      <c r="G6225" s="358">
        <v>56.500599999999999</v>
      </c>
      <c r="H6225" s="344" t="s">
        <v>2191</v>
      </c>
    </row>
    <row r="6226" spans="1:8">
      <c r="A6226" s="1"/>
      <c r="B6226" s="1"/>
      <c r="C6226" s="1"/>
      <c r="D6226" s="1"/>
      <c r="E6226" s="357">
        <v>46079</v>
      </c>
      <c r="F6226" s="344" t="s">
        <v>625</v>
      </c>
      <c r="G6226" s="358">
        <v>51.7119</v>
      </c>
      <c r="H6226" s="344" t="s">
        <v>2191</v>
      </c>
    </row>
    <row r="6227" spans="1:8">
      <c r="A6227" s="1"/>
      <c r="B6227" s="1"/>
      <c r="C6227" s="1"/>
      <c r="D6227" s="1"/>
      <c r="E6227" s="357">
        <v>46079</v>
      </c>
      <c r="F6227" s="344" t="s">
        <v>628</v>
      </c>
      <c r="G6227" s="358">
        <v>59.1922</v>
      </c>
      <c r="H6227" s="344" t="s">
        <v>2191</v>
      </c>
    </row>
    <row r="6228" spans="1:8">
      <c r="A6228" s="1"/>
      <c r="B6228" s="1"/>
      <c r="C6228" s="1"/>
      <c r="D6228" s="1"/>
      <c r="E6228" s="357">
        <v>46079</v>
      </c>
      <c r="F6228" s="344" t="s">
        <v>631</v>
      </c>
      <c r="G6228" s="358">
        <v>43.802599999999998</v>
      </c>
      <c r="H6228" s="344" t="s">
        <v>2191</v>
      </c>
    </row>
    <row r="6229" spans="1:8">
      <c r="A6229" s="1"/>
      <c r="B6229" s="1"/>
      <c r="C6229" s="1"/>
      <c r="D6229" s="1"/>
      <c r="E6229" s="357">
        <v>46080</v>
      </c>
      <c r="F6229" s="344" t="s">
        <v>621</v>
      </c>
      <c r="G6229" s="358">
        <v>56.546500000000002</v>
      </c>
      <c r="H6229" s="344" t="s">
        <v>2192</v>
      </c>
    </row>
    <row r="6230" spans="1:8">
      <c r="A6230" s="1"/>
      <c r="B6230" s="1"/>
      <c r="C6230" s="1"/>
      <c r="D6230" s="1"/>
      <c r="E6230" s="357">
        <v>46080</v>
      </c>
      <c r="F6230" s="344" t="s">
        <v>625</v>
      </c>
      <c r="G6230" s="358">
        <v>51.700800000000001</v>
      </c>
      <c r="H6230" s="344" t="s">
        <v>2192</v>
      </c>
    </row>
    <row r="6231" spans="1:8">
      <c r="A6231" s="1"/>
      <c r="B6231" s="1"/>
      <c r="C6231" s="1"/>
      <c r="D6231" s="1"/>
      <c r="E6231" s="357">
        <v>46080</v>
      </c>
      <c r="F6231" s="344" t="s">
        <v>628</v>
      </c>
      <c r="G6231" s="358">
        <v>58.942999999999998</v>
      </c>
      <c r="H6231" s="344" t="s">
        <v>2192</v>
      </c>
    </row>
    <row r="6232" spans="1:8">
      <c r="A6232" s="1"/>
      <c r="B6232" s="1"/>
      <c r="C6232" s="1"/>
      <c r="D6232" s="1"/>
      <c r="E6232" s="357">
        <v>46080</v>
      </c>
      <c r="F6232" s="344" t="s">
        <v>631</v>
      </c>
      <c r="G6232" s="358">
        <v>43.8</v>
      </c>
      <c r="H6232" s="344" t="s">
        <v>2192</v>
      </c>
    </row>
    <row r="6233" spans="1:8">
      <c r="A6233" s="1"/>
      <c r="B6233" s="1"/>
      <c r="C6233" s="1"/>
      <c r="D6233" s="1"/>
      <c r="E6233" s="357">
        <v>46083</v>
      </c>
      <c r="F6233" s="344" t="s">
        <v>621</v>
      </c>
      <c r="G6233" s="358">
        <v>56.665999999999997</v>
      </c>
      <c r="H6233" s="344" t="s">
        <v>2193</v>
      </c>
    </row>
    <row r="6234" spans="1:8">
      <c r="A6234" s="1"/>
      <c r="B6234" s="1"/>
      <c r="C6234" s="1"/>
      <c r="D6234" s="1"/>
      <c r="E6234" s="357">
        <v>46083</v>
      </c>
      <c r="F6234" s="344" t="s">
        <v>625</v>
      </c>
      <c r="G6234" s="358">
        <v>51.473799999999997</v>
      </c>
      <c r="H6234" s="344" t="s">
        <v>2193</v>
      </c>
    </row>
    <row r="6235" spans="1:8">
      <c r="A6235" s="1"/>
      <c r="B6235" s="1"/>
      <c r="C6235" s="1"/>
      <c r="D6235" s="1"/>
      <c r="E6235" s="357">
        <v>46083</v>
      </c>
      <c r="F6235" s="344" t="s">
        <v>628</v>
      </c>
      <c r="G6235" s="358">
        <v>58.622900000000001</v>
      </c>
      <c r="H6235" s="344" t="s">
        <v>2193</v>
      </c>
    </row>
    <row r="6236" spans="1:8">
      <c r="A6236" s="1"/>
      <c r="B6236" s="1"/>
      <c r="C6236" s="1"/>
      <c r="D6236" s="1"/>
      <c r="E6236" s="357">
        <v>46083</v>
      </c>
      <c r="F6236" s="344" t="s">
        <v>631</v>
      </c>
      <c r="G6236" s="358">
        <v>43.884999999999998</v>
      </c>
      <c r="H6236" s="344" t="s">
        <v>2193</v>
      </c>
    </row>
    <row r="6237" spans="1:8">
      <c r="A6237" s="1"/>
      <c r="B6237" s="1"/>
      <c r="C6237" s="1"/>
      <c r="D6237" s="1"/>
      <c r="E6237" s="357">
        <v>46084</v>
      </c>
      <c r="F6237" s="344" t="s">
        <v>621</v>
      </c>
      <c r="G6237" s="358">
        <v>55.808599999999998</v>
      </c>
      <c r="H6237" s="344" t="s">
        <v>2194</v>
      </c>
    </row>
    <row r="6238" spans="1:8">
      <c r="A6238" s="1"/>
      <c r="B6238" s="1"/>
      <c r="C6238" s="1"/>
      <c r="D6238" s="1"/>
      <c r="E6238" s="357">
        <v>46084</v>
      </c>
      <c r="F6238" s="344" t="s">
        <v>625</v>
      </c>
      <c r="G6238" s="358">
        <v>51.009399999999999</v>
      </c>
      <c r="H6238" s="344" t="s">
        <v>2194</v>
      </c>
    </row>
    <row r="6239" spans="1:8">
      <c r="A6239" s="1"/>
      <c r="B6239" s="1"/>
      <c r="C6239" s="1"/>
      <c r="D6239" s="1"/>
      <c r="E6239" s="357">
        <v>46084</v>
      </c>
      <c r="F6239" s="344" t="s">
        <v>628</v>
      </c>
      <c r="G6239" s="358">
        <v>58.333399999999997</v>
      </c>
      <c r="H6239" s="344" t="s">
        <v>2194</v>
      </c>
    </row>
    <row r="6240" spans="1:8">
      <c r="A6240" s="1"/>
      <c r="B6240" s="1"/>
      <c r="C6240" s="1"/>
      <c r="D6240" s="1"/>
      <c r="E6240" s="357">
        <v>46084</v>
      </c>
      <c r="F6240" s="344" t="s">
        <v>631</v>
      </c>
      <c r="G6240" s="358">
        <v>43.891300000000001</v>
      </c>
      <c r="H6240" s="344" t="s">
        <v>2194</v>
      </c>
    </row>
    <row r="6241" spans="1:8">
      <c r="A6241" s="1"/>
      <c r="B6241" s="1"/>
      <c r="C6241" s="1"/>
      <c r="D6241" s="1"/>
      <c r="E6241" s="357">
        <v>46085</v>
      </c>
      <c r="F6241" s="344" t="s">
        <v>621</v>
      </c>
      <c r="G6241" s="358">
        <v>56.044899999999998</v>
      </c>
      <c r="H6241" s="344" t="s">
        <v>2195</v>
      </c>
    </row>
    <row r="6242" spans="1:8">
      <c r="A6242" s="1"/>
      <c r="B6242" s="1"/>
      <c r="C6242" s="1"/>
      <c r="D6242" s="1"/>
      <c r="E6242" s="357">
        <v>46085</v>
      </c>
      <c r="F6242" s="344" t="s">
        <v>625</v>
      </c>
      <c r="G6242" s="358">
        <v>50.994</v>
      </c>
      <c r="H6242" s="344" t="s">
        <v>2195</v>
      </c>
    </row>
    <row r="6243" spans="1:8">
      <c r="A6243" s="1"/>
      <c r="B6243" s="1"/>
      <c r="C6243" s="1"/>
      <c r="D6243" s="1"/>
      <c r="E6243" s="357">
        <v>46085</v>
      </c>
      <c r="F6243" s="344" t="s">
        <v>628</v>
      </c>
      <c r="G6243" s="358">
        <v>58.533499999999997</v>
      </c>
      <c r="H6243" s="344" t="s">
        <v>2195</v>
      </c>
    </row>
    <row r="6244" spans="1:8">
      <c r="A6244" s="1"/>
      <c r="B6244" s="1"/>
      <c r="C6244" s="1"/>
      <c r="D6244" s="1"/>
      <c r="E6244" s="357">
        <v>46085</v>
      </c>
      <c r="F6244" s="344" t="s">
        <v>631</v>
      </c>
      <c r="G6244" s="358">
        <v>43.8932</v>
      </c>
      <c r="H6244" s="344" t="s">
        <v>2195</v>
      </c>
    </row>
    <row r="6245" spans="1:8">
      <c r="A6245" s="1"/>
      <c r="B6245" s="1"/>
      <c r="C6245" s="1"/>
      <c r="D6245" s="1"/>
      <c r="E6245" s="357">
        <v>46086</v>
      </c>
      <c r="F6245" s="344" t="s">
        <v>621</v>
      </c>
      <c r="G6245" s="358">
        <v>56.148200000000003</v>
      </c>
      <c r="H6245" s="344" t="s">
        <v>2196</v>
      </c>
    </row>
    <row r="6246" spans="1:8">
      <c r="A6246" s="1"/>
      <c r="B6246" s="1"/>
      <c r="C6246" s="1"/>
      <c r="D6246" s="1"/>
      <c r="E6246" s="357">
        <v>46086</v>
      </c>
      <c r="F6246" s="344" t="s">
        <v>625</v>
      </c>
      <c r="G6246" s="358">
        <v>50.981400000000001</v>
      </c>
      <c r="H6246" s="344" t="s">
        <v>2196</v>
      </c>
    </row>
    <row r="6247" spans="1:8">
      <c r="A6247" s="1"/>
      <c r="B6247" s="1"/>
      <c r="C6247" s="1"/>
      <c r="D6247" s="1"/>
      <c r="E6247" s="357">
        <v>46086</v>
      </c>
      <c r="F6247" s="344" t="s">
        <v>628</v>
      </c>
      <c r="G6247" s="358">
        <v>58.499200000000002</v>
      </c>
      <c r="H6247" s="344" t="s">
        <v>2196</v>
      </c>
    </row>
    <row r="6248" spans="1:8">
      <c r="A6248" s="1"/>
      <c r="B6248" s="1"/>
      <c r="C6248" s="1"/>
      <c r="D6248" s="1"/>
      <c r="E6248" s="357">
        <v>46086</v>
      </c>
      <c r="F6248" s="344" t="s">
        <v>631</v>
      </c>
      <c r="G6248" s="358">
        <v>43.913499999999999</v>
      </c>
      <c r="H6248" s="344" t="s">
        <v>2196</v>
      </c>
    </row>
    <row r="6249" spans="1:8">
      <c r="A6249" s="1"/>
      <c r="B6249" s="1"/>
      <c r="C6249" s="1"/>
      <c r="D6249" s="1"/>
      <c r="E6249" s="357">
        <v>46087</v>
      </c>
      <c r="F6249" s="344" t="s">
        <v>621</v>
      </c>
      <c r="G6249" s="358">
        <v>56.089399999999998</v>
      </c>
      <c r="H6249" s="344" t="s">
        <v>2197</v>
      </c>
    </row>
    <row r="6250" spans="1:8">
      <c r="A6250" s="1"/>
      <c r="B6250" s="1"/>
      <c r="C6250" s="1"/>
      <c r="D6250" s="1"/>
      <c r="E6250" s="357">
        <v>46087</v>
      </c>
      <c r="F6250" s="344" t="s">
        <v>625</v>
      </c>
      <c r="G6250" s="358">
        <v>50.890500000000003</v>
      </c>
      <c r="H6250" s="344" t="s">
        <v>2197</v>
      </c>
    </row>
    <row r="6251" spans="1:8">
      <c r="A6251" s="1"/>
      <c r="B6251" s="1"/>
      <c r="C6251" s="1"/>
      <c r="D6251" s="1"/>
      <c r="E6251" s="357">
        <v>46087</v>
      </c>
      <c r="F6251" s="344" t="s">
        <v>628</v>
      </c>
      <c r="G6251" s="358">
        <v>58.504600000000003</v>
      </c>
      <c r="H6251" s="344" t="s">
        <v>2197</v>
      </c>
    </row>
    <row r="6252" spans="1:8">
      <c r="A6252" s="1"/>
      <c r="B6252" s="1"/>
      <c r="C6252" s="1"/>
      <c r="D6252" s="1"/>
      <c r="E6252" s="357">
        <v>46087</v>
      </c>
      <c r="F6252" s="344" t="s">
        <v>631</v>
      </c>
      <c r="G6252" s="358">
        <v>43.905500000000004</v>
      </c>
      <c r="H6252" s="344" t="s">
        <v>2197</v>
      </c>
    </row>
    <row r="6253" spans="1:8">
      <c r="A6253" s="1"/>
      <c r="B6253" s="1"/>
      <c r="C6253" s="1"/>
      <c r="D6253" s="1"/>
      <c r="E6253" s="357">
        <v>46090</v>
      </c>
      <c r="F6253" s="344" t="s">
        <v>621</v>
      </c>
      <c r="G6253" s="358">
        <v>56.330599999999997</v>
      </c>
      <c r="H6253" s="344" t="s">
        <v>2198</v>
      </c>
    </row>
    <row r="6254" spans="1:8">
      <c r="A6254" s="1"/>
      <c r="B6254" s="1"/>
      <c r="C6254" s="1"/>
      <c r="D6254" s="1"/>
      <c r="E6254" s="357">
        <v>46090</v>
      </c>
      <c r="F6254" s="344" t="s">
        <v>625</v>
      </c>
      <c r="G6254" s="358">
        <v>50.834000000000003</v>
      </c>
      <c r="H6254" s="344" t="s">
        <v>2198</v>
      </c>
    </row>
    <row r="6255" spans="1:8">
      <c r="A6255" s="1"/>
      <c r="B6255" s="1"/>
      <c r="C6255" s="1"/>
      <c r="D6255" s="1"/>
      <c r="E6255" s="357">
        <v>46090</v>
      </c>
      <c r="F6255" s="344" t="s">
        <v>628</v>
      </c>
      <c r="G6255" s="358">
        <v>58.572899999999997</v>
      </c>
      <c r="H6255" s="344" t="s">
        <v>2198</v>
      </c>
    </row>
    <row r="6256" spans="1:8">
      <c r="A6256" s="1"/>
      <c r="B6256" s="1"/>
      <c r="C6256" s="1"/>
      <c r="D6256" s="1"/>
      <c r="E6256" s="357">
        <v>46090</v>
      </c>
      <c r="F6256" s="344" t="s">
        <v>631</v>
      </c>
      <c r="G6256" s="358">
        <v>44.000700000000002</v>
      </c>
      <c r="H6256" s="344" t="s">
        <v>2198</v>
      </c>
    </row>
    <row r="6257" spans="1:8">
      <c r="A6257" s="1"/>
      <c r="B6257" s="1"/>
      <c r="C6257" s="1"/>
      <c r="D6257" s="1"/>
      <c r="E6257" s="357">
        <v>46091</v>
      </c>
      <c r="F6257" s="344" t="s">
        <v>621</v>
      </c>
      <c r="G6257" s="358">
        <v>56.537799999999997</v>
      </c>
      <c r="H6257" s="344" t="s">
        <v>2199</v>
      </c>
    </row>
    <row r="6258" spans="1:8">
      <c r="A6258" s="1"/>
      <c r="B6258" s="1"/>
      <c r="C6258" s="1"/>
      <c r="D6258" s="1"/>
      <c r="E6258" s="357">
        <v>46091</v>
      </c>
      <c r="F6258" s="344" t="s">
        <v>625</v>
      </c>
      <c r="G6258" s="358">
        <v>51.217399999999998</v>
      </c>
      <c r="H6258" s="344" t="s">
        <v>2199</v>
      </c>
    </row>
    <row r="6259" spans="1:8">
      <c r="A6259" s="1"/>
      <c r="B6259" s="1"/>
      <c r="C6259" s="1"/>
      <c r="D6259" s="1"/>
      <c r="E6259" s="357">
        <v>46091</v>
      </c>
      <c r="F6259" s="344" t="s">
        <v>628</v>
      </c>
      <c r="G6259" s="358">
        <v>59.085599999999999</v>
      </c>
      <c r="H6259" s="344" t="s">
        <v>2199</v>
      </c>
    </row>
    <row r="6260" spans="1:8">
      <c r="A6260" s="1"/>
      <c r="B6260" s="1"/>
      <c r="C6260" s="1"/>
      <c r="D6260" s="1"/>
      <c r="E6260" s="357">
        <v>46091</v>
      </c>
      <c r="F6260" s="344" t="s">
        <v>631</v>
      </c>
      <c r="G6260" s="358">
        <v>43.982599999999998</v>
      </c>
      <c r="H6260" s="344" t="s">
        <v>2199</v>
      </c>
    </row>
    <row r="6261" spans="1:8">
      <c r="A6261" s="1"/>
      <c r="B6261" s="1"/>
      <c r="C6261" s="1"/>
      <c r="D6261" s="1"/>
      <c r="E6261" s="357">
        <v>46092</v>
      </c>
      <c r="F6261" s="344" t="s">
        <v>621</v>
      </c>
      <c r="G6261" s="358">
        <v>56.414400000000001</v>
      </c>
      <c r="H6261" s="344" t="s">
        <v>2200</v>
      </c>
    </row>
    <row r="6262" spans="1:8">
      <c r="A6262" s="1"/>
      <c r="B6262" s="1"/>
      <c r="C6262" s="1"/>
      <c r="D6262" s="1"/>
      <c r="E6262" s="357">
        <v>46092</v>
      </c>
      <c r="F6262" s="344" t="s">
        <v>625</v>
      </c>
      <c r="G6262" s="358">
        <v>51.077599999999997</v>
      </c>
      <c r="H6262" s="344" t="s">
        <v>2200</v>
      </c>
    </row>
    <row r="6263" spans="1:8">
      <c r="A6263" s="1"/>
      <c r="B6263" s="1"/>
      <c r="C6263" s="1"/>
      <c r="D6263" s="1"/>
      <c r="E6263" s="357">
        <v>46092</v>
      </c>
      <c r="F6263" s="344" t="s">
        <v>628</v>
      </c>
      <c r="G6263" s="358">
        <v>59.002299999999998</v>
      </c>
      <c r="H6263" s="344" t="s">
        <v>2200</v>
      </c>
    </row>
    <row r="6264" spans="1:8">
      <c r="A6264" s="1"/>
      <c r="B6264" s="1"/>
      <c r="C6264" s="1"/>
      <c r="D6264" s="1"/>
      <c r="E6264" s="357">
        <v>46092</v>
      </c>
      <c r="F6264" s="344" t="s">
        <v>631</v>
      </c>
      <c r="G6264" s="358">
        <v>43.996400000000001</v>
      </c>
      <c r="H6264" s="344" t="s">
        <v>2200</v>
      </c>
    </row>
    <row r="6265" spans="1:8">
      <c r="A6265" s="1"/>
      <c r="B6265" s="1"/>
      <c r="C6265" s="1"/>
      <c r="D6265" s="1"/>
      <c r="E6265" s="357">
        <v>46093</v>
      </c>
      <c r="F6265" s="344" t="s">
        <v>621</v>
      </c>
      <c r="G6265" s="358">
        <v>56.223399999999998</v>
      </c>
      <c r="H6265" s="344" t="s">
        <v>2201</v>
      </c>
    </row>
    <row r="6266" spans="1:8">
      <c r="A6266" s="1"/>
      <c r="B6266" s="1"/>
      <c r="C6266" s="1"/>
      <c r="D6266" s="1"/>
      <c r="E6266" s="357">
        <v>46093</v>
      </c>
      <c r="F6266" s="344" t="s">
        <v>625</v>
      </c>
      <c r="G6266" s="358">
        <v>50.871299999999998</v>
      </c>
      <c r="H6266" s="344" t="s">
        <v>2201</v>
      </c>
    </row>
    <row r="6267" spans="1:8">
      <c r="A6267" s="1"/>
      <c r="B6267" s="1"/>
      <c r="C6267" s="1"/>
      <c r="D6267" s="1"/>
      <c r="E6267" s="357">
        <v>46093</v>
      </c>
      <c r="F6267" s="344" t="s">
        <v>628</v>
      </c>
      <c r="G6267" s="358">
        <v>58.854300000000002</v>
      </c>
      <c r="H6267" s="344" t="s">
        <v>2201</v>
      </c>
    </row>
    <row r="6268" spans="1:8">
      <c r="A6268" s="1"/>
      <c r="B6268" s="1"/>
      <c r="C6268" s="1"/>
      <c r="D6268" s="1"/>
      <c r="E6268" s="357">
        <v>46093</v>
      </c>
      <c r="F6268" s="344" t="s">
        <v>631</v>
      </c>
      <c r="G6268" s="358">
        <v>44.030999999999999</v>
      </c>
      <c r="H6268" s="344" t="s">
        <v>2201</v>
      </c>
    </row>
    <row r="6269" spans="1:8">
      <c r="A6269" s="1"/>
      <c r="B6269" s="1"/>
      <c r="C6269" s="1"/>
      <c r="D6269" s="1"/>
      <c r="E6269" s="357">
        <v>46094</v>
      </c>
      <c r="F6269" s="344" t="s">
        <v>621</v>
      </c>
      <c r="G6269" s="358">
        <v>55.7273</v>
      </c>
      <c r="H6269" s="344" t="s">
        <v>2202</v>
      </c>
    </row>
    <row r="6270" spans="1:8">
      <c r="A6270" s="1"/>
      <c r="B6270" s="1"/>
      <c r="C6270" s="1"/>
      <c r="D6270" s="1"/>
      <c r="E6270" s="357">
        <v>46094</v>
      </c>
      <c r="F6270" s="344" t="s">
        <v>625</v>
      </c>
      <c r="G6270" s="358">
        <v>50.452100000000002</v>
      </c>
      <c r="H6270" s="344" t="s">
        <v>2202</v>
      </c>
    </row>
    <row r="6271" spans="1:8">
      <c r="A6271" s="1"/>
      <c r="B6271" s="1"/>
      <c r="C6271" s="1"/>
      <c r="D6271" s="1"/>
      <c r="E6271" s="357">
        <v>46094</v>
      </c>
      <c r="F6271" s="344" t="s">
        <v>628</v>
      </c>
      <c r="G6271" s="358">
        <v>58.326000000000001</v>
      </c>
      <c r="H6271" s="344" t="s">
        <v>2202</v>
      </c>
    </row>
    <row r="6272" spans="1:8">
      <c r="A6272" s="1"/>
      <c r="B6272" s="1"/>
      <c r="C6272" s="1"/>
      <c r="D6272" s="1"/>
      <c r="E6272" s="357">
        <v>46094</v>
      </c>
      <c r="F6272" s="344" t="s">
        <v>631</v>
      </c>
      <c r="G6272" s="358">
        <v>44.021000000000001</v>
      </c>
      <c r="H6272" s="344" t="s">
        <v>2202</v>
      </c>
    </row>
    <row r="6273" spans="1:8">
      <c r="A6273" s="1"/>
      <c r="B6273" s="1"/>
      <c r="C6273" s="1"/>
      <c r="D6273" s="1"/>
      <c r="E6273" s="357">
        <v>46097</v>
      </c>
      <c r="F6273" s="344" t="s">
        <v>621</v>
      </c>
      <c r="G6273" s="358">
        <v>55.735399999999998</v>
      </c>
      <c r="H6273" s="344" t="s">
        <v>2203</v>
      </c>
    </row>
    <row r="6274" spans="1:8">
      <c r="A6274" s="1"/>
      <c r="B6274" s="1"/>
      <c r="C6274" s="1"/>
      <c r="D6274" s="1"/>
      <c r="E6274" s="357">
        <v>46097</v>
      </c>
      <c r="F6274" s="344" t="s">
        <v>625</v>
      </c>
      <c r="G6274" s="358">
        <v>50.507300000000001</v>
      </c>
      <c r="H6274" s="344" t="s">
        <v>2203</v>
      </c>
    </row>
    <row r="6275" spans="1:8">
      <c r="A6275" s="1"/>
      <c r="B6275" s="1"/>
      <c r="C6275" s="1"/>
      <c r="D6275" s="1"/>
      <c r="E6275" s="357">
        <v>46097</v>
      </c>
      <c r="F6275" s="344" t="s">
        <v>628</v>
      </c>
      <c r="G6275" s="358">
        <v>58.374099999999999</v>
      </c>
      <c r="H6275" s="344" t="s">
        <v>2203</v>
      </c>
    </row>
    <row r="6276" spans="1:8">
      <c r="A6276" s="1"/>
      <c r="B6276" s="1"/>
      <c r="C6276" s="1"/>
      <c r="D6276" s="1"/>
      <c r="E6276" s="357">
        <v>46097</v>
      </c>
      <c r="F6276" s="344" t="s">
        <v>631</v>
      </c>
      <c r="G6276" s="358">
        <v>44.106000000000002</v>
      </c>
      <c r="H6276" s="344" t="s">
        <v>2203</v>
      </c>
    </row>
    <row r="6277" spans="1:8">
      <c r="A6277" s="1"/>
      <c r="B6277" s="1"/>
      <c r="C6277" s="1"/>
      <c r="D6277" s="1"/>
      <c r="E6277" s="357">
        <v>46098</v>
      </c>
      <c r="F6277" s="344" t="s">
        <v>621</v>
      </c>
      <c r="G6277" s="358">
        <v>55.899099999999997</v>
      </c>
      <c r="H6277" s="344" t="s">
        <v>2204</v>
      </c>
    </row>
    <row r="6278" spans="1:8">
      <c r="A6278" s="1"/>
      <c r="B6278" s="1"/>
      <c r="C6278" s="1"/>
      <c r="D6278" s="1"/>
      <c r="E6278" s="357">
        <v>46098</v>
      </c>
      <c r="F6278" s="344" t="s">
        <v>625</v>
      </c>
      <c r="G6278" s="358">
        <v>50.752099999999999</v>
      </c>
      <c r="H6278" s="344" t="s">
        <v>2204</v>
      </c>
    </row>
    <row r="6279" spans="1:8">
      <c r="A6279" s="1"/>
      <c r="B6279" s="1"/>
      <c r="C6279" s="1"/>
      <c r="D6279" s="1"/>
      <c r="E6279" s="357">
        <v>46098</v>
      </c>
      <c r="F6279" s="344" t="s">
        <v>628</v>
      </c>
      <c r="G6279" s="358">
        <v>58.6556</v>
      </c>
      <c r="H6279" s="344" t="s">
        <v>2204</v>
      </c>
    </row>
    <row r="6280" spans="1:8">
      <c r="A6280" s="1"/>
      <c r="B6280" s="1"/>
      <c r="C6280" s="1"/>
      <c r="D6280" s="1"/>
      <c r="E6280" s="357">
        <v>46098</v>
      </c>
      <c r="F6280" s="344" t="s">
        <v>631</v>
      </c>
      <c r="G6280" s="358">
        <v>44.120699999999999</v>
      </c>
      <c r="H6280" s="344" t="s">
        <v>2204</v>
      </c>
    </row>
    <row r="6281" spans="1:8">
      <c r="A6281" s="1"/>
      <c r="B6281" s="1"/>
      <c r="C6281" s="1"/>
      <c r="D6281" s="1"/>
      <c r="E6281" s="357">
        <v>46099</v>
      </c>
      <c r="F6281" s="344" t="s">
        <v>621</v>
      </c>
      <c r="G6281" s="358">
        <v>56.018300000000004</v>
      </c>
      <c r="H6281" s="344" t="s">
        <v>2205</v>
      </c>
    </row>
    <row r="6282" spans="1:8">
      <c r="A6282" s="1"/>
      <c r="B6282" s="1"/>
      <c r="C6282" s="1"/>
      <c r="D6282" s="1"/>
      <c r="E6282" s="357">
        <v>46099</v>
      </c>
      <c r="F6282" s="344" t="s">
        <v>625</v>
      </c>
      <c r="G6282" s="358">
        <v>50.9193</v>
      </c>
      <c r="H6282" s="344" t="s">
        <v>2205</v>
      </c>
    </row>
    <row r="6283" spans="1:8">
      <c r="A6283" s="1"/>
      <c r="B6283" s="1"/>
      <c r="C6283" s="1"/>
      <c r="D6283" s="1"/>
      <c r="E6283" s="357">
        <v>46099</v>
      </c>
      <c r="F6283" s="344" t="s">
        <v>628</v>
      </c>
      <c r="G6283" s="358">
        <v>58.8504</v>
      </c>
      <c r="H6283" s="344" t="s">
        <v>2205</v>
      </c>
    </row>
    <row r="6284" spans="1:8">
      <c r="A6284" s="1"/>
      <c r="B6284" s="1"/>
      <c r="C6284" s="1"/>
      <c r="D6284" s="1"/>
      <c r="E6284" s="357">
        <v>46099</v>
      </c>
      <c r="F6284" s="344" t="s">
        <v>631</v>
      </c>
      <c r="G6284" s="358">
        <v>44.1325</v>
      </c>
      <c r="H6284" s="344" t="s">
        <v>2205</v>
      </c>
    </row>
    <row r="6285" spans="1:8">
      <c r="A6285" s="1"/>
      <c r="B6285" s="1"/>
      <c r="C6285" s="1"/>
      <c r="D6285" s="1"/>
      <c r="E6285" s="357">
        <v>46104</v>
      </c>
      <c r="F6285" s="344" t="s">
        <v>621</v>
      </c>
      <c r="G6285" s="358">
        <v>55.792000000000002</v>
      </c>
      <c r="H6285" s="344" t="s">
        <v>2206</v>
      </c>
    </row>
    <row r="6286" spans="1:8">
      <c r="A6286" s="1"/>
      <c r="B6286" s="1"/>
      <c r="C6286" s="1"/>
      <c r="D6286" s="1"/>
      <c r="E6286" s="357">
        <v>46104</v>
      </c>
      <c r="F6286" s="344" t="s">
        <v>625</v>
      </c>
      <c r="G6286" s="358">
        <v>50.972200000000001</v>
      </c>
      <c r="H6286" s="344" t="s">
        <v>2206</v>
      </c>
    </row>
    <row r="6287" spans="1:8">
      <c r="A6287" s="1"/>
      <c r="B6287" s="1"/>
      <c r="C6287" s="1"/>
      <c r="D6287" s="1"/>
      <c r="E6287" s="357">
        <v>46104</v>
      </c>
      <c r="F6287" s="344" t="s">
        <v>628</v>
      </c>
      <c r="G6287" s="358">
        <v>58.727600000000002</v>
      </c>
      <c r="H6287" s="344" t="s">
        <v>2206</v>
      </c>
    </row>
    <row r="6288" spans="1:8">
      <c r="A6288" s="1"/>
      <c r="B6288" s="1"/>
      <c r="C6288" s="1"/>
      <c r="D6288" s="1"/>
      <c r="E6288" s="357">
        <v>46104</v>
      </c>
      <c r="F6288" s="344" t="s">
        <v>631</v>
      </c>
      <c r="G6288" s="358">
        <v>44.243499999999997</v>
      </c>
      <c r="H6288" s="344" t="s">
        <v>2206</v>
      </c>
    </row>
    <row r="6289" spans="1:8">
      <c r="A6289" s="1"/>
      <c r="B6289" s="1"/>
      <c r="C6289" s="1"/>
      <c r="D6289" s="1"/>
      <c r="E6289" s="357">
        <v>46105</v>
      </c>
      <c r="F6289" s="344" t="s">
        <v>621</v>
      </c>
      <c r="G6289" s="358">
        <v>56.101500000000001</v>
      </c>
      <c r="H6289" s="344" t="s">
        <v>2207</v>
      </c>
    </row>
    <row r="6290" spans="1:8">
      <c r="A6290" s="1"/>
      <c r="B6290" s="1"/>
      <c r="C6290" s="1"/>
      <c r="D6290" s="1"/>
      <c r="E6290" s="357">
        <v>46105</v>
      </c>
      <c r="F6290" s="344" t="s">
        <v>625</v>
      </c>
      <c r="G6290" s="358">
        <v>51.321100000000001</v>
      </c>
      <c r="H6290" s="344" t="s">
        <v>2207</v>
      </c>
    </row>
    <row r="6291" spans="1:8">
      <c r="A6291" s="1"/>
      <c r="B6291" s="1"/>
      <c r="C6291" s="1"/>
      <c r="D6291" s="1"/>
      <c r="E6291" s="357">
        <v>46105</v>
      </c>
      <c r="F6291" s="344" t="s">
        <v>628</v>
      </c>
      <c r="G6291" s="358">
        <v>59.24</v>
      </c>
      <c r="H6291" s="344" t="s">
        <v>2207</v>
      </c>
    </row>
    <row r="6292" spans="1:8">
      <c r="A6292" s="1"/>
      <c r="B6292" s="1"/>
      <c r="C6292" s="1"/>
      <c r="D6292" s="1"/>
      <c r="E6292" s="357">
        <v>46105</v>
      </c>
      <c r="F6292" s="344" t="s">
        <v>631</v>
      </c>
      <c r="G6292" s="358">
        <v>44.263599999999997</v>
      </c>
      <c r="H6292" s="344" t="s">
        <v>2207</v>
      </c>
    </row>
    <row r="6293" spans="1:8">
      <c r="A6293" s="1"/>
      <c r="B6293" s="1"/>
      <c r="C6293" s="1"/>
      <c r="D6293" s="1"/>
      <c r="E6293" s="357">
        <v>46106</v>
      </c>
      <c r="F6293" s="344" t="s">
        <v>621</v>
      </c>
      <c r="G6293" s="358">
        <v>55.952100000000002</v>
      </c>
      <c r="H6293" s="344" t="s">
        <v>2208</v>
      </c>
    </row>
    <row r="6294" spans="1:8">
      <c r="A6294" s="1"/>
      <c r="B6294" s="1"/>
      <c r="C6294" s="1"/>
      <c r="D6294" s="1"/>
      <c r="E6294" s="357">
        <v>46106</v>
      </c>
      <c r="F6294" s="344" t="s">
        <v>625</v>
      </c>
      <c r="G6294" s="358">
        <v>51.362000000000002</v>
      </c>
      <c r="H6294" s="344" t="s">
        <v>2208</v>
      </c>
    </row>
    <row r="6295" spans="1:8">
      <c r="A6295" s="1"/>
      <c r="B6295" s="1"/>
      <c r="C6295" s="1"/>
      <c r="D6295" s="1"/>
      <c r="E6295" s="357">
        <v>46106</v>
      </c>
      <c r="F6295" s="344" t="s">
        <v>628</v>
      </c>
      <c r="G6295" s="358">
        <v>59.228400000000001</v>
      </c>
      <c r="H6295" s="344" t="s">
        <v>2208</v>
      </c>
    </row>
    <row r="6296" spans="1:8">
      <c r="A6296" s="1"/>
      <c r="B6296" s="1"/>
      <c r="C6296" s="1"/>
      <c r="D6296" s="1"/>
      <c r="E6296" s="357">
        <v>46106</v>
      </c>
      <c r="F6296" s="344" t="s">
        <v>631</v>
      </c>
      <c r="G6296" s="358">
        <v>44.273699999999998</v>
      </c>
      <c r="H6296" s="344" t="s">
        <v>2208</v>
      </c>
    </row>
    <row r="6297" spans="1:8">
      <c r="A6297" s="1"/>
      <c r="B6297" s="1"/>
      <c r="C6297" s="1"/>
      <c r="D6297" s="1"/>
      <c r="E6297" s="357">
        <v>46107</v>
      </c>
      <c r="F6297" s="344" t="s">
        <v>621</v>
      </c>
      <c r="G6297" s="358">
        <v>55.764499999999998</v>
      </c>
      <c r="H6297" s="344" t="s">
        <v>2209</v>
      </c>
    </row>
    <row r="6298" spans="1:8">
      <c r="A6298" s="1"/>
      <c r="B6298" s="1"/>
      <c r="C6298" s="1"/>
      <c r="D6298" s="1"/>
      <c r="E6298" s="357">
        <v>46107</v>
      </c>
      <c r="F6298" s="344" t="s">
        <v>625</v>
      </c>
      <c r="G6298" s="358">
        <v>51.161700000000003</v>
      </c>
      <c r="H6298" s="344" t="s">
        <v>2209</v>
      </c>
    </row>
    <row r="6299" spans="1:8">
      <c r="A6299" s="1"/>
      <c r="B6299" s="1"/>
      <c r="C6299" s="1"/>
      <c r="D6299" s="1"/>
      <c r="E6299" s="357">
        <v>46107</v>
      </c>
      <c r="F6299" s="344" t="s">
        <v>628</v>
      </c>
      <c r="G6299" s="358">
        <v>59.0184</v>
      </c>
      <c r="H6299" s="344" t="s">
        <v>2209</v>
      </c>
    </row>
    <row r="6300" spans="1:8">
      <c r="A6300" s="1"/>
      <c r="B6300" s="1"/>
      <c r="C6300" s="1"/>
      <c r="D6300" s="1"/>
      <c r="E6300" s="357">
        <v>46107</v>
      </c>
      <c r="F6300" s="344" t="s">
        <v>631</v>
      </c>
      <c r="G6300" s="358">
        <v>44.282800000000002</v>
      </c>
      <c r="H6300" s="344" t="s">
        <v>2209</v>
      </c>
    </row>
    <row r="6301" spans="1:8">
      <c r="A6301" s="1"/>
      <c r="B6301" s="1"/>
      <c r="C6301" s="1"/>
      <c r="D6301" s="1"/>
      <c r="E6301" s="357">
        <v>46108</v>
      </c>
      <c r="F6301" s="344" t="s">
        <v>621</v>
      </c>
      <c r="G6301" s="358">
        <v>55.444200000000002</v>
      </c>
      <c r="H6301" s="344" t="s">
        <v>2210</v>
      </c>
    </row>
    <row r="6302" spans="1:8">
      <c r="A6302" s="1"/>
      <c r="B6302" s="1"/>
      <c r="C6302" s="1"/>
      <c r="D6302" s="1"/>
      <c r="E6302" s="357">
        <v>46108</v>
      </c>
      <c r="F6302" s="344" t="s">
        <v>625</v>
      </c>
      <c r="G6302" s="358">
        <v>51.015000000000001</v>
      </c>
      <c r="H6302" s="344" t="s">
        <v>2210</v>
      </c>
    </row>
    <row r="6303" spans="1:8">
      <c r="A6303" s="1"/>
      <c r="B6303" s="1"/>
      <c r="C6303" s="1"/>
      <c r="D6303" s="1"/>
      <c r="E6303" s="357">
        <v>46108</v>
      </c>
      <c r="F6303" s="344" t="s">
        <v>628</v>
      </c>
      <c r="G6303" s="358">
        <v>58.843800000000002</v>
      </c>
      <c r="H6303" s="344" t="s">
        <v>2210</v>
      </c>
    </row>
    <row r="6304" spans="1:8">
      <c r="A6304" s="1"/>
      <c r="B6304" s="1"/>
      <c r="C6304" s="1"/>
      <c r="D6304" s="1"/>
      <c r="E6304" s="357">
        <v>46108</v>
      </c>
      <c r="F6304" s="344" t="s">
        <v>631</v>
      </c>
      <c r="G6304" s="358">
        <v>44.288699999999999</v>
      </c>
      <c r="H6304" s="344" t="s">
        <v>2210</v>
      </c>
    </row>
    <row r="6305" spans="1:8">
      <c r="A6305" s="1"/>
      <c r="B6305" s="1"/>
      <c r="C6305" s="1"/>
      <c r="D6305" s="1"/>
      <c r="E6305" s="357">
        <v>46111</v>
      </c>
      <c r="F6305" s="344" t="s">
        <v>621</v>
      </c>
      <c r="G6305" s="358">
        <v>55.377299999999998</v>
      </c>
      <c r="H6305" s="344" t="s">
        <v>2211</v>
      </c>
    </row>
    <row r="6306" spans="1:8">
      <c r="A6306" s="1"/>
      <c r="B6306" s="1"/>
      <c r="C6306" s="1"/>
      <c r="D6306" s="1"/>
      <c r="E6306" s="357">
        <v>46111</v>
      </c>
      <c r="F6306" s="344" t="s">
        <v>625</v>
      </c>
      <c r="G6306" s="358">
        <v>51.023600000000002</v>
      </c>
      <c r="H6306" s="344" t="s">
        <v>2211</v>
      </c>
    </row>
    <row r="6307" spans="1:8">
      <c r="A6307" s="1"/>
      <c r="B6307" s="1"/>
      <c r="C6307" s="1"/>
      <c r="D6307" s="1"/>
      <c r="E6307" s="357">
        <v>46111</v>
      </c>
      <c r="F6307" s="344" t="s">
        <v>628</v>
      </c>
      <c r="G6307" s="358">
        <v>58.666499999999999</v>
      </c>
      <c r="H6307" s="344" t="s">
        <v>2211</v>
      </c>
    </row>
    <row r="6308" spans="1:8">
      <c r="A6308" s="1"/>
      <c r="B6308" s="1"/>
      <c r="C6308" s="1"/>
      <c r="D6308" s="1"/>
      <c r="E6308" s="357">
        <v>46111</v>
      </c>
      <c r="F6308" s="344" t="s">
        <v>631</v>
      </c>
      <c r="G6308" s="358">
        <v>44.384099999999997</v>
      </c>
      <c r="H6308" s="344" t="s">
        <v>2211</v>
      </c>
    </row>
    <row r="6309" spans="1:8">
      <c r="A6309" s="1"/>
      <c r="B6309" s="1"/>
      <c r="C6309" s="1"/>
      <c r="D6309" s="1"/>
      <c r="E6309" s="357">
        <v>46112</v>
      </c>
      <c r="F6309" s="344" t="s">
        <v>621</v>
      </c>
      <c r="G6309" s="358">
        <v>55.3611</v>
      </c>
      <c r="H6309" s="344" t="s">
        <v>2212</v>
      </c>
    </row>
    <row r="6310" spans="1:8">
      <c r="A6310" s="1"/>
      <c r="B6310" s="1"/>
      <c r="C6310" s="1"/>
      <c r="D6310" s="1"/>
      <c r="E6310" s="357">
        <v>46112</v>
      </c>
      <c r="F6310" s="344" t="s">
        <v>625</v>
      </c>
      <c r="G6310" s="358">
        <v>50.929400000000001</v>
      </c>
      <c r="H6310" s="344" t="s">
        <v>2212</v>
      </c>
    </row>
    <row r="6311" spans="1:8">
      <c r="A6311" s="1"/>
      <c r="B6311" s="1"/>
      <c r="C6311" s="1"/>
      <c r="D6311" s="1"/>
      <c r="E6311" s="357">
        <v>46112</v>
      </c>
      <c r="F6311" s="344" t="s">
        <v>628</v>
      </c>
      <c r="G6311" s="358">
        <v>58.555599999999998</v>
      </c>
      <c r="H6311" s="344" t="s">
        <v>2212</v>
      </c>
    </row>
    <row r="6312" spans="1:8">
      <c r="A6312" s="1"/>
      <c r="B6312" s="1"/>
      <c r="C6312" s="1"/>
      <c r="D6312" s="1"/>
      <c r="E6312" s="357">
        <v>46112</v>
      </c>
      <c r="F6312" s="344" t="s">
        <v>631</v>
      </c>
      <c r="G6312" s="358">
        <v>44.396099999999997</v>
      </c>
      <c r="H6312" s="344" t="s">
        <v>2212</v>
      </c>
    </row>
    <row r="6313" spans="1:8">
      <c r="A6313" s="1"/>
      <c r="B6313" s="1"/>
      <c r="C6313" s="1"/>
      <c r="D6313" s="1"/>
      <c r="E6313" s="357">
        <v>46113</v>
      </c>
      <c r="F6313" s="344" t="s">
        <v>621</v>
      </c>
      <c r="G6313" s="358">
        <v>55.833799999999997</v>
      </c>
      <c r="H6313" s="344" t="s">
        <v>2213</v>
      </c>
    </row>
    <row r="6314" spans="1:8">
      <c r="A6314" s="1"/>
      <c r="B6314" s="1"/>
      <c r="C6314" s="1"/>
      <c r="D6314" s="1"/>
      <c r="E6314" s="357">
        <v>46113</v>
      </c>
      <c r="F6314" s="344" t="s">
        <v>625</v>
      </c>
      <c r="G6314" s="358">
        <v>51.478700000000003</v>
      </c>
      <c r="H6314" s="344" t="s">
        <v>2213</v>
      </c>
    </row>
    <row r="6315" spans="1:8">
      <c r="A6315" s="1"/>
      <c r="B6315" s="1"/>
      <c r="C6315" s="1"/>
      <c r="D6315" s="1"/>
      <c r="E6315" s="357">
        <v>46113</v>
      </c>
      <c r="F6315" s="344" t="s">
        <v>628</v>
      </c>
      <c r="G6315" s="358">
        <v>58.913400000000003</v>
      </c>
      <c r="H6315" s="344" t="s">
        <v>2213</v>
      </c>
    </row>
    <row r="6316" spans="1:8">
      <c r="A6316" s="1"/>
      <c r="B6316" s="1"/>
      <c r="C6316" s="1"/>
      <c r="D6316" s="1"/>
      <c r="E6316" s="357">
        <v>46113</v>
      </c>
      <c r="F6316" s="344" t="s">
        <v>631</v>
      </c>
      <c r="G6316" s="358">
        <v>44.393799999999999</v>
      </c>
      <c r="H6316" s="344" t="s">
        <v>2213</v>
      </c>
    </row>
    <row r="6317" spans="1:8">
      <c r="A6317" s="1"/>
      <c r="B6317" s="1"/>
      <c r="C6317" s="1"/>
      <c r="D6317" s="1"/>
      <c r="E6317" s="357">
        <v>46114</v>
      </c>
      <c r="F6317" s="344" t="s">
        <v>621</v>
      </c>
      <c r="G6317" s="358">
        <v>55.420400000000001</v>
      </c>
      <c r="H6317" s="344" t="s">
        <v>2214</v>
      </c>
    </row>
    <row r="6318" spans="1:8">
      <c r="A6318" s="1"/>
      <c r="B6318" s="1"/>
      <c r="C6318" s="1"/>
      <c r="D6318" s="1"/>
      <c r="E6318" s="357">
        <v>46114</v>
      </c>
      <c r="F6318" s="344" t="s">
        <v>625</v>
      </c>
      <c r="G6318" s="358">
        <v>51.188499999999998</v>
      </c>
      <c r="H6318" s="344" t="s">
        <v>2214</v>
      </c>
    </row>
    <row r="6319" spans="1:8">
      <c r="A6319" s="1"/>
      <c r="B6319" s="1"/>
      <c r="C6319" s="1"/>
      <c r="D6319" s="1"/>
      <c r="E6319" s="357">
        <v>46114</v>
      </c>
      <c r="F6319" s="344" t="s">
        <v>628</v>
      </c>
      <c r="G6319" s="358">
        <v>58.552700000000002</v>
      </c>
      <c r="H6319" s="344" t="s">
        <v>2214</v>
      </c>
    </row>
    <row r="6320" spans="1:8">
      <c r="A6320" s="1"/>
      <c r="B6320" s="1"/>
      <c r="C6320" s="1"/>
      <c r="D6320" s="1"/>
      <c r="E6320" s="357">
        <v>46114</v>
      </c>
      <c r="F6320" s="344" t="s">
        <v>631</v>
      </c>
      <c r="G6320" s="358">
        <v>44.415500000000002</v>
      </c>
      <c r="H6320" s="344" t="s">
        <v>2214</v>
      </c>
    </row>
    <row r="6321" spans="1:8">
      <c r="A6321" s="1"/>
      <c r="B6321" s="1"/>
      <c r="C6321" s="1"/>
      <c r="D6321" s="1"/>
      <c r="E6321" s="357">
        <v>46115</v>
      </c>
      <c r="F6321" s="344" t="s">
        <v>621</v>
      </c>
      <c r="G6321" s="358">
        <v>55.54</v>
      </c>
      <c r="H6321" s="344" t="s">
        <v>2215</v>
      </c>
    </row>
    <row r="6322" spans="1:8">
      <c r="A6322" s="1"/>
      <c r="B6322" s="1"/>
      <c r="C6322" s="1"/>
      <c r="D6322" s="1"/>
      <c r="E6322" s="357">
        <v>46115</v>
      </c>
      <c r="F6322" s="344" t="s">
        <v>625</v>
      </c>
      <c r="G6322" s="358">
        <v>51.286700000000003</v>
      </c>
      <c r="H6322" s="344" t="s">
        <v>2215</v>
      </c>
    </row>
    <row r="6323" spans="1:8">
      <c r="A6323" s="1"/>
      <c r="B6323" s="1"/>
      <c r="C6323" s="1"/>
      <c r="D6323" s="1"/>
      <c r="E6323" s="357">
        <v>46115</v>
      </c>
      <c r="F6323" s="344" t="s">
        <v>628</v>
      </c>
      <c r="G6323" s="358">
        <v>58.707599999999999</v>
      </c>
      <c r="H6323" s="344" t="s">
        <v>2215</v>
      </c>
    </row>
    <row r="6324" spans="1:8">
      <c r="A6324" s="1"/>
      <c r="B6324" s="1"/>
      <c r="C6324" s="1"/>
      <c r="D6324" s="1"/>
      <c r="E6324" s="357">
        <v>46115</v>
      </c>
      <c r="F6324" s="344" t="s">
        <v>631</v>
      </c>
      <c r="G6324" s="358">
        <v>44.430599999999998</v>
      </c>
      <c r="H6324" s="344" t="s">
        <v>2215</v>
      </c>
    </row>
    <row r="6325" spans="1:8">
      <c r="A6325" s="1"/>
      <c r="B6325" s="1"/>
      <c r="C6325" s="1"/>
      <c r="D6325" s="1"/>
      <c r="E6325" s="357">
        <v>46118</v>
      </c>
      <c r="F6325" s="344" t="s">
        <v>621</v>
      </c>
      <c r="G6325" s="358">
        <v>55.651400000000002</v>
      </c>
      <c r="H6325" s="344" t="s">
        <v>2216</v>
      </c>
    </row>
    <row r="6326" spans="1:8">
      <c r="A6326" s="1"/>
      <c r="B6326" s="1"/>
      <c r="C6326" s="1"/>
      <c r="D6326" s="1"/>
      <c r="E6326" s="357">
        <v>46118</v>
      </c>
      <c r="F6326" s="344" t="s">
        <v>625</v>
      </c>
      <c r="G6326" s="358">
        <v>51.404800000000002</v>
      </c>
      <c r="H6326" s="344" t="s">
        <v>2216</v>
      </c>
    </row>
    <row r="6327" spans="1:8">
      <c r="A6327" s="1"/>
      <c r="B6327" s="1"/>
      <c r="C6327" s="1"/>
      <c r="D6327" s="1"/>
      <c r="E6327" s="357">
        <v>46118</v>
      </c>
      <c r="F6327" s="344" t="s">
        <v>628</v>
      </c>
      <c r="G6327" s="358">
        <v>58.836799999999997</v>
      </c>
      <c r="H6327" s="344" t="s">
        <v>2216</v>
      </c>
    </row>
    <row r="6328" spans="1:8">
      <c r="A6328" s="1"/>
      <c r="B6328" s="1"/>
      <c r="C6328" s="1"/>
      <c r="D6328" s="1"/>
      <c r="E6328" s="357">
        <v>46118</v>
      </c>
      <c r="F6328" s="344" t="s">
        <v>631</v>
      </c>
      <c r="G6328" s="358">
        <v>44.508499999999998</v>
      </c>
      <c r="H6328" s="344" t="s">
        <v>2216</v>
      </c>
    </row>
    <row r="6329" spans="1:8">
      <c r="A6329" s="1"/>
      <c r="B6329" s="1"/>
      <c r="C6329" s="1"/>
      <c r="D6329" s="1"/>
      <c r="E6329" s="357">
        <v>46119</v>
      </c>
      <c r="F6329" s="344" t="s">
        <v>621</v>
      </c>
      <c r="G6329" s="358">
        <v>55.593600000000002</v>
      </c>
      <c r="H6329" s="344" t="s">
        <v>2217</v>
      </c>
    </row>
    <row r="6330" spans="1:8">
      <c r="A6330" s="1"/>
      <c r="B6330" s="1"/>
      <c r="C6330" s="1"/>
      <c r="D6330" s="1"/>
      <c r="E6330" s="357">
        <v>46119</v>
      </c>
      <c r="F6330" s="344" t="s">
        <v>625</v>
      </c>
      <c r="G6330" s="358">
        <v>51.456299999999999</v>
      </c>
      <c r="H6330" s="344" t="s">
        <v>2217</v>
      </c>
    </row>
    <row r="6331" spans="1:8">
      <c r="A6331" s="1"/>
      <c r="B6331" s="1"/>
      <c r="C6331" s="1"/>
      <c r="D6331" s="1"/>
      <c r="E6331" s="357">
        <v>46119</v>
      </c>
      <c r="F6331" s="344" t="s">
        <v>628</v>
      </c>
      <c r="G6331" s="358">
        <v>58.908900000000003</v>
      </c>
      <c r="H6331" s="344" t="s">
        <v>2217</v>
      </c>
    </row>
    <row r="6332" spans="1:8">
      <c r="A6332" s="1"/>
      <c r="B6332" s="1"/>
      <c r="C6332" s="1"/>
      <c r="D6332" s="1"/>
      <c r="E6332" s="357">
        <v>46119</v>
      </c>
      <c r="F6332" s="344" t="s">
        <v>631</v>
      </c>
      <c r="G6332" s="358">
        <v>44.525500000000001</v>
      </c>
      <c r="H6332" s="344" t="s">
        <v>2217</v>
      </c>
    </row>
    <row r="6333" spans="1:8">
      <c r="A6333" s="1"/>
      <c r="B6333" s="1"/>
      <c r="C6333" s="1"/>
      <c r="D6333" s="1"/>
      <c r="E6333" s="357">
        <v>46120</v>
      </c>
      <c r="F6333" s="344" t="s">
        <v>621</v>
      </c>
      <c r="G6333" s="358">
        <v>56.254199999999997</v>
      </c>
      <c r="H6333" s="344" t="s">
        <v>2218</v>
      </c>
    </row>
    <row r="6334" spans="1:8">
      <c r="A6334" s="1"/>
      <c r="B6334" s="1"/>
      <c r="C6334" s="1"/>
      <c r="D6334" s="1"/>
      <c r="E6334" s="357">
        <v>46120</v>
      </c>
      <c r="F6334" s="344" t="s">
        <v>625</v>
      </c>
      <c r="G6334" s="358">
        <v>51.967799999999997</v>
      </c>
      <c r="H6334" s="344" t="s">
        <v>2218</v>
      </c>
    </row>
    <row r="6335" spans="1:8">
      <c r="A6335" s="1"/>
      <c r="B6335" s="1"/>
      <c r="C6335" s="1"/>
      <c r="D6335" s="1"/>
      <c r="E6335" s="357">
        <v>46120</v>
      </c>
      <c r="F6335" s="344" t="s">
        <v>628</v>
      </c>
      <c r="G6335" s="358">
        <v>59.6235</v>
      </c>
      <c r="H6335" s="344" t="s">
        <v>2218</v>
      </c>
    </row>
    <row r="6336" spans="1:8">
      <c r="A6336" s="1"/>
      <c r="B6336" s="1"/>
      <c r="C6336" s="1"/>
      <c r="D6336" s="1"/>
      <c r="E6336" s="357">
        <v>46120</v>
      </c>
      <c r="F6336" s="344" t="s">
        <v>631</v>
      </c>
      <c r="G6336" s="358">
        <v>44.4527</v>
      </c>
      <c r="H6336" s="344" t="s">
        <v>2218</v>
      </c>
    </row>
    <row r="6337" spans="1:8">
      <c r="A6337" s="1"/>
      <c r="B6337" s="1"/>
      <c r="C6337" s="1"/>
      <c r="D6337" s="1"/>
      <c r="E6337" s="357">
        <v>46121</v>
      </c>
      <c r="F6337" s="344" t="s">
        <v>621</v>
      </c>
      <c r="G6337" s="358">
        <v>56.133600000000001</v>
      </c>
      <c r="H6337" s="344" t="s">
        <v>2219</v>
      </c>
    </row>
    <row r="6338" spans="1:8">
      <c r="A6338" s="1"/>
      <c r="B6338" s="1"/>
      <c r="C6338" s="1"/>
      <c r="D6338" s="1"/>
      <c r="E6338" s="357">
        <v>46121</v>
      </c>
      <c r="F6338" s="344" t="s">
        <v>625</v>
      </c>
      <c r="G6338" s="358">
        <v>51.953800000000001</v>
      </c>
      <c r="H6338" s="344" t="s">
        <v>2219</v>
      </c>
    </row>
    <row r="6339" spans="1:8">
      <c r="A6339" s="1"/>
      <c r="B6339" s="1"/>
      <c r="C6339" s="1"/>
      <c r="D6339" s="1"/>
      <c r="E6339" s="357">
        <v>46121</v>
      </c>
      <c r="F6339" s="344" t="s">
        <v>628</v>
      </c>
      <c r="G6339" s="358">
        <v>59.558500000000002</v>
      </c>
      <c r="H6339" s="344" t="s">
        <v>2219</v>
      </c>
    </row>
    <row r="6340" spans="1:8">
      <c r="A6340" s="1"/>
      <c r="B6340" s="1"/>
      <c r="C6340" s="1"/>
      <c r="D6340" s="1"/>
      <c r="E6340" s="357">
        <v>46121</v>
      </c>
      <c r="F6340" s="344" t="s">
        <v>631</v>
      </c>
      <c r="G6340" s="358">
        <v>44.510199999999998</v>
      </c>
      <c r="H6340" s="344" t="s">
        <v>2219</v>
      </c>
    </row>
    <row r="6341" spans="1:8">
      <c r="A6341" s="1"/>
      <c r="B6341" s="1"/>
      <c r="C6341" s="1"/>
      <c r="D6341" s="1"/>
      <c r="E6341" s="357">
        <v>46122</v>
      </c>
      <c r="F6341" s="344" t="s">
        <v>621</v>
      </c>
      <c r="G6341" s="358">
        <v>56.232900000000001</v>
      </c>
      <c r="H6341" s="344" t="s">
        <v>2220</v>
      </c>
    </row>
    <row r="6342" spans="1:8">
      <c r="A6342" s="1"/>
      <c r="B6342" s="1"/>
      <c r="C6342" s="1"/>
      <c r="D6342" s="1"/>
      <c r="E6342" s="357">
        <v>46122</v>
      </c>
      <c r="F6342" s="344" t="s">
        <v>625</v>
      </c>
      <c r="G6342" s="358">
        <v>52.074399999999997</v>
      </c>
      <c r="H6342" s="344" t="s">
        <v>2220</v>
      </c>
    </row>
    <row r="6343" spans="1:8">
      <c r="A6343" s="1"/>
      <c r="B6343" s="1"/>
      <c r="C6343" s="1"/>
      <c r="D6343" s="1"/>
      <c r="E6343" s="357">
        <v>46122</v>
      </c>
      <c r="F6343" s="344" t="s">
        <v>628</v>
      </c>
      <c r="G6343" s="358">
        <v>59.676499999999997</v>
      </c>
      <c r="H6343" s="344" t="s">
        <v>2220</v>
      </c>
    </row>
    <row r="6344" spans="1:8">
      <c r="A6344" s="1"/>
      <c r="B6344" s="1"/>
      <c r="C6344" s="1"/>
      <c r="D6344" s="1"/>
      <c r="E6344" s="357">
        <v>46122</v>
      </c>
      <c r="F6344" s="344" t="s">
        <v>631</v>
      </c>
      <c r="G6344" s="358">
        <v>44.515700000000002</v>
      </c>
      <c r="H6344" s="344" t="s">
        <v>2220</v>
      </c>
    </row>
    <row r="6345" spans="1:8">
      <c r="A6345" s="1"/>
      <c r="B6345" s="1"/>
      <c r="C6345" s="1"/>
      <c r="D6345" s="1"/>
      <c r="E6345" s="357">
        <v>46125</v>
      </c>
      <c r="F6345" s="344" t="s">
        <v>621</v>
      </c>
      <c r="G6345" s="358">
        <v>56.335500000000003</v>
      </c>
      <c r="H6345" s="344" t="s">
        <v>2221</v>
      </c>
    </row>
    <row r="6346" spans="1:8">
      <c r="A6346" s="1"/>
      <c r="B6346" s="1"/>
      <c r="C6346" s="1"/>
      <c r="D6346" s="1"/>
      <c r="E6346" s="357">
        <v>46125</v>
      </c>
      <c r="F6346" s="344" t="s">
        <v>625</v>
      </c>
      <c r="G6346" s="358">
        <v>52.172899999999998</v>
      </c>
      <c r="H6346" s="344" t="s">
        <v>2221</v>
      </c>
    </row>
    <row r="6347" spans="1:8">
      <c r="A6347" s="1"/>
      <c r="B6347" s="1"/>
      <c r="C6347" s="1"/>
      <c r="D6347" s="1"/>
      <c r="E6347" s="357">
        <v>46125</v>
      </c>
      <c r="F6347" s="344" t="s">
        <v>628</v>
      </c>
      <c r="G6347" s="358">
        <v>59.8245</v>
      </c>
      <c r="H6347" s="344" t="s">
        <v>2221</v>
      </c>
    </row>
    <row r="6348" spans="1:8">
      <c r="A6348" s="1"/>
      <c r="B6348" s="1"/>
      <c r="C6348" s="1"/>
      <c r="D6348" s="1"/>
      <c r="E6348" s="357">
        <v>46125</v>
      </c>
      <c r="F6348" s="344" t="s">
        <v>631</v>
      </c>
      <c r="G6348" s="358">
        <v>44.6355</v>
      </c>
      <c r="H6348" s="344" t="s">
        <v>2221</v>
      </c>
    </row>
    <row r="6349" spans="1:8">
      <c r="A6349" s="1"/>
      <c r="B6349" s="1"/>
      <c r="C6349" s="1"/>
      <c r="D6349" s="1"/>
      <c r="E6349" s="357">
        <v>46126</v>
      </c>
      <c r="F6349" s="344" t="s">
        <v>621</v>
      </c>
      <c r="G6349" s="358">
        <v>57.035899999999998</v>
      </c>
      <c r="H6349" s="344" t="s">
        <v>2222</v>
      </c>
    </row>
    <row r="6350" spans="1:8">
      <c r="A6350" s="1"/>
      <c r="B6350" s="1"/>
      <c r="C6350" s="1"/>
      <c r="D6350" s="1"/>
      <c r="E6350" s="357">
        <v>46126</v>
      </c>
      <c r="F6350" s="344" t="s">
        <v>625</v>
      </c>
      <c r="G6350" s="358">
        <v>52.628100000000003</v>
      </c>
      <c r="H6350" s="344" t="s">
        <v>2222</v>
      </c>
    </row>
    <row r="6351" spans="1:8">
      <c r="A6351" s="1"/>
      <c r="B6351" s="1"/>
      <c r="C6351" s="1"/>
      <c r="D6351" s="1"/>
      <c r="E6351" s="357">
        <v>46126</v>
      </c>
      <c r="F6351" s="344" t="s">
        <v>628</v>
      </c>
      <c r="G6351" s="358">
        <v>60.368600000000001</v>
      </c>
      <c r="H6351" s="344" t="s">
        <v>2222</v>
      </c>
    </row>
    <row r="6352" spans="1:8">
      <c r="A6352" s="1"/>
      <c r="B6352" s="1"/>
      <c r="C6352" s="1"/>
      <c r="D6352" s="1"/>
      <c r="E6352" s="357">
        <v>46126</v>
      </c>
      <c r="F6352" s="344" t="s">
        <v>631</v>
      </c>
      <c r="G6352" s="358">
        <v>44.647399999999998</v>
      </c>
      <c r="H6352" s="344" t="s">
        <v>2222</v>
      </c>
    </row>
    <row r="6353" spans="1:8">
      <c r="A6353" s="1"/>
      <c r="B6353" s="1"/>
      <c r="C6353" s="1"/>
      <c r="D6353" s="1"/>
      <c r="E6353" s="357">
        <v>46127</v>
      </c>
      <c r="F6353" s="344" t="s">
        <v>621</v>
      </c>
      <c r="G6353" s="358">
        <v>57.0137</v>
      </c>
      <c r="H6353" s="344" t="s">
        <v>2223</v>
      </c>
    </row>
    <row r="6354" spans="1:8">
      <c r="A6354" s="1"/>
      <c r="B6354" s="1"/>
      <c r="C6354" s="1"/>
      <c r="D6354" s="1"/>
      <c r="E6354" s="357">
        <v>46127</v>
      </c>
      <c r="F6354" s="344" t="s">
        <v>625</v>
      </c>
      <c r="G6354" s="358">
        <v>52.634999999999998</v>
      </c>
      <c r="H6354" s="344" t="s">
        <v>2223</v>
      </c>
    </row>
    <row r="6355" spans="1:8">
      <c r="A6355" s="1"/>
      <c r="B6355" s="1"/>
      <c r="C6355" s="1"/>
      <c r="D6355" s="1"/>
      <c r="E6355" s="357">
        <v>46127</v>
      </c>
      <c r="F6355" s="344" t="s">
        <v>628</v>
      </c>
      <c r="G6355" s="358">
        <v>60.454599999999999</v>
      </c>
      <c r="H6355" s="344" t="s">
        <v>2223</v>
      </c>
    </row>
    <row r="6356" spans="1:8">
      <c r="A6356" s="1"/>
      <c r="B6356" s="1"/>
      <c r="C6356" s="1"/>
      <c r="D6356" s="1"/>
      <c r="E6356" s="357">
        <v>46127</v>
      </c>
      <c r="F6356" s="344" t="s">
        <v>631</v>
      </c>
      <c r="G6356" s="358">
        <v>44.668100000000003</v>
      </c>
      <c r="H6356" s="344" t="s">
        <v>2223</v>
      </c>
    </row>
    <row r="6357" spans="1:8">
      <c r="A6357" s="1"/>
      <c r="B6357" s="1"/>
      <c r="C6357" s="1"/>
      <c r="D6357" s="1"/>
      <c r="E6357" s="357">
        <v>46128</v>
      </c>
      <c r="F6357" s="344" t="s">
        <v>621</v>
      </c>
      <c r="G6357" s="358">
        <v>56.951500000000003</v>
      </c>
      <c r="H6357" s="344" t="s">
        <v>2224</v>
      </c>
    </row>
    <row r="6358" spans="1:8">
      <c r="A6358" s="1"/>
      <c r="B6358" s="1"/>
      <c r="C6358" s="1"/>
      <c r="D6358" s="1"/>
      <c r="E6358" s="357">
        <v>46128</v>
      </c>
      <c r="F6358" s="344" t="s">
        <v>625</v>
      </c>
      <c r="G6358" s="358">
        <v>52.665100000000002</v>
      </c>
      <c r="H6358" s="344" t="s">
        <v>2224</v>
      </c>
    </row>
    <row r="6359" spans="1:8">
      <c r="A6359" s="1"/>
      <c r="B6359" s="1"/>
      <c r="C6359" s="1"/>
      <c r="D6359" s="1"/>
      <c r="E6359" s="357">
        <v>46128</v>
      </c>
      <c r="F6359" s="344" t="s">
        <v>628</v>
      </c>
      <c r="G6359" s="358">
        <v>60.447899999999997</v>
      </c>
      <c r="H6359" s="344" t="s">
        <v>2224</v>
      </c>
    </row>
    <row r="6360" spans="1:8">
      <c r="A6360" s="1"/>
      <c r="B6360" s="1"/>
      <c r="C6360" s="1"/>
      <c r="D6360" s="1"/>
      <c r="E6360" s="357">
        <v>46128</v>
      </c>
      <c r="F6360" s="344" t="s">
        <v>631</v>
      </c>
      <c r="G6360" s="358">
        <v>44.678800000000003</v>
      </c>
      <c r="H6360" s="344" t="s">
        <v>2224</v>
      </c>
    </row>
    <row r="6361" spans="1:8">
      <c r="A6361" s="1"/>
      <c r="B6361" s="1"/>
      <c r="C6361" s="1"/>
      <c r="D6361" s="1"/>
      <c r="E6361" s="357">
        <v>46129</v>
      </c>
      <c r="F6361" s="344" t="s">
        <v>621</v>
      </c>
      <c r="G6361" s="358">
        <v>56.967500000000001</v>
      </c>
      <c r="H6361" s="344" t="s">
        <v>2225</v>
      </c>
    </row>
    <row r="6362" spans="1:8">
      <c r="A6362" s="1"/>
      <c r="B6362" s="1"/>
      <c r="C6362" s="1"/>
      <c r="D6362" s="1"/>
      <c r="E6362" s="357">
        <v>46129</v>
      </c>
      <c r="F6362" s="344" t="s">
        <v>625</v>
      </c>
      <c r="G6362" s="358">
        <v>52.694499999999998</v>
      </c>
      <c r="H6362" s="344" t="s">
        <v>2225</v>
      </c>
    </row>
    <row r="6363" spans="1:8">
      <c r="A6363" s="1"/>
      <c r="B6363" s="1"/>
      <c r="C6363" s="1"/>
      <c r="D6363" s="1"/>
      <c r="E6363" s="357">
        <v>46129</v>
      </c>
      <c r="F6363" s="344" t="s">
        <v>628</v>
      </c>
      <c r="G6363" s="358">
        <v>60.350200000000001</v>
      </c>
      <c r="H6363" s="344" t="s">
        <v>2225</v>
      </c>
    </row>
    <row r="6364" spans="1:8">
      <c r="A6364" s="1"/>
      <c r="B6364" s="1"/>
      <c r="C6364" s="1"/>
      <c r="D6364" s="1"/>
      <c r="E6364" s="357">
        <v>46129</v>
      </c>
      <c r="F6364" s="344" t="s">
        <v>631</v>
      </c>
      <c r="G6364" s="358">
        <v>44.698900000000002</v>
      </c>
      <c r="H6364" s="344" t="s">
        <v>2225</v>
      </c>
    </row>
    <row r="6365" spans="1:8">
      <c r="A6365" s="1"/>
      <c r="B6365" s="1"/>
      <c r="C6365" s="1"/>
      <c r="D6365" s="1"/>
      <c r="E6365" s="357">
        <v>46132</v>
      </c>
      <c r="F6365" s="344" t="s">
        <v>621</v>
      </c>
      <c r="G6365" s="358">
        <v>57.175400000000003</v>
      </c>
      <c r="H6365" s="344" t="s">
        <v>2226</v>
      </c>
    </row>
    <row r="6366" spans="1:8">
      <c r="A6366" s="1"/>
      <c r="B6366" s="1"/>
      <c r="C6366" s="1"/>
      <c r="D6366" s="1"/>
      <c r="E6366" s="357">
        <v>46132</v>
      </c>
      <c r="F6366" s="344" t="s">
        <v>625</v>
      </c>
      <c r="G6366" s="358">
        <v>52.7012</v>
      </c>
      <c r="H6366" s="344" t="s">
        <v>2226</v>
      </c>
    </row>
    <row r="6367" spans="1:8">
      <c r="A6367" s="1"/>
      <c r="B6367" s="1"/>
      <c r="C6367" s="1"/>
      <c r="D6367" s="1"/>
      <c r="E6367" s="357">
        <v>46132</v>
      </c>
      <c r="F6367" s="344" t="s">
        <v>628</v>
      </c>
      <c r="G6367" s="358">
        <v>60.4161</v>
      </c>
      <c r="H6367" s="344" t="s">
        <v>2226</v>
      </c>
    </row>
    <row r="6368" spans="1:8">
      <c r="A6368" s="1"/>
      <c r="B6368" s="1"/>
      <c r="C6368" s="1"/>
      <c r="D6368" s="1"/>
      <c r="E6368" s="357">
        <v>46132</v>
      </c>
      <c r="F6368" s="344" t="s">
        <v>631</v>
      </c>
      <c r="G6368" s="358">
        <v>44.795200000000001</v>
      </c>
      <c r="H6368" s="344" t="s">
        <v>2226</v>
      </c>
    </row>
    <row r="6369" spans="1:8">
      <c r="A6369" s="1"/>
      <c r="B6369" s="1"/>
      <c r="C6369" s="1"/>
      <c r="D6369" s="1"/>
      <c r="E6369" s="357">
        <v>46133</v>
      </c>
      <c r="F6369" s="344" t="s">
        <v>621</v>
      </c>
      <c r="G6369" s="358">
        <v>57.344200000000001</v>
      </c>
      <c r="H6369" s="344" t="s">
        <v>2227</v>
      </c>
    </row>
    <row r="6370" spans="1:8">
      <c r="A6370" s="1"/>
      <c r="B6370" s="1"/>
      <c r="C6370" s="1"/>
      <c r="D6370" s="1"/>
      <c r="E6370" s="357">
        <v>46133</v>
      </c>
      <c r="F6370" s="344" t="s">
        <v>625</v>
      </c>
      <c r="G6370" s="358">
        <v>52.7209</v>
      </c>
      <c r="H6370" s="344" t="s">
        <v>2227</v>
      </c>
    </row>
    <row r="6371" spans="1:8">
      <c r="A6371" s="1"/>
      <c r="B6371" s="1"/>
      <c r="C6371" s="1"/>
      <c r="D6371" s="1"/>
      <c r="E6371" s="357">
        <v>46133</v>
      </c>
      <c r="F6371" s="344" t="s">
        <v>628</v>
      </c>
      <c r="G6371" s="358">
        <v>60.438400000000001</v>
      </c>
      <c r="H6371" s="344" t="s">
        <v>2227</v>
      </c>
    </row>
    <row r="6372" spans="1:8">
      <c r="A6372" s="1"/>
      <c r="B6372" s="1"/>
      <c r="C6372" s="1"/>
      <c r="D6372" s="1"/>
      <c r="E6372" s="357">
        <v>46133</v>
      </c>
      <c r="F6372" s="344" t="s">
        <v>631</v>
      </c>
      <c r="G6372" s="358">
        <v>44.810099999999998</v>
      </c>
      <c r="H6372" s="344" t="s">
        <v>2227</v>
      </c>
    </row>
    <row r="6373" spans="1:8">
      <c r="A6373" s="1"/>
      <c r="B6373" s="1"/>
      <c r="C6373" s="1"/>
      <c r="D6373" s="1"/>
      <c r="E6373" s="357">
        <v>46134</v>
      </c>
      <c r="F6373" s="344" t="s">
        <v>621</v>
      </c>
      <c r="G6373" s="358">
        <v>57.274000000000001</v>
      </c>
      <c r="H6373" s="344" t="s">
        <v>2228</v>
      </c>
    </row>
    <row r="6374" spans="1:8">
      <c r="A6374" s="1"/>
      <c r="B6374" s="1"/>
      <c r="C6374" s="1"/>
      <c r="D6374" s="1"/>
      <c r="E6374" s="357">
        <v>46134</v>
      </c>
      <c r="F6374" s="344" t="s">
        <v>625</v>
      </c>
      <c r="G6374" s="358">
        <v>52.649900000000002</v>
      </c>
      <c r="H6374" s="344" t="s">
        <v>2228</v>
      </c>
    </row>
    <row r="6375" spans="1:8">
      <c r="A6375" s="1"/>
      <c r="B6375" s="1"/>
      <c r="C6375" s="1"/>
      <c r="D6375" s="1"/>
      <c r="E6375" s="357">
        <v>46134</v>
      </c>
      <c r="F6375" s="344" t="s">
        <v>628</v>
      </c>
      <c r="G6375" s="358">
        <v>60.482399999999998</v>
      </c>
      <c r="H6375" s="344" t="s">
        <v>2228</v>
      </c>
    </row>
    <row r="6376" spans="1:8">
      <c r="A6376" s="1"/>
      <c r="B6376" s="1"/>
      <c r="C6376" s="1"/>
      <c r="D6376" s="1"/>
      <c r="E6376" s="357">
        <v>46134</v>
      </c>
      <c r="F6376" s="344" t="s">
        <v>631</v>
      </c>
      <c r="G6376" s="358">
        <v>44.813200000000002</v>
      </c>
      <c r="H6376" s="344" t="s">
        <v>2228</v>
      </c>
    </row>
    <row r="6377" spans="1:8">
      <c r="A6377" s="1"/>
      <c r="B6377" s="1"/>
      <c r="C6377" s="1"/>
      <c r="D6377" s="1"/>
      <c r="E6377" s="357">
        <v>46136</v>
      </c>
      <c r="F6377" s="344" t="s">
        <v>621</v>
      </c>
      <c r="G6377" s="358">
        <v>56.905999999999999</v>
      </c>
      <c r="H6377" s="344" t="s">
        <v>2229</v>
      </c>
    </row>
    <row r="6378" spans="1:8">
      <c r="A6378" s="1"/>
      <c r="B6378" s="1"/>
      <c r="C6378" s="1"/>
      <c r="D6378" s="1"/>
      <c r="E6378" s="357">
        <v>46136</v>
      </c>
      <c r="F6378" s="344" t="s">
        <v>625</v>
      </c>
      <c r="G6378" s="358">
        <v>52.452399999999997</v>
      </c>
      <c r="H6378" s="344" t="s">
        <v>2229</v>
      </c>
    </row>
    <row r="6379" spans="1:8">
      <c r="A6379" s="1"/>
      <c r="B6379" s="1"/>
      <c r="C6379" s="1"/>
      <c r="D6379" s="1"/>
      <c r="E6379" s="357">
        <v>46136</v>
      </c>
      <c r="F6379" s="344" t="s">
        <v>628</v>
      </c>
      <c r="G6379" s="358">
        <v>60.366799999999998</v>
      </c>
      <c r="H6379" s="344" t="s">
        <v>2229</v>
      </c>
    </row>
    <row r="6380" spans="1:8">
      <c r="A6380" s="1"/>
      <c r="B6380" s="1"/>
      <c r="C6380" s="1"/>
      <c r="D6380" s="1"/>
      <c r="E6380" s="357">
        <v>46136</v>
      </c>
      <c r="F6380" s="344" t="s">
        <v>631</v>
      </c>
      <c r="G6380" s="358">
        <v>44.854100000000003</v>
      </c>
      <c r="H6380" s="344" t="s">
        <v>2229</v>
      </c>
    </row>
    <row r="6381" spans="1:8">
      <c r="A6381" s="1"/>
      <c r="B6381" s="1"/>
      <c r="C6381" s="1"/>
      <c r="D6381" s="1"/>
      <c r="E6381" s="357">
        <v>46139</v>
      </c>
      <c r="F6381" s="344" t="s">
        <v>621</v>
      </c>
      <c r="G6381" s="358">
        <v>57.1569</v>
      </c>
      <c r="H6381" s="344" t="s">
        <v>2230</v>
      </c>
    </row>
    <row r="6382" spans="1:8">
      <c r="A6382" s="1"/>
      <c r="B6382" s="1"/>
      <c r="C6382" s="1"/>
      <c r="D6382" s="1"/>
      <c r="E6382" s="357">
        <v>46139</v>
      </c>
      <c r="F6382" s="344" t="s">
        <v>625</v>
      </c>
      <c r="G6382" s="358">
        <v>52.768000000000001</v>
      </c>
      <c r="H6382" s="344" t="s">
        <v>2230</v>
      </c>
    </row>
    <row r="6383" spans="1:8">
      <c r="A6383" s="1"/>
      <c r="B6383" s="1"/>
      <c r="C6383" s="1"/>
      <c r="D6383" s="1"/>
      <c r="E6383" s="357">
        <v>46139</v>
      </c>
      <c r="F6383" s="344" t="s">
        <v>628</v>
      </c>
      <c r="G6383" s="358">
        <v>60.7928</v>
      </c>
      <c r="H6383" s="344" t="s">
        <v>2230</v>
      </c>
    </row>
    <row r="6384" spans="1:8">
      <c r="A6384" s="1"/>
      <c r="B6384" s="1"/>
      <c r="C6384" s="1"/>
      <c r="D6384" s="1"/>
      <c r="E6384" s="357">
        <v>46139</v>
      </c>
      <c r="F6384" s="344" t="s">
        <v>631</v>
      </c>
      <c r="G6384" s="358">
        <v>44.939300000000003</v>
      </c>
      <c r="H6384" s="344" t="s">
        <v>2230</v>
      </c>
    </row>
    <row r="6385" spans="1:8">
      <c r="A6385" s="1"/>
      <c r="B6385" s="1"/>
      <c r="C6385" s="1"/>
      <c r="D6385" s="1"/>
      <c r="E6385" s="357">
        <v>46140</v>
      </c>
      <c r="F6385" s="344" t="s">
        <v>621</v>
      </c>
      <c r="G6385" s="358">
        <v>56.813400000000001</v>
      </c>
      <c r="H6385" s="344" t="s">
        <v>2231</v>
      </c>
    </row>
    <row r="6386" spans="1:8">
      <c r="A6386" s="1"/>
      <c r="B6386" s="1"/>
      <c r="C6386" s="1"/>
      <c r="D6386" s="1"/>
      <c r="E6386" s="357">
        <v>46140</v>
      </c>
      <c r="F6386" s="344" t="s">
        <v>625</v>
      </c>
      <c r="G6386" s="358">
        <v>52.581400000000002</v>
      </c>
      <c r="H6386" s="344" t="s">
        <v>2231</v>
      </c>
    </row>
    <row r="6387" spans="1:8">
      <c r="A6387" s="1"/>
      <c r="B6387" s="1"/>
      <c r="C6387" s="1"/>
      <c r="D6387" s="1"/>
      <c r="E6387" s="357">
        <v>46140</v>
      </c>
      <c r="F6387" s="344" t="s">
        <v>628</v>
      </c>
      <c r="G6387" s="358">
        <v>60.579500000000003</v>
      </c>
      <c r="H6387" s="344" t="s">
        <v>2231</v>
      </c>
    </row>
    <row r="6388" spans="1:8">
      <c r="A6388" s="1"/>
      <c r="B6388" s="1"/>
      <c r="C6388" s="1"/>
      <c r="D6388" s="1"/>
      <c r="E6388" s="357">
        <v>46140</v>
      </c>
      <c r="F6388" s="344" t="s">
        <v>631</v>
      </c>
      <c r="G6388" s="358">
        <v>44.970500000000001</v>
      </c>
      <c r="H6388" s="344" t="s">
        <v>2231</v>
      </c>
    </row>
    <row r="6389" spans="1:8">
      <c r="A6389" s="1"/>
      <c r="B6389" s="1"/>
      <c r="C6389" s="1"/>
      <c r="D6389" s="1"/>
      <c r="E6389" s="357">
        <v>46141</v>
      </c>
      <c r="F6389" s="344" t="s">
        <v>621</v>
      </c>
      <c r="G6389" s="358">
        <v>56.850900000000003</v>
      </c>
      <c r="H6389" s="344" t="s">
        <v>2232</v>
      </c>
    </row>
    <row r="6390" spans="1:8">
      <c r="A6390" s="1"/>
      <c r="B6390" s="1"/>
      <c r="C6390" s="1"/>
      <c r="D6390" s="1"/>
      <c r="E6390" s="357">
        <v>46141</v>
      </c>
      <c r="F6390" s="344" t="s">
        <v>625</v>
      </c>
      <c r="G6390" s="358">
        <v>52.643300000000004</v>
      </c>
      <c r="H6390" s="344" t="s">
        <v>2232</v>
      </c>
    </row>
    <row r="6391" spans="1:8">
      <c r="A6391" s="1"/>
      <c r="B6391" s="1"/>
      <c r="C6391" s="1"/>
      <c r="D6391" s="1"/>
      <c r="E6391" s="357">
        <v>46141</v>
      </c>
      <c r="F6391" s="344" t="s">
        <v>628</v>
      </c>
      <c r="G6391" s="358">
        <v>60.646299999999997</v>
      </c>
      <c r="H6391" s="344" t="s">
        <v>2232</v>
      </c>
    </row>
    <row r="6392" spans="1:8">
      <c r="A6392" s="1"/>
      <c r="B6392" s="1"/>
      <c r="C6392" s="1"/>
      <c r="D6392" s="1"/>
      <c r="E6392" s="357">
        <v>46141</v>
      </c>
      <c r="F6392" s="344" t="s">
        <v>631</v>
      </c>
      <c r="G6392" s="358">
        <v>44.984999999999999</v>
      </c>
      <c r="H6392" s="344" t="s">
        <v>2232</v>
      </c>
    </row>
    <row r="6393" spans="1:8">
      <c r="A6393" s="1"/>
      <c r="B6393" s="1"/>
      <c r="C6393" s="1"/>
      <c r="D6393" s="1"/>
      <c r="E6393" s="357">
        <v>46142</v>
      </c>
      <c r="F6393" s="344" t="s">
        <v>621</v>
      </c>
      <c r="G6393" s="358">
        <v>56.920400000000001</v>
      </c>
      <c r="H6393" s="344" t="s">
        <v>2233</v>
      </c>
    </row>
    <row r="6394" spans="1:8">
      <c r="A6394" s="1"/>
      <c r="B6394" s="1"/>
      <c r="C6394" s="1"/>
      <c r="D6394" s="1"/>
      <c r="E6394" s="357">
        <v>46142</v>
      </c>
      <c r="F6394" s="344" t="s">
        <v>625</v>
      </c>
      <c r="G6394" s="358">
        <v>52.572299999999998</v>
      </c>
      <c r="H6394" s="344" t="s">
        <v>2233</v>
      </c>
    </row>
    <row r="6395" spans="1:8">
      <c r="A6395" s="1"/>
      <c r="B6395" s="1"/>
      <c r="C6395" s="1"/>
      <c r="D6395" s="1"/>
      <c r="E6395" s="357">
        <v>46142</v>
      </c>
      <c r="F6395" s="344" t="s">
        <v>628</v>
      </c>
      <c r="G6395" s="358">
        <v>60.601300000000002</v>
      </c>
      <c r="H6395" s="344" t="s">
        <v>2233</v>
      </c>
    </row>
    <row r="6396" spans="1:8">
      <c r="A6396" s="1"/>
      <c r="B6396" s="1"/>
      <c r="C6396" s="1"/>
      <c r="D6396" s="1"/>
      <c r="E6396" s="357">
        <v>46142</v>
      </c>
      <c r="F6396" s="344" t="s">
        <v>631</v>
      </c>
      <c r="G6396" s="358">
        <v>44.969200000000001</v>
      </c>
      <c r="H6396" s="344" t="s">
        <v>2233</v>
      </c>
    </row>
    <row r="6397" spans="1:8">
      <c r="A6397" s="1"/>
      <c r="B6397" s="1"/>
      <c r="C6397" s="1"/>
      <c r="D6397" s="1"/>
      <c r="E6397" s="357">
        <v>46146</v>
      </c>
      <c r="F6397" s="344" t="s">
        <v>621</v>
      </c>
      <c r="G6397" s="358">
        <v>57.473399999999998</v>
      </c>
      <c r="H6397" s="344" t="s">
        <v>2234</v>
      </c>
    </row>
    <row r="6398" spans="1:8">
      <c r="A6398" s="1"/>
      <c r="B6398" s="1"/>
      <c r="C6398" s="1"/>
      <c r="D6398" s="1"/>
      <c r="E6398" s="357">
        <v>46146</v>
      </c>
      <c r="F6398" s="344" t="s">
        <v>625</v>
      </c>
      <c r="G6398" s="358">
        <v>52.833399999999997</v>
      </c>
      <c r="H6398" s="344" t="s">
        <v>2234</v>
      </c>
    </row>
    <row r="6399" spans="1:8">
      <c r="A6399" s="1"/>
      <c r="B6399" s="1"/>
      <c r="C6399" s="1"/>
      <c r="D6399" s="1"/>
      <c r="E6399" s="357">
        <v>46146</v>
      </c>
      <c r="F6399" s="344" t="s">
        <v>628</v>
      </c>
      <c r="G6399" s="358">
        <v>61.0533</v>
      </c>
      <c r="H6399" s="344" t="s">
        <v>2234</v>
      </c>
    </row>
    <row r="6400" spans="1:8">
      <c r="A6400" s="1"/>
      <c r="B6400" s="1"/>
      <c r="C6400" s="1"/>
      <c r="D6400" s="1"/>
      <c r="E6400" s="357">
        <v>46146</v>
      </c>
      <c r="F6400" s="344" t="s">
        <v>631</v>
      </c>
      <c r="G6400" s="358">
        <v>45.103999999999999</v>
      </c>
      <c r="H6400" s="344" t="s">
        <v>2234</v>
      </c>
    </row>
    <row r="6401" spans="1:8">
      <c r="A6401" s="1"/>
      <c r="B6401" s="1"/>
      <c r="C6401" s="1"/>
      <c r="D6401" s="1"/>
      <c r="E6401" s="357">
        <v>46147</v>
      </c>
      <c r="F6401" s="344" t="s">
        <v>621</v>
      </c>
      <c r="G6401" s="358">
        <v>57.468000000000004</v>
      </c>
      <c r="H6401" s="344" t="s">
        <v>2235</v>
      </c>
    </row>
    <row r="6402" spans="1:8">
      <c r="A6402" s="1"/>
      <c r="B6402" s="1"/>
      <c r="C6402" s="1"/>
      <c r="D6402" s="1"/>
      <c r="E6402" s="357">
        <v>46147</v>
      </c>
      <c r="F6402" s="344" t="s">
        <v>625</v>
      </c>
      <c r="G6402" s="358">
        <v>52.756300000000003</v>
      </c>
      <c r="H6402" s="344" t="s">
        <v>2235</v>
      </c>
    </row>
    <row r="6403" spans="1:8">
      <c r="A6403" s="1"/>
      <c r="B6403" s="1"/>
      <c r="C6403" s="1"/>
      <c r="D6403" s="1"/>
      <c r="E6403" s="357">
        <v>46147</v>
      </c>
      <c r="F6403" s="344" t="s">
        <v>628</v>
      </c>
      <c r="G6403" s="358">
        <v>61.007399999999997</v>
      </c>
      <c r="H6403" s="344" t="s">
        <v>2235</v>
      </c>
    </row>
    <row r="6404" spans="1:8">
      <c r="A6404" s="1"/>
      <c r="B6404" s="1"/>
      <c r="C6404" s="1"/>
      <c r="D6404" s="1"/>
      <c r="E6404" s="357">
        <v>46147</v>
      </c>
      <c r="F6404" s="344" t="s">
        <v>631</v>
      </c>
      <c r="G6404" s="358">
        <v>45.133899999999997</v>
      </c>
      <c r="H6404" s="344" t="s">
        <v>2235</v>
      </c>
    </row>
    <row r="6405" spans="1:8">
      <c r="A6405" s="1"/>
      <c r="B6405" s="1"/>
      <c r="C6405" s="1"/>
      <c r="D6405" s="1"/>
      <c r="E6405" s="357">
        <v>46148</v>
      </c>
      <c r="F6405" s="344" t="s">
        <v>621</v>
      </c>
      <c r="G6405" s="358">
        <v>57.816099999999999</v>
      </c>
      <c r="H6405" s="344" t="s">
        <v>2236</v>
      </c>
    </row>
    <row r="6406" spans="1:8">
      <c r="A6406" s="1"/>
      <c r="B6406" s="1"/>
      <c r="C6406" s="1"/>
      <c r="D6406" s="1"/>
      <c r="E6406" s="357">
        <v>46148</v>
      </c>
      <c r="F6406" s="344" t="s">
        <v>625</v>
      </c>
      <c r="G6406" s="358">
        <v>53.0961</v>
      </c>
      <c r="H6406" s="344" t="s">
        <v>2236</v>
      </c>
    </row>
    <row r="6407" spans="1:8">
      <c r="A6407" s="1"/>
      <c r="B6407" s="1"/>
      <c r="C6407" s="1"/>
      <c r="D6407" s="1"/>
      <c r="E6407" s="357">
        <v>46148</v>
      </c>
      <c r="F6407" s="344" t="s">
        <v>628</v>
      </c>
      <c r="G6407" s="358">
        <v>61.366399999999999</v>
      </c>
      <c r="H6407" s="344" t="s">
        <v>2236</v>
      </c>
    </row>
    <row r="6408" spans="1:8">
      <c r="A6408" s="1"/>
      <c r="B6408" s="1"/>
      <c r="C6408" s="1"/>
      <c r="D6408" s="1"/>
      <c r="E6408" s="357">
        <v>46148</v>
      </c>
      <c r="F6408" s="344" t="s">
        <v>631</v>
      </c>
      <c r="G6408" s="358">
        <v>45.143599999999999</v>
      </c>
      <c r="H6408" s="344" t="s">
        <v>2236</v>
      </c>
    </row>
    <row r="6409" spans="1:8">
      <c r="A6409" s="1"/>
      <c r="B6409" s="1"/>
      <c r="C6409" s="1"/>
      <c r="D6409" s="1"/>
      <c r="E6409" s="357">
        <v>46149</v>
      </c>
      <c r="F6409" s="344" t="s">
        <v>621</v>
      </c>
      <c r="G6409" s="358">
        <v>57.921300000000002</v>
      </c>
      <c r="H6409" s="344" t="s">
        <v>2237</v>
      </c>
    </row>
    <row r="6410" spans="1:8">
      <c r="A6410" s="1"/>
      <c r="B6410" s="1"/>
      <c r="C6410" s="1"/>
      <c r="D6410" s="1"/>
      <c r="E6410" s="357">
        <v>46149</v>
      </c>
      <c r="F6410" s="344" t="s">
        <v>625</v>
      </c>
      <c r="G6410" s="358">
        <v>53.130499999999998</v>
      </c>
      <c r="H6410" s="344" t="s">
        <v>2237</v>
      </c>
    </row>
    <row r="6411" spans="1:8">
      <c r="A6411" s="1"/>
      <c r="B6411" s="1"/>
      <c r="C6411" s="1"/>
      <c r="D6411" s="1"/>
      <c r="E6411" s="357">
        <v>46149</v>
      </c>
      <c r="F6411" s="344" t="s">
        <v>628</v>
      </c>
      <c r="G6411" s="358">
        <v>61.384300000000003</v>
      </c>
      <c r="H6411" s="344" t="s">
        <v>2237</v>
      </c>
    </row>
    <row r="6412" spans="1:8">
      <c r="A6412" s="1"/>
      <c r="B6412" s="1"/>
      <c r="C6412" s="1"/>
      <c r="D6412" s="1"/>
      <c r="E6412" s="357">
        <v>46149</v>
      </c>
      <c r="F6412" s="344" t="s">
        <v>631</v>
      </c>
      <c r="G6412" s="358">
        <v>45.156599999999997</v>
      </c>
      <c r="H6412" s="344" t="s">
        <v>2237</v>
      </c>
    </row>
    <row r="6413" spans="1:8">
      <c r="A6413" s="1"/>
      <c r="B6413" s="1"/>
      <c r="C6413" s="1"/>
      <c r="D6413" s="1"/>
      <c r="E6413" s="357">
        <v>46150</v>
      </c>
      <c r="F6413" s="344" t="s">
        <v>621</v>
      </c>
      <c r="G6413" s="358">
        <v>57.915199999999999</v>
      </c>
      <c r="H6413" s="344" t="s">
        <v>2238</v>
      </c>
    </row>
    <row r="6414" spans="1:8">
      <c r="A6414" s="1"/>
      <c r="B6414" s="1"/>
      <c r="C6414" s="1"/>
      <c r="D6414" s="1"/>
      <c r="E6414" s="357">
        <v>46150</v>
      </c>
      <c r="F6414" s="344" t="s">
        <v>625</v>
      </c>
      <c r="G6414" s="358">
        <v>53.136299999999999</v>
      </c>
      <c r="H6414" s="344" t="s">
        <v>2238</v>
      </c>
    </row>
    <row r="6415" spans="1:8">
      <c r="A6415" s="1"/>
      <c r="B6415" s="1"/>
      <c r="C6415" s="1"/>
      <c r="D6415" s="1"/>
      <c r="E6415" s="357">
        <v>46150</v>
      </c>
      <c r="F6415" s="344" t="s">
        <v>628</v>
      </c>
      <c r="G6415" s="358">
        <v>61.362099999999998</v>
      </c>
      <c r="H6415" s="344" t="s">
        <v>2238</v>
      </c>
    </row>
    <row r="6416" spans="1:8">
      <c r="A6416" s="1"/>
      <c r="B6416" s="1"/>
      <c r="C6416" s="1"/>
      <c r="D6416" s="1"/>
      <c r="E6416" s="357">
        <v>46150</v>
      </c>
      <c r="F6416" s="344" t="s">
        <v>631</v>
      </c>
      <c r="G6416" s="358">
        <v>45.19</v>
      </c>
      <c r="H6416" s="344" t="s">
        <v>2238</v>
      </c>
    </row>
    <row r="6417" spans="1:8">
      <c r="A6417" s="1"/>
      <c r="B6417" s="1"/>
      <c r="C6417" s="1"/>
      <c r="D6417" s="1"/>
      <c r="E6417" s="357">
        <v>46153</v>
      </c>
      <c r="F6417" s="344" t="s">
        <v>621</v>
      </c>
      <c r="G6417" s="358">
        <v>58.0548</v>
      </c>
      <c r="H6417" s="344" t="s">
        <v>2239</v>
      </c>
    </row>
    <row r="6418" spans="1:8">
      <c r="A6418" s="1"/>
      <c r="B6418" s="1"/>
      <c r="C6418" s="1"/>
      <c r="D6418" s="1"/>
      <c r="E6418" s="357">
        <v>46153</v>
      </c>
      <c r="F6418" s="344" t="s">
        <v>625</v>
      </c>
      <c r="G6418" s="358">
        <v>53.309699999999999</v>
      </c>
      <c r="H6418" s="344" t="s">
        <v>2239</v>
      </c>
    </row>
    <row r="6419" spans="1:8">
      <c r="A6419" s="1"/>
      <c r="B6419" s="1"/>
      <c r="C6419" s="1"/>
      <c r="D6419" s="1"/>
      <c r="E6419" s="357">
        <v>46153</v>
      </c>
      <c r="F6419" s="344" t="s">
        <v>628</v>
      </c>
      <c r="G6419" s="358">
        <v>61.497199999999999</v>
      </c>
      <c r="H6419" s="344" t="s">
        <v>2239</v>
      </c>
    </row>
    <row r="6420" spans="1:8">
      <c r="A6420" s="1"/>
      <c r="B6420" s="1"/>
      <c r="C6420" s="1"/>
      <c r="D6420" s="1"/>
      <c r="E6420" s="357">
        <v>46153</v>
      </c>
      <c r="F6420" s="344" t="s">
        <v>631</v>
      </c>
      <c r="G6420" s="358">
        <v>45.295099999999998</v>
      </c>
      <c r="H6420" s="344" t="s">
        <v>2239</v>
      </c>
    </row>
    <row r="6421" spans="1:8">
      <c r="A6421" s="1"/>
      <c r="B6421" s="1"/>
      <c r="C6421" s="1"/>
      <c r="D6421" s="1"/>
      <c r="E6421" s="357">
        <v>46154</v>
      </c>
      <c r="F6421" s="344" t="s">
        <v>621</v>
      </c>
      <c r="G6421" s="358">
        <v>57.9054</v>
      </c>
      <c r="H6421" s="344" t="s">
        <v>2240</v>
      </c>
    </row>
    <row r="6422" spans="1:8">
      <c r="A6422" s="1"/>
      <c r="B6422" s="1"/>
      <c r="C6422" s="1"/>
      <c r="D6422" s="1"/>
      <c r="E6422" s="357">
        <v>46154</v>
      </c>
      <c r="F6422" s="344" t="s">
        <v>625</v>
      </c>
      <c r="G6422" s="358">
        <v>53.224200000000003</v>
      </c>
      <c r="H6422" s="344" t="s">
        <v>2240</v>
      </c>
    </row>
    <row r="6423" spans="1:8">
      <c r="A6423" s="1"/>
      <c r="B6423" s="1"/>
      <c r="C6423" s="1"/>
      <c r="D6423" s="1"/>
      <c r="E6423" s="357">
        <v>46154</v>
      </c>
      <c r="F6423" s="344" t="s">
        <v>628</v>
      </c>
      <c r="G6423" s="358">
        <v>61.218800000000002</v>
      </c>
      <c r="H6423" s="344" t="s">
        <v>2240</v>
      </c>
    </row>
    <row r="6424" spans="1:8">
      <c r="A6424" s="1"/>
      <c r="B6424" s="1"/>
      <c r="C6424" s="1"/>
      <c r="D6424" s="1"/>
      <c r="E6424" s="357">
        <v>46154</v>
      </c>
      <c r="F6424" s="344" t="s">
        <v>631</v>
      </c>
      <c r="G6424" s="358">
        <v>45.313000000000002</v>
      </c>
      <c r="H6424" s="344" t="s">
        <v>2240</v>
      </c>
    </row>
    <row r="6425" spans="1:8">
      <c r="A6425" s="1"/>
      <c r="B6425" s="1"/>
      <c r="C6425" s="1"/>
      <c r="D6425" s="1"/>
      <c r="E6425" s="357">
        <v>46155</v>
      </c>
      <c r="F6425" s="344" t="s">
        <v>621</v>
      </c>
      <c r="G6425" s="358">
        <v>57.858800000000002</v>
      </c>
      <c r="H6425" s="344" t="s">
        <v>2241</v>
      </c>
    </row>
    <row r="6426" spans="1:8">
      <c r="A6426" s="1"/>
      <c r="B6426" s="1"/>
      <c r="C6426" s="1"/>
      <c r="D6426" s="1"/>
      <c r="E6426" s="357">
        <v>46155</v>
      </c>
      <c r="F6426" s="344" t="s">
        <v>625</v>
      </c>
      <c r="G6426" s="358">
        <v>53.0837</v>
      </c>
      <c r="H6426" s="344" t="s">
        <v>2241</v>
      </c>
    </row>
    <row r="6427" spans="1:8">
      <c r="A6427" s="1"/>
      <c r="B6427" s="1"/>
      <c r="C6427" s="1"/>
      <c r="D6427" s="1"/>
      <c r="E6427" s="357">
        <v>46155</v>
      </c>
      <c r="F6427" s="344" t="s">
        <v>628</v>
      </c>
      <c r="G6427" s="358">
        <v>61.168799999999997</v>
      </c>
      <c r="H6427" s="344" t="s">
        <v>2241</v>
      </c>
    </row>
    <row r="6428" spans="1:8">
      <c r="A6428" s="1"/>
      <c r="B6428" s="1"/>
      <c r="C6428" s="1"/>
      <c r="D6428" s="1"/>
      <c r="E6428" s="357">
        <v>46155</v>
      </c>
      <c r="F6428" s="344" t="s">
        <v>631</v>
      </c>
      <c r="G6428" s="358">
        <v>45.3307</v>
      </c>
      <c r="H6428" s="344" t="s">
        <v>2241</v>
      </c>
    </row>
    <row r="6429" spans="1:8">
      <c r="A6429" s="1"/>
      <c r="B6429" s="1"/>
      <c r="C6429" s="1"/>
      <c r="D6429" s="1"/>
      <c r="E6429" s="357">
        <v>46156</v>
      </c>
      <c r="F6429" s="344" t="s">
        <v>621</v>
      </c>
      <c r="G6429" s="358">
        <v>57.867100000000001</v>
      </c>
      <c r="H6429" s="344" t="s">
        <v>2242</v>
      </c>
    </row>
    <row r="6430" spans="1:8">
      <c r="A6430" s="1"/>
      <c r="B6430" s="1"/>
      <c r="C6430" s="1"/>
      <c r="D6430" s="1"/>
      <c r="E6430" s="357">
        <v>46156</v>
      </c>
      <c r="F6430" s="344" t="s">
        <v>625</v>
      </c>
      <c r="G6430" s="358">
        <v>53.097099999999998</v>
      </c>
      <c r="H6430" s="344" t="s">
        <v>2242</v>
      </c>
    </row>
    <row r="6431" spans="1:8">
      <c r="A6431" s="1"/>
      <c r="B6431" s="1"/>
      <c r="C6431" s="1"/>
      <c r="D6431" s="1"/>
      <c r="E6431" s="357">
        <v>46156</v>
      </c>
      <c r="F6431" s="344" t="s">
        <v>628</v>
      </c>
      <c r="G6431" s="358">
        <v>61.173699999999997</v>
      </c>
      <c r="H6431" s="344" t="s">
        <v>2242</v>
      </c>
    </row>
    <row r="6432" spans="1:8">
      <c r="A6432" s="1"/>
      <c r="B6432" s="1"/>
      <c r="C6432" s="1"/>
      <c r="D6432" s="1"/>
      <c r="E6432" s="357">
        <v>46156</v>
      </c>
      <c r="F6432" s="344" t="s">
        <v>631</v>
      </c>
      <c r="G6432" s="358">
        <v>45.348199999999999</v>
      </c>
      <c r="H6432" s="344" t="s">
        <v>2242</v>
      </c>
    </row>
    <row r="6433" spans="1:8">
      <c r="A6433" s="1"/>
      <c r="B6433" s="1"/>
      <c r="C6433" s="1"/>
      <c r="D6433" s="1"/>
      <c r="E6433" s="357">
        <v>46157</v>
      </c>
      <c r="F6433" s="344" t="s">
        <v>621</v>
      </c>
      <c r="G6433" s="358">
        <v>57.6434</v>
      </c>
      <c r="H6433" s="344" t="s">
        <v>2243</v>
      </c>
    </row>
    <row r="6434" spans="1:8">
      <c r="A6434" s="1"/>
      <c r="B6434" s="1"/>
      <c r="C6434" s="1"/>
      <c r="D6434" s="1"/>
      <c r="E6434" s="357">
        <v>46157</v>
      </c>
      <c r="F6434" s="344" t="s">
        <v>625</v>
      </c>
      <c r="G6434" s="358">
        <v>52.811199999999999</v>
      </c>
      <c r="H6434" s="344" t="s">
        <v>2243</v>
      </c>
    </row>
    <row r="6435" spans="1:8">
      <c r="A6435" s="1"/>
      <c r="B6435" s="1"/>
      <c r="C6435" s="1"/>
      <c r="D6435" s="1"/>
      <c r="E6435" s="357">
        <v>46157</v>
      </c>
      <c r="F6435" s="344" t="s">
        <v>628</v>
      </c>
      <c r="G6435" s="358">
        <v>60.528399999999998</v>
      </c>
      <c r="H6435" s="344" t="s">
        <v>2243</v>
      </c>
    </row>
    <row r="6436" spans="1:8">
      <c r="A6436" s="1"/>
      <c r="B6436" s="1"/>
      <c r="C6436" s="1"/>
      <c r="D6436" s="1"/>
      <c r="E6436" s="357">
        <v>46157</v>
      </c>
      <c r="F6436" s="344" t="s">
        <v>631</v>
      </c>
      <c r="G6436" s="358">
        <v>45.387700000000002</v>
      </c>
      <c r="H6436" s="344" t="s">
        <v>2243</v>
      </c>
    </row>
    <row r="6437" spans="1:8">
      <c r="A6437" s="1"/>
      <c r="B6437" s="1"/>
      <c r="C6437" s="1"/>
      <c r="D6437" s="1"/>
      <c r="E6437" s="357">
        <v>46160</v>
      </c>
      <c r="F6437" s="344" t="s">
        <v>621</v>
      </c>
      <c r="G6437" s="358">
        <v>57.7258</v>
      </c>
      <c r="H6437" s="344" t="s">
        <v>2244</v>
      </c>
    </row>
    <row r="6438" spans="1:8">
      <c r="A6438" s="1"/>
      <c r="B6438" s="1"/>
      <c r="C6438" s="1"/>
      <c r="D6438" s="1"/>
      <c r="E6438" s="357">
        <v>46160</v>
      </c>
      <c r="F6438" s="344" t="s">
        <v>625</v>
      </c>
      <c r="G6438" s="358">
        <v>52.881799999999998</v>
      </c>
      <c r="H6438" s="344" t="s">
        <v>2244</v>
      </c>
    </row>
    <row r="6439" spans="1:8">
      <c r="A6439" s="1"/>
      <c r="B6439" s="1"/>
      <c r="C6439" s="1"/>
      <c r="D6439" s="1"/>
      <c r="E6439" s="357">
        <v>46160</v>
      </c>
      <c r="F6439" s="344" t="s">
        <v>628</v>
      </c>
      <c r="G6439" s="358">
        <v>60.624699999999997</v>
      </c>
      <c r="H6439" s="344" t="s">
        <v>2244</v>
      </c>
    </row>
    <row r="6440" spans="1:8">
      <c r="A6440" s="1"/>
      <c r="B6440" s="1"/>
      <c r="C6440" s="1"/>
      <c r="D6440" s="1"/>
      <c r="E6440" s="357">
        <v>46160</v>
      </c>
      <c r="F6440" s="344" t="s">
        <v>631</v>
      </c>
      <c r="G6440" s="358">
        <v>45.447699999999998</v>
      </c>
      <c r="H6440" s="344" t="s">
        <v>2244</v>
      </c>
    </row>
    <row r="6441" spans="1:8">
      <c r="A6441" s="1"/>
      <c r="B6441" s="1"/>
      <c r="C6441" s="1"/>
      <c r="D6441" s="1"/>
      <c r="E6441" s="357">
        <v>46162</v>
      </c>
      <c r="F6441" s="344" t="s">
        <v>621</v>
      </c>
      <c r="G6441" s="358">
        <v>57.456699999999998</v>
      </c>
      <c r="H6441" s="344" t="s">
        <v>2245</v>
      </c>
    </row>
    <row r="6442" spans="1:8">
      <c r="A6442" s="1"/>
      <c r="B6442" s="1"/>
      <c r="C6442" s="1"/>
      <c r="D6442" s="1"/>
      <c r="E6442" s="357">
        <v>46162</v>
      </c>
      <c r="F6442" s="344" t="s">
        <v>625</v>
      </c>
      <c r="G6442" s="358">
        <v>52.768000000000001</v>
      </c>
      <c r="H6442" s="344" t="s">
        <v>2245</v>
      </c>
    </row>
    <row r="6443" spans="1:8">
      <c r="A6443" s="1"/>
      <c r="B6443" s="1"/>
      <c r="C6443" s="1"/>
      <c r="D6443" s="1"/>
      <c r="E6443" s="357">
        <v>46162</v>
      </c>
      <c r="F6443" s="344" t="s">
        <v>628</v>
      </c>
      <c r="G6443" s="358">
        <v>60.827500000000001</v>
      </c>
      <c r="H6443" s="344" t="s">
        <v>2245</v>
      </c>
    </row>
    <row r="6444" spans="1:8">
      <c r="A6444" s="1"/>
      <c r="B6444" s="1"/>
      <c r="C6444" s="1"/>
      <c r="D6444" s="1"/>
      <c r="E6444" s="357">
        <v>46162</v>
      </c>
      <c r="F6444" s="344" t="s">
        <v>631</v>
      </c>
      <c r="G6444" s="358">
        <v>45.509</v>
      </c>
      <c r="H6444" s="344" t="s">
        <v>2245</v>
      </c>
    </row>
    <row r="6445" spans="1:8">
      <c r="A6445" s="1"/>
      <c r="B6445" s="1"/>
      <c r="C6445" s="1"/>
      <c r="D6445" s="1"/>
      <c r="E6445" s="357">
        <v>46163</v>
      </c>
      <c r="F6445" s="344" t="s">
        <v>621</v>
      </c>
      <c r="G6445" s="358">
        <v>57.687100000000001</v>
      </c>
      <c r="H6445" s="344" t="s">
        <v>2246</v>
      </c>
    </row>
    <row r="6446" spans="1:8">
      <c r="A6446" s="1"/>
      <c r="B6446" s="1"/>
      <c r="C6446" s="1"/>
      <c r="D6446" s="1"/>
      <c r="E6446" s="357">
        <v>46163</v>
      </c>
      <c r="F6446" s="344" t="s">
        <v>625</v>
      </c>
      <c r="G6446" s="358">
        <v>52.877400000000002</v>
      </c>
      <c r="H6446" s="344" t="s">
        <v>2246</v>
      </c>
    </row>
    <row r="6447" spans="1:8">
      <c r="A6447" s="1"/>
      <c r="B6447" s="1"/>
      <c r="C6447" s="1"/>
      <c r="D6447" s="1"/>
      <c r="E6447" s="357">
        <v>46163</v>
      </c>
      <c r="F6447" s="344" t="s">
        <v>628</v>
      </c>
      <c r="G6447" s="358">
        <v>61.046100000000003</v>
      </c>
      <c r="H6447" s="344" t="s">
        <v>2246</v>
      </c>
    </row>
    <row r="6448" spans="1:8">
      <c r="A6448" s="1"/>
      <c r="B6448" s="1"/>
      <c r="C6448" s="1"/>
      <c r="D6448" s="1"/>
      <c r="E6448" s="357">
        <v>46163</v>
      </c>
      <c r="F6448" s="344" t="s">
        <v>631</v>
      </c>
      <c r="G6448" s="358">
        <v>45.527700000000003</v>
      </c>
      <c r="H6448" s="344" t="s">
        <v>2246</v>
      </c>
    </row>
    <row r="6449" spans="1:8">
      <c r="A6449" s="1"/>
      <c r="B6449" s="1"/>
      <c r="C6449" s="1"/>
      <c r="D6449" s="1"/>
      <c r="E6449" s="357">
        <v>46164</v>
      </c>
      <c r="F6449" s="344" t="s">
        <v>621</v>
      </c>
      <c r="G6449" s="358">
        <v>57.794699999999999</v>
      </c>
      <c r="H6449" s="344" t="s">
        <v>2247</v>
      </c>
    </row>
    <row r="6450" spans="1:8">
      <c r="A6450" s="1"/>
      <c r="B6450" s="1"/>
      <c r="C6450" s="1"/>
      <c r="D6450" s="1"/>
      <c r="E6450" s="357">
        <v>46164</v>
      </c>
      <c r="F6450" s="344" t="s">
        <v>625</v>
      </c>
      <c r="G6450" s="358">
        <v>52.859900000000003</v>
      </c>
      <c r="H6450" s="344" t="s">
        <v>2247</v>
      </c>
    </row>
    <row r="6451" spans="1:8">
      <c r="A6451" s="1"/>
      <c r="B6451" s="1"/>
      <c r="C6451" s="1"/>
      <c r="D6451" s="1"/>
      <c r="E6451" s="357">
        <v>46164</v>
      </c>
      <c r="F6451" s="344" t="s">
        <v>628</v>
      </c>
      <c r="G6451" s="358">
        <v>61.0503</v>
      </c>
      <c r="H6451" s="344" t="s">
        <v>2247</v>
      </c>
    </row>
    <row r="6452" spans="1:8">
      <c r="A6452" s="1"/>
      <c r="B6452" s="1"/>
      <c r="C6452" s="1"/>
      <c r="D6452" s="1"/>
      <c r="E6452" s="357">
        <v>46164</v>
      </c>
      <c r="F6452" s="344" t="s">
        <v>631</v>
      </c>
      <c r="G6452" s="358">
        <v>45.553199999999997</v>
      </c>
      <c r="H6452" s="344" t="s">
        <v>2247</v>
      </c>
    </row>
    <row r="6453" spans="1:8">
      <c r="A6453" s="1"/>
      <c r="B6453" s="1"/>
      <c r="C6453" s="1"/>
      <c r="D6453" s="1"/>
      <c r="E6453" s="357">
        <v>46167</v>
      </c>
      <c r="F6453" s="344" t="s">
        <v>621</v>
      </c>
      <c r="G6453" s="358">
        <v>58.245600000000003</v>
      </c>
      <c r="H6453" s="344" t="s">
        <v>2248</v>
      </c>
    </row>
    <row r="6454" spans="1:8">
      <c r="A6454" s="1"/>
      <c r="B6454" s="1"/>
      <c r="C6454" s="1"/>
      <c r="D6454" s="1"/>
      <c r="E6454" s="357">
        <v>46167</v>
      </c>
      <c r="F6454" s="344" t="s">
        <v>625</v>
      </c>
      <c r="G6454" s="358">
        <v>53.122399999999999</v>
      </c>
      <c r="H6454" s="344" t="s">
        <v>2248</v>
      </c>
    </row>
    <row r="6455" spans="1:8">
      <c r="A6455" s="1"/>
      <c r="B6455" s="1"/>
      <c r="C6455" s="1"/>
      <c r="D6455" s="1"/>
      <c r="E6455" s="357">
        <v>46167</v>
      </c>
      <c r="F6455" s="344" t="s">
        <v>628</v>
      </c>
      <c r="G6455" s="358">
        <v>61.457099999999997</v>
      </c>
      <c r="H6455" s="344" t="s">
        <v>2248</v>
      </c>
    </row>
    <row r="6456" spans="1:8">
      <c r="A6456" s="1"/>
      <c r="B6456" s="1"/>
      <c r="C6456" s="1"/>
      <c r="D6456" s="1"/>
      <c r="E6456" s="357">
        <v>46167</v>
      </c>
      <c r="F6456" s="344" t="s">
        <v>631</v>
      </c>
      <c r="G6456" s="358">
        <v>45.6312</v>
      </c>
      <c r="H6456" s="344" t="s">
        <v>2248</v>
      </c>
    </row>
    <row r="6457" spans="1:8">
      <c r="A6457" s="1"/>
      <c r="B6457" s="1"/>
      <c r="C6457" s="1"/>
      <c r="D6457" s="1"/>
      <c r="E6457" s="357">
        <v>46174</v>
      </c>
      <c r="F6457" s="344" t="s">
        <v>621</v>
      </c>
      <c r="G6457" s="358">
        <v>58.361899999999999</v>
      </c>
      <c r="H6457" s="344" t="s">
        <v>2249</v>
      </c>
    </row>
    <row r="6458" spans="1:8">
      <c r="A6458" s="1"/>
      <c r="B6458" s="1"/>
      <c r="C6458" s="1"/>
      <c r="D6458" s="1"/>
      <c r="E6458" s="357">
        <v>46174</v>
      </c>
      <c r="F6458" s="344" t="s">
        <v>625</v>
      </c>
      <c r="G6458" s="358">
        <v>53.404200000000003</v>
      </c>
      <c r="H6458" s="344" t="s">
        <v>2249</v>
      </c>
    </row>
    <row r="6459" spans="1:8">
      <c r="A6459" s="1"/>
      <c r="B6459" s="1"/>
      <c r="C6459" s="1"/>
      <c r="D6459" s="1"/>
      <c r="E6459" s="357">
        <v>46174</v>
      </c>
      <c r="F6459" s="344" t="s">
        <v>628</v>
      </c>
      <c r="G6459" s="358">
        <v>61.599600000000002</v>
      </c>
      <c r="H6459" s="344" t="s">
        <v>2249</v>
      </c>
    </row>
    <row r="6460" spans="1:8">
      <c r="A6460" s="1"/>
      <c r="B6460" s="1"/>
      <c r="C6460" s="1"/>
      <c r="D6460" s="1"/>
      <c r="E6460" s="357">
        <v>46174</v>
      </c>
      <c r="F6460" s="344" t="s">
        <v>631</v>
      </c>
      <c r="G6460" s="358">
        <v>45.824800000000003</v>
      </c>
      <c r="H6460" s="344" t="s">
        <v>2249</v>
      </c>
    </row>
    <row r="6461" spans="1:8">
      <c r="A6461" s="1"/>
      <c r="B6461" s="1"/>
      <c r="C6461" s="1"/>
      <c r="D6461" s="1"/>
      <c r="E6461" s="357">
        <v>46175</v>
      </c>
      <c r="F6461" s="344" t="s">
        <v>621</v>
      </c>
      <c r="G6461" s="358">
        <v>58.2348</v>
      </c>
      <c r="H6461" s="344" t="s">
        <v>2250</v>
      </c>
    </row>
    <row r="6462" spans="1:8">
      <c r="A6462" s="1"/>
      <c r="B6462" s="1"/>
      <c r="C6462" s="1"/>
      <c r="D6462" s="1"/>
      <c r="E6462" s="357">
        <v>46175</v>
      </c>
      <c r="F6462" s="344" t="s">
        <v>625</v>
      </c>
      <c r="G6462" s="358">
        <v>53.387799999999999</v>
      </c>
      <c r="H6462" s="344" t="s">
        <v>2250</v>
      </c>
    </row>
    <row r="6463" spans="1:8">
      <c r="A6463" s="1"/>
      <c r="B6463" s="1"/>
      <c r="C6463" s="1"/>
      <c r="D6463" s="1"/>
      <c r="E6463" s="357">
        <v>46175</v>
      </c>
      <c r="F6463" s="344" t="s">
        <v>628</v>
      </c>
      <c r="G6463" s="358">
        <v>61.646299999999997</v>
      </c>
      <c r="H6463" s="344" t="s">
        <v>2250</v>
      </c>
    </row>
    <row r="6464" spans="1:8">
      <c r="A6464" s="1"/>
      <c r="B6464" s="1"/>
      <c r="C6464" s="1"/>
      <c r="D6464" s="1"/>
      <c r="E6464" s="357">
        <v>46175</v>
      </c>
      <c r="F6464" s="344" t="s">
        <v>631</v>
      </c>
      <c r="G6464" s="358">
        <v>45.840200000000003</v>
      </c>
      <c r="H6464" s="344" t="s">
        <v>2250</v>
      </c>
    </row>
    <row r="6465" spans="1:8">
      <c r="A6465" s="1"/>
      <c r="B6465" s="1"/>
      <c r="C6465" s="1"/>
      <c r="D6465" s="1"/>
      <c r="E6465" s="357">
        <v>46176</v>
      </c>
      <c r="F6465" s="344" t="s">
        <v>621</v>
      </c>
      <c r="G6465" s="358">
        <v>57.991500000000002</v>
      </c>
      <c r="H6465" s="344" t="s">
        <v>2251</v>
      </c>
    </row>
    <row r="6466" spans="1:8">
      <c r="A6466" s="1"/>
      <c r="B6466" s="1"/>
      <c r="C6466" s="1"/>
      <c r="D6466" s="1"/>
      <c r="E6466" s="357">
        <v>46176</v>
      </c>
      <c r="F6466" s="344" t="s">
        <v>625</v>
      </c>
      <c r="G6466" s="358">
        <v>53.276800000000001</v>
      </c>
      <c r="H6466" s="344" t="s">
        <v>2251</v>
      </c>
    </row>
    <row r="6467" spans="1:8">
      <c r="A6467" s="1"/>
      <c r="B6467" s="1"/>
      <c r="C6467" s="1"/>
      <c r="D6467" s="1"/>
      <c r="E6467" s="357">
        <v>46176</v>
      </c>
      <c r="F6467" s="344" t="s">
        <v>628</v>
      </c>
      <c r="G6467" s="358">
        <v>61.588500000000003</v>
      </c>
      <c r="H6467" s="344" t="s">
        <v>2251</v>
      </c>
    </row>
    <row r="6468" spans="1:8">
      <c r="A6468" s="1"/>
      <c r="B6468" s="1"/>
      <c r="C6468" s="1"/>
      <c r="D6468" s="1"/>
      <c r="E6468" s="357">
        <v>46176</v>
      </c>
      <c r="F6468" s="344" t="s">
        <v>631</v>
      </c>
      <c r="G6468" s="358">
        <v>45.869599999999998</v>
      </c>
      <c r="H6468" s="344" t="s">
        <v>2251</v>
      </c>
    </row>
    <row r="6469" spans="1:8">
      <c r="A6469" s="1"/>
      <c r="B6469" s="1"/>
      <c r="C6469" s="1"/>
      <c r="D6469" s="1"/>
      <c r="E6469" s="357">
        <v>46177</v>
      </c>
      <c r="F6469" s="344" t="s">
        <v>621</v>
      </c>
      <c r="G6469" s="358">
        <v>57.9435</v>
      </c>
      <c r="H6469" s="344" t="s">
        <v>2252</v>
      </c>
    </row>
    <row r="6470" spans="1:8">
      <c r="A6470" s="1"/>
      <c r="B6470" s="1"/>
      <c r="C6470" s="1"/>
      <c r="D6470" s="1"/>
      <c r="E6470" s="357">
        <v>46177</v>
      </c>
      <c r="F6470" s="344" t="s">
        <v>625</v>
      </c>
      <c r="G6470" s="358">
        <v>53.326799999999999</v>
      </c>
      <c r="H6470" s="344" t="s">
        <v>2252</v>
      </c>
    </row>
    <row r="6471" spans="1:8">
      <c r="A6471" s="1"/>
      <c r="B6471" s="1"/>
      <c r="C6471" s="1"/>
      <c r="D6471" s="1"/>
      <c r="E6471" s="357">
        <v>46177</v>
      </c>
      <c r="F6471" s="344" t="s">
        <v>628</v>
      </c>
      <c r="G6471" s="358">
        <v>61.552700000000002</v>
      </c>
      <c r="H6471" s="344" t="s">
        <v>2252</v>
      </c>
    </row>
    <row r="6472" spans="1:8">
      <c r="A6472" s="1"/>
      <c r="B6472" s="1"/>
      <c r="C6472" s="1"/>
      <c r="D6472" s="1"/>
      <c r="E6472" s="357">
        <v>46177</v>
      </c>
      <c r="F6472" s="344" t="s">
        <v>631</v>
      </c>
      <c r="G6472" s="358">
        <v>45.887300000000003</v>
      </c>
      <c r="H6472" s="344" t="s">
        <v>2252</v>
      </c>
    </row>
    <row r="6473" spans="1:8">
      <c r="A6473" s="1"/>
      <c r="B6473" s="1"/>
      <c r="C6473" s="1"/>
      <c r="D6473" s="1"/>
      <c r="E6473" s="357">
        <v>46178</v>
      </c>
      <c r="F6473" s="344" t="s">
        <v>621</v>
      </c>
      <c r="G6473" s="358">
        <v>58.128900000000002</v>
      </c>
      <c r="H6473" s="344" t="s">
        <v>2253</v>
      </c>
    </row>
    <row r="6474" spans="1:8">
      <c r="A6474" s="1"/>
      <c r="B6474" s="1"/>
      <c r="C6474" s="1"/>
      <c r="D6474" s="1"/>
      <c r="E6474" s="357">
        <v>46178</v>
      </c>
      <c r="F6474" s="344" t="s">
        <v>625</v>
      </c>
      <c r="G6474" s="358">
        <v>53.415599999999998</v>
      </c>
      <c r="H6474" s="344" t="s">
        <v>2253</v>
      </c>
    </row>
    <row r="6475" spans="1:8">
      <c r="A6475" s="1"/>
      <c r="B6475" s="1"/>
      <c r="C6475" s="1"/>
      <c r="D6475" s="1"/>
      <c r="E6475" s="357">
        <v>46178</v>
      </c>
      <c r="F6475" s="344" t="s">
        <v>628</v>
      </c>
      <c r="G6475" s="358">
        <v>61.6753</v>
      </c>
      <c r="H6475" s="344" t="s">
        <v>2253</v>
      </c>
    </row>
    <row r="6476" spans="1:8">
      <c r="A6476" s="1"/>
      <c r="B6476" s="1"/>
      <c r="C6476" s="1"/>
      <c r="D6476" s="1"/>
      <c r="E6476" s="357">
        <v>46178</v>
      </c>
      <c r="F6476" s="344" t="s">
        <v>631</v>
      </c>
      <c r="G6476" s="358">
        <v>45.9084</v>
      </c>
      <c r="H6476" s="344" t="s">
        <v>2253</v>
      </c>
    </row>
    <row r="6477" spans="1:8">
      <c r="A6477" s="1"/>
      <c r="B6477" s="1"/>
      <c r="C6477" s="1"/>
      <c r="D6477" s="1"/>
      <c r="E6477" s="357">
        <v>46181</v>
      </c>
      <c r="F6477" s="344" t="s">
        <v>621</v>
      </c>
      <c r="G6477" s="358">
        <v>57.560699999999997</v>
      </c>
      <c r="H6477" s="344" t="s">
        <v>2254</v>
      </c>
    </row>
    <row r="6478" spans="1:8">
      <c r="A6478" s="1"/>
      <c r="B6478" s="1"/>
      <c r="C6478" s="1"/>
      <c r="D6478" s="1"/>
      <c r="E6478" s="357">
        <v>46181</v>
      </c>
      <c r="F6478" s="344" t="s">
        <v>625</v>
      </c>
      <c r="G6478" s="358">
        <v>53.004399999999997</v>
      </c>
      <c r="H6478" s="344" t="s">
        <v>2254</v>
      </c>
    </row>
    <row r="6479" spans="1:8">
      <c r="A6479" s="1"/>
      <c r="B6479" s="1"/>
      <c r="C6479" s="1"/>
      <c r="D6479" s="1"/>
      <c r="E6479" s="357">
        <v>46181</v>
      </c>
      <c r="F6479" s="344" t="s">
        <v>628</v>
      </c>
      <c r="G6479" s="358">
        <v>61.247799999999998</v>
      </c>
      <c r="H6479" s="344" t="s">
        <v>2254</v>
      </c>
    </row>
    <row r="6480" spans="1:8">
      <c r="A6480" s="1"/>
      <c r="B6480" s="1"/>
      <c r="C6480" s="1"/>
      <c r="D6480" s="1"/>
      <c r="E6480" s="357">
        <v>46181</v>
      </c>
      <c r="F6480" s="344" t="s">
        <v>631</v>
      </c>
      <c r="G6480" s="358">
        <v>46.014400000000002</v>
      </c>
      <c r="H6480" s="344" t="s">
        <v>2254</v>
      </c>
    </row>
    <row r="6481" spans="1:8">
      <c r="A6481" s="1"/>
      <c r="B6481" s="1"/>
      <c r="C6481" s="1"/>
      <c r="D6481" s="1"/>
      <c r="E6481" s="357">
        <v>46182</v>
      </c>
      <c r="F6481" s="344" t="s">
        <v>621</v>
      </c>
      <c r="G6481" s="358">
        <v>57.670499999999997</v>
      </c>
      <c r="H6481" s="344" t="s">
        <v>2255</v>
      </c>
    </row>
    <row r="6482" spans="1:8">
      <c r="A6482" s="1"/>
      <c r="B6482" s="1"/>
      <c r="C6482" s="1"/>
      <c r="D6482" s="1"/>
      <c r="E6482" s="357">
        <v>46182</v>
      </c>
      <c r="F6482" s="344" t="s">
        <v>625</v>
      </c>
      <c r="G6482" s="358">
        <v>53.194000000000003</v>
      </c>
      <c r="H6482" s="344" t="s">
        <v>2255</v>
      </c>
    </row>
    <row r="6483" spans="1:8">
      <c r="A6483" s="1"/>
      <c r="B6483" s="1"/>
      <c r="C6483" s="1"/>
      <c r="D6483" s="1"/>
      <c r="E6483" s="357">
        <v>46182</v>
      </c>
      <c r="F6483" s="344" t="s">
        <v>628</v>
      </c>
      <c r="G6483" s="358">
        <v>61.5002</v>
      </c>
      <c r="H6483" s="344" t="s">
        <v>2255</v>
      </c>
    </row>
    <row r="6484" spans="1:8">
      <c r="A6484" s="1"/>
      <c r="B6484" s="1"/>
      <c r="C6484" s="1"/>
      <c r="D6484" s="1"/>
      <c r="E6484" s="357">
        <v>46182</v>
      </c>
      <c r="F6484" s="344" t="s">
        <v>631</v>
      </c>
      <c r="G6484" s="358">
        <v>46.032800000000002</v>
      </c>
      <c r="H6484" s="344" t="s">
        <v>2255</v>
      </c>
    </row>
    <row r="6485" spans="1:8">
      <c r="A6485" s="1"/>
      <c r="B6485" s="1"/>
      <c r="C6485" s="1"/>
      <c r="D6485" s="1"/>
      <c r="E6485" s="357">
        <v>46183</v>
      </c>
      <c r="F6485" s="344" t="s">
        <v>621</v>
      </c>
      <c r="G6485" s="358">
        <v>57.522300000000001</v>
      </c>
      <c r="H6485" s="344" t="s">
        <v>2256</v>
      </c>
    </row>
    <row r="6486" spans="1:8">
      <c r="A6486" s="1"/>
      <c r="B6486" s="1"/>
      <c r="C6486" s="1"/>
      <c r="D6486" s="1"/>
      <c r="E6486" s="357">
        <v>46183</v>
      </c>
      <c r="F6486" s="344" t="s">
        <v>625</v>
      </c>
      <c r="G6486" s="358">
        <v>53.188600000000001</v>
      </c>
      <c r="H6486" s="344" t="s">
        <v>2256</v>
      </c>
    </row>
    <row r="6487" spans="1:8">
      <c r="A6487" s="1"/>
      <c r="B6487" s="1"/>
      <c r="C6487" s="1"/>
      <c r="D6487" s="1"/>
      <c r="E6487" s="357">
        <v>46183</v>
      </c>
      <c r="F6487" s="344" t="s">
        <v>628</v>
      </c>
      <c r="G6487" s="358">
        <v>61.544400000000003</v>
      </c>
      <c r="H6487" s="344" t="s">
        <v>2256</v>
      </c>
    </row>
    <row r="6488" spans="1:8">
      <c r="A6488" s="1"/>
      <c r="B6488" s="1"/>
      <c r="C6488" s="1"/>
      <c r="D6488" s="1"/>
      <c r="E6488" s="357">
        <v>46183</v>
      </c>
      <c r="F6488" s="344" t="s">
        <v>631</v>
      </c>
      <c r="G6488" s="358">
        <v>46.049100000000003</v>
      </c>
      <c r="H6488" s="344" t="s">
        <v>2256</v>
      </c>
    </row>
    <row r="6489" spans="1:8">
      <c r="A6489" s="1"/>
      <c r="B6489" s="1"/>
      <c r="C6489" s="1"/>
      <c r="D6489" s="1"/>
      <c r="E6489" s="357">
        <v>46184</v>
      </c>
      <c r="F6489" s="344" t="s">
        <v>621</v>
      </c>
      <c r="G6489" s="358">
        <v>57.493600000000001</v>
      </c>
      <c r="H6489" s="344" t="s">
        <v>2257</v>
      </c>
    </row>
    <row r="6490" spans="1:8">
      <c r="A6490" s="1"/>
      <c r="B6490" s="1"/>
      <c r="C6490" s="1"/>
      <c r="D6490" s="1"/>
      <c r="E6490" s="357">
        <v>46184</v>
      </c>
      <c r="F6490" s="344" t="s">
        <v>625</v>
      </c>
      <c r="G6490" s="358">
        <v>53.148499999999999</v>
      </c>
      <c r="H6490" s="344" t="s">
        <v>2257</v>
      </c>
    </row>
    <row r="6491" spans="1:8">
      <c r="A6491" s="1"/>
      <c r="B6491" s="1"/>
      <c r="C6491" s="1"/>
      <c r="D6491" s="1"/>
      <c r="E6491" s="357">
        <v>46184</v>
      </c>
      <c r="F6491" s="344" t="s">
        <v>628</v>
      </c>
      <c r="G6491" s="358">
        <v>61.481999999999999</v>
      </c>
      <c r="H6491" s="344" t="s">
        <v>2257</v>
      </c>
    </row>
    <row r="6492" spans="1:8">
      <c r="A6492" s="1"/>
      <c r="B6492" s="1"/>
      <c r="C6492" s="1"/>
      <c r="D6492" s="1"/>
      <c r="E6492" s="357">
        <v>46184</v>
      </c>
      <c r="F6492" s="344" t="s">
        <v>631</v>
      </c>
      <c r="G6492" s="358">
        <v>46.066899999999997</v>
      </c>
      <c r="H6492" s="344" t="s">
        <v>2257</v>
      </c>
    </row>
    <row r="6493" spans="1:8">
      <c r="A6493" s="1"/>
      <c r="B6493" s="1"/>
      <c r="C6493" s="1"/>
      <c r="D6493" s="1"/>
      <c r="E6493" s="357">
        <v>46185</v>
      </c>
      <c r="F6493" s="344" t="s">
        <v>621</v>
      </c>
      <c r="G6493" s="358">
        <v>57.7622</v>
      </c>
      <c r="H6493" s="344" t="s">
        <v>2258</v>
      </c>
    </row>
    <row r="6494" spans="1:8">
      <c r="A6494" s="1"/>
      <c r="B6494" s="1"/>
      <c r="C6494" s="1"/>
      <c r="D6494" s="1"/>
      <c r="E6494" s="357">
        <v>46185</v>
      </c>
      <c r="F6494" s="344" t="s">
        <v>625</v>
      </c>
      <c r="G6494" s="358">
        <v>53.341900000000003</v>
      </c>
      <c r="H6494" s="344" t="s">
        <v>2258</v>
      </c>
    </row>
    <row r="6495" spans="1:8">
      <c r="A6495" s="1"/>
      <c r="B6495" s="1"/>
      <c r="C6495" s="1"/>
      <c r="D6495" s="1"/>
      <c r="E6495" s="357">
        <v>46185</v>
      </c>
      <c r="F6495" s="344" t="s">
        <v>628</v>
      </c>
      <c r="G6495" s="358">
        <v>61.693899999999999</v>
      </c>
      <c r="H6495" s="344" t="s">
        <v>2258</v>
      </c>
    </row>
    <row r="6496" spans="1:8">
      <c r="A6496" s="1"/>
      <c r="B6496" s="1"/>
      <c r="C6496" s="1"/>
      <c r="D6496" s="1"/>
      <c r="E6496" s="357">
        <v>46185</v>
      </c>
      <c r="F6496" s="344" t="s">
        <v>631</v>
      </c>
      <c r="G6496" s="358">
        <v>46.085700000000003</v>
      </c>
      <c r="H6496" s="344" t="s">
        <v>2258</v>
      </c>
    </row>
    <row r="6497" spans="1:8">
      <c r="A6497" s="1"/>
      <c r="B6497" s="1"/>
      <c r="C6497" s="1"/>
      <c r="D6497" s="1"/>
      <c r="E6497" s="357">
        <v>46188</v>
      </c>
      <c r="F6497" s="344" t="s">
        <v>621</v>
      </c>
      <c r="G6497" s="358">
        <v>58.093299999999999</v>
      </c>
      <c r="H6497" s="344" t="s">
        <v>2259</v>
      </c>
    </row>
    <row r="6498" spans="1:8">
      <c r="A6498" s="1"/>
      <c r="B6498" s="1"/>
      <c r="C6498" s="1"/>
      <c r="D6498" s="1"/>
      <c r="E6498" s="357">
        <v>46188</v>
      </c>
      <c r="F6498" s="344" t="s">
        <v>625</v>
      </c>
      <c r="G6498" s="358">
        <v>53.615699999999997</v>
      </c>
      <c r="H6498" s="344" t="s">
        <v>2259</v>
      </c>
    </row>
    <row r="6499" spans="1:8">
      <c r="A6499" s="1"/>
      <c r="B6499" s="1"/>
      <c r="C6499" s="1"/>
      <c r="D6499" s="1"/>
      <c r="E6499" s="357">
        <v>46188</v>
      </c>
      <c r="F6499" s="344" t="s">
        <v>628</v>
      </c>
      <c r="G6499" s="358">
        <v>61.927</v>
      </c>
      <c r="H6499" s="344" t="s">
        <v>2259</v>
      </c>
    </row>
    <row r="6500" spans="1:8">
      <c r="A6500" s="1"/>
      <c r="B6500" s="1"/>
      <c r="C6500" s="1"/>
      <c r="D6500" s="1"/>
      <c r="E6500" s="357">
        <v>46188</v>
      </c>
      <c r="F6500" s="344" t="s">
        <v>631</v>
      </c>
      <c r="G6500" s="358">
        <v>46.193199999999997</v>
      </c>
      <c r="H6500" s="344" t="s">
        <v>2259</v>
      </c>
    </row>
    <row r="6501" spans="1:8">
      <c r="A6501" s="1"/>
      <c r="B6501" s="1"/>
      <c r="C6501" s="1"/>
      <c r="D6501" s="1"/>
      <c r="E6501" s="357">
        <v>46189</v>
      </c>
      <c r="F6501" s="344" t="s">
        <v>621</v>
      </c>
      <c r="G6501" s="358">
        <v>58.012099999999997</v>
      </c>
      <c r="H6501" s="344" t="s">
        <v>2260</v>
      </c>
    </row>
    <row r="6502" spans="1:8">
      <c r="A6502" s="1"/>
      <c r="B6502" s="1"/>
      <c r="C6502" s="1"/>
      <c r="D6502" s="1"/>
      <c r="E6502" s="357">
        <v>46189</v>
      </c>
      <c r="F6502" s="344" t="s">
        <v>625</v>
      </c>
      <c r="G6502" s="358">
        <v>53.607700000000001</v>
      </c>
      <c r="H6502" s="344" t="s">
        <v>2260</v>
      </c>
    </row>
    <row r="6503" spans="1:8">
      <c r="A6503" s="1"/>
      <c r="B6503" s="1"/>
      <c r="C6503" s="1"/>
      <c r="D6503" s="1"/>
      <c r="E6503" s="357">
        <v>46189</v>
      </c>
      <c r="F6503" s="344" t="s">
        <v>628</v>
      </c>
      <c r="G6503" s="358">
        <v>61.902000000000001</v>
      </c>
      <c r="H6503" s="344" t="s">
        <v>2260</v>
      </c>
    </row>
    <row r="6504" spans="1:8">
      <c r="A6504" s="1"/>
      <c r="B6504" s="1"/>
      <c r="C6504" s="1"/>
      <c r="D6504" s="1"/>
      <c r="E6504" s="357">
        <v>46189</v>
      </c>
      <c r="F6504" s="344" t="s">
        <v>631</v>
      </c>
      <c r="G6504" s="358">
        <v>46.212499999999999</v>
      </c>
      <c r="H6504" s="344" t="s">
        <v>2260</v>
      </c>
    </row>
    <row r="6505" spans="1:8">
      <c r="A6505" s="1"/>
      <c r="B6505" s="1"/>
      <c r="C6505" s="1"/>
      <c r="D6505" s="1"/>
      <c r="E6505" s="357">
        <v>46190</v>
      </c>
      <c r="F6505" s="344" t="s">
        <v>621</v>
      </c>
      <c r="G6505" s="358">
        <v>58.243899999999996</v>
      </c>
      <c r="H6505" s="344" t="s">
        <v>2261</v>
      </c>
    </row>
    <row r="6506" spans="1:8">
      <c r="A6506" s="1"/>
      <c r="B6506" s="1"/>
      <c r="C6506" s="1"/>
      <c r="D6506" s="1"/>
      <c r="E6506" s="357">
        <v>46190</v>
      </c>
      <c r="F6506" s="344" t="s">
        <v>625</v>
      </c>
      <c r="G6506" s="358">
        <v>53.636499999999998</v>
      </c>
      <c r="H6506" s="344" t="s">
        <v>2261</v>
      </c>
    </row>
    <row r="6507" spans="1:8">
      <c r="A6507" s="1"/>
      <c r="B6507" s="1"/>
      <c r="C6507" s="1"/>
      <c r="D6507" s="1"/>
      <c r="E6507" s="357">
        <v>46190</v>
      </c>
      <c r="F6507" s="344" t="s">
        <v>628</v>
      </c>
      <c r="G6507" s="358">
        <v>61.911099999999998</v>
      </c>
      <c r="H6507" s="344" t="s">
        <v>2261</v>
      </c>
    </row>
    <row r="6508" spans="1:8">
      <c r="A6508" s="1"/>
      <c r="B6508" s="1"/>
      <c r="C6508" s="1"/>
      <c r="D6508" s="1"/>
      <c r="E6508" s="357">
        <v>46190</v>
      </c>
      <c r="F6508" s="344" t="s">
        <v>631</v>
      </c>
      <c r="G6508" s="358">
        <v>46.230699999999999</v>
      </c>
      <c r="H6508" s="344" t="s">
        <v>2261</v>
      </c>
    </row>
    <row r="6509" spans="1:8">
      <c r="A6509" s="1"/>
      <c r="B6509" s="1"/>
      <c r="C6509" s="1"/>
      <c r="D6509" s="1"/>
      <c r="E6509" s="357">
        <v>46191</v>
      </c>
      <c r="F6509" s="344" t="s">
        <v>621</v>
      </c>
      <c r="G6509" s="358">
        <v>57.526400000000002</v>
      </c>
      <c r="H6509" s="344" t="s">
        <v>2262</v>
      </c>
    </row>
    <row r="6510" spans="1:8">
      <c r="A6510" s="1"/>
      <c r="B6510" s="1"/>
      <c r="C6510" s="1"/>
      <c r="D6510" s="1"/>
      <c r="E6510" s="357">
        <v>46191</v>
      </c>
      <c r="F6510" s="344" t="s">
        <v>625</v>
      </c>
      <c r="G6510" s="358">
        <v>53.1143</v>
      </c>
      <c r="H6510" s="344" t="s">
        <v>2262</v>
      </c>
    </row>
    <row r="6511" spans="1:8">
      <c r="A6511" s="1"/>
      <c r="B6511" s="1"/>
      <c r="C6511" s="1"/>
      <c r="D6511" s="1"/>
      <c r="E6511" s="357">
        <v>46191</v>
      </c>
      <c r="F6511" s="344" t="s">
        <v>628</v>
      </c>
      <c r="G6511" s="358">
        <v>61.199800000000003</v>
      </c>
      <c r="H6511" s="344" t="s">
        <v>2262</v>
      </c>
    </row>
    <row r="6512" spans="1:8">
      <c r="A6512" s="1"/>
      <c r="B6512" s="1"/>
      <c r="C6512" s="1"/>
      <c r="D6512" s="1"/>
      <c r="E6512" s="357">
        <v>46191</v>
      </c>
      <c r="F6512" s="344" t="s">
        <v>631</v>
      </c>
      <c r="G6512" s="358">
        <v>46.246000000000002</v>
      </c>
      <c r="H6512" s="344" t="s">
        <v>2262</v>
      </c>
    </row>
    <row r="6513" spans="1:8">
      <c r="A6513" s="1"/>
      <c r="B6513" s="1"/>
      <c r="C6513" s="1"/>
      <c r="D6513" s="1"/>
      <c r="E6513" s="357">
        <v>46192</v>
      </c>
      <c r="F6513" s="344" t="s">
        <v>621</v>
      </c>
      <c r="G6513" s="358">
        <v>57.244</v>
      </c>
      <c r="H6513" s="344" t="s">
        <v>2263</v>
      </c>
    </row>
    <row r="6514" spans="1:8">
      <c r="A6514" s="1"/>
      <c r="B6514" s="1"/>
      <c r="C6514" s="1"/>
      <c r="D6514" s="1"/>
      <c r="E6514" s="357">
        <v>46192</v>
      </c>
      <c r="F6514" s="344" t="s">
        <v>625</v>
      </c>
      <c r="G6514" s="358">
        <v>53.009599999999999</v>
      </c>
      <c r="H6514" s="344" t="s">
        <v>2263</v>
      </c>
    </row>
    <row r="6515" spans="1:8">
      <c r="A6515" s="1"/>
      <c r="B6515" s="1"/>
      <c r="C6515" s="1"/>
      <c r="D6515" s="1"/>
      <c r="E6515" s="357">
        <v>46192</v>
      </c>
      <c r="F6515" s="344" t="s">
        <v>628</v>
      </c>
      <c r="G6515" s="358">
        <v>61.072200000000002</v>
      </c>
      <c r="H6515" s="344" t="s">
        <v>2263</v>
      </c>
    </row>
    <row r="6516" spans="1:8">
      <c r="A6516" s="1"/>
      <c r="B6516" s="1"/>
      <c r="C6516" s="1"/>
      <c r="D6516" s="1"/>
      <c r="E6516" s="357">
        <v>46192</v>
      </c>
      <c r="F6516" s="344" t="s">
        <v>631</v>
      </c>
      <c r="G6516" s="358">
        <v>46.272399999999998</v>
      </c>
      <c r="H6516" s="344" t="s">
        <v>2263</v>
      </c>
    </row>
    <row r="6517" spans="1:8">
      <c r="A6517" s="1"/>
      <c r="B6517" s="1"/>
      <c r="C6517" s="1"/>
      <c r="D6517" s="1"/>
      <c r="E6517" s="357">
        <v>46195</v>
      </c>
      <c r="F6517" s="344" t="s">
        <v>621</v>
      </c>
      <c r="G6517" s="358">
        <v>57.254199999999997</v>
      </c>
      <c r="H6517" s="344" t="s">
        <v>2264</v>
      </c>
    </row>
    <row r="6518" spans="1:8">
      <c r="A6518" s="1"/>
      <c r="B6518" s="1"/>
      <c r="C6518" s="1"/>
      <c r="D6518" s="1"/>
      <c r="E6518" s="357">
        <v>46195</v>
      </c>
      <c r="F6518" s="344" t="s">
        <v>625</v>
      </c>
      <c r="G6518" s="358">
        <v>53.115299999999998</v>
      </c>
      <c r="H6518" s="344" t="s">
        <v>2264</v>
      </c>
    </row>
    <row r="6519" spans="1:8">
      <c r="A6519" s="1"/>
      <c r="B6519" s="1"/>
      <c r="C6519" s="1"/>
      <c r="D6519" s="1"/>
      <c r="E6519" s="357">
        <v>46195</v>
      </c>
      <c r="F6519" s="344" t="s">
        <v>628</v>
      </c>
      <c r="G6519" s="358">
        <v>61.198700000000002</v>
      </c>
      <c r="H6519" s="344" t="s">
        <v>2264</v>
      </c>
    </row>
    <row r="6520" spans="1:8">
      <c r="A6520" s="1"/>
      <c r="B6520" s="1"/>
      <c r="C6520" s="1"/>
      <c r="D6520" s="1"/>
      <c r="E6520" s="357">
        <v>46195</v>
      </c>
      <c r="F6520" s="344" t="s">
        <v>631</v>
      </c>
      <c r="G6520" s="358">
        <v>46.375799999999998</v>
      </c>
      <c r="H6520" s="344" t="s">
        <v>2264</v>
      </c>
    </row>
    <row r="6521" spans="1:8">
      <c r="A6521" s="1"/>
      <c r="B6521" s="1"/>
      <c r="C6521" s="1"/>
      <c r="D6521" s="1"/>
      <c r="E6521" s="357">
        <v>46196</v>
      </c>
      <c r="F6521" s="344" t="s">
        <v>621</v>
      </c>
      <c r="G6521" s="358">
        <v>57.165799999999997</v>
      </c>
      <c r="H6521" s="344" t="s">
        <v>2265</v>
      </c>
    </row>
    <row r="6522" spans="1:8">
      <c r="A6522" s="1"/>
      <c r="B6522" s="1"/>
      <c r="C6522" s="1"/>
      <c r="D6522" s="1"/>
      <c r="E6522" s="357">
        <v>46196</v>
      </c>
      <c r="F6522" s="344" t="s">
        <v>625</v>
      </c>
      <c r="G6522" s="358">
        <v>52.9191</v>
      </c>
      <c r="H6522" s="344" t="s">
        <v>2265</v>
      </c>
    </row>
    <row r="6523" spans="1:8">
      <c r="A6523" s="1"/>
      <c r="B6523" s="1"/>
      <c r="C6523" s="1"/>
      <c r="D6523" s="1"/>
      <c r="E6523" s="357">
        <v>46196</v>
      </c>
      <c r="F6523" s="344" t="s">
        <v>628</v>
      </c>
      <c r="G6523" s="358">
        <v>61.241599999999998</v>
      </c>
      <c r="H6523" s="344" t="s">
        <v>2265</v>
      </c>
    </row>
    <row r="6524" spans="1:8">
      <c r="A6524" s="1"/>
      <c r="B6524" s="1"/>
      <c r="C6524" s="1"/>
      <c r="D6524" s="1"/>
      <c r="E6524" s="357">
        <v>46196</v>
      </c>
      <c r="F6524" s="344" t="s">
        <v>631</v>
      </c>
      <c r="G6524" s="358">
        <v>46.392499999999998</v>
      </c>
      <c r="H6524" s="344" t="s">
        <v>2265</v>
      </c>
    </row>
    <row r="6525" spans="1:8">
      <c r="A6525" s="1"/>
      <c r="B6525" s="1"/>
      <c r="C6525" s="1"/>
      <c r="D6525" s="1"/>
      <c r="E6525" s="357">
        <v>46197</v>
      </c>
      <c r="F6525" s="344" t="s">
        <v>621</v>
      </c>
      <c r="G6525" s="358">
        <v>57.021700000000003</v>
      </c>
      <c r="H6525" s="344" t="s">
        <v>2266</v>
      </c>
    </row>
    <row r="6526" spans="1:8">
      <c r="A6526" s="1"/>
      <c r="B6526" s="1"/>
      <c r="C6526" s="1"/>
      <c r="D6526" s="1"/>
      <c r="E6526" s="357">
        <v>46197</v>
      </c>
      <c r="F6526" s="344" t="s">
        <v>625</v>
      </c>
      <c r="G6526" s="358">
        <v>52.668300000000002</v>
      </c>
      <c r="H6526" s="344" t="s">
        <v>2266</v>
      </c>
    </row>
    <row r="6527" spans="1:8">
      <c r="A6527" s="1"/>
      <c r="B6527" s="1"/>
      <c r="C6527" s="1"/>
      <c r="D6527" s="1"/>
      <c r="E6527" s="357">
        <v>46197</v>
      </c>
      <c r="F6527" s="344" t="s">
        <v>628</v>
      </c>
      <c r="G6527" s="358">
        <v>61.048400000000001</v>
      </c>
      <c r="H6527" s="344" t="s">
        <v>2266</v>
      </c>
    </row>
    <row r="6528" spans="1:8">
      <c r="A6528" s="1"/>
      <c r="B6528" s="1"/>
      <c r="C6528" s="1"/>
      <c r="D6528" s="1"/>
      <c r="E6528" s="357">
        <v>46197</v>
      </c>
      <c r="F6528" s="344" t="s">
        <v>631</v>
      </c>
      <c r="G6528" s="358">
        <v>46.4099</v>
      </c>
      <c r="H6528" s="344" t="s">
        <v>2266</v>
      </c>
    </row>
    <row r="6529" spans="1:8">
      <c r="A6529" s="1"/>
      <c r="B6529" s="1"/>
      <c r="C6529" s="1"/>
      <c r="D6529" s="1"/>
      <c r="E6529" s="357">
        <v>46198</v>
      </c>
      <c r="F6529" s="344" t="s">
        <v>621</v>
      </c>
      <c r="G6529" s="358">
        <v>57.055500000000002</v>
      </c>
      <c r="H6529" s="344" t="s">
        <v>2267</v>
      </c>
    </row>
    <row r="6530" spans="1:8">
      <c r="A6530" s="1"/>
      <c r="B6530" s="1"/>
      <c r="C6530" s="1"/>
      <c r="D6530" s="1"/>
      <c r="E6530" s="357">
        <v>46198</v>
      </c>
      <c r="F6530" s="344" t="s">
        <v>625</v>
      </c>
      <c r="G6530" s="358">
        <v>52.717700000000001</v>
      </c>
      <c r="H6530" s="344" t="s">
        <v>2267</v>
      </c>
    </row>
    <row r="6531" spans="1:8">
      <c r="A6531" s="1"/>
      <c r="B6531" s="1"/>
      <c r="C6531" s="1"/>
      <c r="D6531" s="1"/>
      <c r="E6531" s="357">
        <v>46198</v>
      </c>
      <c r="F6531" s="344" t="s">
        <v>628</v>
      </c>
      <c r="G6531" s="358">
        <v>61.073900000000002</v>
      </c>
      <c r="H6531" s="344" t="s">
        <v>2267</v>
      </c>
    </row>
    <row r="6532" spans="1:8">
      <c r="A6532" s="1"/>
      <c r="B6532" s="1"/>
      <c r="C6532" s="1"/>
      <c r="D6532" s="1"/>
      <c r="E6532" s="357">
        <v>46198</v>
      </c>
      <c r="F6532" s="344" t="s">
        <v>631</v>
      </c>
      <c r="G6532" s="358">
        <v>46.430199999999999</v>
      </c>
      <c r="H6532" s="344" t="s">
        <v>2267</v>
      </c>
    </row>
    <row r="6533" spans="1:8">
      <c r="A6533" s="1"/>
      <c r="B6533" s="1"/>
      <c r="C6533" s="1"/>
      <c r="D6533" s="1"/>
      <c r="E6533" s="357">
        <v>46199</v>
      </c>
      <c r="F6533" s="344" t="s">
        <v>621</v>
      </c>
      <c r="G6533" s="358">
        <v>57.311700000000002</v>
      </c>
      <c r="H6533" s="344" t="s">
        <v>2268</v>
      </c>
    </row>
    <row r="6534" spans="1:8">
      <c r="A6534" s="1"/>
      <c r="B6534" s="1"/>
      <c r="C6534" s="1"/>
      <c r="D6534" s="1"/>
      <c r="E6534" s="357">
        <v>46199</v>
      </c>
      <c r="F6534" s="344" t="s">
        <v>625</v>
      </c>
      <c r="G6534" s="358">
        <v>52.928899999999999</v>
      </c>
      <c r="H6534" s="344" t="s">
        <v>2268</v>
      </c>
    </row>
    <row r="6535" spans="1:8">
      <c r="A6535" s="1"/>
      <c r="B6535" s="1"/>
      <c r="C6535" s="1"/>
      <c r="D6535" s="1"/>
      <c r="E6535" s="357">
        <v>46199</v>
      </c>
      <c r="F6535" s="344" t="s">
        <v>628</v>
      </c>
      <c r="G6535" s="358">
        <v>61.2684</v>
      </c>
      <c r="H6535" s="344" t="s">
        <v>2268</v>
      </c>
    </row>
    <row r="6536" spans="1:8">
      <c r="A6536" s="1"/>
      <c r="B6536" s="1"/>
      <c r="C6536" s="1"/>
      <c r="D6536" s="1"/>
      <c r="E6536" s="357">
        <v>46199</v>
      </c>
      <c r="F6536" s="344" t="s">
        <v>631</v>
      </c>
      <c r="G6536" s="358">
        <v>46.4482</v>
      </c>
      <c r="H6536" s="344" t="s">
        <v>2268</v>
      </c>
    </row>
    <row r="6537" spans="1:8">
      <c r="A6537" s="1"/>
      <c r="B6537" s="1"/>
      <c r="C6537" s="1"/>
      <c r="D6537" s="1"/>
      <c r="E6537" s="357">
        <v>46202</v>
      </c>
      <c r="F6537" s="344" t="s">
        <v>621</v>
      </c>
      <c r="G6537" s="358">
        <v>57.4407</v>
      </c>
      <c r="H6537" s="344" t="s">
        <v>2269</v>
      </c>
    </row>
    <row r="6538" spans="1:8">
      <c r="A6538" s="1"/>
      <c r="B6538" s="1"/>
      <c r="C6538" s="1"/>
      <c r="D6538" s="1"/>
      <c r="E6538" s="357">
        <v>46202</v>
      </c>
      <c r="F6538" s="344" t="s">
        <v>625</v>
      </c>
      <c r="G6538" s="358">
        <v>53.094999999999999</v>
      </c>
      <c r="H6538" s="344" t="s">
        <v>2269</v>
      </c>
    </row>
    <row r="6539" spans="1:8">
      <c r="A6539" s="1"/>
      <c r="B6539" s="1"/>
      <c r="C6539" s="1"/>
      <c r="D6539" s="1"/>
      <c r="E6539" s="357">
        <v>46202</v>
      </c>
      <c r="F6539" s="344" t="s">
        <v>628</v>
      </c>
      <c r="G6539" s="358">
        <v>61.440399999999997</v>
      </c>
      <c r="H6539" s="344" t="s">
        <v>2269</v>
      </c>
    </row>
    <row r="6540" spans="1:8">
      <c r="A6540" s="1"/>
      <c r="B6540" s="1"/>
      <c r="C6540" s="1"/>
      <c r="D6540" s="1"/>
      <c r="E6540" s="357">
        <v>46202</v>
      </c>
      <c r="F6540" s="344" t="s">
        <v>631</v>
      </c>
      <c r="G6540" s="358">
        <v>46.555100000000003</v>
      </c>
      <c r="H6540" s="344" t="s">
        <v>2269</v>
      </c>
    </row>
    <row r="6541" spans="1:8">
      <c r="A6541" s="1"/>
      <c r="B6541" s="1"/>
      <c r="C6541" s="1"/>
      <c r="D6541" s="1"/>
      <c r="E6541" s="357">
        <v>46203</v>
      </c>
      <c r="F6541" s="344" t="s">
        <v>621</v>
      </c>
      <c r="G6541" s="358">
        <v>57.421599999999998</v>
      </c>
      <c r="H6541" s="344" t="s">
        <v>2270</v>
      </c>
    </row>
    <row r="6542" spans="1:8">
      <c r="A6542" s="1"/>
      <c r="B6542" s="1"/>
      <c r="C6542" s="1"/>
      <c r="D6542" s="1"/>
      <c r="E6542" s="357">
        <v>46203</v>
      </c>
      <c r="F6542" s="344" t="s">
        <v>625</v>
      </c>
      <c r="G6542" s="358">
        <v>53.086599999999997</v>
      </c>
      <c r="H6542" s="344" t="s">
        <v>2270</v>
      </c>
    </row>
    <row r="6543" spans="1:8">
      <c r="A6543" s="1"/>
      <c r="B6543" s="1"/>
      <c r="C6543" s="1"/>
      <c r="D6543" s="1"/>
      <c r="E6543" s="357">
        <v>46203</v>
      </c>
      <c r="F6543" s="344" t="s">
        <v>628</v>
      </c>
      <c r="G6543" s="358">
        <v>61.533200000000001</v>
      </c>
      <c r="H6543" s="344" t="s">
        <v>2270</v>
      </c>
    </row>
    <row r="6544" spans="1:8">
      <c r="A6544" s="1"/>
      <c r="B6544" s="1"/>
      <c r="C6544" s="1"/>
      <c r="D6544" s="1"/>
      <c r="E6544" s="357">
        <v>46203</v>
      </c>
      <c r="F6544" s="344" t="s">
        <v>631</v>
      </c>
      <c r="G6544" s="358">
        <v>46.5747</v>
      </c>
      <c r="H6544" s="344" t="s">
        <v>2270</v>
      </c>
    </row>
    <row r="6545" spans="1:8">
      <c r="A6545" s="1"/>
      <c r="B6545" s="1"/>
      <c r="C6545" s="1"/>
      <c r="D6545" s="1"/>
      <c r="E6545" s="357">
        <v>46204</v>
      </c>
      <c r="F6545" s="344" t="s">
        <v>621</v>
      </c>
      <c r="G6545" s="358">
        <v>57.382599999999996</v>
      </c>
      <c r="H6545" s="344" t="s">
        <v>2271</v>
      </c>
    </row>
    <row r="6546" spans="1:8">
      <c r="A6546" s="1"/>
      <c r="B6546" s="1"/>
      <c r="C6546" s="1"/>
      <c r="D6546" s="1"/>
      <c r="E6546" s="357">
        <v>46204</v>
      </c>
      <c r="F6546" s="344" t="s">
        <v>625</v>
      </c>
      <c r="G6546" s="358">
        <v>53.088999999999999</v>
      </c>
      <c r="H6546" s="344" t="s">
        <v>2271</v>
      </c>
    </row>
    <row r="6547" spans="1:8">
      <c r="A6547" s="1"/>
      <c r="B6547" s="1"/>
      <c r="C6547" s="1"/>
      <c r="D6547" s="1"/>
      <c r="E6547" s="357">
        <v>46204</v>
      </c>
      <c r="F6547" s="344" t="s">
        <v>628</v>
      </c>
      <c r="G6547" s="358">
        <v>61.603299999999997</v>
      </c>
      <c r="H6547" s="344" t="s">
        <v>2271</v>
      </c>
    </row>
    <row r="6548" spans="1:8">
      <c r="A6548" s="1"/>
      <c r="B6548" s="1"/>
      <c r="C6548" s="1"/>
      <c r="D6548" s="1"/>
      <c r="E6548" s="357">
        <v>46204</v>
      </c>
      <c r="F6548" s="344" t="s">
        <v>631</v>
      </c>
      <c r="G6548" s="358">
        <v>46.5867</v>
      </c>
      <c r="H6548" s="344" t="s">
        <v>2271</v>
      </c>
    </row>
    <row r="6549" spans="1:8">
      <c r="A6549" s="1"/>
      <c r="B6549" s="1"/>
      <c r="C6549" s="1"/>
      <c r="D6549" s="1"/>
      <c r="E6549" s="357">
        <v>46205</v>
      </c>
      <c r="F6549" s="344" t="s">
        <v>621</v>
      </c>
      <c r="G6549" s="358">
        <v>57.687899999999999</v>
      </c>
      <c r="H6549" s="344" t="s">
        <v>2272</v>
      </c>
    </row>
    <row r="6550" spans="1:8">
      <c r="A6550" s="1"/>
      <c r="B6550" s="1"/>
      <c r="C6550" s="1"/>
      <c r="D6550" s="1"/>
      <c r="E6550" s="357">
        <v>46205</v>
      </c>
      <c r="F6550" s="344" t="s">
        <v>625</v>
      </c>
      <c r="G6550" s="358">
        <v>53.1693</v>
      </c>
      <c r="H6550" s="344" t="s">
        <v>2272</v>
      </c>
    </row>
    <row r="6551" spans="1:8">
      <c r="A6551" s="1"/>
      <c r="B6551" s="1"/>
      <c r="C6551" s="1"/>
      <c r="D6551" s="1"/>
      <c r="E6551" s="357">
        <v>46205</v>
      </c>
      <c r="F6551" s="344" t="s">
        <v>628</v>
      </c>
      <c r="G6551" s="358">
        <v>62.0259</v>
      </c>
      <c r="H6551" s="344" t="s">
        <v>2272</v>
      </c>
    </row>
    <row r="6552" spans="1:8">
      <c r="A6552" s="1"/>
      <c r="B6552" s="1"/>
      <c r="C6552" s="1"/>
      <c r="D6552" s="1"/>
      <c r="E6552" s="357">
        <v>46205</v>
      </c>
      <c r="F6552" s="344" t="s">
        <v>631</v>
      </c>
      <c r="G6552" s="358">
        <v>46.607999999999997</v>
      </c>
      <c r="H6552" s="344" t="s">
        <v>2272</v>
      </c>
    </row>
    <row r="6553" spans="1:8">
      <c r="A6553" s="1"/>
      <c r="B6553" s="1"/>
      <c r="C6553" s="1"/>
      <c r="D6553" s="1"/>
      <c r="E6553" s="357">
        <v>46206</v>
      </c>
      <c r="F6553" s="344" t="s">
        <v>621</v>
      </c>
      <c r="G6553" s="358">
        <v>57.974400000000003</v>
      </c>
      <c r="H6553" s="344" t="s">
        <v>2273</v>
      </c>
    </row>
    <row r="6554" spans="1:8">
      <c r="A6554" s="1"/>
      <c r="B6554" s="1"/>
      <c r="C6554" s="1"/>
      <c r="D6554" s="1"/>
      <c r="E6554" s="357">
        <v>46206</v>
      </c>
      <c r="F6554" s="344" t="s">
        <v>625</v>
      </c>
      <c r="G6554" s="358">
        <v>53.395600000000002</v>
      </c>
      <c r="H6554" s="344" t="s">
        <v>2273</v>
      </c>
    </row>
    <row r="6555" spans="1:8">
      <c r="A6555" s="1"/>
      <c r="B6555" s="1"/>
      <c r="C6555" s="1"/>
      <c r="D6555" s="1"/>
      <c r="E6555" s="357">
        <v>46206</v>
      </c>
      <c r="F6555" s="344" t="s">
        <v>628</v>
      </c>
      <c r="G6555" s="358">
        <v>62.200899999999997</v>
      </c>
      <c r="H6555" s="344" t="s">
        <v>2273</v>
      </c>
    </row>
    <row r="6556" spans="1:8">
      <c r="A6556" s="1"/>
      <c r="B6556" s="1"/>
      <c r="C6556" s="1"/>
      <c r="D6556" s="1"/>
      <c r="E6556" s="357">
        <v>46206</v>
      </c>
      <c r="F6556" s="344" t="s">
        <v>631</v>
      </c>
      <c r="G6556" s="358">
        <v>46.633699999999997</v>
      </c>
      <c r="H6556" s="344" t="s">
        <v>2273</v>
      </c>
    </row>
    <row r="6557" spans="1:8">
      <c r="A6557" s="1"/>
      <c r="B6557" s="1"/>
      <c r="C6557" s="1"/>
      <c r="D6557" s="1"/>
      <c r="E6557" s="357">
        <v>46209</v>
      </c>
      <c r="F6557" s="344" t="s">
        <v>621</v>
      </c>
      <c r="G6557" s="358">
        <v>57.884799999999998</v>
      </c>
      <c r="H6557" s="344" t="s">
        <v>2274</v>
      </c>
    </row>
    <row r="6558" spans="1:8">
      <c r="A6558" s="1"/>
      <c r="B6558" s="1"/>
      <c r="C6558" s="1"/>
      <c r="D6558" s="1"/>
      <c r="E6558" s="357">
        <v>46209</v>
      </c>
      <c r="F6558" s="344" t="s">
        <v>625</v>
      </c>
      <c r="G6558" s="358">
        <v>53.371600000000001</v>
      </c>
      <c r="H6558" s="344" t="s">
        <v>2274</v>
      </c>
    </row>
    <row r="6559" spans="1:8">
      <c r="A6559" s="1"/>
      <c r="B6559" s="1"/>
      <c r="C6559" s="1"/>
      <c r="D6559" s="1"/>
      <c r="E6559" s="357">
        <v>46209</v>
      </c>
      <c r="F6559" s="344" t="s">
        <v>628</v>
      </c>
      <c r="G6559" s="358">
        <v>62.2408</v>
      </c>
      <c r="H6559" s="344" t="s">
        <v>2274</v>
      </c>
    </row>
    <row r="6560" spans="1:8">
      <c r="A6560" s="1"/>
      <c r="B6560" s="1"/>
      <c r="C6560" s="1"/>
      <c r="D6560" s="1"/>
      <c r="E6560" s="357">
        <v>46209</v>
      </c>
      <c r="F6560" s="344" t="s">
        <v>631</v>
      </c>
      <c r="G6560" s="358">
        <v>46.736199999999997</v>
      </c>
      <c r="H6560" s="344" t="s">
        <v>2274</v>
      </c>
    </row>
    <row r="6561" spans="1:8">
      <c r="A6561" s="1"/>
      <c r="B6561" s="1"/>
      <c r="C6561" s="1"/>
      <c r="D6561" s="1"/>
      <c r="E6561" s="357">
        <v>46210</v>
      </c>
      <c r="F6561" s="344" t="s">
        <v>621</v>
      </c>
      <c r="G6561" s="358">
        <v>57.832599999999999</v>
      </c>
      <c r="H6561" s="344" t="s">
        <v>2275</v>
      </c>
    </row>
    <row r="6562" spans="1:8">
      <c r="A6562" s="1"/>
      <c r="B6562" s="1"/>
      <c r="C6562" s="1"/>
      <c r="D6562" s="1"/>
      <c r="E6562" s="357">
        <v>46210</v>
      </c>
      <c r="F6562" s="344" t="s">
        <v>625</v>
      </c>
      <c r="G6562" s="358">
        <v>53.434600000000003</v>
      </c>
      <c r="H6562" s="344" t="s">
        <v>2275</v>
      </c>
    </row>
    <row r="6563" spans="1:8">
      <c r="A6563" s="1"/>
      <c r="B6563" s="1"/>
      <c r="C6563" s="1"/>
      <c r="D6563" s="1"/>
      <c r="E6563" s="357">
        <v>46210</v>
      </c>
      <c r="F6563" s="344" t="s">
        <v>628</v>
      </c>
      <c r="G6563" s="358">
        <v>62.466299999999997</v>
      </c>
      <c r="H6563" s="344" t="s">
        <v>2275</v>
      </c>
    </row>
    <row r="6564" spans="1:8">
      <c r="A6564" s="1"/>
      <c r="B6564" s="1"/>
      <c r="C6564" s="1"/>
      <c r="D6564" s="1"/>
      <c r="E6564" s="357">
        <v>46210</v>
      </c>
      <c r="F6564" s="344" t="s">
        <v>631</v>
      </c>
      <c r="G6564" s="358">
        <v>46.752499999999998</v>
      </c>
      <c r="H6564" s="344" t="s">
        <v>2275</v>
      </c>
    </row>
    <row r="6565" spans="1:8">
      <c r="A6565" s="1"/>
      <c r="B6565" s="1"/>
      <c r="C6565" s="1"/>
      <c r="D6565" s="1"/>
      <c r="E6565" s="357">
        <v>46211</v>
      </c>
      <c r="F6565" s="344" t="s">
        <v>621</v>
      </c>
      <c r="G6565" s="358">
        <v>57.770499999999998</v>
      </c>
      <c r="H6565" s="344" t="s">
        <v>2276</v>
      </c>
    </row>
    <row r="6566" spans="1:8">
      <c r="A6566" s="1"/>
      <c r="B6566" s="1"/>
      <c r="C6566" s="1"/>
      <c r="D6566" s="1"/>
      <c r="E6566" s="357">
        <v>46211</v>
      </c>
      <c r="F6566" s="344" t="s">
        <v>625</v>
      </c>
      <c r="G6566" s="358">
        <v>53.372</v>
      </c>
      <c r="H6566" s="344" t="s">
        <v>2276</v>
      </c>
    </row>
    <row r="6567" spans="1:8">
      <c r="A6567" s="1"/>
      <c r="B6567" s="1"/>
      <c r="C6567" s="1"/>
      <c r="D6567" s="1"/>
      <c r="E6567" s="357">
        <v>46211</v>
      </c>
      <c r="F6567" s="344" t="s">
        <v>628</v>
      </c>
      <c r="G6567" s="358">
        <v>62.326999999999998</v>
      </c>
      <c r="H6567" s="344" t="s">
        <v>2276</v>
      </c>
    </row>
    <row r="6568" spans="1:8">
      <c r="A6568" s="1"/>
      <c r="B6568" s="1"/>
      <c r="C6568" s="1"/>
      <c r="D6568" s="1"/>
      <c r="E6568" s="357">
        <v>46211</v>
      </c>
      <c r="F6568" s="344" t="s">
        <v>631</v>
      </c>
      <c r="G6568" s="358">
        <v>46.769399999999997</v>
      </c>
      <c r="H6568" s="344" t="s">
        <v>2276</v>
      </c>
    </row>
    <row r="6569" spans="1:8">
      <c r="A6569" s="1"/>
      <c r="B6569" s="1"/>
      <c r="C6569" s="1"/>
      <c r="D6569" s="1"/>
      <c r="E6569" s="357">
        <v>46212</v>
      </c>
      <c r="F6569" s="344" t="s">
        <v>621</v>
      </c>
      <c r="G6569" s="358">
        <v>57.85</v>
      </c>
      <c r="H6569" s="344" t="s">
        <v>2277</v>
      </c>
    </row>
    <row r="6570" spans="1:8">
      <c r="A6570" s="1"/>
      <c r="B6570" s="1"/>
      <c r="C6570" s="1"/>
      <c r="D6570" s="1"/>
      <c r="E6570" s="357">
        <v>46212</v>
      </c>
      <c r="F6570" s="344" t="s">
        <v>625</v>
      </c>
      <c r="G6570" s="358">
        <v>53.481999999999999</v>
      </c>
      <c r="H6570" s="344" t="s">
        <v>2277</v>
      </c>
    </row>
    <row r="6571" spans="1:8">
      <c r="A6571" s="1"/>
      <c r="B6571" s="1"/>
      <c r="C6571" s="1"/>
      <c r="D6571" s="1"/>
      <c r="E6571" s="357">
        <v>46212</v>
      </c>
      <c r="F6571" s="344" t="s">
        <v>628</v>
      </c>
      <c r="G6571" s="358">
        <v>62.624699999999997</v>
      </c>
      <c r="H6571" s="344" t="s">
        <v>2277</v>
      </c>
    </row>
    <row r="6572" spans="1:8">
      <c r="A6572" s="1"/>
      <c r="B6572" s="1"/>
      <c r="C6572" s="1"/>
      <c r="D6572" s="1"/>
      <c r="E6572" s="357">
        <v>46212</v>
      </c>
      <c r="F6572" s="344" t="s">
        <v>631</v>
      </c>
      <c r="G6572" s="358">
        <v>46.785400000000003</v>
      </c>
      <c r="H6572" s="344" t="s">
        <v>2277</v>
      </c>
    </row>
    <row r="6573" spans="1:8">
      <c r="A6573" s="1"/>
      <c r="B6573" s="1"/>
      <c r="C6573" s="1"/>
      <c r="D6573" s="1"/>
      <c r="E6573" s="357">
        <v>46213</v>
      </c>
      <c r="F6573" s="344" t="s">
        <v>621</v>
      </c>
      <c r="G6573" s="358">
        <v>57.927999999999997</v>
      </c>
      <c r="H6573" s="344" t="s">
        <v>2278</v>
      </c>
    </row>
    <row r="6574" spans="1:8">
      <c r="A6574" s="1"/>
      <c r="B6574" s="1"/>
      <c r="C6574" s="1"/>
      <c r="D6574" s="1"/>
      <c r="E6574" s="357">
        <v>46213</v>
      </c>
      <c r="F6574" s="344" t="s">
        <v>625</v>
      </c>
      <c r="G6574" s="358">
        <v>53.519500000000001</v>
      </c>
      <c r="H6574" s="344" t="s">
        <v>2278</v>
      </c>
    </row>
    <row r="6575" spans="1:8">
      <c r="A6575" s="1"/>
      <c r="B6575" s="1"/>
      <c r="C6575" s="1"/>
      <c r="D6575" s="1"/>
      <c r="E6575" s="357">
        <v>46213</v>
      </c>
      <c r="F6575" s="344" t="s">
        <v>628</v>
      </c>
      <c r="G6575" s="358">
        <v>62.713799999999999</v>
      </c>
      <c r="H6575" s="344" t="s">
        <v>2278</v>
      </c>
    </row>
    <row r="6576" spans="1:8">
      <c r="A6576" s="1"/>
      <c r="B6576" s="1"/>
      <c r="C6576" s="1"/>
      <c r="D6576" s="1"/>
      <c r="E6576" s="357">
        <v>46213</v>
      </c>
      <c r="F6576" s="344" t="s">
        <v>631</v>
      </c>
      <c r="G6576" s="358">
        <v>46.808399999999999</v>
      </c>
      <c r="H6576" s="344" t="s">
        <v>2278</v>
      </c>
    </row>
    <row r="6577" spans="1:8">
      <c r="A6577" s="1"/>
      <c r="B6577" s="1"/>
      <c r="C6577" s="1"/>
      <c r="D6577" s="1"/>
      <c r="E6577" s="357">
        <v>46216</v>
      </c>
      <c r="F6577" s="344" t="s">
        <v>621</v>
      </c>
      <c r="G6577" s="358">
        <v>57.853000000000002</v>
      </c>
      <c r="H6577" s="344" t="s">
        <v>2279</v>
      </c>
    </row>
    <row r="6578" spans="1:8">
      <c r="A6578" s="1"/>
      <c r="B6578" s="1"/>
      <c r="C6578" s="1"/>
      <c r="D6578" s="1"/>
      <c r="E6578" s="357">
        <v>46216</v>
      </c>
      <c r="F6578" s="344" t="s">
        <v>625</v>
      </c>
      <c r="G6578" s="358">
        <v>53.601300000000002</v>
      </c>
      <c r="H6578" s="344" t="s">
        <v>2279</v>
      </c>
    </row>
    <row r="6579" spans="1:8">
      <c r="A6579" s="1"/>
      <c r="B6579" s="1"/>
      <c r="C6579" s="1"/>
      <c r="D6579" s="1"/>
      <c r="E6579" s="357">
        <v>46216</v>
      </c>
      <c r="F6579" s="344" t="s">
        <v>628</v>
      </c>
      <c r="G6579" s="358">
        <v>62.716200000000001</v>
      </c>
      <c r="H6579" s="344" t="s">
        <v>2279</v>
      </c>
    </row>
    <row r="6580" spans="1:8">
      <c r="A6580" s="1"/>
      <c r="B6580" s="1"/>
      <c r="C6580" s="1"/>
      <c r="D6580" s="1"/>
      <c r="E6580" s="357">
        <v>46216</v>
      </c>
      <c r="F6580" s="344" t="s">
        <v>631</v>
      </c>
      <c r="G6580" s="358">
        <v>46.912100000000002</v>
      </c>
      <c r="H6580" s="344" t="s">
        <v>2279</v>
      </c>
    </row>
    <row r="6581" spans="1:8">
      <c r="A6581" s="1"/>
      <c r="B6581" s="1"/>
      <c r="C6581" s="1"/>
      <c r="D6581" s="1"/>
      <c r="E6581" s="357">
        <v>46217</v>
      </c>
      <c r="F6581" s="344" t="s">
        <v>621</v>
      </c>
      <c r="G6581" s="358">
        <v>57.594099999999997</v>
      </c>
      <c r="H6581" s="344" t="s">
        <v>2280</v>
      </c>
    </row>
    <row r="6582" spans="1:8">
      <c r="A6582" s="1"/>
      <c r="B6582" s="1"/>
      <c r="C6582" s="1"/>
      <c r="D6582" s="1"/>
      <c r="E6582" s="357">
        <v>46217</v>
      </c>
      <c r="F6582" s="344" t="s">
        <v>625</v>
      </c>
      <c r="G6582" s="358">
        <v>53.479199999999999</v>
      </c>
      <c r="H6582" s="344" t="s">
        <v>2280</v>
      </c>
    </row>
    <row r="6583" spans="1:8">
      <c r="A6583" s="1"/>
      <c r="B6583" s="1"/>
      <c r="C6583" s="1"/>
      <c r="D6583" s="1"/>
      <c r="E6583" s="357">
        <v>46217</v>
      </c>
      <c r="F6583" s="344" t="s">
        <v>628</v>
      </c>
      <c r="G6583" s="358">
        <v>62.636299999999999</v>
      </c>
      <c r="H6583" s="344" t="s">
        <v>2280</v>
      </c>
    </row>
    <row r="6584" spans="1:8">
      <c r="A6584" s="1"/>
      <c r="B6584" s="1"/>
      <c r="C6584" s="1"/>
      <c r="D6584" s="1"/>
      <c r="E6584" s="357">
        <v>46217</v>
      </c>
      <c r="F6584" s="344" t="s">
        <v>631</v>
      </c>
      <c r="G6584" s="358">
        <v>46.9253</v>
      </c>
      <c r="H6584" s="344" t="s">
        <v>2280</v>
      </c>
    </row>
    <row r="6585" spans="1:8">
      <c r="A6585" s="1"/>
      <c r="B6585" s="1"/>
      <c r="C6585" s="1"/>
      <c r="D6585" s="1"/>
      <c r="E6585" s="357">
        <v>46219</v>
      </c>
      <c r="F6585" s="344" t="s">
        <v>621</v>
      </c>
      <c r="G6585" s="358">
        <v>58.084800000000001</v>
      </c>
      <c r="H6585" s="344" t="s">
        <v>2281</v>
      </c>
    </row>
    <row r="6586" spans="1:8">
      <c r="A6586" s="1"/>
      <c r="B6586" s="1"/>
      <c r="C6586" s="1"/>
      <c r="D6586" s="1"/>
      <c r="E6586" s="357">
        <v>46219</v>
      </c>
      <c r="F6586" s="344" t="s">
        <v>625</v>
      </c>
      <c r="G6586" s="358">
        <v>53.854399999999998</v>
      </c>
      <c r="H6586" s="344" t="s">
        <v>2281</v>
      </c>
    </row>
    <row r="6587" spans="1:8">
      <c r="A6587" s="1"/>
      <c r="B6587" s="1"/>
      <c r="C6587" s="1"/>
      <c r="D6587" s="1"/>
      <c r="E6587" s="357">
        <v>46219</v>
      </c>
      <c r="F6587" s="344" t="s">
        <v>628</v>
      </c>
      <c r="G6587" s="358">
        <v>63.386299999999999</v>
      </c>
      <c r="H6587" s="344" t="s">
        <v>2281</v>
      </c>
    </row>
    <row r="6588" spans="1:8">
      <c r="A6588" s="1"/>
      <c r="B6588" s="1"/>
      <c r="C6588" s="1"/>
      <c r="D6588" s="1"/>
      <c r="E6588" s="357">
        <v>46219</v>
      </c>
      <c r="F6588" s="344" t="s">
        <v>631</v>
      </c>
      <c r="G6588" s="358">
        <v>46.966999999999999</v>
      </c>
      <c r="H6588" s="344" t="s">
        <v>2281</v>
      </c>
    </row>
    <row r="6589" spans="1:8">
      <c r="A6589" s="1"/>
      <c r="B6589" s="1"/>
      <c r="C6589" s="1"/>
      <c r="D6589" s="1"/>
      <c r="E6589" s="357">
        <v>46220</v>
      </c>
      <c r="F6589" s="344" t="s">
        <v>621</v>
      </c>
      <c r="G6589" s="358">
        <v>58.06</v>
      </c>
      <c r="H6589" s="344" t="s">
        <v>2282</v>
      </c>
    </row>
    <row r="6590" spans="1:8">
      <c r="A6590" s="1"/>
      <c r="B6590" s="1"/>
      <c r="C6590" s="1"/>
      <c r="D6590" s="1"/>
      <c r="E6590" s="357">
        <v>46220</v>
      </c>
      <c r="F6590" s="344" t="s">
        <v>625</v>
      </c>
      <c r="G6590" s="358">
        <v>53.746699999999997</v>
      </c>
      <c r="H6590" s="344" t="s">
        <v>2282</v>
      </c>
    </row>
    <row r="6591" spans="1:8">
      <c r="A6591" s="1"/>
      <c r="B6591" s="1"/>
      <c r="C6591" s="1"/>
      <c r="D6591" s="1"/>
      <c r="E6591" s="357">
        <v>46220</v>
      </c>
      <c r="F6591" s="344" t="s">
        <v>628</v>
      </c>
      <c r="G6591" s="358">
        <v>63.080199999999998</v>
      </c>
      <c r="H6591" s="344" t="s">
        <v>2282</v>
      </c>
    </row>
    <row r="6592" spans="1:8">
      <c r="A6592" s="1"/>
      <c r="B6592" s="1"/>
      <c r="C6592" s="1"/>
      <c r="D6592" s="1"/>
      <c r="E6592" s="357">
        <v>46220</v>
      </c>
      <c r="F6592" s="344" t="s">
        <v>631</v>
      </c>
      <c r="G6592" s="358">
        <v>46.985799999999998</v>
      </c>
      <c r="H6592" s="344" t="s">
        <v>2282</v>
      </c>
    </row>
    <row r="6593" spans="1:8">
      <c r="A6593" s="1"/>
      <c r="B6593" s="1"/>
      <c r="C6593" s="1"/>
      <c r="D6593" s="1"/>
      <c r="E6593" s="357">
        <v>46223</v>
      </c>
      <c r="F6593" s="344" t="s">
        <v>621</v>
      </c>
      <c r="G6593" s="358">
        <v>58.188699999999997</v>
      </c>
      <c r="H6593" s="344" t="s">
        <v>2283</v>
      </c>
    </row>
    <row r="6594" spans="1:8">
      <c r="A6594" s="1"/>
      <c r="B6594" s="1"/>
      <c r="C6594" s="1"/>
      <c r="D6594" s="1"/>
      <c r="E6594" s="357">
        <v>46223</v>
      </c>
      <c r="F6594" s="344" t="s">
        <v>625</v>
      </c>
      <c r="G6594" s="358">
        <v>53.851399999999998</v>
      </c>
      <c r="H6594" s="344" t="s">
        <v>2283</v>
      </c>
    </row>
    <row r="6595" spans="1:8">
      <c r="A6595" s="1"/>
      <c r="B6595" s="1"/>
      <c r="C6595" s="1"/>
      <c r="D6595" s="1"/>
      <c r="E6595" s="357">
        <v>46223</v>
      </c>
      <c r="F6595" s="344" t="s">
        <v>628</v>
      </c>
      <c r="G6595" s="358">
        <v>63.310600000000001</v>
      </c>
      <c r="H6595" s="344" t="s">
        <v>2283</v>
      </c>
    </row>
    <row r="6596" spans="1:8">
      <c r="A6596" s="1"/>
      <c r="B6596" s="1"/>
      <c r="C6596" s="1"/>
      <c r="D6596" s="1"/>
      <c r="E6596" s="357">
        <v>46223</v>
      </c>
      <c r="F6596" s="344" t="s">
        <v>631</v>
      </c>
      <c r="G6596" s="358">
        <v>47.093800000000002</v>
      </c>
      <c r="H6596" s="344" t="s">
        <v>2283</v>
      </c>
    </row>
    <row r="6597" spans="1:8">
      <c r="A6597" s="1"/>
      <c r="B6597" s="1"/>
      <c r="C6597" s="1"/>
      <c r="D6597" s="1"/>
      <c r="E6597" s="357">
        <v>46224</v>
      </c>
      <c r="F6597" s="344" t="s">
        <v>621</v>
      </c>
      <c r="G6597" s="358">
        <v>58.023099999999999</v>
      </c>
      <c r="H6597" s="344" t="s">
        <v>2284</v>
      </c>
    </row>
    <row r="6598" spans="1:8">
      <c r="A6598" s="1"/>
      <c r="B6598" s="1"/>
      <c r="C6598" s="1"/>
      <c r="D6598" s="1"/>
      <c r="E6598" s="357">
        <v>46224</v>
      </c>
      <c r="F6598" s="344" t="s">
        <v>625</v>
      </c>
      <c r="G6598" s="358">
        <v>53.808599999999998</v>
      </c>
      <c r="H6598" s="344" t="s">
        <v>2284</v>
      </c>
    </row>
    <row r="6599" spans="1:8">
      <c r="A6599" s="1"/>
      <c r="B6599" s="1"/>
      <c r="C6599" s="1"/>
      <c r="D6599" s="1"/>
      <c r="E6599" s="357">
        <v>46224</v>
      </c>
      <c r="F6599" s="344" t="s">
        <v>628</v>
      </c>
      <c r="G6599" s="358">
        <v>63.1539</v>
      </c>
      <c r="H6599" s="344" t="s">
        <v>2284</v>
      </c>
    </row>
    <row r="6600" spans="1:8">
      <c r="A6600" s="1"/>
      <c r="B6600" s="1"/>
      <c r="C6600" s="1"/>
      <c r="D6600" s="1"/>
      <c r="E6600" s="357">
        <v>46224</v>
      </c>
      <c r="F6600" s="344" t="s">
        <v>631</v>
      </c>
      <c r="G6600" s="358">
        <v>47.113399999999999</v>
      </c>
      <c r="H6600" s="344" t="s">
        <v>2284</v>
      </c>
    </row>
    <row r="6601" spans="1:8">
      <c r="A6601" s="1"/>
      <c r="B6601" s="1"/>
      <c r="C6601" s="1"/>
      <c r="D6601" s="1"/>
      <c r="E6601" s="357">
        <v>46225</v>
      </c>
      <c r="F6601" s="344" t="s">
        <v>621</v>
      </c>
      <c r="G6601" s="358">
        <v>57.882599999999996</v>
      </c>
      <c r="H6601" s="344" t="s">
        <v>2285</v>
      </c>
    </row>
    <row r="6602" spans="1:8">
      <c r="A6602" s="1"/>
      <c r="B6602" s="1"/>
      <c r="C6602" s="1"/>
      <c r="D6602" s="1"/>
      <c r="E6602" s="357">
        <v>46225</v>
      </c>
      <c r="F6602" s="344" t="s">
        <v>625</v>
      </c>
      <c r="G6602" s="358">
        <v>53.766100000000002</v>
      </c>
      <c r="H6602" s="344" t="s">
        <v>2285</v>
      </c>
    </row>
    <row r="6603" spans="1:8">
      <c r="A6603" s="1"/>
      <c r="B6603" s="1"/>
      <c r="C6603" s="1"/>
      <c r="D6603" s="1"/>
      <c r="E6603" s="357">
        <v>46225</v>
      </c>
      <c r="F6603" s="344" t="s">
        <v>628</v>
      </c>
      <c r="G6603" s="358">
        <v>62.923999999999999</v>
      </c>
      <c r="H6603" s="344" t="s">
        <v>2285</v>
      </c>
    </row>
    <row r="6604" spans="1:8">
      <c r="A6604" s="1"/>
      <c r="B6604" s="1"/>
      <c r="C6604" s="1"/>
      <c r="D6604" s="1"/>
      <c r="E6604" s="357">
        <v>46225</v>
      </c>
      <c r="F6604" s="344" t="s">
        <v>631</v>
      </c>
      <c r="G6604" s="358">
        <v>47.130899999999997</v>
      </c>
      <c r="H6604" s="344" t="s">
        <v>2285</v>
      </c>
    </row>
    <row r="6605" spans="1:8">
      <c r="A6605" s="1"/>
      <c r="B6605" s="1"/>
      <c r="C6605" s="1"/>
      <c r="D6605" s="1"/>
      <c r="E6605" s="357">
        <v>46226</v>
      </c>
      <c r="F6605" s="344" t="s">
        <v>621</v>
      </c>
      <c r="G6605" s="358">
        <v>57.723300000000002</v>
      </c>
      <c r="H6605" s="344" t="s">
        <v>2286</v>
      </c>
    </row>
    <row r="6606" spans="1:8">
      <c r="A6606" s="1"/>
      <c r="B6606" s="1"/>
      <c r="C6606" s="1"/>
      <c r="D6606" s="1"/>
      <c r="E6606" s="357">
        <v>46226</v>
      </c>
      <c r="F6606" s="344" t="s">
        <v>625</v>
      </c>
      <c r="G6606" s="358">
        <v>53.804299999999998</v>
      </c>
      <c r="H6606" s="344" t="s">
        <v>2286</v>
      </c>
    </row>
    <row r="6607" spans="1:8">
      <c r="A6607" s="1"/>
      <c r="B6607" s="1"/>
      <c r="C6607" s="1"/>
      <c r="D6607" s="1"/>
      <c r="E6607" s="357">
        <v>46226</v>
      </c>
      <c r="F6607" s="344" t="s">
        <v>628</v>
      </c>
      <c r="G6607" s="358">
        <v>62.923999999999999</v>
      </c>
      <c r="H6607" s="344" t="s">
        <v>2286</v>
      </c>
    </row>
    <row r="6608" spans="1:8">
      <c r="A6608" s="1"/>
      <c r="B6608" s="1"/>
      <c r="C6608" s="1"/>
      <c r="D6608" s="1"/>
      <c r="E6608" s="357">
        <v>46226</v>
      </c>
      <c r="F6608" s="344" t="s">
        <v>631</v>
      </c>
      <c r="G6608" s="358">
        <v>47.146700000000003</v>
      </c>
      <c r="H6608" s="344" t="s">
        <v>2286</v>
      </c>
    </row>
    <row r="6609" spans="1:8">
      <c r="A6609" s="1"/>
      <c r="B6609" s="1"/>
      <c r="C6609" s="1"/>
      <c r="D6609" s="1"/>
      <c r="E6609" s="357">
        <v>46227</v>
      </c>
      <c r="F6609" s="344" t="s">
        <v>621</v>
      </c>
      <c r="G6609" s="358">
        <v>57.6145</v>
      </c>
      <c r="H6609" s="344" t="s">
        <v>2287</v>
      </c>
    </row>
    <row r="6610" spans="1:8">
      <c r="A6610" s="1"/>
      <c r="B6610" s="1"/>
      <c r="C6610" s="1"/>
      <c r="D6610" s="1"/>
      <c r="E6610" s="357">
        <v>46227</v>
      </c>
      <c r="F6610" s="344" t="s">
        <v>625</v>
      </c>
      <c r="G6610" s="358">
        <v>53.695099999999996</v>
      </c>
      <c r="H6610" s="344" t="s">
        <v>2287</v>
      </c>
    </row>
    <row r="6611" spans="1:8">
      <c r="A6611" s="1"/>
      <c r="B6611" s="1"/>
      <c r="C6611" s="1"/>
      <c r="D6611" s="1"/>
      <c r="E6611" s="357">
        <v>46227</v>
      </c>
      <c r="F6611" s="344" t="s">
        <v>628</v>
      </c>
      <c r="G6611" s="358">
        <v>62.737699999999997</v>
      </c>
      <c r="H6611" s="344" t="s">
        <v>2287</v>
      </c>
    </row>
    <row r="6612" spans="1:8">
      <c r="A6612" s="1"/>
      <c r="B6612" s="1"/>
      <c r="C6612" s="1"/>
      <c r="D6612" s="1"/>
      <c r="E6612" s="357">
        <v>46227</v>
      </c>
      <c r="F6612" s="344" t="s">
        <v>631</v>
      </c>
      <c r="G6612" s="358">
        <v>47.164700000000003</v>
      </c>
      <c r="H6612" s="344" t="s">
        <v>2287</v>
      </c>
    </row>
    <row r="6613" spans="1:8">
      <c r="A6613" s="1"/>
      <c r="B6613" s="1"/>
      <c r="C6613" s="1"/>
      <c r="D6613" s="1"/>
      <c r="E6613" s="357">
        <v>46230</v>
      </c>
      <c r="F6613" s="344" t="s">
        <v>621</v>
      </c>
      <c r="G6613" s="358">
        <v>57.861800000000002</v>
      </c>
      <c r="H6613" s="344" t="s">
        <v>2288</v>
      </c>
    </row>
    <row r="6614" spans="1:8">
      <c r="A6614" s="1"/>
      <c r="B6614" s="1"/>
      <c r="C6614" s="1"/>
      <c r="D6614" s="1"/>
      <c r="E6614" s="357">
        <v>46230</v>
      </c>
      <c r="F6614" s="344" t="s">
        <v>625</v>
      </c>
      <c r="G6614" s="358">
        <v>53.874600000000001</v>
      </c>
      <c r="H6614" s="344" t="s">
        <v>2288</v>
      </c>
    </row>
    <row r="6615" spans="1:8">
      <c r="A6615" s="1"/>
      <c r="B6615" s="1"/>
      <c r="C6615" s="1"/>
      <c r="D6615" s="1"/>
      <c r="E6615" s="357">
        <v>46230</v>
      </c>
      <c r="F6615" s="344" t="s">
        <v>628</v>
      </c>
      <c r="G6615" s="358">
        <v>62.907899999999998</v>
      </c>
      <c r="H6615" s="344" t="s">
        <v>2288</v>
      </c>
    </row>
    <row r="6616" spans="1:8">
      <c r="A6616" s="1"/>
      <c r="B6616" s="1"/>
      <c r="C6616" s="1"/>
      <c r="D6616" s="1"/>
      <c r="E6616" s="357">
        <v>46230</v>
      </c>
      <c r="F6616" s="344" t="s">
        <v>631</v>
      </c>
      <c r="G6616" s="358">
        <v>47.268099999999997</v>
      </c>
      <c r="H6616" s="344" t="s">
        <v>2288</v>
      </c>
    </row>
    <row r="6617" spans="1:8">
      <c r="A6617" s="1"/>
      <c r="B6617" s="1"/>
      <c r="C6617" s="1"/>
      <c r="D6617" s="1"/>
      <c r="E6617" s="357">
        <v>46231</v>
      </c>
      <c r="F6617" s="344" t="s">
        <v>621</v>
      </c>
      <c r="G6617" s="358">
        <v>57.552999999999997</v>
      </c>
      <c r="H6617" s="344" t="s">
        <v>2289</v>
      </c>
    </row>
    <row r="6618" spans="1:8">
      <c r="A6618" s="1"/>
      <c r="B6618" s="1"/>
      <c r="C6618" s="1"/>
      <c r="D6618" s="1"/>
      <c r="E6618" s="357">
        <v>46231</v>
      </c>
      <c r="F6618" s="344" t="s">
        <v>625</v>
      </c>
      <c r="G6618" s="358">
        <v>53.744500000000002</v>
      </c>
      <c r="H6618" s="344" t="s">
        <v>2289</v>
      </c>
    </row>
    <row r="6619" spans="1:8">
      <c r="A6619" s="1"/>
      <c r="B6619" s="1"/>
      <c r="C6619" s="1"/>
      <c r="D6619" s="1"/>
      <c r="E6619" s="357">
        <v>46231</v>
      </c>
      <c r="F6619" s="344" t="s">
        <v>628</v>
      </c>
      <c r="G6619" s="358">
        <v>62.735399999999998</v>
      </c>
      <c r="H6619" s="344" t="s">
        <v>2289</v>
      </c>
    </row>
    <row r="6620" spans="1:8">
      <c r="A6620" s="1"/>
      <c r="B6620" s="1"/>
      <c r="C6620" s="1"/>
      <c r="D6620" s="1"/>
      <c r="E6620" s="357">
        <v>46231</v>
      </c>
      <c r="F6620" s="344" t="s">
        <v>631</v>
      </c>
      <c r="G6620" s="358">
        <v>47.289900000000003</v>
      </c>
      <c r="H6620" s="344" t="s">
        <v>2289</v>
      </c>
    </row>
    <row r="6621" spans="1:8">
      <c r="A6621" s="1"/>
      <c r="B6621" s="1"/>
      <c r="C6621" s="1"/>
      <c r="D6621" s="1"/>
      <c r="E6621" s="357">
        <v>46232</v>
      </c>
      <c r="F6621" s="344" t="s">
        <v>621</v>
      </c>
      <c r="G6621" s="358">
        <v>57.610199999999999</v>
      </c>
      <c r="H6621" s="344" t="s">
        <v>2290</v>
      </c>
    </row>
    <row r="6622" spans="1:8">
      <c r="A6622" s="1"/>
      <c r="B6622" s="1"/>
      <c r="C6622" s="1"/>
      <c r="D6622" s="1"/>
      <c r="E6622" s="357">
        <v>46232</v>
      </c>
      <c r="F6622" s="344" t="s">
        <v>625</v>
      </c>
      <c r="G6622" s="358">
        <v>53.887099999999997</v>
      </c>
      <c r="H6622" s="344" t="s">
        <v>2290</v>
      </c>
    </row>
    <row r="6623" spans="1:8">
      <c r="A6623" s="1"/>
      <c r="B6623" s="1"/>
      <c r="C6623" s="1"/>
      <c r="D6623" s="1"/>
      <c r="E6623" s="357">
        <v>46232</v>
      </c>
      <c r="F6623" s="344" t="s">
        <v>628</v>
      </c>
      <c r="G6623" s="358">
        <v>62.8005</v>
      </c>
      <c r="H6623" s="344" t="s">
        <v>2290</v>
      </c>
    </row>
    <row r="6624" spans="1:8">
      <c r="A6624" s="1"/>
      <c r="B6624" s="1"/>
      <c r="C6624" s="1"/>
      <c r="D6624" s="1"/>
      <c r="E6624" s="357">
        <v>46232</v>
      </c>
      <c r="F6624" s="344" t="s">
        <v>631</v>
      </c>
      <c r="G6624" s="358">
        <v>47.307499999999997</v>
      </c>
      <c r="H6624" s="344" t="s">
        <v>2290</v>
      </c>
    </row>
    <row r="6625" spans="1:8">
      <c r="A6625" s="1"/>
      <c r="B6625" s="1"/>
      <c r="C6625" s="1"/>
      <c r="D6625" s="1"/>
      <c r="E6625" s="357">
        <v>46233</v>
      </c>
      <c r="F6625" s="344" t="s">
        <v>621</v>
      </c>
      <c r="G6625" s="358">
        <v>57.948599999999999</v>
      </c>
      <c r="H6625" s="344" t="s">
        <v>2291</v>
      </c>
    </row>
    <row r="6626" spans="1:8">
      <c r="A6626" s="1"/>
      <c r="B6626" s="1"/>
      <c r="C6626" s="1"/>
      <c r="D6626" s="1"/>
      <c r="E6626" s="357">
        <v>46233</v>
      </c>
      <c r="F6626" s="344" t="s">
        <v>625</v>
      </c>
      <c r="G6626" s="358">
        <v>54.2273</v>
      </c>
      <c r="H6626" s="344" t="s">
        <v>2291</v>
      </c>
    </row>
    <row r="6627" spans="1:8">
      <c r="A6627" s="1"/>
      <c r="B6627" s="1"/>
      <c r="C6627" s="1"/>
      <c r="D6627" s="1"/>
      <c r="E6627" s="357">
        <v>46233</v>
      </c>
      <c r="F6627" s="344" t="s">
        <v>628</v>
      </c>
      <c r="G6627" s="358">
        <v>63.150500000000001</v>
      </c>
      <c r="H6627" s="344" t="s">
        <v>2291</v>
      </c>
    </row>
    <row r="6628" spans="1:8">
      <c r="A6628" s="1"/>
      <c r="B6628" s="1"/>
      <c r="C6628" s="1"/>
      <c r="D6628" s="1"/>
      <c r="E6628" s="357">
        <v>46233</v>
      </c>
      <c r="F6628" s="344" t="s">
        <v>631</v>
      </c>
      <c r="G6628" s="358">
        <v>47.327399999999997</v>
      </c>
      <c r="H6628" s="344" t="s">
        <v>2291</v>
      </c>
    </row>
    <row r="6629" spans="1:8">
      <c r="A6629" s="1"/>
      <c r="B6629" s="1"/>
      <c r="C6629" s="1"/>
      <c r="D6629" s="1"/>
      <c r="E6629" s="357">
        <v>46234</v>
      </c>
      <c r="F6629" s="344" t="s">
        <v>621</v>
      </c>
      <c r="G6629" s="358">
        <v>58.472700000000003</v>
      </c>
      <c r="H6629" s="344" t="s">
        <v>2292</v>
      </c>
    </row>
    <row r="6630" spans="1:8">
      <c r="A6630" s="1"/>
      <c r="B6630" s="1"/>
      <c r="C6630" s="1"/>
      <c r="D6630" s="1"/>
      <c r="E6630" s="357">
        <v>46234</v>
      </c>
      <c r="F6630" s="344" t="s">
        <v>625</v>
      </c>
      <c r="G6630" s="358">
        <v>54.484099999999998</v>
      </c>
      <c r="H6630" s="344" t="s">
        <v>2292</v>
      </c>
    </row>
    <row r="6631" spans="1:8">
      <c r="A6631" s="1"/>
      <c r="B6631" s="1"/>
      <c r="C6631" s="1"/>
      <c r="D6631" s="1"/>
      <c r="E6631" s="357">
        <v>46234</v>
      </c>
      <c r="F6631" s="344" t="s">
        <v>628</v>
      </c>
      <c r="G6631" s="358">
        <v>63.551699999999997</v>
      </c>
      <c r="H6631" s="344" t="s">
        <v>2292</v>
      </c>
    </row>
    <row r="6632" spans="1:8">
      <c r="A6632" s="1"/>
      <c r="B6632" s="1"/>
      <c r="C6632" s="1"/>
      <c r="D6632" s="1"/>
      <c r="E6632" s="357">
        <v>46234</v>
      </c>
      <c r="F6632" s="344" t="s">
        <v>631</v>
      </c>
      <c r="G6632" s="358">
        <v>47.345199999999998</v>
      </c>
      <c r="H6632" s="344" t="s">
        <v>2292</v>
      </c>
    </row>
    <row r="6633" spans="1:8">
      <c r="A6633" s="1"/>
      <c r="B6633" s="1"/>
      <c r="C6633" s="1"/>
      <c r="D6633" s="1"/>
      <c r="E6633" s="357">
        <v>46237</v>
      </c>
      <c r="F6633" s="344" t="s">
        <v>621</v>
      </c>
      <c r="G6633" s="358">
        <v>58.531799999999997</v>
      </c>
      <c r="H6633" s="344" t="s">
        <v>2293</v>
      </c>
    </row>
    <row r="6634" spans="1:8">
      <c r="A6634" s="1"/>
      <c r="B6634" s="1"/>
      <c r="C6634" s="1"/>
      <c r="D6634" s="1"/>
      <c r="E6634" s="357">
        <v>46237</v>
      </c>
      <c r="F6634" s="344" t="s">
        <v>625</v>
      </c>
      <c r="G6634" s="358">
        <v>54.688200000000002</v>
      </c>
      <c r="H6634" s="344" t="s">
        <v>2293</v>
      </c>
    </row>
    <row r="6635" spans="1:8">
      <c r="A6635" s="1"/>
      <c r="B6635" s="1"/>
      <c r="C6635" s="1"/>
      <c r="D6635" s="1"/>
      <c r="E6635" s="357">
        <v>46237</v>
      </c>
      <c r="F6635" s="344" t="s">
        <v>628</v>
      </c>
      <c r="G6635" s="358">
        <v>63.752800000000001</v>
      </c>
      <c r="H6635" s="344" t="s">
        <v>2293</v>
      </c>
    </row>
    <row r="6636" spans="1:8">
      <c r="A6636" s="1"/>
      <c r="B6636" s="1"/>
      <c r="C6636" s="1"/>
      <c r="D6636" s="1"/>
      <c r="E6636" s="357">
        <v>46237</v>
      </c>
      <c r="F6636" s="344" t="s">
        <v>631</v>
      </c>
      <c r="G6636" s="358">
        <v>47.4497</v>
      </c>
      <c r="H6636" s="344" t="s">
        <v>2293</v>
      </c>
    </row>
    <row r="6637" spans="1:8">
      <c r="A6637" s="1"/>
      <c r="B6637" s="1"/>
      <c r="C6637" s="1"/>
      <c r="D6637" s="1"/>
      <c r="E6637" s="357">
        <v>46238</v>
      </c>
      <c r="F6637" s="344" t="s">
        <v>621</v>
      </c>
      <c r="G6637" s="358">
        <v>58.473599999999998</v>
      </c>
      <c r="H6637" s="344" t="s">
        <v>2294</v>
      </c>
    </row>
    <row r="6638" spans="1:8">
      <c r="A6638" s="1"/>
      <c r="B6638" s="1"/>
      <c r="C6638" s="1"/>
      <c r="D6638" s="1"/>
      <c r="E6638" s="357">
        <v>46238</v>
      </c>
      <c r="F6638" s="344" t="s">
        <v>625</v>
      </c>
      <c r="G6638" s="358">
        <v>54.641300000000001</v>
      </c>
      <c r="H6638" s="344" t="s">
        <v>2294</v>
      </c>
    </row>
    <row r="6639" spans="1:8">
      <c r="A6639" s="1"/>
      <c r="B6639" s="1"/>
      <c r="C6639" s="1"/>
      <c r="D6639" s="1"/>
      <c r="E6639" s="357">
        <v>46238</v>
      </c>
      <c r="F6639" s="344" t="s">
        <v>628</v>
      </c>
      <c r="G6639" s="358">
        <v>63.688800000000001</v>
      </c>
      <c r="H6639" s="344" t="s">
        <v>2294</v>
      </c>
    </row>
    <row r="6640" spans="1:8">
      <c r="A6640" s="1"/>
      <c r="B6640" s="1"/>
      <c r="C6640" s="1"/>
      <c r="D6640" s="1"/>
      <c r="E6640" s="357">
        <v>46238</v>
      </c>
      <c r="F6640" s="344" t="s">
        <v>631</v>
      </c>
      <c r="G6640" s="358">
        <v>47.4694</v>
      </c>
      <c r="H6640" s="344" t="s">
        <v>2294</v>
      </c>
    </row>
    <row r="6641" spans="1:8">
      <c r="A6641" s="1"/>
      <c r="B6641" s="1"/>
      <c r="C6641" s="1"/>
      <c r="D6641" s="1"/>
      <c r="E6641" s="357">
        <v>46239</v>
      </c>
      <c r="F6641" s="344" t="s">
        <v>621</v>
      </c>
      <c r="G6641" s="358">
        <v>58.562800000000003</v>
      </c>
      <c r="H6641" s="344" t="s">
        <v>2295</v>
      </c>
    </row>
    <row r="6642" spans="1:8">
      <c r="A6642" s="1"/>
      <c r="B6642" s="1"/>
      <c r="C6642" s="1"/>
      <c r="D6642" s="1"/>
      <c r="E6642" s="357">
        <v>46239</v>
      </c>
      <c r="F6642" s="344" t="s">
        <v>625</v>
      </c>
      <c r="G6642" s="358">
        <v>54.81</v>
      </c>
      <c r="H6642" s="344" t="s">
        <v>2295</v>
      </c>
    </row>
    <row r="6643" spans="1:8">
      <c r="A6643" s="1"/>
      <c r="B6643" s="1"/>
      <c r="C6643" s="1"/>
      <c r="D6643" s="1"/>
      <c r="E6643" s="357">
        <v>46239</v>
      </c>
      <c r="F6643" s="344" t="s">
        <v>628</v>
      </c>
      <c r="G6643" s="358">
        <v>63.844999999999999</v>
      </c>
      <c r="H6643" s="344" t="s">
        <v>2295</v>
      </c>
    </row>
    <row r="6644" spans="1:8">
      <c r="A6644" s="1"/>
      <c r="B6644" s="1"/>
      <c r="C6644" s="1"/>
      <c r="D6644" s="1"/>
      <c r="E6644" s="357">
        <v>46239</v>
      </c>
      <c r="F6644" s="344" t="s">
        <v>631</v>
      </c>
      <c r="G6644" s="358">
        <v>47.488100000000003</v>
      </c>
      <c r="H6644" s="344" t="s">
        <v>2295</v>
      </c>
    </row>
    <row r="6645" spans="1:8">
      <c r="A6645" s="1"/>
      <c r="B6645" s="1"/>
      <c r="C6645" s="1"/>
      <c r="D6645" s="1"/>
      <c r="E6645" s="357">
        <v>46240</v>
      </c>
      <c r="F6645" s="344" t="s">
        <v>621</v>
      </c>
      <c r="G6645" s="358">
        <v>58.583100000000002</v>
      </c>
      <c r="H6645" s="344" t="s">
        <v>2296</v>
      </c>
    </row>
    <row r="6646" spans="1:8">
      <c r="A6646" s="1"/>
      <c r="B6646" s="1"/>
      <c r="C6646" s="1"/>
      <c r="D6646" s="1"/>
      <c r="E6646" s="357">
        <v>46240</v>
      </c>
      <c r="F6646" s="344" t="s">
        <v>625</v>
      </c>
      <c r="G6646" s="358">
        <v>54.835599999999999</v>
      </c>
      <c r="H6646" s="344" t="s">
        <v>2296</v>
      </c>
    </row>
    <row r="6647" spans="1:8">
      <c r="A6647" s="1"/>
      <c r="B6647" s="1"/>
      <c r="C6647" s="1"/>
      <c r="D6647" s="1"/>
      <c r="E6647" s="357">
        <v>46240</v>
      </c>
      <c r="F6647" s="344" t="s">
        <v>628</v>
      </c>
      <c r="G6647" s="358">
        <v>63.840699999999998</v>
      </c>
      <c r="H6647" s="344" t="s">
        <v>2296</v>
      </c>
    </row>
    <row r="6648" spans="1:8">
      <c r="A6648" s="1"/>
      <c r="B6648" s="1"/>
      <c r="C6648" s="1"/>
      <c r="D6648" s="1"/>
      <c r="E6648" s="357">
        <v>46240</v>
      </c>
      <c r="F6648" s="344" t="s">
        <v>631</v>
      </c>
      <c r="G6648" s="358">
        <v>47.505499999999998</v>
      </c>
      <c r="H6648" s="344" t="s">
        <v>2296</v>
      </c>
    </row>
    <row r="6649" spans="1:8">
      <c r="A6649" s="1"/>
      <c r="B6649" s="1"/>
      <c r="C6649" s="1"/>
      <c r="D6649" s="1"/>
      <c r="E6649" s="357">
        <v>46241</v>
      </c>
      <c r="F6649" s="344" t="s">
        <v>621</v>
      </c>
      <c r="G6649" s="358">
        <v>58.4666</v>
      </c>
      <c r="H6649" s="344" t="s">
        <v>2297</v>
      </c>
    </row>
    <row r="6650" spans="1:8">
      <c r="A6650" s="1"/>
      <c r="B6650" s="1"/>
      <c r="C6650" s="1"/>
      <c r="D6650" s="1"/>
      <c r="E6650" s="357">
        <v>46241</v>
      </c>
      <c r="F6650" s="344" t="s">
        <v>625</v>
      </c>
      <c r="G6650" s="358">
        <v>54.774900000000002</v>
      </c>
      <c r="H6650" s="344" t="s">
        <v>2297</v>
      </c>
    </row>
    <row r="6651" spans="1:8">
      <c r="A6651" s="1"/>
      <c r="B6651" s="1"/>
      <c r="C6651" s="1"/>
      <c r="D6651" s="1"/>
      <c r="E6651" s="357">
        <v>46241</v>
      </c>
      <c r="F6651" s="344" t="s">
        <v>628</v>
      </c>
      <c r="G6651" s="358">
        <v>63.787799999999997</v>
      </c>
      <c r="H6651" s="344" t="s">
        <v>2297</v>
      </c>
    </row>
    <row r="6652" spans="1:8">
      <c r="A6652" s="1"/>
      <c r="B6652" s="1"/>
      <c r="C6652" s="1"/>
      <c r="D6652" s="1"/>
      <c r="E6652" s="357">
        <v>46241</v>
      </c>
      <c r="F6652" s="344" t="s">
        <v>631</v>
      </c>
      <c r="G6652" s="358">
        <v>47.5229</v>
      </c>
      <c r="H6652" s="344" t="s">
        <v>2297</v>
      </c>
    </row>
    <row r="6653" spans="1:8">
      <c r="A6653" s="1"/>
      <c r="B6653" s="1"/>
      <c r="C6653" s="1"/>
      <c r="D6653" s="1"/>
      <c r="E6653" s="357">
        <v>46244</v>
      </c>
      <c r="F6653" s="344" t="s">
        <v>621</v>
      </c>
      <c r="G6653" s="358">
        <v>58.791600000000003</v>
      </c>
      <c r="H6653" s="344" t="s">
        <v>2298</v>
      </c>
    </row>
    <row r="6654" spans="1:8">
      <c r="A6654" s="1"/>
      <c r="B6654" s="1"/>
      <c r="C6654" s="1"/>
      <c r="D6654" s="1"/>
      <c r="E6654" s="357">
        <v>46244</v>
      </c>
      <c r="F6654" s="344" t="s">
        <v>625</v>
      </c>
      <c r="G6654" s="358">
        <v>55.042200000000001</v>
      </c>
      <c r="H6654" s="344" t="s">
        <v>2298</v>
      </c>
    </row>
    <row r="6655" spans="1:8">
      <c r="A6655" s="1"/>
      <c r="B6655" s="1"/>
      <c r="C6655" s="1"/>
      <c r="D6655" s="1"/>
      <c r="E6655" s="357">
        <v>46244</v>
      </c>
      <c r="F6655" s="344" t="s">
        <v>628</v>
      </c>
      <c r="G6655" s="358">
        <v>64.179000000000002</v>
      </c>
      <c r="H6655" s="344" t="s">
        <v>2298</v>
      </c>
    </row>
    <row r="6656" spans="1:8">
      <c r="A6656" s="1"/>
      <c r="B6656" s="1"/>
      <c r="C6656" s="1"/>
      <c r="D6656" s="1"/>
      <c r="E6656" s="357">
        <v>46244</v>
      </c>
      <c r="F6656" s="344" t="s">
        <v>631</v>
      </c>
      <c r="G6656" s="358">
        <v>47.625999999999998</v>
      </c>
      <c r="H6656" s="344" t="s">
        <v>2298</v>
      </c>
    </row>
    <row r="6657" spans="1:8">
      <c r="A6657" s="1"/>
      <c r="B6657" s="1"/>
      <c r="C6657" s="1"/>
      <c r="D6657" s="1"/>
      <c r="E6657" s="357">
        <v>46245</v>
      </c>
      <c r="F6657" s="344" t="s">
        <v>621</v>
      </c>
      <c r="G6657" s="358">
        <v>58.618200000000002</v>
      </c>
      <c r="H6657" s="344" t="s">
        <v>2299</v>
      </c>
    </row>
    <row r="6658" spans="1:8">
      <c r="A6658" s="1"/>
      <c r="B6658" s="1"/>
      <c r="C6658" s="1"/>
      <c r="D6658" s="1"/>
      <c r="E6658" s="357">
        <v>46245</v>
      </c>
      <c r="F6658" s="344" t="s">
        <v>625</v>
      </c>
      <c r="G6658" s="358">
        <v>54.969299999999997</v>
      </c>
      <c r="H6658" s="344" t="s">
        <v>2299</v>
      </c>
    </row>
    <row r="6659" spans="1:8">
      <c r="A6659" s="1"/>
      <c r="B6659" s="1"/>
      <c r="C6659" s="1"/>
      <c r="D6659" s="1"/>
      <c r="E6659" s="357">
        <v>46245</v>
      </c>
      <c r="F6659" s="344" t="s">
        <v>628</v>
      </c>
      <c r="G6659" s="358">
        <v>64.221199999999996</v>
      </c>
      <c r="H6659" s="344" t="s">
        <v>2299</v>
      </c>
    </row>
    <row r="6660" spans="1:8">
      <c r="A6660" s="1"/>
      <c r="B6660" s="1"/>
      <c r="C6660" s="1"/>
      <c r="D6660" s="1"/>
      <c r="E6660" s="357">
        <v>46245</v>
      </c>
      <c r="F6660" s="344" t="s">
        <v>631</v>
      </c>
      <c r="G6660" s="358">
        <v>47.650500000000001</v>
      </c>
      <c r="H6660" s="344" t="s">
        <v>2299</v>
      </c>
    </row>
    <row r="6661" spans="1:8">
      <c r="A6661" s="1"/>
      <c r="B6661" s="1"/>
      <c r="C6661" s="1"/>
      <c r="D6661" s="1"/>
      <c r="E6661" s="357">
        <v>46246</v>
      </c>
      <c r="F6661" s="344" t="s">
        <v>621</v>
      </c>
      <c r="G6661" s="358">
        <v>58.555199999999999</v>
      </c>
      <c r="H6661" s="344" t="s">
        <v>2300</v>
      </c>
    </row>
    <row r="6662" spans="1:8">
      <c r="A6662" s="1"/>
      <c r="B6662" s="1"/>
      <c r="C6662" s="1"/>
      <c r="D6662" s="1"/>
      <c r="E6662" s="357">
        <v>46246</v>
      </c>
      <c r="F6662" s="344" t="s">
        <v>625</v>
      </c>
      <c r="G6662" s="358">
        <v>54.998699999999999</v>
      </c>
      <c r="H6662" s="344" t="s">
        <v>2300</v>
      </c>
    </row>
    <row r="6663" spans="1:8">
      <c r="A6663" s="1"/>
      <c r="B6663" s="1"/>
      <c r="C6663" s="1"/>
      <c r="D6663" s="1"/>
      <c r="E6663" s="357">
        <v>46246</v>
      </c>
      <c r="F6663" s="344" t="s">
        <v>628</v>
      </c>
      <c r="G6663" s="358">
        <v>64.308300000000003</v>
      </c>
      <c r="H6663" s="344" t="s">
        <v>2300</v>
      </c>
    </row>
    <row r="6664" spans="1:8">
      <c r="A6664" s="1"/>
      <c r="B6664" s="1"/>
      <c r="C6664" s="1"/>
      <c r="D6664" s="1"/>
      <c r="E6664" s="357">
        <v>46246</v>
      </c>
      <c r="F6664" s="344" t="s">
        <v>631</v>
      </c>
      <c r="G6664" s="358">
        <v>47.6678</v>
      </c>
      <c r="H6664" s="344" t="s">
        <v>2300</v>
      </c>
    </row>
    <row r="6665" spans="1:8">
      <c r="A6665" s="1"/>
      <c r="B6665" s="1"/>
      <c r="C6665" s="1"/>
      <c r="D6665" s="1"/>
      <c r="E6665" s="357">
        <v>46247</v>
      </c>
      <c r="F6665" s="344" t="s">
        <v>621</v>
      </c>
      <c r="G6665" s="358">
        <v>58.537100000000002</v>
      </c>
      <c r="H6665" s="344" t="s">
        <v>2301</v>
      </c>
    </row>
    <row r="6666" spans="1:8">
      <c r="A6666" s="1"/>
      <c r="B6666" s="1"/>
      <c r="C6666" s="1"/>
      <c r="D6666" s="1"/>
      <c r="E6666" s="357">
        <v>46247</v>
      </c>
      <c r="F6666" s="344" t="s">
        <v>625</v>
      </c>
      <c r="G6666" s="358">
        <v>54.9754</v>
      </c>
      <c r="H6666" s="344" t="s">
        <v>2301</v>
      </c>
    </row>
    <row r="6667" spans="1:8">
      <c r="A6667" s="1"/>
      <c r="B6667" s="1"/>
      <c r="C6667" s="1"/>
      <c r="D6667" s="1"/>
      <c r="E6667" s="357">
        <v>46247</v>
      </c>
      <c r="F6667" s="344" t="s">
        <v>628</v>
      </c>
      <c r="G6667" s="358">
        <v>64.200800000000001</v>
      </c>
      <c r="H6667" s="344" t="s">
        <v>2301</v>
      </c>
    </row>
    <row r="6668" spans="1:8">
      <c r="A6668" s="1"/>
      <c r="B6668" s="1"/>
      <c r="C6668" s="1"/>
      <c r="D6668" s="1"/>
      <c r="E6668" s="357">
        <v>46247</v>
      </c>
      <c r="F6668" s="344" t="s">
        <v>631</v>
      </c>
      <c r="G6668" s="358">
        <v>47.6858</v>
      </c>
      <c r="H6668" s="344" t="s">
        <v>2301</v>
      </c>
    </row>
    <row r="6669" spans="1:8">
      <c r="A6669" s="1"/>
      <c r="B6669" s="1"/>
      <c r="C6669" s="1"/>
      <c r="D6669" s="1"/>
      <c r="E6669" s="357">
        <v>46248</v>
      </c>
      <c r="F6669" s="344" t="s">
        <v>621</v>
      </c>
      <c r="G6669" s="358">
        <v>58.554000000000002</v>
      </c>
      <c r="H6669" s="344" t="s">
        <v>2302</v>
      </c>
    </row>
    <row r="6670" spans="1:8">
      <c r="A6670" s="1"/>
      <c r="B6670" s="1"/>
      <c r="C6670" s="1"/>
      <c r="D6670" s="1"/>
      <c r="E6670" s="357">
        <v>46248</v>
      </c>
      <c r="F6670" s="344" t="s">
        <v>625</v>
      </c>
      <c r="G6670" s="358">
        <v>55.139099999999999</v>
      </c>
      <c r="H6670" s="344" t="s">
        <v>2302</v>
      </c>
    </row>
    <row r="6671" spans="1:8">
      <c r="A6671" s="1"/>
      <c r="B6671" s="1"/>
      <c r="C6671" s="1"/>
      <c r="D6671" s="1"/>
      <c r="E6671" s="357">
        <v>46248</v>
      </c>
      <c r="F6671" s="344" t="s">
        <v>628</v>
      </c>
      <c r="G6671" s="358">
        <v>64.4148</v>
      </c>
      <c r="H6671" s="344" t="s">
        <v>2302</v>
      </c>
    </row>
    <row r="6672" spans="1:8">
      <c r="A6672" s="1"/>
      <c r="B6672" s="1"/>
      <c r="C6672" s="1"/>
      <c r="D6672" s="1"/>
      <c r="E6672" s="357">
        <v>46248</v>
      </c>
      <c r="F6672" s="344" t="s">
        <v>631</v>
      </c>
      <c r="G6672" s="358">
        <v>47.720599999999997</v>
      </c>
      <c r="H6672" s="344" t="s">
        <v>2302</v>
      </c>
    </row>
    <row r="6673" spans="1:8">
      <c r="A6673" s="1"/>
      <c r="B6673" s="1"/>
      <c r="C6673" s="1"/>
      <c r="D6673" s="1"/>
      <c r="E6673" s="357">
        <v>46251</v>
      </c>
      <c r="F6673" s="344" t="s">
        <v>621</v>
      </c>
      <c r="G6673" s="358">
        <v>58.9129</v>
      </c>
      <c r="H6673" s="344" t="s">
        <v>2303</v>
      </c>
    </row>
    <row r="6674" spans="1:8">
      <c r="A6674" s="1"/>
      <c r="B6674" s="1"/>
      <c r="C6674" s="1"/>
      <c r="D6674" s="1"/>
      <c r="E6674" s="357">
        <v>46251</v>
      </c>
      <c r="F6674" s="344" t="s">
        <v>625</v>
      </c>
      <c r="G6674" s="358">
        <v>55.445099999999996</v>
      </c>
      <c r="H6674" s="344" t="s">
        <v>2303</v>
      </c>
    </row>
    <row r="6675" spans="1:8">
      <c r="A6675" s="1"/>
      <c r="B6675" s="1"/>
      <c r="C6675" s="1"/>
      <c r="D6675" s="1"/>
      <c r="E6675" s="357">
        <v>46251</v>
      </c>
      <c r="F6675" s="344" t="s">
        <v>628</v>
      </c>
      <c r="G6675" s="358">
        <v>64.711299999999994</v>
      </c>
      <c r="H6675" s="344" t="s">
        <v>2303</v>
      </c>
    </row>
    <row r="6676" spans="1:8">
      <c r="A6676" s="1"/>
      <c r="B6676" s="1"/>
      <c r="C6676" s="1"/>
      <c r="D6676" s="1"/>
      <c r="E6676" s="357">
        <v>46251</v>
      </c>
      <c r="F6676" s="344" t="s">
        <v>631</v>
      </c>
      <c r="G6676" s="358">
        <v>47.810899999999997</v>
      </c>
      <c r="H6676" s="344" t="s">
        <v>2303</v>
      </c>
    </row>
    <row r="6677" spans="1:8">
      <c r="A6677" s="1"/>
      <c r="B6677" s="1"/>
      <c r="C6677" s="1"/>
      <c r="D6677" s="1"/>
      <c r="E6677" s="357">
        <v>46252</v>
      </c>
      <c r="F6677" s="344" t="s">
        <v>621</v>
      </c>
      <c r="G6677" s="358">
        <v>58.786799999999999</v>
      </c>
      <c r="H6677" s="344" t="s">
        <v>2304</v>
      </c>
    </row>
    <row r="6678" spans="1:8">
      <c r="A6678" s="1"/>
      <c r="B6678" s="1"/>
      <c r="C6678" s="1"/>
      <c r="D6678" s="1"/>
      <c r="E6678" s="357">
        <v>46252</v>
      </c>
      <c r="F6678" s="344" t="s">
        <v>625</v>
      </c>
      <c r="G6678" s="358">
        <v>55.366</v>
      </c>
      <c r="H6678" s="344" t="s">
        <v>2304</v>
      </c>
    </row>
    <row r="6679" spans="1:8">
      <c r="A6679" s="1"/>
      <c r="B6679" s="1"/>
      <c r="C6679" s="1"/>
      <c r="D6679" s="1"/>
      <c r="E6679" s="357">
        <v>46252</v>
      </c>
      <c r="F6679" s="344" t="s">
        <v>628</v>
      </c>
      <c r="G6679" s="358">
        <v>64.596999999999994</v>
      </c>
      <c r="H6679" s="344" t="s">
        <v>2304</v>
      </c>
    </row>
    <row r="6680" spans="1:8">
      <c r="A6680" s="1"/>
      <c r="B6680" s="1"/>
      <c r="C6680" s="1"/>
      <c r="D6680" s="1"/>
      <c r="E6680" s="357">
        <v>46252</v>
      </c>
      <c r="F6680" s="344" t="s">
        <v>631</v>
      </c>
      <c r="G6680" s="358">
        <v>47.829300000000003</v>
      </c>
      <c r="H6680" s="344" t="s">
        <v>2304</v>
      </c>
    </row>
    <row r="6681" spans="1:8">
      <c r="A6681" s="1"/>
      <c r="B6681" s="1"/>
      <c r="C6681" s="1"/>
      <c r="D6681" s="1"/>
      <c r="E6681" s="357">
        <v>46253</v>
      </c>
      <c r="F6681" s="344" t="s">
        <v>621</v>
      </c>
      <c r="G6681" s="358">
        <v>58.892200000000003</v>
      </c>
      <c r="H6681" s="344" t="s">
        <v>2305</v>
      </c>
    </row>
    <row r="6682" spans="1:8">
      <c r="A6682" s="1"/>
      <c r="B6682" s="1"/>
      <c r="C6682" s="1"/>
      <c r="D6682" s="1"/>
      <c r="E6682" s="357">
        <v>46253</v>
      </c>
      <c r="F6682" s="344" t="s">
        <v>625</v>
      </c>
      <c r="G6682" s="358">
        <v>55.506100000000004</v>
      </c>
      <c r="H6682" s="344" t="s">
        <v>2305</v>
      </c>
    </row>
    <row r="6683" spans="1:8">
      <c r="A6683" s="1"/>
      <c r="B6683" s="1"/>
      <c r="C6683" s="1"/>
      <c r="D6683" s="1"/>
      <c r="E6683" s="357">
        <v>46253</v>
      </c>
      <c r="F6683" s="344" t="s">
        <v>628</v>
      </c>
      <c r="G6683" s="358">
        <v>64.745400000000004</v>
      </c>
      <c r="H6683" s="344" t="s">
        <v>2305</v>
      </c>
    </row>
    <row r="6684" spans="1:8">
      <c r="A6684" s="1"/>
      <c r="B6684" s="1"/>
      <c r="C6684" s="1"/>
      <c r="D6684" s="1"/>
      <c r="E6684" s="357">
        <v>46253</v>
      </c>
      <c r="F6684" s="344" t="s">
        <v>631</v>
      </c>
      <c r="G6684" s="358">
        <v>47.846699999999998</v>
      </c>
      <c r="H6684" s="344" t="s">
        <v>2305</v>
      </c>
    </row>
    <row r="6685" spans="1:8">
      <c r="A6685" s="1"/>
      <c r="B6685" s="1"/>
      <c r="C6685" s="1"/>
      <c r="D6685" s="1"/>
      <c r="E6685" s="357">
        <v>46254</v>
      </c>
      <c r="F6685" s="344" t="s">
        <v>621</v>
      </c>
      <c r="G6685" s="358">
        <v>59.873399999999997</v>
      </c>
      <c r="H6685" s="344" t="s">
        <v>2306</v>
      </c>
    </row>
    <row r="6686" spans="1:8">
      <c r="A6686" s="1"/>
      <c r="B6686" s="1"/>
      <c r="C6686" s="1"/>
      <c r="D6686" s="1"/>
      <c r="E6686" s="357">
        <v>46254</v>
      </c>
      <c r="F6686" s="344" t="s">
        <v>625</v>
      </c>
      <c r="G6686" s="358">
        <v>55.975999999999999</v>
      </c>
      <c r="H6686" s="344" t="s">
        <v>2306</v>
      </c>
    </row>
    <row r="6687" spans="1:8">
      <c r="A6687" s="1"/>
      <c r="B6687" s="1"/>
      <c r="C6687" s="1"/>
      <c r="D6687" s="1"/>
      <c r="E6687" s="357">
        <v>46254</v>
      </c>
      <c r="F6687" s="344" t="s">
        <v>628</v>
      </c>
      <c r="G6687" s="358">
        <v>65.144999999999996</v>
      </c>
      <c r="H6687" s="344" t="s">
        <v>2306</v>
      </c>
    </row>
    <row r="6688" spans="1:8">
      <c r="A6688" s="1"/>
      <c r="B6688" s="1"/>
      <c r="C6688" s="1"/>
      <c r="D6688" s="1"/>
      <c r="E6688" s="357">
        <v>46254</v>
      </c>
      <c r="F6688" s="344" t="s">
        <v>631</v>
      </c>
      <c r="G6688" s="358">
        <v>47.864199999999997</v>
      </c>
      <c r="H6688" s="344" t="s">
        <v>2306</v>
      </c>
    </row>
    <row r="6689" spans="1:8">
      <c r="A6689" s="1"/>
      <c r="B6689" s="1"/>
      <c r="C6689" s="1"/>
      <c r="D6689" s="1"/>
      <c r="E6689" s="357">
        <v>46255</v>
      </c>
      <c r="F6689" s="344" t="s">
        <v>621</v>
      </c>
      <c r="G6689" s="358">
        <v>59.746400000000001</v>
      </c>
      <c r="H6689" s="344" t="s">
        <v>2307</v>
      </c>
    </row>
    <row r="6690" spans="1:8">
      <c r="A6690" s="1"/>
      <c r="B6690" s="1"/>
      <c r="C6690" s="1"/>
      <c r="D6690" s="1"/>
      <c r="E6690" s="357">
        <v>46255</v>
      </c>
      <c r="F6690" s="344" t="s">
        <v>625</v>
      </c>
      <c r="G6690" s="358">
        <v>56.015900000000002</v>
      </c>
      <c r="H6690" s="344" t="s">
        <v>2307</v>
      </c>
    </row>
    <row r="6691" spans="1:8">
      <c r="A6691" s="1"/>
      <c r="B6691" s="1"/>
      <c r="C6691" s="1"/>
      <c r="D6691" s="1"/>
      <c r="E6691" s="357">
        <v>46255</v>
      </c>
      <c r="F6691" s="344" t="s">
        <v>628</v>
      </c>
      <c r="G6691" s="358">
        <v>65.258399999999995</v>
      </c>
      <c r="H6691" s="344" t="s">
        <v>2307</v>
      </c>
    </row>
    <row r="6692" spans="1:8">
      <c r="A6692" s="1"/>
      <c r="B6692" s="1"/>
      <c r="C6692" s="1"/>
      <c r="D6692" s="1"/>
      <c r="E6692" s="357">
        <v>46255</v>
      </c>
      <c r="F6692" s="344" t="s">
        <v>631</v>
      </c>
      <c r="G6692" s="358">
        <v>47.879899999999999</v>
      </c>
      <c r="H6692" s="344" t="s">
        <v>2307</v>
      </c>
    </row>
    <row r="6693" spans="1:8">
      <c r="A6693" s="1"/>
      <c r="B6693" s="1"/>
      <c r="C6693" s="1"/>
      <c r="D6693" s="1"/>
      <c r="E6693" s="357">
        <v>46258</v>
      </c>
      <c r="F6693" s="344" t="s">
        <v>621</v>
      </c>
      <c r="G6693" s="358">
        <v>59.696899999999999</v>
      </c>
      <c r="H6693" s="344" t="s">
        <v>2308</v>
      </c>
    </row>
    <row r="6694" spans="1:8">
      <c r="A6694" s="1"/>
      <c r="B6694" s="1"/>
      <c r="C6694" s="1"/>
      <c r="D6694" s="1"/>
      <c r="E6694" s="357">
        <v>46258</v>
      </c>
      <c r="F6694" s="344" t="s">
        <v>625</v>
      </c>
      <c r="G6694" s="358">
        <v>55.993899999999996</v>
      </c>
      <c r="H6694" s="344" t="s">
        <v>2308</v>
      </c>
    </row>
    <row r="6695" spans="1:8">
      <c r="A6695" s="1"/>
      <c r="B6695" s="1"/>
      <c r="C6695" s="1"/>
      <c r="D6695" s="1"/>
      <c r="E6695" s="357">
        <v>46258</v>
      </c>
      <c r="F6695" s="344" t="s">
        <v>628</v>
      </c>
      <c r="G6695" s="358">
        <v>65.315100000000001</v>
      </c>
      <c r="H6695" s="344" t="s">
        <v>2308</v>
      </c>
    </row>
    <row r="6696" spans="1:8">
      <c r="A6696" s="1"/>
      <c r="B6696" s="1"/>
      <c r="C6696" s="1"/>
      <c r="D6696" s="1"/>
      <c r="E6696" s="357">
        <v>46258</v>
      </c>
      <c r="F6696" s="344" t="s">
        <v>631</v>
      </c>
      <c r="G6696" s="358">
        <v>47.992400000000004</v>
      </c>
      <c r="H6696" s="344" t="s">
        <v>2308</v>
      </c>
    </row>
    <row r="6697" spans="1:8">
      <c r="A6697" s="1"/>
      <c r="B6697" s="1"/>
      <c r="C6697" s="1"/>
      <c r="D6697" s="1"/>
      <c r="E6697" s="357">
        <v>46259</v>
      </c>
      <c r="F6697" s="344" t="s">
        <v>621</v>
      </c>
      <c r="G6697" s="358">
        <v>59.640300000000003</v>
      </c>
      <c r="H6697" s="344" t="s">
        <v>2309</v>
      </c>
    </row>
    <row r="6698" spans="1:8">
      <c r="A6698" s="1"/>
      <c r="B6698" s="1"/>
      <c r="C6698" s="1"/>
      <c r="D6698" s="1"/>
      <c r="E6698" s="357">
        <v>46259</v>
      </c>
      <c r="F6698" s="344" t="s">
        <v>625</v>
      </c>
      <c r="G6698" s="358">
        <v>55.989199999999997</v>
      </c>
      <c r="H6698" s="344" t="s">
        <v>2309</v>
      </c>
    </row>
    <row r="6699" spans="1:8">
      <c r="A6699" s="1"/>
      <c r="B6699" s="1"/>
      <c r="C6699" s="1"/>
      <c r="D6699" s="1"/>
      <c r="E6699" s="357">
        <v>46259</v>
      </c>
      <c r="F6699" s="344" t="s">
        <v>628</v>
      </c>
      <c r="G6699" s="358">
        <v>65.357299999999995</v>
      </c>
      <c r="H6699" s="344" t="s">
        <v>2309</v>
      </c>
    </row>
    <row r="6700" spans="1:8">
      <c r="A6700" s="1"/>
      <c r="B6700" s="1"/>
      <c r="C6700" s="1"/>
      <c r="D6700" s="1"/>
      <c r="E6700" s="357">
        <v>46259</v>
      </c>
      <c r="F6700" s="344" t="s">
        <v>631</v>
      </c>
      <c r="G6700" s="358">
        <v>48.011699999999998</v>
      </c>
      <c r="H6700" s="344" t="s">
        <v>2309</v>
      </c>
    </row>
    <row r="6701" spans="1:8">
      <c r="A6701" s="1"/>
      <c r="B6701" s="1"/>
      <c r="C6701" s="1"/>
      <c r="D6701" s="1"/>
      <c r="E6701" s="357">
        <v>46260</v>
      </c>
      <c r="F6701" s="344" t="s">
        <v>621</v>
      </c>
      <c r="G6701" s="358">
        <v>59.6188</v>
      </c>
      <c r="H6701" s="344" t="s">
        <v>2310</v>
      </c>
    </row>
    <row r="6702" spans="1:8">
      <c r="A6702" s="1"/>
      <c r="B6702" s="1"/>
      <c r="C6702" s="1"/>
      <c r="D6702" s="1"/>
      <c r="E6702" s="357">
        <v>46260</v>
      </c>
      <c r="F6702" s="344" t="s">
        <v>625</v>
      </c>
      <c r="G6702" s="358">
        <v>56.038800000000002</v>
      </c>
      <c r="H6702" s="344" t="s">
        <v>2310</v>
      </c>
    </row>
    <row r="6703" spans="1:8">
      <c r="A6703" s="1"/>
      <c r="B6703" s="1"/>
      <c r="C6703" s="1"/>
      <c r="D6703" s="1"/>
      <c r="E6703" s="357">
        <v>46260</v>
      </c>
      <c r="F6703" s="344" t="s">
        <v>628</v>
      </c>
      <c r="G6703" s="358">
        <v>65.343999999999994</v>
      </c>
      <c r="H6703" s="344" t="s">
        <v>2310</v>
      </c>
    </row>
    <row r="6704" spans="1:8">
      <c r="A6704" s="1"/>
      <c r="B6704" s="1"/>
      <c r="C6704" s="1"/>
      <c r="D6704" s="1"/>
      <c r="E6704" s="357">
        <v>46260</v>
      </c>
      <c r="F6704" s="344" t="s">
        <v>631</v>
      </c>
      <c r="G6704" s="358">
        <v>48.029200000000003</v>
      </c>
      <c r="H6704" s="344" t="s">
        <v>2310</v>
      </c>
    </row>
    <row r="6705" spans="1:8">
      <c r="A6705" s="1"/>
      <c r="B6705" s="1"/>
      <c r="C6705" s="1"/>
      <c r="D6705" s="1"/>
      <c r="E6705" s="357">
        <v>46261</v>
      </c>
      <c r="F6705" s="344" t="s">
        <v>621</v>
      </c>
      <c r="G6705" s="358">
        <v>59.489899999999999</v>
      </c>
      <c r="H6705" s="344" t="s">
        <v>2311</v>
      </c>
    </row>
    <row r="6706" spans="1:8">
      <c r="A6706" s="1"/>
      <c r="B6706" s="1"/>
      <c r="C6706" s="1"/>
      <c r="D6706" s="1"/>
      <c r="E6706" s="357">
        <v>46261</v>
      </c>
      <c r="F6706" s="344" t="s">
        <v>625</v>
      </c>
      <c r="G6706" s="358">
        <v>55.9574</v>
      </c>
      <c r="H6706" s="344" t="s">
        <v>2311</v>
      </c>
    </row>
    <row r="6707" spans="1:8">
      <c r="A6707" s="1"/>
      <c r="B6707" s="1"/>
      <c r="C6707" s="1"/>
      <c r="D6707" s="1"/>
      <c r="E6707" s="357">
        <v>46261</v>
      </c>
      <c r="F6707" s="344" t="s">
        <v>628</v>
      </c>
      <c r="G6707" s="358">
        <v>65.141800000000003</v>
      </c>
      <c r="H6707" s="344" t="s">
        <v>2311</v>
      </c>
    </row>
    <row r="6708" spans="1:8">
      <c r="A6708" s="1"/>
      <c r="B6708" s="1"/>
      <c r="C6708" s="1"/>
      <c r="D6708" s="1"/>
      <c r="E6708" s="357">
        <v>46261</v>
      </c>
      <c r="F6708" s="344" t="s">
        <v>631</v>
      </c>
      <c r="G6708" s="358">
        <v>48.046599999999998</v>
      </c>
      <c r="H6708" s="344" t="s">
        <v>2311</v>
      </c>
    </row>
    <row r="6709" spans="1:8">
      <c r="A6709" s="1"/>
      <c r="B6709" s="1"/>
      <c r="C6709" s="1"/>
      <c r="D6709" s="1"/>
      <c r="E6709" s="357">
        <v>46262</v>
      </c>
      <c r="F6709" s="344" t="s">
        <v>621</v>
      </c>
      <c r="G6709" s="358">
        <v>59.643799999999999</v>
      </c>
      <c r="H6709" s="344" t="s">
        <v>2312</v>
      </c>
    </row>
    <row r="6710" spans="1:8">
      <c r="A6710" s="1"/>
      <c r="B6710" s="1"/>
      <c r="C6710" s="1"/>
      <c r="D6710" s="1"/>
      <c r="E6710" s="357">
        <v>46262</v>
      </c>
      <c r="F6710" s="344" t="s">
        <v>625</v>
      </c>
      <c r="G6710" s="358">
        <v>55.984499999999997</v>
      </c>
      <c r="H6710" s="344" t="s">
        <v>2312</v>
      </c>
    </row>
    <row r="6711" spans="1:8">
      <c r="A6711" s="1"/>
      <c r="B6711" s="1"/>
      <c r="C6711" s="1"/>
      <c r="D6711" s="1"/>
      <c r="E6711" s="357">
        <v>46262</v>
      </c>
      <c r="F6711" s="344" t="s">
        <v>628</v>
      </c>
      <c r="G6711" s="358">
        <v>65.209100000000007</v>
      </c>
      <c r="H6711" s="344" t="s">
        <v>2312</v>
      </c>
    </row>
    <row r="6712" spans="1:8">
      <c r="A6712" s="1"/>
      <c r="B6712" s="1"/>
      <c r="C6712" s="1"/>
      <c r="D6712" s="1"/>
      <c r="E6712" s="357">
        <v>46262</v>
      </c>
      <c r="F6712" s="344" t="s">
        <v>631</v>
      </c>
      <c r="G6712" s="358">
        <v>48.0732</v>
      </c>
      <c r="H6712" s="344" t="s">
        <v>2312</v>
      </c>
    </row>
    <row r="6713" spans="1:8">
      <c r="A6713" s="1"/>
      <c r="B6713" s="1"/>
      <c r="C6713" s="1"/>
      <c r="D6713" s="1"/>
      <c r="E6713" s="357">
        <v>46265</v>
      </c>
      <c r="F6713" s="344" t="s">
        <v>621</v>
      </c>
      <c r="G6713" s="358">
        <v>59.443600000000004</v>
      </c>
      <c r="H6713" s="344" t="s">
        <v>2313</v>
      </c>
    </row>
    <row r="6714" spans="1:8">
      <c r="A6714" s="1"/>
      <c r="B6714" s="1"/>
      <c r="C6714" s="1"/>
      <c r="D6714" s="1"/>
      <c r="E6714" s="357">
        <v>46265</v>
      </c>
      <c r="F6714" s="344" t="s">
        <v>625</v>
      </c>
      <c r="G6714" s="358">
        <v>55.865200000000002</v>
      </c>
      <c r="H6714" s="344" t="s">
        <v>2313</v>
      </c>
    </row>
    <row r="6715" spans="1:8">
      <c r="A6715" s="1"/>
      <c r="B6715" s="1"/>
      <c r="C6715" s="1"/>
      <c r="D6715" s="1"/>
      <c r="E6715" s="357">
        <v>46265</v>
      </c>
      <c r="F6715" s="344" t="s">
        <v>628</v>
      </c>
      <c r="G6715" s="358">
        <v>65.126099999999994</v>
      </c>
      <c r="H6715" s="344" t="s">
        <v>2313</v>
      </c>
    </row>
    <row r="6716" spans="1:8">
      <c r="A6716" s="1"/>
      <c r="B6716" s="1"/>
      <c r="C6716" s="1"/>
      <c r="D6716" s="1"/>
      <c r="E6716" s="357">
        <v>46265</v>
      </c>
      <c r="F6716" s="344" t="s">
        <v>631</v>
      </c>
      <c r="G6716" s="358">
        <v>48.174500000000002</v>
      </c>
      <c r="H6716" s="344" t="s">
        <v>2313</v>
      </c>
    </row>
    <row r="6717" spans="1:8">
      <c r="A6717" s="1"/>
      <c r="B6717" s="1"/>
      <c r="C6717" s="1"/>
      <c r="D6717" s="1"/>
      <c r="E6717" s="357">
        <v>46266</v>
      </c>
      <c r="F6717" s="344" t="s">
        <v>621</v>
      </c>
      <c r="G6717" s="358">
        <v>59.359499999999997</v>
      </c>
      <c r="H6717" s="344" t="s">
        <v>2314</v>
      </c>
    </row>
    <row r="6718" spans="1:8">
      <c r="A6718" s="1"/>
      <c r="B6718" s="1"/>
      <c r="C6718" s="1"/>
      <c r="D6718" s="1"/>
      <c r="E6718" s="357">
        <v>46266</v>
      </c>
      <c r="F6718" s="344" t="s">
        <v>625</v>
      </c>
      <c r="G6718" s="358">
        <v>55.876899999999999</v>
      </c>
      <c r="H6718" s="344" t="s">
        <v>2314</v>
      </c>
    </row>
    <row r="6719" spans="1:8">
      <c r="A6719" s="1"/>
      <c r="B6719" s="1"/>
      <c r="C6719" s="1"/>
      <c r="D6719" s="1"/>
      <c r="E6719" s="357">
        <v>46266</v>
      </c>
      <c r="F6719" s="344" t="s">
        <v>628</v>
      </c>
      <c r="G6719" s="358">
        <v>65.128600000000006</v>
      </c>
      <c r="H6719" s="344" t="s">
        <v>2314</v>
      </c>
    </row>
    <row r="6720" spans="1:8">
      <c r="A6720" s="1"/>
      <c r="B6720" s="1"/>
      <c r="C6720" s="1"/>
      <c r="D6720" s="1"/>
      <c r="E6720" s="357">
        <v>46266</v>
      </c>
      <c r="F6720" s="344" t="s">
        <v>631</v>
      </c>
      <c r="G6720" s="358">
        <v>48.189100000000003</v>
      </c>
      <c r="H6720" s="344" t="s">
        <v>2314</v>
      </c>
    </row>
    <row r="6721" spans="1:8">
      <c r="A6721" s="1"/>
      <c r="B6721" s="1"/>
      <c r="C6721" s="1"/>
      <c r="D6721" s="1"/>
      <c r="E6721" s="357">
        <v>46267</v>
      </c>
      <c r="F6721" s="344" t="s">
        <v>621</v>
      </c>
      <c r="G6721" s="358">
        <v>59.057000000000002</v>
      </c>
      <c r="H6721" s="344" t="s">
        <v>2315</v>
      </c>
    </row>
    <row r="6722" spans="1:8">
      <c r="A6722" s="1"/>
      <c r="B6722" s="1"/>
      <c r="C6722" s="1"/>
      <c r="D6722" s="1"/>
      <c r="E6722" s="357">
        <v>46267</v>
      </c>
      <c r="F6722" s="344" t="s">
        <v>625</v>
      </c>
      <c r="G6722" s="358">
        <v>55.792900000000003</v>
      </c>
      <c r="H6722" s="344" t="s">
        <v>2315</v>
      </c>
    </row>
    <row r="6723" spans="1:8">
      <c r="A6723" s="1"/>
      <c r="B6723" s="1"/>
      <c r="C6723" s="1"/>
      <c r="D6723" s="1"/>
      <c r="E6723" s="357">
        <v>46267</v>
      </c>
      <c r="F6723" s="344" t="s">
        <v>628</v>
      </c>
      <c r="G6723" s="358">
        <v>64.937700000000007</v>
      </c>
      <c r="H6723" s="344" t="s">
        <v>2315</v>
      </c>
    </row>
    <row r="6724" spans="1:8">
      <c r="A6724" s="1"/>
      <c r="B6724" s="1"/>
      <c r="C6724" s="1"/>
      <c r="D6724" s="1"/>
      <c r="E6724" s="357">
        <v>46267</v>
      </c>
      <c r="F6724" s="344" t="s">
        <v>631</v>
      </c>
      <c r="G6724" s="358">
        <v>48.207500000000003</v>
      </c>
      <c r="H6724" s="344" t="s">
        <v>2315</v>
      </c>
    </row>
    <row r="6725" spans="1:8">
      <c r="A6725" s="1"/>
      <c r="B6725" s="1"/>
      <c r="C6725" s="1"/>
      <c r="D6725" s="1"/>
      <c r="E6725" s="357">
        <v>46268</v>
      </c>
      <c r="F6725" s="344" t="s">
        <v>621</v>
      </c>
      <c r="G6725" s="358">
        <v>59.4529</v>
      </c>
      <c r="H6725" s="344" t="s">
        <v>2316</v>
      </c>
    </row>
    <row r="6726" spans="1:8">
      <c r="A6726" s="1"/>
      <c r="B6726" s="1"/>
      <c r="C6726" s="1"/>
      <c r="D6726" s="1"/>
      <c r="E6726" s="357">
        <v>46268</v>
      </c>
      <c r="F6726" s="344" t="s">
        <v>625</v>
      </c>
      <c r="G6726" s="358">
        <v>55.971299999999999</v>
      </c>
      <c r="H6726" s="344" t="s">
        <v>2316</v>
      </c>
    </row>
    <row r="6727" spans="1:8">
      <c r="A6727" s="1"/>
      <c r="B6727" s="1"/>
      <c r="C6727" s="1"/>
      <c r="D6727" s="1"/>
      <c r="E6727" s="357">
        <v>46268</v>
      </c>
      <c r="F6727" s="344" t="s">
        <v>628</v>
      </c>
      <c r="G6727" s="358">
        <v>64.976100000000002</v>
      </c>
      <c r="H6727" s="344" t="s">
        <v>2316</v>
      </c>
    </row>
    <row r="6728" spans="1:8">
      <c r="A6728" s="1"/>
      <c r="B6728" s="1"/>
      <c r="C6728" s="1"/>
      <c r="D6728" s="1"/>
      <c r="E6728" s="357">
        <v>46268</v>
      </c>
      <c r="F6728" s="344" t="s">
        <v>631</v>
      </c>
      <c r="G6728" s="358">
        <v>48.223799999999997</v>
      </c>
      <c r="H6728" s="344" t="s">
        <v>2316</v>
      </c>
    </row>
    <row r="6729" spans="1:8">
      <c r="A6729" s="1"/>
      <c r="B6729" s="1"/>
      <c r="C6729" s="1"/>
      <c r="D6729" s="1"/>
      <c r="E6729" s="357">
        <v>46269</v>
      </c>
      <c r="F6729" s="344" t="s">
        <v>621</v>
      </c>
      <c r="G6729" s="358">
        <v>59.492600000000003</v>
      </c>
      <c r="H6729" s="344" t="s">
        <v>2317</v>
      </c>
    </row>
    <row r="6730" spans="1:8">
      <c r="A6730" s="1"/>
      <c r="B6730" s="1"/>
      <c r="C6730" s="1"/>
      <c r="D6730" s="1"/>
      <c r="E6730" s="357">
        <v>46269</v>
      </c>
      <c r="F6730" s="344" t="s">
        <v>625</v>
      </c>
      <c r="G6730" s="358">
        <v>56.057099999999998</v>
      </c>
      <c r="H6730" s="344" t="s">
        <v>2317</v>
      </c>
    </row>
    <row r="6731" spans="1:8">
      <c r="A6731" s="1"/>
      <c r="B6731" s="1"/>
      <c r="C6731" s="1"/>
      <c r="D6731" s="1"/>
      <c r="E6731" s="357">
        <v>46269</v>
      </c>
      <c r="F6731" s="344" t="s">
        <v>628</v>
      </c>
      <c r="G6731" s="358">
        <v>65.160499999999999</v>
      </c>
      <c r="H6731" s="344" t="s">
        <v>2317</v>
      </c>
    </row>
    <row r="6732" spans="1:8">
      <c r="A6732" s="1"/>
      <c r="B6732" s="1"/>
      <c r="C6732" s="1"/>
      <c r="D6732" s="1"/>
      <c r="E6732" s="357">
        <v>46269</v>
      </c>
      <c r="F6732" s="344" t="s">
        <v>631</v>
      </c>
      <c r="G6732" s="358">
        <v>48.232599999999998</v>
      </c>
      <c r="H6732" s="344" t="s">
        <v>2317</v>
      </c>
    </row>
    <row r="6733" spans="1:8">
      <c r="A6733" s="1"/>
      <c r="B6733" s="1"/>
      <c r="C6733" s="1"/>
      <c r="D6733" s="1"/>
      <c r="E6733" s="357">
        <v>46272</v>
      </c>
      <c r="F6733" s="344" t="s">
        <v>621</v>
      </c>
      <c r="G6733" s="358">
        <v>59.592599999999997</v>
      </c>
      <c r="H6733" s="344" t="s">
        <v>2318</v>
      </c>
    </row>
    <row r="6734" spans="1:8">
      <c r="A6734" s="1"/>
      <c r="B6734" s="1"/>
      <c r="C6734" s="1"/>
      <c r="D6734" s="1"/>
      <c r="E6734" s="357">
        <v>46272</v>
      </c>
      <c r="F6734" s="344" t="s">
        <v>625</v>
      </c>
      <c r="G6734" s="358">
        <v>56.185099999999998</v>
      </c>
      <c r="H6734" s="344" t="s">
        <v>2318</v>
      </c>
    </row>
    <row r="6735" spans="1:8">
      <c r="A6735" s="1"/>
      <c r="B6735" s="1"/>
      <c r="C6735" s="1"/>
      <c r="D6735" s="1"/>
      <c r="E6735" s="357">
        <v>46272</v>
      </c>
      <c r="F6735" s="344" t="s">
        <v>628</v>
      </c>
      <c r="G6735" s="358">
        <v>65.3185</v>
      </c>
      <c r="H6735" s="344" t="s">
        <v>2318</v>
      </c>
    </row>
    <row r="6736" spans="1:8">
      <c r="A6736" s="1"/>
      <c r="B6736" s="1"/>
      <c r="C6736" s="1"/>
      <c r="D6736" s="1"/>
      <c r="E6736" s="357">
        <v>46272</v>
      </c>
      <c r="F6736" s="344" t="s">
        <v>631</v>
      </c>
      <c r="G6736" s="358">
        <v>48.346499999999999</v>
      </c>
      <c r="H6736" s="344" t="s">
        <v>2318</v>
      </c>
    </row>
    <row r="6737" spans="1:8">
      <c r="A6737" s="1"/>
      <c r="B6737" s="1"/>
      <c r="C6737" s="1"/>
      <c r="D6737" s="1"/>
      <c r="E6737" s="357">
        <v>46273</v>
      </c>
      <c r="F6737" s="344" t="s">
        <v>621</v>
      </c>
      <c r="G6737" s="358">
        <v>59.4925</v>
      </c>
      <c r="H6737" s="344" t="s">
        <v>2319</v>
      </c>
    </row>
    <row r="6738" spans="1:8">
      <c r="A6738" s="1"/>
      <c r="B6738" s="1"/>
      <c r="C6738" s="1"/>
      <c r="D6738" s="1"/>
      <c r="E6738" s="357">
        <v>46273</v>
      </c>
      <c r="F6738" s="344" t="s">
        <v>625</v>
      </c>
      <c r="G6738" s="358">
        <v>56.18</v>
      </c>
      <c r="H6738" s="344" t="s">
        <v>2319</v>
      </c>
    </row>
    <row r="6739" spans="1:8">
      <c r="A6739" s="1"/>
      <c r="B6739" s="1"/>
      <c r="C6739" s="1"/>
      <c r="D6739" s="1"/>
      <c r="E6739" s="357">
        <v>46273</v>
      </c>
      <c r="F6739" s="344" t="s">
        <v>628</v>
      </c>
      <c r="G6739" s="358">
        <v>65.350499999999997</v>
      </c>
      <c r="H6739" s="344" t="s">
        <v>2319</v>
      </c>
    </row>
    <row r="6740" spans="1:8">
      <c r="A6740" s="1"/>
      <c r="B6740" s="1"/>
      <c r="C6740" s="1"/>
      <c r="D6740" s="1"/>
      <c r="E6740" s="357">
        <v>46273</v>
      </c>
      <c r="F6740" s="344" t="s">
        <v>631</v>
      </c>
      <c r="G6740" s="358">
        <v>48.372700000000002</v>
      </c>
      <c r="H6740" s="344" t="s">
        <v>2319</v>
      </c>
    </row>
    <row r="6741" spans="1:8">
      <c r="A6741" s="1"/>
      <c r="B6741" s="1"/>
      <c r="C6741" s="1"/>
      <c r="D6741" s="1"/>
      <c r="E6741" s="357">
        <v>46274</v>
      </c>
      <c r="F6741" s="344" t="s">
        <v>621</v>
      </c>
      <c r="G6741" s="358">
        <v>59.681199999999997</v>
      </c>
      <c r="H6741" s="344" t="s">
        <v>2320</v>
      </c>
    </row>
    <row r="6742" spans="1:8">
      <c r="A6742" s="1"/>
      <c r="B6742" s="1"/>
      <c r="C6742" s="1"/>
      <c r="D6742" s="1"/>
      <c r="E6742" s="357">
        <v>46274</v>
      </c>
      <c r="F6742" s="344" t="s">
        <v>625</v>
      </c>
      <c r="G6742" s="358">
        <v>56.305999999999997</v>
      </c>
      <c r="H6742" s="344" t="s">
        <v>2320</v>
      </c>
    </row>
    <row r="6743" spans="1:8">
      <c r="A6743" s="1"/>
      <c r="B6743" s="1"/>
      <c r="C6743" s="1"/>
      <c r="D6743" s="1"/>
      <c r="E6743" s="357">
        <v>46274</v>
      </c>
      <c r="F6743" s="344" t="s">
        <v>628</v>
      </c>
      <c r="G6743" s="358">
        <v>65.451599999999999</v>
      </c>
      <c r="H6743" s="344" t="s">
        <v>2320</v>
      </c>
    </row>
    <row r="6744" spans="1:8">
      <c r="A6744" s="1"/>
      <c r="B6744" s="1"/>
      <c r="C6744" s="1"/>
      <c r="D6744" s="1"/>
      <c r="E6744" s="357">
        <v>46274</v>
      </c>
      <c r="F6744" s="344" t="s">
        <v>631</v>
      </c>
      <c r="G6744" s="358">
        <v>48.390500000000003</v>
      </c>
      <c r="H6744" s="344" t="s">
        <v>2320</v>
      </c>
    </row>
    <row r="6745" spans="1:8">
      <c r="A6745" s="1"/>
      <c r="B6745" s="1"/>
      <c r="C6745" s="1"/>
      <c r="D6745" s="1"/>
      <c r="E6745" s="357">
        <v>46275</v>
      </c>
      <c r="F6745" s="344" t="s">
        <v>621</v>
      </c>
      <c r="G6745" s="358">
        <v>59.600099999999998</v>
      </c>
      <c r="H6745" s="344" t="s">
        <v>2321</v>
      </c>
    </row>
    <row r="6746" spans="1:8">
      <c r="A6746" s="1"/>
      <c r="B6746" s="1"/>
      <c r="C6746" s="1"/>
      <c r="D6746" s="1"/>
      <c r="E6746" s="357">
        <v>46275</v>
      </c>
      <c r="F6746" s="344" t="s">
        <v>625</v>
      </c>
      <c r="G6746" s="358">
        <v>56.311300000000003</v>
      </c>
      <c r="H6746" s="344" t="s">
        <v>2321</v>
      </c>
    </row>
    <row r="6747" spans="1:8">
      <c r="A6747" s="1"/>
      <c r="B6747" s="1"/>
      <c r="C6747" s="1"/>
      <c r="D6747" s="1"/>
      <c r="E6747" s="357">
        <v>46275</v>
      </c>
      <c r="F6747" s="344" t="s">
        <v>628</v>
      </c>
      <c r="G6747" s="358">
        <v>65.467200000000005</v>
      </c>
      <c r="H6747" s="344" t="s">
        <v>2321</v>
      </c>
    </row>
    <row r="6748" spans="1:8">
      <c r="A6748" s="1"/>
      <c r="B6748" s="1"/>
      <c r="C6748" s="1"/>
      <c r="D6748" s="1"/>
      <c r="E6748" s="357">
        <v>46275</v>
      </c>
      <c r="F6748" s="344" t="s">
        <v>631</v>
      </c>
      <c r="G6748" s="358">
        <v>48.4069</v>
      </c>
      <c r="H6748" s="344" t="s">
        <v>2321</v>
      </c>
    </row>
    <row r="6749" spans="1:8">
      <c r="A6749" s="1"/>
      <c r="B6749" s="1"/>
      <c r="C6749" s="1"/>
      <c r="D6749" s="1"/>
      <c r="E6749" s="357">
        <v>46276</v>
      </c>
      <c r="F6749" s="344" t="s">
        <v>621</v>
      </c>
      <c r="G6749" s="358">
        <v>59.327800000000003</v>
      </c>
      <c r="H6749" s="344" t="s">
        <v>2322</v>
      </c>
    </row>
    <row r="6750" spans="1:8">
      <c r="A6750" s="1"/>
      <c r="B6750" s="1"/>
      <c r="C6750" s="1"/>
      <c r="D6750" s="1"/>
      <c r="E6750" s="357">
        <v>46276</v>
      </c>
      <c r="F6750" s="344" t="s">
        <v>625</v>
      </c>
      <c r="G6750" s="358">
        <v>56.175400000000003</v>
      </c>
      <c r="H6750" s="344" t="s">
        <v>2322</v>
      </c>
    </row>
    <row r="6751" spans="1:8">
      <c r="A6751" s="1"/>
      <c r="B6751" s="1"/>
      <c r="C6751" s="1"/>
      <c r="D6751" s="1"/>
      <c r="E6751" s="357">
        <v>46276</v>
      </c>
      <c r="F6751" s="344" t="s">
        <v>628</v>
      </c>
      <c r="G6751" s="358">
        <v>65.3215</v>
      </c>
      <c r="H6751" s="344" t="s">
        <v>2322</v>
      </c>
    </row>
    <row r="6752" spans="1:8">
      <c r="A6752" s="1"/>
      <c r="B6752" s="1"/>
      <c r="C6752" s="1"/>
      <c r="D6752" s="1"/>
      <c r="E6752" s="357">
        <v>46276</v>
      </c>
      <c r="F6752" s="344" t="s">
        <v>631</v>
      </c>
      <c r="G6752" s="358">
        <v>48.430500000000002</v>
      </c>
      <c r="H6752" s="344" t="s">
        <v>2322</v>
      </c>
    </row>
    <row r="6753" spans="1:8">
      <c r="A6753" s="1"/>
      <c r="B6753" s="1"/>
      <c r="C6753" s="1"/>
      <c r="D6753" s="1"/>
      <c r="E6753" s="357">
        <v>46279</v>
      </c>
      <c r="F6753" s="344" t="s">
        <v>621</v>
      </c>
      <c r="G6753" s="358">
        <v>59.198099999999997</v>
      </c>
      <c r="H6753" s="344" t="s">
        <v>2323</v>
      </c>
    </row>
    <row r="6754" spans="1:8">
      <c r="A6754" s="1"/>
      <c r="B6754" s="1"/>
      <c r="C6754" s="1"/>
      <c r="D6754" s="1"/>
      <c r="E6754" s="357">
        <v>46279</v>
      </c>
      <c r="F6754" s="344" t="s">
        <v>625</v>
      </c>
      <c r="G6754" s="358">
        <v>56.028399999999998</v>
      </c>
      <c r="H6754" s="344" t="s">
        <v>2323</v>
      </c>
    </row>
    <row r="6755" spans="1:8">
      <c r="A6755" s="1"/>
      <c r="B6755" s="1"/>
      <c r="C6755" s="1"/>
      <c r="D6755" s="1"/>
      <c r="E6755" s="357">
        <v>46279</v>
      </c>
      <c r="F6755" s="344" t="s">
        <v>628</v>
      </c>
      <c r="G6755" s="358">
        <v>65.356200000000001</v>
      </c>
      <c r="H6755" s="344" t="s">
        <v>2323</v>
      </c>
    </row>
    <row r="6756" spans="1:8">
      <c r="A6756" s="1"/>
      <c r="B6756" s="1"/>
      <c r="C6756" s="1"/>
      <c r="D6756" s="1"/>
      <c r="E6756" s="357">
        <v>46279</v>
      </c>
      <c r="F6756" s="344" t="s">
        <v>631</v>
      </c>
      <c r="G6756" s="358">
        <v>48.534300000000002</v>
      </c>
      <c r="H6756" s="344" t="s">
        <v>2323</v>
      </c>
    </row>
    <row r="6757" spans="1:8">
      <c r="A6757" s="1"/>
      <c r="B6757" s="1"/>
      <c r="C6757" s="1"/>
      <c r="D6757" s="1"/>
      <c r="E6757" s="357">
        <v>46280</v>
      </c>
      <c r="F6757" s="344" t="s">
        <v>621</v>
      </c>
      <c r="G6757" s="358">
        <v>59.240299999999998</v>
      </c>
      <c r="H6757" s="344" t="s">
        <v>2324</v>
      </c>
    </row>
    <row r="6758" spans="1:8">
      <c r="A6758" s="1"/>
      <c r="B6758" s="1"/>
      <c r="C6758" s="1"/>
      <c r="D6758" s="1"/>
      <c r="E6758" s="357">
        <v>46280</v>
      </c>
      <c r="F6758" s="344" t="s">
        <v>625</v>
      </c>
      <c r="G6758" s="358">
        <v>56.020699999999998</v>
      </c>
      <c r="H6758" s="344" t="s">
        <v>2324</v>
      </c>
    </row>
    <row r="6759" spans="1:8">
      <c r="A6759" s="1"/>
      <c r="B6759" s="1"/>
      <c r="C6759" s="1"/>
      <c r="D6759" s="1"/>
      <c r="E6759" s="357">
        <v>46280</v>
      </c>
      <c r="F6759" s="344" t="s">
        <v>628</v>
      </c>
      <c r="G6759" s="358">
        <v>65.329700000000003</v>
      </c>
      <c r="H6759" s="344" t="s">
        <v>2324</v>
      </c>
    </row>
    <row r="6760" spans="1:8">
      <c r="A6760" s="1"/>
      <c r="B6760" s="1"/>
      <c r="C6760" s="1"/>
      <c r="D6760" s="1"/>
      <c r="E6760" s="357">
        <v>46280</v>
      </c>
      <c r="F6760" s="344" t="s">
        <v>631</v>
      </c>
      <c r="G6760" s="358">
        <v>48.558500000000002</v>
      </c>
      <c r="H6760" s="344" t="s">
        <v>2324</v>
      </c>
    </row>
    <row r="6761" spans="1:8">
      <c r="A6761" s="1"/>
      <c r="B6761" s="1"/>
      <c r="C6761" s="1"/>
      <c r="D6761" s="1"/>
      <c r="E6761" s="357">
        <v>46281</v>
      </c>
      <c r="F6761" s="344" t="s">
        <v>621</v>
      </c>
      <c r="G6761" s="358">
        <v>59.181899999999999</v>
      </c>
      <c r="H6761" s="344" t="s">
        <v>2325</v>
      </c>
    </row>
    <row r="6762" spans="1:8">
      <c r="A6762" s="1"/>
      <c r="B6762" s="1"/>
      <c r="C6762" s="1"/>
      <c r="D6762" s="1"/>
      <c r="E6762" s="357">
        <v>46281</v>
      </c>
      <c r="F6762" s="344" t="s">
        <v>625</v>
      </c>
      <c r="G6762" s="358">
        <v>56.064500000000002</v>
      </c>
      <c r="H6762" s="344" t="s">
        <v>2325</v>
      </c>
    </row>
    <row r="6763" spans="1:8">
      <c r="A6763" s="1"/>
      <c r="B6763" s="1"/>
      <c r="C6763" s="1"/>
      <c r="D6763" s="1"/>
      <c r="E6763" s="357">
        <v>46281</v>
      </c>
      <c r="F6763" s="344" t="s">
        <v>628</v>
      </c>
      <c r="G6763" s="358">
        <v>65.319000000000003</v>
      </c>
      <c r="H6763" s="344" t="s">
        <v>2325</v>
      </c>
    </row>
    <row r="6764" spans="1:8">
      <c r="A6764" s="1"/>
      <c r="B6764" s="1"/>
      <c r="C6764" s="1"/>
      <c r="D6764" s="1"/>
      <c r="E6764" s="357">
        <v>46281</v>
      </c>
      <c r="F6764" s="344" t="s">
        <v>631</v>
      </c>
      <c r="G6764" s="358">
        <v>48.5779</v>
      </c>
      <c r="H6764" s="344" t="s">
        <v>2325</v>
      </c>
    </row>
    <row r="6765" spans="1:8">
      <c r="A6765" s="1"/>
      <c r="B6765" s="1"/>
      <c r="C6765" s="1"/>
      <c r="D6765" s="1"/>
      <c r="E6765" s="357">
        <v>46282</v>
      </c>
      <c r="F6765" s="344" t="s">
        <v>621</v>
      </c>
      <c r="G6765" s="358">
        <v>58.740299999999998</v>
      </c>
      <c r="H6765" s="344" t="s">
        <v>2326</v>
      </c>
    </row>
    <row r="6766" spans="1:8">
      <c r="A6766" s="1"/>
      <c r="B6766" s="1"/>
      <c r="C6766" s="1"/>
      <c r="D6766" s="1"/>
      <c r="E6766" s="357">
        <v>46282</v>
      </c>
      <c r="F6766" s="344" t="s">
        <v>625</v>
      </c>
      <c r="G6766" s="358">
        <v>55.754800000000003</v>
      </c>
      <c r="H6766" s="344" t="s">
        <v>2326</v>
      </c>
    </row>
    <row r="6767" spans="1:8">
      <c r="A6767" s="1"/>
      <c r="B6767" s="1"/>
      <c r="C6767" s="1"/>
      <c r="D6767" s="1"/>
      <c r="E6767" s="357">
        <v>46282</v>
      </c>
      <c r="F6767" s="344" t="s">
        <v>628</v>
      </c>
      <c r="G6767" s="358">
        <v>64.957400000000007</v>
      </c>
      <c r="H6767" s="344" t="s">
        <v>2326</v>
      </c>
    </row>
    <row r="6768" spans="1:8">
      <c r="A6768" s="1"/>
      <c r="B6768" s="1"/>
      <c r="C6768" s="1"/>
      <c r="D6768" s="1"/>
      <c r="E6768" s="357">
        <v>46282</v>
      </c>
      <c r="F6768" s="344" t="s">
        <v>631</v>
      </c>
      <c r="G6768" s="358">
        <v>48.587299999999999</v>
      </c>
      <c r="H6768" s="344" t="s">
        <v>2326</v>
      </c>
    </row>
    <row r="6769" spans="1:8">
      <c r="A6769" s="1"/>
      <c r="B6769" s="1"/>
      <c r="C6769" s="1"/>
      <c r="D6769" s="1"/>
      <c r="E6769" s="357">
        <v>46283</v>
      </c>
      <c r="F6769" s="344" t="s">
        <v>621</v>
      </c>
      <c r="G6769" s="358">
        <v>58.7941</v>
      </c>
      <c r="H6769" s="344" t="s">
        <v>2327</v>
      </c>
    </row>
    <row r="6770" spans="1:8">
      <c r="A6770" s="1"/>
      <c r="B6770" s="1"/>
      <c r="C6770" s="1"/>
      <c r="D6770" s="1"/>
      <c r="E6770" s="357">
        <v>46283</v>
      </c>
      <c r="F6770" s="344" t="s">
        <v>625</v>
      </c>
      <c r="G6770" s="358">
        <v>55.798099999999998</v>
      </c>
      <c r="H6770" s="344" t="s">
        <v>2327</v>
      </c>
    </row>
    <row r="6771" spans="1:8">
      <c r="A6771" s="1"/>
      <c r="B6771" s="1"/>
      <c r="C6771" s="1"/>
      <c r="D6771" s="1"/>
      <c r="E6771" s="357">
        <v>46283</v>
      </c>
      <c r="F6771" s="344" t="s">
        <v>628</v>
      </c>
      <c r="G6771" s="358">
        <v>64.854900000000001</v>
      </c>
      <c r="H6771" s="344" t="s">
        <v>2327</v>
      </c>
    </row>
    <row r="6772" spans="1:8">
      <c r="A6772" s="1"/>
      <c r="B6772" s="1"/>
      <c r="C6772" s="1"/>
      <c r="D6772" s="1"/>
      <c r="E6772" s="357">
        <v>46283</v>
      </c>
      <c r="F6772" s="344" t="s">
        <v>631</v>
      </c>
      <c r="G6772" s="358">
        <v>48.611600000000003</v>
      </c>
      <c r="H6772" s="344" t="s">
        <v>2327</v>
      </c>
    </row>
    <row r="6773" spans="1:8">
      <c r="A6773" s="1"/>
      <c r="B6773" s="1"/>
      <c r="C6773" s="1"/>
      <c r="D6773" s="1"/>
      <c r="E6773" s="357">
        <v>46286</v>
      </c>
      <c r="F6773" s="344" t="s">
        <v>621</v>
      </c>
      <c r="G6773" s="358">
        <v>59.076099999999997</v>
      </c>
      <c r="H6773" s="344" t="s">
        <v>2328</v>
      </c>
    </row>
    <row r="6774" spans="1:8">
      <c r="A6774" s="1"/>
      <c r="B6774" s="1"/>
      <c r="C6774" s="1"/>
      <c r="D6774" s="1"/>
      <c r="E6774" s="357">
        <v>46286</v>
      </c>
      <c r="F6774" s="344" t="s">
        <v>625</v>
      </c>
      <c r="G6774" s="358">
        <v>55.924300000000002</v>
      </c>
      <c r="H6774" s="344" t="s">
        <v>2328</v>
      </c>
    </row>
    <row r="6775" spans="1:8">
      <c r="A6775" s="1"/>
      <c r="B6775" s="1"/>
      <c r="C6775" s="1"/>
      <c r="D6775" s="1"/>
      <c r="E6775" s="357">
        <v>46286</v>
      </c>
      <c r="F6775" s="344" t="s">
        <v>628</v>
      </c>
      <c r="G6775" s="358">
        <v>65.083399999999997</v>
      </c>
      <c r="H6775" s="344" t="s">
        <v>2328</v>
      </c>
    </row>
    <row r="6776" spans="1:8">
      <c r="A6776" s="1"/>
      <c r="B6776" s="1"/>
      <c r="C6776" s="1"/>
      <c r="D6776" s="1"/>
      <c r="E6776" s="357">
        <v>46286</v>
      </c>
      <c r="F6776" s="344" t="s">
        <v>631</v>
      </c>
      <c r="G6776" s="358">
        <v>48.713099999999997</v>
      </c>
      <c r="H6776" s="344" t="s">
        <v>2328</v>
      </c>
    </row>
    <row r="6777" spans="1:8">
      <c r="A6777" s="1"/>
      <c r="B6777" s="1"/>
      <c r="C6777" s="1"/>
      <c r="D6777" s="1"/>
      <c r="E6777" s="357">
        <v>46287</v>
      </c>
      <c r="F6777" s="344" t="s">
        <v>621</v>
      </c>
      <c r="G6777" s="358">
        <v>59.288600000000002</v>
      </c>
      <c r="H6777" s="344" t="s">
        <v>2329</v>
      </c>
    </row>
    <row r="6778" spans="1:8">
      <c r="A6778" s="1"/>
      <c r="B6778" s="1"/>
      <c r="C6778" s="1"/>
      <c r="D6778" s="1"/>
      <c r="E6778" s="357">
        <v>46287</v>
      </c>
      <c r="F6778" s="344" t="s">
        <v>625</v>
      </c>
      <c r="G6778" s="358">
        <v>55.851300000000002</v>
      </c>
      <c r="H6778" s="344" t="s">
        <v>2329</v>
      </c>
    </row>
    <row r="6779" spans="1:8">
      <c r="A6779" s="1"/>
      <c r="B6779" s="1"/>
      <c r="C6779" s="1"/>
      <c r="D6779" s="1"/>
      <c r="E6779" s="357">
        <v>46287</v>
      </c>
      <c r="F6779" s="344" t="s">
        <v>628</v>
      </c>
      <c r="G6779" s="358">
        <v>65.012200000000007</v>
      </c>
      <c r="H6779" s="344" t="s">
        <v>2329</v>
      </c>
    </row>
    <row r="6780" spans="1:8">
      <c r="A6780" s="1"/>
      <c r="B6780" s="1"/>
      <c r="C6780" s="1"/>
      <c r="D6780" s="1"/>
      <c r="E6780" s="357">
        <v>46287</v>
      </c>
      <c r="F6780" s="344" t="s">
        <v>631</v>
      </c>
      <c r="G6780" s="358">
        <v>48.732300000000002</v>
      </c>
      <c r="H6780" s="344" t="s">
        <v>2329</v>
      </c>
    </row>
    <row r="6781" spans="1:8">
      <c r="A6781" s="1"/>
      <c r="B6781" s="1"/>
      <c r="C6781" s="1"/>
      <c r="D6781" s="1"/>
      <c r="E6781" s="357">
        <v>46288</v>
      </c>
      <c r="F6781" s="344" t="s">
        <v>621</v>
      </c>
      <c r="G6781" s="358">
        <v>59.128</v>
      </c>
      <c r="H6781" s="344" t="s">
        <v>2330</v>
      </c>
    </row>
    <row r="6782" spans="1:8">
      <c r="A6782" s="1"/>
      <c r="B6782" s="1"/>
      <c r="C6782" s="1"/>
      <c r="D6782" s="1"/>
      <c r="E6782" s="357">
        <v>46288</v>
      </c>
      <c r="F6782" s="344" t="s">
        <v>625</v>
      </c>
      <c r="G6782" s="358">
        <v>55.652099999999997</v>
      </c>
      <c r="H6782" s="344" t="s">
        <v>2330</v>
      </c>
    </row>
    <row r="6783" spans="1:8">
      <c r="A6783" s="1"/>
      <c r="B6783" s="1"/>
      <c r="C6783" s="1"/>
      <c r="D6783" s="1"/>
      <c r="E6783" s="357">
        <v>46288</v>
      </c>
      <c r="F6783" s="344" t="s">
        <v>628</v>
      </c>
      <c r="G6783" s="358">
        <v>64.705200000000005</v>
      </c>
      <c r="H6783" s="344" t="s">
        <v>2330</v>
      </c>
    </row>
    <row r="6784" spans="1:8">
      <c r="A6784" s="1"/>
      <c r="B6784" s="1"/>
      <c r="C6784" s="1"/>
      <c r="D6784" s="1"/>
      <c r="E6784" s="357">
        <v>46288</v>
      </c>
      <c r="F6784" s="344" t="s">
        <v>631</v>
      </c>
      <c r="G6784" s="358">
        <v>48.749899999999997</v>
      </c>
      <c r="H6784" s="344" t="s">
        <v>2330</v>
      </c>
    </row>
    <row r="6785" spans="1:8">
      <c r="A6785" s="1"/>
      <c r="B6785" s="1"/>
      <c r="C6785" s="1"/>
      <c r="D6785" s="1"/>
      <c r="E6785" s="357">
        <v>46289</v>
      </c>
      <c r="F6785" s="344" t="s">
        <v>621</v>
      </c>
      <c r="G6785" s="358">
        <v>58.836500000000001</v>
      </c>
      <c r="H6785" s="344" t="s">
        <v>2331</v>
      </c>
    </row>
    <row r="6786" spans="1:8">
      <c r="A6786" s="1"/>
      <c r="B6786" s="1"/>
      <c r="C6786" s="1"/>
      <c r="D6786" s="1"/>
      <c r="E6786" s="357">
        <v>46289</v>
      </c>
      <c r="F6786" s="344" t="s">
        <v>625</v>
      </c>
      <c r="G6786" s="358">
        <v>55.494500000000002</v>
      </c>
      <c r="H6786" s="344" t="s">
        <v>2331</v>
      </c>
    </row>
    <row r="6787" spans="1:8">
      <c r="A6787" s="1"/>
      <c r="B6787" s="1"/>
      <c r="C6787" s="1"/>
      <c r="D6787" s="1"/>
      <c r="E6787" s="357">
        <v>46289</v>
      </c>
      <c r="F6787" s="344" t="s">
        <v>628</v>
      </c>
      <c r="G6787" s="358">
        <v>64.433800000000005</v>
      </c>
      <c r="H6787" s="344" t="s">
        <v>2331</v>
      </c>
    </row>
    <row r="6788" spans="1:8">
      <c r="A6788" s="1"/>
      <c r="B6788" s="1"/>
      <c r="C6788" s="1"/>
      <c r="D6788" s="1"/>
      <c r="E6788" s="357">
        <v>46289</v>
      </c>
      <c r="F6788" s="344" t="s">
        <v>631</v>
      </c>
      <c r="G6788" s="358">
        <v>48.767099999999999</v>
      </c>
      <c r="H6788" s="344" t="s">
        <v>2331</v>
      </c>
    </row>
    <row r="6789" spans="1:8">
      <c r="A6789" s="1"/>
      <c r="B6789" s="1"/>
      <c r="C6789" s="1"/>
      <c r="D6789" s="1"/>
      <c r="E6789" s="357">
        <v>46290</v>
      </c>
      <c r="F6789" s="344" t="s">
        <v>621</v>
      </c>
      <c r="G6789" s="358">
        <v>58.712800000000001</v>
      </c>
      <c r="H6789" s="344" t="s">
        <v>2332</v>
      </c>
    </row>
    <row r="6790" spans="1:8">
      <c r="A6790" s="1"/>
      <c r="B6790" s="1"/>
      <c r="C6790" s="1"/>
      <c r="D6790" s="1"/>
      <c r="E6790" s="357">
        <v>46290</v>
      </c>
      <c r="F6790" s="344" t="s">
        <v>625</v>
      </c>
      <c r="G6790" s="358">
        <v>55.587800000000001</v>
      </c>
      <c r="H6790" s="344" t="s">
        <v>2332</v>
      </c>
    </row>
    <row r="6791" spans="1:8">
      <c r="A6791" s="1"/>
      <c r="B6791" s="1"/>
      <c r="C6791" s="1"/>
      <c r="D6791" s="1"/>
      <c r="E6791" s="357">
        <v>46290</v>
      </c>
      <c r="F6791" s="344" t="s">
        <v>628</v>
      </c>
      <c r="G6791" s="358">
        <v>64.476100000000002</v>
      </c>
      <c r="H6791" s="344" t="s">
        <v>2332</v>
      </c>
    </row>
    <row r="6792" spans="1:8">
      <c r="A6792" s="1"/>
      <c r="B6792" s="1"/>
      <c r="C6792" s="1"/>
      <c r="D6792" s="1"/>
      <c r="E6792" s="357">
        <v>46290</v>
      </c>
      <c r="F6792" s="344" t="s">
        <v>631</v>
      </c>
      <c r="G6792" s="358">
        <v>48.790100000000002</v>
      </c>
      <c r="H6792" s="344" t="s">
        <v>2332</v>
      </c>
    </row>
    <row r="6793" spans="1:8">
      <c r="E6793" s="359">
        <v>46293</v>
      </c>
      <c r="F6793" s="360" t="s">
        <v>621</v>
      </c>
      <c r="G6793" s="361">
        <v>58.702599999999997</v>
      </c>
      <c r="H6793" s="362" t="s">
        <v>16236</v>
      </c>
    </row>
    <row r="6794" spans="1:8">
      <c r="E6794" s="359">
        <v>46293</v>
      </c>
      <c r="F6794" s="360" t="s">
        <v>625</v>
      </c>
      <c r="G6794" s="361">
        <v>55.630699999999997</v>
      </c>
      <c r="H6794" s="362" t="s">
        <v>16237</v>
      </c>
    </row>
    <row r="6795" spans="1:8">
      <c r="E6795" s="359">
        <v>46293</v>
      </c>
      <c r="F6795" s="360" t="s">
        <v>628</v>
      </c>
      <c r="G6795" s="361">
        <v>64.726799999999997</v>
      </c>
      <c r="H6795" s="362" t="s">
        <v>16238</v>
      </c>
    </row>
    <row r="6796" spans="1:8">
      <c r="E6796" s="359">
        <v>46293</v>
      </c>
      <c r="F6796" s="360" t="s">
        <v>631</v>
      </c>
      <c r="G6796" s="361">
        <v>48.900799999999997</v>
      </c>
      <c r="H6796" s="362" t="s">
        <v>16239</v>
      </c>
    </row>
    <row r="6797" spans="1:8">
      <c r="E6797" s="359">
        <v>46294</v>
      </c>
      <c r="F6797" s="360" t="s">
        <v>621</v>
      </c>
      <c r="G6797" s="361">
        <v>58.5349</v>
      </c>
      <c r="H6797" s="362" t="s">
        <v>16240</v>
      </c>
    </row>
    <row r="6798" spans="1:8">
      <c r="E6798" s="359">
        <v>46294</v>
      </c>
      <c r="F6798" s="360" t="s">
        <v>625</v>
      </c>
      <c r="G6798" s="361">
        <v>55.510300000000001</v>
      </c>
      <c r="H6798" s="362" t="s">
        <v>16241</v>
      </c>
    </row>
    <row r="6799" spans="1:8">
      <c r="E6799" s="359">
        <v>46294</v>
      </c>
      <c r="F6799" s="360" t="s">
        <v>628</v>
      </c>
      <c r="G6799" s="361">
        <v>64.632900000000006</v>
      </c>
      <c r="H6799" s="362" t="s">
        <v>16242</v>
      </c>
    </row>
    <row r="6800" spans="1:8">
      <c r="E6800" s="359">
        <v>46294</v>
      </c>
      <c r="F6800" s="360" t="s">
        <v>631</v>
      </c>
      <c r="G6800" s="361">
        <v>48.9131</v>
      </c>
      <c r="H6800" s="362" t="s">
        <v>16243</v>
      </c>
    </row>
    <row r="6801" spans="5:8">
      <c r="E6801" s="359">
        <v>46295</v>
      </c>
      <c r="F6801" s="360" t="s">
        <v>621</v>
      </c>
      <c r="G6801" s="361">
        <v>58.563600000000001</v>
      </c>
      <c r="H6801" s="362" t="s">
        <v>16244</v>
      </c>
    </row>
    <row r="6802" spans="5:8">
      <c r="E6802" s="359">
        <v>46295</v>
      </c>
      <c r="F6802" s="360" t="s">
        <v>625</v>
      </c>
      <c r="G6802" s="361">
        <v>55.556699999999999</v>
      </c>
      <c r="H6802" s="362" t="s">
        <v>16245</v>
      </c>
    </row>
    <row r="6803" spans="5:8">
      <c r="E6803" s="359">
        <v>46295</v>
      </c>
      <c r="F6803" s="360" t="s">
        <v>628</v>
      </c>
      <c r="G6803" s="361">
        <v>64.849299999999999</v>
      </c>
      <c r="H6803" s="362" t="s">
        <v>16246</v>
      </c>
    </row>
    <row r="6804" spans="5:8">
      <c r="E6804" s="359">
        <v>46295</v>
      </c>
      <c r="F6804" s="360" t="s">
        <v>631</v>
      </c>
      <c r="G6804" s="361">
        <v>48.930300000000003</v>
      </c>
      <c r="H6804" s="362" t="s">
        <v>16247</v>
      </c>
    </row>
  </sheetData>
  <sheetProtection algorithmName="SHA-512" hashValue="f8o0UHinlwZCBLNSfYJ7PaNSRxsRxCiGLG4DgTxFpJhdSHihL0MD/bn1P2OwD6iw0eU+RhAU/pSxsOg+VZ9BWg==" saltValue="px0suaRiKYbozmI2NnCp0A==" spinCount="100000" sheet="1" scenarios="1" formatColumns="0" sort="0" autoFilter="0"/>
  <pageMargins left="0.75" right="0.75" top="1" bottom="1" header="0.5" footer="0.5"/>
  <tableParts count="2">
    <tablePart r:id="rId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FFC000"/>
  </sheetPr>
  <dimension ref="A1:K6"/>
  <sheetViews>
    <sheetView showGridLines="0" workbookViewId="0">
      <pane xSplit="3" ySplit="5" topLeftCell="D6" activePane="bottomRight" state="frozen"/>
      <selection pane="topRight"/>
      <selection pane="bottomLeft"/>
      <selection pane="bottomRight"/>
    </sheetView>
  </sheetViews>
  <sheetFormatPr defaultRowHeight="12.75"/>
  <cols>
    <col min="1" max="3" width="11" customWidth="1"/>
    <col min="4" max="4" width="18" customWidth="1"/>
    <col min="5" max="5" width="30" customWidth="1"/>
    <col min="6" max="6" width="13" customWidth="1"/>
    <col min="7" max="7" width="36" customWidth="1"/>
    <col min="8" max="8" width="18" customWidth="1"/>
    <col min="9" max="9" width="14" customWidth="1"/>
    <col min="10" max="10" width="12" customWidth="1"/>
    <col min="11" max="11" width="11" customWidth="1"/>
  </cols>
  <sheetData>
    <row r="1" spans="1:11" ht="20.25">
      <c r="A1" s="9" t="s">
        <v>2333</v>
      </c>
      <c r="B1" s="1"/>
      <c r="C1" s="1"/>
      <c r="D1" s="1"/>
      <c r="E1" s="1"/>
      <c r="F1" s="1"/>
      <c r="G1" s="1"/>
      <c r="H1" s="1"/>
      <c r="I1" s="1"/>
      <c r="J1" s="1"/>
      <c r="K1" s="1"/>
    </row>
    <row r="2" spans="1:11">
      <c r="A2" s="10" t="s">
        <v>4292</v>
      </c>
      <c r="B2" s="1"/>
      <c r="C2" s="1"/>
      <c r="D2" s="1"/>
      <c r="E2" s="1"/>
      <c r="F2" s="1"/>
      <c r="G2" s="1"/>
      <c r="H2" s="1"/>
      <c r="I2" s="1"/>
      <c r="J2" s="1"/>
      <c r="K2" s="1"/>
    </row>
    <row r="3" spans="1:11">
      <c r="A3" s="13" t="s">
        <v>2334</v>
      </c>
      <c r="B3" s="1"/>
      <c r="C3" s="1"/>
      <c r="D3" s="16" t="str">
        <f>cpReconBasis</f>
        <v>GrossAmount</v>
      </c>
      <c r="E3" s="16" t="str">
        <f>"abs "&amp;cpAbsTol&amp;"  |  rel "&amp;cpRelTol*100&amp;"%"</f>
        <v>abs 1  |  rel 0%</v>
      </c>
      <c r="F3" s="1"/>
      <c r="G3" s="1"/>
      <c r="H3" s="1"/>
      <c r="I3" s="1"/>
      <c r="J3" s="1"/>
      <c r="K3" s="1"/>
    </row>
    <row r="4" spans="1:11">
      <c r="A4" s="1"/>
      <c r="B4" s="1"/>
      <c r="C4" s="1"/>
      <c r="D4" s="1"/>
      <c r="E4" s="1"/>
      <c r="F4" s="1"/>
      <c r="G4" s="1"/>
      <c r="H4" s="1"/>
      <c r="I4" s="1"/>
      <c r="J4" s="1"/>
      <c r="K4" s="1"/>
    </row>
    <row r="5" spans="1:11" ht="29.1" customHeight="1">
      <c r="A5" s="5" t="s">
        <v>193</v>
      </c>
      <c r="B5" s="5" t="s">
        <v>181</v>
      </c>
      <c r="C5" s="5" t="s">
        <v>127</v>
      </c>
      <c r="D5" s="5" t="s">
        <v>2335</v>
      </c>
      <c r="E5" s="5" t="s">
        <v>2336</v>
      </c>
      <c r="F5" s="5" t="s">
        <v>2337</v>
      </c>
      <c r="G5" s="5" t="s">
        <v>2338</v>
      </c>
      <c r="H5" s="5" t="s">
        <v>2339</v>
      </c>
      <c r="I5" s="5" t="s">
        <v>2340</v>
      </c>
      <c r="J5" s="5" t="s">
        <v>2341</v>
      </c>
      <c r="K5" s="5" t="s">
        <v>148</v>
      </c>
    </row>
    <row r="6" spans="1:11">
      <c r="A6" s="363"/>
      <c r="B6" s="364"/>
      <c r="C6" s="344"/>
      <c r="D6" s="365"/>
      <c r="E6" s="344"/>
      <c r="F6" s="344"/>
      <c r="G6" s="344"/>
      <c r="H6" s="366" t="str">
        <f>IF(OR(tblRecon[[#This Row],[PeriodKey]]="",tblRecon[[#This Row],[CompanyID]]="",tblRecon[[#This Row],[CurrencyCode]]=""),"",IF(cpReconBasis="NetAmount",SUMIFS(STG_Summary[NetAmount],STG_Summary[PeriodKey],tblRecon[[#This Row],[PeriodKey]],STG_Summary[CompanyID],tblRecon[[#This Row],[CompanyID]],STG_Summary[CurrencyCode],tblRecon[[#This Row],[CurrencyCode]],STG_Summary[DataSource],"&lt;&gt;ARCHIVE-SUPERSEDED"),SUMIFS(STG_Summary[GrossAmount],STG_Summary[PeriodKey],tblRecon[[#This Row],[PeriodKey]],STG_Summary[CompanyID],tblRecon[[#This Row],[CompanyID]],STG_Summary[CurrencyCode],tblRecon[[#This Row],[CurrencyCode]],STG_Summary[DataSource],"&lt;&gt;ARCHIVE-SUPERSEDED")))</f>
        <v/>
      </c>
      <c r="I6" s="367" t="str">
        <f>IF(OR(tblRecon[[#This Row],[ModelTotal]]="",tblRecon[[#This Row],[IndependentTotal]]=""),"",tblRecon[[#This Row],[ModelTotal]]-tblRecon[[#This Row],[IndependentTotal]])</f>
        <v/>
      </c>
      <c r="J6" s="366" t="str">
        <f>IF(tblRecon[[#This Row],[IndependentTotal]]="","",MAX(cpAbsTol,cpRelTol*ABS(tblRecon[[#This Row],[IndependentTotal]])))</f>
        <v/>
      </c>
      <c r="K6" s="368" t="str">
        <f>IF(AND(tblRecon[[#This Row],[PeriodKey]]="",tblRecon[[#This Row],[CompanyID]]="",tblRecon[[#This Row],[CurrencyCode]]="",tblRecon[[#This Row],[IndependentTotal]]=""),"",IF(OR(tblRecon[[#This Row],[PeriodKey]]="",tblRecon[[#This Row],[CompanyID]]="",tblRecon[[#This Row],[CurrencyCode]]="",tblRecon[[#This Row],[IndependentTotal]]=""),"REVIEW",IF(ABS(tblRecon[[#This Row],[Variance]])&lt;=tblRecon[[#This Row],[ToleranceApplied]],"OK","REVIEW")))</f>
        <v/>
      </c>
    </row>
  </sheetData>
  <sheetProtection algorithmName="SHA-512" hashValue="f9eWPTZnNtCIOixRdb1Y0XMlKa/r5ueo2Rf0Aa0pMlkAg58VrJnoHhLRqWAEC3/5k7G52fA/c/TVzv7So96F2g==" saltValue="EG8VpTUu+b7WM/mUY6q0QA==" spinCount="100000" sheet="1" scenarios="1" formatColumns="0" sort="0" autoFilter="0"/>
  <conditionalFormatting sqref="K6:K277">
    <cfRule type="cellIs" dxfId="19" priority="1" operator="equal">
      <formula>"OK"</formula>
    </cfRule>
    <cfRule type="cellIs" dxfId="18" priority="2" operator="equal">
      <formula>"REVIEW"</formula>
    </cfRule>
    <cfRule type="cellIs" dxfId="17" priority="3" operator="equal">
      <formula>"NO INPUT"</formula>
    </cfRule>
    <cfRule type="cellIs" dxfId="16" priority="4" operator="equal">
      <formula>"INFO"</formula>
    </cfRule>
  </conditionalFormatting>
  <pageMargins left="0.75" right="0.75" top="1" bottom="1" header="0.5" footer="0.5"/>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FFC000"/>
  </sheetPr>
  <dimension ref="A1:AD6"/>
  <sheetViews>
    <sheetView showGridLines="0" workbookViewId="0">
      <pane xSplit="1" ySplit="5" topLeftCell="B6" activePane="bottomRight" state="frozen"/>
      <selection pane="topRight"/>
      <selection pane="bottomLeft"/>
      <selection pane="bottomRight" activeCell="U6" sqref="U6"/>
    </sheetView>
  </sheetViews>
  <sheetFormatPr defaultRowHeight="12.75"/>
  <cols>
    <col min="1" max="1" width="11" customWidth="1"/>
    <col min="2" max="2" width="26" customWidth="1"/>
    <col min="3" max="4" width="12" customWidth="1"/>
    <col min="5" max="5" width="13" customWidth="1"/>
    <col min="6" max="8" width="18" customWidth="1"/>
    <col min="9" max="9" width="48" customWidth="1"/>
    <col min="10" max="10" width="12" customWidth="1"/>
    <col min="11" max="12" width="18" customWidth="1"/>
    <col min="13" max="13" width="12" customWidth="1"/>
    <col min="14" max="14" width="14" customWidth="1"/>
  </cols>
  <sheetData>
    <row r="1" spans="1:30" ht="20.25">
      <c r="A1" s="9" t="s">
        <v>2342</v>
      </c>
      <c r="B1" s="1"/>
      <c r="C1" s="1"/>
      <c r="D1" s="1"/>
      <c r="E1" s="1"/>
      <c r="F1" s="1"/>
      <c r="G1" s="1"/>
      <c r="H1" s="1"/>
      <c r="I1" s="1"/>
      <c r="J1" s="1"/>
      <c r="K1" s="1"/>
      <c r="L1" s="1"/>
      <c r="M1" s="1"/>
      <c r="N1" s="1"/>
    </row>
    <row r="2" spans="1:30">
      <c r="A2" s="10" t="s">
        <v>4291</v>
      </c>
      <c r="B2" s="1"/>
      <c r="C2" s="1"/>
      <c r="D2" s="1"/>
      <c r="E2" s="1"/>
      <c r="F2" s="1"/>
      <c r="G2" s="1"/>
      <c r="H2" s="1"/>
      <c r="I2" s="1"/>
      <c r="J2" s="1"/>
      <c r="K2" s="1"/>
      <c r="L2" s="1"/>
      <c r="M2" s="1"/>
      <c r="N2" s="1"/>
    </row>
    <row r="3" spans="1:30">
      <c r="A3" s="1"/>
      <c r="B3" s="1"/>
      <c r="C3" s="1"/>
      <c r="D3" s="1"/>
      <c r="E3" s="1"/>
      <c r="F3" s="1"/>
      <c r="G3" s="1"/>
      <c r="H3" s="1"/>
      <c r="I3" s="1"/>
      <c r="J3" s="1"/>
      <c r="K3" s="1"/>
      <c r="L3" s="1"/>
      <c r="M3" s="1"/>
      <c r="N3" s="1"/>
      <c r="V3" s="47" t="s">
        <v>20634</v>
      </c>
      <c r="X3" s="83" t="s">
        <v>22877</v>
      </c>
      <c r="AB3" s="47" t="s">
        <v>20635</v>
      </c>
      <c r="AD3" s="83" t="s">
        <v>20716</v>
      </c>
    </row>
    <row r="4" spans="1:30">
      <c r="A4" s="1"/>
      <c r="B4" s="1"/>
      <c r="C4" s="1"/>
      <c r="D4" s="1"/>
      <c r="E4" s="1"/>
      <c r="F4" s="1"/>
      <c r="G4" s="1"/>
      <c r="H4" s="1"/>
      <c r="I4" s="1"/>
      <c r="J4" s="1"/>
      <c r="K4" s="1"/>
      <c r="L4" s="1"/>
      <c r="M4" s="1"/>
      <c r="N4" s="1"/>
      <c r="X4" s="83"/>
    </row>
    <row r="5" spans="1:30" ht="38.25">
      <c r="A5" s="51" t="s">
        <v>193</v>
      </c>
      <c r="B5" s="51" t="s">
        <v>194</v>
      </c>
      <c r="C5" s="51" t="s">
        <v>195</v>
      </c>
      <c r="D5" s="51" t="s">
        <v>196</v>
      </c>
      <c r="E5" s="51" t="s">
        <v>2814</v>
      </c>
      <c r="F5" s="51" t="s">
        <v>197</v>
      </c>
      <c r="G5" s="51" t="s">
        <v>198</v>
      </c>
      <c r="H5" s="51" t="s">
        <v>199</v>
      </c>
      <c r="I5" s="51" t="s">
        <v>200</v>
      </c>
      <c r="J5" s="51" t="s">
        <v>2815</v>
      </c>
      <c r="K5" s="51" t="s">
        <v>2816</v>
      </c>
      <c r="L5" s="51" t="s">
        <v>2817</v>
      </c>
      <c r="M5" s="51" t="s">
        <v>2818</v>
      </c>
      <c r="N5" s="51" t="s">
        <v>2819</v>
      </c>
      <c r="O5" s="51" t="s">
        <v>2820</v>
      </c>
      <c r="P5" s="51" t="s">
        <v>303</v>
      </c>
      <c r="Q5" s="51" t="s">
        <v>2343</v>
      </c>
      <c r="R5" s="51" t="s">
        <v>2344</v>
      </c>
      <c r="S5" s="51" t="s">
        <v>2345</v>
      </c>
      <c r="T5" s="51" t="s">
        <v>2346</v>
      </c>
      <c r="U5" s="51" t="s">
        <v>2347</v>
      </c>
      <c r="V5" s="50" t="s">
        <v>20555</v>
      </c>
      <c r="W5" s="50" t="s">
        <v>20626</v>
      </c>
      <c r="X5" s="50" t="s">
        <v>20627</v>
      </c>
      <c r="Y5" s="50" t="s">
        <v>20628</v>
      </c>
      <c r="Z5" s="50" t="s">
        <v>20629</v>
      </c>
      <c r="AA5" s="50" t="s">
        <v>20630</v>
      </c>
      <c r="AB5" s="50" t="s">
        <v>20631</v>
      </c>
      <c r="AC5" s="50" t="s">
        <v>20632</v>
      </c>
      <c r="AD5" s="50" t="s">
        <v>20633</v>
      </c>
    </row>
    <row r="6" spans="1:30">
      <c r="A6" s="379"/>
      <c r="B6" s="380"/>
      <c r="C6" s="381"/>
      <c r="D6" s="380"/>
      <c r="E6" s="380"/>
      <c r="F6" s="382"/>
      <c r="G6" s="383"/>
      <c r="H6" s="383"/>
      <c r="I6" s="380"/>
      <c r="J6" s="384"/>
      <c r="K6" s="380"/>
      <c r="L6" s="380"/>
      <c r="M6" s="381"/>
      <c r="N6" s="384"/>
      <c r="O6" s="384"/>
      <c r="P6" s="385"/>
      <c r="Q6" s="386" t="str">
        <f>IF(tblArchiveLog[[#This Row],[PeriodKey]]="","",SUMIFS(STG_Summary[LineCount],STG_Summary[PeriodKey],tblArchiveLog[[#This Row],[PeriodKey]],STG_Summary[DataSource],"&lt;&gt;ACTIVE"))</f>
        <v/>
      </c>
      <c r="R6" s="366" t="str">
        <f>IF(tblArchiveLog[[#This Row],[PeriodKey]]="","",SUMIFS(STG_Summary[GrossAmount],STG_Summary[PeriodKey],tblArchiveLog[[#This Row],[PeriodKey]],STG_Summary[DataSource],"&lt;&gt;ACTIVE"))</f>
        <v/>
      </c>
      <c r="S6" s="366" t="str">
        <f>IF(tblArchiveLog[[#This Row],[PeriodKey]]="","",SUMIFS(STG_Summary[GrossAmountTRY],STG_Summary[PeriodKey],tblArchiveLog[[#This Row],[PeriodKey]],STG_Summary[DataSource],"&lt;&gt;ACTIVE"))</f>
        <v/>
      </c>
      <c r="T6" s="386" t="str">
        <f>IF(tblArchiveLog[[#This Row],[PeriodKey]]="","",IF(COUNTIFS(STG_Summary[PeriodKey],tblArchiveLog[[#This Row],[PeriodKey]],STG_Summary[DataSource],"&lt;&gt;ACTIVE")=0,0,SUMIFS(STG_Summary[ArchiveFilesInPeriod],STG_Summary[PeriodKey],tblArchiveLog[[#This Row],[PeriodKey]],STG_Summary[DataSource],"&lt;&gt;ACTIVE")/COUNTIFS(STG_Summary[PeriodKey],tblArchiveLog[[#This Row],[PeriodKey]],STG_Summary[DataSource],"&lt;&gt;ACTIVE")))</f>
        <v/>
      </c>
      <c r="U6" s="367" t="str" cm="1">
        <f t="array" ref="U6">IF(tblArchiveLog[[#This Row],[PeriodKey]]="","",IF(tblArchiveLog[[#This Row],[ArchiveState]]="SUPERSEDED","SUPERSEDED",IF(AND(tblArchiveLog[[#This Row],[CurrentRows]]=tblArchiveLog[[#This Row],[RecordedRows]],ABS(tblArchiveLog[[#This Row],[CurrentHashTotal]]-tblArchiveLog[[#This Row],[RecordedHashTotal]])&lt;0.005,ABS(tblArchiveLog[[#This Row],[CurrentGrossTRY]]-tblArchiveLog[[#This Row],[RecordedGrossTRY]])&lt;0.005,tblArchiveLog[[#This Row],[ArchiveFiles]]=1,OR(tblArchiveLog[[#This Row],[LoadBatch]]="",AND(tblArchiveLog[[#This Row],[ModelRows]]=tblArchiveLog[[#This Row],[RecordedRows]],ABS(tblArchiveLog[[#This Row],[ModelGross]]-tblArchiveLog[[#This Row],[RecordedHashTotal]])&lt;0.005,ABS(tblArchiveLog[[#This Row],[ModelGrossTRY]]-tblArchiveLog[[#This Row],[RecordedGrossTRY]])&lt;0.005,LEFT(archChainStatus,2)="OK",LEFT(archStoreStatus,2)="OK"))),"OK","REVIEW")))</f>
        <v/>
      </c>
      <c r="V6" s="387"/>
      <c r="W6" s="387"/>
      <c r="X6" s="387"/>
      <c r="Y6" s="387"/>
      <c r="Z6" s="388" t="str">
        <f>IF(tblArchiveLog[[#This Row],[LoadBatch]]="","",SUMIFS(STG_StoreCheck[StoreRows],STG_StoreCheck[LoadBatch],tblArchiveLog[[#This Row],[LoadBatch]]))</f>
        <v/>
      </c>
      <c r="AA6" s="388" t="str">
        <f>IF(tblArchiveLog[[#This Row],[LoadBatch]]="","",_xlfn.XLOOKUP(tblArchiveLog[[#This Row],[LoadBatch]],STG_StoreCheck[LoadBatch],STG_StoreCheck[StoreDigest],""))</f>
        <v/>
      </c>
      <c r="AB6" s="388" t="str">
        <f>IF(OR(tblArchiveLog[[#This Row],[PeriodKey]]="",tblArchiveLog[[#This Row],[ArchiveState]]&lt;&gt;"CURRENT"),"",IFERROR(GETPIVOTDATA("[Measures].[Store Rows]",STG_Store!$BO$5,"[DimDate].[PeriodKey]","[DimDate].[PeriodKey].&amp;["&amp;tblArchiveLog[[#This Row],[PeriodKey]]&amp;"]"),0))</f>
        <v/>
      </c>
      <c r="AC6" s="389" t="str">
        <f>IF(OR(tblArchiveLog[[#This Row],[PeriodKey]]="",tblArchiveLog[[#This Row],[ArchiveState]]&lt;&gt;"CURRENT"),"",IFERROR(GETPIVOTDATA("[Measures].[Store Gross]",STG_Store!$BO$5,"[DimDate].[PeriodKey]","[DimDate].[PeriodKey].&amp;["&amp;tblArchiveLog[[#This Row],[PeriodKey]]&amp;"]"),0))</f>
        <v/>
      </c>
      <c r="AD6" s="389" t="str">
        <f>IF(OR(tblArchiveLog[[#This Row],[PeriodKey]]="",tblArchiveLog[[#This Row],[ArchiveState]]&lt;&gt;"CURRENT"),"",IFERROR(GETPIVOTDATA("[Measures].[Store Gross TRY]",STG_Store!$BO$5,"[DimDate].[PeriodKey]","[DimDate].[PeriodKey].&amp;["&amp;tblArchiveLog[[#This Row],[PeriodKey]]&amp;"]"),0))</f>
        <v/>
      </c>
    </row>
  </sheetData>
  <sheetProtection algorithmName="SHA-512" hashValue="flxP8fq7QjqPdndrKA9xEE20qI+aErWgA0hQjdGOF6rpiJLflxjXniCLWoYpu2iyfgT0IbSXnnFougjUNfYT/Q==" saltValue="+fawilHPakWxYELqY/jo8A==" spinCount="100000" sheet="1" scenarios="1" formatColumns="0" sort="0" autoFilter="0"/>
  <phoneticPr fontId="17" type="noConversion"/>
  <conditionalFormatting sqref="N7:N206 U6:AD6">
    <cfRule type="cellIs" dxfId="15" priority="1" operator="equal">
      <formula>"OK"</formula>
    </cfRule>
    <cfRule type="cellIs" dxfId="14" priority="2" operator="equal">
      <formula>"REVIEW"</formula>
    </cfRule>
    <cfRule type="cellIs" dxfId="13" priority="3" operator="equal">
      <formula>"NO INPUT"</formula>
    </cfRule>
    <cfRule type="cellIs" dxfId="12" priority="4" operator="equal">
      <formula>"INFO"</formula>
    </cfRule>
  </conditionalFormatting>
  <conditionalFormatting sqref="U6:AD6">
    <cfRule type="cellIs" dxfId="11" priority="5" stopIfTrue="1" operator="equal">
      <formula>"SUPERSEDED"</formula>
    </cfRule>
  </conditionalFormatting>
  <pageMargins left="0.75" right="0.75" top="1" bottom="1" header="0.5" footer="0.5"/>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8F94D-F915-4E55-917F-F5663D6A7E13}">
  <sheetPr codeName="Sheet14"/>
  <dimension ref="A1:P5"/>
  <sheetViews>
    <sheetView workbookViewId="0"/>
  </sheetViews>
  <sheetFormatPr defaultRowHeight="12.75"/>
  <cols>
    <col min="1" max="14" width="14.7109375" customWidth="1"/>
    <col min="15" max="15" width="28.7109375" customWidth="1"/>
    <col min="16" max="16" width="50.7109375" customWidth="1"/>
  </cols>
  <sheetData>
    <row r="1" spans="1:16" ht="20.25">
      <c r="A1" s="53" t="s">
        <v>2892</v>
      </c>
    </row>
    <row r="2" spans="1:16">
      <c r="A2" s="54" t="s">
        <v>4290</v>
      </c>
    </row>
    <row r="4" spans="1:16" ht="25.5">
      <c r="A4" s="50" t="s">
        <v>2893</v>
      </c>
      <c r="B4" s="50" t="s">
        <v>193</v>
      </c>
      <c r="C4" s="50" t="s">
        <v>2894</v>
      </c>
      <c r="D4" s="50" t="s">
        <v>2895</v>
      </c>
      <c r="E4" s="50" t="s">
        <v>2896</v>
      </c>
      <c r="F4" s="50" t="s">
        <v>2897</v>
      </c>
      <c r="G4" s="50" t="s">
        <v>2898</v>
      </c>
      <c r="H4" s="50" t="s">
        <v>2899</v>
      </c>
      <c r="I4" s="50" t="s">
        <v>2900</v>
      </c>
      <c r="J4" s="50" t="s">
        <v>2901</v>
      </c>
      <c r="K4" s="50" t="s">
        <v>2902</v>
      </c>
      <c r="L4" s="50" t="s">
        <v>2903</v>
      </c>
      <c r="M4" s="50" t="s">
        <v>2904</v>
      </c>
      <c r="N4" s="50" t="s">
        <v>2905</v>
      </c>
      <c r="O4" s="50" t="s">
        <v>2906</v>
      </c>
      <c r="P4" s="50" t="s">
        <v>2907</v>
      </c>
    </row>
    <row r="5" spans="1:16">
      <c r="A5" s="390"/>
      <c r="B5" s="390"/>
      <c r="C5" s="391"/>
      <c r="D5" s="391"/>
      <c r="E5" s="391"/>
      <c r="F5" s="391"/>
      <c r="G5" s="392"/>
      <c r="H5" s="391"/>
      <c r="I5" s="390"/>
      <c r="J5" s="390"/>
      <c r="K5" s="390"/>
      <c r="L5" s="393"/>
      <c r="M5" s="393"/>
      <c r="N5" s="394"/>
      <c r="O5" s="391"/>
      <c r="P5" s="391"/>
    </row>
  </sheetData>
  <sheetProtection algorithmName="SHA-512" hashValue="UuzZLwqn5YUvJ+RxLKK79krOXxJMwb2pqK8aoyL3fsurZA8h0ZCUGSIuKG9SNldk3UcR9jTqlEnBevFpcM3QCQ==" saltValue="ivL9yXevUGeelhxdETkUIg==" spinCount="100000" sheet="1" scenarios="1" formatColumns="0" sort="0" autoFilter="0"/>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EE957-2EAC-41F1-99EC-26E8DBC90868}">
  <sheetPr codeName="Sheet15"/>
  <dimension ref="A1:P65"/>
  <sheetViews>
    <sheetView workbookViewId="0">
      <selection activeCell="E5" sqref="E5"/>
    </sheetView>
  </sheetViews>
  <sheetFormatPr defaultRowHeight="12.75"/>
  <cols>
    <col min="1" max="1" width="6.7109375" customWidth="1"/>
    <col min="2" max="2" width="70.7109375" customWidth="1"/>
    <col min="3" max="3" width="12.7109375" customWidth="1"/>
    <col min="4" max="4" width="24.7109375" customWidth="1"/>
    <col min="5" max="5" width="11.7109375" customWidth="1"/>
    <col min="6" max="6" width="50.7109375" customWidth="1"/>
    <col min="7" max="7" width="11.7109375" customWidth="1"/>
    <col min="8" max="8" width="22.7109375" customWidth="1"/>
    <col min="9" max="9" width="20.7109375" customWidth="1"/>
    <col min="11" max="11" width="18.7109375" customWidth="1"/>
    <col min="13" max="14" width="60.7109375" style="52" customWidth="1"/>
  </cols>
  <sheetData>
    <row r="1" spans="1:16" ht="20.25">
      <c r="A1" s="53" t="s">
        <v>2821</v>
      </c>
    </row>
    <row r="2" spans="1:16">
      <c r="A2" s="54" t="s">
        <v>4117</v>
      </c>
    </row>
    <row r="4" spans="1:16" ht="25.5">
      <c r="A4" s="50" t="s">
        <v>2822</v>
      </c>
      <c r="B4" s="50" t="s">
        <v>2823</v>
      </c>
      <c r="C4" s="50" t="s">
        <v>2824</v>
      </c>
      <c r="D4" s="50" t="s">
        <v>4004</v>
      </c>
      <c r="E4" s="50" t="s">
        <v>148</v>
      </c>
      <c r="F4" s="50" t="s">
        <v>2711</v>
      </c>
      <c r="G4" s="50" t="s">
        <v>2825</v>
      </c>
      <c r="H4" s="50" t="s">
        <v>2826</v>
      </c>
      <c r="I4" s="50" t="s">
        <v>2827</v>
      </c>
      <c r="K4" s="47" t="s">
        <v>2891</v>
      </c>
    </row>
    <row r="5" spans="1:16" ht="51">
      <c r="A5" s="369" t="s">
        <v>22</v>
      </c>
      <c r="B5" s="369" t="s">
        <v>4005</v>
      </c>
      <c r="C5" s="369" t="s">
        <v>2635</v>
      </c>
      <c r="D5" s="369" t="s">
        <v>4006</v>
      </c>
      <c r="E5" s="369" t="s">
        <v>3451</v>
      </c>
      <c r="F5" s="369" t="s">
        <v>4007</v>
      </c>
      <c r="G5" s="370"/>
      <c r="H5" s="369"/>
      <c r="I5" s="369" t="s">
        <v>2828</v>
      </c>
      <c r="K5" t="str" cm="1">
        <f t="array" ref="K5:P9">_xlfn.LET(_xlpm.c,lstDecisionCategory,_xlpm.s,TRANSPOSE(lstDecisionStatus),_xlfn.VSTACK(_xlfn.HSTACK("Category \ Status",_xlpm.s),_xlfn.HSTACK(_xlpm.c,COUNTIFS(tblDecision[Category],_xlpm.c,tblDecision[Status],_xlpm.s))))</f>
        <v>Category \ Status</v>
      </c>
      <c r="L5" t="str">
        <v>Open</v>
      </c>
      <c r="M5" s="52" t="str">
        <v>Confirmed</v>
      </c>
      <c r="N5" s="52" t="str">
        <v>Superseded</v>
      </c>
      <c r="O5" t="str">
        <v>Removed</v>
      </c>
      <c r="P5" t="str">
        <v>Deferred</v>
      </c>
    </row>
    <row r="6" spans="1:16" ht="38.25">
      <c r="A6" s="369" t="s">
        <v>23</v>
      </c>
      <c r="B6" s="369" t="s">
        <v>4008</v>
      </c>
      <c r="C6" s="369" t="s">
        <v>2637</v>
      </c>
      <c r="D6" s="369" t="s">
        <v>4009</v>
      </c>
      <c r="E6" s="369" t="s">
        <v>2642</v>
      </c>
      <c r="F6" s="369" t="s">
        <v>4010</v>
      </c>
      <c r="G6" s="370">
        <v>46294</v>
      </c>
      <c r="H6" s="369"/>
      <c r="I6" s="369" t="s">
        <v>2830</v>
      </c>
      <c r="K6" t="str">
        <v>Verification</v>
      </c>
      <c r="L6">
        <v>0</v>
      </c>
      <c r="M6" s="52">
        <v>1</v>
      </c>
      <c r="N6" s="52">
        <v>0</v>
      </c>
      <c r="O6">
        <v>2</v>
      </c>
      <c r="P6">
        <v>5</v>
      </c>
    </row>
    <row r="7" spans="1:16" ht="25.5">
      <c r="A7" s="369" t="s">
        <v>24</v>
      </c>
      <c r="B7" s="371" t="s">
        <v>4011</v>
      </c>
      <c r="C7" s="369" t="s">
        <v>2635</v>
      </c>
      <c r="D7" s="369" t="s">
        <v>4006</v>
      </c>
      <c r="E7" s="369" t="s">
        <v>3451</v>
      </c>
      <c r="F7" s="369" t="s">
        <v>4012</v>
      </c>
      <c r="G7" s="370"/>
      <c r="H7" s="369"/>
      <c r="I7" s="369" t="s">
        <v>2832</v>
      </c>
      <c r="K7" t="str">
        <v>Policy</v>
      </c>
      <c r="L7">
        <v>0</v>
      </c>
      <c r="M7" s="52">
        <v>19</v>
      </c>
      <c r="N7" s="52">
        <v>0</v>
      </c>
      <c r="O7">
        <v>1</v>
      </c>
      <c r="P7">
        <v>0</v>
      </c>
    </row>
    <row r="8" spans="1:16" ht="38.25">
      <c r="A8" s="369" t="s">
        <v>25</v>
      </c>
      <c r="B8" s="371" t="s">
        <v>4013</v>
      </c>
      <c r="C8" s="369" t="s">
        <v>2635</v>
      </c>
      <c r="D8" s="369" t="s">
        <v>4006</v>
      </c>
      <c r="E8" s="369" t="s">
        <v>3451</v>
      </c>
      <c r="F8" s="369" t="s">
        <v>4014</v>
      </c>
      <c r="G8" s="370"/>
      <c r="H8" s="369"/>
      <c r="I8" s="369"/>
      <c r="K8" t="str">
        <v>Technical</v>
      </c>
      <c r="L8">
        <v>0</v>
      </c>
      <c r="M8" s="52">
        <v>16</v>
      </c>
      <c r="N8" s="52">
        <v>2</v>
      </c>
      <c r="O8">
        <v>2</v>
      </c>
      <c r="P8">
        <v>0</v>
      </c>
    </row>
    <row r="9" spans="1:16" ht="25.5">
      <c r="A9" s="369" t="s">
        <v>26</v>
      </c>
      <c r="B9" s="369" t="s">
        <v>2834</v>
      </c>
      <c r="C9" s="369" t="s">
        <v>2635</v>
      </c>
      <c r="D9" s="369" t="s">
        <v>4009</v>
      </c>
      <c r="E9" s="369" t="s">
        <v>2642</v>
      </c>
      <c r="F9" s="369" t="s">
        <v>4015</v>
      </c>
      <c r="G9" s="370">
        <v>46294</v>
      </c>
      <c r="H9" s="369"/>
      <c r="I9" s="369" t="s">
        <v>2835</v>
      </c>
      <c r="K9" t="str">
        <v>Process</v>
      </c>
      <c r="L9">
        <v>0</v>
      </c>
      <c r="M9" s="52">
        <v>7</v>
      </c>
      <c r="N9" s="52">
        <v>3</v>
      </c>
      <c r="O9">
        <v>3</v>
      </c>
      <c r="P9">
        <v>0</v>
      </c>
    </row>
    <row r="10" spans="1:16" ht="25.5">
      <c r="A10" s="369" t="s">
        <v>27</v>
      </c>
      <c r="B10" s="369" t="s">
        <v>28</v>
      </c>
      <c r="C10" s="369" t="s">
        <v>2635</v>
      </c>
      <c r="D10" s="369" t="s">
        <v>4006</v>
      </c>
      <c r="E10" s="369" t="s">
        <v>3451</v>
      </c>
      <c r="F10" s="369" t="s">
        <v>4016</v>
      </c>
      <c r="G10" s="370"/>
      <c r="H10" s="369" t="s">
        <v>285</v>
      </c>
      <c r="I10" s="369" t="s">
        <v>2832</v>
      </c>
    </row>
    <row r="11" spans="1:16" ht="38.25">
      <c r="A11" s="369" t="s">
        <v>29</v>
      </c>
      <c r="B11" s="369" t="s">
        <v>2836</v>
      </c>
      <c r="C11" s="369" t="s">
        <v>2636</v>
      </c>
      <c r="D11" s="369" t="s">
        <v>4009</v>
      </c>
      <c r="E11" s="369" t="s">
        <v>2642</v>
      </c>
      <c r="F11" s="369" t="s">
        <v>4017</v>
      </c>
      <c r="G11" s="370">
        <v>46294</v>
      </c>
      <c r="H11" s="369" t="s">
        <v>2</v>
      </c>
      <c r="I11" s="369" t="s">
        <v>2837</v>
      </c>
    </row>
    <row r="12" spans="1:16" ht="51">
      <c r="A12" s="369" t="s">
        <v>30</v>
      </c>
      <c r="B12" s="369" t="s">
        <v>4018</v>
      </c>
      <c r="C12" s="369" t="s">
        <v>2636</v>
      </c>
      <c r="D12" s="369" t="s">
        <v>4009</v>
      </c>
      <c r="E12" s="369" t="s">
        <v>2642</v>
      </c>
      <c r="F12" s="369" t="s">
        <v>4019</v>
      </c>
      <c r="G12" s="370">
        <v>46294</v>
      </c>
      <c r="H12" s="369" t="s">
        <v>2838</v>
      </c>
      <c r="I12" s="369" t="s">
        <v>2839</v>
      </c>
      <c r="K12" s="108" t="s">
        <v>4118</v>
      </c>
    </row>
    <row r="13" spans="1:16" ht="25.5">
      <c r="A13" s="369" t="s">
        <v>31</v>
      </c>
      <c r="B13" s="369" t="s">
        <v>32</v>
      </c>
      <c r="C13" s="369" t="s">
        <v>2636</v>
      </c>
      <c r="D13" s="369" t="s">
        <v>4009</v>
      </c>
      <c r="E13" s="369" t="s">
        <v>2642</v>
      </c>
      <c r="F13" s="369" t="s">
        <v>4020</v>
      </c>
      <c r="G13" s="370">
        <v>46294</v>
      </c>
      <c r="H13" s="369" t="s">
        <v>285</v>
      </c>
      <c r="I13" s="369" t="s">
        <v>2832</v>
      </c>
      <c r="K13" s="47" t="str" cm="1">
        <f t="array" ref="K13:N18">_xlfn.LET(_xlpm.f,_xlfn._xlws.FILTER(_xlfn.HSTACK(tblDecision[ID],tblDecision[Owner],tblDecision[Statement],tblDecision[Evidence]),tblDecision[Status]="Deferred",""),IF(ROWS(_xlpm.f)*COLUMNS(_xlpm.f)=1,"No deferred item",_xlfn.VSTACK({"ID","Owner","Statement","Evidence"},_xlpm.f)))</f>
        <v>ID</v>
      </c>
      <c r="L13" s="47" t="str">
        <v>Owner</v>
      </c>
      <c r="M13" s="85" t="str">
        <v>Statement</v>
      </c>
      <c r="N13" s="85" t="str">
        <v>Evidence</v>
      </c>
    </row>
    <row r="14" spans="1:16" ht="63.75">
      <c r="A14" s="369" t="s">
        <v>33</v>
      </c>
      <c r="B14" s="369" t="s">
        <v>34</v>
      </c>
      <c r="C14" s="369" t="s">
        <v>2636</v>
      </c>
      <c r="D14" s="369" t="s">
        <v>4009</v>
      </c>
      <c r="E14" s="369" t="s">
        <v>2642</v>
      </c>
      <c r="F14" s="369" t="s">
        <v>4021</v>
      </c>
      <c r="G14" s="370">
        <v>46294</v>
      </c>
      <c r="H14" s="369" t="s">
        <v>2840</v>
      </c>
      <c r="I14" s="369" t="s">
        <v>2832</v>
      </c>
      <c r="K14" t="str">
        <v>A1</v>
      </c>
      <c r="L14" t="str">
        <v>Data owners</v>
      </c>
      <c r="M14" s="52" t="str">
        <v>ColumnIDs are provisional: ColumnID = 'C' + position of the header in the transcribed schema list (102 headers); the official schema reference is held by the data owners. A row counts as verified only when Cmd_VerifyColumnIDs has stamped VerifiedBy and VerifiedOn with the Windows identity.</v>
      </c>
      <c r="N14" s="52" t="str">
        <v>Backlog: waits for the official schema reference. Check COLUMNID_VERIFIED is ADVISORY (amber, listed in the closing pack) and does not block the close.</v>
      </c>
    </row>
    <row r="15" spans="1:16" ht="38.25">
      <c r="A15" s="369" t="s">
        <v>35</v>
      </c>
      <c r="B15" s="369" t="s">
        <v>2841</v>
      </c>
      <c r="C15" s="369" t="s">
        <v>2636</v>
      </c>
      <c r="D15" s="369" t="s">
        <v>4009</v>
      </c>
      <c r="E15" s="369" t="s">
        <v>2642</v>
      </c>
      <c r="F15" s="369" t="s">
        <v>4022</v>
      </c>
      <c r="G15" s="370">
        <v>46294</v>
      </c>
      <c r="H15" s="369" t="s">
        <v>278</v>
      </c>
      <c r="I15" s="369" t="s">
        <v>2842</v>
      </c>
      <c r="K15" t="str">
        <v>A3</v>
      </c>
      <c r="L15" t="str">
        <v>Data owners</v>
      </c>
      <c r="M15" s="52" t="str">
        <v>Toplam Ödenen' (total paid) is mapped to GrossAmount. The reconciliation of every company using that header is the test.</v>
      </c>
      <c r="N15" s="52" t="str">
        <v>Backlog: confirmed by the companies' ledgers through the monthly reconciliation (check RECON).</v>
      </c>
    </row>
    <row r="16" spans="1:16" ht="38.25">
      <c r="A16" s="369" t="s">
        <v>36</v>
      </c>
      <c r="B16" s="369" t="s">
        <v>37</v>
      </c>
      <c r="C16" s="369" t="s">
        <v>2637</v>
      </c>
      <c r="D16" s="369" t="s">
        <v>4009</v>
      </c>
      <c r="E16" s="369" t="s">
        <v>2642</v>
      </c>
      <c r="F16" s="369" t="s">
        <v>4023</v>
      </c>
      <c r="G16" s="370">
        <v>46294</v>
      </c>
      <c r="H16" s="369" t="s">
        <v>281</v>
      </c>
      <c r="I16" s="369" t="s">
        <v>2843</v>
      </c>
      <c r="K16" t="str">
        <v>A4</v>
      </c>
      <c r="L16" t="str">
        <v>Data owners</v>
      </c>
      <c r="M16" s="52" t="str">
        <v>Poliçe Başlama / Bitiş Tarih (YG)' is mapped to PolicyStart / PolicyEndDate; the meaning of '(YG)' is to be confirmed by the data owners. Not modelled - no numeric impact.</v>
      </c>
      <c r="N16" s="52" t="str">
        <v>Backlog: no numeric impact while the field is not modelled.</v>
      </c>
    </row>
    <row r="17" spans="1:14" ht="25.5">
      <c r="A17" s="369" t="s">
        <v>38</v>
      </c>
      <c r="B17" s="369" t="s">
        <v>39</v>
      </c>
      <c r="C17" s="369" t="s">
        <v>2636</v>
      </c>
      <c r="D17" s="369" t="s">
        <v>4009</v>
      </c>
      <c r="E17" s="369" t="s">
        <v>2642</v>
      </c>
      <c r="F17" s="369" t="s">
        <v>4024</v>
      </c>
      <c r="G17" s="370">
        <v>46294</v>
      </c>
      <c r="H17" s="369"/>
      <c r="I17" s="369"/>
      <c r="K17" t="str">
        <v>A6</v>
      </c>
      <c r="L17" t="str">
        <v>Data owners</v>
      </c>
      <c r="M17" s="52" t="str">
        <v>NetAmount is the source's NETODENEN as delivered; it is not recomputed from gross minus deductions.</v>
      </c>
      <c r="N17" s="52" t="str">
        <v>Backlog: to be confirmed against the companies' payment definitions; ReconBasis = GrossAmount meanwhile.</v>
      </c>
    </row>
    <row r="18" spans="1:14" ht="25.5">
      <c r="A18" s="369" t="s">
        <v>40</v>
      </c>
      <c r="B18" s="369" t="s">
        <v>41</v>
      </c>
      <c r="C18" s="369" t="s">
        <v>2636</v>
      </c>
      <c r="D18" s="369" t="s">
        <v>4009</v>
      </c>
      <c r="E18" s="369" t="s">
        <v>2642</v>
      </c>
      <c r="F18" s="369" t="s">
        <v>4025</v>
      </c>
      <c r="G18" s="370">
        <v>46294</v>
      </c>
      <c r="H18" s="369"/>
      <c r="I18" s="369" t="s">
        <v>2843</v>
      </c>
      <c r="K18" t="str">
        <v>D36</v>
      </c>
      <c r="L18" t="str">
        <v>IT</v>
      </c>
      <c r="M18" s="52" t="str">
        <v>PDF exports: tenant sensitivity labels could protect the PDFs that Excel exports (dashboard PDF, closing pack).</v>
      </c>
      <c r="N18" s="52" t="str">
        <v>Backlog: to be verified with the organisation's PDF reader and labelling policy; Excel itself does not encrypt the PDFs.</v>
      </c>
    </row>
    <row r="19" spans="1:14" ht="25.5">
      <c r="A19" s="369" t="s">
        <v>42</v>
      </c>
      <c r="B19" s="369" t="s">
        <v>43</v>
      </c>
      <c r="C19" s="369" t="s">
        <v>2637</v>
      </c>
      <c r="D19" s="369" t="s">
        <v>4009</v>
      </c>
      <c r="E19" s="369" t="s">
        <v>2642</v>
      </c>
      <c r="F19" s="369" t="s">
        <v>4026</v>
      </c>
      <c r="G19" s="370">
        <v>46294</v>
      </c>
      <c r="H19" s="369"/>
      <c r="I19" s="369"/>
    </row>
    <row r="20" spans="1:14" ht="25.5">
      <c r="A20" s="369" t="s">
        <v>44</v>
      </c>
      <c r="B20" s="369" t="s">
        <v>45</v>
      </c>
      <c r="C20" s="369" t="s">
        <v>2637</v>
      </c>
      <c r="D20" s="369" t="s">
        <v>4009</v>
      </c>
      <c r="E20" s="369" t="s">
        <v>2642</v>
      </c>
      <c r="F20" s="369" t="s">
        <v>4027</v>
      </c>
      <c r="G20" s="370">
        <v>46294</v>
      </c>
      <c r="H20" s="369"/>
      <c r="I20" s="369" t="s">
        <v>2832</v>
      </c>
    </row>
    <row r="21" spans="1:14" ht="25.5">
      <c r="A21" s="369" t="s">
        <v>46</v>
      </c>
      <c r="B21" s="369" t="s">
        <v>4028</v>
      </c>
      <c r="C21" s="369" t="s">
        <v>2637</v>
      </c>
      <c r="D21" s="369" t="s">
        <v>2844</v>
      </c>
      <c r="E21" s="369" t="s">
        <v>2643</v>
      </c>
      <c r="F21" s="369" t="s">
        <v>4029</v>
      </c>
      <c r="G21" s="370"/>
      <c r="H21" s="369"/>
      <c r="I21" s="369"/>
    </row>
    <row r="22" spans="1:14" ht="38.25">
      <c r="A22" s="369" t="s">
        <v>47</v>
      </c>
      <c r="B22" s="369" t="s">
        <v>2845</v>
      </c>
      <c r="C22" s="369" t="s">
        <v>2638</v>
      </c>
      <c r="D22" s="369" t="s">
        <v>4009</v>
      </c>
      <c r="E22" s="369" t="s">
        <v>2642</v>
      </c>
      <c r="F22" s="369" t="s">
        <v>4030</v>
      </c>
      <c r="G22" s="370">
        <v>46294</v>
      </c>
      <c r="H22" s="369"/>
      <c r="I22" s="369" t="s">
        <v>2835</v>
      </c>
    </row>
    <row r="23" spans="1:14" ht="25.5">
      <c r="A23" s="369" t="s">
        <v>48</v>
      </c>
      <c r="B23" s="369" t="s">
        <v>49</v>
      </c>
      <c r="C23" s="369" t="s">
        <v>2638</v>
      </c>
      <c r="D23" s="369" t="s">
        <v>2831</v>
      </c>
      <c r="E23" s="369" t="s">
        <v>2643</v>
      </c>
      <c r="F23" s="369" t="s">
        <v>4031</v>
      </c>
      <c r="G23" s="370"/>
      <c r="H23" s="369"/>
      <c r="I23" s="369" t="s">
        <v>2846</v>
      </c>
    </row>
    <row r="24" spans="1:14">
      <c r="A24" s="369" t="s">
        <v>50</v>
      </c>
      <c r="B24" s="369" t="s">
        <v>51</v>
      </c>
      <c r="C24" s="369" t="s">
        <v>2637</v>
      </c>
      <c r="D24" s="369" t="s">
        <v>4009</v>
      </c>
      <c r="E24" s="369" t="s">
        <v>2642</v>
      </c>
      <c r="F24" s="369" t="s">
        <v>2847</v>
      </c>
      <c r="G24" s="370">
        <v>46294</v>
      </c>
      <c r="H24" s="369" t="s">
        <v>2</v>
      </c>
      <c r="I24" s="369"/>
    </row>
    <row r="25" spans="1:14" ht="25.5">
      <c r="A25" s="369" t="s">
        <v>52</v>
      </c>
      <c r="B25" s="369" t="s">
        <v>2848</v>
      </c>
      <c r="C25" s="369" t="s">
        <v>2637</v>
      </c>
      <c r="D25" s="369" t="s">
        <v>2829</v>
      </c>
      <c r="E25" s="369" t="s">
        <v>2643</v>
      </c>
      <c r="F25" s="369" t="s">
        <v>2849</v>
      </c>
      <c r="G25" s="370"/>
      <c r="H25" s="369"/>
      <c r="I25" s="369"/>
    </row>
    <row r="26" spans="1:14" ht="25.5">
      <c r="A26" s="369" t="s">
        <v>53</v>
      </c>
      <c r="B26" s="369" t="s">
        <v>4032</v>
      </c>
      <c r="C26" s="369" t="s">
        <v>2638</v>
      </c>
      <c r="D26" s="369" t="s">
        <v>2829</v>
      </c>
      <c r="E26" s="369" t="s">
        <v>2644</v>
      </c>
      <c r="F26" s="369" t="s">
        <v>4033</v>
      </c>
      <c r="G26" s="370"/>
      <c r="H26" s="369"/>
      <c r="I26" s="369"/>
    </row>
    <row r="27" spans="1:14" ht="38.25">
      <c r="A27" s="369" t="s">
        <v>54</v>
      </c>
      <c r="B27" s="369" t="s">
        <v>4034</v>
      </c>
      <c r="C27" s="369" t="s">
        <v>2638</v>
      </c>
      <c r="D27" s="369" t="s">
        <v>4009</v>
      </c>
      <c r="E27" s="369" t="s">
        <v>2643</v>
      </c>
      <c r="F27" s="369" t="s">
        <v>4035</v>
      </c>
      <c r="G27" s="370"/>
      <c r="H27" s="369"/>
      <c r="I27" s="369"/>
    </row>
    <row r="28" spans="1:14" ht="25.5">
      <c r="A28" s="369" t="s">
        <v>55</v>
      </c>
      <c r="B28" s="369" t="s">
        <v>2850</v>
      </c>
      <c r="C28" s="369" t="s">
        <v>2637</v>
      </c>
      <c r="D28" s="369" t="s">
        <v>4009</v>
      </c>
      <c r="E28" s="369" t="s">
        <v>2642</v>
      </c>
      <c r="F28" s="369" t="s">
        <v>4036</v>
      </c>
      <c r="G28" s="370">
        <v>46294</v>
      </c>
      <c r="H28" s="369"/>
      <c r="I28" s="369" t="s">
        <v>2830</v>
      </c>
    </row>
    <row r="29" spans="1:14" ht="25.5">
      <c r="A29" s="369" t="s">
        <v>56</v>
      </c>
      <c r="B29" s="369" t="s">
        <v>4037</v>
      </c>
      <c r="C29" s="369" t="s">
        <v>2638</v>
      </c>
      <c r="D29" s="369" t="s">
        <v>4009</v>
      </c>
      <c r="E29" s="369" t="s">
        <v>2644</v>
      </c>
      <c r="F29" s="369" t="s">
        <v>4038</v>
      </c>
      <c r="G29" s="370"/>
      <c r="H29" s="369"/>
      <c r="I29" s="369" t="s">
        <v>2832</v>
      </c>
    </row>
    <row r="30" spans="1:14" ht="25.5">
      <c r="A30" s="369" t="s">
        <v>2851</v>
      </c>
      <c r="B30" s="369" t="s">
        <v>2852</v>
      </c>
      <c r="C30" s="369" t="s">
        <v>2637</v>
      </c>
      <c r="D30" s="369" t="s">
        <v>4009</v>
      </c>
      <c r="E30" s="369" t="s">
        <v>2642</v>
      </c>
      <c r="F30" s="369" t="s">
        <v>4039</v>
      </c>
      <c r="G30" s="370">
        <v>46294</v>
      </c>
      <c r="H30" s="369"/>
      <c r="I30" s="369"/>
    </row>
    <row r="31" spans="1:14" ht="38.25">
      <c r="A31" s="369" t="s">
        <v>2853</v>
      </c>
      <c r="B31" s="369" t="s">
        <v>2854</v>
      </c>
      <c r="C31" s="369" t="s">
        <v>2637</v>
      </c>
      <c r="D31" s="369" t="s">
        <v>4009</v>
      </c>
      <c r="E31" s="369" t="s">
        <v>2642</v>
      </c>
      <c r="F31" s="369" t="s">
        <v>4040</v>
      </c>
      <c r="G31" s="370">
        <v>46294</v>
      </c>
      <c r="H31" s="369"/>
      <c r="I31" s="369"/>
    </row>
    <row r="32" spans="1:14" ht="25.5">
      <c r="A32" s="369" t="s">
        <v>2855</v>
      </c>
      <c r="B32" s="369" t="s">
        <v>4041</v>
      </c>
      <c r="C32" s="369" t="s">
        <v>2637</v>
      </c>
      <c r="D32" s="369" t="s">
        <v>4009</v>
      </c>
      <c r="E32" s="369" t="s">
        <v>2644</v>
      </c>
      <c r="F32" s="369" t="s">
        <v>4042</v>
      </c>
      <c r="G32" s="370"/>
      <c r="H32" s="369"/>
      <c r="I32" s="369"/>
    </row>
    <row r="33" spans="1:9" ht="38.25">
      <c r="A33" s="369" t="s">
        <v>2856</v>
      </c>
      <c r="B33" s="369" t="s">
        <v>2857</v>
      </c>
      <c r="C33" s="369" t="s">
        <v>2637</v>
      </c>
      <c r="D33" s="369" t="s">
        <v>4009</v>
      </c>
      <c r="E33" s="369" t="s">
        <v>2642</v>
      </c>
      <c r="F33" s="369" t="s">
        <v>4043</v>
      </c>
      <c r="G33" s="370">
        <v>46294</v>
      </c>
      <c r="H33" s="369"/>
      <c r="I33" s="369" t="s">
        <v>2858</v>
      </c>
    </row>
    <row r="34" spans="1:9" ht="25.5">
      <c r="A34" s="369" t="s">
        <v>2859</v>
      </c>
      <c r="B34" s="369" t="s">
        <v>4044</v>
      </c>
      <c r="C34" s="369" t="s">
        <v>2638</v>
      </c>
      <c r="D34" s="369" t="s">
        <v>4009</v>
      </c>
      <c r="E34" s="369" t="s">
        <v>2644</v>
      </c>
      <c r="F34" s="369" t="s">
        <v>4045</v>
      </c>
      <c r="G34" s="370"/>
      <c r="H34" s="369"/>
      <c r="I34" s="369"/>
    </row>
    <row r="35" spans="1:9" ht="25.5">
      <c r="A35" s="369" t="s">
        <v>2860</v>
      </c>
      <c r="B35" s="369" t="s">
        <v>4046</v>
      </c>
      <c r="C35" s="369" t="s">
        <v>2635</v>
      </c>
      <c r="D35" s="369" t="s">
        <v>4009</v>
      </c>
      <c r="E35" s="369" t="s">
        <v>2644</v>
      </c>
      <c r="F35" s="369" t="s">
        <v>4047</v>
      </c>
      <c r="G35" s="370"/>
      <c r="H35" s="369"/>
      <c r="I35" s="369"/>
    </row>
    <row r="36" spans="1:9" ht="38.25">
      <c r="A36" s="369" t="s">
        <v>2861</v>
      </c>
      <c r="B36" s="369" t="s">
        <v>4048</v>
      </c>
      <c r="C36" s="369" t="s">
        <v>2635</v>
      </c>
      <c r="D36" s="369" t="s">
        <v>4009</v>
      </c>
      <c r="E36" s="369" t="s">
        <v>2644</v>
      </c>
      <c r="F36" s="369" t="s">
        <v>4049</v>
      </c>
      <c r="G36" s="370"/>
      <c r="H36" s="369"/>
      <c r="I36" s="369"/>
    </row>
    <row r="37" spans="1:9" ht="38.25">
      <c r="A37" s="369" t="s">
        <v>2862</v>
      </c>
      <c r="B37" s="369" t="s">
        <v>4050</v>
      </c>
      <c r="C37" s="369" t="s">
        <v>2636</v>
      </c>
      <c r="D37" s="369" t="s">
        <v>4009</v>
      </c>
      <c r="E37" s="369" t="s">
        <v>2644</v>
      </c>
      <c r="F37" s="369" t="s">
        <v>4051</v>
      </c>
      <c r="G37" s="370"/>
      <c r="H37" s="369"/>
      <c r="I37" s="369"/>
    </row>
    <row r="38" spans="1:9" ht="25.5">
      <c r="A38" s="369" t="s">
        <v>2864</v>
      </c>
      <c r="B38" s="369" t="s">
        <v>2865</v>
      </c>
      <c r="C38" s="369" t="s">
        <v>2636</v>
      </c>
      <c r="D38" s="369" t="s">
        <v>4009</v>
      </c>
      <c r="E38" s="369" t="s">
        <v>2642</v>
      </c>
      <c r="F38" s="369" t="s">
        <v>4052</v>
      </c>
      <c r="G38" s="370">
        <v>46294</v>
      </c>
      <c r="H38" s="369" t="s">
        <v>2866</v>
      </c>
      <c r="I38" s="369" t="s">
        <v>2867</v>
      </c>
    </row>
    <row r="39" spans="1:9" ht="25.5">
      <c r="A39" s="369" t="s">
        <v>2868</v>
      </c>
      <c r="B39" s="369" t="s">
        <v>4053</v>
      </c>
      <c r="C39" s="369" t="s">
        <v>2637</v>
      </c>
      <c r="D39" s="369" t="s">
        <v>4009</v>
      </c>
      <c r="E39" s="369" t="s">
        <v>2644</v>
      </c>
      <c r="F39" s="369" t="s">
        <v>4054</v>
      </c>
      <c r="G39" s="370"/>
      <c r="H39" s="369" t="s">
        <v>2682</v>
      </c>
      <c r="I39" s="369" t="s">
        <v>2867</v>
      </c>
    </row>
    <row r="40" spans="1:9" ht="38.25">
      <c r="A40" s="369" t="s">
        <v>2869</v>
      </c>
      <c r="B40" s="369" t="s">
        <v>4055</v>
      </c>
      <c r="C40" s="369" t="s">
        <v>2635</v>
      </c>
      <c r="D40" s="369" t="s">
        <v>2870</v>
      </c>
      <c r="E40" s="369" t="s">
        <v>3451</v>
      </c>
      <c r="F40" s="369" t="s">
        <v>4056</v>
      </c>
      <c r="G40" s="370"/>
      <c r="H40" s="369"/>
      <c r="I40" s="369"/>
    </row>
    <row r="41" spans="1:9" ht="25.5">
      <c r="A41" s="369" t="s">
        <v>2871</v>
      </c>
      <c r="B41" s="369" t="s">
        <v>4057</v>
      </c>
      <c r="C41" s="369" t="s">
        <v>2636</v>
      </c>
      <c r="D41" s="369" t="s">
        <v>4009</v>
      </c>
      <c r="E41" s="369" t="s">
        <v>2642</v>
      </c>
      <c r="F41" s="369" t="s">
        <v>4058</v>
      </c>
      <c r="G41" s="370">
        <v>46294</v>
      </c>
      <c r="H41" s="369"/>
      <c r="I41" s="369"/>
    </row>
    <row r="42" spans="1:9" ht="25.5">
      <c r="A42" s="369" t="s">
        <v>2872</v>
      </c>
      <c r="B42" s="369" t="s">
        <v>4059</v>
      </c>
      <c r="C42" s="369" t="s">
        <v>2636</v>
      </c>
      <c r="D42" s="369" t="s">
        <v>4009</v>
      </c>
      <c r="E42" s="369" t="s">
        <v>2642</v>
      </c>
      <c r="F42" s="369" t="s">
        <v>4060</v>
      </c>
      <c r="G42" s="370">
        <v>46294</v>
      </c>
      <c r="H42" s="369" t="s">
        <v>2694</v>
      </c>
      <c r="I42" s="369" t="s">
        <v>2873</v>
      </c>
    </row>
    <row r="43" spans="1:9" ht="38.25">
      <c r="A43" s="369" t="s">
        <v>2874</v>
      </c>
      <c r="B43" s="369" t="s">
        <v>4061</v>
      </c>
      <c r="C43" s="369" t="s">
        <v>2636</v>
      </c>
      <c r="D43" s="369" t="s">
        <v>4009</v>
      </c>
      <c r="E43" s="369" t="s">
        <v>2642</v>
      </c>
      <c r="F43" s="369" t="s">
        <v>4062</v>
      </c>
      <c r="G43" s="370">
        <v>46294</v>
      </c>
      <c r="H43" s="369" t="s">
        <v>2697</v>
      </c>
      <c r="I43" s="369" t="s">
        <v>2875</v>
      </c>
    </row>
    <row r="44" spans="1:9" ht="25.5">
      <c r="A44" s="369" t="s">
        <v>2876</v>
      </c>
      <c r="B44" s="369" t="s">
        <v>4063</v>
      </c>
      <c r="C44" s="369" t="s">
        <v>2636</v>
      </c>
      <c r="D44" s="369" t="s">
        <v>4009</v>
      </c>
      <c r="E44" s="369" t="s">
        <v>2642</v>
      </c>
      <c r="F44" s="369" t="s">
        <v>4064</v>
      </c>
      <c r="G44" s="370">
        <v>46294</v>
      </c>
      <c r="H44" s="369"/>
      <c r="I44" s="369" t="s">
        <v>2858</v>
      </c>
    </row>
    <row r="45" spans="1:9" ht="51">
      <c r="A45" s="369" t="s">
        <v>2877</v>
      </c>
      <c r="B45" s="369" t="s">
        <v>4065</v>
      </c>
      <c r="C45" s="369" t="s">
        <v>2638</v>
      </c>
      <c r="D45" s="369" t="s">
        <v>4009</v>
      </c>
      <c r="E45" s="369" t="s">
        <v>2642</v>
      </c>
      <c r="F45" s="369" t="s">
        <v>4066</v>
      </c>
      <c r="G45" s="370">
        <v>46294</v>
      </c>
      <c r="H45" s="369"/>
      <c r="I45" s="369"/>
    </row>
    <row r="46" spans="1:9" ht="38.25">
      <c r="A46" s="369" t="s">
        <v>2878</v>
      </c>
      <c r="B46" s="371" t="s">
        <v>4067</v>
      </c>
      <c r="C46" s="369" t="s">
        <v>2637</v>
      </c>
      <c r="D46" s="369" t="s">
        <v>4009</v>
      </c>
      <c r="E46" s="369" t="s">
        <v>2642</v>
      </c>
      <c r="F46" s="369" t="s">
        <v>4068</v>
      </c>
      <c r="G46" s="370">
        <v>46294</v>
      </c>
      <c r="H46" s="369" t="s">
        <v>2672</v>
      </c>
      <c r="I46" s="369"/>
    </row>
    <row r="47" spans="1:9" ht="51">
      <c r="A47" s="369" t="s">
        <v>2879</v>
      </c>
      <c r="B47" s="369" t="s">
        <v>2880</v>
      </c>
      <c r="C47" s="369" t="s">
        <v>2637</v>
      </c>
      <c r="D47" s="369" t="s">
        <v>4009</v>
      </c>
      <c r="E47" s="369" t="s">
        <v>2642</v>
      </c>
      <c r="F47" s="369" t="s">
        <v>4069</v>
      </c>
      <c r="G47" s="370">
        <v>46294</v>
      </c>
      <c r="H47" s="369" t="s">
        <v>3829</v>
      </c>
      <c r="I47" s="369" t="s">
        <v>2863</v>
      </c>
    </row>
    <row r="48" spans="1:9" ht="38.25">
      <c r="A48" s="369" t="s">
        <v>2881</v>
      </c>
      <c r="B48" s="369" t="s">
        <v>4070</v>
      </c>
      <c r="C48" s="369" t="s">
        <v>2637</v>
      </c>
      <c r="D48" s="369" t="s">
        <v>4009</v>
      </c>
      <c r="E48" s="369" t="s">
        <v>2642</v>
      </c>
      <c r="F48" s="369" t="s">
        <v>4071</v>
      </c>
      <c r="G48" s="370">
        <v>46294</v>
      </c>
      <c r="H48" s="369"/>
      <c r="I48" s="369"/>
    </row>
    <row r="49" spans="1:9" ht="38.25">
      <c r="A49" s="369" t="s">
        <v>2882</v>
      </c>
      <c r="B49" s="369" t="s">
        <v>4072</v>
      </c>
      <c r="C49" s="369" t="s">
        <v>2638</v>
      </c>
      <c r="D49" s="369" t="s">
        <v>4009</v>
      </c>
      <c r="E49" s="369" t="s">
        <v>2642</v>
      </c>
      <c r="F49" s="369" t="s">
        <v>4073</v>
      </c>
      <c r="G49" s="370">
        <v>46294</v>
      </c>
      <c r="H49" s="369" t="s">
        <v>2</v>
      </c>
      <c r="I49" s="369" t="s">
        <v>2883</v>
      </c>
    </row>
    <row r="50" spans="1:9" ht="25.5">
      <c r="A50" s="369" t="s">
        <v>2884</v>
      </c>
      <c r="B50" s="369" t="s">
        <v>2885</v>
      </c>
      <c r="C50" s="369" t="s">
        <v>2638</v>
      </c>
      <c r="D50" s="369" t="s">
        <v>4009</v>
      </c>
      <c r="E50" s="369" t="s">
        <v>2642</v>
      </c>
      <c r="F50" s="369" t="s">
        <v>4074</v>
      </c>
      <c r="G50" s="370">
        <v>46294</v>
      </c>
      <c r="H50" s="369"/>
      <c r="I50" s="369" t="s">
        <v>2886</v>
      </c>
    </row>
    <row r="51" spans="1:9" ht="38.25">
      <c r="A51" s="369" t="s">
        <v>2887</v>
      </c>
      <c r="B51" s="369" t="s">
        <v>2888</v>
      </c>
      <c r="C51" s="369" t="s">
        <v>2638</v>
      </c>
      <c r="D51" s="369" t="s">
        <v>4009</v>
      </c>
      <c r="E51" s="369" t="s">
        <v>2642</v>
      </c>
      <c r="F51" s="369" t="s">
        <v>4075</v>
      </c>
      <c r="G51" s="370">
        <v>46294</v>
      </c>
      <c r="H51" s="369"/>
      <c r="I51" s="369"/>
    </row>
    <row r="52" spans="1:9" ht="25.5">
      <c r="A52" s="369" t="s">
        <v>2889</v>
      </c>
      <c r="B52" s="369" t="s">
        <v>4076</v>
      </c>
      <c r="C52" s="369" t="s">
        <v>2638</v>
      </c>
      <c r="D52" s="369" t="s">
        <v>4009</v>
      </c>
      <c r="E52" s="369" t="s">
        <v>2643</v>
      </c>
      <c r="F52" s="369" t="s">
        <v>4077</v>
      </c>
      <c r="G52" s="370"/>
      <c r="H52" s="369"/>
      <c r="I52" s="369"/>
    </row>
    <row r="53" spans="1:9" ht="63.75">
      <c r="A53" s="369" t="s">
        <v>2890</v>
      </c>
      <c r="B53" s="369" t="s">
        <v>4078</v>
      </c>
      <c r="C53" s="369" t="s">
        <v>2637</v>
      </c>
      <c r="D53" s="369" t="s">
        <v>4009</v>
      </c>
      <c r="E53" s="369" t="s">
        <v>2642</v>
      </c>
      <c r="F53" s="369" t="s">
        <v>4079</v>
      </c>
      <c r="G53" s="370">
        <v>46294</v>
      </c>
      <c r="H53" s="369"/>
      <c r="I53" s="369"/>
    </row>
    <row r="54" spans="1:9" ht="76.5">
      <c r="A54" s="369" t="s">
        <v>4080</v>
      </c>
      <c r="B54" s="369" t="s">
        <v>4081</v>
      </c>
      <c r="C54" s="369" t="s">
        <v>2636</v>
      </c>
      <c r="D54" s="369" t="s">
        <v>4009</v>
      </c>
      <c r="E54" s="369" t="s">
        <v>2642</v>
      </c>
      <c r="F54" s="369" t="s">
        <v>4082</v>
      </c>
      <c r="G54" s="370">
        <v>46294</v>
      </c>
      <c r="H54" s="369"/>
      <c r="I54" s="369"/>
    </row>
    <row r="55" spans="1:9" ht="63.75">
      <c r="A55" s="369" t="s">
        <v>4083</v>
      </c>
      <c r="B55" s="369" t="s">
        <v>4084</v>
      </c>
      <c r="C55" s="369" t="s">
        <v>2636</v>
      </c>
      <c r="D55" s="369" t="s">
        <v>4009</v>
      </c>
      <c r="E55" s="369" t="s">
        <v>2642</v>
      </c>
      <c r="F55" s="369" t="s">
        <v>4085</v>
      </c>
      <c r="G55" s="370">
        <v>46294</v>
      </c>
      <c r="H55" s="369"/>
      <c r="I55" s="369"/>
    </row>
    <row r="56" spans="1:9" ht="51">
      <c r="A56" s="369" t="s">
        <v>4086</v>
      </c>
      <c r="B56" s="369" t="s">
        <v>4087</v>
      </c>
      <c r="C56" s="369" t="s">
        <v>2637</v>
      </c>
      <c r="D56" s="369" t="s">
        <v>4009</v>
      </c>
      <c r="E56" s="369" t="s">
        <v>2642</v>
      </c>
      <c r="F56" s="369" t="s">
        <v>4088</v>
      </c>
      <c r="G56" s="370">
        <v>46294</v>
      </c>
      <c r="H56" s="369" t="s">
        <v>4089</v>
      </c>
      <c r="I56" s="369"/>
    </row>
    <row r="57" spans="1:9" ht="51">
      <c r="A57" s="369" t="s">
        <v>4090</v>
      </c>
      <c r="B57" s="369" t="s">
        <v>4091</v>
      </c>
      <c r="C57" s="369" t="s">
        <v>2637</v>
      </c>
      <c r="D57" s="369" t="s">
        <v>4009</v>
      </c>
      <c r="E57" s="369" t="s">
        <v>2642</v>
      </c>
      <c r="F57" s="369" t="s">
        <v>4092</v>
      </c>
      <c r="G57" s="370">
        <v>46294</v>
      </c>
      <c r="H57" s="369" t="s">
        <v>3836</v>
      </c>
      <c r="I57" s="369"/>
    </row>
    <row r="58" spans="1:9" ht="38.25">
      <c r="A58" s="369" t="s">
        <v>4093</v>
      </c>
      <c r="B58" s="369" t="s">
        <v>4094</v>
      </c>
      <c r="C58" s="369" t="s">
        <v>2637</v>
      </c>
      <c r="D58" s="369" t="s">
        <v>4009</v>
      </c>
      <c r="E58" s="369" t="s">
        <v>2642</v>
      </c>
      <c r="F58" s="369" t="s">
        <v>4095</v>
      </c>
      <c r="G58" s="370">
        <v>46294</v>
      </c>
      <c r="H58" s="369"/>
      <c r="I58" s="369"/>
    </row>
    <row r="59" spans="1:9" ht="51">
      <c r="A59" s="369" t="s">
        <v>4096</v>
      </c>
      <c r="B59" s="369" t="s">
        <v>4097</v>
      </c>
      <c r="C59" s="369" t="s">
        <v>2636</v>
      </c>
      <c r="D59" s="369" t="s">
        <v>4009</v>
      </c>
      <c r="E59" s="369" t="s">
        <v>2642</v>
      </c>
      <c r="F59" s="369" t="s">
        <v>4098</v>
      </c>
      <c r="G59" s="370">
        <v>46294</v>
      </c>
      <c r="H59" s="369"/>
      <c r="I59" s="369"/>
    </row>
    <row r="60" spans="1:9" ht="38.25">
      <c r="A60" s="369" t="s">
        <v>4099</v>
      </c>
      <c r="B60" s="369" t="s">
        <v>4100</v>
      </c>
      <c r="C60" s="369" t="s">
        <v>2636</v>
      </c>
      <c r="D60" s="369" t="s">
        <v>4009</v>
      </c>
      <c r="E60" s="369" t="s">
        <v>2642</v>
      </c>
      <c r="F60" s="369" t="s">
        <v>4101</v>
      </c>
      <c r="G60" s="370">
        <v>46294</v>
      </c>
      <c r="H60" s="369"/>
      <c r="I60" s="369" t="s">
        <v>2828</v>
      </c>
    </row>
    <row r="61" spans="1:9" ht="38.25">
      <c r="A61" s="369" t="s">
        <v>4102</v>
      </c>
      <c r="B61" s="369" t="s">
        <v>4103</v>
      </c>
      <c r="C61" s="369" t="s">
        <v>2638</v>
      </c>
      <c r="D61" s="369" t="s">
        <v>4009</v>
      </c>
      <c r="E61" s="369" t="s">
        <v>2642</v>
      </c>
      <c r="F61" s="369" t="s">
        <v>4104</v>
      </c>
      <c r="G61" s="370">
        <v>46294</v>
      </c>
      <c r="H61" s="369"/>
      <c r="I61" s="369"/>
    </row>
    <row r="62" spans="1:9" ht="38.25">
      <c r="A62" s="369" t="s">
        <v>4105</v>
      </c>
      <c r="B62" s="369" t="s">
        <v>4106</v>
      </c>
      <c r="C62" s="369" t="s">
        <v>2638</v>
      </c>
      <c r="D62" s="369" t="s">
        <v>4009</v>
      </c>
      <c r="E62" s="369" t="s">
        <v>2642</v>
      </c>
      <c r="F62" s="369" t="s">
        <v>4107</v>
      </c>
      <c r="G62" s="370">
        <v>46294</v>
      </c>
      <c r="H62" s="369"/>
      <c r="I62" s="369"/>
    </row>
    <row r="63" spans="1:9" ht="38.25">
      <c r="A63" s="369" t="s">
        <v>4108</v>
      </c>
      <c r="B63" s="369" t="s">
        <v>4109</v>
      </c>
      <c r="C63" s="369" t="s">
        <v>2636</v>
      </c>
      <c r="D63" s="369" t="s">
        <v>4009</v>
      </c>
      <c r="E63" s="369" t="s">
        <v>2642</v>
      </c>
      <c r="F63" s="369" t="s">
        <v>4110</v>
      </c>
      <c r="G63" s="370">
        <v>46294</v>
      </c>
      <c r="H63" s="369"/>
      <c r="I63" s="369"/>
    </row>
    <row r="64" spans="1:9" ht="38.25">
      <c r="A64" s="369" t="s">
        <v>4111</v>
      </c>
      <c r="B64" s="369" t="s">
        <v>4112</v>
      </c>
      <c r="C64" s="369" t="s">
        <v>2636</v>
      </c>
      <c r="D64" s="369" t="s">
        <v>4009</v>
      </c>
      <c r="E64" s="369" t="s">
        <v>2642</v>
      </c>
      <c r="F64" s="369" t="s">
        <v>4113</v>
      </c>
      <c r="G64" s="370">
        <v>46294</v>
      </c>
      <c r="H64" s="369" t="s">
        <v>2697</v>
      </c>
      <c r="I64" s="369" t="s">
        <v>2875</v>
      </c>
    </row>
    <row r="65" spans="1:9" ht="76.5">
      <c r="A65" s="369" t="s">
        <v>4114</v>
      </c>
      <c r="B65" s="369" t="s">
        <v>4115</v>
      </c>
      <c r="C65" s="369" t="s">
        <v>2636</v>
      </c>
      <c r="D65" s="369" t="s">
        <v>4009</v>
      </c>
      <c r="E65" s="369" t="s">
        <v>2642</v>
      </c>
      <c r="F65" s="369" t="s">
        <v>4116</v>
      </c>
      <c r="G65" s="370">
        <v>46294</v>
      </c>
      <c r="H65" s="369" t="s">
        <v>3</v>
      </c>
      <c r="I65" s="369" t="s">
        <v>3223</v>
      </c>
    </row>
  </sheetData>
  <sheetProtection algorithmName="SHA-512" hashValue="kcURHc4T1He7MtuCDlsKbm0E+4FBV6abv9IIM4F4+bgZRqYY1W4f4o3t63AuNxHYYtTsdCtHEios0Lgf+gA0Hg==" saltValue="GtCRJDKWWjdJKUQ5rCe8yg==" spinCount="100000" sheet="1" scenarios="1" formatColumns="0" sort="0" autoFilter="0"/>
  <conditionalFormatting sqref="E5:E65">
    <cfRule type="cellIs" dxfId="10" priority="1" stopIfTrue="1" operator="equal">
      <formula>"Open"</formula>
    </cfRule>
    <cfRule type="cellIs" dxfId="9" priority="2" stopIfTrue="1" operator="equal">
      <formula>"Confirmed"</formula>
    </cfRule>
    <cfRule type="cellIs" dxfId="8" priority="3" stopIfTrue="1" operator="equal">
      <formula>"Superseded"</formula>
    </cfRule>
    <cfRule type="cellIs" dxfId="7" priority="4" stopIfTrue="1" operator="equal">
      <formula>"Removed"</formula>
    </cfRule>
  </conditionalFormatting>
  <dataValidations count="2">
    <dataValidation type="list" allowBlank="1" showInputMessage="1" showErrorMessage="1" sqref="E5:E65" xr:uid="{18924529-DCB0-4BEC-9FF5-63EAE6AF1AC6}">
      <formula1>lstDecisionStatus</formula1>
    </dataValidation>
    <dataValidation type="list" allowBlank="1" showInputMessage="1" showErrorMessage="1" sqref="C5:C65" xr:uid="{4C3C313F-FF7E-4742-B4D9-DED001057423}">
      <formula1>lstDecisionCategory</formula1>
    </dataValidation>
  </dataValidations>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44356-4449-4C28-BF22-4AED08395E87}">
  <sheetPr codeName="Sheet16"/>
  <dimension ref="A1:G190"/>
  <sheetViews>
    <sheetView workbookViewId="0"/>
  </sheetViews>
  <sheetFormatPr defaultRowHeight="12.75"/>
  <cols>
    <col min="1" max="1" width="12.7109375" customWidth="1"/>
    <col min="2" max="2" width="24.7109375" customWidth="1"/>
    <col min="3" max="3" width="60.7109375" customWidth="1"/>
    <col min="4" max="4" width="18.7109375" customWidth="1"/>
    <col min="5" max="6" width="9.7109375" customWidth="1"/>
    <col min="7" max="7" width="70.7109375" customWidth="1"/>
  </cols>
  <sheetData>
    <row r="1" spans="1:7" ht="20.25">
      <c r="A1" s="53" t="s">
        <v>22833</v>
      </c>
    </row>
    <row r="2" spans="1:7">
      <c r="A2" s="54" t="s">
        <v>22834</v>
      </c>
    </row>
    <row r="4" spans="1:7">
      <c r="A4" s="50" t="s">
        <v>2931</v>
      </c>
      <c r="B4" s="50" t="s">
        <v>2932</v>
      </c>
      <c r="C4" s="50" t="s">
        <v>2933</v>
      </c>
      <c r="D4" s="50" t="s">
        <v>299</v>
      </c>
      <c r="E4" s="50" t="s">
        <v>2934</v>
      </c>
      <c r="F4" s="50" t="s">
        <v>2935</v>
      </c>
      <c r="G4" s="50" t="s">
        <v>239</v>
      </c>
    </row>
    <row r="5" spans="1:7" ht="38.25">
      <c r="A5" s="56" t="s">
        <v>2936</v>
      </c>
      <c r="B5" s="56" t="s">
        <v>2937</v>
      </c>
      <c r="C5" s="56" t="s">
        <v>2938</v>
      </c>
      <c r="D5" s="56" t="s">
        <v>1</v>
      </c>
      <c r="E5" s="56" t="s">
        <v>1</v>
      </c>
      <c r="F5" s="56" t="s">
        <v>2939</v>
      </c>
      <c r="G5" s="56" t="s">
        <v>2940</v>
      </c>
    </row>
    <row r="6" spans="1:7">
      <c r="A6" s="56" t="s">
        <v>2936</v>
      </c>
      <c r="B6" s="56" t="s">
        <v>2941</v>
      </c>
      <c r="C6" s="56" t="s">
        <v>193</v>
      </c>
      <c r="D6" s="56" t="s">
        <v>2942</v>
      </c>
      <c r="E6" s="56" t="s">
        <v>1</v>
      </c>
      <c r="F6" s="56" t="s">
        <v>2939</v>
      </c>
      <c r="G6" s="56" t="s">
        <v>2943</v>
      </c>
    </row>
    <row r="7" spans="1:7" ht="38.25">
      <c r="A7" s="56" t="s">
        <v>2936</v>
      </c>
      <c r="B7" s="56" t="s">
        <v>2944</v>
      </c>
      <c r="C7" s="56" t="s">
        <v>3454</v>
      </c>
      <c r="D7" s="56" t="s">
        <v>98</v>
      </c>
      <c r="E7" s="56" t="s">
        <v>2945</v>
      </c>
      <c r="F7" s="56" t="s">
        <v>2939</v>
      </c>
      <c r="G7" s="56" t="s">
        <v>4143</v>
      </c>
    </row>
    <row r="8" spans="1:7" ht="38.25">
      <c r="A8" s="56" t="s">
        <v>2936</v>
      </c>
      <c r="B8" s="56" t="s">
        <v>4144</v>
      </c>
      <c r="C8" s="56" t="s">
        <v>4145</v>
      </c>
      <c r="D8" s="56" t="s">
        <v>98</v>
      </c>
      <c r="E8" s="56" t="s">
        <v>1</v>
      </c>
      <c r="F8" s="56" t="s">
        <v>2939</v>
      </c>
      <c r="G8" s="56" t="s">
        <v>4146</v>
      </c>
    </row>
    <row r="9" spans="1:7" ht="38.25">
      <c r="A9" s="56" t="s">
        <v>2936</v>
      </c>
      <c r="B9" s="56" t="s">
        <v>4147</v>
      </c>
      <c r="C9" s="56" t="s">
        <v>4148</v>
      </c>
      <c r="D9" s="56" t="s">
        <v>98</v>
      </c>
      <c r="E9" s="56" t="s">
        <v>2599</v>
      </c>
      <c r="F9" s="56" t="s">
        <v>2939</v>
      </c>
      <c r="G9" s="56" t="s">
        <v>4149</v>
      </c>
    </row>
    <row r="10" spans="1:7" ht="51">
      <c r="A10" s="56" t="s">
        <v>2936</v>
      </c>
      <c r="B10" s="56" t="s">
        <v>20606</v>
      </c>
      <c r="C10" s="56" t="s">
        <v>22725</v>
      </c>
      <c r="D10" s="56" t="s">
        <v>1</v>
      </c>
      <c r="E10" s="56" t="s">
        <v>1</v>
      </c>
      <c r="F10" s="56" t="s">
        <v>2939</v>
      </c>
      <c r="G10" s="56" t="s">
        <v>22726</v>
      </c>
    </row>
    <row r="11" spans="1:7" ht="25.5">
      <c r="A11" s="56" t="s">
        <v>237</v>
      </c>
      <c r="B11" s="56" t="s">
        <v>2</v>
      </c>
      <c r="C11" s="56"/>
      <c r="D11" s="56" t="s">
        <v>2942</v>
      </c>
      <c r="E11" s="56" t="s">
        <v>2599</v>
      </c>
      <c r="F11" s="56" t="s">
        <v>2939</v>
      </c>
      <c r="G11" s="56" t="s">
        <v>4150</v>
      </c>
    </row>
    <row r="12" spans="1:7">
      <c r="A12" s="56" t="s">
        <v>237</v>
      </c>
      <c r="B12" s="56" t="s">
        <v>3</v>
      </c>
      <c r="C12" s="56"/>
      <c r="D12" s="56" t="s">
        <v>2942</v>
      </c>
      <c r="E12" s="56" t="s">
        <v>2599</v>
      </c>
      <c r="F12" s="56" t="s">
        <v>2939</v>
      </c>
      <c r="G12" s="56" t="s">
        <v>22727</v>
      </c>
    </row>
    <row r="13" spans="1:7" ht="25.5">
      <c r="A13" s="56" t="s">
        <v>237</v>
      </c>
      <c r="B13" s="56" t="s">
        <v>3821</v>
      </c>
      <c r="C13" s="56"/>
      <c r="D13" s="56" t="s">
        <v>4151</v>
      </c>
      <c r="E13" s="56" t="s">
        <v>2599</v>
      </c>
      <c r="F13" s="56" t="s">
        <v>2939</v>
      </c>
      <c r="G13" s="56" t="s">
        <v>4152</v>
      </c>
    </row>
    <row r="14" spans="1:7">
      <c r="A14" s="56" t="s">
        <v>237</v>
      </c>
      <c r="B14" s="56" t="s">
        <v>3825</v>
      </c>
      <c r="C14" s="56"/>
      <c r="D14" s="56" t="s">
        <v>4151</v>
      </c>
      <c r="E14" s="56" t="s">
        <v>2599</v>
      </c>
      <c r="F14" s="56" t="s">
        <v>2939</v>
      </c>
      <c r="G14" s="56" t="s">
        <v>4153</v>
      </c>
    </row>
    <row r="15" spans="1:7" ht="25.5">
      <c r="A15" s="56" t="s">
        <v>237</v>
      </c>
      <c r="B15" s="56" t="s">
        <v>3828</v>
      </c>
      <c r="C15" s="56"/>
      <c r="D15" s="56" t="s">
        <v>4151</v>
      </c>
      <c r="E15" s="56" t="s">
        <v>2599</v>
      </c>
      <c r="F15" s="56" t="s">
        <v>2939</v>
      </c>
      <c r="G15" s="56" t="s">
        <v>22728</v>
      </c>
    </row>
    <row r="16" spans="1:7">
      <c r="A16" s="56" t="s">
        <v>237</v>
      </c>
      <c r="B16" s="56" t="s">
        <v>3829</v>
      </c>
      <c r="C16" s="56"/>
      <c r="D16" s="56" t="s">
        <v>4151</v>
      </c>
      <c r="E16" s="56" t="s">
        <v>2599</v>
      </c>
      <c r="F16" s="56" t="s">
        <v>2939</v>
      </c>
      <c r="G16" s="56" t="s">
        <v>4154</v>
      </c>
    </row>
    <row r="17" spans="1:7">
      <c r="A17" s="56" t="s">
        <v>237</v>
      </c>
      <c r="B17" s="56" t="s">
        <v>2671</v>
      </c>
      <c r="C17" s="56"/>
      <c r="D17" s="56" t="s">
        <v>4151</v>
      </c>
      <c r="E17" s="56" t="s">
        <v>2599</v>
      </c>
      <c r="F17" s="56" t="s">
        <v>2939</v>
      </c>
      <c r="G17" s="56" t="s">
        <v>4155</v>
      </c>
    </row>
    <row r="18" spans="1:7">
      <c r="A18" s="56" t="s">
        <v>237</v>
      </c>
      <c r="B18" s="56" t="s">
        <v>2672</v>
      </c>
      <c r="C18" s="56"/>
      <c r="D18" s="56" t="s">
        <v>4151</v>
      </c>
      <c r="E18" s="56" t="s">
        <v>2599</v>
      </c>
      <c r="F18" s="56" t="s">
        <v>2939</v>
      </c>
      <c r="G18" s="56" t="s">
        <v>4156</v>
      </c>
    </row>
    <row r="19" spans="1:7" ht="25.5">
      <c r="A19" s="56" t="s">
        <v>237</v>
      </c>
      <c r="B19" s="56" t="s">
        <v>3836</v>
      </c>
      <c r="C19" s="56"/>
      <c r="D19" s="56" t="s">
        <v>4151</v>
      </c>
      <c r="E19" s="56" t="s">
        <v>2599</v>
      </c>
      <c r="F19" s="56" t="s">
        <v>2939</v>
      </c>
      <c r="G19" s="56" t="s">
        <v>4157</v>
      </c>
    </row>
    <row r="20" spans="1:7" ht="25.5">
      <c r="A20" s="56" t="s">
        <v>237</v>
      </c>
      <c r="B20" s="56" t="s">
        <v>3840</v>
      </c>
      <c r="C20" s="56"/>
      <c r="D20" s="56" t="s">
        <v>4158</v>
      </c>
      <c r="E20" s="56" t="s">
        <v>2599</v>
      </c>
      <c r="F20" s="56" t="s">
        <v>2939</v>
      </c>
      <c r="G20" s="56" t="s">
        <v>4159</v>
      </c>
    </row>
    <row r="21" spans="1:7">
      <c r="A21" s="56" t="s">
        <v>237</v>
      </c>
      <c r="B21" s="56" t="s">
        <v>3844</v>
      </c>
      <c r="C21" s="56"/>
      <c r="D21" s="56" t="s">
        <v>4160</v>
      </c>
      <c r="E21" s="56" t="s">
        <v>2599</v>
      </c>
      <c r="F21" s="56" t="s">
        <v>2939</v>
      </c>
      <c r="G21" s="56" t="s">
        <v>4161</v>
      </c>
    </row>
    <row r="22" spans="1:7" ht="25.5">
      <c r="A22" s="56" t="s">
        <v>237</v>
      </c>
      <c r="B22" s="56" t="s">
        <v>250</v>
      </c>
      <c r="C22" s="56"/>
      <c r="D22" s="56" t="s">
        <v>98</v>
      </c>
      <c r="E22" s="56" t="s">
        <v>2599</v>
      </c>
      <c r="F22" s="56" t="s">
        <v>2939</v>
      </c>
      <c r="G22" s="56" t="s">
        <v>2947</v>
      </c>
    </row>
    <row r="23" spans="1:7">
      <c r="A23" s="56" t="s">
        <v>237</v>
      </c>
      <c r="B23" s="56" t="s">
        <v>254</v>
      </c>
      <c r="C23" s="56"/>
      <c r="D23" s="56" t="s">
        <v>98</v>
      </c>
      <c r="E23" s="56" t="s">
        <v>2599</v>
      </c>
      <c r="F23" s="56" t="s">
        <v>2939</v>
      </c>
      <c r="G23" s="56" t="s">
        <v>2948</v>
      </c>
    </row>
    <row r="24" spans="1:7">
      <c r="A24" s="56" t="s">
        <v>237</v>
      </c>
      <c r="B24" s="56" t="s">
        <v>258</v>
      </c>
      <c r="C24" s="56"/>
      <c r="D24" s="56" t="s">
        <v>98</v>
      </c>
      <c r="E24" s="56" t="s">
        <v>2599</v>
      </c>
      <c r="F24" s="56" t="s">
        <v>2939</v>
      </c>
      <c r="G24" s="56" t="s">
        <v>21745</v>
      </c>
    </row>
    <row r="25" spans="1:7" ht="25.5">
      <c r="A25" s="56" t="s">
        <v>237</v>
      </c>
      <c r="B25" s="56" t="s">
        <v>260</v>
      </c>
      <c r="C25" s="56"/>
      <c r="D25" s="56" t="s">
        <v>98</v>
      </c>
      <c r="E25" s="56" t="s">
        <v>2599</v>
      </c>
      <c r="F25" s="56" t="s">
        <v>22729</v>
      </c>
      <c r="G25" s="56" t="s">
        <v>22730</v>
      </c>
    </row>
    <row r="26" spans="1:7">
      <c r="A26" s="56" t="s">
        <v>237</v>
      </c>
      <c r="B26" s="56" t="s">
        <v>2674</v>
      </c>
      <c r="C26" s="56"/>
      <c r="D26" s="56" t="s">
        <v>98</v>
      </c>
      <c r="E26" s="56" t="s">
        <v>2599</v>
      </c>
      <c r="F26" s="56" t="s">
        <v>2939</v>
      </c>
      <c r="G26" s="56" t="s">
        <v>2949</v>
      </c>
    </row>
    <row r="27" spans="1:7">
      <c r="A27" s="56" t="s">
        <v>237</v>
      </c>
      <c r="B27" s="56" t="s">
        <v>263</v>
      </c>
      <c r="C27" s="56"/>
      <c r="D27" s="56" t="s">
        <v>2950</v>
      </c>
      <c r="E27" s="56" t="s">
        <v>2599</v>
      </c>
      <c r="F27" s="56" t="s">
        <v>2939</v>
      </c>
      <c r="G27" s="56" t="s">
        <v>2951</v>
      </c>
    </row>
    <row r="28" spans="1:7">
      <c r="A28" s="56" t="s">
        <v>237</v>
      </c>
      <c r="B28" s="56" t="s">
        <v>268</v>
      </c>
      <c r="C28" s="56"/>
      <c r="D28" s="56" t="s">
        <v>2952</v>
      </c>
      <c r="E28" s="56" t="s">
        <v>2599</v>
      </c>
      <c r="F28" s="56" t="s">
        <v>2939</v>
      </c>
      <c r="G28" s="56" t="s">
        <v>2953</v>
      </c>
    </row>
    <row r="29" spans="1:7">
      <c r="A29" s="56" t="s">
        <v>237</v>
      </c>
      <c r="B29" s="56" t="s">
        <v>273</v>
      </c>
      <c r="C29" s="56"/>
      <c r="D29" s="56" t="s">
        <v>102</v>
      </c>
      <c r="E29" s="56" t="s">
        <v>2599</v>
      </c>
      <c r="F29" s="56" t="s">
        <v>2939</v>
      </c>
      <c r="G29" s="56" t="s">
        <v>2954</v>
      </c>
    </row>
    <row r="30" spans="1:7">
      <c r="A30" s="56" t="s">
        <v>237</v>
      </c>
      <c r="B30" s="56" t="s">
        <v>276</v>
      </c>
      <c r="C30" s="56"/>
      <c r="D30" s="56" t="s">
        <v>102</v>
      </c>
      <c r="E30" s="56" t="s">
        <v>2599</v>
      </c>
      <c r="F30" s="56" t="s">
        <v>2939</v>
      </c>
      <c r="G30" s="56" t="s">
        <v>2955</v>
      </c>
    </row>
    <row r="31" spans="1:7">
      <c r="A31" s="56" t="s">
        <v>237</v>
      </c>
      <c r="B31" s="56" t="s">
        <v>278</v>
      </c>
      <c r="C31" s="56"/>
      <c r="D31" s="56" t="s">
        <v>2956</v>
      </c>
      <c r="E31" s="56" t="s">
        <v>2599</v>
      </c>
      <c r="F31" s="56" t="s">
        <v>2939</v>
      </c>
      <c r="G31" s="56" t="s">
        <v>2957</v>
      </c>
    </row>
    <row r="32" spans="1:7">
      <c r="A32" s="56" t="s">
        <v>237</v>
      </c>
      <c r="B32" s="56" t="s">
        <v>281</v>
      </c>
      <c r="C32" s="56"/>
      <c r="D32" s="56" t="s">
        <v>2956</v>
      </c>
      <c r="E32" s="56" t="s">
        <v>2599</v>
      </c>
      <c r="F32" s="56" t="s">
        <v>2939</v>
      </c>
      <c r="G32" s="56" t="s">
        <v>2958</v>
      </c>
    </row>
    <row r="33" spans="1:7">
      <c r="A33" s="56" t="s">
        <v>237</v>
      </c>
      <c r="B33" s="56" t="s">
        <v>283</v>
      </c>
      <c r="C33" s="56"/>
      <c r="D33" s="56" t="s">
        <v>102</v>
      </c>
      <c r="E33" s="56" t="s">
        <v>2599</v>
      </c>
      <c r="F33" s="56" t="s">
        <v>2939</v>
      </c>
      <c r="G33" s="56" t="s">
        <v>2959</v>
      </c>
    </row>
    <row r="34" spans="1:7" ht="25.5">
      <c r="A34" s="56" t="s">
        <v>237</v>
      </c>
      <c r="B34" s="56" t="s">
        <v>2682</v>
      </c>
      <c r="C34" s="56"/>
      <c r="D34" s="56" t="s">
        <v>4162</v>
      </c>
      <c r="E34" s="56" t="s">
        <v>2599</v>
      </c>
      <c r="F34" s="56" t="s">
        <v>2939</v>
      </c>
      <c r="G34" s="56" t="s">
        <v>4163</v>
      </c>
    </row>
    <row r="35" spans="1:7">
      <c r="A35" s="56" t="s">
        <v>237</v>
      </c>
      <c r="B35" s="56" t="s">
        <v>3854</v>
      </c>
      <c r="C35" s="56"/>
      <c r="D35" s="56" t="s">
        <v>2946</v>
      </c>
      <c r="E35" s="56" t="s">
        <v>2599</v>
      </c>
      <c r="F35" s="56" t="s">
        <v>2939</v>
      </c>
      <c r="G35" s="56" t="s">
        <v>4164</v>
      </c>
    </row>
    <row r="36" spans="1:7" ht="25.5">
      <c r="A36" s="56" t="s">
        <v>237</v>
      </c>
      <c r="B36" s="56" t="s">
        <v>2683</v>
      </c>
      <c r="C36" s="56"/>
      <c r="D36" s="56" t="s">
        <v>98</v>
      </c>
      <c r="E36" s="56" t="s">
        <v>2599</v>
      </c>
      <c r="F36" s="56" t="s">
        <v>2939</v>
      </c>
      <c r="G36" s="56" t="s">
        <v>2960</v>
      </c>
    </row>
    <row r="37" spans="1:7">
      <c r="A37" s="56" t="s">
        <v>237</v>
      </c>
      <c r="B37" s="56" t="s">
        <v>2687</v>
      </c>
      <c r="C37" s="56"/>
      <c r="D37" s="56" t="s">
        <v>2961</v>
      </c>
      <c r="E37" s="56" t="s">
        <v>2599</v>
      </c>
      <c r="F37" s="56" t="s">
        <v>2939</v>
      </c>
      <c r="G37" s="56" t="s">
        <v>2962</v>
      </c>
    </row>
    <row r="38" spans="1:7">
      <c r="A38" s="56" t="s">
        <v>237</v>
      </c>
      <c r="B38" s="56" t="s">
        <v>2690</v>
      </c>
      <c r="C38" s="56"/>
      <c r="D38" s="56" t="s">
        <v>99</v>
      </c>
      <c r="E38" s="56" t="s">
        <v>2599</v>
      </c>
      <c r="F38" s="56" t="s">
        <v>2939</v>
      </c>
      <c r="G38" s="56" t="s">
        <v>2691</v>
      </c>
    </row>
    <row r="39" spans="1:7" ht="25.5">
      <c r="A39" s="56" t="s">
        <v>237</v>
      </c>
      <c r="B39" s="56" t="s">
        <v>285</v>
      </c>
      <c r="C39" s="56"/>
      <c r="D39" s="56" t="s">
        <v>2963</v>
      </c>
      <c r="E39" s="56" t="s">
        <v>2599</v>
      </c>
      <c r="F39" s="56" t="s">
        <v>2939</v>
      </c>
      <c r="G39" s="56" t="s">
        <v>2964</v>
      </c>
    </row>
    <row r="40" spans="1:7">
      <c r="A40" s="56" t="s">
        <v>237</v>
      </c>
      <c r="B40" s="56" t="s">
        <v>289</v>
      </c>
      <c r="C40" s="56"/>
      <c r="D40" s="56" t="s">
        <v>2965</v>
      </c>
      <c r="E40" s="56" t="s">
        <v>2599</v>
      </c>
      <c r="F40" s="56" t="s">
        <v>2939</v>
      </c>
      <c r="G40" s="56" t="s">
        <v>2966</v>
      </c>
    </row>
    <row r="41" spans="1:7">
      <c r="A41" s="56" t="s">
        <v>237</v>
      </c>
      <c r="B41" s="56" t="s">
        <v>292</v>
      </c>
      <c r="C41" s="56"/>
      <c r="D41" s="56" t="s">
        <v>2967</v>
      </c>
      <c r="E41" s="56" t="s">
        <v>2599</v>
      </c>
      <c r="F41" s="56" t="s">
        <v>2939</v>
      </c>
      <c r="G41" s="56" t="s">
        <v>2968</v>
      </c>
    </row>
    <row r="42" spans="1:7">
      <c r="A42" s="56" t="s">
        <v>237</v>
      </c>
      <c r="B42" s="56" t="s">
        <v>2694</v>
      </c>
      <c r="C42" s="56"/>
      <c r="D42" s="56" t="s">
        <v>2965</v>
      </c>
      <c r="E42" s="56" t="s">
        <v>2599</v>
      </c>
      <c r="F42" s="56" t="s">
        <v>2939</v>
      </c>
      <c r="G42" s="56" t="s">
        <v>2969</v>
      </c>
    </row>
    <row r="43" spans="1:7" ht="25.5">
      <c r="A43" s="56" t="s">
        <v>237</v>
      </c>
      <c r="B43" s="56" t="s">
        <v>2697</v>
      </c>
      <c r="C43" s="56"/>
      <c r="D43" s="56" t="s">
        <v>2961</v>
      </c>
      <c r="E43" s="56" t="s">
        <v>2599</v>
      </c>
      <c r="F43" s="56" t="s">
        <v>2939</v>
      </c>
      <c r="G43" s="56" t="s">
        <v>4165</v>
      </c>
    </row>
    <row r="44" spans="1:7">
      <c r="A44" s="56" t="s">
        <v>237</v>
      </c>
      <c r="B44" s="56" t="s">
        <v>2699</v>
      </c>
      <c r="C44" s="56"/>
      <c r="D44" s="56" t="s">
        <v>98</v>
      </c>
      <c r="E44" s="56" t="s">
        <v>2599</v>
      </c>
      <c r="F44" s="56" t="s">
        <v>2939</v>
      </c>
      <c r="G44" s="56" t="s">
        <v>2970</v>
      </c>
    </row>
    <row r="45" spans="1:7">
      <c r="A45" s="56" t="s">
        <v>237</v>
      </c>
      <c r="B45" s="56" t="s">
        <v>2702</v>
      </c>
      <c r="C45" s="56"/>
      <c r="D45" s="56" t="s">
        <v>2942</v>
      </c>
      <c r="E45" s="56" t="s">
        <v>2599</v>
      </c>
      <c r="F45" s="56" t="s">
        <v>2939</v>
      </c>
      <c r="G45" s="56" t="s">
        <v>2971</v>
      </c>
    </row>
    <row r="46" spans="1:7">
      <c r="A46" s="56" t="s">
        <v>237</v>
      </c>
      <c r="B46" s="56" t="s">
        <v>2706</v>
      </c>
      <c r="C46" s="56"/>
      <c r="D46" s="56" t="s">
        <v>2972</v>
      </c>
      <c r="E46" s="56" t="s">
        <v>2599</v>
      </c>
      <c r="F46" s="56" t="s">
        <v>2939</v>
      </c>
      <c r="G46" s="56" t="s">
        <v>22731</v>
      </c>
    </row>
    <row r="47" spans="1:7">
      <c r="A47" s="56" t="s">
        <v>237</v>
      </c>
      <c r="B47" s="56" t="s">
        <v>2973</v>
      </c>
      <c r="C47" s="56"/>
      <c r="D47" s="56" t="s">
        <v>98</v>
      </c>
      <c r="E47" s="56" t="s">
        <v>2599</v>
      </c>
      <c r="F47" s="56" t="s">
        <v>2939</v>
      </c>
      <c r="G47" s="56" t="s">
        <v>2974</v>
      </c>
    </row>
    <row r="48" spans="1:7">
      <c r="A48" s="56" t="s">
        <v>237</v>
      </c>
      <c r="B48" s="56" t="s">
        <v>2709</v>
      </c>
      <c r="C48" s="56"/>
      <c r="D48" s="56" t="s">
        <v>98</v>
      </c>
      <c r="E48" s="56" t="s">
        <v>2599</v>
      </c>
      <c r="F48" s="56" t="s">
        <v>2939</v>
      </c>
      <c r="G48" s="56" t="s">
        <v>22732</v>
      </c>
    </row>
    <row r="49" spans="1:7" ht="25.5">
      <c r="A49" s="56" t="s">
        <v>237</v>
      </c>
      <c r="B49" s="56" t="s">
        <v>20143</v>
      </c>
      <c r="C49" s="56"/>
      <c r="D49" s="56" t="s">
        <v>102</v>
      </c>
      <c r="E49" s="56" t="s">
        <v>2599</v>
      </c>
      <c r="F49" s="56" t="s">
        <v>2939</v>
      </c>
      <c r="G49" s="56" t="s">
        <v>22733</v>
      </c>
    </row>
    <row r="50" spans="1:7">
      <c r="A50" s="56" t="s">
        <v>237</v>
      </c>
      <c r="B50" s="56" t="s">
        <v>20600</v>
      </c>
      <c r="C50" s="56"/>
      <c r="D50" s="56" t="s">
        <v>98</v>
      </c>
      <c r="E50" s="56" t="s">
        <v>2599</v>
      </c>
      <c r="F50" s="56" t="s">
        <v>2939</v>
      </c>
      <c r="G50" s="56" t="s">
        <v>22734</v>
      </c>
    </row>
    <row r="51" spans="1:7" ht="25.5">
      <c r="A51" s="56" t="s">
        <v>237</v>
      </c>
      <c r="B51" s="56" t="s">
        <v>20604</v>
      </c>
      <c r="C51" s="56"/>
      <c r="D51" s="56" t="s">
        <v>98</v>
      </c>
      <c r="E51" s="56" t="s">
        <v>2599</v>
      </c>
      <c r="F51" s="56" t="s">
        <v>3026</v>
      </c>
      <c r="G51" s="56" t="s">
        <v>22735</v>
      </c>
    </row>
    <row r="52" spans="1:7" ht="25.5">
      <c r="A52" s="56" t="s">
        <v>237</v>
      </c>
      <c r="B52" s="56" t="s">
        <v>20609</v>
      </c>
      <c r="C52" s="56"/>
      <c r="D52" s="56" t="s">
        <v>22736</v>
      </c>
      <c r="E52" s="56" t="s">
        <v>2599</v>
      </c>
      <c r="F52" s="56" t="s">
        <v>4185</v>
      </c>
      <c r="G52" s="56" t="s">
        <v>22737</v>
      </c>
    </row>
    <row r="53" spans="1:7">
      <c r="A53" s="56" t="s">
        <v>237</v>
      </c>
      <c r="B53" s="56" t="s">
        <v>20612</v>
      </c>
      <c r="C53" s="56"/>
      <c r="D53" s="56" t="s">
        <v>2942</v>
      </c>
      <c r="E53" s="56" t="s">
        <v>2599</v>
      </c>
      <c r="F53" s="56" t="s">
        <v>4185</v>
      </c>
      <c r="G53" s="56" t="s">
        <v>22738</v>
      </c>
    </row>
    <row r="54" spans="1:7">
      <c r="A54" s="56" t="s">
        <v>237</v>
      </c>
      <c r="B54" s="56" t="s">
        <v>20614</v>
      </c>
      <c r="C54" s="56"/>
      <c r="D54" s="56" t="s">
        <v>2942</v>
      </c>
      <c r="E54" s="56" t="s">
        <v>2599</v>
      </c>
      <c r="F54" s="56" t="s">
        <v>4185</v>
      </c>
      <c r="G54" s="56" t="s">
        <v>22739</v>
      </c>
    </row>
    <row r="55" spans="1:7">
      <c r="A55" s="56" t="s">
        <v>237</v>
      </c>
      <c r="B55" s="56" t="s">
        <v>20617</v>
      </c>
      <c r="C55" s="56"/>
      <c r="D55" s="56" t="s">
        <v>102</v>
      </c>
      <c r="E55" s="56" t="s">
        <v>2599</v>
      </c>
      <c r="F55" s="56" t="s">
        <v>2939</v>
      </c>
      <c r="G55" s="56" t="s">
        <v>22740</v>
      </c>
    </row>
    <row r="56" spans="1:7" ht="25.5">
      <c r="A56" s="56" t="s">
        <v>237</v>
      </c>
      <c r="B56" s="56" t="s">
        <v>20621</v>
      </c>
      <c r="C56" s="56"/>
      <c r="D56" s="56" t="s">
        <v>2961</v>
      </c>
      <c r="E56" s="56" t="s">
        <v>2599</v>
      </c>
      <c r="F56" s="56" t="s">
        <v>2939</v>
      </c>
      <c r="G56" s="56" t="s">
        <v>22741</v>
      </c>
    </row>
    <row r="57" spans="1:7" ht="51">
      <c r="A57" s="56" t="s">
        <v>237</v>
      </c>
      <c r="B57" s="56" t="s">
        <v>22742</v>
      </c>
      <c r="C57" s="56"/>
      <c r="D57" s="56" t="s">
        <v>22743</v>
      </c>
      <c r="E57" s="56" t="s">
        <v>2599</v>
      </c>
      <c r="F57" s="56" t="s">
        <v>4185</v>
      </c>
      <c r="G57" s="56" t="s">
        <v>22744</v>
      </c>
    </row>
    <row r="58" spans="1:7">
      <c r="A58" s="56" t="s">
        <v>237</v>
      </c>
      <c r="B58" s="56" t="s">
        <v>21401</v>
      </c>
      <c r="C58" s="56"/>
      <c r="D58" s="56" t="s">
        <v>102</v>
      </c>
      <c r="E58" s="56" t="s">
        <v>2599</v>
      </c>
      <c r="F58" s="56" t="s">
        <v>2939</v>
      </c>
      <c r="G58" s="56" t="s">
        <v>22745</v>
      </c>
    </row>
    <row r="59" spans="1:7" ht="63.75">
      <c r="A59" s="56" t="s">
        <v>237</v>
      </c>
      <c r="B59" s="56" t="s">
        <v>22746</v>
      </c>
      <c r="C59" s="56"/>
      <c r="D59" s="56" t="s">
        <v>98</v>
      </c>
      <c r="E59" s="56" t="s">
        <v>2599</v>
      </c>
      <c r="F59" s="56" t="s">
        <v>4185</v>
      </c>
      <c r="G59" s="56" t="s">
        <v>22747</v>
      </c>
    </row>
    <row r="60" spans="1:7" ht="25.5">
      <c r="A60" s="56" t="s">
        <v>2975</v>
      </c>
      <c r="B60" s="56" t="s">
        <v>2976</v>
      </c>
      <c r="C60" s="56" t="s">
        <v>2977</v>
      </c>
      <c r="D60" s="56" t="s">
        <v>2978</v>
      </c>
      <c r="E60" s="56" t="s">
        <v>2599</v>
      </c>
      <c r="F60" s="56" t="s">
        <v>2939</v>
      </c>
      <c r="G60" s="56" t="s">
        <v>4166</v>
      </c>
    </row>
    <row r="61" spans="1:7" ht="25.5">
      <c r="A61" s="56" t="s">
        <v>2975</v>
      </c>
      <c r="B61" s="56" t="s">
        <v>2979</v>
      </c>
      <c r="C61" s="56" t="s">
        <v>2980</v>
      </c>
      <c r="D61" s="56" t="s">
        <v>2978</v>
      </c>
      <c r="E61" s="56" t="s">
        <v>2599</v>
      </c>
      <c r="F61" s="56" t="s">
        <v>2939</v>
      </c>
      <c r="G61" s="56" t="s">
        <v>4167</v>
      </c>
    </row>
    <row r="62" spans="1:7" ht="38.25">
      <c r="A62" s="56" t="s">
        <v>2975</v>
      </c>
      <c r="B62" s="56" t="s">
        <v>2981</v>
      </c>
      <c r="C62" s="56" t="s">
        <v>22748</v>
      </c>
      <c r="D62" s="56" t="s">
        <v>2978</v>
      </c>
      <c r="E62" s="56" t="s">
        <v>2599</v>
      </c>
      <c r="F62" s="56" t="s">
        <v>2939</v>
      </c>
      <c r="G62" s="56" t="s">
        <v>22749</v>
      </c>
    </row>
    <row r="63" spans="1:7">
      <c r="A63" s="56" t="s">
        <v>2975</v>
      </c>
      <c r="B63" s="56" t="s">
        <v>2982</v>
      </c>
      <c r="C63" s="56" t="s">
        <v>2983</v>
      </c>
      <c r="D63" s="56" t="s">
        <v>2978</v>
      </c>
      <c r="E63" s="56" t="s">
        <v>2599</v>
      </c>
      <c r="F63" s="56" t="s">
        <v>2939</v>
      </c>
      <c r="G63" s="56" t="s">
        <v>4168</v>
      </c>
    </row>
    <row r="64" spans="1:7">
      <c r="A64" s="56" t="s">
        <v>2975</v>
      </c>
      <c r="B64" s="56" t="s">
        <v>2984</v>
      </c>
      <c r="C64" s="56" t="s">
        <v>2985</v>
      </c>
      <c r="D64" s="56" t="s">
        <v>2978</v>
      </c>
      <c r="E64" s="56" t="s">
        <v>2599</v>
      </c>
      <c r="F64" s="56" t="s">
        <v>2939</v>
      </c>
      <c r="G64" s="56" t="s">
        <v>2986</v>
      </c>
    </row>
    <row r="65" spans="1:7">
      <c r="A65" s="56" t="s">
        <v>2975</v>
      </c>
      <c r="B65" s="56" t="s">
        <v>2987</v>
      </c>
      <c r="C65" s="56" t="s">
        <v>2988</v>
      </c>
      <c r="D65" s="56" t="s">
        <v>2978</v>
      </c>
      <c r="E65" s="56" t="s">
        <v>2599</v>
      </c>
      <c r="F65" s="56" t="s">
        <v>2939</v>
      </c>
      <c r="G65" s="56" t="s">
        <v>4169</v>
      </c>
    </row>
    <row r="66" spans="1:7" ht="38.25">
      <c r="A66" s="56" t="s">
        <v>2975</v>
      </c>
      <c r="B66" s="56" t="s">
        <v>2989</v>
      </c>
      <c r="C66" s="56" t="s">
        <v>2990</v>
      </c>
      <c r="D66" s="56" t="s">
        <v>2978</v>
      </c>
      <c r="E66" s="56" t="s">
        <v>2991</v>
      </c>
      <c r="F66" s="56" t="s">
        <v>2939</v>
      </c>
      <c r="G66" s="56" t="s">
        <v>2992</v>
      </c>
    </row>
    <row r="67" spans="1:7" ht="102">
      <c r="A67" s="56" t="s">
        <v>2975</v>
      </c>
      <c r="B67" s="56" t="s">
        <v>2993</v>
      </c>
      <c r="C67" s="56" t="s">
        <v>22750</v>
      </c>
      <c r="D67" s="56" t="s">
        <v>2978</v>
      </c>
      <c r="E67" s="56" t="s">
        <v>2945</v>
      </c>
      <c r="F67" s="56" t="s">
        <v>2939</v>
      </c>
      <c r="G67" s="56" t="s">
        <v>22751</v>
      </c>
    </row>
    <row r="68" spans="1:7" ht="51">
      <c r="A68" s="56" t="s">
        <v>2975</v>
      </c>
      <c r="B68" s="56" t="s">
        <v>2994</v>
      </c>
      <c r="C68" s="56" t="s">
        <v>2995</v>
      </c>
      <c r="D68" s="56" t="s">
        <v>2978</v>
      </c>
      <c r="E68" s="56" t="s">
        <v>2945</v>
      </c>
      <c r="F68" s="56" t="s">
        <v>2939</v>
      </c>
      <c r="G68" s="56" t="s">
        <v>4170</v>
      </c>
    </row>
    <row r="69" spans="1:7" ht="25.5">
      <c r="A69" s="56" t="s">
        <v>2975</v>
      </c>
      <c r="B69" s="56" t="s">
        <v>2996</v>
      </c>
      <c r="C69" s="56" t="s">
        <v>4171</v>
      </c>
      <c r="D69" s="56" t="s">
        <v>2978</v>
      </c>
      <c r="E69" s="56" t="s">
        <v>2599</v>
      </c>
      <c r="F69" s="56" t="s">
        <v>2939</v>
      </c>
      <c r="G69" s="56" t="s">
        <v>4172</v>
      </c>
    </row>
    <row r="70" spans="1:7" ht="38.25">
      <c r="A70" s="56" t="s">
        <v>2975</v>
      </c>
      <c r="B70" s="56" t="s">
        <v>2997</v>
      </c>
      <c r="C70" s="56" t="s">
        <v>4173</v>
      </c>
      <c r="D70" s="56" t="s">
        <v>2978</v>
      </c>
      <c r="E70" s="56" t="s">
        <v>2945</v>
      </c>
      <c r="F70" s="56" t="s">
        <v>2939</v>
      </c>
      <c r="G70" s="56" t="s">
        <v>22752</v>
      </c>
    </row>
    <row r="71" spans="1:7" ht="25.5">
      <c r="A71" s="56" t="s">
        <v>2975</v>
      </c>
      <c r="B71" s="56" t="s">
        <v>2998</v>
      </c>
      <c r="C71" s="56" t="s">
        <v>2999</v>
      </c>
      <c r="D71" s="56" t="s">
        <v>2978</v>
      </c>
      <c r="E71" s="56" t="s">
        <v>2945</v>
      </c>
      <c r="F71" s="56" t="s">
        <v>2939</v>
      </c>
      <c r="G71" s="56" t="s">
        <v>22753</v>
      </c>
    </row>
    <row r="72" spans="1:7" ht="51">
      <c r="A72" s="56" t="s">
        <v>2975</v>
      </c>
      <c r="B72" s="56" t="s">
        <v>3000</v>
      </c>
      <c r="C72" s="56" t="s">
        <v>4174</v>
      </c>
      <c r="D72" s="56" t="s">
        <v>2978</v>
      </c>
      <c r="E72" s="56" t="s">
        <v>2945</v>
      </c>
      <c r="F72" s="56" t="s">
        <v>2939</v>
      </c>
      <c r="G72" s="56" t="s">
        <v>4175</v>
      </c>
    </row>
    <row r="73" spans="1:7" ht="51">
      <c r="A73" s="56" t="s">
        <v>2975</v>
      </c>
      <c r="B73" s="56" t="s">
        <v>3001</v>
      </c>
      <c r="C73" s="56" t="s">
        <v>3002</v>
      </c>
      <c r="D73" s="56" t="s">
        <v>2978</v>
      </c>
      <c r="E73" s="56" t="s">
        <v>2945</v>
      </c>
      <c r="F73" s="56" t="s">
        <v>2939</v>
      </c>
      <c r="G73" s="56" t="s">
        <v>4176</v>
      </c>
    </row>
    <row r="74" spans="1:7" ht="25.5">
      <c r="A74" s="56" t="s">
        <v>2975</v>
      </c>
      <c r="B74" s="56" t="s">
        <v>3003</v>
      </c>
      <c r="C74" s="56" t="s">
        <v>4177</v>
      </c>
      <c r="D74" s="56" t="s">
        <v>2978</v>
      </c>
      <c r="E74" s="56" t="s">
        <v>2599</v>
      </c>
      <c r="F74" s="56" t="s">
        <v>2939</v>
      </c>
      <c r="G74" s="56" t="s">
        <v>4178</v>
      </c>
    </row>
    <row r="75" spans="1:7" ht="25.5">
      <c r="A75" s="56" t="s">
        <v>2975</v>
      </c>
      <c r="B75" s="56" t="s">
        <v>3004</v>
      </c>
      <c r="C75" s="56" t="s">
        <v>4179</v>
      </c>
      <c r="D75" s="56" t="s">
        <v>2978</v>
      </c>
      <c r="E75" s="56" t="s">
        <v>2599</v>
      </c>
      <c r="F75" s="56" t="s">
        <v>2939</v>
      </c>
      <c r="G75" s="56" t="s">
        <v>4180</v>
      </c>
    </row>
    <row r="76" spans="1:7">
      <c r="A76" s="56" t="s">
        <v>2975</v>
      </c>
      <c r="B76" s="56" t="s">
        <v>3005</v>
      </c>
      <c r="C76" s="56" t="s">
        <v>3006</v>
      </c>
      <c r="D76" s="56" t="s">
        <v>2978</v>
      </c>
      <c r="E76" s="56" t="s">
        <v>2599</v>
      </c>
      <c r="F76" s="56" t="s">
        <v>2939</v>
      </c>
      <c r="G76" s="56" t="s">
        <v>3007</v>
      </c>
    </row>
    <row r="77" spans="1:7" ht="25.5">
      <c r="A77" s="56" t="s">
        <v>2975</v>
      </c>
      <c r="B77" s="56" t="s">
        <v>3008</v>
      </c>
      <c r="C77" s="56" t="s">
        <v>3009</v>
      </c>
      <c r="D77" s="56" t="s">
        <v>2978</v>
      </c>
      <c r="E77" s="56" t="s">
        <v>2599</v>
      </c>
      <c r="F77" s="56" t="s">
        <v>2939</v>
      </c>
      <c r="G77" s="56" t="s">
        <v>22754</v>
      </c>
    </row>
    <row r="78" spans="1:7">
      <c r="A78" s="56" t="s">
        <v>2975</v>
      </c>
      <c r="B78" s="56" t="s">
        <v>3496</v>
      </c>
      <c r="C78" s="56" t="s">
        <v>4181</v>
      </c>
      <c r="D78" s="56" t="s">
        <v>2978</v>
      </c>
      <c r="E78" s="56" t="s">
        <v>2599</v>
      </c>
      <c r="F78" s="56" t="s">
        <v>2939</v>
      </c>
      <c r="G78" s="56" t="s">
        <v>4182</v>
      </c>
    </row>
    <row r="79" spans="1:7" ht="25.5">
      <c r="A79" s="56" t="s">
        <v>2975</v>
      </c>
      <c r="B79" s="56" t="s">
        <v>4183</v>
      </c>
      <c r="C79" s="56" t="s">
        <v>4184</v>
      </c>
      <c r="D79" s="56" t="s">
        <v>2978</v>
      </c>
      <c r="E79" s="56" t="s">
        <v>4185</v>
      </c>
      <c r="F79" s="56" t="s">
        <v>2939</v>
      </c>
      <c r="G79" s="56" t="s">
        <v>4186</v>
      </c>
    </row>
    <row r="80" spans="1:7" ht="25.5">
      <c r="A80" s="56" t="s">
        <v>2975</v>
      </c>
      <c r="B80" s="56" t="s">
        <v>4187</v>
      </c>
      <c r="C80" s="56" t="s">
        <v>4188</v>
      </c>
      <c r="D80" s="56" t="s">
        <v>2978</v>
      </c>
      <c r="E80" s="56" t="s">
        <v>4185</v>
      </c>
      <c r="F80" s="56" t="s">
        <v>2939</v>
      </c>
      <c r="G80" s="56" t="s">
        <v>4189</v>
      </c>
    </row>
    <row r="81" spans="1:7" ht="25.5">
      <c r="A81" s="56" t="s">
        <v>2975</v>
      </c>
      <c r="B81" s="56" t="s">
        <v>4190</v>
      </c>
      <c r="C81" s="56" t="s">
        <v>4191</v>
      </c>
      <c r="D81" s="56" t="s">
        <v>2978</v>
      </c>
      <c r="E81" s="56" t="s">
        <v>4185</v>
      </c>
      <c r="F81" s="56" t="s">
        <v>2939</v>
      </c>
      <c r="G81" s="56" t="s">
        <v>4192</v>
      </c>
    </row>
    <row r="82" spans="1:7" ht="25.5">
      <c r="A82" s="56" t="s">
        <v>2975</v>
      </c>
      <c r="B82" s="56" t="s">
        <v>3010</v>
      </c>
      <c r="C82" s="56" t="s">
        <v>3011</v>
      </c>
      <c r="D82" s="56" t="s">
        <v>2978</v>
      </c>
      <c r="E82" s="56" t="s">
        <v>2945</v>
      </c>
      <c r="F82" s="56" t="s">
        <v>2939</v>
      </c>
      <c r="G82" s="56" t="s">
        <v>3012</v>
      </c>
    </row>
    <row r="83" spans="1:7">
      <c r="A83" s="56" t="s">
        <v>2975</v>
      </c>
      <c r="B83" s="56" t="s">
        <v>3013</v>
      </c>
      <c r="C83" s="56" t="s">
        <v>4193</v>
      </c>
      <c r="D83" s="56" t="s">
        <v>2978</v>
      </c>
      <c r="E83" s="56" t="s">
        <v>2945</v>
      </c>
      <c r="F83" s="56" t="s">
        <v>2939</v>
      </c>
      <c r="G83" s="56" t="s">
        <v>4194</v>
      </c>
    </row>
    <row r="84" spans="1:7" ht="63.75">
      <c r="A84" s="56" t="s">
        <v>2975</v>
      </c>
      <c r="B84" s="56" t="s">
        <v>20581</v>
      </c>
      <c r="C84" s="56" t="s">
        <v>22755</v>
      </c>
      <c r="D84" s="56" t="s">
        <v>2978</v>
      </c>
      <c r="E84" s="56" t="s">
        <v>2945</v>
      </c>
      <c r="F84" s="56" t="s">
        <v>2939</v>
      </c>
      <c r="G84" s="56" t="s">
        <v>22756</v>
      </c>
    </row>
    <row r="85" spans="1:7" ht="38.25">
      <c r="A85" s="56" t="s">
        <v>2975</v>
      </c>
      <c r="B85" s="56" t="s">
        <v>17254</v>
      </c>
      <c r="C85" s="56" t="s">
        <v>22757</v>
      </c>
      <c r="D85" s="56" t="s">
        <v>2978</v>
      </c>
      <c r="E85" s="56" t="s">
        <v>2599</v>
      </c>
      <c r="F85" s="56" t="s">
        <v>3026</v>
      </c>
      <c r="G85" s="56" t="s">
        <v>22758</v>
      </c>
    </row>
    <row r="86" spans="1:7">
      <c r="A86" s="56" t="s">
        <v>2975</v>
      </c>
      <c r="B86" s="56" t="s">
        <v>17253</v>
      </c>
      <c r="C86" s="56" t="s">
        <v>22759</v>
      </c>
      <c r="D86" s="56" t="s">
        <v>2978</v>
      </c>
      <c r="E86" s="56" t="s">
        <v>2599</v>
      </c>
      <c r="F86" s="56" t="s">
        <v>3026</v>
      </c>
      <c r="G86" s="56" t="s">
        <v>22760</v>
      </c>
    </row>
    <row r="87" spans="1:7" ht="51">
      <c r="A87" s="56" t="s">
        <v>2975</v>
      </c>
      <c r="B87" s="56" t="s">
        <v>17256</v>
      </c>
      <c r="C87" s="56" t="s">
        <v>22761</v>
      </c>
      <c r="D87" s="56" t="s">
        <v>2978</v>
      </c>
      <c r="E87" s="56" t="s">
        <v>2945</v>
      </c>
      <c r="F87" s="56" t="s">
        <v>3026</v>
      </c>
      <c r="G87" s="56" t="s">
        <v>22762</v>
      </c>
    </row>
    <row r="88" spans="1:7" ht="25.5">
      <c r="A88" s="56" t="s">
        <v>2975</v>
      </c>
      <c r="B88" s="56" t="s">
        <v>22763</v>
      </c>
      <c r="C88" s="56" t="s">
        <v>22764</v>
      </c>
      <c r="D88" s="56" t="s">
        <v>2978</v>
      </c>
      <c r="E88" s="56" t="s">
        <v>2945</v>
      </c>
      <c r="F88" s="56" t="s">
        <v>3026</v>
      </c>
      <c r="G88" s="56" t="s">
        <v>22765</v>
      </c>
    </row>
    <row r="89" spans="1:7" ht="25.5">
      <c r="A89" s="56" t="s">
        <v>3014</v>
      </c>
      <c r="B89" s="56" t="s">
        <v>2594</v>
      </c>
      <c r="C89" s="56" t="s">
        <v>4195</v>
      </c>
      <c r="D89" s="56" t="s">
        <v>3015</v>
      </c>
      <c r="E89" s="56" t="s">
        <v>2945</v>
      </c>
      <c r="F89" s="56" t="s">
        <v>2939</v>
      </c>
      <c r="G89" s="56" t="s">
        <v>4196</v>
      </c>
    </row>
    <row r="90" spans="1:7" ht="38.25">
      <c r="A90" s="56" t="s">
        <v>3014</v>
      </c>
      <c r="B90" s="56" t="s">
        <v>2595</v>
      </c>
      <c r="C90" s="56" t="s">
        <v>22766</v>
      </c>
      <c r="D90" s="56" t="s">
        <v>3015</v>
      </c>
      <c r="E90" s="56" t="s">
        <v>2945</v>
      </c>
      <c r="F90" s="56" t="s">
        <v>2939</v>
      </c>
      <c r="G90" s="56" t="s">
        <v>22767</v>
      </c>
    </row>
    <row r="91" spans="1:7" ht="25.5">
      <c r="A91" s="56" t="s">
        <v>3014</v>
      </c>
      <c r="B91" s="56" t="s">
        <v>2596</v>
      </c>
      <c r="C91" s="56" t="s">
        <v>22768</v>
      </c>
      <c r="D91" s="56" t="s">
        <v>3015</v>
      </c>
      <c r="E91" s="56" t="s">
        <v>2945</v>
      </c>
      <c r="F91" s="56" t="s">
        <v>2939</v>
      </c>
      <c r="G91" s="56" t="s">
        <v>22769</v>
      </c>
    </row>
    <row r="92" spans="1:7" ht="63.75">
      <c r="A92" s="56" t="s">
        <v>3014</v>
      </c>
      <c r="B92" s="56" t="s">
        <v>2597</v>
      </c>
      <c r="C92" s="56" t="s">
        <v>3016</v>
      </c>
      <c r="D92" s="56" t="s">
        <v>3015</v>
      </c>
      <c r="E92" s="56" t="s">
        <v>2945</v>
      </c>
      <c r="F92" s="56" t="s">
        <v>2939</v>
      </c>
      <c r="G92" s="56" t="s">
        <v>22770</v>
      </c>
    </row>
    <row r="93" spans="1:7" ht="25.5">
      <c r="A93" s="56" t="s">
        <v>3014</v>
      </c>
      <c r="B93" s="56" t="s">
        <v>2598</v>
      </c>
      <c r="C93" s="56" t="s">
        <v>3017</v>
      </c>
      <c r="D93" s="56" t="s">
        <v>3015</v>
      </c>
      <c r="E93" s="56" t="s">
        <v>2945</v>
      </c>
      <c r="F93" s="56" t="s">
        <v>2939</v>
      </c>
      <c r="G93" s="56" t="s">
        <v>4197</v>
      </c>
    </row>
    <row r="94" spans="1:7" ht="25.5">
      <c r="A94" s="56" t="s">
        <v>3014</v>
      </c>
      <c r="B94" s="56" t="s">
        <v>3018</v>
      </c>
      <c r="C94" s="56" t="s">
        <v>3019</v>
      </c>
      <c r="D94" s="56" t="s">
        <v>3015</v>
      </c>
      <c r="E94" s="56" t="s">
        <v>2945</v>
      </c>
      <c r="F94" s="56" t="s">
        <v>2939</v>
      </c>
      <c r="G94" s="56" t="s">
        <v>3020</v>
      </c>
    </row>
    <row r="95" spans="1:7" ht="38.25">
      <c r="A95" s="56" t="s">
        <v>3014</v>
      </c>
      <c r="B95" s="56" t="s">
        <v>3021</v>
      </c>
      <c r="C95" s="56" t="s">
        <v>3022</v>
      </c>
      <c r="D95" s="56" t="s">
        <v>3015</v>
      </c>
      <c r="E95" s="56" t="s">
        <v>2945</v>
      </c>
      <c r="F95" s="56" t="s">
        <v>2939</v>
      </c>
      <c r="G95" s="56" t="s">
        <v>3023</v>
      </c>
    </row>
    <row r="96" spans="1:7" ht="25.5">
      <c r="A96" s="56" t="s">
        <v>3014</v>
      </c>
      <c r="B96" s="56" t="s">
        <v>4198</v>
      </c>
      <c r="C96" s="56" t="s">
        <v>4199</v>
      </c>
      <c r="D96" s="56" t="s">
        <v>3015</v>
      </c>
      <c r="E96" s="56" t="s">
        <v>2945</v>
      </c>
      <c r="F96" s="56" t="s">
        <v>2939</v>
      </c>
      <c r="G96" s="56" t="s">
        <v>22771</v>
      </c>
    </row>
    <row r="97" spans="1:7" ht="25.5">
      <c r="A97" s="56" t="s">
        <v>3014</v>
      </c>
      <c r="B97" s="56" t="s">
        <v>3024</v>
      </c>
      <c r="C97" s="56" t="s">
        <v>3025</v>
      </c>
      <c r="D97" s="56" t="s">
        <v>3015</v>
      </c>
      <c r="E97" s="56" t="s">
        <v>2945</v>
      </c>
      <c r="F97" s="56" t="s">
        <v>3026</v>
      </c>
      <c r="G97" s="56" t="s">
        <v>3027</v>
      </c>
    </row>
    <row r="98" spans="1:7" ht="25.5">
      <c r="A98" s="56" t="s">
        <v>3014</v>
      </c>
      <c r="B98" s="56" t="s">
        <v>22772</v>
      </c>
      <c r="C98" s="56" t="s">
        <v>22773</v>
      </c>
      <c r="D98" s="56" t="s">
        <v>3015</v>
      </c>
      <c r="E98" s="56" t="s">
        <v>2945</v>
      </c>
      <c r="F98" s="56" t="s">
        <v>2939</v>
      </c>
      <c r="G98" s="56" t="s">
        <v>22774</v>
      </c>
    </row>
    <row r="99" spans="1:7" ht="38.25">
      <c r="A99" s="56" t="s">
        <v>3014</v>
      </c>
      <c r="B99" s="56" t="s">
        <v>22775</v>
      </c>
      <c r="C99" s="56" t="s">
        <v>22776</v>
      </c>
      <c r="D99" s="56" t="s">
        <v>3015</v>
      </c>
      <c r="E99" s="56" t="s">
        <v>2945</v>
      </c>
      <c r="F99" s="56" t="s">
        <v>2939</v>
      </c>
      <c r="G99" s="56" t="s">
        <v>22777</v>
      </c>
    </row>
    <row r="100" spans="1:7" ht="25.5">
      <c r="A100" s="56" t="s">
        <v>3014</v>
      </c>
      <c r="B100" s="56" t="s">
        <v>20561</v>
      </c>
      <c r="C100" s="56" t="s">
        <v>22778</v>
      </c>
      <c r="D100" s="56" t="s">
        <v>3015</v>
      </c>
      <c r="E100" s="56" t="s">
        <v>2945</v>
      </c>
      <c r="F100" s="56" t="s">
        <v>2939</v>
      </c>
      <c r="G100" s="56" t="s">
        <v>22779</v>
      </c>
    </row>
    <row r="101" spans="1:7">
      <c r="A101" s="56" t="s">
        <v>3014</v>
      </c>
      <c r="B101" s="56" t="s">
        <v>22780</v>
      </c>
      <c r="C101" s="56" t="s">
        <v>22776</v>
      </c>
      <c r="D101" s="56" t="s">
        <v>3015</v>
      </c>
      <c r="E101" s="56" t="s">
        <v>2945</v>
      </c>
      <c r="F101" s="56" t="s">
        <v>4185</v>
      </c>
      <c r="G101" s="56" t="s">
        <v>22781</v>
      </c>
    </row>
    <row r="102" spans="1:7" ht="38.25">
      <c r="A102" s="56" t="s">
        <v>3014</v>
      </c>
      <c r="B102" s="56" t="s">
        <v>22782</v>
      </c>
      <c r="C102" s="56" t="s">
        <v>22783</v>
      </c>
      <c r="D102" s="56" t="s">
        <v>3015</v>
      </c>
      <c r="E102" s="56" t="s">
        <v>2945</v>
      </c>
      <c r="F102" s="56" t="s">
        <v>3026</v>
      </c>
      <c r="G102" s="56" t="s">
        <v>22784</v>
      </c>
    </row>
    <row r="103" spans="1:7">
      <c r="A103" s="56" t="s">
        <v>2932</v>
      </c>
      <c r="B103" s="56" t="s">
        <v>3028</v>
      </c>
      <c r="C103" s="56"/>
      <c r="D103" s="56" t="s">
        <v>102</v>
      </c>
      <c r="E103" s="56" t="s">
        <v>2945</v>
      </c>
      <c r="F103" s="56" t="s">
        <v>2939</v>
      </c>
      <c r="G103" s="56" t="s">
        <v>3029</v>
      </c>
    </row>
    <row r="104" spans="1:7">
      <c r="A104" s="56" t="s">
        <v>2932</v>
      </c>
      <c r="B104" s="56" t="s">
        <v>3030</v>
      </c>
      <c r="C104" s="56"/>
      <c r="D104" s="56" t="s">
        <v>102</v>
      </c>
      <c r="E104" s="56" t="s">
        <v>2945</v>
      </c>
      <c r="F104" s="56" t="s">
        <v>2939</v>
      </c>
      <c r="G104" s="56" t="s">
        <v>3031</v>
      </c>
    </row>
    <row r="105" spans="1:7">
      <c r="A105" s="56" t="s">
        <v>2932</v>
      </c>
      <c r="B105" s="56" t="s">
        <v>3032</v>
      </c>
      <c r="C105" s="56"/>
      <c r="D105" s="56" t="s">
        <v>102</v>
      </c>
      <c r="E105" s="56" t="s">
        <v>2945</v>
      </c>
      <c r="F105" s="56" t="s">
        <v>2939</v>
      </c>
      <c r="G105" s="56" t="s">
        <v>3033</v>
      </c>
    </row>
    <row r="106" spans="1:7">
      <c r="A106" s="56" t="s">
        <v>2932</v>
      </c>
      <c r="B106" s="56" t="s">
        <v>4200</v>
      </c>
      <c r="C106" s="56"/>
      <c r="D106" s="56" t="s">
        <v>98</v>
      </c>
      <c r="E106" s="56" t="s">
        <v>2945</v>
      </c>
      <c r="F106" s="56" t="s">
        <v>2939</v>
      </c>
      <c r="G106" s="56" t="s">
        <v>4201</v>
      </c>
    </row>
    <row r="107" spans="1:7">
      <c r="A107" s="56" t="s">
        <v>2932</v>
      </c>
      <c r="B107" s="56" t="s">
        <v>3034</v>
      </c>
      <c r="C107" s="56"/>
      <c r="D107" s="56" t="s">
        <v>98</v>
      </c>
      <c r="E107" s="56" t="s">
        <v>2945</v>
      </c>
      <c r="F107" s="56" t="s">
        <v>2939</v>
      </c>
      <c r="G107" s="56" t="s">
        <v>4202</v>
      </c>
    </row>
    <row r="108" spans="1:7">
      <c r="A108" s="56" t="s">
        <v>2932</v>
      </c>
      <c r="B108" s="56" t="s">
        <v>3035</v>
      </c>
      <c r="C108" s="56"/>
      <c r="D108" s="56" t="s">
        <v>3036</v>
      </c>
      <c r="E108" s="56" t="s">
        <v>2945</v>
      </c>
      <c r="F108" s="56" t="s">
        <v>2939</v>
      </c>
      <c r="G108" s="56" t="s">
        <v>4203</v>
      </c>
    </row>
    <row r="109" spans="1:7">
      <c r="A109" s="56" t="s">
        <v>2932</v>
      </c>
      <c r="B109" s="56" t="s">
        <v>3037</v>
      </c>
      <c r="C109" s="56"/>
      <c r="D109" s="56" t="s">
        <v>102</v>
      </c>
      <c r="E109" s="56" t="s">
        <v>2945</v>
      </c>
      <c r="F109" s="56" t="s">
        <v>2939</v>
      </c>
      <c r="G109" s="56" t="s">
        <v>3038</v>
      </c>
    </row>
    <row r="110" spans="1:7">
      <c r="A110" s="56" t="s">
        <v>2932</v>
      </c>
      <c r="B110" s="56" t="s">
        <v>4204</v>
      </c>
      <c r="C110" s="56"/>
      <c r="D110" s="56" t="s">
        <v>102</v>
      </c>
      <c r="E110" s="56" t="s">
        <v>2945</v>
      </c>
      <c r="F110" s="56" t="s">
        <v>2939</v>
      </c>
      <c r="G110" s="56" t="s">
        <v>4205</v>
      </c>
    </row>
    <row r="111" spans="1:7">
      <c r="A111" s="56" t="s">
        <v>2932</v>
      </c>
      <c r="B111" s="56" t="s">
        <v>3039</v>
      </c>
      <c r="C111" s="56"/>
      <c r="D111" s="56" t="s">
        <v>102</v>
      </c>
      <c r="E111" s="56" t="s">
        <v>2945</v>
      </c>
      <c r="F111" s="56" t="s">
        <v>2939</v>
      </c>
      <c r="G111" s="56" t="s">
        <v>3040</v>
      </c>
    </row>
    <row r="112" spans="1:7" ht="51">
      <c r="A112" s="56" t="s">
        <v>2932</v>
      </c>
      <c r="B112" s="56" t="s">
        <v>3041</v>
      </c>
      <c r="C112" s="56"/>
      <c r="D112" s="56" t="s">
        <v>98</v>
      </c>
      <c r="E112" s="56" t="s">
        <v>2945</v>
      </c>
      <c r="F112" s="56" t="s">
        <v>2939</v>
      </c>
      <c r="G112" s="56" t="s">
        <v>22875</v>
      </c>
    </row>
    <row r="113" spans="1:7">
      <c r="A113" s="56" t="s">
        <v>2932</v>
      </c>
      <c r="B113" s="56" t="s">
        <v>3042</v>
      </c>
      <c r="C113" s="56"/>
      <c r="D113" s="56" t="s">
        <v>98</v>
      </c>
      <c r="E113" s="56" t="s">
        <v>2945</v>
      </c>
      <c r="F113" s="56" t="s">
        <v>2939</v>
      </c>
      <c r="G113" s="56" t="s">
        <v>3043</v>
      </c>
    </row>
    <row r="114" spans="1:7">
      <c r="A114" s="56" t="s">
        <v>2932</v>
      </c>
      <c r="B114" s="56" t="s">
        <v>3044</v>
      </c>
      <c r="C114" s="56"/>
      <c r="D114" s="56" t="s">
        <v>98</v>
      </c>
      <c r="E114" s="56" t="s">
        <v>2945</v>
      </c>
      <c r="F114" s="56" t="s">
        <v>2939</v>
      </c>
      <c r="G114" s="56" t="s">
        <v>3045</v>
      </c>
    </row>
    <row r="115" spans="1:7">
      <c r="A115" s="56" t="s">
        <v>2932</v>
      </c>
      <c r="B115" s="56" t="s">
        <v>3046</v>
      </c>
      <c r="C115" s="56"/>
      <c r="D115" s="56" t="s">
        <v>98</v>
      </c>
      <c r="E115" s="56" t="s">
        <v>2945</v>
      </c>
      <c r="F115" s="56" t="s">
        <v>2939</v>
      </c>
      <c r="G115" s="56" t="s">
        <v>3047</v>
      </c>
    </row>
    <row r="116" spans="1:7" ht="38.25">
      <c r="A116" s="56" t="s">
        <v>2932</v>
      </c>
      <c r="B116" s="56" t="s">
        <v>4206</v>
      </c>
      <c r="C116" s="56" t="s">
        <v>4207</v>
      </c>
      <c r="D116" s="56" t="s">
        <v>3060</v>
      </c>
      <c r="E116" s="56" t="s">
        <v>2945</v>
      </c>
      <c r="F116" s="56" t="s">
        <v>2939</v>
      </c>
      <c r="G116" s="56" t="s">
        <v>4208</v>
      </c>
    </row>
    <row r="117" spans="1:7" ht="25.5">
      <c r="A117" s="56" t="s">
        <v>2932</v>
      </c>
      <c r="B117" s="56" t="s">
        <v>4209</v>
      </c>
      <c r="C117" s="56"/>
      <c r="D117" s="56" t="s">
        <v>3060</v>
      </c>
      <c r="E117" s="56" t="s">
        <v>4185</v>
      </c>
      <c r="F117" s="56" t="s">
        <v>2939</v>
      </c>
      <c r="G117" s="56" t="s">
        <v>4210</v>
      </c>
    </row>
    <row r="118" spans="1:7" ht="38.25">
      <c r="A118" s="56" t="s">
        <v>2932</v>
      </c>
      <c r="B118" s="56" t="s">
        <v>4211</v>
      </c>
      <c r="C118" s="56"/>
      <c r="D118" s="56" t="s">
        <v>3060</v>
      </c>
      <c r="E118" s="56" t="s">
        <v>2945</v>
      </c>
      <c r="F118" s="56" t="s">
        <v>2939</v>
      </c>
      <c r="G118" s="56" t="s">
        <v>4212</v>
      </c>
    </row>
    <row r="119" spans="1:7">
      <c r="A119" s="56" t="s">
        <v>2932</v>
      </c>
      <c r="B119" s="56" t="s">
        <v>3048</v>
      </c>
      <c r="C119" s="56"/>
      <c r="D119" s="56" t="s">
        <v>98</v>
      </c>
      <c r="E119" s="56" t="s">
        <v>2599</v>
      </c>
      <c r="F119" s="56" t="s">
        <v>2939</v>
      </c>
      <c r="G119" s="56" t="s">
        <v>3049</v>
      </c>
    </row>
    <row r="120" spans="1:7">
      <c r="A120" s="56" t="s">
        <v>2932</v>
      </c>
      <c r="B120" s="56" t="s">
        <v>3050</v>
      </c>
      <c r="C120" s="56"/>
      <c r="D120" s="56" t="s">
        <v>102</v>
      </c>
      <c r="E120" s="56" t="s">
        <v>2599</v>
      </c>
      <c r="F120" s="56" t="s">
        <v>2939</v>
      </c>
      <c r="G120" s="56" t="s">
        <v>3051</v>
      </c>
    </row>
    <row r="121" spans="1:7">
      <c r="A121" s="56" t="s">
        <v>2932</v>
      </c>
      <c r="B121" s="56" t="s">
        <v>4213</v>
      </c>
      <c r="C121" s="56"/>
      <c r="D121" s="56" t="s">
        <v>3052</v>
      </c>
      <c r="E121" s="56" t="s">
        <v>1</v>
      </c>
      <c r="F121" s="56" t="s">
        <v>2939</v>
      </c>
      <c r="G121" s="56" t="s">
        <v>4214</v>
      </c>
    </row>
    <row r="122" spans="1:7" ht="38.25">
      <c r="A122" s="56" t="s">
        <v>2932</v>
      </c>
      <c r="B122" s="56" t="s">
        <v>3053</v>
      </c>
      <c r="C122" s="56"/>
      <c r="D122" s="56" t="s">
        <v>3054</v>
      </c>
      <c r="E122" s="56" t="s">
        <v>2945</v>
      </c>
      <c r="F122" s="56" t="s">
        <v>2939</v>
      </c>
      <c r="G122" s="56" t="s">
        <v>3055</v>
      </c>
    </row>
    <row r="123" spans="1:7" ht="25.5">
      <c r="A123" s="56" t="s">
        <v>2932</v>
      </c>
      <c r="B123" s="56" t="s">
        <v>3056</v>
      </c>
      <c r="C123" s="56"/>
      <c r="D123" s="56" t="s">
        <v>3054</v>
      </c>
      <c r="E123" s="56" t="s">
        <v>2945</v>
      </c>
      <c r="F123" s="56" t="s">
        <v>2939</v>
      </c>
      <c r="G123" s="56" t="s">
        <v>3057</v>
      </c>
    </row>
    <row r="124" spans="1:7" ht="25.5">
      <c r="A124" s="56" t="s">
        <v>2932</v>
      </c>
      <c r="B124" s="56" t="s">
        <v>2622</v>
      </c>
      <c r="C124" s="56"/>
      <c r="D124" s="56" t="s">
        <v>3058</v>
      </c>
      <c r="E124" s="56" t="s">
        <v>2945</v>
      </c>
      <c r="F124" s="56" t="s">
        <v>2939</v>
      </c>
      <c r="G124" s="56" t="s">
        <v>4215</v>
      </c>
    </row>
    <row r="125" spans="1:7" ht="25.5">
      <c r="A125" s="56" t="s">
        <v>2932</v>
      </c>
      <c r="B125" s="56" t="s">
        <v>3059</v>
      </c>
      <c r="C125" s="56"/>
      <c r="D125" s="56" t="s">
        <v>3060</v>
      </c>
      <c r="E125" s="56" t="s">
        <v>2945</v>
      </c>
      <c r="F125" s="56" t="s">
        <v>2939</v>
      </c>
      <c r="G125" s="56" t="s">
        <v>3061</v>
      </c>
    </row>
    <row r="126" spans="1:7" ht="25.5">
      <c r="A126" s="56" t="s">
        <v>2932</v>
      </c>
      <c r="B126" s="56" t="s">
        <v>3062</v>
      </c>
      <c r="C126" s="56"/>
      <c r="D126" s="56" t="s">
        <v>3036</v>
      </c>
      <c r="E126" s="56" t="s">
        <v>2945</v>
      </c>
      <c r="F126" s="56" t="s">
        <v>2939</v>
      </c>
      <c r="G126" s="56" t="s">
        <v>3063</v>
      </c>
    </row>
    <row r="127" spans="1:7" ht="38.25">
      <c r="A127" s="56" t="s">
        <v>2932</v>
      </c>
      <c r="B127" s="56" t="s">
        <v>22785</v>
      </c>
      <c r="C127" s="56"/>
      <c r="D127" s="56" t="s">
        <v>98</v>
      </c>
      <c r="E127" s="56" t="s">
        <v>2945</v>
      </c>
      <c r="F127" s="56" t="s">
        <v>2939</v>
      </c>
      <c r="G127" s="56" t="s">
        <v>22786</v>
      </c>
    </row>
    <row r="128" spans="1:7" ht="51">
      <c r="A128" s="56" t="s">
        <v>2932</v>
      </c>
      <c r="B128" s="56" t="s">
        <v>22787</v>
      </c>
      <c r="C128" s="56"/>
      <c r="D128" s="56" t="s">
        <v>3060</v>
      </c>
      <c r="E128" s="56" t="s">
        <v>2945</v>
      </c>
      <c r="F128" s="56" t="s">
        <v>2939</v>
      </c>
      <c r="G128" s="56" t="s">
        <v>22788</v>
      </c>
    </row>
    <row r="129" spans="1:7" ht="38.25">
      <c r="A129" s="56" t="s">
        <v>2932</v>
      </c>
      <c r="B129" s="56" t="s">
        <v>22789</v>
      </c>
      <c r="C129" s="56"/>
      <c r="D129" s="56" t="s">
        <v>98</v>
      </c>
      <c r="E129" s="56" t="s">
        <v>4185</v>
      </c>
      <c r="F129" s="56" t="s">
        <v>4185</v>
      </c>
      <c r="G129" s="56" t="s">
        <v>22790</v>
      </c>
    </row>
    <row r="130" spans="1:7" ht="51">
      <c r="A130" s="56" t="s">
        <v>2932</v>
      </c>
      <c r="B130" s="56" t="s">
        <v>22791</v>
      </c>
      <c r="C130" s="56"/>
      <c r="D130" s="56" t="s">
        <v>22792</v>
      </c>
      <c r="E130" s="56" t="s">
        <v>2945</v>
      </c>
      <c r="F130" s="56" t="s">
        <v>3026</v>
      </c>
      <c r="G130" s="56" t="s">
        <v>22793</v>
      </c>
    </row>
    <row r="131" spans="1:7" ht="38.25">
      <c r="A131" s="56" t="s">
        <v>2932</v>
      </c>
      <c r="B131" s="56" t="s">
        <v>22794</v>
      </c>
      <c r="C131" s="56"/>
      <c r="D131" s="56" t="s">
        <v>3052</v>
      </c>
      <c r="E131" s="56" t="s">
        <v>2945</v>
      </c>
      <c r="F131" s="56" t="s">
        <v>3026</v>
      </c>
      <c r="G131" s="56" t="s">
        <v>22795</v>
      </c>
    </row>
    <row r="132" spans="1:7" ht="38.25">
      <c r="A132" s="56" t="s">
        <v>2926</v>
      </c>
      <c r="B132" s="56" t="s">
        <v>3918</v>
      </c>
      <c r="C132" s="56" t="s">
        <v>4216</v>
      </c>
      <c r="D132" s="56" t="s">
        <v>1</v>
      </c>
      <c r="E132" s="56" t="s">
        <v>1</v>
      </c>
      <c r="F132" s="56" t="s">
        <v>2939</v>
      </c>
      <c r="G132" s="56" t="s">
        <v>4217</v>
      </c>
    </row>
    <row r="133" spans="1:7" ht="38.25">
      <c r="A133" s="56" t="s">
        <v>2926</v>
      </c>
      <c r="B133" s="56" t="s">
        <v>3921</v>
      </c>
      <c r="C133" s="56" t="s">
        <v>4218</v>
      </c>
      <c r="D133" s="56" t="s">
        <v>1</v>
      </c>
      <c r="E133" s="56" t="s">
        <v>1</v>
      </c>
      <c r="F133" s="56" t="s">
        <v>2939</v>
      </c>
      <c r="G133" s="56" t="s">
        <v>4219</v>
      </c>
    </row>
    <row r="134" spans="1:7" ht="25.5">
      <c r="A134" s="56" t="s">
        <v>2926</v>
      </c>
      <c r="B134" s="56" t="s">
        <v>3924</v>
      </c>
      <c r="C134" s="56" t="s">
        <v>4220</v>
      </c>
      <c r="D134" s="56" t="s">
        <v>1</v>
      </c>
      <c r="E134" s="56" t="s">
        <v>1</v>
      </c>
      <c r="F134" s="56" t="s">
        <v>2939</v>
      </c>
      <c r="G134" s="56" t="s">
        <v>4221</v>
      </c>
    </row>
    <row r="135" spans="1:7">
      <c r="A135" s="56" t="s">
        <v>2926</v>
      </c>
      <c r="B135" s="56" t="s">
        <v>3927</v>
      </c>
      <c r="C135" s="56" t="s">
        <v>3065</v>
      </c>
      <c r="D135" s="56" t="s">
        <v>1</v>
      </c>
      <c r="E135" s="56" t="s">
        <v>1</v>
      </c>
      <c r="F135" s="56" t="s">
        <v>2939</v>
      </c>
      <c r="G135" s="56" t="s">
        <v>4222</v>
      </c>
    </row>
    <row r="136" spans="1:7" ht="25.5">
      <c r="A136" s="56" t="s">
        <v>2926</v>
      </c>
      <c r="B136" s="56" t="s">
        <v>3064</v>
      </c>
      <c r="C136" s="56" t="s">
        <v>3065</v>
      </c>
      <c r="D136" s="56" t="s">
        <v>1</v>
      </c>
      <c r="E136" s="56" t="s">
        <v>1</v>
      </c>
      <c r="F136" s="56" t="s">
        <v>2939</v>
      </c>
      <c r="G136" s="56" t="s">
        <v>4223</v>
      </c>
    </row>
    <row r="137" spans="1:7" ht="25.5">
      <c r="A137" s="56" t="s">
        <v>2926</v>
      </c>
      <c r="B137" s="56" t="s">
        <v>3066</v>
      </c>
      <c r="C137" s="56" t="s">
        <v>3067</v>
      </c>
      <c r="D137" s="56" t="s">
        <v>1</v>
      </c>
      <c r="E137" s="56" t="s">
        <v>1</v>
      </c>
      <c r="F137" s="56" t="s">
        <v>2939</v>
      </c>
      <c r="G137" s="56" t="s">
        <v>3068</v>
      </c>
    </row>
    <row r="138" spans="1:7">
      <c r="A138" s="56" t="s">
        <v>2926</v>
      </c>
      <c r="B138" s="56" t="s">
        <v>3069</v>
      </c>
      <c r="C138" s="56" t="s">
        <v>3070</v>
      </c>
      <c r="D138" s="56" t="s">
        <v>1</v>
      </c>
      <c r="E138" s="56" t="s">
        <v>1</v>
      </c>
      <c r="F138" s="56" t="s">
        <v>2939</v>
      </c>
      <c r="G138" s="56" t="s">
        <v>3071</v>
      </c>
    </row>
    <row r="139" spans="1:7" ht="51">
      <c r="A139" s="56" t="s">
        <v>2926</v>
      </c>
      <c r="B139" s="56" t="s">
        <v>3072</v>
      </c>
      <c r="C139" s="56" t="s">
        <v>3067</v>
      </c>
      <c r="D139" s="56" t="s">
        <v>1</v>
      </c>
      <c r="E139" s="56" t="s">
        <v>1</v>
      </c>
      <c r="F139" s="56" t="s">
        <v>2939</v>
      </c>
      <c r="G139" s="56" t="s">
        <v>22796</v>
      </c>
    </row>
    <row r="140" spans="1:7" ht="38.25">
      <c r="A140" s="56" t="s">
        <v>2926</v>
      </c>
      <c r="B140" s="56" t="s">
        <v>3073</v>
      </c>
      <c r="C140" s="56" t="s">
        <v>4224</v>
      </c>
      <c r="D140" s="56" t="s">
        <v>1</v>
      </c>
      <c r="E140" s="56" t="s">
        <v>1</v>
      </c>
      <c r="F140" s="56" t="s">
        <v>2939</v>
      </c>
      <c r="G140" s="56" t="s">
        <v>22797</v>
      </c>
    </row>
    <row r="141" spans="1:7" ht="25.5">
      <c r="A141" s="56" t="s">
        <v>2926</v>
      </c>
      <c r="B141" s="56" t="s">
        <v>3931</v>
      </c>
      <c r="C141" s="56" t="s">
        <v>4225</v>
      </c>
      <c r="D141" s="56" t="s">
        <v>1</v>
      </c>
      <c r="E141" s="56" t="s">
        <v>1</v>
      </c>
      <c r="F141" s="56" t="s">
        <v>2939</v>
      </c>
      <c r="G141" s="56" t="s">
        <v>22798</v>
      </c>
    </row>
    <row r="142" spans="1:7">
      <c r="A142" s="56" t="s">
        <v>2926</v>
      </c>
      <c r="B142" s="56" t="s">
        <v>3074</v>
      </c>
      <c r="C142" s="56" t="s">
        <v>3075</v>
      </c>
      <c r="D142" s="56" t="s">
        <v>1</v>
      </c>
      <c r="E142" s="56" t="s">
        <v>1</v>
      </c>
      <c r="F142" s="56" t="s">
        <v>2939</v>
      </c>
      <c r="G142" s="56" t="s">
        <v>4226</v>
      </c>
    </row>
    <row r="143" spans="1:7">
      <c r="A143" s="56" t="s">
        <v>2926</v>
      </c>
      <c r="B143" s="56" t="s">
        <v>3076</v>
      </c>
      <c r="C143" s="56" t="s">
        <v>3075</v>
      </c>
      <c r="D143" s="56" t="s">
        <v>1</v>
      </c>
      <c r="E143" s="56" t="s">
        <v>1</v>
      </c>
      <c r="F143" s="56" t="s">
        <v>2939</v>
      </c>
      <c r="G143" s="56" t="s">
        <v>4227</v>
      </c>
    </row>
    <row r="144" spans="1:7">
      <c r="A144" s="56" t="s">
        <v>2926</v>
      </c>
      <c r="B144" s="56" t="s">
        <v>3077</v>
      </c>
      <c r="C144" s="56" t="s">
        <v>3065</v>
      </c>
      <c r="D144" s="56" t="s">
        <v>1</v>
      </c>
      <c r="E144" s="56" t="s">
        <v>1</v>
      </c>
      <c r="F144" s="56" t="s">
        <v>2939</v>
      </c>
      <c r="G144" s="56" t="s">
        <v>4228</v>
      </c>
    </row>
    <row r="145" spans="1:7" ht="25.5">
      <c r="A145" s="56" t="s">
        <v>2926</v>
      </c>
      <c r="B145" s="56" t="s">
        <v>3078</v>
      </c>
      <c r="C145" s="56" t="s">
        <v>3065</v>
      </c>
      <c r="D145" s="56" t="s">
        <v>1</v>
      </c>
      <c r="E145" s="56" t="s">
        <v>1</v>
      </c>
      <c r="F145" s="56" t="s">
        <v>2939</v>
      </c>
      <c r="G145" s="56" t="s">
        <v>4229</v>
      </c>
    </row>
    <row r="146" spans="1:7">
      <c r="A146" s="56" t="s">
        <v>2926</v>
      </c>
      <c r="B146" s="56" t="s">
        <v>3079</v>
      </c>
      <c r="C146" s="56" t="s">
        <v>3065</v>
      </c>
      <c r="D146" s="56" t="s">
        <v>1</v>
      </c>
      <c r="E146" s="56" t="s">
        <v>1</v>
      </c>
      <c r="F146" s="56" t="s">
        <v>2939</v>
      </c>
      <c r="G146" s="56" t="s">
        <v>4230</v>
      </c>
    </row>
    <row r="147" spans="1:7" ht="25.5">
      <c r="A147" s="56" t="s">
        <v>2926</v>
      </c>
      <c r="B147" s="56" t="s">
        <v>3080</v>
      </c>
      <c r="C147" s="56" t="s">
        <v>3081</v>
      </c>
      <c r="D147" s="56" t="s">
        <v>1</v>
      </c>
      <c r="E147" s="56" t="s">
        <v>1</v>
      </c>
      <c r="F147" s="56" t="s">
        <v>2939</v>
      </c>
      <c r="G147" s="56" t="s">
        <v>4231</v>
      </c>
    </row>
    <row r="148" spans="1:7" ht="25.5">
      <c r="A148" s="56" t="s">
        <v>2926</v>
      </c>
      <c r="B148" s="56" t="s">
        <v>3082</v>
      </c>
      <c r="C148" s="56" t="s">
        <v>3065</v>
      </c>
      <c r="D148" s="56" t="s">
        <v>1</v>
      </c>
      <c r="E148" s="56" t="s">
        <v>1</v>
      </c>
      <c r="F148" s="56" t="s">
        <v>2939</v>
      </c>
      <c r="G148" s="56" t="s">
        <v>22799</v>
      </c>
    </row>
    <row r="149" spans="1:7" ht="25.5">
      <c r="A149" s="56" t="s">
        <v>2926</v>
      </c>
      <c r="B149" s="56" t="s">
        <v>3939</v>
      </c>
      <c r="C149" s="56" t="s">
        <v>4232</v>
      </c>
      <c r="D149" s="56" t="s">
        <v>1</v>
      </c>
      <c r="E149" s="56" t="s">
        <v>1</v>
      </c>
      <c r="F149" s="56" t="s">
        <v>2939</v>
      </c>
      <c r="G149" s="56" t="s">
        <v>4233</v>
      </c>
    </row>
    <row r="150" spans="1:7" ht="25.5">
      <c r="A150" s="56" t="s">
        <v>2926</v>
      </c>
      <c r="B150" s="56" t="s">
        <v>3945</v>
      </c>
      <c r="C150" s="56" t="s">
        <v>3065</v>
      </c>
      <c r="D150" s="56" t="s">
        <v>1</v>
      </c>
      <c r="E150" s="56" t="s">
        <v>1</v>
      </c>
      <c r="F150" s="56" t="s">
        <v>2939</v>
      </c>
      <c r="G150" s="56" t="s">
        <v>4234</v>
      </c>
    </row>
    <row r="151" spans="1:7">
      <c r="A151" s="56" t="s">
        <v>2926</v>
      </c>
      <c r="B151" s="56" t="s">
        <v>3083</v>
      </c>
      <c r="C151" s="56" t="s">
        <v>3065</v>
      </c>
      <c r="D151" s="56" t="s">
        <v>1</v>
      </c>
      <c r="E151" s="56" t="s">
        <v>1</v>
      </c>
      <c r="F151" s="56" t="s">
        <v>2939</v>
      </c>
      <c r="G151" s="56" t="s">
        <v>4235</v>
      </c>
    </row>
    <row r="152" spans="1:7">
      <c r="A152" s="56" t="s">
        <v>2926</v>
      </c>
      <c r="B152" s="56" t="s">
        <v>3084</v>
      </c>
      <c r="C152" s="56" t="s">
        <v>3065</v>
      </c>
      <c r="D152" s="56" t="s">
        <v>1</v>
      </c>
      <c r="E152" s="56" t="s">
        <v>1</v>
      </c>
      <c r="F152" s="56" t="s">
        <v>2939</v>
      </c>
      <c r="G152" s="56" t="s">
        <v>4236</v>
      </c>
    </row>
    <row r="153" spans="1:7">
      <c r="A153" s="56" t="s">
        <v>2926</v>
      </c>
      <c r="B153" s="56" t="s">
        <v>3086</v>
      </c>
      <c r="C153" s="56" t="s">
        <v>3087</v>
      </c>
      <c r="D153" s="56" t="s">
        <v>1</v>
      </c>
      <c r="E153" s="56" t="s">
        <v>1</v>
      </c>
      <c r="F153" s="56" t="s">
        <v>2939</v>
      </c>
      <c r="G153" s="56" t="s">
        <v>4237</v>
      </c>
    </row>
    <row r="154" spans="1:7">
      <c r="A154" s="56" t="s">
        <v>2926</v>
      </c>
      <c r="B154" s="56" t="s">
        <v>3088</v>
      </c>
      <c r="C154" s="56" t="s">
        <v>3089</v>
      </c>
      <c r="D154" s="56" t="s">
        <v>1</v>
      </c>
      <c r="E154" s="56" t="s">
        <v>1</v>
      </c>
      <c r="F154" s="56" t="s">
        <v>2939</v>
      </c>
      <c r="G154" s="56" t="s">
        <v>3090</v>
      </c>
    </row>
    <row r="155" spans="1:7" ht="25.5">
      <c r="A155" s="56" t="s">
        <v>2926</v>
      </c>
      <c r="B155" s="56" t="s">
        <v>18641</v>
      </c>
      <c r="C155" s="56" t="s">
        <v>3065</v>
      </c>
      <c r="D155" s="56" t="s">
        <v>1</v>
      </c>
      <c r="E155" s="56" t="s">
        <v>1</v>
      </c>
      <c r="F155" s="56" t="s">
        <v>2939</v>
      </c>
      <c r="G155" s="56" t="s">
        <v>22800</v>
      </c>
    </row>
    <row r="156" spans="1:7" ht="25.5">
      <c r="A156" s="56" t="s">
        <v>2926</v>
      </c>
      <c r="B156" s="56" t="s">
        <v>20647</v>
      </c>
      <c r="C156" s="56" t="s">
        <v>22801</v>
      </c>
      <c r="D156" s="56" t="s">
        <v>1</v>
      </c>
      <c r="E156" s="56" t="s">
        <v>1</v>
      </c>
      <c r="F156" s="56" t="s">
        <v>2939</v>
      </c>
      <c r="G156" s="56" t="s">
        <v>22802</v>
      </c>
    </row>
    <row r="157" spans="1:7" ht="25.5">
      <c r="A157" s="56" t="s">
        <v>2926</v>
      </c>
      <c r="B157" s="56" t="s">
        <v>22803</v>
      </c>
      <c r="C157" s="56" t="s">
        <v>22804</v>
      </c>
      <c r="D157" s="56" t="s">
        <v>1</v>
      </c>
      <c r="E157" s="56" t="s">
        <v>1</v>
      </c>
      <c r="F157" s="56" t="s">
        <v>2939</v>
      </c>
      <c r="G157" s="56" t="s">
        <v>22805</v>
      </c>
    </row>
    <row r="158" spans="1:7" ht="38.25">
      <c r="A158" s="56" t="s">
        <v>2926</v>
      </c>
      <c r="B158" s="56" t="s">
        <v>22806</v>
      </c>
      <c r="C158" s="56" t="s">
        <v>22807</v>
      </c>
      <c r="D158" s="56" t="s">
        <v>1</v>
      </c>
      <c r="E158" s="56" t="s">
        <v>1</v>
      </c>
      <c r="F158" s="56" t="s">
        <v>2939</v>
      </c>
      <c r="G158" s="56" t="s">
        <v>22808</v>
      </c>
    </row>
    <row r="159" spans="1:7" ht="38.25">
      <c r="A159" s="56" t="s">
        <v>3091</v>
      </c>
      <c r="B159" s="56" t="s">
        <v>4238</v>
      </c>
      <c r="C159" s="56" t="s">
        <v>4239</v>
      </c>
      <c r="D159" s="56" t="s">
        <v>4240</v>
      </c>
      <c r="E159" s="56" t="s">
        <v>2599</v>
      </c>
      <c r="F159" s="56" t="s">
        <v>2939</v>
      </c>
      <c r="G159" s="56" t="s">
        <v>4241</v>
      </c>
    </row>
    <row r="160" spans="1:7" ht="25.5">
      <c r="A160" s="56" t="s">
        <v>3091</v>
      </c>
      <c r="B160" s="56" t="s">
        <v>4242</v>
      </c>
      <c r="C160" s="56" t="s">
        <v>4243</v>
      </c>
      <c r="D160" s="56" t="s">
        <v>4240</v>
      </c>
      <c r="E160" s="56" t="s">
        <v>2945</v>
      </c>
      <c r="F160" s="56" t="s">
        <v>2939</v>
      </c>
      <c r="G160" s="56" t="s">
        <v>4244</v>
      </c>
    </row>
    <row r="161" spans="1:7" ht="25.5">
      <c r="A161" s="56" t="s">
        <v>3091</v>
      </c>
      <c r="B161" s="56" t="s">
        <v>3092</v>
      </c>
      <c r="C161" s="56" t="s">
        <v>4245</v>
      </c>
      <c r="D161" s="56" t="s">
        <v>3093</v>
      </c>
      <c r="E161" s="56" t="s">
        <v>2599</v>
      </c>
      <c r="F161" s="56" t="s">
        <v>2939</v>
      </c>
      <c r="G161" s="56" t="s">
        <v>4246</v>
      </c>
    </row>
    <row r="162" spans="1:7" ht="25.5">
      <c r="A162" s="56" t="s">
        <v>3091</v>
      </c>
      <c r="B162" s="56" t="s">
        <v>3094</v>
      </c>
      <c r="C162" s="56" t="s">
        <v>22809</v>
      </c>
      <c r="D162" s="56" t="s">
        <v>3093</v>
      </c>
      <c r="E162" s="56" t="s">
        <v>2945</v>
      </c>
      <c r="F162" s="56" t="s">
        <v>4252</v>
      </c>
      <c r="G162" s="56" t="s">
        <v>22810</v>
      </c>
    </row>
    <row r="163" spans="1:7" ht="25.5">
      <c r="A163" s="56" t="s">
        <v>3091</v>
      </c>
      <c r="B163" s="56" t="s">
        <v>3095</v>
      </c>
      <c r="C163" s="56" t="s">
        <v>3096</v>
      </c>
      <c r="D163" s="56" t="s">
        <v>3093</v>
      </c>
      <c r="E163" s="56" t="s">
        <v>2945</v>
      </c>
      <c r="F163" s="56" t="s">
        <v>2939</v>
      </c>
      <c r="G163" s="56" t="s">
        <v>4247</v>
      </c>
    </row>
    <row r="164" spans="1:7" ht="76.5">
      <c r="A164" s="56" t="s">
        <v>3091</v>
      </c>
      <c r="B164" s="56" t="s">
        <v>3097</v>
      </c>
      <c r="C164" s="56" t="s">
        <v>3098</v>
      </c>
      <c r="D164" s="56" t="s">
        <v>3099</v>
      </c>
      <c r="E164" s="56" t="s">
        <v>2945</v>
      </c>
      <c r="F164" s="56" t="s">
        <v>2939</v>
      </c>
      <c r="G164" s="56" t="s">
        <v>3100</v>
      </c>
    </row>
    <row r="165" spans="1:7" ht="38.25">
      <c r="A165" s="56" t="s">
        <v>3091</v>
      </c>
      <c r="B165" s="56" t="s">
        <v>20606</v>
      </c>
      <c r="C165" s="56" t="s">
        <v>22811</v>
      </c>
      <c r="D165" s="56" t="s">
        <v>22812</v>
      </c>
      <c r="E165" s="56" t="s">
        <v>2945</v>
      </c>
      <c r="F165" s="56" t="s">
        <v>2939</v>
      </c>
      <c r="G165" s="56" t="s">
        <v>22813</v>
      </c>
    </row>
    <row r="166" spans="1:7" ht="25.5">
      <c r="A166" s="56" t="s">
        <v>3091</v>
      </c>
      <c r="B166" s="56" t="s">
        <v>22814</v>
      </c>
      <c r="C166" s="56" t="s">
        <v>22815</v>
      </c>
      <c r="D166" s="56" t="s">
        <v>3093</v>
      </c>
      <c r="E166" s="56" t="s">
        <v>2945</v>
      </c>
      <c r="F166" s="56" t="s">
        <v>2939</v>
      </c>
      <c r="G166" s="56" t="s">
        <v>22816</v>
      </c>
    </row>
    <row r="167" spans="1:7" ht="38.25">
      <c r="A167" s="56" t="s">
        <v>17</v>
      </c>
      <c r="B167" s="56" t="s">
        <v>8</v>
      </c>
      <c r="C167" s="56" t="s">
        <v>22817</v>
      </c>
      <c r="D167" s="56" t="s">
        <v>2978</v>
      </c>
      <c r="E167" s="56" t="s">
        <v>2945</v>
      </c>
      <c r="F167" s="56" t="s">
        <v>2939</v>
      </c>
      <c r="G167" s="56" t="s">
        <v>3101</v>
      </c>
    </row>
    <row r="168" spans="1:7" ht="25.5">
      <c r="A168" s="56" t="s">
        <v>17</v>
      </c>
      <c r="B168" s="56" t="s">
        <v>2360</v>
      </c>
      <c r="C168" s="56" t="s">
        <v>4248</v>
      </c>
      <c r="D168" s="56" t="s">
        <v>2978</v>
      </c>
      <c r="E168" s="56" t="s">
        <v>2945</v>
      </c>
      <c r="F168" s="56" t="s">
        <v>2939</v>
      </c>
      <c r="G168" s="56" t="s">
        <v>4249</v>
      </c>
    </row>
    <row r="169" spans="1:7" ht="89.25">
      <c r="A169" s="56" t="s">
        <v>17</v>
      </c>
      <c r="B169" s="56" t="s">
        <v>3102</v>
      </c>
      <c r="C169" s="56" t="s">
        <v>3103</v>
      </c>
      <c r="D169" s="56" t="s">
        <v>3104</v>
      </c>
      <c r="E169" s="56" t="s">
        <v>2945</v>
      </c>
      <c r="F169" s="56" t="s">
        <v>2939</v>
      </c>
      <c r="G169" s="56" t="s">
        <v>3105</v>
      </c>
    </row>
    <row r="170" spans="1:7" ht="38.25">
      <c r="A170" s="56" t="s">
        <v>22818</v>
      </c>
      <c r="B170" s="56" t="s">
        <v>22819</v>
      </c>
      <c r="C170" s="56" t="s">
        <v>22820</v>
      </c>
      <c r="D170" s="56" t="s">
        <v>22821</v>
      </c>
      <c r="E170" s="56" t="s">
        <v>1</v>
      </c>
      <c r="F170" s="56" t="s">
        <v>4252</v>
      </c>
      <c r="G170" s="56" t="s">
        <v>22822</v>
      </c>
    </row>
    <row r="171" spans="1:7">
      <c r="A171" s="56" t="s">
        <v>22818</v>
      </c>
      <c r="B171" s="56" t="s">
        <v>2997</v>
      </c>
      <c r="C171" s="56" t="s">
        <v>22823</v>
      </c>
      <c r="D171" s="56" t="s">
        <v>20921</v>
      </c>
      <c r="E171" s="56" t="s">
        <v>1</v>
      </c>
      <c r="F171" s="56" t="s">
        <v>4273</v>
      </c>
      <c r="G171" s="56" t="s">
        <v>22824</v>
      </c>
    </row>
    <row r="172" spans="1:7" ht="38.25">
      <c r="A172" s="56" t="s">
        <v>22818</v>
      </c>
      <c r="B172" s="56" t="s">
        <v>22825</v>
      </c>
      <c r="C172" s="56" t="s">
        <v>21437</v>
      </c>
      <c r="D172" s="56" t="s">
        <v>4272</v>
      </c>
      <c r="E172" s="56" t="s">
        <v>1</v>
      </c>
      <c r="F172" s="56" t="s">
        <v>4273</v>
      </c>
      <c r="G172" s="56" t="s">
        <v>22826</v>
      </c>
    </row>
    <row r="173" spans="1:7" ht="25.5">
      <c r="A173" s="56" t="s">
        <v>22818</v>
      </c>
      <c r="B173" s="56" t="s">
        <v>22827</v>
      </c>
      <c r="C173" s="56" t="s">
        <v>98</v>
      </c>
      <c r="D173" s="56" t="s">
        <v>22828</v>
      </c>
      <c r="E173" s="56" t="s">
        <v>1</v>
      </c>
      <c r="F173" s="56" t="s">
        <v>4273</v>
      </c>
      <c r="G173" s="56" t="s">
        <v>22829</v>
      </c>
    </row>
    <row r="174" spans="1:7" ht="38.25">
      <c r="A174" s="56" t="s">
        <v>22818</v>
      </c>
      <c r="B174" s="56" t="s">
        <v>22830</v>
      </c>
      <c r="C174" s="56" t="s">
        <v>8</v>
      </c>
      <c r="D174" s="56" t="s">
        <v>22831</v>
      </c>
      <c r="E174" s="56" t="s">
        <v>1</v>
      </c>
      <c r="F174" s="56" t="s">
        <v>4252</v>
      </c>
      <c r="G174" s="56" t="s">
        <v>22832</v>
      </c>
    </row>
    <row r="175" spans="1:7">
      <c r="A175" s="56" t="s">
        <v>4250</v>
      </c>
      <c r="B175" s="56" t="s">
        <v>2665</v>
      </c>
      <c r="C175" s="56"/>
      <c r="D175" s="56" t="s">
        <v>4251</v>
      </c>
      <c r="E175" s="56" t="s">
        <v>1</v>
      </c>
      <c r="F175" s="56" t="s">
        <v>4252</v>
      </c>
      <c r="G175" s="56" t="s">
        <v>4253</v>
      </c>
    </row>
    <row r="176" spans="1:7">
      <c r="A176" s="56" t="s">
        <v>4250</v>
      </c>
      <c r="B176" s="56" t="s">
        <v>2666</v>
      </c>
      <c r="C176" s="56"/>
      <c r="D176" s="56" t="s">
        <v>4251</v>
      </c>
      <c r="E176" s="56" t="s">
        <v>1</v>
      </c>
      <c r="F176" s="56" t="s">
        <v>4252</v>
      </c>
      <c r="G176" s="56" t="s">
        <v>4254</v>
      </c>
    </row>
    <row r="177" spans="1:7">
      <c r="A177" s="56" t="s">
        <v>4250</v>
      </c>
      <c r="B177" s="56" t="s">
        <v>2668</v>
      </c>
      <c r="C177" s="56"/>
      <c r="D177" s="56" t="s">
        <v>4251</v>
      </c>
      <c r="E177" s="56" t="s">
        <v>1</v>
      </c>
      <c r="F177" s="56" t="s">
        <v>4252</v>
      </c>
      <c r="G177" s="56" t="s">
        <v>4254</v>
      </c>
    </row>
    <row r="178" spans="1:7">
      <c r="A178" s="56" t="s">
        <v>4250</v>
      </c>
      <c r="B178" s="56" t="s">
        <v>2669</v>
      </c>
      <c r="C178" s="56"/>
      <c r="D178" s="56" t="s">
        <v>4251</v>
      </c>
      <c r="E178" s="56" t="s">
        <v>1</v>
      </c>
      <c r="F178" s="56" t="s">
        <v>4252</v>
      </c>
      <c r="G178" s="56" t="s">
        <v>4254</v>
      </c>
    </row>
    <row r="179" spans="1:7">
      <c r="A179" s="56" t="s">
        <v>4250</v>
      </c>
      <c r="B179" s="56" t="s">
        <v>2670</v>
      </c>
      <c r="C179" s="56"/>
      <c r="D179" s="56" t="s">
        <v>4251</v>
      </c>
      <c r="E179" s="56" t="s">
        <v>1</v>
      </c>
      <c r="F179" s="56" t="s">
        <v>4252</v>
      </c>
      <c r="G179" s="56" t="s">
        <v>4254</v>
      </c>
    </row>
    <row r="180" spans="1:7" ht="38.25">
      <c r="A180" s="56" t="s">
        <v>4250</v>
      </c>
      <c r="B180" s="56" t="s">
        <v>4255</v>
      </c>
      <c r="C180" s="56" t="s">
        <v>4256</v>
      </c>
      <c r="D180" s="56" t="s">
        <v>4251</v>
      </c>
      <c r="E180" s="56" t="s">
        <v>1</v>
      </c>
      <c r="F180" s="56" t="s">
        <v>4257</v>
      </c>
      <c r="G180" s="56" t="s">
        <v>4258</v>
      </c>
    </row>
    <row r="181" spans="1:7" ht="25.5">
      <c r="A181" s="56" t="s">
        <v>4250</v>
      </c>
      <c r="B181" s="56" t="s">
        <v>4259</v>
      </c>
      <c r="C181" s="56"/>
      <c r="D181" s="56" t="s">
        <v>4260</v>
      </c>
      <c r="E181" s="56" t="s">
        <v>1</v>
      </c>
      <c r="F181" s="56" t="s">
        <v>4252</v>
      </c>
      <c r="G181" s="56" t="s">
        <v>4261</v>
      </c>
    </row>
    <row r="182" spans="1:7" ht="63.75">
      <c r="A182" s="56" t="s">
        <v>4250</v>
      </c>
      <c r="B182" s="56" t="s">
        <v>4262</v>
      </c>
      <c r="C182" s="56"/>
      <c r="D182" s="56" t="s">
        <v>4263</v>
      </c>
      <c r="E182" s="56" t="s">
        <v>1</v>
      </c>
      <c r="F182" s="56" t="s">
        <v>4252</v>
      </c>
      <c r="G182" s="56" t="s">
        <v>4264</v>
      </c>
    </row>
    <row r="183" spans="1:7">
      <c r="A183" s="56" t="s">
        <v>4250</v>
      </c>
      <c r="B183" s="56" t="s">
        <v>3085</v>
      </c>
      <c r="C183" s="56"/>
      <c r="D183" s="56" t="s">
        <v>4265</v>
      </c>
      <c r="E183" s="56" t="s">
        <v>1</v>
      </c>
      <c r="F183" s="56" t="s">
        <v>4252</v>
      </c>
      <c r="G183" s="56" t="s">
        <v>4266</v>
      </c>
    </row>
    <row r="184" spans="1:7" ht="25.5">
      <c r="A184" s="56" t="s">
        <v>4250</v>
      </c>
      <c r="B184" s="56" t="s">
        <v>4267</v>
      </c>
      <c r="C184" s="56"/>
      <c r="D184" s="56" t="s">
        <v>4268</v>
      </c>
      <c r="E184" s="56" t="s">
        <v>1</v>
      </c>
      <c r="F184" s="56" t="s">
        <v>4252</v>
      </c>
      <c r="G184" s="56" t="s">
        <v>4269</v>
      </c>
    </row>
    <row r="185" spans="1:7" ht="25.5">
      <c r="A185" s="56" t="s">
        <v>4250</v>
      </c>
      <c r="B185" s="56" t="s">
        <v>4270</v>
      </c>
      <c r="C185" s="56" t="s">
        <v>4271</v>
      </c>
      <c r="D185" s="56" t="s">
        <v>4272</v>
      </c>
      <c r="E185" s="56" t="s">
        <v>1</v>
      </c>
      <c r="F185" s="56" t="s">
        <v>4273</v>
      </c>
      <c r="G185" s="56" t="s">
        <v>4274</v>
      </c>
    </row>
    <row r="186" spans="1:7" ht="38.25">
      <c r="A186" s="56" t="s">
        <v>4250</v>
      </c>
      <c r="B186" s="56" t="s">
        <v>4275</v>
      </c>
      <c r="C186" s="56" t="s">
        <v>4145</v>
      </c>
      <c r="D186" s="56" t="s">
        <v>4260</v>
      </c>
      <c r="E186" s="56" t="s">
        <v>1</v>
      </c>
      <c r="F186" s="56" t="s">
        <v>4273</v>
      </c>
      <c r="G186" s="56" t="s">
        <v>4276</v>
      </c>
    </row>
    <row r="187" spans="1:7">
      <c r="A187" s="56" t="s">
        <v>4250</v>
      </c>
      <c r="B187" s="56" t="s">
        <v>2997</v>
      </c>
      <c r="C187" s="56" t="s">
        <v>4277</v>
      </c>
      <c r="D187" s="56" t="s">
        <v>4260</v>
      </c>
      <c r="E187" s="56" t="s">
        <v>1</v>
      </c>
      <c r="F187" s="56" t="s">
        <v>4273</v>
      </c>
      <c r="G187" s="56" t="s">
        <v>4278</v>
      </c>
    </row>
    <row r="188" spans="1:7">
      <c r="A188" s="56" t="s">
        <v>4250</v>
      </c>
      <c r="B188" s="56" t="s">
        <v>4279</v>
      </c>
      <c r="C188" s="56" t="s">
        <v>4280</v>
      </c>
      <c r="D188" s="56" t="s">
        <v>4260</v>
      </c>
      <c r="E188" s="56" t="s">
        <v>1</v>
      </c>
      <c r="F188" s="56" t="s">
        <v>4257</v>
      </c>
      <c r="G188" s="56" t="s">
        <v>4281</v>
      </c>
    </row>
    <row r="189" spans="1:7">
      <c r="A189" s="56" t="s">
        <v>4250</v>
      </c>
      <c r="B189" s="56" t="s">
        <v>3013</v>
      </c>
      <c r="C189" s="56" t="s">
        <v>4282</v>
      </c>
      <c r="D189" s="56" t="s">
        <v>4283</v>
      </c>
      <c r="E189" s="56" t="s">
        <v>1</v>
      </c>
      <c r="F189" s="56" t="s">
        <v>4273</v>
      </c>
      <c r="G189" s="56" t="s">
        <v>4284</v>
      </c>
    </row>
    <row r="190" spans="1:7">
      <c r="A190" s="56" t="s">
        <v>4250</v>
      </c>
      <c r="B190" s="56" t="s">
        <v>2682</v>
      </c>
      <c r="C190" s="56" t="s">
        <v>4285</v>
      </c>
      <c r="D190" s="56" t="s">
        <v>4286</v>
      </c>
      <c r="E190" s="56" t="s">
        <v>1</v>
      </c>
      <c r="F190" s="56" t="s">
        <v>4273</v>
      </c>
      <c r="G190" s="56" t="s">
        <v>4287</v>
      </c>
    </row>
  </sheetData>
  <sheetProtection algorithmName="SHA-512" hashValue="axuYz6u1qW4cvr4xfByZEjF+VZWFeH3yCop1FrqhkiBlYAKSpJrbnurfuEYCEQkPZjnL3wSF1PaglnP0nIguxw==" saltValue="1wbJlVVF0L3CLGriWVpsXA==" spinCount="100000" sheet="1" scenarios="1" formatColumns="0" sort="0" autoFilter="0"/>
  <pageMargins left="0.7" right="0.7" top="0.75" bottom="0.75" header="0.3" footer="0.3"/>
  <tableParts count="1">
    <tablePart r:id="rId1"/>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5416C-BD18-497B-B219-8EB806E5821F}">
  <sheetPr codeName="Sheet17">
    <pageSetUpPr fitToPage="1"/>
  </sheetPr>
  <dimension ref="A1:A214"/>
  <sheetViews>
    <sheetView workbookViewId="0"/>
  </sheetViews>
  <sheetFormatPr defaultRowHeight="12.75"/>
  <cols>
    <col min="1" max="1" width="120.7109375" customWidth="1"/>
  </cols>
  <sheetData>
    <row r="1" spans="1:1" ht="20.25">
      <c r="A1" s="79" t="s">
        <v>22508</v>
      </c>
    </row>
    <row r="2" spans="1:1">
      <c r="A2" s="56" t="s">
        <v>22870</v>
      </c>
    </row>
    <row r="3" spans="1:1" ht="51">
      <c r="A3" s="56" t="s">
        <v>22509</v>
      </c>
    </row>
    <row r="4" spans="1:1" ht="15">
      <c r="A4" s="78" t="s">
        <v>0</v>
      </c>
    </row>
    <row r="5" spans="1:1" ht="51">
      <c r="A5" s="56" t="s">
        <v>22510</v>
      </c>
    </row>
    <row r="6" spans="1:1" ht="25.5">
      <c r="A6" s="56" t="s">
        <v>22511</v>
      </c>
    </row>
    <row r="7" spans="1:1" ht="25.5">
      <c r="A7" s="56" t="s">
        <v>4302</v>
      </c>
    </row>
    <row r="8" spans="1:1">
      <c r="A8" s="56" t="s">
        <v>3300</v>
      </c>
    </row>
    <row r="9" spans="1:1">
      <c r="A9" s="56" t="s">
        <v>4303</v>
      </c>
    </row>
    <row r="10" spans="1:1">
      <c r="A10" s="56" t="s">
        <v>22512</v>
      </c>
    </row>
    <row r="11" spans="1:1">
      <c r="A11" s="56" t="s">
        <v>22513</v>
      </c>
    </row>
    <row r="12" spans="1:1">
      <c r="A12" s="56" t="s">
        <v>22514</v>
      </c>
    </row>
    <row r="13" spans="1:1" ht="25.5">
      <c r="A13" s="56" t="s">
        <v>22515</v>
      </c>
    </row>
    <row r="14" spans="1:1" ht="15">
      <c r="A14" s="78" t="s">
        <v>3301</v>
      </c>
    </row>
    <row r="15" spans="1:1">
      <c r="A15" s="81" t="s">
        <v>3302</v>
      </c>
    </row>
    <row r="16" spans="1:1">
      <c r="A16" s="214" t="s">
        <v>22516</v>
      </c>
    </row>
    <row r="17" spans="1:1">
      <c r="A17" s="214" t="s">
        <v>22517</v>
      </c>
    </row>
    <row r="18" spans="1:1" ht="25.5">
      <c r="A18" s="214" t="s">
        <v>22518</v>
      </c>
    </row>
    <row r="19" spans="1:1" ht="38.25">
      <c r="A19" s="214" t="s">
        <v>22519</v>
      </c>
    </row>
    <row r="20" spans="1:1" ht="25.5">
      <c r="A20" s="56" t="s">
        <v>22520</v>
      </c>
    </row>
    <row r="21" spans="1:1">
      <c r="A21" s="56" t="s">
        <v>3303</v>
      </c>
    </row>
    <row r="22" spans="1:1" ht="25.5">
      <c r="A22" s="56" t="s">
        <v>22521</v>
      </c>
    </row>
    <row r="23" spans="1:1" ht="25.5">
      <c r="A23" s="56" t="s">
        <v>22522</v>
      </c>
    </row>
    <row r="24" spans="1:1">
      <c r="A24" s="56" t="s">
        <v>22523</v>
      </c>
    </row>
    <row r="25" spans="1:1" ht="25.5">
      <c r="A25" s="56" t="s">
        <v>22524</v>
      </c>
    </row>
    <row r="26" spans="1:1" ht="25.5">
      <c r="A26" s="56" t="s">
        <v>22525</v>
      </c>
    </row>
    <row r="27" spans="1:1" ht="25.5">
      <c r="A27" s="56" t="s">
        <v>22526</v>
      </c>
    </row>
    <row r="28" spans="1:1">
      <c r="A28" s="56" t="s">
        <v>3304</v>
      </c>
    </row>
    <row r="29" spans="1:1">
      <c r="A29" s="56" t="s">
        <v>22527</v>
      </c>
    </row>
    <row r="30" spans="1:1">
      <c r="A30" s="56" t="s">
        <v>22528</v>
      </c>
    </row>
    <row r="31" spans="1:1">
      <c r="A31" s="56" t="s">
        <v>22529</v>
      </c>
    </row>
    <row r="32" spans="1:1" ht="15">
      <c r="A32" s="78" t="s">
        <v>3305</v>
      </c>
    </row>
    <row r="33" spans="1:1" ht="25.5">
      <c r="A33" s="56" t="s">
        <v>22530</v>
      </c>
    </row>
    <row r="34" spans="1:1">
      <c r="A34" s="81" t="s">
        <v>22531</v>
      </c>
    </row>
    <row r="35" spans="1:1">
      <c r="A35" s="214" t="s">
        <v>22532</v>
      </c>
    </row>
    <row r="36" spans="1:1">
      <c r="A36" s="214" t="s">
        <v>22533</v>
      </c>
    </row>
    <row r="37" spans="1:1">
      <c r="A37" s="214" t="s">
        <v>22534</v>
      </c>
    </row>
    <row r="38" spans="1:1" ht="25.5">
      <c r="A38" s="214" t="s">
        <v>22535</v>
      </c>
    </row>
    <row r="39" spans="1:1">
      <c r="A39" s="214" t="s">
        <v>22536</v>
      </c>
    </row>
    <row r="40" spans="1:1" ht="25.5">
      <c r="A40" s="214" t="s">
        <v>22537</v>
      </c>
    </row>
    <row r="41" spans="1:1">
      <c r="A41" s="214" t="s">
        <v>22538</v>
      </c>
    </row>
    <row r="42" spans="1:1" ht="51">
      <c r="A42" s="56" t="s">
        <v>22539</v>
      </c>
    </row>
    <row r="43" spans="1:1" ht="15">
      <c r="A43" s="78" t="s">
        <v>4304</v>
      </c>
    </row>
    <row r="44" spans="1:1" ht="38.25">
      <c r="A44" s="56" t="s">
        <v>22540</v>
      </c>
    </row>
    <row r="45" spans="1:1">
      <c r="A45" s="56" t="s">
        <v>4305</v>
      </c>
    </row>
    <row r="46" spans="1:1" ht="38.25">
      <c r="A46" s="56" t="s">
        <v>4306</v>
      </c>
    </row>
    <row r="47" spans="1:1" ht="25.5">
      <c r="A47" s="56" t="s">
        <v>4307</v>
      </c>
    </row>
    <row r="48" spans="1:1" ht="25.5">
      <c r="A48" s="56" t="s">
        <v>22541</v>
      </c>
    </row>
    <row r="49" spans="1:1" ht="76.5">
      <c r="A49" s="56" t="s">
        <v>22542</v>
      </c>
    </row>
    <row r="50" spans="1:1" ht="15">
      <c r="A50" s="78" t="s">
        <v>4308</v>
      </c>
    </row>
    <row r="51" spans="1:1" ht="25.5">
      <c r="A51" s="56" t="s">
        <v>22543</v>
      </c>
    </row>
    <row r="52" spans="1:1">
      <c r="A52" s="56" t="s">
        <v>22544</v>
      </c>
    </row>
    <row r="53" spans="1:1">
      <c r="A53" s="56" t="s">
        <v>4309</v>
      </c>
    </row>
    <row r="54" spans="1:1">
      <c r="A54" s="56" t="s">
        <v>22545</v>
      </c>
    </row>
    <row r="55" spans="1:1">
      <c r="A55" s="56" t="s">
        <v>22546</v>
      </c>
    </row>
    <row r="56" spans="1:1" ht="38.25">
      <c r="A56" s="56" t="s">
        <v>22547</v>
      </c>
    </row>
    <row r="57" spans="1:1">
      <c r="A57" s="56" t="s">
        <v>22548</v>
      </c>
    </row>
    <row r="58" spans="1:1">
      <c r="A58" s="56" t="s">
        <v>22549</v>
      </c>
    </row>
    <row r="59" spans="1:1">
      <c r="A59" s="56" t="s">
        <v>22550</v>
      </c>
    </row>
    <row r="60" spans="1:1">
      <c r="A60" s="56" t="s">
        <v>4310</v>
      </c>
    </row>
    <row r="61" spans="1:1">
      <c r="A61" s="81" t="s">
        <v>22551</v>
      </c>
    </row>
    <row r="62" spans="1:1">
      <c r="A62" s="214" t="s">
        <v>22552</v>
      </c>
    </row>
    <row r="63" spans="1:1" ht="25.5">
      <c r="A63" s="214" t="s">
        <v>22553</v>
      </c>
    </row>
    <row r="64" spans="1:1">
      <c r="A64" s="214" t="s">
        <v>22554</v>
      </c>
    </row>
    <row r="65" spans="1:1">
      <c r="A65" s="214" t="s">
        <v>22555</v>
      </c>
    </row>
    <row r="66" spans="1:1">
      <c r="A66" s="214" t="s">
        <v>22556</v>
      </c>
    </row>
    <row r="67" spans="1:1">
      <c r="A67" s="214" t="s">
        <v>22557</v>
      </c>
    </row>
    <row r="68" spans="1:1">
      <c r="A68" s="214" t="s">
        <v>22558</v>
      </c>
    </row>
    <row r="69" spans="1:1">
      <c r="A69" s="214" t="s">
        <v>22559</v>
      </c>
    </row>
    <row r="70" spans="1:1">
      <c r="A70" s="214" t="s">
        <v>4311</v>
      </c>
    </row>
    <row r="71" spans="1:1">
      <c r="A71" s="56" t="s">
        <v>22560</v>
      </c>
    </row>
    <row r="72" spans="1:1" ht="15">
      <c r="A72" s="78" t="s">
        <v>4312</v>
      </c>
    </row>
    <row r="73" spans="1:1" ht="25.5">
      <c r="A73" s="56" t="s">
        <v>22561</v>
      </c>
    </row>
    <row r="74" spans="1:1">
      <c r="A74" s="56" t="s">
        <v>4313</v>
      </c>
    </row>
    <row r="75" spans="1:1">
      <c r="A75" s="81" t="s">
        <v>4314</v>
      </c>
    </row>
    <row r="76" spans="1:1">
      <c r="A76" s="214" t="s">
        <v>22562</v>
      </c>
    </row>
    <row r="77" spans="1:1">
      <c r="A77" s="214" t="s">
        <v>22563</v>
      </c>
    </row>
    <row r="78" spans="1:1" ht="25.5">
      <c r="A78" s="214" t="s">
        <v>22564</v>
      </c>
    </row>
    <row r="79" spans="1:1">
      <c r="A79" s="214" t="s">
        <v>22565</v>
      </c>
    </row>
    <row r="80" spans="1:1" ht="25.5">
      <c r="A80" s="214" t="s">
        <v>22566</v>
      </c>
    </row>
    <row r="81" spans="1:1" ht="38.25">
      <c r="A81" s="56" t="s">
        <v>22567</v>
      </c>
    </row>
    <row r="82" spans="1:1" ht="51">
      <c r="A82" s="56" t="s">
        <v>22568</v>
      </c>
    </row>
    <row r="83" spans="1:1" ht="25.5">
      <c r="A83" s="56" t="s">
        <v>22569</v>
      </c>
    </row>
    <row r="84" spans="1:1" ht="51">
      <c r="A84" s="56" t="s">
        <v>22570</v>
      </c>
    </row>
    <row r="85" spans="1:1" ht="15">
      <c r="A85" s="78" t="s">
        <v>4316</v>
      </c>
    </row>
    <row r="86" spans="1:1" ht="89.25">
      <c r="A86" s="56" t="s">
        <v>22571</v>
      </c>
    </row>
    <row r="87" spans="1:1" ht="51">
      <c r="A87" s="56" t="s">
        <v>22874</v>
      </c>
    </row>
    <row r="88" spans="1:1" ht="25.5">
      <c r="A88" s="56" t="s">
        <v>4317</v>
      </c>
    </row>
    <row r="89" spans="1:1" ht="89.25">
      <c r="A89" s="56" t="s">
        <v>22572</v>
      </c>
    </row>
    <row r="90" spans="1:1">
      <c r="A90" s="56" t="s">
        <v>4318</v>
      </c>
    </row>
    <row r="91" spans="1:1" ht="15">
      <c r="A91" s="78" t="s">
        <v>4319</v>
      </c>
    </row>
    <row r="92" spans="1:1">
      <c r="A92" s="81" t="s">
        <v>4320</v>
      </c>
    </row>
    <row r="93" spans="1:1">
      <c r="A93" s="214" t="s">
        <v>4321</v>
      </c>
    </row>
    <row r="94" spans="1:1">
      <c r="A94" s="214" t="s">
        <v>4322</v>
      </c>
    </row>
    <row r="95" spans="1:1">
      <c r="A95" s="214" t="s">
        <v>4323</v>
      </c>
    </row>
    <row r="96" spans="1:1">
      <c r="A96" s="214" t="s">
        <v>3306</v>
      </c>
    </row>
    <row r="97" spans="1:1">
      <c r="A97" s="214" t="s">
        <v>4324</v>
      </c>
    </row>
    <row r="98" spans="1:1" ht="25.5">
      <c r="A98" s="214" t="s">
        <v>22573</v>
      </c>
    </row>
    <row r="99" spans="1:1" ht="25.5">
      <c r="A99" s="214" t="s">
        <v>22574</v>
      </c>
    </row>
    <row r="100" spans="1:1">
      <c r="A100" s="214" t="s">
        <v>22575</v>
      </c>
    </row>
    <row r="101" spans="1:1">
      <c r="A101" s="214" t="s">
        <v>4325</v>
      </c>
    </row>
    <row r="102" spans="1:1" ht="25.5">
      <c r="A102" s="214" t="s">
        <v>4326</v>
      </c>
    </row>
    <row r="103" spans="1:1">
      <c r="A103" s="214" t="s">
        <v>4327</v>
      </c>
    </row>
    <row r="104" spans="1:1">
      <c r="A104" s="214" t="s">
        <v>4328</v>
      </c>
    </row>
    <row r="105" spans="1:1">
      <c r="A105" s="214" t="s">
        <v>4329</v>
      </c>
    </row>
    <row r="106" spans="1:1">
      <c r="A106" s="214" t="s">
        <v>22576</v>
      </c>
    </row>
    <row r="107" spans="1:1" ht="25.5">
      <c r="A107" s="214" t="s">
        <v>22577</v>
      </c>
    </row>
    <row r="108" spans="1:1">
      <c r="A108" s="214" t="s">
        <v>22578</v>
      </c>
    </row>
    <row r="109" spans="1:1">
      <c r="A109" s="214" t="s">
        <v>22579</v>
      </c>
    </row>
    <row r="110" spans="1:1">
      <c r="A110" s="214" t="s">
        <v>22580</v>
      </c>
    </row>
    <row r="111" spans="1:1">
      <c r="A111" s="214" t="s">
        <v>4330</v>
      </c>
    </row>
    <row r="112" spans="1:1">
      <c r="A112" s="214" t="s">
        <v>22581</v>
      </c>
    </row>
    <row r="113" spans="1:1" ht="25.5">
      <c r="A113" s="214" t="s">
        <v>4331</v>
      </c>
    </row>
    <row r="114" spans="1:1">
      <c r="A114" s="214" t="s">
        <v>4332</v>
      </c>
    </row>
    <row r="115" spans="1:1" ht="51">
      <c r="A115" s="56" t="s">
        <v>22582</v>
      </c>
    </row>
    <row r="116" spans="1:1" ht="15">
      <c r="A116" s="78" t="s">
        <v>22583</v>
      </c>
    </row>
    <row r="117" spans="1:1" ht="63.75">
      <c r="A117" s="56" t="s">
        <v>22584</v>
      </c>
    </row>
    <row r="118" spans="1:1" ht="51">
      <c r="A118" s="56" t="s">
        <v>22585</v>
      </c>
    </row>
    <row r="119" spans="1:1" ht="25.5">
      <c r="A119" s="56" t="s">
        <v>22586</v>
      </c>
    </row>
    <row r="120" spans="1:1" ht="51">
      <c r="A120" s="56" t="s">
        <v>22587</v>
      </c>
    </row>
    <row r="121" spans="1:1" ht="25.5">
      <c r="A121" s="56" t="s">
        <v>22588</v>
      </c>
    </row>
    <row r="122" spans="1:1" ht="25.5">
      <c r="A122" s="56" t="s">
        <v>22589</v>
      </c>
    </row>
    <row r="123" spans="1:1" ht="38.25">
      <c r="A123" s="56" t="s">
        <v>22590</v>
      </c>
    </row>
    <row r="124" spans="1:1" ht="63.75">
      <c r="A124" s="56" t="s">
        <v>22591</v>
      </c>
    </row>
    <row r="125" spans="1:1" ht="51">
      <c r="A125" s="56" t="s">
        <v>22592</v>
      </c>
    </row>
    <row r="126" spans="1:1" ht="15">
      <c r="A126" s="78" t="s">
        <v>4333</v>
      </c>
    </row>
    <row r="127" spans="1:1">
      <c r="A127" s="81" t="s">
        <v>3307</v>
      </c>
    </row>
    <row r="128" spans="1:1" ht="25.5">
      <c r="A128" s="214" t="s">
        <v>4334</v>
      </c>
    </row>
    <row r="129" spans="1:1">
      <c r="A129" s="214" t="s">
        <v>3308</v>
      </c>
    </row>
    <row r="130" spans="1:1">
      <c r="A130" s="214" t="s">
        <v>4335</v>
      </c>
    </row>
    <row r="131" spans="1:1" ht="25.5">
      <c r="A131" s="214" t="s">
        <v>22593</v>
      </c>
    </row>
    <row r="132" spans="1:1" ht="38.25">
      <c r="A132" s="56" t="s">
        <v>22594</v>
      </c>
    </row>
    <row r="133" spans="1:1" ht="25.5">
      <c r="A133" s="56" t="s">
        <v>22595</v>
      </c>
    </row>
    <row r="134" spans="1:1" ht="15">
      <c r="A134" s="78" t="s">
        <v>4336</v>
      </c>
    </row>
    <row r="135" spans="1:1" ht="25.5">
      <c r="A135" s="56" t="s">
        <v>22596</v>
      </c>
    </row>
    <row r="136" spans="1:1" ht="25.5">
      <c r="A136" s="56" t="s">
        <v>22597</v>
      </c>
    </row>
    <row r="137" spans="1:1">
      <c r="A137" s="56" t="s">
        <v>22598</v>
      </c>
    </row>
    <row r="138" spans="1:1" ht="15">
      <c r="A138" s="78" t="s">
        <v>4337</v>
      </c>
    </row>
    <row r="139" spans="1:1" ht="38.25">
      <c r="A139" s="56" t="s">
        <v>22599</v>
      </c>
    </row>
    <row r="140" spans="1:1">
      <c r="A140" s="81" t="s">
        <v>4338</v>
      </c>
    </row>
    <row r="141" spans="1:1">
      <c r="A141" s="214" t="s">
        <v>4339</v>
      </c>
    </row>
    <row r="142" spans="1:1">
      <c r="A142" s="214" t="s">
        <v>4340</v>
      </c>
    </row>
    <row r="143" spans="1:1">
      <c r="A143" s="214" t="s">
        <v>4341</v>
      </c>
    </row>
    <row r="144" spans="1:1">
      <c r="A144" s="214" t="s">
        <v>22600</v>
      </c>
    </row>
    <row r="145" spans="1:1">
      <c r="A145" s="214" t="s">
        <v>4342</v>
      </c>
    </row>
    <row r="146" spans="1:1">
      <c r="A146" s="214" t="s">
        <v>4343</v>
      </c>
    </row>
    <row r="147" spans="1:1">
      <c r="A147" s="214" t="s">
        <v>4344</v>
      </c>
    </row>
    <row r="148" spans="1:1">
      <c r="A148" s="214" t="s">
        <v>22601</v>
      </c>
    </row>
    <row r="149" spans="1:1">
      <c r="A149" s="214" t="s">
        <v>4345</v>
      </c>
    </row>
    <row r="150" spans="1:1">
      <c r="A150" s="214" t="s">
        <v>4346</v>
      </c>
    </row>
    <row r="151" spans="1:1">
      <c r="A151" s="214" t="s">
        <v>4347</v>
      </c>
    </row>
    <row r="152" spans="1:1">
      <c r="A152" s="214" t="s">
        <v>4348</v>
      </c>
    </row>
    <row r="153" spans="1:1">
      <c r="A153" s="214" t="s">
        <v>4349</v>
      </c>
    </row>
    <row r="154" spans="1:1">
      <c r="A154" s="214" t="s">
        <v>4350</v>
      </c>
    </row>
    <row r="155" spans="1:1">
      <c r="A155" s="214" t="s">
        <v>22602</v>
      </c>
    </row>
    <row r="156" spans="1:1">
      <c r="A156" s="214" t="s">
        <v>22603</v>
      </c>
    </row>
    <row r="157" spans="1:1">
      <c r="A157" s="214" t="s">
        <v>22604</v>
      </c>
    </row>
    <row r="158" spans="1:1">
      <c r="A158" s="214" t="s">
        <v>4351</v>
      </c>
    </row>
    <row r="159" spans="1:1">
      <c r="A159" s="214" t="s">
        <v>22605</v>
      </c>
    </row>
    <row r="160" spans="1:1">
      <c r="A160" s="214" t="s">
        <v>4352</v>
      </c>
    </row>
    <row r="161" spans="1:1">
      <c r="A161" s="214" t="s">
        <v>4353</v>
      </c>
    </row>
    <row r="162" spans="1:1">
      <c r="A162" s="214" t="s">
        <v>22606</v>
      </c>
    </row>
    <row r="163" spans="1:1">
      <c r="A163" s="214" t="s">
        <v>4354</v>
      </c>
    </row>
    <row r="164" spans="1:1">
      <c r="A164" s="214" t="s">
        <v>4355</v>
      </c>
    </row>
    <row r="165" spans="1:1">
      <c r="A165" s="214" t="s">
        <v>22607</v>
      </c>
    </row>
    <row r="166" spans="1:1">
      <c r="A166" s="214" t="s">
        <v>22608</v>
      </c>
    </row>
    <row r="167" spans="1:1" ht="25.5">
      <c r="A167" s="214" t="s">
        <v>22609</v>
      </c>
    </row>
    <row r="168" spans="1:1" ht="25.5">
      <c r="A168" s="56" t="s">
        <v>22610</v>
      </c>
    </row>
    <row r="169" spans="1:1" ht="15">
      <c r="A169" s="78" t="s">
        <v>22611</v>
      </c>
    </row>
    <row r="170" spans="1:1" ht="38.25">
      <c r="A170" s="56" t="s">
        <v>22612</v>
      </c>
    </row>
    <row r="171" spans="1:1">
      <c r="A171" s="56" t="s">
        <v>22613</v>
      </c>
    </row>
    <row r="172" spans="1:1" ht="51">
      <c r="A172" s="56" t="s">
        <v>22614</v>
      </c>
    </row>
    <row r="173" spans="1:1" ht="15">
      <c r="A173" s="78" t="s">
        <v>22615</v>
      </c>
    </row>
    <row r="174" spans="1:1" ht="63.75">
      <c r="A174" s="56" t="s">
        <v>22616</v>
      </c>
    </row>
    <row r="175" spans="1:1" ht="25.5">
      <c r="A175" s="56" t="s">
        <v>22617</v>
      </c>
    </row>
    <row r="176" spans="1:1" ht="51">
      <c r="A176" s="56" t="s">
        <v>22618</v>
      </c>
    </row>
    <row r="177" spans="1:1" ht="25.5">
      <c r="A177" s="56" t="s">
        <v>22619</v>
      </c>
    </row>
    <row r="178" spans="1:1" ht="25.5">
      <c r="A178" s="56" t="s">
        <v>22620</v>
      </c>
    </row>
    <row r="179" spans="1:1" ht="15">
      <c r="A179" s="78" t="s">
        <v>22621</v>
      </c>
    </row>
    <row r="180" spans="1:1" ht="38.25">
      <c r="A180" s="56" t="s">
        <v>22622</v>
      </c>
    </row>
    <row r="181" spans="1:1" ht="25.5">
      <c r="A181" s="56" t="s">
        <v>22623</v>
      </c>
    </row>
    <row r="182" spans="1:1" ht="15">
      <c r="A182" s="78" t="s">
        <v>22624</v>
      </c>
    </row>
    <row r="183" spans="1:1">
      <c r="A183" s="56" t="s">
        <v>22625</v>
      </c>
    </row>
    <row r="184" spans="1:1">
      <c r="A184" s="56" t="s">
        <v>22626</v>
      </c>
    </row>
    <row r="185" spans="1:1" ht="38.25">
      <c r="A185" s="56" t="s">
        <v>22627</v>
      </c>
    </row>
    <row r="186" spans="1:1" ht="38.25">
      <c r="A186" s="56" t="s">
        <v>22628</v>
      </c>
    </row>
    <row r="187" spans="1:1">
      <c r="A187" s="56" t="s">
        <v>22629</v>
      </c>
    </row>
    <row r="188" spans="1:1" ht="15">
      <c r="A188" s="78" t="s">
        <v>22630</v>
      </c>
    </row>
    <row r="189" spans="1:1" ht="25.5">
      <c r="A189" s="56" t="s">
        <v>22631</v>
      </c>
    </row>
    <row r="190" spans="1:1" ht="38.25">
      <c r="A190" s="56" t="s">
        <v>22632</v>
      </c>
    </row>
    <row r="191" spans="1:1">
      <c r="A191" s="56" t="s">
        <v>22633</v>
      </c>
    </row>
    <row r="192" spans="1:1" ht="15">
      <c r="A192" s="78" t="s">
        <v>22634</v>
      </c>
    </row>
    <row r="193" spans="1:1" ht="25.5">
      <c r="A193" s="56" t="s">
        <v>22635</v>
      </c>
    </row>
    <row r="194" spans="1:1">
      <c r="A194" s="81" t="s">
        <v>3309</v>
      </c>
    </row>
    <row r="195" spans="1:1">
      <c r="A195" s="214" t="s">
        <v>4356</v>
      </c>
    </row>
    <row r="196" spans="1:1" ht="25.5">
      <c r="A196" s="214" t="s">
        <v>22636</v>
      </c>
    </row>
    <row r="197" spans="1:1" ht="25.5">
      <c r="A197" s="214" t="s">
        <v>22637</v>
      </c>
    </row>
    <row r="198" spans="1:1" ht="25.5">
      <c r="A198" s="214" t="s">
        <v>22638</v>
      </c>
    </row>
    <row r="199" spans="1:1" ht="25.5">
      <c r="A199" s="214" t="s">
        <v>22639</v>
      </c>
    </row>
    <row r="200" spans="1:1" ht="25.5">
      <c r="A200" s="214" t="s">
        <v>22640</v>
      </c>
    </row>
    <row r="201" spans="1:1" ht="25.5">
      <c r="A201" s="214" t="s">
        <v>22641</v>
      </c>
    </row>
    <row r="202" spans="1:1">
      <c r="A202" s="214" t="s">
        <v>22642</v>
      </c>
    </row>
    <row r="203" spans="1:1">
      <c r="A203" s="214" t="s">
        <v>22643</v>
      </c>
    </row>
    <row r="204" spans="1:1">
      <c r="A204" s="214" t="s">
        <v>22644</v>
      </c>
    </row>
    <row r="205" spans="1:1" ht="15">
      <c r="A205" s="78" t="s">
        <v>22645</v>
      </c>
    </row>
    <row r="206" spans="1:1" ht="25.5">
      <c r="A206" s="56" t="s">
        <v>22646</v>
      </c>
    </row>
    <row r="207" spans="1:1" ht="25.5">
      <c r="A207" s="56" t="s">
        <v>22647</v>
      </c>
    </row>
    <row r="208" spans="1:1" ht="38.25">
      <c r="A208" s="56" t="s">
        <v>22648</v>
      </c>
    </row>
    <row r="209" spans="1:1">
      <c r="A209" s="56" t="s">
        <v>22649</v>
      </c>
    </row>
    <row r="210" spans="1:1" ht="15">
      <c r="A210" s="78" t="s">
        <v>22650</v>
      </c>
    </row>
    <row r="211" spans="1:1" ht="25.5">
      <c r="A211" s="56" t="s">
        <v>22651</v>
      </c>
    </row>
    <row r="212" spans="1:1" ht="51">
      <c r="A212" s="56" t="s">
        <v>22652</v>
      </c>
    </row>
    <row r="213" spans="1:1" ht="15">
      <c r="A213" s="78" t="s">
        <v>22653</v>
      </c>
    </row>
    <row r="214" spans="1:1" ht="25.5">
      <c r="A214" s="56" t="s">
        <v>22654</v>
      </c>
    </row>
  </sheetData>
  <sheetProtection algorithmName="SHA-512" hashValue="OmL+mxYma5hZI9FXy+/kKwUm77UbI0cLUmd6JI63qCpcMM2V8nqeyjBfz64uIkJWBzHr19qSrR/8mgPTkMLn0g==" saltValue="mZp4plXXp+pT9rui7grfbg==" spinCount="100000" sheet="1" scenarios="1" formatColumns="0" sort="0" autoFilter="0"/>
  <pageMargins left="0.7" right="0.7" top="0.75" bottom="0.75" header="0.3" footer="0.3"/>
  <pageSetup paperSize="9" scale="74" fitToHeight="0" orientation="portrait" r:id="rId1"/>
  <headerFooter>
    <oddFooter>&amp;C&amp;P / &amp;N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67719-0031-4C62-B9A8-0F439D66354B}">
  <sheetPr codeName="Sheet53">
    <pageSetUpPr fitToPage="1"/>
  </sheetPr>
  <dimension ref="A1:A139"/>
  <sheetViews>
    <sheetView workbookViewId="0"/>
  </sheetViews>
  <sheetFormatPr defaultRowHeight="12.75"/>
  <cols>
    <col min="1" max="1" width="120.7109375" customWidth="1"/>
  </cols>
  <sheetData>
    <row r="1" spans="1:1" ht="20.25">
      <c r="A1" s="79" t="s">
        <v>22679</v>
      </c>
    </row>
    <row r="2" spans="1:1">
      <c r="A2" s="56" t="s">
        <v>22870</v>
      </c>
    </row>
    <row r="3" spans="1:1" ht="38.25">
      <c r="A3" s="56" t="s">
        <v>22680</v>
      </c>
    </row>
    <row r="4" spans="1:1" ht="15">
      <c r="A4" s="78" t="s">
        <v>4357</v>
      </c>
    </row>
    <row r="5" spans="1:1">
      <c r="A5" s="56" t="s">
        <v>4358</v>
      </c>
    </row>
    <row r="6" spans="1:1">
      <c r="A6" s="56" t="s">
        <v>4359</v>
      </c>
    </row>
    <row r="7" spans="1:1" ht="38.25">
      <c r="A7" s="56" t="s">
        <v>22681</v>
      </c>
    </row>
    <row r="8" spans="1:1">
      <c r="A8" s="56" t="s">
        <v>22682</v>
      </c>
    </row>
    <row r="9" spans="1:1">
      <c r="A9" s="56" t="s">
        <v>22683</v>
      </c>
    </row>
    <row r="10" spans="1:1">
      <c r="A10" s="56" t="s">
        <v>4360</v>
      </c>
    </row>
    <row r="11" spans="1:1" ht="25.5">
      <c r="A11" s="56" t="s">
        <v>4361</v>
      </c>
    </row>
    <row r="12" spans="1:1" ht="15">
      <c r="A12" s="78" t="s">
        <v>4362</v>
      </c>
    </row>
    <row r="13" spans="1:1">
      <c r="A13" s="56" t="s">
        <v>4363</v>
      </c>
    </row>
    <row r="14" spans="1:1" ht="25.5">
      <c r="A14" s="56" t="s">
        <v>4364</v>
      </c>
    </row>
    <row r="15" spans="1:1" ht="25.5">
      <c r="A15" s="56" t="s">
        <v>4365</v>
      </c>
    </row>
    <row r="16" spans="1:1" ht="25.5">
      <c r="A16" s="56" t="s">
        <v>4366</v>
      </c>
    </row>
    <row r="17" spans="1:1" ht="38.25">
      <c r="A17" s="56" t="s">
        <v>22684</v>
      </c>
    </row>
    <row r="18" spans="1:1">
      <c r="A18" s="56" t="s">
        <v>4367</v>
      </c>
    </row>
    <row r="19" spans="1:1" ht="15">
      <c r="A19" s="78" t="s">
        <v>4368</v>
      </c>
    </row>
    <row r="20" spans="1:1" ht="25.5">
      <c r="A20" s="56" t="s">
        <v>4369</v>
      </c>
    </row>
    <row r="21" spans="1:1" ht="25.5">
      <c r="A21" s="56" t="s">
        <v>4370</v>
      </c>
    </row>
    <row r="22" spans="1:1">
      <c r="A22" s="56" t="s">
        <v>4371</v>
      </c>
    </row>
    <row r="23" spans="1:1" ht="25.5">
      <c r="A23" s="56" t="s">
        <v>22685</v>
      </c>
    </row>
    <row r="24" spans="1:1" ht="51">
      <c r="A24" s="56" t="s">
        <v>22686</v>
      </c>
    </row>
    <row r="25" spans="1:1" ht="63.75">
      <c r="A25" s="56" t="s">
        <v>22687</v>
      </c>
    </row>
    <row r="26" spans="1:1" ht="25.5">
      <c r="A26" s="56" t="s">
        <v>4372</v>
      </c>
    </row>
    <row r="27" spans="1:1" ht="25.5">
      <c r="A27" s="56" t="s">
        <v>4373</v>
      </c>
    </row>
    <row r="28" spans="1:1" ht="38.25">
      <c r="A28" s="56" t="s">
        <v>22688</v>
      </c>
    </row>
    <row r="29" spans="1:1" ht="51">
      <c r="A29" s="56" t="s">
        <v>4374</v>
      </c>
    </row>
    <row r="30" spans="1:1" ht="63.75">
      <c r="A30" s="56" t="s">
        <v>4375</v>
      </c>
    </row>
    <row r="31" spans="1:1" ht="15">
      <c r="A31" s="78" t="s">
        <v>4376</v>
      </c>
    </row>
    <row r="32" spans="1:1">
      <c r="A32" s="56" t="s">
        <v>4377</v>
      </c>
    </row>
    <row r="33" spans="1:1">
      <c r="A33" s="81" t="s">
        <v>4314</v>
      </c>
    </row>
    <row r="34" spans="1:1">
      <c r="A34" s="214" t="s">
        <v>4378</v>
      </c>
    </row>
    <row r="35" spans="1:1">
      <c r="A35" s="214" t="s">
        <v>4379</v>
      </c>
    </row>
    <row r="36" spans="1:1">
      <c r="A36" s="214" t="s">
        <v>4380</v>
      </c>
    </row>
    <row r="37" spans="1:1">
      <c r="A37" s="214" t="s">
        <v>4315</v>
      </c>
    </row>
    <row r="38" spans="1:1" ht="25.5">
      <c r="A38" s="214" t="s">
        <v>4381</v>
      </c>
    </row>
    <row r="39" spans="1:1">
      <c r="A39" s="56" t="s">
        <v>4382</v>
      </c>
    </row>
    <row r="40" spans="1:1">
      <c r="A40" s="56" t="s">
        <v>4383</v>
      </c>
    </row>
    <row r="41" spans="1:1">
      <c r="A41" s="81" t="s">
        <v>4384</v>
      </c>
    </row>
    <row r="42" spans="1:1">
      <c r="A42" s="214" t="s">
        <v>4385</v>
      </c>
    </row>
    <row r="43" spans="1:1" ht="25.5">
      <c r="A43" s="214" t="s">
        <v>4386</v>
      </c>
    </row>
    <row r="44" spans="1:1">
      <c r="A44" s="214" t="s">
        <v>4387</v>
      </c>
    </row>
    <row r="45" spans="1:1">
      <c r="A45" s="214" t="s">
        <v>4388</v>
      </c>
    </row>
    <row r="46" spans="1:1">
      <c r="A46" s="214" t="s">
        <v>4389</v>
      </c>
    </row>
    <row r="47" spans="1:1">
      <c r="A47" s="214" t="s">
        <v>4390</v>
      </c>
    </row>
    <row r="48" spans="1:1" ht="25.5">
      <c r="A48" s="56" t="s">
        <v>4391</v>
      </c>
    </row>
    <row r="49" spans="1:1" ht="15">
      <c r="A49" s="78" t="s">
        <v>4392</v>
      </c>
    </row>
    <row r="50" spans="1:1">
      <c r="A50" s="56" t="s">
        <v>4393</v>
      </c>
    </row>
    <row r="51" spans="1:1">
      <c r="A51" s="56" t="s">
        <v>4394</v>
      </c>
    </row>
    <row r="52" spans="1:1" ht="25.5">
      <c r="A52" s="56" t="s">
        <v>4395</v>
      </c>
    </row>
    <row r="53" spans="1:1">
      <c r="A53" s="56" t="s">
        <v>4396</v>
      </c>
    </row>
    <row r="54" spans="1:1">
      <c r="A54" s="56" t="s">
        <v>4397</v>
      </c>
    </row>
    <row r="55" spans="1:1">
      <c r="A55" s="56" t="s">
        <v>4398</v>
      </c>
    </row>
    <row r="56" spans="1:1" ht="25.5">
      <c r="A56" s="56" t="s">
        <v>4399</v>
      </c>
    </row>
    <row r="57" spans="1:1" ht="15">
      <c r="A57" s="78" t="s">
        <v>4400</v>
      </c>
    </row>
    <row r="58" spans="1:1" ht="25.5">
      <c r="A58" s="56" t="s">
        <v>4401</v>
      </c>
    </row>
    <row r="59" spans="1:1">
      <c r="A59" s="110" t="s">
        <v>4402</v>
      </c>
    </row>
    <row r="60" spans="1:1" ht="25.5">
      <c r="A60" s="110" t="s">
        <v>4403</v>
      </c>
    </row>
    <row r="61" spans="1:1">
      <c r="A61" s="81" t="s">
        <v>4404</v>
      </c>
    </row>
    <row r="62" spans="1:1">
      <c r="A62" s="214" t="s">
        <v>4405</v>
      </c>
    </row>
    <row r="63" spans="1:1">
      <c r="A63" s="214" t="s">
        <v>4406</v>
      </c>
    </row>
    <row r="64" spans="1:1">
      <c r="A64" s="214" t="s">
        <v>4407</v>
      </c>
    </row>
    <row r="65" spans="1:1" ht="25.5">
      <c r="A65" s="214" t="s">
        <v>4408</v>
      </c>
    </row>
    <row r="66" spans="1:1">
      <c r="A66" s="214" t="s">
        <v>4409</v>
      </c>
    </row>
    <row r="67" spans="1:1">
      <c r="A67" s="214" t="s">
        <v>4410</v>
      </c>
    </row>
    <row r="68" spans="1:1" ht="38.25">
      <c r="A68" s="110" t="s">
        <v>4411</v>
      </c>
    </row>
    <row r="69" spans="1:1">
      <c r="A69" s="56" t="s">
        <v>4412</v>
      </c>
    </row>
    <row r="70" spans="1:1" ht="25.5">
      <c r="A70" s="56" t="s">
        <v>4413</v>
      </c>
    </row>
    <row r="71" spans="1:1" ht="25.5">
      <c r="A71" s="56" t="s">
        <v>4414</v>
      </c>
    </row>
    <row r="72" spans="1:1" ht="25.5">
      <c r="A72" s="56" t="s">
        <v>4415</v>
      </c>
    </row>
    <row r="73" spans="1:1" ht="15">
      <c r="A73" s="78" t="s">
        <v>4416</v>
      </c>
    </row>
    <row r="74" spans="1:1" ht="38.25">
      <c r="A74" s="56" t="s">
        <v>22689</v>
      </c>
    </row>
    <row r="75" spans="1:1">
      <c r="A75" s="56" t="s">
        <v>4417</v>
      </c>
    </row>
    <row r="76" spans="1:1" ht="25.5">
      <c r="A76" s="56" t="s">
        <v>4418</v>
      </c>
    </row>
    <row r="77" spans="1:1">
      <c r="A77" s="56" t="s">
        <v>4419</v>
      </c>
    </row>
    <row r="78" spans="1:1" ht="15">
      <c r="A78" s="78" t="s">
        <v>4420</v>
      </c>
    </row>
    <row r="79" spans="1:1">
      <c r="A79" s="56" t="s">
        <v>4421</v>
      </c>
    </row>
    <row r="80" spans="1:1">
      <c r="A80" s="56" t="s">
        <v>4422</v>
      </c>
    </row>
    <row r="81" spans="1:1" ht="25.5">
      <c r="A81" s="56" t="s">
        <v>4423</v>
      </c>
    </row>
    <row r="82" spans="1:1">
      <c r="A82" s="56" t="s">
        <v>4424</v>
      </c>
    </row>
    <row r="83" spans="1:1">
      <c r="A83" s="56" t="s">
        <v>4425</v>
      </c>
    </row>
    <row r="84" spans="1:1" ht="15">
      <c r="A84" s="78" t="s">
        <v>4426</v>
      </c>
    </row>
    <row r="85" spans="1:1" ht="25.5">
      <c r="A85" s="56" t="s">
        <v>4427</v>
      </c>
    </row>
    <row r="86" spans="1:1">
      <c r="A86" s="56" t="s">
        <v>4428</v>
      </c>
    </row>
    <row r="87" spans="1:1" ht="25.5">
      <c r="A87" s="56" t="s">
        <v>4429</v>
      </c>
    </row>
    <row r="88" spans="1:1" ht="25.5">
      <c r="A88" s="56" t="s">
        <v>4430</v>
      </c>
    </row>
    <row r="89" spans="1:1" ht="15">
      <c r="A89" s="78" t="s">
        <v>4431</v>
      </c>
    </row>
    <row r="90" spans="1:1" ht="51">
      <c r="A90" s="56" t="s">
        <v>22690</v>
      </c>
    </row>
    <row r="91" spans="1:1" ht="38.25">
      <c r="A91" s="56" t="s">
        <v>22691</v>
      </c>
    </row>
    <row r="92" spans="1:1" ht="63.75">
      <c r="A92" s="56" t="s">
        <v>22692</v>
      </c>
    </row>
    <row r="93" spans="1:1" ht="89.25">
      <c r="A93" s="56" t="s">
        <v>22693</v>
      </c>
    </row>
    <row r="94" spans="1:1">
      <c r="A94" s="56" t="s">
        <v>4432</v>
      </c>
    </row>
    <row r="95" spans="1:1" ht="25.5">
      <c r="A95" s="56" t="s">
        <v>4433</v>
      </c>
    </row>
    <row r="96" spans="1:1" ht="38.25">
      <c r="A96" s="56" t="s">
        <v>4434</v>
      </c>
    </row>
    <row r="97" spans="1:1" ht="25.5">
      <c r="A97" s="56" t="s">
        <v>4435</v>
      </c>
    </row>
    <row r="98" spans="1:1" ht="15">
      <c r="A98" s="78" t="s">
        <v>4436</v>
      </c>
    </row>
    <row r="99" spans="1:1" ht="25.5">
      <c r="A99" s="56" t="s">
        <v>4437</v>
      </c>
    </row>
    <row r="100" spans="1:1">
      <c r="A100" s="56" t="s">
        <v>4438</v>
      </c>
    </row>
    <row r="101" spans="1:1">
      <c r="A101" s="56" t="s">
        <v>4439</v>
      </c>
    </row>
    <row r="102" spans="1:1">
      <c r="A102" s="56" t="s">
        <v>4440</v>
      </c>
    </row>
    <row r="103" spans="1:1">
      <c r="A103" s="56" t="s">
        <v>4441</v>
      </c>
    </row>
    <row r="104" spans="1:1">
      <c r="A104" s="56" t="s">
        <v>4442</v>
      </c>
    </row>
    <row r="105" spans="1:1">
      <c r="A105" s="56" t="s">
        <v>4443</v>
      </c>
    </row>
    <row r="106" spans="1:1" ht="25.5">
      <c r="A106" s="56" t="s">
        <v>4444</v>
      </c>
    </row>
    <row r="107" spans="1:1" ht="15">
      <c r="A107" s="78" t="s">
        <v>4445</v>
      </c>
    </row>
    <row r="108" spans="1:1" ht="25.5">
      <c r="A108" s="56" t="s">
        <v>22694</v>
      </c>
    </row>
    <row r="109" spans="1:1" ht="38.25">
      <c r="A109" s="56" t="s">
        <v>22695</v>
      </c>
    </row>
    <row r="110" spans="1:1">
      <c r="A110" s="56" t="s">
        <v>22696</v>
      </c>
    </row>
    <row r="111" spans="1:1" ht="15">
      <c r="A111" s="78" t="s">
        <v>4446</v>
      </c>
    </row>
    <row r="112" spans="1:1" ht="38.25">
      <c r="A112" s="56" t="s">
        <v>22697</v>
      </c>
    </row>
    <row r="113" spans="1:1" ht="15">
      <c r="A113" s="78" t="s">
        <v>22698</v>
      </c>
    </row>
    <row r="114" spans="1:1" ht="51">
      <c r="A114" s="56" t="s">
        <v>22699</v>
      </c>
    </row>
    <row r="115" spans="1:1">
      <c r="A115" s="81" t="s">
        <v>22700</v>
      </c>
    </row>
    <row r="116" spans="1:1" ht="38.25">
      <c r="A116" s="214" t="s">
        <v>22701</v>
      </c>
    </row>
    <row r="117" spans="1:1">
      <c r="A117" s="214" t="s">
        <v>22702</v>
      </c>
    </row>
    <row r="118" spans="1:1" ht="25.5">
      <c r="A118" s="214" t="s">
        <v>22703</v>
      </c>
    </row>
    <row r="119" spans="1:1" ht="25.5">
      <c r="A119" s="214" t="s">
        <v>22704</v>
      </c>
    </row>
    <row r="120" spans="1:1" ht="38.25">
      <c r="A120" s="56" t="s">
        <v>22705</v>
      </c>
    </row>
    <row r="121" spans="1:1" ht="15">
      <c r="A121" s="78" t="s">
        <v>22706</v>
      </c>
    </row>
    <row r="122" spans="1:1" ht="25.5">
      <c r="A122" s="56" t="s">
        <v>22707</v>
      </c>
    </row>
    <row r="123" spans="1:1">
      <c r="A123" s="56" t="s">
        <v>22708</v>
      </c>
    </row>
    <row r="124" spans="1:1">
      <c r="A124" s="56" t="s">
        <v>22709</v>
      </c>
    </row>
    <row r="125" spans="1:1">
      <c r="A125" s="56" t="s">
        <v>22710</v>
      </c>
    </row>
    <row r="126" spans="1:1" ht="25.5">
      <c r="A126" s="56" t="s">
        <v>22711</v>
      </c>
    </row>
    <row r="127" spans="1:1">
      <c r="A127" s="56" t="s">
        <v>22712</v>
      </c>
    </row>
    <row r="128" spans="1:1" ht="15">
      <c r="A128" s="78" t="s">
        <v>22713</v>
      </c>
    </row>
    <row r="129" spans="1:1">
      <c r="A129" s="56" t="s">
        <v>22714</v>
      </c>
    </row>
    <row r="130" spans="1:1" ht="25.5">
      <c r="A130" s="56" t="s">
        <v>22715</v>
      </c>
    </row>
    <row r="131" spans="1:1" ht="25.5">
      <c r="A131" s="56" t="s">
        <v>22716</v>
      </c>
    </row>
    <row r="132" spans="1:1" ht="25.5">
      <c r="A132" s="56" t="s">
        <v>22717</v>
      </c>
    </row>
    <row r="133" spans="1:1">
      <c r="A133" s="56" t="s">
        <v>22718</v>
      </c>
    </row>
    <row r="134" spans="1:1" ht="15">
      <c r="A134" s="78" t="s">
        <v>22719</v>
      </c>
    </row>
    <row r="135" spans="1:1" ht="51">
      <c r="A135" s="56" t="s">
        <v>22720</v>
      </c>
    </row>
    <row r="136" spans="1:1" ht="76.5">
      <c r="A136" s="56" t="s">
        <v>22721</v>
      </c>
    </row>
    <row r="137" spans="1:1" ht="15">
      <c r="A137" s="78" t="s">
        <v>22722</v>
      </c>
    </row>
    <row r="138" spans="1:1" ht="38.25">
      <c r="A138" s="56" t="s">
        <v>22723</v>
      </c>
    </row>
    <row r="139" spans="1:1" ht="51">
      <c r="A139" s="56" t="s">
        <v>22724</v>
      </c>
    </row>
  </sheetData>
  <sheetProtection algorithmName="SHA-512" hashValue="IsiNsPx+kTNdidyJWg+CEp3QIXRFqmwXTZKJdElI3Itm+192n7RDP1yuYe2u/rQ9yOe0xIgwKmBW27uafB3CXg==" saltValue="Q2A/lXpQOifJzMOGC9uYmQ==" spinCount="100000" sheet="1" scenarios="1" formatColumns="0" sort="0" autoFilter="0"/>
  <pageMargins left="0.7" right="0.7" top="0.75" bottom="0.75" header="0.3" footer="0.3"/>
  <pageSetup paperSize="9" scale="74" fitToHeight="0" orientation="portrait" r:id="rId1"/>
  <headerFooter>
    <oddFooter>&amp;C&amp;P / &amp;N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8">
    <tabColor rgb="FF808080"/>
  </sheetPr>
  <dimension ref="A1:D139"/>
  <sheetViews>
    <sheetView showGridLines="0" workbookViewId="0"/>
  </sheetViews>
  <sheetFormatPr defaultRowHeight="12.75"/>
  <cols>
    <col min="1" max="1" width="2.7109375" customWidth="1"/>
    <col min="2" max="2" width="30.7109375" customWidth="1"/>
    <col min="3" max="3" width="26.7109375" customWidth="1"/>
    <col min="4" max="4" width="90.7109375" customWidth="1"/>
  </cols>
  <sheetData>
    <row r="1" spans="1:4" ht="20.25">
      <c r="A1" s="53" t="s">
        <v>58</v>
      </c>
    </row>
    <row r="2" spans="1:4">
      <c r="A2" s="54" t="s">
        <v>3389</v>
      </c>
    </row>
    <row r="4" spans="1:4" ht="15">
      <c r="B4" s="86" t="s">
        <v>59</v>
      </c>
      <c r="C4" s="86"/>
      <c r="D4" s="86"/>
    </row>
    <row r="5" spans="1:4">
      <c r="B5" s="87" t="s">
        <v>60</v>
      </c>
      <c r="C5" s="87" t="s">
        <v>61</v>
      </c>
      <c r="D5" s="87" t="s">
        <v>62</v>
      </c>
    </row>
    <row r="6" spans="1:4" ht="29.1" customHeight="1">
      <c r="B6" s="49" t="s">
        <v>3390</v>
      </c>
      <c r="C6" s="60" t="s">
        <v>63</v>
      </c>
      <c r="D6" s="60" t="s">
        <v>3391</v>
      </c>
    </row>
    <row r="7" spans="1:4">
      <c r="B7" s="56" t="s">
        <v>3392</v>
      </c>
      <c r="C7" s="60" t="s">
        <v>64</v>
      </c>
      <c r="D7" s="60" t="s">
        <v>65</v>
      </c>
    </row>
    <row r="8" spans="1:4">
      <c r="B8" s="88" t="s">
        <v>3393</v>
      </c>
      <c r="C8" s="60" t="s">
        <v>3394</v>
      </c>
      <c r="D8" s="60" t="s">
        <v>3395</v>
      </c>
    </row>
    <row r="9" spans="1:4" ht="29.1" customHeight="1">
      <c r="B9" s="89" t="s">
        <v>66</v>
      </c>
      <c r="C9" s="60" t="s">
        <v>67</v>
      </c>
      <c r="D9" s="60" t="s">
        <v>3396</v>
      </c>
    </row>
    <row r="10" spans="1:4">
      <c r="B10" s="90" t="s">
        <v>68</v>
      </c>
      <c r="C10" s="60" t="s">
        <v>3397</v>
      </c>
      <c r="D10" s="60" t="s">
        <v>69</v>
      </c>
    </row>
    <row r="11" spans="1:4">
      <c r="B11" s="91" t="s">
        <v>70</v>
      </c>
      <c r="C11" s="60" t="s">
        <v>3398</v>
      </c>
      <c r="D11" s="60" t="s">
        <v>3399</v>
      </c>
    </row>
    <row r="12" spans="1:4">
      <c r="B12" s="92" t="s">
        <v>3400</v>
      </c>
      <c r="C12" s="60" t="s">
        <v>3401</v>
      </c>
      <c r="D12" s="60" t="s">
        <v>3402</v>
      </c>
    </row>
    <row r="13" spans="1:4">
      <c r="B13" s="93" t="s">
        <v>71</v>
      </c>
      <c r="C13" s="60" t="s">
        <v>3403</v>
      </c>
      <c r="D13" s="60" t="s">
        <v>72</v>
      </c>
    </row>
    <row r="14" spans="1:4">
      <c r="B14" s="56" t="s">
        <v>73</v>
      </c>
      <c r="C14" s="60" t="s">
        <v>74</v>
      </c>
      <c r="D14" s="60" t="s">
        <v>75</v>
      </c>
    </row>
    <row r="15" spans="1:4">
      <c r="B15" s="94" t="s">
        <v>76</v>
      </c>
      <c r="C15" s="60" t="s">
        <v>77</v>
      </c>
      <c r="D15" s="60" t="s">
        <v>78</v>
      </c>
    </row>
    <row r="16" spans="1:4">
      <c r="B16" s="60"/>
      <c r="C16" s="60"/>
      <c r="D16" s="60"/>
    </row>
    <row r="17" spans="2:4" ht="45">
      <c r="B17" s="86" t="s">
        <v>3404</v>
      </c>
      <c r="C17" s="86"/>
      <c r="D17" s="86"/>
    </row>
    <row r="18" spans="2:4">
      <c r="B18" s="87" t="s">
        <v>3154</v>
      </c>
      <c r="C18" s="87" t="s">
        <v>3405</v>
      </c>
      <c r="D18" s="87" t="s">
        <v>3406</v>
      </c>
    </row>
    <row r="19" spans="2:4">
      <c r="B19" s="60" t="s">
        <v>3407</v>
      </c>
      <c r="C19" s="60" t="s">
        <v>3408</v>
      </c>
      <c r="D19" s="60" t="s">
        <v>3409</v>
      </c>
    </row>
    <row r="20" spans="2:4">
      <c r="B20" s="60" t="s">
        <v>3294</v>
      </c>
      <c r="C20" s="60" t="s">
        <v>3410</v>
      </c>
      <c r="D20" s="60" t="s">
        <v>3411</v>
      </c>
    </row>
    <row r="21" spans="2:4">
      <c r="B21" s="60" t="s">
        <v>3412</v>
      </c>
      <c r="C21" s="60" t="s">
        <v>3413</v>
      </c>
      <c r="D21" s="60" t="s">
        <v>3414</v>
      </c>
    </row>
    <row r="22" spans="2:4" ht="25.5">
      <c r="B22" s="60" t="s">
        <v>3415</v>
      </c>
      <c r="C22" s="60" t="s">
        <v>3416</v>
      </c>
      <c r="D22" s="60" t="s">
        <v>3417</v>
      </c>
    </row>
    <row r="23" spans="2:4" ht="25.5">
      <c r="B23" s="60" t="s">
        <v>3295</v>
      </c>
      <c r="C23" s="60" t="s">
        <v>3418</v>
      </c>
      <c r="D23" s="60" t="s">
        <v>3419</v>
      </c>
    </row>
    <row r="24" spans="2:4">
      <c r="B24" s="60"/>
      <c r="C24" s="60"/>
      <c r="D24" s="60"/>
    </row>
    <row r="25" spans="2:4" ht="30">
      <c r="B25" s="86" t="s">
        <v>3420</v>
      </c>
      <c r="C25" s="86"/>
      <c r="D25" s="86"/>
    </row>
    <row r="26" spans="2:4">
      <c r="B26" s="60" t="s">
        <v>3421</v>
      </c>
      <c r="C26" s="60"/>
      <c r="D26" s="60" t="s">
        <v>3422</v>
      </c>
    </row>
    <row r="27" spans="2:4">
      <c r="B27" s="60" t="s">
        <v>3400</v>
      </c>
      <c r="C27" s="60"/>
      <c r="D27" s="60" t="s">
        <v>3423</v>
      </c>
    </row>
    <row r="28" spans="2:4">
      <c r="B28" s="60"/>
      <c r="C28" s="60"/>
      <c r="D28" s="60"/>
    </row>
    <row r="29" spans="2:4" ht="15">
      <c r="B29" s="86" t="s">
        <v>3424</v>
      </c>
      <c r="C29" s="86"/>
      <c r="D29" s="86"/>
    </row>
    <row r="30" spans="2:4" ht="25.5">
      <c r="B30" s="95" t="s">
        <v>3425</v>
      </c>
      <c r="C30" s="60"/>
      <c r="D30" s="60" t="s">
        <v>3426</v>
      </c>
    </row>
    <row r="31" spans="2:4" ht="25.5">
      <c r="B31" s="96" t="s">
        <v>3427</v>
      </c>
      <c r="C31" s="60"/>
      <c r="D31" s="60" t="s">
        <v>3428</v>
      </c>
    </row>
    <row r="32" spans="2:4">
      <c r="B32" s="97" t="s">
        <v>3429</v>
      </c>
      <c r="C32" s="60"/>
      <c r="D32" s="60" t="s">
        <v>3430</v>
      </c>
    </row>
    <row r="33" spans="2:4">
      <c r="B33" s="98" t="s">
        <v>3431</v>
      </c>
      <c r="C33" s="60"/>
      <c r="D33" s="60" t="s">
        <v>3432</v>
      </c>
    </row>
    <row r="34" spans="2:4">
      <c r="B34" s="60"/>
      <c r="C34" s="60"/>
      <c r="D34" s="60"/>
    </row>
    <row r="35" spans="2:4" ht="15">
      <c r="B35" s="86" t="s">
        <v>79</v>
      </c>
      <c r="C35" s="86"/>
      <c r="D35" s="86"/>
    </row>
    <row r="36" spans="2:4">
      <c r="B36" s="60" t="s">
        <v>80</v>
      </c>
      <c r="C36" s="60"/>
      <c r="D36" s="60" t="s">
        <v>3433</v>
      </c>
    </row>
    <row r="37" spans="2:4">
      <c r="B37" s="60" t="s">
        <v>81</v>
      </c>
      <c r="C37" s="60"/>
      <c r="D37" s="60" t="s">
        <v>82</v>
      </c>
    </row>
    <row r="38" spans="2:4">
      <c r="B38" s="60" t="s">
        <v>83</v>
      </c>
      <c r="C38" s="60"/>
      <c r="D38" s="60" t="s">
        <v>84</v>
      </c>
    </row>
    <row r="39" spans="2:4">
      <c r="B39" s="60" t="s">
        <v>3434</v>
      </c>
      <c r="C39" s="60"/>
      <c r="D39" s="60" t="s">
        <v>3435</v>
      </c>
    </row>
    <row r="40" spans="2:4" ht="25.5">
      <c r="B40" s="60" t="s">
        <v>2621</v>
      </c>
      <c r="C40" s="60"/>
      <c r="D40" s="60" t="s">
        <v>3436</v>
      </c>
    </row>
    <row r="41" spans="2:4">
      <c r="B41" s="60" t="s">
        <v>3437</v>
      </c>
      <c r="C41" s="60"/>
      <c r="D41" s="60" t="s">
        <v>3438</v>
      </c>
    </row>
    <row r="42" spans="2:4">
      <c r="B42" s="60" t="s">
        <v>85</v>
      </c>
      <c r="C42" s="60"/>
      <c r="D42" s="60" t="s">
        <v>86</v>
      </c>
    </row>
    <row r="43" spans="2:4" ht="25.5">
      <c r="B43" s="60" t="s">
        <v>3439</v>
      </c>
      <c r="C43" s="60"/>
      <c r="D43" s="60" t="s">
        <v>3440</v>
      </c>
    </row>
    <row r="44" spans="2:4">
      <c r="B44" s="60" t="s">
        <v>2622</v>
      </c>
      <c r="C44" s="60"/>
      <c r="D44" s="60" t="s">
        <v>3441</v>
      </c>
    </row>
    <row r="45" spans="2:4">
      <c r="B45" s="60" t="s">
        <v>3442</v>
      </c>
      <c r="C45" s="60"/>
      <c r="D45" s="60" t="s">
        <v>3443</v>
      </c>
    </row>
    <row r="46" spans="2:4">
      <c r="B46" s="60" t="s">
        <v>3444</v>
      </c>
      <c r="C46" s="60"/>
      <c r="D46" s="60" t="s">
        <v>3445</v>
      </c>
    </row>
    <row r="47" spans="2:4">
      <c r="B47" s="60" t="s">
        <v>2623</v>
      </c>
      <c r="C47" s="60"/>
      <c r="D47" s="60" t="s">
        <v>3446</v>
      </c>
    </row>
    <row r="48" spans="2:4">
      <c r="B48" s="60"/>
      <c r="C48" s="60"/>
      <c r="D48" s="60"/>
    </row>
    <row r="49" spans="2:4" ht="15">
      <c r="B49" s="86" t="s">
        <v>87</v>
      </c>
      <c r="C49" s="86"/>
      <c r="D49" s="86"/>
    </row>
    <row r="50" spans="2:4">
      <c r="B50" s="60"/>
      <c r="C50" s="60"/>
      <c r="D50" s="60" t="s">
        <v>88</v>
      </c>
    </row>
    <row r="51" spans="2:4">
      <c r="B51" s="60"/>
      <c r="C51" s="60"/>
      <c r="D51" s="60" t="s">
        <v>89</v>
      </c>
    </row>
    <row r="52" spans="2:4">
      <c r="B52" s="60"/>
      <c r="C52" s="60"/>
      <c r="D52" s="60" t="s">
        <v>90</v>
      </c>
    </row>
    <row r="53" spans="2:4">
      <c r="B53" s="60"/>
      <c r="C53" s="60"/>
      <c r="D53" s="60" t="s">
        <v>91</v>
      </c>
    </row>
    <row r="54" spans="2:4" ht="25.5">
      <c r="B54" s="60"/>
      <c r="C54" s="60"/>
      <c r="D54" s="60" t="s">
        <v>3447</v>
      </c>
    </row>
    <row r="55" spans="2:4">
      <c r="B55" s="60"/>
      <c r="C55" s="60"/>
      <c r="D55" s="60"/>
    </row>
    <row r="56" spans="2:4" ht="60">
      <c r="B56" s="86" t="s">
        <v>3448</v>
      </c>
      <c r="C56" s="86"/>
      <c r="D56" s="86"/>
    </row>
    <row r="57" spans="2:4">
      <c r="B57" s="87" t="s">
        <v>92</v>
      </c>
      <c r="C57" s="87" t="s">
        <v>93</v>
      </c>
      <c r="D57" s="87" t="s">
        <v>3449</v>
      </c>
    </row>
    <row r="58" spans="2:4">
      <c r="B58" s="60"/>
      <c r="C58" s="56" t="s">
        <v>94</v>
      </c>
      <c r="D58" s="60"/>
    </row>
    <row r="59" spans="2:4">
      <c r="B59" s="60"/>
      <c r="C59" s="56" t="s">
        <v>95</v>
      </c>
      <c r="D59" s="60"/>
    </row>
    <row r="60" spans="2:4">
      <c r="B60" s="60"/>
      <c r="C60" s="60"/>
      <c r="D60" s="60"/>
    </row>
    <row r="61" spans="2:4">
      <c r="B61" s="87" t="s">
        <v>96</v>
      </c>
      <c r="C61" s="87" t="s">
        <v>93</v>
      </c>
      <c r="D61" s="87" t="s">
        <v>97</v>
      </c>
    </row>
    <row r="62" spans="2:4">
      <c r="B62" s="60"/>
      <c r="C62" s="56" t="s">
        <v>98</v>
      </c>
      <c r="D62" s="60"/>
    </row>
    <row r="63" spans="2:4">
      <c r="B63" s="60"/>
      <c r="C63" s="56" t="s">
        <v>99</v>
      </c>
      <c r="D63" s="60"/>
    </row>
    <row r="64" spans="2:4">
      <c r="B64" s="60"/>
      <c r="C64" s="56" t="s">
        <v>100</v>
      </c>
      <c r="D64" s="60"/>
    </row>
    <row r="65" spans="2:4">
      <c r="B65" s="60"/>
      <c r="C65" s="56" t="s">
        <v>101</v>
      </c>
      <c r="D65" s="60"/>
    </row>
    <row r="66" spans="2:4">
      <c r="B66" s="60"/>
      <c r="C66" s="56" t="s">
        <v>102</v>
      </c>
      <c r="D66" s="60"/>
    </row>
    <row r="67" spans="2:4">
      <c r="B67" s="60"/>
      <c r="C67" s="60" t="s">
        <v>16344</v>
      </c>
      <c r="D67" s="60"/>
    </row>
    <row r="68" spans="2:4">
      <c r="B68" s="87" t="s">
        <v>103</v>
      </c>
      <c r="C68" s="87" t="s">
        <v>93</v>
      </c>
      <c r="D68" s="87" t="s">
        <v>104</v>
      </c>
    </row>
    <row r="69" spans="2:4">
      <c r="B69" s="60"/>
      <c r="C69" s="56" t="s">
        <v>105</v>
      </c>
      <c r="D69" s="60"/>
    </row>
    <row r="70" spans="2:4">
      <c r="B70" s="60"/>
      <c r="C70" s="56" t="s">
        <v>106</v>
      </c>
      <c r="D70" s="60"/>
    </row>
    <row r="71" spans="2:4">
      <c r="B71" s="60"/>
      <c r="C71" s="56" t="s">
        <v>107</v>
      </c>
      <c r="D71" s="60"/>
    </row>
    <row r="72" spans="2:4">
      <c r="B72" s="60"/>
      <c r="C72" s="56" t="s">
        <v>108</v>
      </c>
      <c r="D72" s="60"/>
    </row>
    <row r="73" spans="2:4">
      <c r="B73" s="60"/>
      <c r="C73" s="56" t="s">
        <v>109</v>
      </c>
      <c r="D73" s="60"/>
    </row>
    <row r="74" spans="2:4">
      <c r="B74" s="60"/>
      <c r="C74" s="60" t="s">
        <v>16342</v>
      </c>
      <c r="D74" s="60"/>
    </row>
    <row r="75" spans="2:4">
      <c r="B75" s="87" t="s">
        <v>110</v>
      </c>
      <c r="C75" s="87" t="s">
        <v>93</v>
      </c>
      <c r="D75" s="87" t="s">
        <v>111</v>
      </c>
    </row>
    <row r="76" spans="2:4">
      <c r="B76" s="60"/>
      <c r="C76" s="56" t="s">
        <v>112</v>
      </c>
      <c r="D76" s="60"/>
    </row>
    <row r="77" spans="2:4">
      <c r="B77" s="60"/>
      <c r="C77" s="56" t="s">
        <v>113</v>
      </c>
      <c r="D77" s="60"/>
    </row>
    <row r="78" spans="2:4">
      <c r="B78" s="60"/>
      <c r="C78" s="56" t="s">
        <v>114</v>
      </c>
      <c r="D78" s="60"/>
    </row>
    <row r="79" spans="2:4">
      <c r="B79" s="60"/>
      <c r="C79" s="60"/>
      <c r="D79" s="60"/>
    </row>
    <row r="80" spans="2:4">
      <c r="B80" s="87" t="s">
        <v>115</v>
      </c>
      <c r="C80" s="87" t="s">
        <v>93</v>
      </c>
      <c r="D80" s="87" t="s">
        <v>116</v>
      </c>
    </row>
    <row r="81" spans="2:4">
      <c r="B81" s="60"/>
      <c r="C81" s="56" t="s">
        <v>117</v>
      </c>
      <c r="D81" s="60"/>
    </row>
    <row r="82" spans="2:4">
      <c r="B82" s="60"/>
      <c r="C82" s="56" t="s">
        <v>118</v>
      </c>
      <c r="D82" s="60"/>
    </row>
    <row r="83" spans="2:4">
      <c r="B83" s="60"/>
      <c r="C83" s="60"/>
      <c r="D83" s="60"/>
    </row>
    <row r="84" spans="2:4">
      <c r="B84" s="87" t="s">
        <v>119</v>
      </c>
      <c r="C84" s="87" t="s">
        <v>93</v>
      </c>
      <c r="D84" s="87" t="s">
        <v>120</v>
      </c>
    </row>
    <row r="85" spans="2:4">
      <c r="B85" s="60"/>
      <c r="C85" s="56" t="s">
        <v>121</v>
      </c>
      <c r="D85" s="60"/>
    </row>
    <row r="86" spans="2:4">
      <c r="B86" s="60"/>
      <c r="C86" s="56" t="s">
        <v>122</v>
      </c>
      <c r="D86" s="60"/>
    </row>
    <row r="87" spans="2:4">
      <c r="B87" s="60"/>
      <c r="C87" s="56" t="s">
        <v>123</v>
      </c>
      <c r="D87" s="60"/>
    </row>
    <row r="88" spans="2:4">
      <c r="B88" s="60"/>
      <c r="C88" s="56" t="s">
        <v>124</v>
      </c>
      <c r="D88" s="60"/>
    </row>
    <row r="89" spans="2:4">
      <c r="B89" s="60"/>
      <c r="C89" s="56" t="s">
        <v>125</v>
      </c>
      <c r="D89" s="60"/>
    </row>
    <row r="90" spans="2:4">
      <c r="B90" s="60"/>
      <c r="C90" s="56" t="s">
        <v>126</v>
      </c>
      <c r="D90" s="60"/>
    </row>
    <row r="91" spans="2:4">
      <c r="B91" s="60"/>
      <c r="C91" s="56" t="s">
        <v>117</v>
      </c>
      <c r="D91" s="60"/>
    </row>
    <row r="92" spans="2:4">
      <c r="B92" s="60"/>
      <c r="C92" s="56" t="s">
        <v>118</v>
      </c>
      <c r="D92" s="60"/>
    </row>
    <row r="93" spans="2:4">
      <c r="B93" s="60"/>
      <c r="C93" s="56" t="s">
        <v>127</v>
      </c>
      <c r="D93" s="60"/>
    </row>
    <row r="94" spans="2:4">
      <c r="B94" s="60"/>
      <c r="C94" s="60"/>
      <c r="D94" s="60"/>
    </row>
    <row r="95" spans="2:4">
      <c r="B95" s="87" t="s">
        <v>2624</v>
      </c>
      <c r="C95" s="87" t="s">
        <v>93</v>
      </c>
      <c r="D95" s="87" t="s">
        <v>3450</v>
      </c>
    </row>
    <row r="96" spans="2:4">
      <c r="B96" s="60"/>
      <c r="C96" s="56" t="s">
        <v>2625</v>
      </c>
      <c r="D96" s="60"/>
    </row>
    <row r="97" spans="2:4">
      <c r="B97" s="60"/>
      <c r="C97" s="56" t="s">
        <v>2626</v>
      </c>
      <c r="D97" s="60"/>
    </row>
    <row r="98" spans="2:4">
      <c r="B98" s="60"/>
      <c r="C98" s="60"/>
      <c r="D98" s="60"/>
    </row>
    <row r="99" spans="2:4">
      <c r="B99" s="87" t="s">
        <v>2627</v>
      </c>
      <c r="C99" s="87" t="s">
        <v>93</v>
      </c>
      <c r="D99" s="87" t="s">
        <v>2628</v>
      </c>
    </row>
    <row r="100" spans="2:4">
      <c r="B100" s="60"/>
      <c r="C100" s="56" t="s">
        <v>2629</v>
      </c>
      <c r="D100" s="60"/>
    </row>
    <row r="101" spans="2:4">
      <c r="B101" s="60"/>
      <c r="C101" s="56" t="s">
        <v>2630</v>
      </c>
      <c r="D101" s="60"/>
    </row>
    <row r="102" spans="2:4">
      <c r="B102" s="60"/>
      <c r="C102" s="56" t="s">
        <v>2631</v>
      </c>
      <c r="D102" s="60"/>
    </row>
    <row r="103" spans="2:4">
      <c r="B103" s="60"/>
      <c r="C103" s="56" t="s">
        <v>2632</v>
      </c>
      <c r="D103" s="60"/>
    </row>
    <row r="104" spans="2:4">
      <c r="B104" s="60"/>
      <c r="C104" s="60"/>
      <c r="D104" s="60"/>
    </row>
    <row r="105" spans="2:4">
      <c r="B105" s="87" t="s">
        <v>2633</v>
      </c>
      <c r="C105" s="87" t="s">
        <v>93</v>
      </c>
      <c r="D105" s="87" t="s">
        <v>2634</v>
      </c>
    </row>
    <row r="106" spans="2:4">
      <c r="B106" s="60"/>
      <c r="C106" s="56" t="s">
        <v>2635</v>
      </c>
      <c r="D106" s="60"/>
    </row>
    <row r="107" spans="2:4">
      <c r="B107" s="60"/>
      <c r="C107" s="56" t="s">
        <v>2636</v>
      </c>
      <c r="D107" s="60"/>
    </row>
    <row r="108" spans="2:4">
      <c r="B108" s="60"/>
      <c r="C108" s="56" t="s">
        <v>2637</v>
      </c>
      <c r="D108" s="60"/>
    </row>
    <row r="109" spans="2:4">
      <c r="B109" s="60"/>
      <c r="C109" s="56" t="s">
        <v>2638</v>
      </c>
      <c r="D109" s="60"/>
    </row>
    <row r="110" spans="2:4">
      <c r="B110" s="60"/>
      <c r="C110" s="60"/>
      <c r="D110" s="60"/>
    </row>
    <row r="111" spans="2:4">
      <c r="B111" s="87" t="s">
        <v>2639</v>
      </c>
      <c r="C111" s="87" t="s">
        <v>93</v>
      </c>
      <c r="D111" s="87" t="s">
        <v>2640</v>
      </c>
    </row>
    <row r="112" spans="2:4">
      <c r="B112" s="60"/>
      <c r="C112" s="56" t="s">
        <v>2641</v>
      </c>
      <c r="D112" s="60"/>
    </row>
    <row r="113" spans="2:4">
      <c r="B113" s="60"/>
      <c r="C113" s="56" t="s">
        <v>2642</v>
      </c>
      <c r="D113" s="60"/>
    </row>
    <row r="114" spans="2:4">
      <c r="B114" s="60"/>
      <c r="C114" s="56" t="s">
        <v>2643</v>
      </c>
      <c r="D114" s="60"/>
    </row>
    <row r="115" spans="2:4">
      <c r="B115" s="60"/>
      <c r="C115" s="56" t="s">
        <v>2644</v>
      </c>
      <c r="D115" s="60"/>
    </row>
    <row r="116" spans="2:4">
      <c r="B116" s="60"/>
      <c r="C116" s="56" t="s">
        <v>3451</v>
      </c>
      <c r="D116" s="60"/>
    </row>
    <row r="117" spans="2:4">
      <c r="B117" s="60"/>
      <c r="C117" s="60"/>
      <c r="D117" s="60"/>
    </row>
    <row r="118" spans="2:4">
      <c r="B118" s="87" t="s">
        <v>2645</v>
      </c>
      <c r="C118" s="87" t="s">
        <v>93</v>
      </c>
      <c r="D118" s="87" t="s">
        <v>2646</v>
      </c>
    </row>
    <row r="119" spans="2:4">
      <c r="B119" s="60"/>
      <c r="C119" s="56" t="s">
        <v>2647</v>
      </c>
      <c r="D119" s="60"/>
    </row>
    <row r="120" spans="2:4">
      <c r="B120" s="60"/>
      <c r="C120" s="56" t="s">
        <v>2648</v>
      </c>
      <c r="D120" s="60"/>
    </row>
    <row r="121" spans="2:4">
      <c r="B121" s="60"/>
      <c r="C121" s="56" t="s">
        <v>2649</v>
      </c>
      <c r="D121" s="60"/>
    </row>
    <row r="122" spans="2:4">
      <c r="B122" s="60"/>
      <c r="C122" s="60"/>
      <c r="D122" s="60"/>
    </row>
    <row r="123" spans="2:4">
      <c r="B123" s="87" t="s">
        <v>2650</v>
      </c>
      <c r="C123" s="87" t="s">
        <v>93</v>
      </c>
      <c r="D123" s="87" t="s">
        <v>2651</v>
      </c>
    </row>
    <row r="124" spans="2:4">
      <c r="B124" s="60"/>
      <c r="C124" s="56" t="s">
        <v>2652</v>
      </c>
      <c r="D124" s="60"/>
    </row>
    <row r="125" spans="2:4">
      <c r="B125" s="60"/>
      <c r="C125" s="56" t="s">
        <v>2653</v>
      </c>
      <c r="D125" s="60"/>
    </row>
    <row r="126" spans="2:4">
      <c r="B126" s="60"/>
      <c r="C126" s="56" t="s">
        <v>2654</v>
      </c>
      <c r="D126" s="60"/>
    </row>
    <row r="127" spans="2:4">
      <c r="B127" s="60"/>
      <c r="C127" s="56" t="s">
        <v>2655</v>
      </c>
      <c r="D127" s="60"/>
    </row>
    <row r="128" spans="2:4">
      <c r="B128" s="60"/>
      <c r="C128" s="56" t="s">
        <v>3452</v>
      </c>
      <c r="D128" s="60"/>
    </row>
    <row r="129" spans="2:4">
      <c r="B129" s="60"/>
      <c r="C129" s="56" t="s">
        <v>2656</v>
      </c>
      <c r="D129" s="60"/>
    </row>
    <row r="130" spans="2:4">
      <c r="B130" s="60"/>
      <c r="C130" s="60"/>
      <c r="D130" s="60"/>
    </row>
    <row r="131" spans="2:4" ht="15">
      <c r="B131" s="86" t="s">
        <v>2657</v>
      </c>
      <c r="C131" s="86"/>
      <c r="D131" s="86"/>
    </row>
    <row r="132" spans="2:4" ht="25.5">
      <c r="B132" s="60" t="s">
        <v>3453</v>
      </c>
      <c r="C132" s="60"/>
      <c r="D132" s="60" t="s">
        <v>2658</v>
      </c>
    </row>
    <row r="133" spans="2:4">
      <c r="B133" s="60" t="s">
        <v>2659</v>
      </c>
      <c r="C133" s="60"/>
      <c r="D133" s="60" t="s">
        <v>2660</v>
      </c>
    </row>
    <row r="134" spans="2:4" ht="25.5">
      <c r="B134" s="60" t="s">
        <v>3454</v>
      </c>
      <c r="C134" s="60"/>
      <c r="D134" s="60" t="s">
        <v>3455</v>
      </c>
    </row>
    <row r="135" spans="2:4" ht="25.5">
      <c r="B135" s="60" t="s">
        <v>3456</v>
      </c>
      <c r="C135" s="60"/>
      <c r="D135" s="60" t="s">
        <v>2661</v>
      </c>
    </row>
    <row r="136" spans="2:4">
      <c r="B136" s="60" t="s">
        <v>2662</v>
      </c>
      <c r="C136" s="60"/>
      <c r="D136" s="60" t="s">
        <v>2663</v>
      </c>
    </row>
    <row r="137" spans="2:4" ht="25.5">
      <c r="B137" s="60" t="s">
        <v>3457</v>
      </c>
      <c r="C137" s="60"/>
      <c r="D137" s="60" t="s">
        <v>3458</v>
      </c>
    </row>
    <row r="138" spans="2:4" ht="25.5">
      <c r="B138" s="60" t="s">
        <v>3459</v>
      </c>
      <c r="C138" s="60"/>
      <c r="D138" s="60" t="s">
        <v>3460</v>
      </c>
    </row>
    <row r="139" spans="2:4">
      <c r="B139" s="60"/>
      <c r="C139" s="60"/>
      <c r="D139" s="60"/>
    </row>
  </sheetData>
  <sheetProtection algorithmName="SHA-512" hashValue="6OgIK8SZ5mPHmiJbXgnjDBxg5usLTzJnPaBIygtCJCTJw1f2rw37NhMG4UCQfS+SaIknqSPOMstint+Qy7ePNQ==" saltValue="xZts0sMIzRXe1OMEY/SwsA==" spinCount="100000" sheet="1" scenarios="1" formatColumns="0" sort="0" autoFilter="0"/>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rgb="FF808080"/>
  </sheetPr>
  <dimension ref="A1:G9"/>
  <sheetViews>
    <sheetView showGridLines="0" workbookViewId="0"/>
  </sheetViews>
  <sheetFormatPr defaultRowHeight="12.75"/>
  <cols>
    <col min="1" max="1" width="9.7109375" customWidth="1"/>
    <col min="2" max="2" width="11.7109375" customWidth="1"/>
    <col min="3" max="3" width="22.7109375" customWidth="1"/>
    <col min="4" max="4" width="70.7109375" customWidth="1"/>
    <col min="5" max="5" width="45.7109375" customWidth="1"/>
    <col min="6" max="6" width="40.7109375" customWidth="1"/>
    <col min="7" max="7" width="50.7109375" customWidth="1"/>
  </cols>
  <sheetData>
    <row r="1" spans="1:7" ht="20.25">
      <c r="A1" s="9" t="s">
        <v>4141</v>
      </c>
      <c r="B1" s="1"/>
      <c r="C1" s="1"/>
      <c r="D1" s="1"/>
      <c r="E1" s="1"/>
      <c r="F1" s="1"/>
    </row>
    <row r="2" spans="1:7">
      <c r="A2" s="10" t="s">
        <v>4142</v>
      </c>
      <c r="B2" s="1"/>
      <c r="C2" s="1"/>
      <c r="D2" s="1"/>
      <c r="E2" s="1"/>
      <c r="F2" s="1"/>
    </row>
    <row r="3" spans="1:7">
      <c r="A3" s="1"/>
      <c r="B3" s="1"/>
      <c r="C3" s="1"/>
      <c r="D3" s="1"/>
      <c r="E3" s="1"/>
      <c r="F3" s="1"/>
    </row>
    <row r="4" spans="1:7">
      <c r="A4" s="50" t="s">
        <v>128</v>
      </c>
      <c r="B4" s="50" t="s">
        <v>129</v>
      </c>
      <c r="C4" s="50" t="s">
        <v>130</v>
      </c>
      <c r="D4" s="50" t="s">
        <v>4119</v>
      </c>
      <c r="E4" s="50" t="s">
        <v>4120</v>
      </c>
      <c r="F4" s="50" t="s">
        <v>4121</v>
      </c>
      <c r="G4" s="50" t="s">
        <v>4122</v>
      </c>
    </row>
    <row r="5" spans="1:7" ht="54.95" customHeight="1">
      <c r="A5" s="397" t="s">
        <v>4123</v>
      </c>
      <c r="B5" s="397" t="s">
        <v>132</v>
      </c>
      <c r="C5" s="397" t="s">
        <v>4009</v>
      </c>
      <c r="D5" s="397" t="s">
        <v>4124</v>
      </c>
      <c r="E5" s="397" t="s">
        <v>4125</v>
      </c>
      <c r="F5" s="397" t="s">
        <v>4126</v>
      </c>
      <c r="G5" s="397" t="s">
        <v>4127</v>
      </c>
    </row>
    <row r="6" spans="1:7" ht="54.95" customHeight="1">
      <c r="A6" s="397" t="s">
        <v>131</v>
      </c>
      <c r="B6" s="397" t="s">
        <v>132</v>
      </c>
      <c r="C6" s="397" t="s">
        <v>4009</v>
      </c>
      <c r="D6" s="397" t="s">
        <v>4128</v>
      </c>
      <c r="E6" s="397" t="s">
        <v>4129</v>
      </c>
      <c r="F6" s="397" t="s">
        <v>4130</v>
      </c>
      <c r="G6" s="397" t="s">
        <v>4131</v>
      </c>
    </row>
    <row r="7" spans="1:7" ht="54.95" customHeight="1">
      <c r="A7" s="397" t="s">
        <v>2707</v>
      </c>
      <c r="B7" s="397" t="s">
        <v>3380</v>
      </c>
      <c r="C7" s="397" t="s">
        <v>4009</v>
      </c>
      <c r="D7" s="397" t="s">
        <v>4132</v>
      </c>
      <c r="E7" s="397" t="s">
        <v>4133</v>
      </c>
      <c r="F7" s="397" t="s">
        <v>4134</v>
      </c>
      <c r="G7" s="397" t="s">
        <v>4135</v>
      </c>
    </row>
    <row r="8" spans="1:7" ht="68.099999999999994" customHeight="1">
      <c r="A8" s="397" t="s">
        <v>3864</v>
      </c>
      <c r="B8" s="397" t="s">
        <v>4136</v>
      </c>
      <c r="C8" s="397" t="s">
        <v>4009</v>
      </c>
      <c r="D8" s="397" t="s">
        <v>4137</v>
      </c>
      <c r="E8" s="397" t="s">
        <v>4138</v>
      </c>
      <c r="F8" s="397" t="s">
        <v>4139</v>
      </c>
      <c r="G8" s="397" t="s">
        <v>4140</v>
      </c>
    </row>
    <row r="9" spans="1:7" ht="127.5">
      <c r="A9" s="397" t="s">
        <v>21737</v>
      </c>
      <c r="B9" s="397" t="s">
        <v>22848</v>
      </c>
      <c r="C9" s="397" t="s">
        <v>4009</v>
      </c>
      <c r="D9" s="397" t="s">
        <v>22849</v>
      </c>
      <c r="E9" s="397" t="s">
        <v>22846</v>
      </c>
      <c r="F9" s="397" t="s">
        <v>22850</v>
      </c>
      <c r="G9" s="397" t="s">
        <v>22847</v>
      </c>
    </row>
  </sheetData>
  <sheetProtection algorithmName="SHA-512" hashValue="SeK9VyDF6eZXCYalXoQl9zAa/NTP4/j/o3cAPkW54ArgTLkmA7+hjj7+zQhg+EbrYmlTECRXA7Jxs6QhsNqQUw==" saltValue="kLG/8ptiIEyAbQyAvZNOVw==" spinCount="100000" sheet="1" scenarios="1" formatColumns="0" sort="0" autoFilter="0"/>
  <pageMargins left="0.75" right="0.75" top="1" bottom="1" header="0.5" footer="0.5"/>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rgb="FF7030A0"/>
  </sheetPr>
  <dimension ref="A1:G113"/>
  <sheetViews>
    <sheetView showGridLines="0" workbookViewId="0"/>
  </sheetViews>
  <sheetFormatPr defaultRowHeight="12.75"/>
  <cols>
    <col min="1" max="1" width="3" customWidth="1"/>
    <col min="2" max="2" width="32" customWidth="1"/>
    <col min="3" max="3" width="26" customWidth="1"/>
    <col min="4" max="4" width="46" customWidth="1"/>
    <col min="5" max="5" width="24" customWidth="1"/>
    <col min="6" max="6" width="36" customWidth="1"/>
    <col min="7" max="7" width="40" customWidth="1"/>
  </cols>
  <sheetData>
    <row r="1" spans="1:7" ht="20.25">
      <c r="A1" s="9" t="s">
        <v>2358</v>
      </c>
      <c r="B1" s="1"/>
      <c r="C1" s="1"/>
      <c r="D1" s="1"/>
      <c r="E1" s="1"/>
      <c r="F1" s="1"/>
      <c r="G1" s="1"/>
    </row>
    <row r="2" spans="1:7">
      <c r="A2" s="10" t="s">
        <v>2359</v>
      </c>
      <c r="B2" s="1"/>
      <c r="C2" s="1"/>
      <c r="D2" s="1"/>
      <c r="E2" s="1"/>
      <c r="F2" s="1"/>
      <c r="G2" s="1"/>
    </row>
    <row r="3" spans="1:7">
      <c r="A3" s="1"/>
      <c r="B3" s="1"/>
      <c r="C3" s="1"/>
      <c r="D3" s="1"/>
      <c r="E3" s="1"/>
      <c r="F3" s="1"/>
      <c r="G3" s="1"/>
    </row>
    <row r="4" spans="1:7" ht="15">
      <c r="A4" s="1"/>
      <c r="B4" s="1"/>
      <c r="C4" s="1"/>
      <c r="D4" s="30" t="s">
        <v>2360</v>
      </c>
      <c r="E4" s="1"/>
      <c r="F4" s="1"/>
      <c r="G4" s="1"/>
    </row>
    <row r="5" spans="1:7">
      <c r="A5" s="1"/>
      <c r="B5" s="1"/>
      <c r="C5" s="1"/>
      <c r="D5" s="31" t="s">
        <v>2361</v>
      </c>
      <c r="E5" s="1"/>
      <c r="F5" s="1"/>
      <c r="G5" s="1"/>
    </row>
    <row r="6" spans="1:7">
      <c r="A6" s="1"/>
      <c r="B6" s="1"/>
      <c r="C6" s="1"/>
      <c r="D6" s="31" t="s">
        <v>2362</v>
      </c>
      <c r="E6" s="1"/>
      <c r="F6" s="1"/>
      <c r="G6" s="1"/>
    </row>
    <row r="7" spans="1:7">
      <c r="A7" s="1"/>
      <c r="B7" s="1"/>
      <c r="C7" s="1"/>
      <c r="D7" s="31" t="s">
        <v>2363</v>
      </c>
      <c r="E7" s="1"/>
      <c r="F7" s="1"/>
      <c r="G7" s="1"/>
    </row>
    <row r="8" spans="1:7">
      <c r="A8" s="1"/>
      <c r="B8" s="1"/>
      <c r="C8" s="1"/>
      <c r="D8" s="31" t="s">
        <v>2364</v>
      </c>
      <c r="E8" s="1"/>
      <c r="F8" s="1"/>
      <c r="G8" s="1"/>
    </row>
    <row r="9" spans="1:7">
      <c r="A9" s="1"/>
      <c r="B9" s="1"/>
      <c r="C9" s="1"/>
      <c r="D9" s="32" t="s">
        <v>2365</v>
      </c>
      <c r="E9" s="1"/>
      <c r="F9" s="1"/>
      <c r="G9" s="1"/>
    </row>
    <row r="10" spans="1:7">
      <c r="A10" s="1"/>
      <c r="B10" s="1"/>
      <c r="C10" s="1"/>
      <c r="D10" s="33" t="s">
        <v>2366</v>
      </c>
      <c r="E10" s="1"/>
      <c r="F10" s="1"/>
      <c r="G10" s="1"/>
    </row>
    <row r="11" spans="1:7">
      <c r="A11" s="1"/>
      <c r="B11" s="1"/>
      <c r="C11" s="1"/>
      <c r="D11" s="32" t="s">
        <v>2367</v>
      </c>
      <c r="E11" s="1"/>
      <c r="F11" s="1"/>
      <c r="G11" s="1"/>
    </row>
    <row r="12" spans="1:7">
      <c r="A12" s="1"/>
      <c r="B12" s="1"/>
      <c r="C12" s="1"/>
      <c r="D12" s="32" t="s">
        <v>2368</v>
      </c>
      <c r="E12" s="1"/>
      <c r="F12" s="1"/>
      <c r="G12" s="1"/>
    </row>
    <row r="13" spans="1:7">
      <c r="A13" s="1"/>
      <c r="B13" s="1"/>
      <c r="C13" s="1"/>
      <c r="D13" s="1"/>
      <c r="E13" s="1"/>
      <c r="F13" s="1"/>
      <c r="G13" s="1"/>
    </row>
    <row r="14" spans="1:7" ht="15">
      <c r="A14" s="1"/>
      <c r="B14" s="30" t="s">
        <v>4</v>
      </c>
      <c r="C14" s="1"/>
      <c r="D14" s="30" t="s">
        <v>2369</v>
      </c>
      <c r="E14" s="1"/>
      <c r="F14" s="30" t="s">
        <v>2370</v>
      </c>
      <c r="G14" s="1"/>
    </row>
    <row r="15" spans="1:7">
      <c r="A15" s="1"/>
      <c r="B15" s="31" t="s">
        <v>2371</v>
      </c>
      <c r="C15" s="1"/>
      <c r="D15" s="31" t="s">
        <v>2372</v>
      </c>
      <c r="E15" s="1"/>
      <c r="F15" s="31" t="s">
        <v>2373</v>
      </c>
      <c r="G15" s="1"/>
    </row>
    <row r="16" spans="1:7">
      <c r="A16" s="1"/>
      <c r="B16" s="31" t="s">
        <v>182</v>
      </c>
      <c r="C16" s="34" t="s">
        <v>2374</v>
      </c>
      <c r="D16" s="31" t="s">
        <v>2375</v>
      </c>
      <c r="E16" s="34" t="s">
        <v>2376</v>
      </c>
      <c r="F16" s="31" t="s">
        <v>2377</v>
      </c>
      <c r="G16" s="1"/>
    </row>
    <row r="17" spans="1:7">
      <c r="A17" s="1"/>
      <c r="B17" s="31" t="s">
        <v>612</v>
      </c>
      <c r="C17" s="1"/>
      <c r="D17" s="31" t="s">
        <v>2378</v>
      </c>
      <c r="E17" s="1"/>
      <c r="F17" s="31" t="s">
        <v>618</v>
      </c>
      <c r="G17" s="1"/>
    </row>
    <row r="18" spans="1:7">
      <c r="A18" s="1"/>
      <c r="B18" s="31" t="s">
        <v>2379</v>
      </c>
      <c r="C18" s="1"/>
      <c r="D18" s="31" t="s">
        <v>2380</v>
      </c>
      <c r="E18" s="1"/>
      <c r="F18" s="31" t="s">
        <v>2381</v>
      </c>
      <c r="G18" s="1"/>
    </row>
    <row r="19" spans="1:7">
      <c r="A19" s="1"/>
      <c r="B19" s="1"/>
      <c r="C19" s="1"/>
      <c r="D19" s="31" t="s">
        <v>2382</v>
      </c>
      <c r="E19" s="1"/>
      <c r="F19" s="1"/>
      <c r="G19" s="1"/>
    </row>
    <row r="20" spans="1:7">
      <c r="A20" s="1"/>
      <c r="B20" s="1"/>
      <c r="C20" s="1"/>
      <c r="D20" s="31" t="s">
        <v>2383</v>
      </c>
      <c r="E20" s="1"/>
      <c r="F20" s="1"/>
      <c r="G20" s="1"/>
    </row>
    <row r="21" spans="1:7">
      <c r="A21" s="1"/>
      <c r="B21" s="1"/>
      <c r="C21" s="1"/>
      <c r="D21" s="1"/>
      <c r="E21" s="1"/>
      <c r="F21" s="1"/>
      <c r="G21" s="1"/>
    </row>
    <row r="22" spans="1:7">
      <c r="A22" s="1"/>
      <c r="B22" s="1"/>
      <c r="C22" s="1"/>
      <c r="D22" s="1"/>
      <c r="E22" s="1"/>
      <c r="F22" s="1"/>
      <c r="G22" s="1"/>
    </row>
    <row r="23" spans="1:7" ht="15">
      <c r="A23" s="1"/>
      <c r="B23" s="2" t="s">
        <v>2384</v>
      </c>
      <c r="C23" s="3"/>
      <c r="D23" s="3"/>
      <c r="E23" s="3"/>
      <c r="F23" s="3"/>
      <c r="G23" s="3"/>
    </row>
    <row r="24" spans="1:7">
      <c r="A24" s="1"/>
      <c r="B24" s="5" t="s">
        <v>2385</v>
      </c>
      <c r="C24" s="5" t="s">
        <v>148</v>
      </c>
      <c r="D24" s="5" t="s">
        <v>2386</v>
      </c>
      <c r="E24" s="5" t="s">
        <v>2387</v>
      </c>
      <c r="F24" s="5" t="s">
        <v>9</v>
      </c>
      <c r="G24" s="5"/>
    </row>
    <row r="25" spans="1:7" ht="29.1" customHeight="1">
      <c r="A25" s="1"/>
      <c r="B25" s="7" t="s">
        <v>2388</v>
      </c>
      <c r="C25" s="35" t="s">
        <v>2389</v>
      </c>
      <c r="D25" s="7" t="s">
        <v>2390</v>
      </c>
      <c r="E25" s="7" t="s">
        <v>2391</v>
      </c>
      <c r="F25" s="328" t="s">
        <v>2392</v>
      </c>
      <c r="G25" s="329"/>
    </row>
    <row r="26" spans="1:7" ht="29.1" customHeight="1">
      <c r="A26" s="1"/>
      <c r="B26" s="7" t="s">
        <v>2393</v>
      </c>
      <c r="C26" s="36" t="s">
        <v>2394</v>
      </c>
      <c r="D26" s="7" t="s">
        <v>2390</v>
      </c>
      <c r="E26" s="7" t="s">
        <v>2391</v>
      </c>
      <c r="F26" s="328" t="s">
        <v>2395</v>
      </c>
      <c r="G26" s="329"/>
    </row>
    <row r="27" spans="1:7" ht="29.1" customHeight="1">
      <c r="A27" s="1"/>
      <c r="B27" s="7" t="s">
        <v>2396</v>
      </c>
      <c r="C27" s="36" t="s">
        <v>2394</v>
      </c>
      <c r="D27" s="7" t="s">
        <v>2390</v>
      </c>
      <c r="E27" s="7" t="s">
        <v>2391</v>
      </c>
      <c r="F27" s="328" t="s">
        <v>2397</v>
      </c>
      <c r="G27" s="329"/>
    </row>
    <row r="28" spans="1:7" ht="29.1" customHeight="1">
      <c r="A28" s="1"/>
      <c r="B28" s="7" t="s">
        <v>2398</v>
      </c>
      <c r="C28" s="36" t="s">
        <v>2394</v>
      </c>
      <c r="D28" s="7" t="s">
        <v>2390</v>
      </c>
      <c r="E28" s="7" t="s">
        <v>2391</v>
      </c>
      <c r="F28" s="328" t="s">
        <v>2399</v>
      </c>
      <c r="G28" s="329"/>
    </row>
    <row r="29" spans="1:7" ht="29.1" customHeight="1">
      <c r="A29" s="1"/>
      <c r="B29" s="7" t="s">
        <v>2400</v>
      </c>
      <c r="C29" s="36" t="s">
        <v>2394</v>
      </c>
      <c r="D29" s="7" t="s">
        <v>2390</v>
      </c>
      <c r="E29" s="7" t="s">
        <v>2391</v>
      </c>
      <c r="F29" s="328" t="s">
        <v>2401</v>
      </c>
      <c r="G29" s="329"/>
    </row>
    <row r="30" spans="1:7" ht="29.1" customHeight="1">
      <c r="A30" s="1"/>
      <c r="B30" s="7" t="s">
        <v>2402</v>
      </c>
      <c r="C30" s="35" t="s">
        <v>2389</v>
      </c>
      <c r="D30" s="7" t="s">
        <v>2403</v>
      </c>
      <c r="E30" s="7" t="s">
        <v>2391</v>
      </c>
      <c r="F30" s="328" t="s">
        <v>2404</v>
      </c>
      <c r="G30" s="329"/>
    </row>
    <row r="31" spans="1:7" ht="29.1" customHeight="1">
      <c r="A31" s="1"/>
      <c r="B31" s="7" t="s">
        <v>2405</v>
      </c>
      <c r="C31" s="35" t="s">
        <v>2389</v>
      </c>
      <c r="D31" s="7" t="s">
        <v>2406</v>
      </c>
      <c r="E31" s="7" t="s">
        <v>2391</v>
      </c>
      <c r="F31" s="328" t="s">
        <v>2407</v>
      </c>
      <c r="G31" s="329"/>
    </row>
    <row r="32" spans="1:7">
      <c r="A32" s="1"/>
      <c r="B32" s="1"/>
      <c r="C32" s="1"/>
      <c r="D32" s="1"/>
      <c r="E32" s="1"/>
      <c r="F32" s="1"/>
      <c r="G32" s="1"/>
    </row>
    <row r="33" spans="1:7">
      <c r="A33" s="1"/>
      <c r="B33" s="320" t="s">
        <v>2408</v>
      </c>
      <c r="C33" s="321"/>
      <c r="D33" s="321"/>
      <c r="E33" s="321"/>
      <c r="F33" s="321"/>
      <c r="G33" s="321"/>
    </row>
    <row r="34" spans="1:7">
      <c r="A34" s="1"/>
      <c r="B34" s="321"/>
      <c r="C34" s="321"/>
      <c r="D34" s="321"/>
      <c r="E34" s="321"/>
      <c r="F34" s="321"/>
      <c r="G34" s="321"/>
    </row>
    <row r="35" spans="1:7">
      <c r="A35" s="1"/>
      <c r="B35" s="321"/>
      <c r="C35" s="321"/>
      <c r="D35" s="321"/>
      <c r="E35" s="321"/>
      <c r="F35" s="321"/>
      <c r="G35" s="321"/>
    </row>
    <row r="36" spans="1:7">
      <c r="A36" s="1"/>
      <c r="B36" s="1"/>
      <c r="C36" s="1"/>
      <c r="D36" s="1"/>
      <c r="E36" s="1"/>
      <c r="F36" s="1"/>
      <c r="G36" s="1"/>
    </row>
    <row r="37" spans="1:7" ht="15">
      <c r="A37" s="1"/>
      <c r="B37" s="2" t="s">
        <v>2409</v>
      </c>
      <c r="C37" s="3"/>
      <c r="D37" s="3"/>
      <c r="E37" s="3"/>
      <c r="F37" s="3"/>
      <c r="G37" s="3"/>
    </row>
    <row r="38" spans="1:7" ht="15">
      <c r="A38" s="1"/>
      <c r="B38" s="37" t="s">
        <v>8</v>
      </c>
      <c r="C38" s="333" t="s">
        <v>2410</v>
      </c>
      <c r="D38" s="321"/>
      <c r="E38" s="321"/>
      <c r="F38" s="321"/>
      <c r="G38" s="321"/>
    </row>
    <row r="39" spans="1:7">
      <c r="A39" s="1"/>
      <c r="B39" s="5" t="s">
        <v>2411</v>
      </c>
      <c r="C39" s="5" t="s">
        <v>238</v>
      </c>
      <c r="D39" s="330" t="s">
        <v>239</v>
      </c>
      <c r="E39" s="331"/>
      <c r="F39" s="331"/>
      <c r="G39" s="332"/>
    </row>
    <row r="40" spans="1:7">
      <c r="A40" s="1"/>
      <c r="B40" s="11" t="s">
        <v>2412</v>
      </c>
      <c r="C40" s="11" t="s">
        <v>2413</v>
      </c>
      <c r="D40" s="328" t="s">
        <v>2414</v>
      </c>
      <c r="E40" s="329"/>
      <c r="F40" s="329"/>
      <c r="G40" s="329"/>
    </row>
    <row r="41" spans="1:7">
      <c r="A41" s="1"/>
      <c r="B41" s="11" t="s">
        <v>181</v>
      </c>
      <c r="C41" s="11" t="s">
        <v>252</v>
      </c>
      <c r="D41" s="328" t="s">
        <v>2415</v>
      </c>
      <c r="E41" s="329"/>
      <c r="F41" s="329"/>
      <c r="G41" s="329"/>
    </row>
    <row r="42" spans="1:7">
      <c r="A42" s="1"/>
      <c r="B42" s="11" t="s">
        <v>193</v>
      </c>
      <c r="C42" s="11" t="s">
        <v>2413</v>
      </c>
      <c r="D42" s="328" t="s">
        <v>2416</v>
      </c>
      <c r="E42" s="329"/>
      <c r="F42" s="329"/>
      <c r="G42" s="329"/>
    </row>
    <row r="43" spans="1:7">
      <c r="A43" s="1"/>
      <c r="B43" s="11" t="s">
        <v>2417</v>
      </c>
      <c r="C43" s="11" t="s">
        <v>129</v>
      </c>
      <c r="D43" s="328" t="s">
        <v>2418</v>
      </c>
      <c r="E43" s="329"/>
      <c r="F43" s="329"/>
      <c r="G43" s="329"/>
    </row>
    <row r="44" spans="1:7">
      <c r="A44" s="1"/>
      <c r="B44" s="11" t="s">
        <v>2419</v>
      </c>
      <c r="C44" s="11" t="s">
        <v>252</v>
      </c>
      <c r="D44" s="328" t="s">
        <v>2420</v>
      </c>
      <c r="E44" s="329"/>
      <c r="F44" s="329"/>
      <c r="G44" s="329"/>
    </row>
    <row r="45" spans="1:7">
      <c r="A45" s="1"/>
      <c r="B45" s="11" t="s">
        <v>2421</v>
      </c>
      <c r="C45" s="11" t="s">
        <v>252</v>
      </c>
      <c r="D45" s="328" t="s">
        <v>2422</v>
      </c>
      <c r="E45" s="329"/>
      <c r="F45" s="329"/>
      <c r="G45" s="329"/>
    </row>
    <row r="46" spans="1:7">
      <c r="A46" s="1"/>
      <c r="B46" s="11" t="s">
        <v>2423</v>
      </c>
      <c r="C46" s="11" t="s">
        <v>2413</v>
      </c>
      <c r="D46" s="328" t="s">
        <v>2424</v>
      </c>
      <c r="E46" s="329"/>
      <c r="F46" s="329"/>
      <c r="G46" s="329"/>
    </row>
    <row r="47" spans="1:7">
      <c r="A47" s="1"/>
      <c r="B47" s="11" t="s">
        <v>194</v>
      </c>
      <c r="C47" s="11" t="s">
        <v>252</v>
      </c>
      <c r="D47" s="328" t="s">
        <v>2425</v>
      </c>
      <c r="E47" s="329"/>
      <c r="F47" s="329"/>
      <c r="G47" s="329"/>
    </row>
    <row r="48" spans="1:7" ht="29.1" customHeight="1">
      <c r="A48" s="1"/>
      <c r="B48" s="11" t="s">
        <v>121</v>
      </c>
      <c r="C48" s="11" t="s">
        <v>252</v>
      </c>
      <c r="D48" s="328" t="s">
        <v>2426</v>
      </c>
      <c r="E48" s="329"/>
      <c r="F48" s="329"/>
      <c r="G48" s="329"/>
    </row>
    <row r="49" spans="1:7">
      <c r="A49" s="1"/>
      <c r="B49" s="11" t="s">
        <v>123</v>
      </c>
      <c r="C49" s="11" t="s">
        <v>129</v>
      </c>
      <c r="D49" s="328" t="s">
        <v>2427</v>
      </c>
      <c r="E49" s="329"/>
      <c r="F49" s="329"/>
      <c r="G49" s="329"/>
    </row>
    <row r="50" spans="1:7">
      <c r="A50" s="1"/>
      <c r="B50" s="11" t="s">
        <v>124</v>
      </c>
      <c r="C50" s="11" t="s">
        <v>129</v>
      </c>
      <c r="D50" s="328" t="s">
        <v>2428</v>
      </c>
      <c r="E50" s="329"/>
      <c r="F50" s="329"/>
      <c r="G50" s="329"/>
    </row>
    <row r="51" spans="1:7">
      <c r="A51" s="1"/>
      <c r="B51" s="11" t="s">
        <v>126</v>
      </c>
      <c r="C51" s="11" t="s">
        <v>129</v>
      </c>
      <c r="D51" s="328" t="s">
        <v>2429</v>
      </c>
      <c r="E51" s="329"/>
      <c r="F51" s="329"/>
      <c r="G51" s="329"/>
    </row>
    <row r="52" spans="1:7">
      <c r="A52" s="1"/>
      <c r="B52" s="11" t="s">
        <v>125</v>
      </c>
      <c r="C52" s="11" t="s">
        <v>129</v>
      </c>
      <c r="D52" s="328" t="s">
        <v>2430</v>
      </c>
      <c r="E52" s="329"/>
      <c r="F52" s="329"/>
      <c r="G52" s="329"/>
    </row>
    <row r="53" spans="1:7">
      <c r="A53" s="1"/>
      <c r="B53" s="11" t="s">
        <v>326</v>
      </c>
      <c r="C53" s="11" t="s">
        <v>252</v>
      </c>
      <c r="D53" s="328" t="s">
        <v>2431</v>
      </c>
      <c r="E53" s="329"/>
      <c r="F53" s="329"/>
      <c r="G53" s="329"/>
    </row>
    <row r="54" spans="1:7">
      <c r="A54" s="1"/>
      <c r="B54" s="11" t="s">
        <v>346</v>
      </c>
      <c r="C54" s="11" t="s">
        <v>252</v>
      </c>
      <c r="D54" s="328" t="s">
        <v>2432</v>
      </c>
      <c r="E54" s="329"/>
      <c r="F54" s="329"/>
      <c r="G54" s="329"/>
    </row>
    <row r="55" spans="1:7">
      <c r="A55" s="1"/>
      <c r="B55" s="11" t="s">
        <v>117</v>
      </c>
      <c r="C55" s="11" t="s">
        <v>2433</v>
      </c>
      <c r="D55" s="328" t="s">
        <v>2434</v>
      </c>
      <c r="E55" s="329"/>
      <c r="F55" s="329"/>
      <c r="G55" s="329"/>
    </row>
    <row r="56" spans="1:7">
      <c r="A56" s="1"/>
      <c r="B56" s="11" t="s">
        <v>127</v>
      </c>
      <c r="C56" s="11" t="s">
        <v>252</v>
      </c>
      <c r="D56" s="328" t="s">
        <v>2435</v>
      </c>
      <c r="E56" s="329"/>
      <c r="F56" s="329"/>
      <c r="G56" s="329"/>
    </row>
    <row r="57" spans="1:7">
      <c r="A57" s="1"/>
      <c r="B57" s="11" t="s">
        <v>118</v>
      </c>
      <c r="C57" s="11" t="s">
        <v>2433</v>
      </c>
      <c r="D57" s="328" t="s">
        <v>2436</v>
      </c>
      <c r="E57" s="329"/>
      <c r="F57" s="329"/>
      <c r="G57" s="329"/>
    </row>
    <row r="58" spans="1:7">
      <c r="A58" s="1"/>
      <c r="B58" s="11" t="s">
        <v>401</v>
      </c>
      <c r="C58" s="11" t="s">
        <v>252</v>
      </c>
      <c r="D58" s="328" t="s">
        <v>2437</v>
      </c>
      <c r="E58" s="329"/>
      <c r="F58" s="329"/>
      <c r="G58" s="329"/>
    </row>
    <row r="59" spans="1:7">
      <c r="A59" s="1"/>
      <c r="B59" s="11" t="s">
        <v>404</v>
      </c>
      <c r="C59" s="11" t="s">
        <v>252</v>
      </c>
      <c r="D59" s="328" t="s">
        <v>2438</v>
      </c>
      <c r="E59" s="329"/>
      <c r="F59" s="329"/>
      <c r="G59" s="329"/>
    </row>
    <row r="60" spans="1:7">
      <c r="A60" s="1"/>
      <c r="B60" s="11" t="s">
        <v>410</v>
      </c>
      <c r="C60" s="11" t="s">
        <v>252</v>
      </c>
      <c r="D60" s="328" t="s">
        <v>2439</v>
      </c>
      <c r="E60" s="329"/>
      <c r="F60" s="329"/>
      <c r="G60" s="329"/>
    </row>
    <row r="61" spans="1:7">
      <c r="A61" s="1"/>
      <c r="B61" s="11" t="s">
        <v>122</v>
      </c>
      <c r="C61" s="11" t="s">
        <v>2413</v>
      </c>
      <c r="D61" s="328" t="s">
        <v>2440</v>
      </c>
      <c r="E61" s="329"/>
      <c r="F61" s="329"/>
      <c r="G61" s="329"/>
    </row>
    <row r="62" spans="1:7">
      <c r="A62" s="1"/>
      <c r="B62" s="11" t="s">
        <v>472</v>
      </c>
      <c r="C62" s="11" t="s">
        <v>252</v>
      </c>
      <c r="D62" s="328" t="s">
        <v>2441</v>
      </c>
      <c r="E62" s="329"/>
      <c r="F62" s="329"/>
      <c r="G62" s="329"/>
    </row>
    <row r="63" spans="1:7">
      <c r="A63" s="1"/>
      <c r="B63" s="11" t="s">
        <v>499</v>
      </c>
      <c r="C63" s="11" t="s">
        <v>252</v>
      </c>
      <c r="D63" s="328" t="s">
        <v>2442</v>
      </c>
      <c r="E63" s="329"/>
      <c r="F63" s="329"/>
      <c r="G63" s="329"/>
    </row>
    <row r="64" spans="1:7">
      <c r="A64" s="1"/>
      <c r="B64" s="11" t="s">
        <v>510</v>
      </c>
      <c r="C64" s="11" t="s">
        <v>252</v>
      </c>
      <c r="D64" s="328" t="s">
        <v>2443</v>
      </c>
      <c r="E64" s="329"/>
      <c r="F64" s="329"/>
      <c r="G64" s="329"/>
    </row>
    <row r="65" spans="1:7">
      <c r="A65" s="1"/>
      <c r="B65" s="11" t="s">
        <v>546</v>
      </c>
      <c r="C65" s="11" t="s">
        <v>252</v>
      </c>
      <c r="D65" s="328" t="s">
        <v>2444</v>
      </c>
      <c r="E65" s="329"/>
      <c r="F65" s="329"/>
      <c r="G65" s="329"/>
    </row>
    <row r="66" spans="1:7">
      <c r="A66" s="1"/>
      <c r="B66" s="11" t="s">
        <v>564</v>
      </c>
      <c r="C66" s="11" t="s">
        <v>252</v>
      </c>
      <c r="D66" s="328" t="s">
        <v>2445</v>
      </c>
      <c r="E66" s="329"/>
      <c r="F66" s="329"/>
      <c r="G66" s="329"/>
    </row>
    <row r="67" spans="1:7">
      <c r="A67" s="1"/>
      <c r="B67" s="11" t="s">
        <v>2446</v>
      </c>
      <c r="C67" s="11" t="s">
        <v>252</v>
      </c>
      <c r="D67" s="328" t="s">
        <v>2447</v>
      </c>
      <c r="E67" s="329"/>
      <c r="F67" s="329"/>
      <c r="G67" s="329"/>
    </row>
    <row r="68" spans="1:7">
      <c r="A68" s="1"/>
      <c r="B68" s="11" t="s">
        <v>2448</v>
      </c>
      <c r="C68" s="11" t="s">
        <v>252</v>
      </c>
      <c r="D68" s="328" t="s">
        <v>2449</v>
      </c>
      <c r="E68" s="329"/>
      <c r="F68" s="329"/>
      <c r="G68" s="329"/>
    </row>
    <row r="69" spans="1:7">
      <c r="A69" s="1"/>
      <c r="B69" s="11" t="s">
        <v>2450</v>
      </c>
      <c r="C69" s="11" t="s">
        <v>252</v>
      </c>
      <c r="D69" s="328" t="s">
        <v>2451</v>
      </c>
      <c r="E69" s="329"/>
      <c r="F69" s="329"/>
      <c r="G69" s="329"/>
    </row>
    <row r="70" spans="1:7">
      <c r="A70" s="1"/>
      <c r="B70" s="11" t="s">
        <v>618</v>
      </c>
      <c r="C70" s="11" t="s">
        <v>2452</v>
      </c>
      <c r="D70" s="328" t="s">
        <v>2453</v>
      </c>
      <c r="E70" s="329"/>
      <c r="F70" s="329"/>
      <c r="G70" s="329"/>
    </row>
    <row r="71" spans="1:7">
      <c r="A71" s="1"/>
      <c r="B71" s="11" t="s">
        <v>2454</v>
      </c>
      <c r="C71" s="11" t="s">
        <v>2433</v>
      </c>
      <c r="D71" s="328" t="s">
        <v>2455</v>
      </c>
      <c r="E71" s="329"/>
      <c r="F71" s="329"/>
      <c r="G71" s="329"/>
    </row>
    <row r="72" spans="1:7">
      <c r="A72" s="1"/>
      <c r="B72" s="11" t="s">
        <v>2456</v>
      </c>
      <c r="C72" s="11" t="s">
        <v>2433</v>
      </c>
      <c r="D72" s="328" t="s">
        <v>2457</v>
      </c>
      <c r="E72" s="329"/>
      <c r="F72" s="329"/>
      <c r="G72" s="329"/>
    </row>
    <row r="73" spans="1:7">
      <c r="A73" s="1"/>
      <c r="B73" s="11" t="s">
        <v>2458</v>
      </c>
      <c r="C73" s="11" t="s">
        <v>2413</v>
      </c>
      <c r="D73" s="328" t="s">
        <v>2459</v>
      </c>
      <c r="E73" s="329"/>
      <c r="F73" s="329"/>
      <c r="G73" s="329"/>
    </row>
    <row r="74" spans="1:7">
      <c r="A74" s="1"/>
      <c r="B74" s="11" t="s">
        <v>2460</v>
      </c>
      <c r="C74" s="11" t="s">
        <v>2413</v>
      </c>
      <c r="D74" s="328" t="s">
        <v>2461</v>
      </c>
      <c r="E74" s="329"/>
      <c r="F74" s="329"/>
      <c r="G74" s="329"/>
    </row>
    <row r="75" spans="1:7">
      <c r="A75" s="1"/>
      <c r="B75" s="11" t="s">
        <v>2462</v>
      </c>
      <c r="C75" s="11" t="s">
        <v>2413</v>
      </c>
      <c r="D75" s="328" t="s">
        <v>2463</v>
      </c>
      <c r="E75" s="329"/>
      <c r="F75" s="329"/>
      <c r="G75" s="329"/>
    </row>
    <row r="76" spans="1:7">
      <c r="A76" s="1"/>
      <c r="B76" s="11" t="s">
        <v>2464</v>
      </c>
      <c r="C76" s="11" t="s">
        <v>252</v>
      </c>
      <c r="D76" s="328" t="s">
        <v>2465</v>
      </c>
      <c r="E76" s="329"/>
      <c r="F76" s="329"/>
      <c r="G76" s="329"/>
    </row>
    <row r="77" spans="1:7">
      <c r="A77" s="1"/>
      <c r="B77" s="11" t="s">
        <v>2466</v>
      </c>
      <c r="C77" s="11" t="s">
        <v>2413</v>
      </c>
      <c r="D77" s="328" t="s">
        <v>2467</v>
      </c>
      <c r="E77" s="329"/>
      <c r="F77" s="329"/>
      <c r="G77" s="329"/>
    </row>
    <row r="78" spans="1:7">
      <c r="A78" s="1"/>
      <c r="B78" s="11" t="s">
        <v>2468</v>
      </c>
      <c r="C78" s="11" t="s">
        <v>252</v>
      </c>
      <c r="D78" s="328" t="s">
        <v>2469</v>
      </c>
      <c r="E78" s="329"/>
      <c r="F78" s="329"/>
      <c r="G78" s="329"/>
    </row>
    <row r="79" spans="1:7">
      <c r="A79" s="1"/>
      <c r="B79" s="11" t="s">
        <v>2470</v>
      </c>
      <c r="C79" s="11" t="s">
        <v>2413</v>
      </c>
      <c r="D79" s="328" t="s">
        <v>2471</v>
      </c>
      <c r="E79" s="329"/>
      <c r="F79" s="329"/>
      <c r="G79" s="329"/>
    </row>
    <row r="80" spans="1:7">
      <c r="A80" s="1"/>
      <c r="B80" s="11" t="s">
        <v>2472</v>
      </c>
      <c r="C80" s="11" t="s">
        <v>2413</v>
      </c>
      <c r="D80" s="328" t="s">
        <v>2473</v>
      </c>
      <c r="E80" s="329"/>
      <c r="F80" s="329"/>
      <c r="G80" s="329"/>
    </row>
    <row r="81" spans="1:7" ht="51">
      <c r="A81" s="1"/>
      <c r="B81" s="82" t="s">
        <v>3186</v>
      </c>
      <c r="C81" s="82" t="s">
        <v>252</v>
      </c>
      <c r="D81" s="4" t="s">
        <v>3358</v>
      </c>
      <c r="E81" s="1"/>
      <c r="F81" s="1"/>
      <c r="G81" s="1"/>
    </row>
    <row r="82" spans="1:7">
      <c r="A82" s="1"/>
      <c r="B82" s="82" t="s">
        <v>3187</v>
      </c>
      <c r="C82" s="82" t="s">
        <v>2413</v>
      </c>
      <c r="D82" s="4" t="s">
        <v>3359</v>
      </c>
      <c r="E82" s="1"/>
      <c r="F82" s="1"/>
      <c r="G82" s="1"/>
    </row>
    <row r="83" spans="1:7" ht="25.5">
      <c r="A83" s="1"/>
      <c r="B83" s="82" t="s">
        <v>3188</v>
      </c>
      <c r="C83" s="82" t="s">
        <v>2413</v>
      </c>
      <c r="D83" s="4" t="s">
        <v>3360</v>
      </c>
      <c r="E83" s="1"/>
      <c r="F83" s="1"/>
      <c r="G83" s="1"/>
    </row>
    <row r="84" spans="1:7">
      <c r="A84" s="1"/>
      <c r="B84" s="1"/>
      <c r="C84" s="1"/>
      <c r="D84" s="1"/>
      <c r="E84" s="1"/>
      <c r="F84" s="1"/>
      <c r="G84" s="1"/>
    </row>
    <row r="85" spans="1:7" ht="15">
      <c r="A85" s="1"/>
      <c r="B85" s="37" t="s">
        <v>2360</v>
      </c>
      <c r="C85" s="333" t="s">
        <v>2474</v>
      </c>
      <c r="D85" s="321"/>
      <c r="E85" s="321"/>
      <c r="F85" s="321"/>
      <c r="G85" s="321"/>
    </row>
    <row r="86" spans="1:7">
      <c r="A86" s="1"/>
      <c r="B86" s="5" t="s">
        <v>2411</v>
      </c>
      <c r="C86" s="5" t="s">
        <v>238</v>
      </c>
      <c r="D86" s="330" t="s">
        <v>239</v>
      </c>
      <c r="E86" s="331"/>
      <c r="F86" s="331"/>
      <c r="G86" s="332"/>
    </row>
    <row r="87" spans="1:7">
      <c r="A87" s="1"/>
      <c r="B87" s="11" t="s">
        <v>129</v>
      </c>
      <c r="C87" s="11" t="s">
        <v>129</v>
      </c>
      <c r="D87" s="328" t="s">
        <v>2475</v>
      </c>
      <c r="E87" s="329"/>
      <c r="F87" s="329"/>
      <c r="G87" s="329"/>
    </row>
    <row r="88" spans="1:7">
      <c r="A88" s="1"/>
      <c r="B88" s="11" t="s">
        <v>2476</v>
      </c>
      <c r="C88" s="11" t="s">
        <v>2413</v>
      </c>
      <c r="D88" s="328"/>
      <c r="E88" s="329"/>
      <c r="F88" s="329"/>
      <c r="G88" s="329"/>
    </row>
    <row r="89" spans="1:7">
      <c r="A89" s="1"/>
      <c r="B89" s="11" t="s">
        <v>2477</v>
      </c>
      <c r="C89" s="11" t="s">
        <v>2413</v>
      </c>
      <c r="D89" s="328"/>
      <c r="E89" s="329"/>
      <c r="F89" s="329"/>
      <c r="G89" s="329"/>
    </row>
    <row r="90" spans="1:7">
      <c r="A90" s="1"/>
      <c r="B90" s="11" t="s">
        <v>193</v>
      </c>
      <c r="C90" s="11" t="s">
        <v>2413</v>
      </c>
      <c r="D90" s="328" t="s">
        <v>2478</v>
      </c>
      <c r="E90" s="329"/>
      <c r="F90" s="329"/>
      <c r="G90" s="329"/>
    </row>
    <row r="91" spans="1:7">
      <c r="A91" s="1"/>
      <c r="B91" s="11" t="s">
        <v>2479</v>
      </c>
      <c r="C91" s="11" t="s">
        <v>252</v>
      </c>
      <c r="D91" s="328" t="s">
        <v>2480</v>
      </c>
      <c r="E91" s="329"/>
      <c r="F91" s="329"/>
      <c r="G91" s="329"/>
    </row>
    <row r="92" spans="1:7">
      <c r="A92" s="1"/>
      <c r="B92" s="11" t="s">
        <v>2481</v>
      </c>
      <c r="C92" s="11" t="s">
        <v>252</v>
      </c>
      <c r="D92" s="328" t="s">
        <v>2482</v>
      </c>
      <c r="E92" s="329"/>
      <c r="F92" s="329"/>
      <c r="G92" s="329"/>
    </row>
    <row r="93" spans="1:7">
      <c r="A93" s="1"/>
      <c r="B93" s="11" t="s">
        <v>2483</v>
      </c>
      <c r="C93" s="11" t="s">
        <v>252</v>
      </c>
      <c r="D93" s="328" t="s">
        <v>2484</v>
      </c>
      <c r="E93" s="329"/>
      <c r="F93" s="329"/>
      <c r="G93" s="329"/>
    </row>
    <row r="94" spans="1:7">
      <c r="A94" s="1"/>
      <c r="B94" s="11" t="s">
        <v>2485</v>
      </c>
      <c r="C94" s="11" t="s">
        <v>129</v>
      </c>
      <c r="D94" s="328"/>
      <c r="E94" s="329"/>
      <c r="F94" s="329"/>
      <c r="G94" s="329"/>
    </row>
    <row r="95" spans="1:7">
      <c r="A95" s="1"/>
      <c r="B95" s="11" t="s">
        <v>2486</v>
      </c>
      <c r="C95" s="11" t="s">
        <v>129</v>
      </c>
      <c r="D95" s="328"/>
      <c r="E95" s="329"/>
      <c r="F95" s="329"/>
      <c r="G95" s="329"/>
    </row>
    <row r="96" spans="1:7">
      <c r="A96" s="1"/>
      <c r="B96" s="11" t="s">
        <v>2487</v>
      </c>
      <c r="C96" s="11" t="s">
        <v>2413</v>
      </c>
      <c r="D96" s="328" t="s">
        <v>2488</v>
      </c>
      <c r="E96" s="329"/>
      <c r="F96" s="329"/>
      <c r="G96" s="329"/>
    </row>
    <row r="97" spans="1:7">
      <c r="A97" s="1"/>
      <c r="B97" s="11" t="s">
        <v>2489</v>
      </c>
      <c r="C97" s="11" t="s">
        <v>252</v>
      </c>
      <c r="D97" s="328" t="s">
        <v>2490</v>
      </c>
      <c r="E97" s="329"/>
      <c r="F97" s="329"/>
      <c r="G97" s="329"/>
    </row>
    <row r="98" spans="1:7">
      <c r="A98" s="1"/>
      <c r="B98" s="1"/>
      <c r="C98" s="1"/>
      <c r="D98" s="1"/>
      <c r="E98" s="1"/>
      <c r="F98" s="1"/>
      <c r="G98" s="1"/>
    </row>
    <row r="99" spans="1:7" ht="15">
      <c r="A99" s="1"/>
      <c r="B99" s="37" t="s">
        <v>4</v>
      </c>
      <c r="C99" s="333" t="s">
        <v>2491</v>
      </c>
      <c r="D99" s="321"/>
      <c r="E99" s="321"/>
      <c r="F99" s="321"/>
      <c r="G99" s="321"/>
    </row>
    <row r="100" spans="1:7">
      <c r="A100" s="1"/>
      <c r="B100" s="5" t="s">
        <v>2411</v>
      </c>
      <c r="C100" s="5" t="s">
        <v>238</v>
      </c>
      <c r="D100" s="330" t="s">
        <v>239</v>
      </c>
      <c r="E100" s="331"/>
      <c r="F100" s="331"/>
      <c r="G100" s="332"/>
    </row>
    <row r="101" spans="1:7">
      <c r="A101" s="1"/>
      <c r="B101" s="11" t="s">
        <v>181</v>
      </c>
      <c r="C101" s="11" t="s">
        <v>252</v>
      </c>
      <c r="D101" s="328" t="s">
        <v>2492</v>
      </c>
      <c r="E101" s="329"/>
      <c r="F101" s="329"/>
      <c r="G101" s="329"/>
    </row>
    <row r="102" spans="1:7">
      <c r="A102" s="1"/>
      <c r="B102" s="11" t="s">
        <v>182</v>
      </c>
      <c r="C102" s="11" t="s">
        <v>252</v>
      </c>
      <c r="D102" s="328"/>
      <c r="E102" s="329"/>
      <c r="F102" s="329"/>
      <c r="G102" s="329"/>
    </row>
    <row r="103" spans="1:7">
      <c r="A103" s="1"/>
      <c r="B103" s="11" t="s">
        <v>612</v>
      </c>
      <c r="C103" s="11" t="s">
        <v>252</v>
      </c>
      <c r="D103" s="328" t="s">
        <v>2493</v>
      </c>
      <c r="E103" s="329"/>
      <c r="F103" s="329"/>
      <c r="G103" s="329"/>
    </row>
    <row r="104" spans="1:7">
      <c r="A104" s="1"/>
      <c r="B104" s="11" t="s">
        <v>2379</v>
      </c>
      <c r="C104" s="11" t="s">
        <v>252</v>
      </c>
      <c r="D104" s="328" t="s">
        <v>2494</v>
      </c>
      <c r="E104" s="329"/>
      <c r="F104" s="329"/>
      <c r="G104" s="329"/>
    </row>
    <row r="105" spans="1:7">
      <c r="A105" s="1"/>
      <c r="B105" s="1"/>
      <c r="C105" s="1"/>
      <c r="D105" s="1"/>
      <c r="E105" s="1"/>
      <c r="F105" s="1"/>
      <c r="G105" s="1"/>
    </row>
    <row r="106" spans="1:7" ht="15">
      <c r="A106" s="1"/>
      <c r="B106" s="37" t="s">
        <v>2370</v>
      </c>
      <c r="C106" s="333" t="s">
        <v>3361</v>
      </c>
      <c r="D106" s="321"/>
      <c r="E106" s="321"/>
      <c r="F106" s="321"/>
      <c r="G106" s="321"/>
    </row>
    <row r="107" spans="1:7">
      <c r="A107" s="1"/>
      <c r="B107" s="5" t="s">
        <v>2411</v>
      </c>
      <c r="C107" s="5" t="s">
        <v>238</v>
      </c>
      <c r="D107" s="330" t="s">
        <v>239</v>
      </c>
      <c r="E107" s="331"/>
      <c r="F107" s="331"/>
      <c r="G107" s="332"/>
    </row>
    <row r="108" spans="1:7">
      <c r="A108" s="1"/>
      <c r="B108" s="11" t="s">
        <v>2450</v>
      </c>
      <c r="C108" s="11" t="s">
        <v>252</v>
      </c>
      <c r="D108" s="328" t="s">
        <v>2495</v>
      </c>
      <c r="E108" s="329"/>
      <c r="F108" s="329"/>
      <c r="G108" s="329"/>
    </row>
    <row r="109" spans="1:7">
      <c r="A109" s="1"/>
      <c r="B109" s="11" t="s">
        <v>127</v>
      </c>
      <c r="C109" s="11" t="s">
        <v>252</v>
      </c>
      <c r="D109" s="328"/>
      <c r="E109" s="329"/>
      <c r="F109" s="329"/>
      <c r="G109" s="329"/>
    </row>
    <row r="110" spans="1:7">
      <c r="A110" s="1"/>
      <c r="B110" s="11" t="s">
        <v>617</v>
      </c>
      <c r="C110" s="11" t="s">
        <v>129</v>
      </c>
      <c r="D110" s="328" t="s">
        <v>2496</v>
      </c>
      <c r="E110" s="329"/>
      <c r="F110" s="329"/>
      <c r="G110" s="329"/>
    </row>
    <row r="111" spans="1:7">
      <c r="A111" s="1"/>
      <c r="B111" s="11" t="s">
        <v>618</v>
      </c>
      <c r="C111" s="11" t="s">
        <v>2452</v>
      </c>
      <c r="D111" s="328" t="s">
        <v>2497</v>
      </c>
      <c r="E111" s="329"/>
      <c r="F111" s="329"/>
      <c r="G111" s="329"/>
    </row>
    <row r="112" spans="1:7">
      <c r="A112" s="1"/>
      <c r="B112" s="11" t="s">
        <v>2498</v>
      </c>
      <c r="C112" s="11" t="s">
        <v>129</v>
      </c>
      <c r="D112" s="328" t="s">
        <v>2499</v>
      </c>
      <c r="E112" s="329"/>
      <c r="F112" s="329"/>
      <c r="G112" s="329"/>
    </row>
    <row r="113" spans="1:7">
      <c r="A113" s="1"/>
      <c r="B113" s="11" t="s">
        <v>2500</v>
      </c>
      <c r="C113" s="11" t="s">
        <v>2413</v>
      </c>
      <c r="D113" s="328" t="s">
        <v>2501</v>
      </c>
      <c r="E113" s="329"/>
      <c r="F113" s="329"/>
      <c r="G113" s="329"/>
    </row>
  </sheetData>
  <sheetProtection algorithmName="SHA-512" hashValue="55wxVPxuDN8ashCOK6eiBBPdtUW8PGnFAIqJPl6wHBWEWvMZ3kTg6cVp/sSCOjOkqYKD49B2yC096u3+VryDVA==" saltValue="ZdcM4+YWrR5sOluS3ZUF8g==" spinCount="100000" sheet="1" scenarios="1" formatColumns="0" sort="0" autoFilter="0"/>
  <mergeCells count="78">
    <mergeCell ref="F29:G29"/>
    <mergeCell ref="F25:G25"/>
    <mergeCell ref="D74:G74"/>
    <mergeCell ref="D68:G68"/>
    <mergeCell ref="D55:G55"/>
    <mergeCell ref="B33:G35"/>
    <mergeCell ref="D45:G45"/>
    <mergeCell ref="D48:G48"/>
    <mergeCell ref="D56:G56"/>
    <mergeCell ref="D58:G58"/>
    <mergeCell ref="D64:G64"/>
    <mergeCell ref="F30:G30"/>
    <mergeCell ref="F31:G31"/>
    <mergeCell ref="F28:G28"/>
    <mergeCell ref="C38:G38"/>
    <mergeCell ref="D39:G39"/>
    <mergeCell ref="D113:G113"/>
    <mergeCell ref="D59:G59"/>
    <mergeCell ref="D60:G60"/>
    <mergeCell ref="D103:G103"/>
    <mergeCell ref="D112:G112"/>
    <mergeCell ref="D87:G87"/>
    <mergeCell ref="D77:G77"/>
    <mergeCell ref="D111:G111"/>
    <mergeCell ref="D89:G89"/>
    <mergeCell ref="D70:G70"/>
    <mergeCell ref="D100:G100"/>
    <mergeCell ref="D72:G72"/>
    <mergeCell ref="D78:G78"/>
    <mergeCell ref="D90:G90"/>
    <mergeCell ref="D62:G62"/>
    <mergeCell ref="D71:G71"/>
    <mergeCell ref="D101:G101"/>
    <mergeCell ref="D73:G73"/>
    <mergeCell ref="D42:G42"/>
    <mergeCell ref="D51:G51"/>
    <mergeCell ref="D91:G91"/>
    <mergeCell ref="D61:G61"/>
    <mergeCell ref="D75:G75"/>
    <mergeCell ref="D53:G53"/>
    <mergeCell ref="D47:G47"/>
    <mergeCell ref="D92:G92"/>
    <mergeCell ref="D79:G79"/>
    <mergeCell ref="D63:G63"/>
    <mergeCell ref="D65:G65"/>
    <mergeCell ref="D69:G69"/>
    <mergeCell ref="D108:G108"/>
    <mergeCell ref="D52:G52"/>
    <mergeCell ref="D49:G49"/>
    <mergeCell ref="D76:G76"/>
    <mergeCell ref="D110:G110"/>
    <mergeCell ref="D94:G94"/>
    <mergeCell ref="D66:G66"/>
    <mergeCell ref="D109:G109"/>
    <mergeCell ref="C99:G99"/>
    <mergeCell ref="D96:G96"/>
    <mergeCell ref="D86:G86"/>
    <mergeCell ref="D95:G95"/>
    <mergeCell ref="D67:G67"/>
    <mergeCell ref="D88:G88"/>
    <mergeCell ref="D54:G54"/>
    <mergeCell ref="D97:G97"/>
    <mergeCell ref="F26:G26"/>
    <mergeCell ref="D46:G46"/>
    <mergeCell ref="D40:G40"/>
    <mergeCell ref="D80:G80"/>
    <mergeCell ref="D107:G107"/>
    <mergeCell ref="D57:G57"/>
    <mergeCell ref="F27:G27"/>
    <mergeCell ref="D41:G41"/>
    <mergeCell ref="C85:G85"/>
    <mergeCell ref="D43:G43"/>
    <mergeCell ref="C106:G106"/>
    <mergeCell ref="D50:G50"/>
    <mergeCell ref="D44:G44"/>
    <mergeCell ref="D93:G93"/>
    <mergeCell ref="D102:G102"/>
    <mergeCell ref="D104:G104"/>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7030A0"/>
  </sheetPr>
  <dimension ref="A1:H28"/>
  <sheetViews>
    <sheetView showGridLines="0" workbookViewId="0">
      <pane xSplit="2" ySplit="5" topLeftCell="C6" activePane="bottomRight" state="frozen"/>
      <selection pane="topRight"/>
      <selection pane="bottomLeft"/>
      <selection pane="bottomRight"/>
    </sheetView>
  </sheetViews>
  <sheetFormatPr defaultRowHeight="12.75"/>
  <cols>
    <col min="1" max="1" width="4" customWidth="1"/>
    <col min="2" max="2" width="34" customWidth="1"/>
    <col min="3" max="3" width="13" customWidth="1"/>
    <col min="4" max="5" width="70" customWidth="1"/>
    <col min="6" max="6" width="16" customWidth="1"/>
    <col min="7" max="7" width="58" customWidth="1"/>
    <col min="8" max="8" width="22" customWidth="1"/>
  </cols>
  <sheetData>
    <row r="1" spans="1:8" ht="20.25">
      <c r="A1" s="9" t="s">
        <v>2502</v>
      </c>
      <c r="B1" s="1"/>
      <c r="C1" s="1"/>
      <c r="D1" s="1"/>
      <c r="E1" s="1"/>
      <c r="F1" s="1"/>
      <c r="G1" s="1"/>
      <c r="H1" s="1"/>
    </row>
    <row r="2" spans="1:8">
      <c r="A2" s="10" t="s">
        <v>2503</v>
      </c>
      <c r="B2" s="1"/>
      <c r="C2" s="1"/>
      <c r="D2" s="1"/>
      <c r="E2" s="1"/>
      <c r="F2" s="1"/>
      <c r="G2" s="1"/>
      <c r="H2" s="1"/>
    </row>
    <row r="3" spans="1:8">
      <c r="A3" s="1"/>
      <c r="B3" s="1"/>
      <c r="C3" s="1"/>
      <c r="D3" s="1"/>
      <c r="E3" s="1"/>
      <c r="F3" s="1"/>
      <c r="G3" s="1"/>
      <c r="H3" s="1"/>
    </row>
    <row r="4" spans="1:8">
      <c r="A4" s="1"/>
      <c r="B4" s="1"/>
      <c r="C4" s="1"/>
      <c r="D4" s="1"/>
      <c r="E4" s="1"/>
      <c r="F4" s="1"/>
      <c r="G4" s="1"/>
      <c r="H4" s="1"/>
    </row>
    <row r="5" spans="1:8">
      <c r="A5" s="5" t="s">
        <v>20</v>
      </c>
      <c r="B5" s="5" t="s">
        <v>2504</v>
      </c>
      <c r="C5" s="5" t="s">
        <v>2505</v>
      </c>
      <c r="D5" s="5" t="s">
        <v>2506</v>
      </c>
      <c r="E5" s="5" t="s">
        <v>2507</v>
      </c>
      <c r="F5" s="5" t="s">
        <v>2508</v>
      </c>
      <c r="G5" s="5" t="s">
        <v>2509</v>
      </c>
      <c r="H5" s="5" t="s">
        <v>2510</v>
      </c>
    </row>
    <row r="6" spans="1:8" ht="42" customHeight="1">
      <c r="A6" s="11">
        <v>1</v>
      </c>
      <c r="B6" s="6" t="s">
        <v>205</v>
      </c>
      <c r="C6" s="7" t="s">
        <v>8</v>
      </c>
      <c r="D6" s="7" t="s">
        <v>2511</v>
      </c>
      <c r="E6" s="7" t="s">
        <v>2511</v>
      </c>
      <c r="F6" s="7" t="s">
        <v>2512</v>
      </c>
      <c r="G6" s="7" t="s">
        <v>2513</v>
      </c>
      <c r="H6" s="7" t="s">
        <v>2514</v>
      </c>
    </row>
    <row r="7" spans="1:8" ht="29.1" customHeight="1">
      <c r="A7" s="11">
        <v>2</v>
      </c>
      <c r="B7" s="6" t="s">
        <v>207</v>
      </c>
      <c r="C7" s="7" t="s">
        <v>8</v>
      </c>
      <c r="D7" s="7" t="s">
        <v>2515</v>
      </c>
      <c r="E7" s="7" t="s">
        <v>2515</v>
      </c>
      <c r="F7" s="7" t="s">
        <v>2512</v>
      </c>
      <c r="G7" s="7" t="s">
        <v>2516</v>
      </c>
      <c r="H7" s="7" t="s">
        <v>2517</v>
      </c>
    </row>
    <row r="8" spans="1:8" ht="29.1" customHeight="1">
      <c r="A8" s="11">
        <v>3</v>
      </c>
      <c r="B8" s="6" t="s">
        <v>209</v>
      </c>
      <c r="C8" s="7" t="s">
        <v>8</v>
      </c>
      <c r="D8" s="7" t="s">
        <v>2518</v>
      </c>
      <c r="E8" s="7" t="s">
        <v>2518</v>
      </c>
      <c r="F8" s="7" t="s">
        <v>2512</v>
      </c>
      <c r="G8" s="7" t="s">
        <v>2519</v>
      </c>
      <c r="H8" s="7" t="s">
        <v>2520</v>
      </c>
    </row>
    <row r="9" spans="1:8" ht="29.1" customHeight="1">
      <c r="A9" s="11">
        <v>4</v>
      </c>
      <c r="B9" s="6" t="s">
        <v>211</v>
      </c>
      <c r="C9" s="7" t="s">
        <v>8</v>
      </c>
      <c r="D9" s="7" t="s">
        <v>2521</v>
      </c>
      <c r="E9" s="7" t="s">
        <v>2521</v>
      </c>
      <c r="F9" s="7" t="s">
        <v>2522</v>
      </c>
      <c r="G9" s="7" t="s">
        <v>2523</v>
      </c>
      <c r="H9" s="7" t="s">
        <v>2524</v>
      </c>
    </row>
    <row r="10" spans="1:8" ht="29.1" customHeight="1">
      <c r="A10" s="11">
        <v>5</v>
      </c>
      <c r="B10" s="6" t="s">
        <v>213</v>
      </c>
      <c r="C10" s="7" t="s">
        <v>8</v>
      </c>
      <c r="D10" s="7" t="s">
        <v>2525</v>
      </c>
      <c r="E10" s="7" t="s">
        <v>2525</v>
      </c>
      <c r="F10" s="7" t="s">
        <v>2522</v>
      </c>
      <c r="G10" s="7" t="s">
        <v>2526</v>
      </c>
      <c r="H10" s="7" t="s">
        <v>2527</v>
      </c>
    </row>
    <row r="11" spans="1:8" ht="29.1" customHeight="1">
      <c r="A11" s="11">
        <v>6</v>
      </c>
      <c r="B11" s="6" t="s">
        <v>215</v>
      </c>
      <c r="C11" s="7" t="s">
        <v>8</v>
      </c>
      <c r="D11" s="7" t="s">
        <v>2528</v>
      </c>
      <c r="E11" s="7" t="s">
        <v>2529</v>
      </c>
      <c r="F11" s="7" t="s">
        <v>2512</v>
      </c>
      <c r="G11" s="7" t="s">
        <v>2530</v>
      </c>
      <c r="H11" s="7" t="s">
        <v>2531</v>
      </c>
    </row>
    <row r="12" spans="1:8" ht="29.1" customHeight="1">
      <c r="A12" s="11">
        <v>7</v>
      </c>
      <c r="B12" s="6" t="s">
        <v>217</v>
      </c>
      <c r="C12" s="7" t="s">
        <v>8</v>
      </c>
      <c r="D12" s="7" t="s">
        <v>2532</v>
      </c>
      <c r="E12" s="7" t="s">
        <v>2533</v>
      </c>
      <c r="F12" s="7" t="s">
        <v>2512</v>
      </c>
      <c r="G12" s="7" t="s">
        <v>2534</v>
      </c>
      <c r="H12" s="7" t="s">
        <v>2535</v>
      </c>
    </row>
    <row r="13" spans="1:8">
      <c r="A13" s="11">
        <v>8</v>
      </c>
      <c r="B13" s="6" t="s">
        <v>219</v>
      </c>
      <c r="C13" s="7" t="s">
        <v>8</v>
      </c>
      <c r="D13" s="7" t="s">
        <v>2536</v>
      </c>
      <c r="E13" s="7" t="s">
        <v>2537</v>
      </c>
      <c r="F13" s="7" t="s">
        <v>2538</v>
      </c>
      <c r="G13" s="7" t="s">
        <v>2539</v>
      </c>
      <c r="H13" s="7" t="s">
        <v>2540</v>
      </c>
    </row>
    <row r="14" spans="1:8" ht="29.1" customHeight="1">
      <c r="A14" s="11">
        <v>9</v>
      </c>
      <c r="B14" s="6" t="s">
        <v>2541</v>
      </c>
      <c r="C14" s="7" t="s">
        <v>8</v>
      </c>
      <c r="D14" s="7" t="s">
        <v>2542</v>
      </c>
      <c r="E14" s="7" t="s">
        <v>2543</v>
      </c>
      <c r="F14" s="7" t="s">
        <v>2538</v>
      </c>
      <c r="G14" s="7" t="s">
        <v>2544</v>
      </c>
      <c r="H14" s="7" t="s">
        <v>2545</v>
      </c>
    </row>
    <row r="15" spans="1:8" ht="42" customHeight="1">
      <c r="A15" s="11">
        <v>10</v>
      </c>
      <c r="B15" s="6" t="s">
        <v>221</v>
      </c>
      <c r="C15" s="7" t="s">
        <v>8</v>
      </c>
      <c r="D15" s="7" t="s">
        <v>2546</v>
      </c>
      <c r="E15" s="7" t="s">
        <v>2547</v>
      </c>
      <c r="F15" s="7" t="s">
        <v>2548</v>
      </c>
      <c r="G15" s="7" t="s">
        <v>2549</v>
      </c>
      <c r="H15" s="7" t="s">
        <v>2550</v>
      </c>
    </row>
    <row r="16" spans="1:8" ht="42" customHeight="1">
      <c r="A16" s="11">
        <v>11</v>
      </c>
      <c r="B16" s="6" t="s">
        <v>223</v>
      </c>
      <c r="C16" s="7" t="s">
        <v>8</v>
      </c>
      <c r="D16" s="7" t="s">
        <v>2551</v>
      </c>
      <c r="E16" s="7" t="s">
        <v>2552</v>
      </c>
      <c r="F16" s="7" t="s">
        <v>2522</v>
      </c>
      <c r="G16" s="7" t="s">
        <v>2553</v>
      </c>
      <c r="H16" s="7" t="s">
        <v>2554</v>
      </c>
    </row>
    <row r="17" spans="1:8" ht="29.1" customHeight="1">
      <c r="A17" s="11">
        <v>12</v>
      </c>
      <c r="B17" s="6" t="s">
        <v>225</v>
      </c>
      <c r="C17" s="7" t="s">
        <v>8</v>
      </c>
      <c r="D17" s="7" t="s">
        <v>2555</v>
      </c>
      <c r="E17" s="7" t="s">
        <v>2556</v>
      </c>
      <c r="F17" s="7" t="s">
        <v>2538</v>
      </c>
      <c r="G17" s="7" t="s">
        <v>2557</v>
      </c>
      <c r="H17" s="7" t="s">
        <v>2558</v>
      </c>
    </row>
    <row r="18" spans="1:8" ht="29.1" customHeight="1">
      <c r="A18" s="11">
        <v>13</v>
      </c>
      <c r="B18" s="6" t="s">
        <v>2559</v>
      </c>
      <c r="C18" s="7" t="s">
        <v>8</v>
      </c>
      <c r="D18" s="7" t="s">
        <v>2560</v>
      </c>
      <c r="E18" s="7" t="s">
        <v>2561</v>
      </c>
      <c r="F18" s="7" t="s">
        <v>2512</v>
      </c>
      <c r="G18" s="7" t="s">
        <v>2562</v>
      </c>
      <c r="H18" s="7" t="s">
        <v>1</v>
      </c>
    </row>
    <row r="19" spans="1:8" ht="29.1" customHeight="1">
      <c r="A19" s="11">
        <v>14</v>
      </c>
      <c r="B19" s="6" t="s">
        <v>2563</v>
      </c>
      <c r="C19" s="7" t="s">
        <v>8</v>
      </c>
      <c r="D19" s="7" t="s">
        <v>2564</v>
      </c>
      <c r="E19" s="7" t="s">
        <v>2565</v>
      </c>
      <c r="F19" s="7" t="s">
        <v>2512</v>
      </c>
      <c r="G19" s="7" t="s">
        <v>2566</v>
      </c>
      <c r="H19" s="7" t="s">
        <v>1</v>
      </c>
    </row>
    <row r="20" spans="1:8" ht="29.1" customHeight="1">
      <c r="A20" s="11">
        <v>15</v>
      </c>
      <c r="B20" s="6" t="s">
        <v>2567</v>
      </c>
      <c r="C20" s="7" t="s">
        <v>8</v>
      </c>
      <c r="D20" s="7" t="s">
        <v>2568</v>
      </c>
      <c r="E20" s="7" t="s">
        <v>2569</v>
      </c>
      <c r="F20" s="7" t="s">
        <v>2512</v>
      </c>
      <c r="G20" s="7" t="s">
        <v>2570</v>
      </c>
      <c r="H20" s="7" t="s">
        <v>1</v>
      </c>
    </row>
    <row r="21" spans="1:8" ht="29.1" customHeight="1">
      <c r="A21" s="11">
        <v>16</v>
      </c>
      <c r="B21" s="6" t="s">
        <v>2571</v>
      </c>
      <c r="C21" s="7" t="s">
        <v>8</v>
      </c>
      <c r="D21" s="7" t="s">
        <v>2572</v>
      </c>
      <c r="E21" s="7" t="s">
        <v>2573</v>
      </c>
      <c r="F21" s="7" t="s">
        <v>2512</v>
      </c>
      <c r="G21" s="7" t="s">
        <v>2574</v>
      </c>
      <c r="H21" s="7" t="s">
        <v>1</v>
      </c>
    </row>
    <row r="22" spans="1:8" ht="29.1" customHeight="1">
      <c r="A22" s="11">
        <v>17</v>
      </c>
      <c r="B22" s="6" t="s">
        <v>2575</v>
      </c>
      <c r="C22" s="7" t="s">
        <v>8</v>
      </c>
      <c r="D22" s="7" t="s">
        <v>2576</v>
      </c>
      <c r="E22" s="7" t="s">
        <v>2577</v>
      </c>
      <c r="F22" s="7" t="s">
        <v>2522</v>
      </c>
      <c r="G22" s="7" t="s">
        <v>2578</v>
      </c>
      <c r="H22" s="7" t="s">
        <v>3367</v>
      </c>
    </row>
    <row r="23" spans="1:8" ht="29.1" customHeight="1">
      <c r="A23" s="11">
        <v>18</v>
      </c>
      <c r="B23" s="6" t="s">
        <v>2579</v>
      </c>
      <c r="C23" s="7" t="s">
        <v>8</v>
      </c>
      <c r="D23" s="7" t="s">
        <v>2580</v>
      </c>
      <c r="E23" s="7" t="s">
        <v>2581</v>
      </c>
      <c r="F23" s="7" t="s">
        <v>2522</v>
      </c>
      <c r="G23" s="7" t="s">
        <v>2582</v>
      </c>
      <c r="H23" s="7" t="s">
        <v>3368</v>
      </c>
    </row>
    <row r="24" spans="1:8" ht="29.1" customHeight="1">
      <c r="A24" s="11">
        <v>19</v>
      </c>
      <c r="B24" s="6" t="s">
        <v>2583</v>
      </c>
      <c r="C24" s="7" t="s">
        <v>8</v>
      </c>
      <c r="D24" s="7" t="s">
        <v>2584</v>
      </c>
      <c r="E24" s="7" t="s">
        <v>2585</v>
      </c>
      <c r="F24" s="7" t="s">
        <v>2522</v>
      </c>
      <c r="G24" s="7" t="s">
        <v>2586</v>
      </c>
      <c r="H24" s="7" t="s">
        <v>3369</v>
      </c>
    </row>
    <row r="25" spans="1:8" ht="29.1" customHeight="1">
      <c r="A25" s="11">
        <v>20</v>
      </c>
      <c r="B25" s="6" t="s">
        <v>2587</v>
      </c>
      <c r="C25" s="7" t="s">
        <v>8</v>
      </c>
      <c r="D25" s="7" t="s">
        <v>2588</v>
      </c>
      <c r="E25" s="7" t="s">
        <v>2589</v>
      </c>
      <c r="F25" s="7" t="s">
        <v>2512</v>
      </c>
      <c r="G25" s="7" t="s">
        <v>2590</v>
      </c>
      <c r="H25" s="7" t="s">
        <v>2591</v>
      </c>
    </row>
    <row r="26" spans="1:8" ht="29.1" customHeight="1">
      <c r="A26" s="82">
        <v>21</v>
      </c>
      <c r="B26" s="8" t="s">
        <v>3362</v>
      </c>
      <c r="C26" s="4" t="s">
        <v>8</v>
      </c>
      <c r="D26" s="4" t="s">
        <v>3363</v>
      </c>
      <c r="E26" s="4" t="s">
        <v>3364</v>
      </c>
      <c r="F26" s="4" t="s">
        <v>2522</v>
      </c>
      <c r="G26" s="4" t="s">
        <v>3365</v>
      </c>
      <c r="H26" s="4" t="s">
        <v>3366</v>
      </c>
    </row>
    <row r="27" spans="1:8">
      <c r="A27" s="1"/>
      <c r="B27" s="1"/>
      <c r="C27" s="1"/>
      <c r="D27" s="1"/>
      <c r="E27" s="1"/>
      <c r="F27" s="1"/>
      <c r="G27" s="1"/>
      <c r="H27" s="1"/>
    </row>
    <row r="28" spans="1:8">
      <c r="A28" s="1"/>
      <c r="B28" s="320" t="s">
        <v>2592</v>
      </c>
      <c r="C28" s="321"/>
      <c r="D28" s="321"/>
      <c r="E28" s="321"/>
      <c r="F28" s="321"/>
      <c r="G28" s="321"/>
      <c r="H28" s="321"/>
    </row>
  </sheetData>
  <sheetProtection algorithmName="SHA-512" hashValue="+uZKMOY+8tKinlFPEJzSa+rEpqJjqOn+Tf9z6a9jQLuRLeaLTkyjPwt2XcJiQO6wCIZE8ANHHmUrvwHRHUhllQ==" saltValue="strkerzYHcmg0JdNRaA4sg==" spinCount="100000" sheet="1" scenarios="1" formatColumns="0" sort="0" autoFilter="0"/>
  <mergeCells count="1">
    <mergeCell ref="B28:H28"/>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7030A0"/>
  </sheetPr>
  <dimension ref="A1:A75"/>
  <sheetViews>
    <sheetView showGridLines="0" workbookViewId="0"/>
  </sheetViews>
  <sheetFormatPr defaultRowHeight="12.75"/>
  <cols>
    <col min="1" max="1" width="120.7109375" customWidth="1"/>
    <col min="2" max="2" width="30" customWidth="1"/>
    <col min="3" max="3" width="48" customWidth="1"/>
    <col min="4" max="4" width="80" customWidth="1"/>
  </cols>
  <sheetData>
    <row r="1" spans="1:1" ht="20.25">
      <c r="A1" s="79" t="s">
        <v>3310</v>
      </c>
    </row>
    <row r="2" spans="1:1">
      <c r="A2" s="56" t="s">
        <v>22871</v>
      </c>
    </row>
    <row r="3" spans="1:1" ht="51">
      <c r="A3" s="56" t="s">
        <v>22655</v>
      </c>
    </row>
    <row r="4" spans="1:1" ht="15">
      <c r="A4" s="78" t="s">
        <v>3311</v>
      </c>
    </row>
    <row r="5" spans="1:1">
      <c r="A5" s="56" t="s">
        <v>3312</v>
      </c>
    </row>
    <row r="6" spans="1:1">
      <c r="A6" s="56" t="s">
        <v>3313</v>
      </c>
    </row>
    <row r="7" spans="1:1" ht="25.5">
      <c r="A7" s="56" t="s">
        <v>3314</v>
      </c>
    </row>
    <row r="8" spans="1:1" ht="25.5">
      <c r="A8" s="56" t="s">
        <v>22656</v>
      </c>
    </row>
    <row r="9" spans="1:1" ht="25.5">
      <c r="A9" s="56" t="s">
        <v>3315</v>
      </c>
    </row>
    <row r="10" spans="1:1" ht="25.5">
      <c r="A10" s="56" t="s">
        <v>22657</v>
      </c>
    </row>
    <row r="11" spans="1:1" ht="25.5">
      <c r="A11" s="56" t="s">
        <v>22658</v>
      </c>
    </row>
    <row r="12" spans="1:1" ht="25.5">
      <c r="A12" s="56" t="s">
        <v>22659</v>
      </c>
    </row>
    <row r="13" spans="1:1" ht="15">
      <c r="A13" s="78" t="s">
        <v>14</v>
      </c>
    </row>
    <row r="14" spans="1:1">
      <c r="A14" s="80" t="s">
        <v>3316</v>
      </c>
    </row>
    <row r="15" spans="1:1">
      <c r="A15" s="81" t="s">
        <v>3317</v>
      </c>
    </row>
    <row r="16" spans="1:1">
      <c r="A16" s="214" t="s">
        <v>3318</v>
      </c>
    </row>
    <row r="17" spans="1:1">
      <c r="A17" s="214" t="s">
        <v>3319</v>
      </c>
    </row>
    <row r="18" spans="1:1" ht="25.5">
      <c r="A18" s="214" t="s">
        <v>3320</v>
      </c>
    </row>
    <row r="19" spans="1:1">
      <c r="A19" s="214" t="s">
        <v>3321</v>
      </c>
    </row>
    <row r="20" spans="1:1" ht="25.5">
      <c r="A20" s="56" t="s">
        <v>3322</v>
      </c>
    </row>
    <row r="21" spans="1:1">
      <c r="A21" s="56" t="s">
        <v>3323</v>
      </c>
    </row>
    <row r="22" spans="1:1">
      <c r="A22" s="80" t="s">
        <v>3324</v>
      </c>
    </row>
    <row r="23" spans="1:1" ht="25.5">
      <c r="A23" s="56" t="s">
        <v>3325</v>
      </c>
    </row>
    <row r="24" spans="1:1">
      <c r="A24" s="56" t="s">
        <v>3326</v>
      </c>
    </row>
    <row r="25" spans="1:1" ht="25.5">
      <c r="A25" s="56" t="s">
        <v>3327</v>
      </c>
    </row>
    <row r="26" spans="1:1">
      <c r="A26" s="56" t="s">
        <v>3328</v>
      </c>
    </row>
    <row r="27" spans="1:1" ht="25.5">
      <c r="A27" s="56" t="s">
        <v>3329</v>
      </c>
    </row>
    <row r="28" spans="1:1">
      <c r="A28" s="80" t="s">
        <v>3330</v>
      </c>
    </row>
    <row r="29" spans="1:1">
      <c r="A29" s="81" t="s">
        <v>3331</v>
      </c>
    </row>
    <row r="30" spans="1:1">
      <c r="A30" s="214" t="s">
        <v>3332</v>
      </c>
    </row>
    <row r="31" spans="1:1">
      <c r="A31" s="214" t="s">
        <v>3333</v>
      </c>
    </row>
    <row r="32" spans="1:1">
      <c r="A32" s="214" t="s">
        <v>3334</v>
      </c>
    </row>
    <row r="33" spans="1:1">
      <c r="A33" s="214" t="s">
        <v>3335</v>
      </c>
    </row>
    <row r="34" spans="1:1">
      <c r="A34" s="56" t="s">
        <v>3336</v>
      </c>
    </row>
    <row r="35" spans="1:1">
      <c r="A35" s="56" t="s">
        <v>3337</v>
      </c>
    </row>
    <row r="36" spans="1:1">
      <c r="A36" s="80" t="s">
        <v>3338</v>
      </c>
    </row>
    <row r="37" spans="1:1">
      <c r="A37" s="56" t="s">
        <v>3339</v>
      </c>
    </row>
    <row r="38" spans="1:1" ht="25.5">
      <c r="A38" s="56" t="s">
        <v>3340</v>
      </c>
    </row>
    <row r="39" spans="1:1">
      <c r="A39" s="56" t="s">
        <v>3341</v>
      </c>
    </row>
    <row r="40" spans="1:1">
      <c r="A40" s="80" t="s">
        <v>3342</v>
      </c>
    </row>
    <row r="41" spans="1:1">
      <c r="A41" s="56" t="s">
        <v>3343</v>
      </c>
    </row>
    <row r="42" spans="1:1">
      <c r="A42" s="56" t="s">
        <v>3344</v>
      </c>
    </row>
    <row r="43" spans="1:1" ht="15">
      <c r="A43" s="78" t="s">
        <v>3115</v>
      </c>
    </row>
    <row r="44" spans="1:1">
      <c r="A44" s="56" t="s">
        <v>3345</v>
      </c>
    </row>
    <row r="45" spans="1:1">
      <c r="A45" s="56" t="s">
        <v>3346</v>
      </c>
    </row>
    <row r="46" spans="1:1">
      <c r="A46" s="56" t="s">
        <v>3347</v>
      </c>
    </row>
    <row r="47" spans="1:1">
      <c r="A47" s="56" t="s">
        <v>3348</v>
      </c>
    </row>
    <row r="48" spans="1:1">
      <c r="A48" s="56" t="s">
        <v>3349</v>
      </c>
    </row>
    <row r="49" spans="1:1" ht="15">
      <c r="A49" s="78" t="s">
        <v>3350</v>
      </c>
    </row>
    <row r="50" spans="1:1">
      <c r="A50" s="81" t="s">
        <v>3351</v>
      </c>
    </row>
    <row r="51" spans="1:1">
      <c r="A51" s="214" t="s">
        <v>3352</v>
      </c>
    </row>
    <row r="52" spans="1:1">
      <c r="A52" s="214" t="s">
        <v>3353</v>
      </c>
    </row>
    <row r="53" spans="1:1" ht="25.5">
      <c r="A53" s="214" t="s">
        <v>3354</v>
      </c>
    </row>
    <row r="54" spans="1:1">
      <c r="A54" s="214" t="s">
        <v>3355</v>
      </c>
    </row>
    <row r="55" spans="1:1">
      <c r="A55" s="214" t="s">
        <v>3356</v>
      </c>
    </row>
    <row r="56" spans="1:1">
      <c r="A56" s="214" t="s">
        <v>3357</v>
      </c>
    </row>
    <row r="57" spans="1:1" ht="15">
      <c r="A57" s="78" t="s">
        <v>22660</v>
      </c>
    </row>
    <row r="58" spans="1:1" ht="51">
      <c r="A58" s="56" t="s">
        <v>22661</v>
      </c>
    </row>
    <row r="59" spans="1:1">
      <c r="A59" s="81" t="s">
        <v>22662</v>
      </c>
    </row>
    <row r="60" spans="1:1" ht="25.5">
      <c r="A60" s="214" t="s">
        <v>22663</v>
      </c>
    </row>
    <row r="61" spans="1:1" ht="25.5">
      <c r="A61" s="214" t="s">
        <v>22664</v>
      </c>
    </row>
    <row r="62" spans="1:1" ht="25.5">
      <c r="A62" s="214" t="s">
        <v>22665</v>
      </c>
    </row>
    <row r="63" spans="1:1">
      <c r="A63" s="214" t="s">
        <v>22666</v>
      </c>
    </row>
    <row r="64" spans="1:1" ht="25.5">
      <c r="A64" s="214" t="s">
        <v>22667</v>
      </c>
    </row>
    <row r="65" spans="1:1" ht="25.5">
      <c r="A65" s="214" t="s">
        <v>22668</v>
      </c>
    </row>
    <row r="66" spans="1:1" ht="25.5">
      <c r="A66" s="214" t="s">
        <v>22669</v>
      </c>
    </row>
    <row r="67" spans="1:1" ht="25.5">
      <c r="A67" s="214" t="s">
        <v>22670</v>
      </c>
    </row>
    <row r="68" spans="1:1">
      <c r="A68" s="214" t="s">
        <v>22671</v>
      </c>
    </row>
    <row r="69" spans="1:1" ht="25.5">
      <c r="A69" s="214" t="s">
        <v>22672</v>
      </c>
    </row>
    <row r="70" spans="1:1" ht="25.5">
      <c r="A70" s="214" t="s">
        <v>22673</v>
      </c>
    </row>
    <row r="71" spans="1:1" ht="25.5">
      <c r="A71" s="56" t="s">
        <v>22674</v>
      </c>
    </row>
    <row r="72" spans="1:1" ht="25.5">
      <c r="A72" s="56" t="s">
        <v>22675</v>
      </c>
    </row>
    <row r="73" spans="1:1">
      <c r="A73" s="56" t="s">
        <v>22676</v>
      </c>
    </row>
    <row r="74" spans="1:1" ht="15">
      <c r="A74" s="78" t="s">
        <v>22677</v>
      </c>
    </row>
    <row r="75" spans="1:1" ht="38.25">
      <c r="A75" s="56" t="s">
        <v>22678</v>
      </c>
    </row>
  </sheetData>
  <sheetProtection algorithmName="SHA-512" hashValue="25cCkiZs8dMSyVFZAqy7koqdLX4Z2jqMG3S7hUU4ybapZli7M1JWUFFNfHtrHynJxpJ2GWK+YrlvtTm+MEbMvg==" saltValue="lGt7/sD4JDyIv11KFOGt1Q==" spinCount="100000" sheet="1" scenarios="1" formatColumns="0" sort="0" autoFilter="0"/>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5BC9F-D658-43AA-AD22-7E7447AD2458}">
  <sheetPr codeName="Sheet23"/>
  <dimension ref="A1:AF503"/>
  <sheetViews>
    <sheetView workbookViewId="0"/>
  </sheetViews>
  <sheetFormatPr defaultRowHeight="12.75"/>
  <cols>
    <col min="1" max="1" width="18.7109375" customWidth="1"/>
    <col min="2" max="2" width="12.7109375" customWidth="1"/>
    <col min="3" max="3" width="8.7109375" customWidth="1"/>
    <col min="4" max="4" width="11.7109375" customWidth="1"/>
    <col min="5" max="5" width="15.7109375" customWidth="1"/>
    <col min="6" max="6" width="44.7109375" customWidth="1"/>
    <col min="8" max="8" width="18.7109375" customWidth="1"/>
    <col min="9" max="9" width="30.7109375" customWidth="1"/>
    <col min="10" max="10" width="44.7109375" customWidth="1"/>
    <col min="12" max="12" width="30.7109375" customWidth="1"/>
    <col min="13" max="13" width="18.7109375" customWidth="1"/>
    <col min="14" max="14" width="50.7109375" customWidth="1"/>
    <col min="16" max="16" width="7.7109375" customWidth="1"/>
    <col min="17" max="17" width="24.7109375" customWidth="1"/>
    <col min="18" max="18" width="10.7109375" customWidth="1"/>
    <col min="19" max="19" width="44.7109375" customWidth="1"/>
    <col min="29" max="29" width="24.7109375" customWidth="1"/>
    <col min="30" max="31" width="60.7109375" customWidth="1"/>
    <col min="32" max="32" width="8.7109375" customWidth="1"/>
  </cols>
  <sheetData>
    <row r="1" spans="1:32" ht="20.25">
      <c r="A1" s="53" t="s">
        <v>3106</v>
      </c>
    </row>
    <row r="2" spans="1:32">
      <c r="A2" s="54" t="s">
        <v>3818</v>
      </c>
    </row>
    <row r="3" spans="1:32">
      <c r="AC3" t="s">
        <v>3817</v>
      </c>
    </row>
    <row r="4" spans="1:32" ht="25.5">
      <c r="A4" s="50" t="s">
        <v>3107</v>
      </c>
      <c r="B4" s="50" t="s">
        <v>3108</v>
      </c>
      <c r="C4" s="50" t="s">
        <v>3109</v>
      </c>
      <c r="D4" s="50" t="s">
        <v>3110</v>
      </c>
      <c r="E4" s="50" t="s">
        <v>3111</v>
      </c>
      <c r="F4" s="50" t="s">
        <v>3461</v>
      </c>
      <c r="G4" s="50" t="s">
        <v>3462</v>
      </c>
      <c r="H4" s="50" t="s">
        <v>303</v>
      </c>
      <c r="J4" s="50" t="s">
        <v>3133</v>
      </c>
      <c r="K4" s="50" t="s">
        <v>3134</v>
      </c>
      <c r="L4" s="50" t="s">
        <v>3462</v>
      </c>
      <c r="M4" s="50" t="s">
        <v>3463</v>
      </c>
      <c r="N4" s="50" t="s">
        <v>303</v>
      </c>
      <c r="P4" s="50" t="s">
        <v>202</v>
      </c>
      <c r="Q4" s="50" t="s">
        <v>3140</v>
      </c>
      <c r="R4" s="50" t="s">
        <v>3144</v>
      </c>
      <c r="T4" s="50" t="s">
        <v>3153</v>
      </c>
      <c r="U4" s="50" t="s">
        <v>3143</v>
      </c>
      <c r="V4" s="50" t="s">
        <v>3154</v>
      </c>
      <c r="W4" s="50" t="s">
        <v>303</v>
      </c>
      <c r="Y4" s="47" t="s">
        <v>3266</v>
      </c>
      <c r="AC4" s="50" t="s">
        <v>3497</v>
      </c>
      <c r="AD4" s="50" t="s">
        <v>3502</v>
      </c>
      <c r="AE4" s="50" t="s">
        <v>3503</v>
      </c>
      <c r="AF4" s="50" t="s">
        <v>252</v>
      </c>
    </row>
    <row r="5" spans="1:32">
      <c r="A5" s="355" t="s">
        <v>3464</v>
      </c>
      <c r="B5" s="355" t="s">
        <v>2649</v>
      </c>
      <c r="C5" s="355" t="s">
        <v>94</v>
      </c>
      <c r="D5" s="355" t="s">
        <v>95</v>
      </c>
      <c r="E5" s="355" t="s">
        <v>95</v>
      </c>
      <c r="F5" s="355" t="s">
        <v>3465</v>
      </c>
      <c r="G5" s="355"/>
      <c r="H5" s="355" t="s">
        <v>3466</v>
      </c>
      <c r="J5" s="355" t="s">
        <v>2976</v>
      </c>
      <c r="K5" s="355" t="s">
        <v>237</v>
      </c>
      <c r="L5" s="355" t="s">
        <v>3470</v>
      </c>
      <c r="M5" s="355"/>
      <c r="N5" s="355" t="s">
        <v>3487</v>
      </c>
      <c r="P5" s="354" t="s">
        <v>205</v>
      </c>
      <c r="Q5" s="354" t="s">
        <v>2839</v>
      </c>
      <c r="R5" s="354" t="s">
        <v>3145</v>
      </c>
      <c r="T5" s="354">
        <v>1</v>
      </c>
      <c r="U5" s="354" t="s">
        <v>3155</v>
      </c>
      <c r="V5" s="354" t="s">
        <v>2652</v>
      </c>
      <c r="W5" s="354" t="s">
        <v>3156</v>
      </c>
      <c r="Y5" t="s">
        <v>3267</v>
      </c>
      <c r="Z5" t="str" cm="1">
        <f t="array" ref="Z5">_xlfn._xlws.FILTER(tblDimCompany[CompanyID]&amp;"",tblDimCompany[CompanyID]&lt;&gt;"","(none)")</f>
        <v>(none)</v>
      </c>
      <c r="AA5" t="str" cm="1">
        <f t="array" ref="AA5">IF(N(cpActivePeriod)=0,"(none)",_xlfn._xlws.SORT(_xlfn.UNIQUE(_xlfn.VSTACK(cpActivePeriod,_xlfn._xlws.FILTER(tblArchiveLog[PeriodKey],tblArchiveLog[ArchiveState]="CURRENT",cpActivePeriod))),,-1))</f>
        <v>(none)</v>
      </c>
      <c r="AC5" s="395" t="s">
        <v>3504</v>
      </c>
      <c r="AD5" s="355" t="s">
        <v>3505</v>
      </c>
      <c r="AE5" s="355" t="s">
        <v>68</v>
      </c>
      <c r="AF5" s="390" t="str">
        <f>tblUIText[[#This Row],[TR]]&amp;CHAR(10)&amp;tblUIText[[#This Row],[EN]]</f>
        <v>Tamam
OK</v>
      </c>
    </row>
    <row r="6" spans="1:32">
      <c r="A6" s="355" t="s">
        <v>3112</v>
      </c>
      <c r="B6" s="355" t="s">
        <v>2647</v>
      </c>
      <c r="C6" s="355" t="s">
        <v>94</v>
      </c>
      <c r="D6" s="355" t="s">
        <v>95</v>
      </c>
      <c r="E6" s="355" t="s">
        <v>95</v>
      </c>
      <c r="F6" s="355" t="s">
        <v>3465</v>
      </c>
      <c r="G6" s="355"/>
      <c r="H6" s="355" t="s">
        <v>3467</v>
      </c>
      <c r="J6" s="355" t="s">
        <v>2979</v>
      </c>
      <c r="K6" s="355" t="s">
        <v>296</v>
      </c>
      <c r="L6" s="355" t="s">
        <v>3472</v>
      </c>
      <c r="M6" s="355"/>
      <c r="N6" s="355" t="s">
        <v>3135</v>
      </c>
      <c r="P6" s="354" t="s">
        <v>205</v>
      </c>
      <c r="Q6" s="354" t="s">
        <v>2832</v>
      </c>
      <c r="R6" s="354" t="s">
        <v>3146</v>
      </c>
      <c r="T6" s="354">
        <v>2</v>
      </c>
      <c r="U6" s="354" t="s">
        <v>3157</v>
      </c>
      <c r="V6" s="354" t="s">
        <v>2653</v>
      </c>
      <c r="W6" s="354"/>
      <c r="Y6" t="s">
        <v>3268</v>
      </c>
      <c r="AC6" s="395" t="s">
        <v>3506</v>
      </c>
      <c r="AD6" s="355" t="s">
        <v>3507</v>
      </c>
      <c r="AE6" s="355" t="s">
        <v>3508</v>
      </c>
      <c r="AF6" s="390" t="str">
        <f>tblUIText[[#This Row],[TR]]&amp;CHAR(10)&amp;tblUIText[[#This Row],[EN]]</f>
        <v>İptal
Cancel</v>
      </c>
    </row>
    <row r="7" spans="1:32">
      <c r="A7" s="355" t="s">
        <v>3113</v>
      </c>
      <c r="B7" s="355" t="s">
        <v>2647</v>
      </c>
      <c r="C7" s="355" t="s">
        <v>94</v>
      </c>
      <c r="D7" s="355" t="s">
        <v>95</v>
      </c>
      <c r="E7" s="355" t="s">
        <v>95</v>
      </c>
      <c r="F7" s="355" t="s">
        <v>3465</v>
      </c>
      <c r="G7" s="355"/>
      <c r="H7" s="355"/>
      <c r="J7" s="355" t="s">
        <v>2981</v>
      </c>
      <c r="K7" s="355" t="s">
        <v>181</v>
      </c>
      <c r="L7" s="355" t="s">
        <v>3488</v>
      </c>
      <c r="M7" s="355"/>
      <c r="N7" s="355"/>
      <c r="P7" s="354" t="s">
        <v>205</v>
      </c>
      <c r="Q7" s="354" t="s">
        <v>3147</v>
      </c>
      <c r="R7" s="354" t="s">
        <v>3148</v>
      </c>
      <c r="T7" s="354">
        <v>3</v>
      </c>
      <c r="U7" s="354" t="s">
        <v>3158</v>
      </c>
      <c r="V7" s="354" t="s">
        <v>2653</v>
      </c>
      <c r="W7" s="354"/>
      <c r="Y7" t="s">
        <v>3269</v>
      </c>
      <c r="AC7" s="395" t="s">
        <v>3509</v>
      </c>
      <c r="AD7" s="355" t="s">
        <v>3408</v>
      </c>
      <c r="AE7" s="355" t="s">
        <v>3407</v>
      </c>
      <c r="AF7" s="390" t="str">
        <f>tblUIText[[#This Row],[TR]]&amp;CHAR(10)&amp;tblUIText[[#This Row],[EN]]</f>
        <v>Görüntüleyici
Viewer</v>
      </c>
    </row>
    <row r="8" spans="1:32">
      <c r="A8" s="355" t="s">
        <v>12</v>
      </c>
      <c r="B8" s="355" t="s">
        <v>2647</v>
      </c>
      <c r="C8" s="355" t="s">
        <v>94</v>
      </c>
      <c r="D8" s="355" t="s">
        <v>95</v>
      </c>
      <c r="E8" s="355" t="s">
        <v>95</v>
      </c>
      <c r="F8" s="355" t="s">
        <v>3465</v>
      </c>
      <c r="G8" s="355"/>
      <c r="H8" s="355" t="s">
        <v>3468</v>
      </c>
      <c r="J8" s="355" t="s">
        <v>2982</v>
      </c>
      <c r="K8" s="355" t="s">
        <v>3136</v>
      </c>
      <c r="L8" s="355" t="s">
        <v>3489</v>
      </c>
      <c r="M8" s="355"/>
      <c r="N8" s="355"/>
      <c r="P8" s="354" t="s">
        <v>205</v>
      </c>
      <c r="Q8" s="354" t="s">
        <v>2842</v>
      </c>
      <c r="R8" s="354" t="s">
        <v>3149</v>
      </c>
      <c r="T8" s="354">
        <v>4</v>
      </c>
      <c r="U8" s="354" t="s">
        <v>3159</v>
      </c>
      <c r="V8" s="354" t="s">
        <v>2653</v>
      </c>
      <c r="W8" s="354"/>
      <c r="AC8" s="395" t="s">
        <v>3510</v>
      </c>
      <c r="AD8" s="355" t="s">
        <v>3410</v>
      </c>
      <c r="AE8" s="355" t="s">
        <v>3294</v>
      </c>
      <c r="AF8" s="390" t="str">
        <f>tblUIText[[#This Row],[TR]]&amp;CHAR(10)&amp;tblUIText[[#This Row],[EN]]</f>
        <v>Analist
Analyst</v>
      </c>
    </row>
    <row r="9" spans="1:32">
      <c r="A9" s="355" t="s">
        <v>14</v>
      </c>
      <c r="B9" s="355" t="s">
        <v>2647</v>
      </c>
      <c r="C9" s="355" t="s">
        <v>94</v>
      </c>
      <c r="D9" s="355" t="s">
        <v>94</v>
      </c>
      <c r="E9" s="355" t="s">
        <v>95</v>
      </c>
      <c r="F9" s="355" t="s">
        <v>3465</v>
      </c>
      <c r="G9" s="355"/>
      <c r="H9" s="355" t="s">
        <v>3114</v>
      </c>
      <c r="J9" s="355" t="s">
        <v>2984</v>
      </c>
      <c r="K9" s="355" t="s">
        <v>616</v>
      </c>
      <c r="L9" s="355" t="s">
        <v>3490</v>
      </c>
      <c r="M9" s="355"/>
      <c r="N9" s="355"/>
      <c r="P9" s="354" t="s">
        <v>207</v>
      </c>
      <c r="Q9" s="354" t="s">
        <v>2839</v>
      </c>
      <c r="R9" s="354" t="s">
        <v>3145</v>
      </c>
      <c r="T9" s="354">
        <v>5</v>
      </c>
      <c r="U9" s="354" t="s">
        <v>3163</v>
      </c>
      <c r="V9" s="354" t="s">
        <v>2654</v>
      </c>
      <c r="W9" s="354" t="s">
        <v>20597</v>
      </c>
      <c r="AC9" s="395" t="s">
        <v>3511</v>
      </c>
      <c r="AD9" s="355" t="s">
        <v>3413</v>
      </c>
      <c r="AE9" s="355" t="s">
        <v>3412</v>
      </c>
      <c r="AF9" s="390" t="str">
        <f>tblUIText[[#This Row],[TR]]&amp;CHAR(10)&amp;tblUIText[[#This Row],[EN]]</f>
        <v>Hazırlayan
Preparer</v>
      </c>
    </row>
    <row r="10" spans="1:32">
      <c r="A10" s="355" t="s">
        <v>3115</v>
      </c>
      <c r="B10" s="355" t="s">
        <v>2647</v>
      </c>
      <c r="C10" s="355" t="s">
        <v>94</v>
      </c>
      <c r="D10" s="355" t="s">
        <v>94</v>
      </c>
      <c r="E10" s="355" t="s">
        <v>95</v>
      </c>
      <c r="F10" s="355" t="s">
        <v>3465</v>
      </c>
      <c r="G10" s="355"/>
      <c r="H10" s="355" t="s">
        <v>3116</v>
      </c>
      <c r="J10" s="355" t="s">
        <v>2987</v>
      </c>
      <c r="K10" s="355" t="s">
        <v>3137</v>
      </c>
      <c r="L10" s="355" t="s">
        <v>3491</v>
      </c>
      <c r="M10" s="355"/>
      <c r="N10" s="355" t="s">
        <v>3138</v>
      </c>
      <c r="P10" s="354" t="s">
        <v>207</v>
      </c>
      <c r="Q10" s="354" t="s">
        <v>2832</v>
      </c>
      <c r="R10" s="354" t="s">
        <v>3146</v>
      </c>
      <c r="T10" s="354">
        <v>6</v>
      </c>
      <c r="U10" s="354" t="s">
        <v>3160</v>
      </c>
      <c r="V10" s="354" t="s">
        <v>2653</v>
      </c>
      <c r="W10" s="354"/>
      <c r="AC10" s="395" t="s">
        <v>3512</v>
      </c>
      <c r="AD10" s="355" t="s">
        <v>3416</v>
      </c>
      <c r="AE10" s="355" t="s">
        <v>3415</v>
      </c>
      <c r="AF10" s="390" t="str">
        <f>tblUIText[[#This Row],[TR]]&amp;CHAR(10)&amp;tblUIText[[#This Row],[EN]]</f>
        <v>Kontrol eden
Reviewer</v>
      </c>
    </row>
    <row r="11" spans="1:32">
      <c r="A11" s="355" t="s">
        <v>3117</v>
      </c>
      <c r="B11" s="355" t="s">
        <v>2647</v>
      </c>
      <c r="C11" s="355" t="s">
        <v>94</v>
      </c>
      <c r="D11" s="355" t="s">
        <v>95</v>
      </c>
      <c r="E11" s="355" t="s">
        <v>95</v>
      </c>
      <c r="F11" s="355" t="s">
        <v>3469</v>
      </c>
      <c r="G11" s="355"/>
      <c r="H11" s="355" t="s">
        <v>3118</v>
      </c>
      <c r="J11" s="355" t="s">
        <v>2989</v>
      </c>
      <c r="K11" s="355" t="s">
        <v>3139</v>
      </c>
      <c r="L11" s="355" t="s">
        <v>3478</v>
      </c>
      <c r="M11" s="355"/>
      <c r="N11" s="355"/>
      <c r="P11" s="354" t="s">
        <v>213</v>
      </c>
      <c r="Q11" s="354" t="s">
        <v>2842</v>
      </c>
      <c r="R11" s="354" t="s">
        <v>3150</v>
      </c>
      <c r="T11" s="354">
        <v>7</v>
      </c>
      <c r="U11" s="354" t="s">
        <v>3161</v>
      </c>
      <c r="V11" s="354" t="s">
        <v>2654</v>
      </c>
      <c r="W11" s="354"/>
      <c r="AC11" s="395" t="s">
        <v>3513</v>
      </c>
      <c r="AD11" s="355" t="s">
        <v>3418</v>
      </c>
      <c r="AE11" s="355" t="s">
        <v>3295</v>
      </c>
      <c r="AF11" s="390" t="str">
        <f>tblUIText[[#This Row],[TR]]&amp;CHAR(10)&amp;tblUIText[[#This Row],[EN]]</f>
        <v>Yönetici
Administrator</v>
      </c>
    </row>
    <row r="12" spans="1:32">
      <c r="A12" s="355" t="s">
        <v>13</v>
      </c>
      <c r="B12" s="355" t="s">
        <v>2647</v>
      </c>
      <c r="C12" s="355" t="s">
        <v>94</v>
      </c>
      <c r="D12" s="355" t="s">
        <v>95</v>
      </c>
      <c r="E12" s="355" t="s">
        <v>95</v>
      </c>
      <c r="F12" s="355" t="s">
        <v>3465</v>
      </c>
      <c r="G12" s="355"/>
      <c r="H12" s="355"/>
      <c r="J12" s="355" t="s">
        <v>2996</v>
      </c>
      <c r="K12" s="355" t="s">
        <v>2822</v>
      </c>
      <c r="L12" s="355" t="s">
        <v>3480</v>
      </c>
      <c r="M12" s="355"/>
      <c r="N12" s="355"/>
      <c r="P12" s="354" t="s">
        <v>213</v>
      </c>
      <c r="Q12" s="354" t="s">
        <v>3147</v>
      </c>
      <c r="R12" s="354" t="s">
        <v>3148</v>
      </c>
      <c r="T12" s="354">
        <v>8</v>
      </c>
      <c r="U12" s="354" t="s">
        <v>3162</v>
      </c>
      <c r="V12" s="354" t="s">
        <v>2654</v>
      </c>
      <c r="W12" s="354"/>
      <c r="AC12" s="395" t="s">
        <v>3514</v>
      </c>
      <c r="AD12" s="355" t="s">
        <v>3515</v>
      </c>
      <c r="AE12" s="355" t="s">
        <v>3154</v>
      </c>
      <c r="AF12" s="390" t="str">
        <f>tblUIText[[#This Row],[TR]]&amp;CHAR(10)&amp;tblUIText[[#This Row],[EN]]</f>
        <v>Rol
Role</v>
      </c>
    </row>
    <row r="13" spans="1:32">
      <c r="A13" s="355" t="s">
        <v>15</v>
      </c>
      <c r="B13" s="355" t="s">
        <v>2647</v>
      </c>
      <c r="C13" s="355" t="s">
        <v>94</v>
      </c>
      <c r="D13" s="355" t="s">
        <v>95</v>
      </c>
      <c r="E13" s="355" t="s">
        <v>95</v>
      </c>
      <c r="F13" s="355" t="s">
        <v>3465</v>
      </c>
      <c r="G13" s="355" t="s">
        <v>3470</v>
      </c>
      <c r="H13" s="355" t="s">
        <v>3471</v>
      </c>
      <c r="J13" s="355" t="s">
        <v>2997</v>
      </c>
      <c r="K13" s="355" t="s">
        <v>3140</v>
      </c>
      <c r="L13" s="355" t="s">
        <v>3484</v>
      </c>
      <c r="M13" s="355" t="s">
        <v>3492</v>
      </c>
      <c r="N13" s="355" t="s">
        <v>3141</v>
      </c>
      <c r="P13" s="354" t="s">
        <v>219</v>
      </c>
      <c r="Q13" s="354" t="s">
        <v>2846</v>
      </c>
      <c r="R13" s="354" t="s">
        <v>22498</v>
      </c>
      <c r="T13" s="354">
        <v>9</v>
      </c>
      <c r="U13" s="354" t="s">
        <v>21415</v>
      </c>
      <c r="V13" s="354" t="s">
        <v>2654</v>
      </c>
      <c r="W13" s="354" t="s">
        <v>21416</v>
      </c>
      <c r="AC13" s="395" t="s">
        <v>3516</v>
      </c>
      <c r="AD13" s="355" t="s">
        <v>3517</v>
      </c>
      <c r="AE13" s="355" t="s">
        <v>3518</v>
      </c>
      <c r="AF13" s="390" t="str">
        <f>tblUIText[[#This Row],[TR]]&amp;CHAR(10)&amp;tblUIText[[#This Row],[EN]]</f>
        <v>Yapabilecekleriniz
What you may do</v>
      </c>
    </row>
    <row r="14" spans="1:32">
      <c r="A14" s="355" t="s">
        <v>6</v>
      </c>
      <c r="B14" s="355" t="s">
        <v>2647</v>
      </c>
      <c r="C14" s="355" t="s">
        <v>94</v>
      </c>
      <c r="D14" s="355" t="s">
        <v>95</v>
      </c>
      <c r="E14" s="355" t="s">
        <v>95</v>
      </c>
      <c r="F14" s="355" t="s">
        <v>3465</v>
      </c>
      <c r="G14" s="355" t="s">
        <v>3472</v>
      </c>
      <c r="H14" s="355" t="s">
        <v>3473</v>
      </c>
      <c r="J14" s="355" t="s">
        <v>2993</v>
      </c>
      <c r="K14" s="355" t="s">
        <v>193</v>
      </c>
      <c r="L14" s="355"/>
      <c r="M14" s="355" t="s">
        <v>3493</v>
      </c>
      <c r="N14" s="355" t="s">
        <v>3494</v>
      </c>
      <c r="P14" s="354" t="s">
        <v>219</v>
      </c>
      <c r="Q14" s="354" t="s">
        <v>3147</v>
      </c>
      <c r="R14" s="354" t="s">
        <v>3148</v>
      </c>
      <c r="T14" s="354">
        <v>10</v>
      </c>
      <c r="U14" s="354" t="s">
        <v>3164</v>
      </c>
      <c r="V14" s="354" t="s">
        <v>2654</v>
      </c>
      <c r="W14" s="354"/>
      <c r="AC14" s="395" t="s">
        <v>3519</v>
      </c>
      <c r="AD14" s="355" t="s">
        <v>3520</v>
      </c>
      <c r="AE14" s="355" t="s">
        <v>3521</v>
      </c>
      <c r="AF14" s="390" t="str">
        <f>tblUIText[[#This Row],[TR]]&amp;CHAR(10)&amp;tblUIText[[#This Row],[EN]]</f>
        <v>Kontrol listesi – ilk açık madde sıradaki iştir
Checklist – the first open item is the next action</v>
      </c>
    </row>
    <row r="15" spans="1:32">
      <c r="A15" s="355" t="s">
        <v>4</v>
      </c>
      <c r="B15" s="355" t="s">
        <v>2647</v>
      </c>
      <c r="C15" s="355" t="s">
        <v>94</v>
      </c>
      <c r="D15" s="355" t="s">
        <v>95</v>
      </c>
      <c r="E15" s="355" t="s">
        <v>95</v>
      </c>
      <c r="F15" s="355" t="s">
        <v>3465</v>
      </c>
      <c r="G15" s="355" t="s">
        <v>3474</v>
      </c>
      <c r="H15" s="355" t="s">
        <v>3475</v>
      </c>
      <c r="J15" s="355" t="s">
        <v>2994</v>
      </c>
      <c r="K15" s="355" t="s">
        <v>2893</v>
      </c>
      <c r="L15" s="355"/>
      <c r="M15" s="355"/>
      <c r="N15" s="355" t="s">
        <v>3495</v>
      </c>
      <c r="P15" s="354" t="s">
        <v>221</v>
      </c>
      <c r="Q15" s="354" t="s">
        <v>2843</v>
      </c>
      <c r="R15" s="354" t="s">
        <v>3151</v>
      </c>
      <c r="T15" s="354">
        <v>11</v>
      </c>
      <c r="U15" s="354" t="s">
        <v>3165</v>
      </c>
      <c r="V15" s="354" t="s">
        <v>2654</v>
      </c>
      <c r="W15" s="354"/>
      <c r="AC15" s="395" t="s">
        <v>3522</v>
      </c>
      <c r="AD15" s="355" t="s">
        <v>3523</v>
      </c>
      <c r="AE15" s="355" t="s">
        <v>3524</v>
      </c>
      <c r="AF15" s="390" t="str">
        <f>tblUIText[[#This Row],[TR]]&amp;CHAR(10)&amp;tblUIText[[#This Row],[EN]]</f>
        <v>Komutlar – yalnızca rolünüzün izin verdiği düğmeler görünür
Commands – only the buttons your role allows are shown</v>
      </c>
    </row>
    <row r="16" spans="1:32">
      <c r="A16" s="355" t="s">
        <v>5</v>
      </c>
      <c r="B16" s="355" t="s">
        <v>2647</v>
      </c>
      <c r="C16" s="355" t="s">
        <v>94</v>
      </c>
      <c r="D16" s="355" t="s">
        <v>95</v>
      </c>
      <c r="E16" s="355" t="s">
        <v>95</v>
      </c>
      <c r="F16" s="355" t="s">
        <v>3465</v>
      </c>
      <c r="G16" s="355" t="s">
        <v>3476</v>
      </c>
      <c r="H16" s="355" t="s">
        <v>3477</v>
      </c>
      <c r="J16" s="355" t="s">
        <v>3003</v>
      </c>
      <c r="K16" s="355" t="s">
        <v>3107</v>
      </c>
      <c r="L16" s="355" t="s">
        <v>3484</v>
      </c>
      <c r="M16" s="355"/>
      <c r="N16" s="355"/>
      <c r="P16" s="354" t="s">
        <v>221</v>
      </c>
      <c r="Q16" s="354" t="s">
        <v>2837</v>
      </c>
      <c r="R16" s="354" t="s">
        <v>3152</v>
      </c>
      <c r="T16" s="354">
        <v>12</v>
      </c>
      <c r="U16" s="354" t="s">
        <v>20586</v>
      </c>
      <c r="V16" s="354" t="s">
        <v>2654</v>
      </c>
      <c r="W16" s="354" t="s">
        <v>20587</v>
      </c>
      <c r="AC16" s="395" t="s">
        <v>3525</v>
      </c>
      <c r="AD16" s="355" t="s">
        <v>3526</v>
      </c>
      <c r="AE16" s="355" t="s">
        <v>3527</v>
      </c>
      <c r="AF16" s="390" t="str">
        <f>tblUIText[[#This Row],[TR]]&amp;CHAR(10)&amp;tblUIText[[#This Row],[EN]]</f>
        <v>Henüz veri yok – Kurulum'u tamamlayın (Giriş sayfası).
No data yet – complete Setup (Home).</v>
      </c>
    </row>
    <row r="17" spans="1:32">
      <c r="A17" s="355" t="s">
        <v>7</v>
      </c>
      <c r="B17" s="355" t="s">
        <v>2647</v>
      </c>
      <c r="C17" s="355" t="s">
        <v>94</v>
      </c>
      <c r="D17" s="355" t="s">
        <v>95</v>
      </c>
      <c r="E17" s="355" t="s">
        <v>95</v>
      </c>
      <c r="F17" s="355" t="s">
        <v>3465</v>
      </c>
      <c r="G17" s="355" t="s">
        <v>3478</v>
      </c>
      <c r="H17" s="355" t="s">
        <v>3412</v>
      </c>
      <c r="J17" s="355" t="s">
        <v>3004</v>
      </c>
      <c r="K17" s="355" t="s">
        <v>3133</v>
      </c>
      <c r="L17" s="355" t="s">
        <v>3484</v>
      </c>
      <c r="M17" s="355"/>
      <c r="N17" s="355"/>
      <c r="T17" s="354">
        <v>13</v>
      </c>
      <c r="U17" s="354" t="s">
        <v>20588</v>
      </c>
      <c r="V17" s="354" t="s">
        <v>2654</v>
      </c>
      <c r="W17" s="354" t="s">
        <v>20587</v>
      </c>
      <c r="AC17" s="395" t="s">
        <v>3528</v>
      </c>
      <c r="AD17" s="355" t="s">
        <v>3529</v>
      </c>
      <c r="AE17" s="355" t="s">
        <v>3530</v>
      </c>
      <c r="AF17" s="390" t="str">
        <f>tblUIText[[#This Row],[TR]]&amp;CHAR(10)&amp;tblUIText[[#This Row],[EN]]</f>
        <v>Bu işlem için yetkiniz yok: {0}. Rolünüz: {1}. Erişim için platform yöneticisine başvurun.
You are not allowed to run {0}. Your role: {1}. Ask a platform Administrator for access.</v>
      </c>
    </row>
    <row r="18" spans="1:32">
      <c r="A18" s="355" t="s">
        <v>16</v>
      </c>
      <c r="B18" s="355" t="s">
        <v>2647</v>
      </c>
      <c r="C18" s="355" t="s">
        <v>94</v>
      </c>
      <c r="D18" s="355" t="s">
        <v>95</v>
      </c>
      <c r="E18" s="355" t="s">
        <v>95</v>
      </c>
      <c r="F18" s="355" t="s">
        <v>3465</v>
      </c>
      <c r="G18" s="355"/>
      <c r="H18" s="355" t="s">
        <v>3479</v>
      </c>
      <c r="J18" s="355" t="s">
        <v>3005</v>
      </c>
      <c r="K18" s="355" t="s">
        <v>3142</v>
      </c>
      <c r="L18" s="355" t="s">
        <v>3484</v>
      </c>
      <c r="M18" s="355"/>
      <c r="N18" s="355"/>
      <c r="T18" s="354">
        <v>14</v>
      </c>
      <c r="U18" s="354" t="s">
        <v>20589</v>
      </c>
      <c r="V18" s="354" t="s">
        <v>2654</v>
      </c>
      <c r="W18" s="354" t="s">
        <v>20587</v>
      </c>
      <c r="AC18" s="395" t="s">
        <v>3531</v>
      </c>
      <c r="AD18" s="355" t="s">
        <v>3532</v>
      </c>
      <c r="AE18" s="355" t="s">
        <v>3533</v>
      </c>
      <c r="AF18" s="390" t="str">
        <f>tblUIText[[#This Row],[TR]]&amp;CHAR(10)&amp;tblUIText[[#This Row],[EN]]</f>
        <v>Güvenlik tabloları uygulama dışında değiştirilmiş; bir Yönetici inceleyene kadar herkes yalnızca görüntüleyebilir ({0} yapılamaz).
The security tables were changed outside the application; until an Administrator reviews them everyone can only view ({0} is not available).</v>
      </c>
    </row>
    <row r="19" spans="1:32">
      <c r="A19" s="355" t="s">
        <v>3119</v>
      </c>
      <c r="B19" s="355" t="s">
        <v>2647</v>
      </c>
      <c r="C19" s="355" t="s">
        <v>94</v>
      </c>
      <c r="D19" s="355" t="s">
        <v>95</v>
      </c>
      <c r="E19" s="355" t="s">
        <v>95</v>
      </c>
      <c r="F19" s="355" t="s">
        <v>3465</v>
      </c>
      <c r="G19" s="355"/>
      <c r="H19" s="355" t="s">
        <v>3120</v>
      </c>
      <c r="J19" s="355" t="s">
        <v>3008</v>
      </c>
      <c r="K19" s="355" t="s">
        <v>3143</v>
      </c>
      <c r="L19" s="355" t="s">
        <v>3484</v>
      </c>
      <c r="M19" s="355"/>
      <c r="N19" s="355"/>
      <c r="T19" s="354">
        <v>15</v>
      </c>
      <c r="U19" s="354" t="s">
        <v>3166</v>
      </c>
      <c r="V19" s="354" t="s">
        <v>2654</v>
      </c>
      <c r="W19" s="354" t="s">
        <v>3167</v>
      </c>
      <c r="AC19" s="395" t="s">
        <v>3534</v>
      </c>
      <c r="AD19" s="355" t="s">
        <v>3535</v>
      </c>
      <c r="AE19" s="355" t="s">
        <v>3536</v>
      </c>
      <c r="AF19" s="390" t="str">
        <f>tblUIText[[#This Row],[TR]]&amp;CHAR(10)&amp;tblUIText[[#This Row],[EN]]</f>
        <v>{0} için yönetici girişi (Windows kimliği ve yönetici parolası) gereklidir.
{0} needs the administrator sign-in (Windows identity and administrator password).</v>
      </c>
    </row>
    <row r="20" spans="1:32">
      <c r="A20" s="355" t="s">
        <v>3121</v>
      </c>
      <c r="B20" s="355" t="s">
        <v>2647</v>
      </c>
      <c r="C20" s="355" t="s">
        <v>94</v>
      </c>
      <c r="D20" s="355" t="s">
        <v>95</v>
      </c>
      <c r="E20" s="355" t="s">
        <v>95</v>
      </c>
      <c r="F20" s="355" t="s">
        <v>3465</v>
      </c>
      <c r="G20" s="355" t="s">
        <v>3480</v>
      </c>
      <c r="H20" s="355" t="s">
        <v>3481</v>
      </c>
      <c r="J20" s="355" t="s">
        <v>3496</v>
      </c>
      <c r="K20" s="355" t="s">
        <v>3497</v>
      </c>
      <c r="L20" s="355" t="s">
        <v>3484</v>
      </c>
      <c r="M20" s="355"/>
      <c r="N20" s="355" t="s">
        <v>3498</v>
      </c>
      <c r="T20" s="354">
        <v>16</v>
      </c>
      <c r="U20" s="354" t="s">
        <v>3168</v>
      </c>
      <c r="V20" s="354" t="s">
        <v>2655</v>
      </c>
      <c r="W20" s="354" t="s">
        <v>3169</v>
      </c>
      <c r="AC20" s="395" t="s">
        <v>3537</v>
      </c>
      <c r="AD20" s="355" t="s">
        <v>3538</v>
      </c>
      <c r="AE20" s="355" t="s">
        <v>3539</v>
      </c>
      <c r="AF20" s="390" t="str">
        <f>tblUIText[[#This Row],[TR]]&amp;CHAR(10)&amp;tblUIText[[#This Row],[EN]]</f>
        <v>{0} için yönetici parolası:
Administrator password for {0}:</v>
      </c>
    </row>
    <row r="21" spans="1:32">
      <c r="A21" s="355" t="s">
        <v>3122</v>
      </c>
      <c r="B21" s="355" t="s">
        <v>2647</v>
      </c>
      <c r="C21" s="355" t="s">
        <v>94</v>
      </c>
      <c r="D21" s="355" t="s">
        <v>95</v>
      </c>
      <c r="E21" s="355" t="s">
        <v>95</v>
      </c>
      <c r="F21" s="355" t="s">
        <v>3465</v>
      </c>
      <c r="G21" s="355"/>
      <c r="H21" s="355"/>
      <c r="J21" s="355" t="s">
        <v>3013</v>
      </c>
      <c r="K21" s="355" t="s">
        <v>128</v>
      </c>
      <c r="L21" s="355"/>
      <c r="M21" s="355"/>
      <c r="N21" s="355" t="s">
        <v>3499</v>
      </c>
      <c r="T21" s="354">
        <v>17</v>
      </c>
      <c r="U21" s="354" t="s">
        <v>3500</v>
      </c>
      <c r="V21" s="354" t="s">
        <v>3452</v>
      </c>
      <c r="W21" s="354" t="s">
        <v>3501</v>
      </c>
      <c r="AC21" s="395" t="s">
        <v>3540</v>
      </c>
      <c r="AD21" s="355" t="s">
        <v>3541</v>
      </c>
      <c r="AE21" s="355" t="s">
        <v>3542</v>
      </c>
      <c r="AF21" s="390" t="str">
        <f>tblUIText[[#This Row],[TR]]&amp;CHAR(10)&amp;tblUIText[[#This Row],[EN]]</f>
        <v>Parola yanlış (deneme {0} / {1}). {1} hatalı denemeden sonra giriş {2} dakika kilitlenir.
Wrong password (attempt {0} of {1}). After {1} failed attempts the sign-in is locked for {2} minutes.</v>
      </c>
    </row>
    <row r="22" spans="1:32">
      <c r="A22" s="355" t="s">
        <v>3123</v>
      </c>
      <c r="B22" s="355" t="s">
        <v>2647</v>
      </c>
      <c r="C22" s="355" t="s">
        <v>94</v>
      </c>
      <c r="D22" s="355" t="s">
        <v>95</v>
      </c>
      <c r="E22" s="355" t="s">
        <v>95</v>
      </c>
      <c r="F22" s="355" t="s">
        <v>3465</v>
      </c>
      <c r="G22" s="355"/>
      <c r="H22" s="355"/>
      <c r="J22" s="355" t="s">
        <v>17240</v>
      </c>
      <c r="K22" s="355" t="s">
        <v>16543</v>
      </c>
      <c r="L22" s="355" t="s">
        <v>3484</v>
      </c>
      <c r="M22" s="355"/>
      <c r="N22" s="355" t="s">
        <v>17241</v>
      </c>
      <c r="T22" s="354">
        <v>14</v>
      </c>
      <c r="U22" s="354" t="s">
        <v>18623</v>
      </c>
      <c r="V22" s="354" t="s">
        <v>2656</v>
      </c>
      <c r="W22" s="354" t="s">
        <v>18624</v>
      </c>
      <c r="AC22" s="395" t="s">
        <v>3543</v>
      </c>
      <c r="AD22" s="355" t="s">
        <v>3544</v>
      </c>
      <c r="AE22" s="355" t="s">
        <v>3545</v>
      </c>
      <c r="AF22" s="390" t="str">
        <f>tblUIText[[#This Row],[TR]]&amp;CHAR(10)&amp;tblUIText[[#This Row],[EN]]</f>
        <v>Parola {0} kez yanlış girildi: yönetici girişi {2} dakika kilitlendi. Tüm denemeler kayıt altındadır.
The password was wrong {0} times: the administrator sign-in is locked for {2} minutes. Every attempt is logged.</v>
      </c>
    </row>
    <row r="23" spans="1:32">
      <c r="A23" s="355" t="s">
        <v>3482</v>
      </c>
      <c r="B23" s="355" t="s">
        <v>2647</v>
      </c>
      <c r="C23" s="355" t="s">
        <v>94</v>
      </c>
      <c r="D23" s="355" t="s">
        <v>95</v>
      </c>
      <c r="E23" s="355" t="s">
        <v>95</v>
      </c>
      <c r="F23" s="355" t="s">
        <v>3295</v>
      </c>
      <c r="G23" s="355"/>
      <c r="H23" s="355"/>
      <c r="J23" s="355" t="s">
        <v>17242</v>
      </c>
      <c r="K23" s="355" t="s">
        <v>16554</v>
      </c>
      <c r="L23" s="355" t="s">
        <v>3484</v>
      </c>
      <c r="M23" s="355"/>
      <c r="N23" s="355" t="s">
        <v>17241</v>
      </c>
      <c r="T23" s="354">
        <v>15</v>
      </c>
      <c r="U23" s="354" t="s">
        <v>18625</v>
      </c>
      <c r="V23" s="354" t="s">
        <v>2656</v>
      </c>
      <c r="W23" s="354" t="s">
        <v>18624</v>
      </c>
      <c r="AC23" s="395" t="s">
        <v>3546</v>
      </c>
      <c r="AD23" s="355" t="s">
        <v>3547</v>
      </c>
      <c r="AE23" s="355" t="s">
        <v>3548</v>
      </c>
      <c r="AF23" s="390" t="str">
        <f>tblUIText[[#This Row],[TR]]&amp;CHAR(10)&amp;tblUIText[[#This Row],[EN]]</f>
        <v>Yönetici girişi {0} saatine kadar kilitli (çok sayıda hatalı deneme).
The administrator sign-in is locked until {0} (too many failed attempts).</v>
      </c>
    </row>
    <row r="24" spans="1:32">
      <c r="A24" s="355" t="s">
        <v>10</v>
      </c>
      <c r="B24" s="355" t="s">
        <v>2647</v>
      </c>
      <c r="C24" s="355" t="s">
        <v>94</v>
      </c>
      <c r="D24" s="355" t="s">
        <v>95</v>
      </c>
      <c r="E24" s="355" t="s">
        <v>95</v>
      </c>
      <c r="F24" s="355" t="s">
        <v>3465</v>
      </c>
      <c r="G24" s="355"/>
      <c r="H24" s="355"/>
      <c r="J24" s="355" t="s">
        <v>17243</v>
      </c>
      <c r="K24" s="355" t="s">
        <v>16645</v>
      </c>
      <c r="L24" s="355" t="s">
        <v>3484</v>
      </c>
      <c r="M24" s="355"/>
      <c r="N24" s="355" t="s">
        <v>17241</v>
      </c>
      <c r="T24" s="354">
        <v>16</v>
      </c>
      <c r="U24" s="354" t="s">
        <v>18626</v>
      </c>
      <c r="V24" s="354" t="s">
        <v>2656</v>
      </c>
      <c r="W24" s="354" t="s">
        <v>18624</v>
      </c>
      <c r="AC24" s="395" t="s">
        <v>3549</v>
      </c>
      <c r="AD24" s="355" t="s">
        <v>3550</v>
      </c>
      <c r="AE24" s="355" t="s">
        <v>3551</v>
      </c>
      <c r="AF24" s="390" t="str">
        <f>tblUIText[[#This Row],[TR]]&amp;CHAR(10)&amp;tblUIText[[#This Row],[EN]]</f>
        <v>{0} için yeni yönetici parolası (en az {1} karakter; oturum adınızı içermemeli). Yalnızca tuzlanmış ve tekrarlı bir özet saklanır; parola unutulursa başka bir Yönetici sıfırlar.
New administrator password for {0} (at least {1} characters, not containing your logon name). Only a salted, iterated hash is stored; if the password is lost, another Administrator resets it.</v>
      </c>
    </row>
    <row r="25" spans="1:32">
      <c r="A25" s="355" t="s">
        <v>11</v>
      </c>
      <c r="B25" s="355" t="s">
        <v>2647</v>
      </c>
      <c r="C25" s="355" t="s">
        <v>94</v>
      </c>
      <c r="D25" s="355" t="s">
        <v>95</v>
      </c>
      <c r="E25" s="355" t="s">
        <v>95</v>
      </c>
      <c r="F25" s="355" t="s">
        <v>3465</v>
      </c>
      <c r="G25" s="355"/>
      <c r="H25" s="355" t="s">
        <v>3483</v>
      </c>
      <c r="J25" s="355" t="s">
        <v>17244</v>
      </c>
      <c r="K25" s="355" t="s">
        <v>326</v>
      </c>
      <c r="L25" s="355" t="s">
        <v>3484</v>
      </c>
      <c r="M25" s="355"/>
      <c r="N25" s="355" t="s">
        <v>17241</v>
      </c>
      <c r="T25" s="354">
        <v>17</v>
      </c>
      <c r="U25" s="354" t="s">
        <v>18627</v>
      </c>
      <c r="V25" s="354" t="s">
        <v>2656</v>
      </c>
      <c r="W25" s="354" t="s">
        <v>18624</v>
      </c>
      <c r="AC25" s="395" t="s">
        <v>3552</v>
      </c>
      <c r="AD25" s="355" t="s">
        <v>3553</v>
      </c>
      <c r="AE25" s="355" t="s">
        <v>3554</v>
      </c>
      <c r="AF25" s="390" t="str">
        <f>tblUIText[[#This Row],[TR]]&amp;CHAR(10)&amp;tblUIText[[#This Row],[EN]]</f>
        <v>Parolayı tekrar girin:
Enter the password again:</v>
      </c>
    </row>
    <row r="26" spans="1:32">
      <c r="A26" s="355" t="s">
        <v>17</v>
      </c>
      <c r="B26" s="355" t="s">
        <v>2647</v>
      </c>
      <c r="C26" s="355" t="s">
        <v>94</v>
      </c>
      <c r="D26" s="355" t="s">
        <v>95</v>
      </c>
      <c r="E26" s="355" t="s">
        <v>95</v>
      </c>
      <c r="F26" s="355" t="s">
        <v>3465</v>
      </c>
      <c r="G26" s="355"/>
      <c r="H26" s="355"/>
      <c r="J26" s="355" t="s">
        <v>17245</v>
      </c>
      <c r="K26" s="355" t="s">
        <v>448</v>
      </c>
      <c r="L26" s="355" t="s">
        <v>3484</v>
      </c>
      <c r="M26" s="355"/>
      <c r="N26" s="355" t="s">
        <v>17241</v>
      </c>
      <c r="T26" s="354">
        <v>18</v>
      </c>
      <c r="U26" s="354" t="s">
        <v>18628</v>
      </c>
      <c r="V26" s="354" t="s">
        <v>2656</v>
      </c>
      <c r="W26" s="354" t="s">
        <v>18624</v>
      </c>
      <c r="AC26" s="395" t="s">
        <v>3555</v>
      </c>
      <c r="AD26" s="355" t="s">
        <v>3556</v>
      </c>
      <c r="AE26" s="355" t="s">
        <v>3557</v>
      </c>
      <c r="AF26" s="390" t="str">
        <f>tblUIText[[#This Row],[TR]]&amp;CHAR(10)&amp;tblUIText[[#This Row],[EN]]</f>
        <v>Parola kabul edilmedi: {0}. En az {1} karakter kullanın.
Password not accepted: {0}. Use at least {1} characters.</v>
      </c>
    </row>
    <row r="27" spans="1:32">
      <c r="A27" s="355" t="s">
        <v>18</v>
      </c>
      <c r="B27" s="355" t="s">
        <v>2647</v>
      </c>
      <c r="C27" s="355" t="s">
        <v>94</v>
      </c>
      <c r="D27" s="355" t="s">
        <v>95</v>
      </c>
      <c r="E27" s="355" t="s">
        <v>95</v>
      </c>
      <c r="F27" s="355" t="s">
        <v>3465</v>
      </c>
      <c r="G27" s="355"/>
      <c r="H27" s="355"/>
      <c r="J27" s="355" t="s">
        <v>17246</v>
      </c>
      <c r="K27" s="355" t="s">
        <v>427</v>
      </c>
      <c r="L27" s="355" t="s">
        <v>3484</v>
      </c>
      <c r="M27" s="355"/>
      <c r="N27" s="355" t="s">
        <v>17241</v>
      </c>
      <c r="T27" s="354">
        <v>19</v>
      </c>
      <c r="U27" s="354" t="s">
        <v>18629</v>
      </c>
      <c r="V27" s="354" t="s">
        <v>2656</v>
      </c>
      <c r="W27" s="354" t="s">
        <v>18624</v>
      </c>
      <c r="AC27" s="395" t="s">
        <v>3558</v>
      </c>
      <c r="AD27" s="355" t="s">
        <v>3559</v>
      </c>
      <c r="AE27" s="355" t="s">
        <v>3560</v>
      </c>
      <c r="AF27" s="390" t="str">
        <f>tblUIText[[#This Row],[TR]]&amp;CHAR(10)&amp;tblUIText[[#This Row],[EN]]</f>
        <v>Dört göz kontrolünü kapatmak yüksek riskli bir değişikliktir. Onaylamak için yönetici parolanızı tekrar girin:
Switching four-eyes off is a high-risk change. Enter your administrator password again to confirm:</v>
      </c>
    </row>
    <row r="28" spans="1:32">
      <c r="A28" s="355" t="s">
        <v>19</v>
      </c>
      <c r="B28" s="355" t="s">
        <v>2647</v>
      </c>
      <c r="C28" s="355" t="s">
        <v>94</v>
      </c>
      <c r="D28" s="355" t="s">
        <v>95</v>
      </c>
      <c r="E28" s="355" t="s">
        <v>95</v>
      </c>
      <c r="F28" s="355" t="s">
        <v>3465</v>
      </c>
      <c r="G28" s="355"/>
      <c r="H28" s="355"/>
      <c r="J28" s="355" t="s">
        <v>17247</v>
      </c>
      <c r="K28" s="355" t="s">
        <v>16699</v>
      </c>
      <c r="L28" s="355" t="s">
        <v>3484</v>
      </c>
      <c r="M28" s="355"/>
      <c r="N28" s="355" t="s">
        <v>17241</v>
      </c>
      <c r="T28" s="354">
        <v>20</v>
      </c>
      <c r="U28" s="354" t="s">
        <v>18630</v>
      </c>
      <c r="V28" s="354" t="s">
        <v>2656</v>
      </c>
      <c r="W28" s="354" t="s">
        <v>18624</v>
      </c>
      <c r="AC28" s="395" t="s">
        <v>3561</v>
      </c>
      <c r="AD28" s="355" t="s">
        <v>3562</v>
      </c>
      <c r="AE28" s="355" t="s">
        <v>3563</v>
      </c>
      <c r="AF28" s="390" t="str">
        <f>tblUIText[[#This Row],[TR]]&amp;CHAR(10)&amp;tblUIText[[#This Row],[EN]]</f>
        <v>Kullanıcılar ve roller (etkin Yönetici: {1})
1 Kullanıcı veya rol ekle
2 Rol kaldır
3 Başka bir yöneticinin parolasını sıfırla
4 Kendi parolanı değiştir
5 Komut yetkisini değiştir
6 Güvenlik tablolarını onayla (inceleme)
Seçiminiz (1-6):
Users and roles (active Administrators: {1}): 1 add a user or role, 2 remove a role, 3 reset another administrator's password, 4 change your own password, 5 change a command permission, 6 accept the security tables after a review. Your choice (1-6).
{0}</v>
      </c>
    </row>
    <row r="29" spans="1:32">
      <c r="A29" s="355" t="s">
        <v>3124</v>
      </c>
      <c r="B29" s="355" t="s">
        <v>2647</v>
      </c>
      <c r="C29" s="355" t="s">
        <v>94</v>
      </c>
      <c r="D29" s="355" t="s">
        <v>95</v>
      </c>
      <c r="E29" s="355" t="s">
        <v>95</v>
      </c>
      <c r="F29" s="355" t="s">
        <v>3295</v>
      </c>
      <c r="G29" s="355" t="s">
        <v>3484</v>
      </c>
      <c r="H29" s="355" t="s">
        <v>3471</v>
      </c>
      <c r="J29" s="355" t="s">
        <v>17248</v>
      </c>
      <c r="K29" s="355" t="s">
        <v>127</v>
      </c>
      <c r="L29" s="355" t="s">
        <v>3484</v>
      </c>
      <c r="M29" s="355"/>
      <c r="N29" s="355" t="s">
        <v>17241</v>
      </c>
      <c r="T29" s="354">
        <v>21</v>
      </c>
      <c r="U29" s="354" t="s">
        <v>18631</v>
      </c>
      <c r="V29" s="354" t="s">
        <v>2656</v>
      </c>
      <c r="W29" s="354" t="s">
        <v>18624</v>
      </c>
      <c r="AC29" s="395" t="s">
        <v>3564</v>
      </c>
      <c r="AD29" s="355" t="s">
        <v>3565</v>
      </c>
      <c r="AE29" s="355" t="s">
        <v>3566</v>
      </c>
      <c r="AF29" s="390" t="str">
        <f>tblUIText[[#This Row],[TR]]&amp;CHAR(10)&amp;tblUIText[[#This Row],[EN]]</f>
        <v>Kullanıcı (ALAN\oturum_adı; alan yazılmazsa {0} kullanılır):
User (DOMAIN\logon; without a domain {0} is used):</v>
      </c>
    </row>
    <row r="30" spans="1:32">
      <c r="A30" s="355" t="s">
        <v>3125</v>
      </c>
      <c r="B30" s="355" t="s">
        <v>2648</v>
      </c>
      <c r="C30" s="355" t="s">
        <v>94</v>
      </c>
      <c r="D30" s="355" t="s">
        <v>95</v>
      </c>
      <c r="E30" s="355" t="s">
        <v>94</v>
      </c>
      <c r="F30" s="355" t="s">
        <v>3465</v>
      </c>
      <c r="G30" s="355"/>
      <c r="H30" s="355" t="s">
        <v>3126</v>
      </c>
      <c r="J30" s="355" t="s">
        <v>17249</v>
      </c>
      <c r="K30" s="355" t="s">
        <v>16783</v>
      </c>
      <c r="L30" s="355" t="s">
        <v>3484</v>
      </c>
      <c r="M30" s="355"/>
      <c r="N30" s="355" t="s">
        <v>17241</v>
      </c>
      <c r="T30" s="354">
        <v>22</v>
      </c>
      <c r="U30" s="354" t="s">
        <v>18632</v>
      </c>
      <c r="V30" s="354" t="s">
        <v>2656</v>
      </c>
      <c r="W30" s="354" t="s">
        <v>18624</v>
      </c>
      <c r="AC30" s="395" t="s">
        <v>3567</v>
      </c>
      <c r="AD30" s="355" t="s">
        <v>3568</v>
      </c>
      <c r="AE30" s="355" t="s">
        <v>3569</v>
      </c>
      <c r="AF30" s="390" t="str">
        <f>tblUIText[[#This Row],[TR]]&amp;CHAR(10)&amp;tblUIText[[#This Row],[EN]]</f>
        <v>{0} için görünen ad:
Display name of {0}:</v>
      </c>
    </row>
    <row r="31" spans="1:32">
      <c r="A31" s="355" t="s">
        <v>20585</v>
      </c>
      <c r="B31" s="355" t="s">
        <v>2648</v>
      </c>
      <c r="C31" s="355" t="s">
        <v>94</v>
      </c>
      <c r="D31" s="355" t="s">
        <v>94</v>
      </c>
      <c r="E31" s="355" t="s">
        <v>94</v>
      </c>
      <c r="F31" s="355" t="s">
        <v>3465</v>
      </c>
      <c r="G31" s="355"/>
      <c r="H31" s="355" t="s">
        <v>20584</v>
      </c>
      <c r="J31" s="355" t="s">
        <v>17250</v>
      </c>
      <c r="K31" s="355" t="s">
        <v>16787</v>
      </c>
      <c r="L31" s="355" t="s">
        <v>3484</v>
      </c>
      <c r="M31" s="355"/>
      <c r="N31" s="355" t="s">
        <v>17241</v>
      </c>
      <c r="T31" s="354">
        <v>23</v>
      </c>
      <c r="U31" s="354" t="s">
        <v>18633</v>
      </c>
      <c r="V31" s="354" t="s">
        <v>2656</v>
      </c>
      <c r="W31" s="354" t="s">
        <v>18624</v>
      </c>
      <c r="AC31" s="395" t="s">
        <v>3570</v>
      </c>
      <c r="AD31" s="355" t="s">
        <v>3571</v>
      </c>
      <c r="AE31" s="355" t="s">
        <v>3572</v>
      </c>
      <c r="AF31" s="390" t="str">
        <f>tblUIText[[#This Row],[TR]]&amp;CHAR(10)&amp;tblUIText[[#This Row],[EN]]</f>
        <v>Roller (virgülle ayırın): Analyst, Preparer, Reviewer, Administrator. Rolü olmayan herkes Viewer'dır.
Roles (comma separated): Analyst, Preparer, Reviewer, Administrator. Everyone without a role is a Viewer.</v>
      </c>
    </row>
    <row r="32" spans="1:32">
      <c r="A32" s="355" t="s">
        <v>81</v>
      </c>
      <c r="B32" s="355" t="s">
        <v>2648</v>
      </c>
      <c r="C32" s="355" t="s">
        <v>94</v>
      </c>
      <c r="D32" s="355" t="s">
        <v>95</v>
      </c>
      <c r="E32" s="355" t="s">
        <v>94</v>
      </c>
      <c r="F32" s="355" t="s">
        <v>3465</v>
      </c>
      <c r="G32" s="355"/>
      <c r="H32" s="355" t="s">
        <v>3127</v>
      </c>
      <c r="J32" s="355" t="s">
        <v>17251</v>
      </c>
      <c r="K32" s="355" t="s">
        <v>16800</v>
      </c>
      <c r="L32" s="355" t="s">
        <v>3484</v>
      </c>
      <c r="M32" s="355"/>
      <c r="N32" s="355" t="s">
        <v>17241</v>
      </c>
      <c r="T32" s="354">
        <v>24</v>
      </c>
      <c r="U32" s="354" t="s">
        <v>18634</v>
      </c>
      <c r="V32" s="354" t="s">
        <v>2656</v>
      </c>
      <c r="W32" s="354" t="s">
        <v>18624</v>
      </c>
      <c r="AC32" s="395" t="s">
        <v>3573</v>
      </c>
      <c r="AD32" s="355" t="s">
        <v>3574</v>
      </c>
      <c r="AE32" s="355" t="s">
        <v>3575</v>
      </c>
      <c r="AF32" s="390" t="str">
        <f>tblUIText[[#This Row],[TR]]&amp;CHAR(10)&amp;tblUIText[[#This Row],[EN]]</f>
        <v>Kaldırılacak roller (şu an: {0}):
Roles to remove (now: {0}):</v>
      </c>
    </row>
    <row r="33" spans="1:32">
      <c r="A33" s="355" t="s">
        <v>3128</v>
      </c>
      <c r="B33" s="355" t="s">
        <v>2648</v>
      </c>
      <c r="C33" s="355" t="s">
        <v>94</v>
      </c>
      <c r="D33" s="355" t="s">
        <v>94</v>
      </c>
      <c r="E33" s="355" t="s">
        <v>95</v>
      </c>
      <c r="F33" s="355" t="s">
        <v>3465</v>
      </c>
      <c r="G33" s="355"/>
      <c r="H33" s="355" t="s">
        <v>3129</v>
      </c>
      <c r="J33" s="355" t="s">
        <v>16814</v>
      </c>
      <c r="K33" s="355" t="s">
        <v>16814</v>
      </c>
      <c r="L33" s="355" t="s">
        <v>3484</v>
      </c>
      <c r="M33" s="355"/>
      <c r="N33" s="355" t="s">
        <v>17241</v>
      </c>
      <c r="T33" s="354">
        <v>25</v>
      </c>
      <c r="U33" s="354" t="s">
        <v>18635</v>
      </c>
      <c r="V33" s="354" t="s">
        <v>2656</v>
      </c>
      <c r="W33" s="354" t="s">
        <v>18624</v>
      </c>
      <c r="AC33" s="395" t="s">
        <v>3576</v>
      </c>
      <c r="AD33" s="355" t="s">
        <v>3577</v>
      </c>
      <c r="AE33" s="355" t="s">
        <v>3578</v>
      </c>
      <c r="AF33" s="390" t="str">
        <f>tblUIText[[#This Row],[TR]]&amp;CHAR(10)&amp;tblUIText[[#This Row],[EN]]</f>
        <v>{1} kullanıcısından {0} rolü kaldırılsın mı? Satırlar geçmiş olarak saklanır.
Remove the role(s) {0} from {1}? The rows are kept as history.</v>
      </c>
    </row>
    <row r="34" spans="1:32">
      <c r="A34" s="355" t="s">
        <v>3130</v>
      </c>
      <c r="B34" s="355" t="s">
        <v>2649</v>
      </c>
      <c r="C34" s="355" t="s">
        <v>94</v>
      </c>
      <c r="D34" s="355" t="s">
        <v>95</v>
      </c>
      <c r="E34" s="355" t="s">
        <v>94</v>
      </c>
      <c r="F34" s="355" t="s">
        <v>3465</v>
      </c>
      <c r="G34" s="355"/>
      <c r="H34" s="355" t="s">
        <v>3131</v>
      </c>
      <c r="J34" s="355" t="s">
        <v>17252</v>
      </c>
      <c r="K34" s="355" t="s">
        <v>16878</v>
      </c>
      <c r="L34" s="355" t="s">
        <v>3484</v>
      </c>
      <c r="M34" s="355"/>
      <c r="N34" s="355" t="s">
        <v>17241</v>
      </c>
      <c r="T34" s="354">
        <v>26</v>
      </c>
      <c r="U34" s="354" t="s">
        <v>18636</v>
      </c>
      <c r="V34" s="354" t="s">
        <v>2656</v>
      </c>
      <c r="W34" s="354" t="s">
        <v>18624</v>
      </c>
      <c r="AC34" s="395" t="s">
        <v>3579</v>
      </c>
      <c r="AD34" s="355" t="s">
        <v>3580</v>
      </c>
      <c r="AE34" s="355" t="s">
        <v>3581</v>
      </c>
      <c r="AF34" s="390" t="str">
        <f>tblUIText[[#This Row],[TR]]&amp;CHAR(10)&amp;tblUIText[[#This Row],[EN]]</f>
        <v>Parolası sıfırlanacak Yönetici (ALAN\oturum_adı):
Administrator whose password is reset (DOMAIN\logon):</v>
      </c>
    </row>
    <row r="35" spans="1:32">
      <c r="A35" s="355" t="s">
        <v>3485</v>
      </c>
      <c r="B35" s="355" t="s">
        <v>2649</v>
      </c>
      <c r="C35" s="355" t="s">
        <v>94</v>
      </c>
      <c r="D35" s="355" t="s">
        <v>95</v>
      </c>
      <c r="E35" s="355" t="s">
        <v>95</v>
      </c>
      <c r="F35" s="355" t="s">
        <v>3465</v>
      </c>
      <c r="G35" s="355"/>
      <c r="H35" s="355" t="s">
        <v>3486</v>
      </c>
      <c r="J35" s="355" t="s">
        <v>17253</v>
      </c>
      <c r="K35" s="355" t="s">
        <v>16889</v>
      </c>
      <c r="L35" s="355" t="s">
        <v>3484</v>
      </c>
      <c r="M35" s="355"/>
      <c r="N35" s="355" t="s">
        <v>17241</v>
      </c>
      <c r="T35" s="354">
        <v>27</v>
      </c>
      <c r="U35" s="354" t="s">
        <v>18637</v>
      </c>
      <c r="V35" s="354" t="s">
        <v>2656</v>
      </c>
      <c r="W35" s="354" t="s">
        <v>18624</v>
      </c>
      <c r="AC35" s="395" t="s">
        <v>3582</v>
      </c>
      <c r="AD35" s="355" t="s">
        <v>3583</v>
      </c>
      <c r="AE35" s="355" t="s">
        <v>3584</v>
      </c>
      <c r="AF35" s="390" t="str">
        <f>tblUIText[[#This Row],[TR]]&amp;CHAR(10)&amp;tblUIText[[#This Row],[EN]]</f>
        <v>{0} kullanıcısının yönetici parolası sıfırlansın mı? Bir sonraki girişte yeni parola belirler. İşlem yüksek önem düzeyiyle kaydedilir.
Reset the administrator password of {0}? The user sets a new one at the next sign-in. This is logged with severity HIGH.</v>
      </c>
    </row>
    <row r="36" spans="1:32">
      <c r="A36" s="355" t="s">
        <v>2623</v>
      </c>
      <c r="B36" s="355" t="s">
        <v>2649</v>
      </c>
      <c r="C36" s="355" t="s">
        <v>94</v>
      </c>
      <c r="D36" s="355" t="s">
        <v>95</v>
      </c>
      <c r="E36" s="355" t="s">
        <v>95</v>
      </c>
      <c r="F36" s="355" t="s">
        <v>3465</v>
      </c>
      <c r="G36" s="355"/>
      <c r="H36" s="355" t="s">
        <v>3132</v>
      </c>
      <c r="J36" s="355" t="s">
        <v>17254</v>
      </c>
      <c r="K36" s="355" t="s">
        <v>16917</v>
      </c>
      <c r="L36" s="355" t="s">
        <v>3484</v>
      </c>
      <c r="M36" s="355"/>
      <c r="N36" s="355" t="s">
        <v>17255</v>
      </c>
      <c r="T36" s="354">
        <v>28</v>
      </c>
      <c r="U36" s="354" t="s">
        <v>18638</v>
      </c>
      <c r="V36" s="354" t="s">
        <v>2656</v>
      </c>
      <c r="W36" s="354" t="s">
        <v>18624</v>
      </c>
      <c r="AC36" s="395" t="s">
        <v>3585</v>
      </c>
      <c r="AD36" s="355" t="s">
        <v>3586</v>
      </c>
      <c r="AE36" s="355" t="s">
        <v>3587</v>
      </c>
      <c r="AF36" s="390" t="str">
        <f>tblUIText[[#This Row],[TR]]&amp;CHAR(10)&amp;tblUIText[[#This Row],[EN]]</f>
        <v>Komut veya yetki (ör. Cmd_RefreshAll, Edit_Recon):
Command or permission (e.g. Cmd_RefreshAll, Edit_Recon):</v>
      </c>
    </row>
    <row r="37" spans="1:32">
      <c r="A37" s="355" t="s">
        <v>17235</v>
      </c>
      <c r="B37" s="355" t="s">
        <v>2647</v>
      </c>
      <c r="C37" s="355" t="s">
        <v>94</v>
      </c>
      <c r="D37" s="355" t="s">
        <v>95</v>
      </c>
      <c r="E37" s="355" t="s">
        <v>95</v>
      </c>
      <c r="F37" s="355" t="s">
        <v>17233</v>
      </c>
      <c r="G37" s="355" t="s">
        <v>3484</v>
      </c>
      <c r="H37" s="355" t="s">
        <v>17234</v>
      </c>
      <c r="J37" s="355" t="s">
        <v>17256</v>
      </c>
      <c r="K37" s="355" t="s">
        <v>16918</v>
      </c>
      <c r="L37" s="355" t="s">
        <v>3484</v>
      </c>
      <c r="M37" s="355"/>
      <c r="N37" s="355" t="s">
        <v>17257</v>
      </c>
      <c r="T37" s="354">
        <v>29</v>
      </c>
      <c r="U37" s="354" t="s">
        <v>18639</v>
      </c>
      <c r="V37" s="354" t="s">
        <v>2656</v>
      </c>
      <c r="W37" s="354" t="s">
        <v>18624</v>
      </c>
      <c r="AC37" s="395" t="s">
        <v>3588</v>
      </c>
      <c r="AD37" s="355" t="s">
        <v>3589</v>
      </c>
      <c r="AE37" s="355" t="s">
        <v>3590</v>
      </c>
      <c r="AF37" s="390" t="str">
        <f>tblUIText[[#This Row],[TR]]&amp;CHAR(10)&amp;tblUIText[[#This Row],[EN]]</f>
        <v>{0} için rol ve değer (ör. Reviewer=Y veya Analyst=N):
Role and value for {0} (e.g. Reviewer=Y or Analyst=N):</v>
      </c>
    </row>
    <row r="38" spans="1:32">
      <c r="A38" s="355" t="s">
        <v>17237</v>
      </c>
      <c r="B38" s="355" t="s">
        <v>2647</v>
      </c>
      <c r="C38" s="355" t="s">
        <v>94</v>
      </c>
      <c r="D38" s="355" t="s">
        <v>95</v>
      </c>
      <c r="E38" s="355" t="s">
        <v>95</v>
      </c>
      <c r="F38" s="355" t="s">
        <v>3465</v>
      </c>
      <c r="G38" s="355" t="s">
        <v>3484</v>
      </c>
      <c r="H38" s="355" t="s">
        <v>17236</v>
      </c>
      <c r="J38" s="355" t="s">
        <v>20581</v>
      </c>
      <c r="K38" s="355" t="s">
        <v>20582</v>
      </c>
      <c r="L38" s="355"/>
      <c r="M38" s="355"/>
      <c r="N38" s="355" t="s">
        <v>20583</v>
      </c>
      <c r="T38" s="354"/>
      <c r="U38" s="354" t="s">
        <v>20293</v>
      </c>
      <c r="V38" s="354" t="s">
        <v>2656</v>
      </c>
      <c r="W38" s="354" t="s">
        <v>20294</v>
      </c>
      <c r="AC38" s="395" t="s">
        <v>3591</v>
      </c>
      <c r="AD38" s="355" t="s">
        <v>3592</v>
      </c>
      <c r="AE38" s="355" t="s">
        <v>3593</v>
      </c>
      <c r="AF38" s="390" t="str">
        <f>tblUIText[[#This Row],[TR]]&amp;CHAR(10)&amp;tblUIText[[#This Row],[EN]]</f>
        <v>Güvenlik tabloları uygulama dışında değişmiş: {0}
İnceledikten sonra mevcut tabloları kabul ediyor musunuz? (Hayır: BT çalışma kitabını yedekten geri yükler.)
The security tables changed outside the application: {0}. After your review, do you accept the current tables? (No: IT restores the workbook from backup.)
{1}</v>
      </c>
    </row>
    <row r="39" spans="1:32">
      <c r="A39" s="355" t="s">
        <v>17239</v>
      </c>
      <c r="B39" s="355" t="s">
        <v>2647</v>
      </c>
      <c r="C39" s="355" t="s">
        <v>94</v>
      </c>
      <c r="D39" s="355" t="s">
        <v>95</v>
      </c>
      <c r="E39" s="355" t="s">
        <v>95</v>
      </c>
      <c r="F39" s="355" t="s">
        <v>3465</v>
      </c>
      <c r="G39" s="355" t="s">
        <v>3484</v>
      </c>
      <c r="H39" s="355" t="s">
        <v>17238</v>
      </c>
      <c r="T39" s="354">
        <v>18</v>
      </c>
      <c r="U39" s="354" t="s">
        <v>20590</v>
      </c>
      <c r="V39" s="354" t="s">
        <v>20591</v>
      </c>
      <c r="W39" s="354" t="s">
        <v>20592</v>
      </c>
      <c r="AC39" s="395" t="s">
        <v>3594</v>
      </c>
      <c r="AD39" s="355" t="s">
        <v>3595</v>
      </c>
      <c r="AE39" s="355" t="s">
        <v>3596</v>
      </c>
      <c r="AF39" s="390" t="str">
        <f>tblUIText[[#This Row],[TR]]&amp;CHAR(10)&amp;tblUIText[[#This Row],[EN]]</f>
        <v>Uzun süren bir işlem çalışıyor: {0}. Bitmesini bekleyin. {1} saatten eski bir kilidi bir Yönetici kaldırabilir.
A long command is running: {0}. Wait until it finishes. An Administrator can clear a lock older than {1} hours.</v>
      </c>
    </row>
    <row r="40" spans="1:32">
      <c r="A40" s="355" t="s">
        <v>19073</v>
      </c>
      <c r="B40" s="355" t="s">
        <v>2648</v>
      </c>
      <c r="C40" s="355" t="s">
        <v>94</v>
      </c>
      <c r="D40" s="355" t="s">
        <v>94</v>
      </c>
      <c r="E40" s="355" t="s">
        <v>95</v>
      </c>
      <c r="F40" s="355" t="s">
        <v>3465</v>
      </c>
      <c r="G40" s="355"/>
      <c r="H40" s="355" t="s">
        <v>19072</v>
      </c>
      <c r="T40" s="354">
        <v>19</v>
      </c>
      <c r="U40" s="354" t="s">
        <v>20593</v>
      </c>
      <c r="V40" s="354" t="s">
        <v>20594</v>
      </c>
      <c r="W40" s="354" t="s">
        <v>20595</v>
      </c>
      <c r="AC40" s="395" t="s">
        <v>3597</v>
      </c>
      <c r="AD40" s="355" t="s">
        <v>3598</v>
      </c>
      <c r="AE40" s="355" t="s">
        <v>3599</v>
      </c>
      <c r="AF40" s="390" t="str">
        <f>tblUIText[[#This Row],[TR]]&amp;CHAR(10)&amp;tblUIText[[#This Row],[EN]]</f>
        <v>Kilit dosyası yazılamadı ({0}). Platform klasörüne yazma izniniz olmalı (BT).
The lock file cannot be written ({0}). You need write access to the platform folder (IT).</v>
      </c>
    </row>
    <row r="41" spans="1:32">
      <c r="A41" s="355" t="s">
        <v>21435</v>
      </c>
      <c r="B41" s="355" t="s">
        <v>2647</v>
      </c>
      <c r="C41" s="355" t="s">
        <v>94</v>
      </c>
      <c r="D41" s="355" t="s">
        <v>95</v>
      </c>
      <c r="E41" s="355" t="s">
        <v>95</v>
      </c>
      <c r="F41" s="355" t="s">
        <v>3469</v>
      </c>
      <c r="G41" s="355"/>
      <c r="H41" s="355" t="s">
        <v>21434</v>
      </c>
      <c r="T41" s="354">
        <v>20</v>
      </c>
      <c r="U41" s="354" t="s">
        <v>20596</v>
      </c>
      <c r="V41" s="354" t="s">
        <v>20594</v>
      </c>
      <c r="W41" s="354" t="s">
        <v>20595</v>
      </c>
      <c r="AC41" s="395" t="s">
        <v>3600</v>
      </c>
      <c r="AD41" s="355" t="s">
        <v>3601</v>
      </c>
      <c r="AE41" s="355" t="s">
        <v>3602</v>
      </c>
      <c r="AF41" s="390" t="str">
        <f>tblUIText[[#This Row],[TR]]&amp;CHAR(10)&amp;tblUIText[[#This Row],[EN]]</f>
        <v>Kilit dosyası: {0}
Kaldırılsın mı? İşlem yüksek önem düzeyiyle kaydedilir.
Lock file: {0}. Clear it? This is logged with severity HIGH.</v>
      </c>
    </row>
    <row r="42" spans="1:32">
      <c r="A42" s="355" t="s">
        <v>19075</v>
      </c>
      <c r="B42" s="355" t="s">
        <v>2647</v>
      </c>
      <c r="C42" s="355" t="s">
        <v>94</v>
      </c>
      <c r="D42" s="355" t="s">
        <v>95</v>
      </c>
      <c r="E42" s="355" t="s">
        <v>95</v>
      </c>
      <c r="F42" s="355" t="s">
        <v>3465</v>
      </c>
      <c r="G42" s="355"/>
      <c r="H42" s="355" t="s">
        <v>19074</v>
      </c>
      <c r="T42" s="354">
        <v>21</v>
      </c>
      <c r="U42" s="354" t="s">
        <v>21417</v>
      </c>
      <c r="V42" s="354" t="s">
        <v>21418</v>
      </c>
      <c r="W42" s="354" t="s">
        <v>21419</v>
      </c>
      <c r="AC42" s="395" t="s">
        <v>3603</v>
      </c>
      <c r="AD42" s="355" t="s">
        <v>3604</v>
      </c>
      <c r="AE42" s="355" t="s">
        <v>3605</v>
      </c>
      <c r="AF42" s="390" t="str">
        <f>tblUIText[[#This Row],[TR]]&amp;CHAR(10)&amp;tblUIText[[#This Row],[EN]]</f>
        <v>Rol tablosu uygulama dışında değiştirilmiş – bir Yönetici incelemeli. O zamana kadar herkes Görüntüleyici. ({0})
Role table modified outside the application – Administrator must review. Everyone is a Viewer until then. ({0})</v>
      </c>
    </row>
    <row r="43" spans="1:32">
      <c r="A43" s="355" t="s">
        <v>21751</v>
      </c>
      <c r="B43" s="355" t="s">
        <v>2647</v>
      </c>
      <c r="C43" s="355" t="s">
        <v>94</v>
      </c>
      <c r="D43" s="355" t="s">
        <v>95</v>
      </c>
      <c r="E43" s="355" t="s">
        <v>95</v>
      </c>
      <c r="F43" s="355" t="s">
        <v>3465</v>
      </c>
      <c r="G43" s="355"/>
      <c r="H43" s="355" t="s">
        <v>21750</v>
      </c>
      <c r="AC43" s="395" t="s">
        <v>3606</v>
      </c>
      <c r="AD43" s="355" t="s">
        <v>3607</v>
      </c>
      <c r="AE43" s="355" t="s">
        <v>3608</v>
      </c>
      <c r="AF43" s="390" t="str">
        <f>tblUIText[[#This Row],[TR]]&amp;CHAR(10)&amp;tblUIText[[#This Row],[EN]]</f>
        <v>Bir KOPYA üzerinde çalışıyorsunuz: {0}. Platformun yeri: {1}. Veri değiştiren komutlar kapalı.
You are working on a COPY: {0}. The platform lives at {1}. Commands that change data are disabled.</v>
      </c>
    </row>
    <row r="44" spans="1:32">
      <c r="A44" s="355" t="s">
        <v>21752</v>
      </c>
      <c r="B44" s="355" t="s">
        <v>2647</v>
      </c>
      <c r="C44" s="355" t="s">
        <v>94</v>
      </c>
      <c r="D44" s="355" t="s">
        <v>95</v>
      </c>
      <c r="E44" s="355" t="s">
        <v>95</v>
      </c>
      <c r="F44" s="355" t="s">
        <v>3465</v>
      </c>
      <c r="G44" s="355"/>
      <c r="H44" s="355" t="s">
        <v>21750</v>
      </c>
      <c r="AC44" s="395" t="s">
        <v>3609</v>
      </c>
      <c r="AD44" s="355" t="s">
        <v>3610</v>
      </c>
      <c r="AE44" s="355" t="s">
        <v>3611</v>
      </c>
      <c r="AF44" s="390" t="str">
        <f>tblUIText[[#This Row],[TR]]&amp;CHAR(10)&amp;tblUIText[[#This Row],[EN]]</f>
        <v>Ayar dosyası bulunamadı veya klasöre ulaşılamıyor: {0}. Bir Yönetici Kurulum'u çalıştırmalı.
Settings file not found or folder unreachable: {0}. An Administrator must run Setup.</v>
      </c>
    </row>
    <row r="45" spans="1:32">
      <c r="A45" s="355" t="s">
        <v>21753</v>
      </c>
      <c r="B45" s="355" t="s">
        <v>2647</v>
      </c>
      <c r="C45" s="355" t="s">
        <v>94</v>
      </c>
      <c r="D45" s="355" t="s">
        <v>95</v>
      </c>
      <c r="E45" s="355" t="s">
        <v>95</v>
      </c>
      <c r="F45" s="355" t="s">
        <v>3465</v>
      </c>
      <c r="G45" s="355"/>
      <c r="H45" s="355" t="s">
        <v>21750</v>
      </c>
      <c r="AC45" s="395" t="s">
        <v>3612</v>
      </c>
      <c r="AD45" s="355" t="s">
        <v>3613</v>
      </c>
      <c r="AE45" s="355" t="s">
        <v>3614</v>
      </c>
      <c r="AF45" s="390" t="str">
        <f>tblUIText[[#This Row],[TR]]&amp;CHAR(10)&amp;tblUIText[[#This Row],[EN]]</f>
        <v>Dosya salt okunur açık (başka bir kullanıcı açmış: {0}). Görüntüleyebilirsiniz; değişiklik yapamazsınız.
The file is open read-only (another user has it open: {0}). You can look, but not change anything.</v>
      </c>
    </row>
    <row r="46" spans="1:32">
      <c r="AC46" s="395" t="s">
        <v>3615</v>
      </c>
      <c r="AD46" s="355" t="s">
        <v>3616</v>
      </c>
      <c r="AE46" s="355" t="s">
        <v>3617</v>
      </c>
      <c r="AF46" s="390" t="str">
        <f>tblUIText[[#This Row],[TR]]&amp;CHAR(10)&amp;tblUIText[[#This Row],[EN]]</f>
        <v>Dosya salt okunur açık (yalnızca okuma izniniz var). Görüntüleyebilirsiniz; değişiklik yapamazsınız.
The file is open read-only (you have read access only). You can look, but not change anything.</v>
      </c>
    </row>
    <row r="47" spans="1:32">
      <c r="AC47" s="395" t="s">
        <v>3618</v>
      </c>
      <c r="AD47" s="355" t="s">
        <v>3619</v>
      </c>
      <c r="AE47" s="355" t="s">
        <v>3620</v>
      </c>
      <c r="AF47" s="390" t="str">
        <f>tblUIText[[#This Row],[TR]]&amp;CHAR(10)&amp;tblUIText[[#This Row],[EN]]</f>
        <v>Uzun süren bir işlem çalışıyor: {0}. Bittiğinde dosyayı yeniden açın.
A long command is running: {0}. Re-open the file when it has finished.</v>
      </c>
    </row>
    <row r="48" spans="1:32">
      <c r="AC48" s="395" t="s">
        <v>3621</v>
      </c>
      <c r="AD48" s="355" t="s">
        <v>3622</v>
      </c>
      <c r="AE48" s="355" t="s">
        <v>3623</v>
      </c>
      <c r="AF48" s="390" t="str">
        <f>tblUIText[[#This Row],[TR]]&amp;CHAR(10)&amp;tblUIText[[#This Row],[EN]]</f>
        <v>Rolünüz yok – salt okunur erişim. Pano ve raporları görebilir, Pano PDF'i alabilirsiniz. Rol için platform yöneticisine başvurun.
You have no role – read-only access. You can view the dashboard and reports and export the Dashboard PDF. Ask a platform Administrator for a role.</v>
      </c>
    </row>
    <row r="49" spans="29:32">
      <c r="AC49" s="395" t="s">
        <v>3624</v>
      </c>
      <c r="AD49" s="355" t="s">
        <v>3625</v>
      </c>
      <c r="AE49" s="355" t="s">
        <v>3626</v>
      </c>
      <c r="AF49" s="390" t="str">
        <f>tblUIText[[#This Row],[TR]]&amp;CHAR(10)&amp;tblUIText[[#This Row],[EN]]</f>
        <v>Kurulum henüz tamamlanmadı. Şimdi başlatılsın mı? (Hayır: daha sonra Giriş sayfasındaki Kurulum düğmesiyle başlatabilirsiniz.)
Setup is not completed yet. Start it now? (No: start it later with the Setup button on Home.)</v>
      </c>
    </row>
    <row r="50" spans="29:32">
      <c r="AC50" s="395" t="s">
        <v>3627</v>
      </c>
      <c r="AD50" s="355" t="s">
        <v>3628</v>
      </c>
      <c r="AE50" s="355" t="s">
        <v>3629</v>
      </c>
      <c r="AF50" s="390" t="str">
        <f>tblUIText[[#This Row],[TR]]&amp;CHAR(10)&amp;tblUIText[[#This Row],[EN]]</f>
        <v>Bu platformda henüz Yönetici yok. İlk Yönetici siz ({0}) olmak ister misiniz? Bu yalnızca bir kez yapılabilir; şimdi yönetici parolanızı belirlersiniz ve işlem kaydedilir.
This platform has no Administrator yet. Do you want to become the first Administrator ({0})? This can be done only once; you set your administrator password now, and the claim is logged.</v>
      </c>
    </row>
    <row r="51" spans="29:32">
      <c r="AC51" s="395" t="s">
        <v>3630</v>
      </c>
      <c r="AD51" s="355" t="s">
        <v>3631</v>
      </c>
      <c r="AE51" s="355" t="s">
        <v>3632</v>
      </c>
      <c r="AF51" s="390" t="str">
        <f>tblUIText[[#This Row],[TR]]&amp;CHAR(10)&amp;tblUIText[[#This Row],[EN]]</f>
        <v>Görünen adınız (değişiklik kaydında ve onaylarda görünür):
Your display name (shown in the changelog and sign-offs):</v>
      </c>
    </row>
    <row r="52" spans="29:32">
      <c r="AC52" s="395" t="s">
        <v>3633</v>
      </c>
      <c r="AD52" s="355" t="s">
        <v>3634</v>
      </c>
      <c r="AE52" s="355" t="s">
        <v>3635</v>
      </c>
      <c r="AF52" s="390" t="str">
        <f>tblUIText[[#This Row],[TR]]&amp;CHAR(10)&amp;tblUIText[[#This Row],[EN]]</f>
        <v>Kurulum ({0}): 1 Kaynak klasör, 2 Platform klasörleri, 3 Doğrulama, 4 Keşif, 5 Kullanıcılar, 6 Döviz kontrolü, 7 Bitiş. Her adım ne bulduğunu gösterir; İptal ile istediğiniz an çıkabilirsiniz. Başlansın mı?
Setup ({0}): 1 source folder, 2 platform folders, 3 validation, 4 discovery, 5 users, 6 FX check, 7 finish. Each step shows what it found; Cancel stops at any time. Start?</v>
      </c>
    </row>
    <row r="53" spans="29:32">
      <c r="AC53" s="395" t="s">
        <v>3636</v>
      </c>
      <c r="AD53" s="355" t="s">
        <v>3637</v>
      </c>
      <c r="AE53" s="355" t="s">
        <v>3638</v>
      </c>
      <c r="AF53" s="390" t="str">
        <f>tblUIText[[#This Row],[TR]]&amp;CHAR(10)&amp;tblUIText[[#This Row],[EN]]</f>
        <v>Kurulum yeniden çalıştırılıyor ({0}). Mevcut değerler öneri olarak gösterilir; her değişiklik eski ve yeni değeriyle kaydedilir. Devam edilsin mi?
Setup runs again ({0}). The current values are proposed; every change is logged with its old and new value. Continue?</v>
      </c>
    </row>
    <row r="54" spans="29:32">
      <c r="AC54" s="395" t="s">
        <v>3639</v>
      </c>
      <c r="AD54" s="355" t="s">
        <v>3640</v>
      </c>
      <c r="AE54" s="355" t="s">
        <v>3641</v>
      </c>
      <c r="AF54" s="390" t="str">
        <f>tblUIText[[#This Row],[TR]]&amp;CHAR(10)&amp;tblUIText[[#This Row],[EN]]</f>
        <v>Bu dosya kayıtlı platform konumunda değil.
Bu dosya: {0}
Kayıtlı konum: {1}
Platform buraya TAŞINDI mı? (Evet: bu konum yeni platform yeri olarak kaydedilir.)
This file is not at the registered platform location. Has the platform been MOVED here? (Yes: this location becomes the platform home.)</v>
      </c>
    </row>
    <row r="55" spans="29:32">
      <c r="AC55" s="395" t="s">
        <v>3642</v>
      </c>
      <c r="AD55" s="355" t="s">
        <v>3643</v>
      </c>
      <c r="AE55" s="355" t="s">
        <v>3644</v>
      </c>
      <c r="AF55" s="390" t="str">
        <f>tblUIText[[#This Row],[TR]]&amp;CHAR(10)&amp;tblUIText[[#This Row],[EN]]</f>
        <v>Kaynak klasör (şirket ödeme dosyaları)
Source folder (company payment files)</v>
      </c>
    </row>
    <row r="56" spans="29:32">
      <c r="AC56" s="395" t="s">
        <v>3645</v>
      </c>
      <c r="AD56" s="355" t="s">
        <v>3646</v>
      </c>
      <c r="AE56" s="355" t="s">
        <v>3647</v>
      </c>
      <c r="AF56" s="390" t="str">
        <f>tblUIText[[#This Row],[TR]]&amp;CHAR(10)&amp;tblUIText[[#This Row],[EN]]</f>
        <v>Platform klasörü
Platform folder</v>
      </c>
    </row>
    <row r="57" spans="29:32">
      <c r="AC57" s="395" t="s">
        <v>3648</v>
      </c>
      <c r="AD57" s="355" t="s">
        <v>3649</v>
      </c>
      <c r="AE57" s="355" t="s">
        <v>3650</v>
      </c>
      <c r="AF57" s="390" t="str">
        <f>tblUIText[[#This Row],[TR]]&amp;CHAR(10)&amp;tblUIText[[#This Row],[EN]]</f>
        <v>Arşiv klasörü
Archive folder</v>
      </c>
    </row>
    <row r="58" spans="29:32">
      <c r="AC58" s="395" t="s">
        <v>3651</v>
      </c>
      <c r="AD58" s="355" t="s">
        <v>3652</v>
      </c>
      <c r="AE58" s="355" t="s">
        <v>3653</v>
      </c>
      <c r="AF58" s="390" t="str">
        <f>tblUIText[[#This Row],[TR]]&amp;CHAR(10)&amp;tblUIText[[#This Row],[EN]]</f>
        <v>Günlük (log) klasörü
Log folder</v>
      </c>
    </row>
    <row r="59" spans="29:32">
      <c r="AC59" s="395" t="s">
        <v>3654</v>
      </c>
      <c r="AD59" s="355" t="s">
        <v>3655</v>
      </c>
      <c r="AE59" s="355" t="s">
        <v>3656</v>
      </c>
      <c r="AF59" s="390" t="str">
        <f>tblUIText[[#This Row],[TR]]&amp;CHAR(10)&amp;tblUIText[[#This Row],[EN]]</f>
        <v>Dışa aktarım klasörü
Export folder</v>
      </c>
    </row>
    <row r="60" spans="29:32">
      <c r="AC60" s="395" t="s">
        <v>3657</v>
      </c>
      <c r="AD60" s="355" t="s">
        <v>3658</v>
      </c>
      <c r="AE60" s="355" t="s">
        <v>3659</v>
      </c>
      <c r="AF60" s="390" t="str">
        <f>tblUIText[[#This Row],[TR]]&amp;CHAR(10)&amp;tblUIText[[#This Row],[EN]]</f>
        <v>Kaynak kod klasörü (src)
Source code folder (src)</v>
      </c>
    </row>
    <row r="61" spans="29:32">
      <c r="AC61" s="395" t="s">
        <v>3660</v>
      </c>
      <c r="AD61" s="355" t="s">
        <v>3661</v>
      </c>
      <c r="AE61" s="355" t="s">
        <v>3662</v>
      </c>
      <c r="AF61" s="390" t="str">
        <f>tblUIText[[#This Row],[TR]]&amp;CHAR(10)&amp;tblUIText[[#This Row],[EN]]</f>
        <v>Platform klasörleri
Evet: Archive, Log, Export ve src klasörleri çalışma kitabının klasöründe oluşturulur:
{0}
Hayır: her klasörü ayrı seçersiniz.
Platform folders. Yes: Archive, Log, Export and src are created in the workbook folder shown above. No: you pick each folder.</v>
      </c>
    </row>
    <row r="62" spans="29:32">
      <c r="AC62" s="395" t="s">
        <v>3663</v>
      </c>
      <c r="AD62" s="355" t="s">
        <v>3664</v>
      </c>
      <c r="AE62" s="355" t="s">
        <v>3665</v>
      </c>
      <c r="AF62" s="390" t="str">
        <f>tblUIText[[#This Row],[TR]]&amp;CHAR(10)&amp;tblUIText[[#This Row],[EN]]</f>
        <v>Klasör doğrulaması başarısız (ayrıntılar aşağıda). Klasörleri yeniden seçmek ister misiniz?
Folder validation failed. Pick the folders again?
{0}</v>
      </c>
    </row>
    <row r="63" spans="29:32">
      <c r="AC63" s="395" t="s">
        <v>3666</v>
      </c>
      <c r="AD63" s="355" t="s">
        <v>3667</v>
      </c>
      <c r="AE63" s="355" t="s">
        <v>3668</v>
      </c>
      <c r="AF63" s="390" t="str">
        <f>tblUIText[[#This Row],[TR]]&amp;CHAR(10)&amp;tblUIText[[#This Row],[EN]]</f>
        <v>Klasörler doğrulandı (ayrıntılar aşağıda).
Folders validated:
{0}</v>
      </c>
    </row>
    <row r="64" spans="29:32">
      <c r="AC64" s="395" t="s">
        <v>3669</v>
      </c>
      <c r="AD64" s="355" t="s">
        <v>3670</v>
      </c>
      <c r="AE64" s="355" t="s">
        <v>3671</v>
      </c>
      <c r="AF64" s="390" t="str">
        <f>tblUIText[[#This Row],[TR]]&amp;CHAR(10)&amp;tblUIText[[#This Row],[EN]]</f>
        <v>Keşif sonucu (ayrıntılar aşağıda).
Discovery:
{0}</v>
      </c>
    </row>
    <row r="65" spans="29:32">
      <c r="AC65" s="395" t="s">
        <v>3672</v>
      </c>
      <c r="AD65" s="355" t="s">
        <v>3673</v>
      </c>
      <c r="AE65" s="355" t="s">
        <v>3674</v>
      </c>
      <c r="AF65" s="390" t="str">
        <f>tblUIText[[#This Row],[TR]]&amp;CHAR(10)&amp;tblUIText[[#This Row],[EN]]</f>
        <v>Bulunan yeni şirketler DimCompany tablosuna eklensin mi? Ad ve tür boş kalır; sonra DimCompany sayfasında tamamlanır.
Add the new companies found to DimCompany? Name and type stay empty; complete them on sheet DimCompany afterwards.
{0}</v>
      </c>
    </row>
    <row r="66" spans="29:32">
      <c r="AC66" s="395" t="s">
        <v>3675</v>
      </c>
      <c r="AD66" s="355" t="s">
        <v>3676</v>
      </c>
      <c r="AE66" s="355" t="s">
        <v>3677</v>
      </c>
      <c r="AF66" s="390" t="str">
        <f>tblUIText[[#This Row],[TR]]&amp;CHAR(10)&amp;tblUIText[[#This Row],[EN]]</f>
        <v>Arşiv başlangıç dönemi (YYYYMM). Bulunan en eski dönem: {0}.
Archive start period (YYYYMM). Earliest period found: {0}.</v>
      </c>
    </row>
    <row r="67" spans="29:32">
      <c r="AC67" s="395" t="s">
        <v>3678</v>
      </c>
      <c r="AD67" s="355" t="s">
        <v>3679</v>
      </c>
      <c r="AE67" s="355" t="s">
        <v>3680</v>
      </c>
      <c r="AF67" s="390" t="str">
        <f>tblUIText[[#This Row],[TR]]&amp;CHAR(10)&amp;tblUIText[[#This Row],[EN]]</f>
        <v>Aktif dönem (YYYYMM): kapatılacak ilk ay. Öneri (kapanmamış en eski dönem): {0}.
Active period (YYYYMM): the first month to close. Proposal (earliest period not closed): {0}.</v>
      </c>
    </row>
    <row r="68" spans="29:32">
      <c r="AC68" s="395" t="s">
        <v>3681</v>
      </c>
      <c r="AD68" s="355" t="s">
        <v>3682</v>
      </c>
      <c r="AE68" s="355" t="s">
        <v>3683</v>
      </c>
      <c r="AF68" s="390" t="str">
        <f>tblUIText[[#This Row],[TR]]&amp;CHAR(10)&amp;tblUIText[[#This Row],[EN]]</f>
        <v>Kullanıcılar ve roller (etkin Yönetici: {1}). Eklenecek kullanıcıyı ALAN\oturum_adı olarak yazın; boş bırakıp Tamam ile devam edin.
Users and roles (active Administrators: {1}). Type a user to add as DOMAIN\logon; leave it empty and press OK to continue.
{0}</v>
      </c>
    </row>
    <row r="69" spans="29:32">
      <c r="AC69" s="395" t="s">
        <v>3684</v>
      </c>
      <c r="AD69" s="355" t="s">
        <v>3685</v>
      </c>
      <c r="AE69" s="355" t="s">
        <v>3686</v>
      </c>
      <c r="AF69" s="390" t="str">
        <f>tblUIText[[#This Row],[TR]]&amp;CHAR(10)&amp;tblUIText[[#This Row],[EN]]</f>
        <v>Yalnızca {0} etkin Yönetici var. Unutulan bir parolayı yalnızca başka bir Yönetici sıfırlayabilir: ikinci bir Yönetici ekleyin.
Only {0} active Administrator. A lost password can only be reset by another Administrator: add a second Administrator.</v>
      </c>
    </row>
    <row r="70" spans="29:32">
      <c r="AC70" s="395" t="s">
        <v>3687</v>
      </c>
      <c r="AD70" s="355" t="s">
        <v>3688</v>
      </c>
      <c r="AE70" s="355" t="s">
        <v>3689</v>
      </c>
      <c r="AF70" s="390" t="str">
        <f>tblUIText[[#This Row],[TR]]&amp;CHAR(10)&amp;tblUIText[[#This Row],[EN]]</f>
        <v>TCMB kur bültenine ulaşılamadı. FXAutoFetch = N yapıldı: kurlar FX sayfasına elle girilir (kaynak: www.tcmb.gov.tr/kurlar). Bağlantı düzelince bir Yönetici FXAutoFetch = Y yapar.
The CBRT bulletin could not be reached ({0}). FXAutoFetch is set to N: rates are entered by hand on sheet FX (source www.tcmb.gov.tr/kurlar). When the connection works again, an Administrator sets FXAutoFetch = Y.</v>
      </c>
    </row>
    <row r="71" spans="29:32">
      <c r="AC71" s="395" t="s">
        <v>3690</v>
      </c>
      <c r="AD71" s="355" t="s">
        <v>3691</v>
      </c>
      <c r="AE71" s="355" t="s">
        <v>3692</v>
      </c>
      <c r="AF71" s="390" t="str">
        <f>tblUIText[[#This Row],[TR]]&amp;CHAR(10)&amp;tblUIText[[#This Row],[EN]]</f>
        <v>{0} için önce Kurulum tamamlanmalı (bir Yönetici çalıştırır).
{0} needs Setup to be completed first (an Administrator runs it).</v>
      </c>
    </row>
    <row r="72" spans="29:32">
      <c r="AC72" s="395" t="s">
        <v>3693</v>
      </c>
      <c r="AD72" s="355" t="s">
        <v>3694</v>
      </c>
      <c r="AE72" s="355" t="s">
        <v>3695</v>
      </c>
      <c r="AF72" s="390" t="str">
        <f>tblUIText[[#This Row],[TR]]&amp;CHAR(10)&amp;tblUIText[[#This Row],[EN]]</f>
        <v>{0} yapılamaz: dosya salt okunur açık (açan: {1}). Dosyayı kapatıp daha sonra yeniden deneyin.
{0} cannot run: the file is open read-only (open by: {1}). Close it and try again later.</v>
      </c>
    </row>
    <row r="73" spans="29:32">
      <c r="AC73" s="395" t="s">
        <v>3696</v>
      </c>
      <c r="AD73" s="355" t="s">
        <v>3697</v>
      </c>
      <c r="AE73" s="355" t="s">
        <v>3698</v>
      </c>
      <c r="AF73" s="390" t="str">
        <f>tblUIText[[#This Row],[TR]]&amp;CHAR(10)&amp;tblUIText[[#This Row],[EN]]</f>
        <v>{0} yapılamaz: bu dosya bir kopya. Platform: {1}
{0} cannot run: this file is a copy. The platform: {1}</v>
      </c>
    </row>
    <row r="74" spans="29:32">
      <c r="AC74" s="395" t="s">
        <v>3699</v>
      </c>
      <c r="AD74" s="355" t="s">
        <v>3700</v>
      </c>
      <c r="AE74" s="355" t="s">
        <v>3701</v>
      </c>
      <c r="AF74" s="390" t="str">
        <f>tblUIText[[#This Row],[TR]]&amp;CHAR(10)&amp;tblUIText[[#This Row],[EN]]</f>
        <v>{0} yapılamaz: ayar dosyası yok veya bir klasöre ulaşılamıyor. Bir Yönetici Kurulum'u çalıştırmalı.
{0} cannot run: the settings file is missing or a folder is unreachable. An Administrator must run Setup.</v>
      </c>
    </row>
    <row r="75" spans="29:32">
      <c r="AC75" s="395" t="s">
        <v>3702</v>
      </c>
      <c r="AD75" s="355" t="s">
        <v>3703</v>
      </c>
      <c r="AE75" s="355" t="s">
        <v>3704</v>
      </c>
      <c r="AF75" s="390" t="str">
        <f>tblUIText[[#This Row],[TR]]&amp;CHAR(10)&amp;tblUIText[[#This Row],[EN]]</f>
        <v>Kontrol eden için not (isteğe bağlı)
Note for the reviewer (optional)</v>
      </c>
    </row>
    <row r="76" spans="29:32">
      <c r="AC76" s="395" t="s">
        <v>3705</v>
      </c>
      <c r="AD76" s="355" t="s">
        <v>3706</v>
      </c>
      <c r="AE76" s="355" t="s">
        <v>3707</v>
      </c>
      <c r="AF76" s="390" t="str">
        <f>tblUIText[[#This Row],[TR]]&amp;CHAR(10)&amp;tblUIText[[#This Row],[EN]]</f>
        <v>{0} dönemi incelemeye gönderilsin mi? Genel durum: {1} ({2} açıklanmış REVIEW kontrolü).
{3}
Submit {0} for review? Overall status: {1} ({2} explained REVIEW check(s)).</v>
      </c>
    </row>
    <row r="77" spans="29:32">
      <c r="AC77" s="395" t="s">
        <v>3708</v>
      </c>
      <c r="AD77" s="355" t="s">
        <v>3709</v>
      </c>
      <c r="AE77" s="355" t="s">
        <v>3710</v>
      </c>
      <c r="AF77" s="390" t="str">
        <f>tblUIText[[#This Row],[TR]]&amp;CHAR(10)&amp;tblUIText[[#This Row],[EN]]</f>
        <v>Dönemi başka bir Windows kullanıcısı kapatmalı
The period must then be closed by a different Windows user</v>
      </c>
    </row>
    <row r="78" spans="29:32">
      <c r="AC78" s="395" t="s">
        <v>3711</v>
      </c>
      <c r="AD78" s="355" t="s">
        <v>3712</v>
      </c>
      <c r="AE78" s="355" t="s">
        <v>3713</v>
      </c>
      <c r="AF78" s="390" t="str">
        <f>tblUIText[[#This Row],[TR]]&amp;CHAR(10)&amp;tblUIText[[#This Row],[EN]]</f>
        <v>Dört göz kontrolü kapalı (FourEyesRequired = N)
Four-eyes is waived (FourEyesRequired = N)</v>
      </c>
    </row>
    <row r="79" spans="29:32">
      <c r="AC79" s="395" t="s">
        <v>3714</v>
      </c>
      <c r="AD79" s="355" t="s">
        <v>3715</v>
      </c>
      <c r="AE79" s="355" t="s">
        <v>3716</v>
      </c>
      <c r="AF79" s="390" t="str">
        <f>tblUIText[[#This Row],[TR]]&amp;CHAR(10)&amp;tblUIText[[#This Row],[EN]]</f>
        <v>{0} gönderimini reddetme nedeni (zorunlu):
Reason for rejecting the submission of {0} (required):</v>
      </c>
    </row>
    <row r="80" spans="29:32" ht="51">
      <c r="AC80" s="395" t="s">
        <v>3717</v>
      </c>
      <c r="AD80" s="396" t="s">
        <v>22491</v>
      </c>
      <c r="AE80" s="396" t="s">
        <v>22490</v>
      </c>
      <c r="AF80" s="390" t="str">
        <f>tblUIText[[#This Row],[TR]]&amp;CHAR(10)&amp;tblUIText[[#This Row],[EN]]</f>
        <v>{0} dönemi kapatılsın mı?
Hazırlayan: {1}; kapatan: {2}.
Ay depoya eklenir (sonradan değiştirilemez) ve aktif dönem bir sonraki açık aya geçer.
Close {0}?
Prepared by {1}; you close as {2}.
The month is appended to the store (it cannot change afterwards) and the active period moves to the next open month.</v>
      </c>
    </row>
    <row r="81" spans="29:32">
      <c r="AC81" s="395" t="s">
        <v>3718</v>
      </c>
      <c r="AD81" s="355" t="s">
        <v>3719</v>
      </c>
      <c r="AE81" s="355" t="s">
        <v>3720</v>
      </c>
      <c r="AF81" s="390" t="str">
        <f>tblUIText[[#This Row],[TR]]&amp;CHAR(10)&amp;tblUIText[[#This Row],[EN]]</f>
        <v>Sürüm (ör. 3.0.1):
Version (e.g. 3.0.1):</v>
      </c>
    </row>
    <row r="82" spans="29:32">
      <c r="AC82" s="395" t="s">
        <v>3721</v>
      </c>
      <c r="AD82" s="355" t="s">
        <v>3722</v>
      </c>
      <c r="AE82" s="355" t="s">
        <v>3723</v>
      </c>
      <c r="AF82" s="390" t="str">
        <f>tblUIText[[#This Row],[TR]]&amp;CHAR(10)&amp;tblUIText[[#This Row],[EN]]</f>
        <v>Ne değişti?
What changed?</v>
      </c>
    </row>
    <row r="83" spans="29:32">
      <c r="AC83" s="395" t="s">
        <v>3724</v>
      </c>
      <c r="AD83" s="355" t="s">
        <v>3725</v>
      </c>
      <c r="AE83" s="355" t="s">
        <v>3726</v>
      </c>
      <c r="AF83" s="390" t="str">
        <f>tblUIText[[#This Row],[TR]]&amp;CHAR(10)&amp;tblUIText[[#This Row],[EN]]</f>
        <v>Neden?
Why?</v>
      </c>
    </row>
    <row r="84" spans="29:32">
      <c r="AC84" s="395" t="s">
        <v>3727</v>
      </c>
      <c r="AD84" s="355" t="s">
        <v>3728</v>
      </c>
      <c r="AE84" s="355" t="s">
        <v>3729</v>
      </c>
      <c r="AF84" s="390" t="str">
        <f>tblUIText[[#This Row],[TR]]&amp;CHAR(10)&amp;tblUIText[[#This Row],[EN]]</f>
        <v>Etkilenen bileşenler (sayfa, sorgu, modül):
Components affected (sheet, query, module):</v>
      </c>
    </row>
    <row r="85" spans="29:32">
      <c r="AC85" s="395" t="s">
        <v>3730</v>
      </c>
      <c r="AD85" s="355" t="s">
        <v>3731</v>
      </c>
      <c r="AE85" s="355" t="s">
        <v>3732</v>
      </c>
      <c r="AF85" s="390" t="str">
        <f>tblUIText[[#This Row],[TR]]&amp;CHAR(10)&amp;tblUIText[[#This Row],[EN]]</f>
        <v>Geriye dönük uyumsuz değişiklikler (yoksa none):
Breaking changes (none if there are none):</v>
      </c>
    </row>
    <row r="86" spans="29:32">
      <c r="AC86" s="395" t="s">
        <v>3733</v>
      </c>
      <c r="AD86" s="355" t="s">
        <v>3734</v>
      </c>
      <c r="AE86" s="355" t="s">
        <v>3735</v>
      </c>
      <c r="AF86" s="390" t="str">
        <f>tblUIText[[#This Row],[TR]]&amp;CHAR(10)&amp;tblUIText[[#This Row],[EN]]</f>
        <v>Seçili {0} satır {1} tarafından bugün DOĞRULANDI olarak işaretlensin mi? Yalnızca her ColumnID resmi şema referansıyla karşılaştırıldıysa onaylayın.
Stamp {0} row(s) as VERIFIED by {1} today? Confirm only if each ColumnID was checked against the official schema reference.</v>
      </c>
    </row>
    <row r="87" spans="29:32">
      <c r="AC87" s="395" t="s">
        <v>3736</v>
      </c>
      <c r="AD87" s="355" t="s">
        <v>22493</v>
      </c>
      <c r="AE87" s="355" t="s">
        <v>22492</v>
      </c>
      <c r="AF87" s="390" t="str">
        <f>tblUIText[[#This Row],[TR]]&amp;CHAR(10)&amp;tblUIText[[#This Row],[EN]]</f>
        <v>Yeniden açılacak ay (YYYYMM). İstisnai bir işlemdir: depodaki partisi SUPERSEDED olarak işaretlenir (silinmez) ve ay yeniden kapatılmalıdır.
Month to re-open (YYYYMM). This is exceptional: its stored batch is marked SUPERSEDED (never deleted) and the month must be closed again.</v>
      </c>
    </row>
    <row r="88" spans="29:32">
      <c r="AC88" s="395" t="s">
        <v>3737</v>
      </c>
      <c r="AD88" s="355" t="s">
        <v>3738</v>
      </c>
      <c r="AE88" s="355" t="s">
        <v>3739</v>
      </c>
      <c r="AF88" s="390" t="str">
        <f>tblUIText[[#This Row],[TR]]&amp;CHAR(10)&amp;tblUIText[[#This Row],[EN]]</f>
        <v>{0} dönemini yeniden açma nedeni (zorunlu; ArchiveLog ve SignOff'a yazılır):
Reason for re-opening {0} (required; stored in ArchiveLog and SignOff):</v>
      </c>
    </row>
    <row r="89" spans="29:32">
      <c r="AC89" s="395" t="s">
        <v>3740</v>
      </c>
      <c r="AD89" s="355" t="s">
        <v>22856</v>
      </c>
      <c r="AE89" s="355" t="s">
        <v>22857</v>
      </c>
      <c r="AF89" s="390" t="str">
        <f>tblUIText[[#This Row],[TR]]&amp;CHAR(10)&amp;tblUIText[[#This Row],[EN]]</f>
        <v>{0} yeniden açılsın mı? Depodaki partisi SUPERSEDED olarak işaretlenir (silinmez), kontrol dosyası Superseded klasörüne TAŞINIR ve aktif dönem {0} olur.
Re-open {0}? Its stored batch is marked SUPERSEDED (never deleted), its controls file is MOVED to Superseded and the active period becomes {0}.</v>
      </c>
    </row>
    <row r="90" spans="29:32" ht="165.75">
      <c r="AC90" s="395" t="s">
        <v>3741</v>
      </c>
      <c r="AD90" s="396" t="s">
        <v>20653</v>
      </c>
      <c r="AE90" s="396" t="s">
        <v>20654</v>
      </c>
      <c r="AF90" s="390" t="str">
        <f>tblUIText[[#This Row],[TR]]&amp;CHAR(10)&amp;tblUIText[[#This Row],[EN]]</f>
        <v>GEÇMİŞ AYLARI DEPOYA YAZ (Yönetici)
Bulunan dönemler: {0} ... {1} ({2}).
Şimdi depoya yazılacak: {3} ay, yaklaşık {4} dakika. En yeni ay {1} açık kalır ve aktif dönem olur.
Bu aylar bağımsız toplam, dört göz ve REVIEW açıklaması OLMADAN kapanır; kontrolleri ay ay değerlendirilmez (BACKFILL olarak işaretlenir). Depoya yalnızca eklenir, hiçbir satırın üzerine yazılmaz.
Devam etmek için BACKFILL yazın:
BACKFILL HISTORY INTO THE STORE (Administrator)
Periods found: {0} ... {1} ({2}).
To store now: {3} month(s), about {4} minute(s). The newest month {1} stays open and becomes the active period.
These months are closed WITHOUT independent totals, four-eyes or REVIEW explanations; their controls are not evaluated month by month (marked BACKFILL). The store is append-only: no line is ever overwritten.
Type BACKFILL to continue:</v>
      </c>
    </row>
    <row r="91" spans="29:32">
      <c r="AC91" s="395" t="s">
        <v>3742</v>
      </c>
      <c r="AD91" s="355" t="s">
        <v>3743</v>
      </c>
      <c r="AE91" s="355" t="s">
        <v>3744</v>
      </c>
      <c r="AF91" s="390" t="str">
        <f>tblUIText[[#This Row],[TR]]&amp;CHAR(10)&amp;tblUIText[[#This Row],[EN]]</f>
        <v>Bu değişiklik geri alındı: {0} tablosunu düzenleme yetkiniz yok (rolünüz: {1}). Deneme kayda geçti.
This change was reverted: you may not edit {0} (your role: {1}). The attempt was logged.</v>
      </c>
    </row>
    <row r="92" spans="29:32">
      <c r="AC92" s="395" t="s">
        <v>3745</v>
      </c>
      <c r="AD92" s="355" t="s">
        <v>3746</v>
      </c>
      <c r="AE92" s="355" t="s">
        <v>3747</v>
      </c>
      <c r="AF92" s="390" t="str">
        <f>tblUIText[[#This Row],[TR]]&amp;CHAR(10)&amp;tblUIText[[#This Row],[EN]]</f>
        <v>Kurulum tamamlandı
Setup completed</v>
      </c>
    </row>
    <row r="93" spans="29:32">
      <c r="AC93" s="395" t="s">
        <v>3748</v>
      </c>
      <c r="AD93" s="355" t="s">
        <v>3749</v>
      </c>
      <c r="AE93" s="355" t="s">
        <v>3750</v>
      </c>
      <c r="AF93" s="390" t="str">
        <f>tblUIText[[#This Row],[TR]]&amp;CHAR(10)&amp;tblUIText[[#This Row],[EN]]</f>
        <v>Şirket bilgileri eksiksiz (ad, tür)
Company master data complete (name, type)</v>
      </c>
    </row>
    <row r="94" spans="29:32">
      <c r="AC94" s="395" t="s">
        <v>3751</v>
      </c>
      <c r="AD94" s="355" t="s">
        <v>3752</v>
      </c>
      <c r="AE94" s="355" t="s">
        <v>3753</v>
      </c>
      <c r="AF94" s="390" t="str">
        <f>tblUIText[[#This Row],[TR]]&amp;CHAR(10)&amp;tblUIText[[#This Row],[EN]]</f>
        <v>Veriler güncel (Yenile)
Data refreshed (Refresh)</v>
      </c>
    </row>
    <row r="95" spans="29:32">
      <c r="AC95" s="395" t="s">
        <v>3754</v>
      </c>
      <c r="AD95" s="355" t="s">
        <v>3755</v>
      </c>
      <c r="AE95" s="355" t="s">
        <v>3756</v>
      </c>
      <c r="AF95" s="390" t="str">
        <f>tblUIText[[#This Row],[TR]]&amp;CHAR(10)&amp;tblUIText[[#This Row],[EN]]</f>
        <v>Beklenen dosyalar teslim edildi
Expected files delivered</v>
      </c>
    </row>
    <row r="96" spans="29:32">
      <c r="AC96" s="395" t="s">
        <v>3757</v>
      </c>
      <c r="AD96" s="355" t="s">
        <v>3758</v>
      </c>
      <c r="AE96" s="355" t="s">
        <v>3759</v>
      </c>
      <c r="AF96" s="390" t="str">
        <f>tblUIText[[#This Row],[TR]]&amp;CHAR(10)&amp;tblUIText[[#This Row],[EN]]</f>
        <v>Mutabakat tutarları girildi ve tutuyor
Reconciliation totals entered and agreeing</v>
      </c>
    </row>
    <row r="97" spans="29:32">
      <c r="AC97" s="395" t="s">
        <v>3760</v>
      </c>
      <c r="AD97" s="355" t="s">
        <v>3761</v>
      </c>
      <c r="AE97" s="355" t="s">
        <v>3762</v>
      </c>
      <c r="AF97" s="390" t="str">
        <f>tblUIText[[#This Row],[TR]]&amp;CHAR(10)&amp;tblUIText[[#This Row],[EN]]</f>
        <v>REVIEW kontrolleri açıklandı
REVIEW checks explained</v>
      </c>
    </row>
    <row r="98" spans="29:32">
      <c r="AC98" s="395" t="s">
        <v>3763</v>
      </c>
      <c r="AD98" s="355" t="s">
        <v>3764</v>
      </c>
      <c r="AE98" s="355" t="s">
        <v>3765</v>
      </c>
      <c r="AF98" s="390" t="str">
        <f>tblUIText[[#This Row],[TR]]&amp;CHAR(10)&amp;tblUIText[[#This Row],[EN]]</f>
        <v>Ay incelemeye gönderildi
Month submitted for review</v>
      </c>
    </row>
    <row r="99" spans="29:32">
      <c r="AC99" s="395" t="s">
        <v>3766</v>
      </c>
      <c r="AD99" s="355" t="s">
        <v>3767</v>
      </c>
      <c r="AE99" s="355" t="s">
        <v>3768</v>
      </c>
      <c r="AF99" s="390" t="str">
        <f>tblUIText[[#This Row],[TR]]&amp;CHAR(10)&amp;tblUIText[[#This Row],[EN]]</f>
        <v>Ay kapatıldı (başka bir kullanıcı)
Month closed (by a different user)</v>
      </c>
    </row>
    <row r="100" spans="29:32">
      <c r="AC100" s="395" t="s">
        <v>3769</v>
      </c>
      <c r="AD100" s="355" t="s">
        <v>3770</v>
      </c>
      <c r="AE100" s="355" t="s">
        <v>3771</v>
      </c>
      <c r="AF100" s="390" t="str">
        <f>tblUIText[[#This Row],[TR]]&amp;CHAR(10)&amp;tblUIText[[#This Row],[EN]]</f>
        <v>En az iki Yönetici
At least two Administrators</v>
      </c>
    </row>
    <row r="101" spans="29:32">
      <c r="AC101" s="395" t="s">
        <v>3772</v>
      </c>
      <c r="AD101" s="355" t="s">
        <v>3773</v>
      </c>
      <c r="AE101" s="355" t="s">
        <v>3774</v>
      </c>
      <c r="AF101" s="390" t="str">
        <f>tblUIText[[#This Row],[TR]]&amp;CHAR(10)&amp;tblUIText[[#This Row],[EN]]</f>
        <v>ColumnID'ler doğrulandı
ColumnIDs verified</v>
      </c>
    </row>
    <row r="102" spans="29:32">
      <c r="AC102" s="395" t="s">
        <v>3775</v>
      </c>
      <c r="AD102" s="355" t="s">
        <v>3776</v>
      </c>
      <c r="AE102" s="355" t="s">
        <v>3777</v>
      </c>
      <c r="AF102" s="390" t="str">
        <f>tblUIText[[#This Row],[TR]]&amp;CHAR(10)&amp;tblUIText[[#This Row],[EN]]</f>
        <v>Kurulum tamamlanmadı – Kurulum düğmesine tıklayın.
Setup not completed – click Setup.</v>
      </c>
    </row>
    <row r="103" spans="29:32">
      <c r="AC103" s="395" t="s">
        <v>3778</v>
      </c>
      <c r="AD103" s="355" t="s">
        <v>3779</v>
      </c>
      <c r="AE103" s="355" t="s">
        <v>3780</v>
      </c>
      <c r="AF103" s="390" t="str">
        <f>tblUIText[[#This Row],[TR]]&amp;CHAR(10)&amp;tblUIText[[#This Row],[EN]]</f>
        <v>Kurulum tamamlanmadı – bir Yönetici Kurulum'u çalıştırmalı. O zamana kadar salt okunur erişiminiz var.
Setup not completed – an Administrator must run Setup. You have read-only access until then.</v>
      </c>
    </row>
    <row r="104" spans="29:32">
      <c r="AC104" s="395" t="s">
        <v>3781</v>
      </c>
      <c r="AD104" s="355" t="s">
        <v>3782</v>
      </c>
      <c r="AE104" s="355" t="s">
        <v>3783</v>
      </c>
      <c r="AF104" s="390" t="str">
        <f>tblUIText[[#This Row],[TR]]&amp;CHAR(10)&amp;tblUIText[[#This Row],[EN]]</f>
        <v>{0} şirketin adı veya türü eksik – DimCompany sayfasında tamamlanmalı (Yönetici).
{0} company row(s) without a name or type – complete them on sheet DimCompany (Administrator).</v>
      </c>
    </row>
    <row r="105" spans="29:32">
      <c r="AC105" s="395" t="s">
        <v>3784</v>
      </c>
      <c r="AD105" s="355" t="s">
        <v>3785</v>
      </c>
      <c r="AE105" s="355" t="s">
        <v>3786</v>
      </c>
      <c r="AF105" s="390" t="str">
        <f>tblUIText[[#This Row],[TR]]&amp;CHAR(10)&amp;tblUIText[[#This Row],[EN]]</f>
        <v>Henüz şirket yok – Kurulum'u yeniden çalıştırın ya da şirketleri DimCompany sayfasına ekleyin (Yönetici).
No company yet – run Setup again or add the companies on sheet DimCompany (Administrator).</v>
      </c>
    </row>
    <row r="106" spans="29:32">
      <c r="AC106" s="395" t="s">
        <v>3787</v>
      </c>
      <c r="AD106" s="355" t="s">
        <v>3788</v>
      </c>
      <c r="AE106" s="355" t="s">
        <v>3789</v>
      </c>
      <c r="AF106" s="390" t="str">
        <f>tblUIText[[#This Row],[TR]]&amp;CHAR(10)&amp;tblUIText[[#This Row],[EN]]</f>
        <v>Yenileme gerekli – Yenile düğmesine tıklayın.
Refresh needed – click Refresh.</v>
      </c>
    </row>
    <row r="107" spans="29:32">
      <c r="AC107" s="395" t="s">
        <v>3790</v>
      </c>
      <c r="AD107" s="355" t="s">
        <v>3791</v>
      </c>
      <c r="AE107" s="355" t="s">
        <v>3792</v>
      </c>
      <c r="AF107" s="390" t="str">
        <f>tblUIText[[#This Row],[TR]]&amp;CHAR(10)&amp;tblUIText[[#This Row],[EN]]</f>
        <v>Dönem {0}: {1} şirket için dosya eksik.
Period {0}: files missing for {1} companies.</v>
      </c>
    </row>
    <row r="108" spans="29:32">
      <c r="AC108" s="395" t="s">
        <v>3793</v>
      </c>
      <c r="AD108" s="355" t="s">
        <v>3794</v>
      </c>
      <c r="AE108" s="355" t="s">
        <v>3795</v>
      </c>
      <c r="AF108" s="390" t="str">
        <f>tblUIText[[#This Row],[TR]]&amp;CHAR(10)&amp;tblUIText[[#This Row],[EN]]</f>
        <v>Mutabakat: {0} şirket/para birimi toplamı eksik veya tolerans dışında – Recon sayfası.
Reconciliation: {0} company/currency total(s) missing or outside tolerance – sheet Recon.</v>
      </c>
    </row>
    <row r="109" spans="29:32">
      <c r="AC109" s="395" t="s">
        <v>3796</v>
      </c>
      <c r="AD109" s="355" t="s">
        <v>3797</v>
      </c>
      <c r="AE109" s="355" t="s">
        <v>3798</v>
      </c>
      <c r="AF109" s="390" t="str">
        <f>tblUIText[[#This Row],[TR]]&amp;CHAR(10)&amp;tblUIText[[#This Row],[EN]]</f>
        <v>{0} REVIEW kontrolü açıklama bekliyor – Kontrol paneli, Explanation sütunu.
{0} REVIEW check(s) need an explanation – Control panel, column Explanation.</v>
      </c>
    </row>
    <row r="110" spans="29:32">
      <c r="AC110" s="395" t="s">
        <v>3799</v>
      </c>
      <c r="AD110" s="355" t="s">
        <v>3800</v>
      </c>
      <c r="AE110" s="355" t="s">
        <v>3801</v>
      </c>
      <c r="AF110" s="390" t="str">
        <f>tblUIText[[#This Row],[TR]]&amp;CHAR(10)&amp;tblUIText[[#This Row],[EN]]</f>
        <v>Dönem {0} incelemeye gönderilebilir – İncelemeye gönder.
Period {0} can be submitted – Submit for review.</v>
      </c>
    </row>
    <row r="111" spans="29:32">
      <c r="AC111" s="395" t="s">
        <v>3802</v>
      </c>
      <c r="AD111" s="355" t="s">
        <v>3803</v>
      </c>
      <c r="AE111" s="355" t="s">
        <v>3804</v>
      </c>
      <c r="AF111" s="390" t="str">
        <f>tblUIText[[#This Row],[TR]]&amp;CHAR(10)&amp;tblUIText[[#This Row],[EN]]</f>
        <v>Dönem {0}: bir Kontrol edenin incelemesi bekleniyor.
Period {0}: awaiting review by a Reviewer.</v>
      </c>
    </row>
    <row r="112" spans="29:32">
      <c r="AC112" s="395" t="s">
        <v>3805</v>
      </c>
      <c r="AD112" s="355" t="s">
        <v>3806</v>
      </c>
      <c r="AE112" s="355" t="s">
        <v>3807</v>
      </c>
      <c r="AF112" s="390" t="str">
        <f>tblUIText[[#This Row],[TR]]&amp;CHAR(10)&amp;tblUIText[[#This Row],[EN]]</f>
        <v>Dönem {0} kapatılabilir – Dönemi kapat (hazırlayandan farklı bir kullanıcı).
Month {0} can be closed – Close period (a user other than the preparer).</v>
      </c>
    </row>
    <row r="113" spans="29:32">
      <c r="AC113" s="395" t="s">
        <v>3808</v>
      </c>
      <c r="AD113" s="355" t="s">
        <v>3809</v>
      </c>
      <c r="AE113" s="355" t="s">
        <v>3810</v>
      </c>
      <c r="AF113" s="390" t="str">
        <f>tblUIText[[#This Row],[TR]]&amp;CHAR(10)&amp;tblUIText[[#This Row],[EN]]</f>
        <v>Yalnızca {0} Yönetici var – ikinci bir Yönetici ekleyin (Kullanıcılar ve roller).
Only {0} Administrator(s) – add a second one (Users and roles).</v>
      </c>
    </row>
    <row r="114" spans="29:32">
      <c r="AC114" s="395" t="s">
        <v>3811</v>
      </c>
      <c r="AD114" s="355" t="s">
        <v>3812</v>
      </c>
      <c r="AE114" s="355" t="s">
        <v>3813</v>
      </c>
      <c r="AF114" s="390" t="str">
        <f>tblUIText[[#This Row],[TR]]&amp;CHAR(10)&amp;tblUIText[[#This Row],[EN]]</f>
        <v>{0} ColumnID doğrulanmadı (danışma niteliğinde; kapanışı engellemez).
{0} ColumnID(s) not verified (advisory; does not block the close).</v>
      </c>
    </row>
    <row r="115" spans="29:32">
      <c r="AC115" s="395" t="s">
        <v>3814</v>
      </c>
      <c r="AD115" s="355" t="s">
        <v>3815</v>
      </c>
      <c r="AE115" s="355" t="s">
        <v>3816</v>
      </c>
      <c r="AF115" s="390" t="str">
        <f>tblUIText[[#This Row],[TR]]&amp;CHAR(10)&amp;tblUIText[[#This Row],[EN]]</f>
        <v>Her şey tamam – yapılacak işlem yok.
All done – nothing to do.</v>
      </c>
    </row>
    <row r="116" spans="29:32">
      <c r="AC116" s="395" t="s">
        <v>16512</v>
      </c>
      <c r="AD116" s="355" t="s">
        <v>16513</v>
      </c>
      <c r="AE116" s="355" t="s">
        <v>16514</v>
      </c>
      <c r="AF116" s="390" t="str">
        <f>tblUIText[[#This Row],[TR]]&amp;CHAR(10)&amp;tblUIText[[#This Row],[EN]]</f>
        <v>Tutar göstergeleri için tam olarak bir segment seçin
Select exactly one segment</v>
      </c>
    </row>
    <row r="117" spans="29:32">
      <c r="AC117" s="395" t="s">
        <v>16515</v>
      </c>
      <c r="AD117" s="355" t="s">
        <v>16516</v>
      </c>
      <c r="AE117" s="355" t="s">
        <v>16517</v>
      </c>
      <c r="AF117" s="390" t="str">
        <f>tblUIText[[#This Row],[TR]]&amp;CHAR(10)&amp;tblUIText[[#This Row],[EN]]</f>
        <v>Orijinal para birimi tutarları için tek bir para birimi seçin (TL karşılıkları etkilenmez)
Select one currency for original-currency amounts (TRY figures are not affected)</v>
      </c>
    </row>
    <row r="118" spans="29:32">
      <c r="AC118" s="395" t="s">
        <v>16518</v>
      </c>
      <c r="AD118" s="355" t="s">
        <v>16519</v>
      </c>
      <c r="AE118" s="355" t="s">
        <v>16520</v>
      </c>
      <c r="AF118" s="390" t="str">
        <f>tblUIText[[#This Row],[TR]]&amp;CHAR(10)&amp;tblUIText[[#This Row],[EN]]</f>
        <v>Referans verileri ve bantlar
Reference data and bands</v>
      </c>
    </row>
    <row r="119" spans="29:32">
      <c r="AC119" s="395" t="s">
        <v>16521</v>
      </c>
      <c r="AD119" s="355" t="s">
        <v>16522</v>
      </c>
      <c r="AE119" s="355" t="s">
        <v>16523</v>
      </c>
      <c r="AF119" s="390" t="str">
        <f>tblUIText[[#This Row],[TR]]&amp;CHAR(10)&amp;tblUIText[[#This Row],[EN]]</f>
        <v>Yönetici tarafından bakımı yapılan eşleme ve bant tabloları; her değişiklik ActivityLog'a yazılır. Eşlenmemiş satırlar için Data Model ölçülerine bakın.
Mapping and band tables maintained by the Administrator; every change is written to the ActivityLog. Unmapped lines are measured in the Data Model.</v>
      </c>
    </row>
    <row r="120" spans="29:32">
      <c r="AC120" s="395" t="s">
        <v>16524</v>
      </c>
      <c r="AD120" s="355" t="s">
        <v>16525</v>
      </c>
      <c r="AE120" s="355" t="s">
        <v>16526</v>
      </c>
      <c r="AF120" s="390" t="str">
        <f>tblUIText[[#This Row],[TR]]&amp;CHAR(10)&amp;tblUIText[[#This Row],[EN]]</f>
        <v>Kapsama: eşlenmemiş ödeme satırları Data Model'deki 'Unmapped Lines ...' ölçüleriyle izlenir (0 olmalı)
Coverage: unmapped payment lines are tracked by the 'Unmapped Lines ...' measures in the Data Model (must be 0)</v>
      </c>
    </row>
    <row r="121" spans="29:32">
      <c r="AC121" s="395" t="s">
        <v>16527</v>
      </c>
      <c r="AD121" s="355" t="s">
        <v>16528</v>
      </c>
      <c r="AE121" s="355" t="s">
        <v>16529</v>
      </c>
      <c r="AF121" s="390" t="str">
        <f>tblUIText[[#This Row],[TR]]&amp;CHAR(10)&amp;tblUIText[[#This Row],[EN]]</f>
        <v>Eksik kodu ilgili tabloya ekleyin (Yönetici); sonra Yenile.
Add the missing code to the table below (Administrator), then Refresh.</v>
      </c>
    </row>
    <row r="122" spans="29:32">
      <c r="AC122" s="395" t="s">
        <v>16530</v>
      </c>
      <c r="AD122" s="355" t="s">
        <v>16531</v>
      </c>
      <c r="AE122" s="355" t="s">
        <v>16532</v>
      </c>
      <c r="AF122" s="390" t="str">
        <f>tblUIText[[#This Row],[TR]]&amp;CHAR(10)&amp;tblUIText[[#This Row],[EN]]</f>
        <v>KPI kataloğu
KPI catalog</v>
      </c>
    </row>
    <row r="123" spans="29:32">
      <c r="AC123" s="395" t="s">
        <v>16533</v>
      </c>
      <c r="AD123" s="355" t="s">
        <v>16534</v>
      </c>
      <c r="AE123" s="355" t="s">
        <v>16535</v>
      </c>
      <c r="AF123" s="390" t="str">
        <f>tblUIText[[#This Row],[TR]]&amp;CHAR(10)&amp;tblUIText[[#This Row],[EN]]</f>
        <v>Her göstergenin tanımı, kullandığı alanlar, geçerli olduğu segmentler ve veri bağımlılığı. DAX alanı ölçü yazıldıkça doldurulur. Ödenen veriyle desteklenmeyen göstergeler 'NOT AVAILABLE' olarak işaretlidir.
Definition, fields, segment applicability and data dependency of every indicator. The measure column is filled as measures are built. Indicators that paid data cannot support are marked NOT AVAILABLE.</v>
      </c>
    </row>
    <row r="124" spans="29:32">
      <c r="AC124" s="395" t="s">
        <v>16536</v>
      </c>
      <c r="AD124" s="355" t="s">
        <v>16537</v>
      </c>
      <c r="AE124" s="355" t="s">
        <v>16538</v>
      </c>
      <c r="AF124" s="390" t="str">
        <f>tblUIText[[#This Row],[TR]]&amp;CHAR(10)&amp;tblUIText[[#This Row],[EN]]</f>
        <v>Eşik kaydı
Threshold register</v>
      </c>
    </row>
    <row r="125" spans="29:32">
      <c r="AC125" s="395" t="s">
        <v>16539</v>
      </c>
      <c r="AD125" s="355" t="s">
        <v>16540</v>
      </c>
      <c r="AE125" s="355" t="s">
        <v>16541</v>
      </c>
      <c r="AF125" s="390" t="str">
        <f>tblUIText[[#This Row],[TR]]&amp;CHAR(10)&amp;tblUIText[[#This Row],[EN]]</f>
        <v>Durumlar: OK / WATCH / ALERT / INSUFFICIENT DATA (yetersiz veri). DRAFT satırlar onaylı değildir; son veri doğrulamasında ayarlanır. Her eşik için gerekçe, sahip ve onay yazılır.
Statuses: OK / WATCH / ALERT / INSUFFICIENT DATA. DRAFT rows are not approved and are tuned on the final validation data. Every threshold carries a rationale, an owner and an approval.</v>
      </c>
    </row>
    <row r="126" spans="29:32">
      <c r="AC126" s="395" t="s">
        <v>18303</v>
      </c>
      <c r="AD126" s="355" t="s">
        <v>20912</v>
      </c>
      <c r="AE126" s="355" t="s">
        <v>20911</v>
      </c>
      <c r="AF126" s="390" t="str">
        <f>tblUIText[[#This Row],[TR]]&amp;CHAR(10)&amp;tblUIText[[#This Row],[EN]]</f>
        <v>Atanmamış segment: şirket listesinde segmenti (tipi) olmayan satırlar - aktif ayda listede olmayan bir şirketin satırları (kapanamaz) veya tipi sonradan silinmiş bir şirket. Satır sayısı:
Unassigned segment: lines whose company has no segment (type) in the company list - in the active month the lines of a company outside the list (they cannot be closed), or a company whose type was removed later. Lines:</v>
      </c>
    </row>
    <row r="127" spans="29:32">
      <c r="AC127" s="395" t="s">
        <v>18576</v>
      </c>
      <c r="AD127" s="355" t="s">
        <v>18578</v>
      </c>
      <c r="AE127" s="355" t="s">
        <v>18577</v>
      </c>
      <c r="AF127" s="390" t="str">
        <f>tblUIText[[#This Row],[TR]]&amp;CHAR(10)&amp;tblUIText[[#This Row],[EN]]</f>
        <v>SLA süreleri geçici değerlerdir; operasyon tarafından teyit edilecek
SLA days are placeholders, to be confirmed by operations</v>
      </c>
    </row>
    <row r="128" spans="29:32">
      <c r="AC128" s="395" t="s">
        <v>18643</v>
      </c>
      <c r="AD128" s="355" t="s">
        <v>18645</v>
      </c>
      <c r="AE128" s="355" t="s">
        <v>18644</v>
      </c>
      <c r="AF128" s="390" t="str">
        <f>tblUIText[[#This Row],[TR]]&amp;CHAR(10)&amp;tblUIText[[#This Row],[EN]]</f>
        <v>Referans verisi güncel; son yenileme:
Reference data in sync; last refreshed:</v>
      </c>
    </row>
    <row r="129" spans="29:32">
      <c r="AC129" s="395" t="s">
        <v>18646</v>
      </c>
      <c r="AD129" s="355" t="s">
        <v>18648</v>
      </c>
      <c r="AE129" s="355" t="s">
        <v>18647</v>
      </c>
      <c r="AF129" s="390" t="str">
        <f>tblUIText[[#This Row],[TR]]&amp;CHAR(10)&amp;tblUIText[[#This Row],[EN]]</f>
        <v>UYARI: referans tabloları son yenilemeden sonra değiştirildi; model eski değerleri tutuyor - 'Referans verisini yenile' komutunu çalıştırın (Yönetici)
WARNING: reference tables were edited after the last refresh; the model holds the old values - run 'Refresh reference data' (Administrator)</v>
      </c>
    </row>
    <row r="130" spans="29:32">
      <c r="AC130" s="395" t="s">
        <v>18677</v>
      </c>
      <c r="AD130" s="355" t="s">
        <v>18679</v>
      </c>
      <c r="AE130" s="355" t="s">
        <v>18678</v>
      </c>
      <c r="AF130" s="390" t="str">
        <f>tblUIText[[#This Row],[TR]]&amp;CHAR(10)&amp;tblUIText[[#This Row],[EN]]</f>
        <v>Dizin
Index</v>
      </c>
    </row>
    <row r="131" spans="29:32">
      <c r="AC131" s="395" t="s">
        <v>18680</v>
      </c>
      <c r="AD131" s="355" t="s">
        <v>16548</v>
      </c>
      <c r="AE131" s="355" t="s">
        <v>113</v>
      </c>
      <c r="AF131" s="390" t="str">
        <f>tblUIText[[#This Row],[TR]]&amp;CHAR(10)&amp;tblUIText[[#This Row],[EN]]</f>
        <v>Hayat
Life</v>
      </c>
    </row>
    <row r="132" spans="29:32">
      <c r="AC132" s="395" t="s">
        <v>18681</v>
      </c>
      <c r="AD132" s="355" t="s">
        <v>16550</v>
      </c>
      <c r="AE132" s="355" t="s">
        <v>114</v>
      </c>
      <c r="AF132" s="390" t="str">
        <f>tblUIText[[#This Row],[TR]]&amp;CHAR(10)&amp;tblUIText[[#This Row],[EN]]</f>
        <v>Emeklilik
Pension</v>
      </c>
    </row>
    <row r="133" spans="29:32">
      <c r="AC133" s="395" t="s">
        <v>18682</v>
      </c>
      <c r="AD133" s="355" t="s">
        <v>19830</v>
      </c>
      <c r="AE133" s="355" t="s">
        <v>112</v>
      </c>
      <c r="AF133" s="390" t="str">
        <f>tblUIText[[#This Row],[TR]]&amp;CHAR(10)&amp;tblUIText[[#This Row],[EN]]</f>
        <v>Elementer
Non-life</v>
      </c>
    </row>
    <row r="134" spans="29:32">
      <c r="AC134" s="395" t="s">
        <v>18683</v>
      </c>
      <c r="AD134" s="355" t="s">
        <v>18685</v>
      </c>
      <c r="AE134" s="355" t="s">
        <v>18684</v>
      </c>
      <c r="AF134" s="390" t="str">
        <f>tblUIText[[#This Row],[TR]]&amp;CHAR(10)&amp;tblUIText[[#This Row],[EN]]</f>
        <v>Eğilim
Trend</v>
      </c>
    </row>
    <row r="135" spans="29:32">
      <c r="AC135" s="395" t="s">
        <v>18686</v>
      </c>
      <c r="AD135" s="355" t="s">
        <v>19831</v>
      </c>
      <c r="AE135" s="355" t="s">
        <v>17146</v>
      </c>
      <c r="AF135" s="390" t="str">
        <f>tblUIText[[#This Row],[TR]]&amp;CHAR(10)&amp;tblUIText[[#This Row],[EN]]</f>
        <v>Üçgen
Triangle</v>
      </c>
    </row>
    <row r="136" spans="29:32">
      <c r="AC136" s="395" t="s">
        <v>18687</v>
      </c>
      <c r="AD136" s="355" t="s">
        <v>18688</v>
      </c>
      <c r="AE136" s="355" t="s">
        <v>17061</v>
      </c>
      <c r="AF136" s="390" t="str">
        <f>tblUIText[[#This Row],[TR]]&amp;CHAR(10)&amp;tblUIText[[#This Row],[EN]]</f>
        <v>Süreler
Lags</v>
      </c>
    </row>
    <row r="137" spans="29:32">
      <c r="AC137" s="395" t="s">
        <v>18689</v>
      </c>
      <c r="AD137" s="355" t="s">
        <v>16531</v>
      </c>
      <c r="AE137" s="355" t="s">
        <v>16532</v>
      </c>
      <c r="AF137" s="390" t="str">
        <f>tblUIText[[#This Row],[TR]]&amp;CHAR(10)&amp;tblUIText[[#This Row],[EN]]</f>
        <v>KPI kataloğu
KPI catalog</v>
      </c>
    </row>
    <row r="138" spans="29:32">
      <c r="AC138" s="395" t="s">
        <v>18690</v>
      </c>
      <c r="AD138" s="355" t="s">
        <v>16537</v>
      </c>
      <c r="AE138" s="355" t="s">
        <v>18691</v>
      </c>
      <c r="AF138" s="390" t="str">
        <f>tblUIText[[#This Row],[TR]]&amp;CHAR(10)&amp;tblUIText[[#This Row],[EN]]</f>
        <v>Eşik kaydı
Thresholds</v>
      </c>
    </row>
    <row r="139" spans="29:32">
      <c r="AC139" s="395" t="s">
        <v>18692</v>
      </c>
      <c r="AD139" s="355" t="s">
        <v>18693</v>
      </c>
      <c r="AE139" s="355" t="s">
        <v>3112</v>
      </c>
      <c r="AF139" s="390" t="str">
        <f>tblUIText[[#This Row],[TR]]&amp;CHAR(10)&amp;tblUIText[[#This Row],[EN]]</f>
        <v>Ana sayfa
Home</v>
      </c>
    </row>
    <row r="140" spans="29:32">
      <c r="AC140" s="395" t="s">
        <v>18694</v>
      </c>
      <c r="AD140" s="355" t="s">
        <v>16543</v>
      </c>
      <c r="AE140" s="355" t="s">
        <v>16543</v>
      </c>
      <c r="AF140" s="390" t="str">
        <f>tblUIText[[#This Row],[TR]]&amp;CHAR(10)&amp;tblUIText[[#This Row],[EN]]</f>
        <v>Segment
Segment</v>
      </c>
    </row>
    <row r="141" spans="29:32">
      <c r="AC141" s="395" t="s">
        <v>18695</v>
      </c>
      <c r="AD141" s="355" t="s">
        <v>18697</v>
      </c>
      <c r="AE141" s="355" t="s">
        <v>18696</v>
      </c>
      <c r="AF141" s="390" t="str">
        <f>tblUIText[[#This Row],[TR]]&amp;CHAR(10)&amp;tblUIText[[#This Row],[EN]]</f>
        <v>Ay
Month</v>
      </c>
    </row>
    <row r="142" spans="29:32">
      <c r="AC142" s="395" t="s">
        <v>18698</v>
      </c>
      <c r="AD142" s="355" t="s">
        <v>18700</v>
      </c>
      <c r="AE142" s="355" t="s">
        <v>18699</v>
      </c>
      <c r="AF142" s="390" t="str">
        <f>tblUIText[[#This Row],[TR]]&amp;CHAR(10)&amp;tblUIText[[#This Row],[EN]]</f>
        <v>Veri durumu
Data readiness</v>
      </c>
    </row>
    <row r="143" spans="29:32">
      <c r="AC143" s="395" t="s">
        <v>18701</v>
      </c>
      <c r="AD143" s="355" t="s">
        <v>18703</v>
      </c>
      <c r="AE143" s="355" t="s">
        <v>18702</v>
      </c>
      <c r="AF143" s="390" t="str">
        <f>tblUIText[[#This Row],[TR]]&amp;CHAR(10)&amp;tblUIText[[#This Row],[EN]]</f>
        <v>Son yenileme
Last refresh</v>
      </c>
    </row>
    <row r="144" spans="29:32">
      <c r="AC144" s="395" t="s">
        <v>18704</v>
      </c>
      <c r="AD144" s="355" t="s">
        <v>18706</v>
      </c>
      <c r="AE144" s="355" t="s">
        <v>18705</v>
      </c>
      <c r="AF144" s="390" t="str">
        <f>tblUIText[[#This Row],[TR]]&amp;CHAR(10)&amp;tblUIText[[#This Row],[EN]]</f>
        <v>Tanımlar: KPI kataloğu
Definitions: KPI catalog</v>
      </c>
    </row>
    <row r="145" spans="29:32">
      <c r="AC145" s="395" t="s">
        <v>18707</v>
      </c>
      <c r="AD145" s="355" t="s">
        <v>18709</v>
      </c>
      <c r="AE145" s="355" t="s">
        <v>18708</v>
      </c>
      <c r="AF145" s="390" t="str">
        <f>tblUIText[[#This Row],[TR]]&amp;CHAR(10)&amp;tblUIText[[#This Row],[EN]]</f>
        <v>Son ay
Latest</v>
      </c>
    </row>
    <row r="146" spans="29:32">
      <c r="AC146" s="395" t="s">
        <v>18710</v>
      </c>
      <c r="AD146" s="355" t="s">
        <v>18712</v>
      </c>
      <c r="AE146" s="355" t="s">
        <v>18711</v>
      </c>
      <c r="AF146" s="390" t="str">
        <f>tblUIText[[#This Row],[TR]]&amp;CHAR(10)&amp;tblUIText[[#This Row],[EN]]</f>
        <v>Sarı hücreler seçimdir
Yellow cells are selections</v>
      </c>
    </row>
    <row r="147" spans="29:32">
      <c r="AC147" s="395" t="s">
        <v>18713</v>
      </c>
      <c r="AD147" s="355" t="s">
        <v>18715</v>
      </c>
      <c r="AE147" s="355" t="s">
        <v>18714</v>
      </c>
      <c r="AF147" s="390" t="str">
        <f>tblUIText[[#This Row],[TR]]&amp;CHAR(10)&amp;tblUIText[[#This Row],[EN]]</f>
        <v>Yeterli
Sufficient</v>
      </c>
    </row>
    <row r="148" spans="29:32">
      <c r="AC148" s="395" t="s">
        <v>18716</v>
      </c>
      <c r="AD148" s="355" t="s">
        <v>18718</v>
      </c>
      <c r="AE148" s="355" t="s">
        <v>18717</v>
      </c>
      <c r="AF148" s="390" t="str">
        <f>tblUIText[[#This Row],[TR]]&amp;CHAR(10)&amp;tblUIText[[#This Row],[EN]]</f>
        <v>ay veri
months of data</v>
      </c>
    </row>
    <row r="149" spans="29:32">
      <c r="AC149" s="395" t="s">
        <v>18719</v>
      </c>
      <c r="AD149" s="355" t="s">
        <v>18721</v>
      </c>
      <c r="AE149" s="355" t="s">
        <v>18720</v>
      </c>
      <c r="AF149" s="390" t="str">
        <f>tblUIText[[#This Row],[TR]]&amp;CHAR(10)&amp;tblUIText[[#This Row],[EN]]</f>
        <v>satır bu ay
lines this month</v>
      </c>
    </row>
    <row r="150" spans="29:32">
      <c r="AC150" s="395" t="s">
        <v>18722</v>
      </c>
      <c r="AD150" s="355" t="s">
        <v>19833</v>
      </c>
      <c r="AE150" s="355" t="s">
        <v>19832</v>
      </c>
      <c r="AF150" s="390" t="str">
        <f>tblUIText[[#This Row],[TR]]&amp;CHAR(10)&amp;tblUIText[[#This Row],[EN]]</f>
        <v>Durum: OK; WATCH = uyarı eşiği aşıldı (kalıcılık kuralıyla); ALERT = alarm eşiği aşıldı; INSUFFICIENT DATA = yetersiz veri; (draft) = taslak istatistiksel eşik, sayılır; * = geçici sabit eşik (gri), uyarı sayılmaz ve sıralanmaz. Eşikler Threshold_Register'da (DRAFT).
Status: OK; WATCH = watch level breached (with the persistence rule); ALERT = alert level breached; INSUFFICIENT DATA = too little data; (draft) = draft statistical level, counted; * = placeholder fixed level (grey), never counted or ranked. Levels in Threshold_Register (DRAFT).</v>
      </c>
    </row>
    <row r="151" spans="29:32">
      <c r="AC151" s="395" t="s">
        <v>18723</v>
      </c>
      <c r="AD151" s="355" t="s">
        <v>18725</v>
      </c>
      <c r="AE151" s="355" t="s">
        <v>18724</v>
      </c>
      <c r="AF151" s="390" t="str">
        <f>tblUIText[[#This Row],[TR]]&amp;CHAR(10)&amp;tblUIText[[#This Row],[EN]]</f>
        <v>Tutarlar ödeme günü TCMB kuruyla TL'dir; segmentler toplanmaz ve karşılaştırılmaz. Yalnızca ödenen veriler: rezerv, prim ve risk tutarı yoktur.
Amounts are TRY at the CBRT rate of the payment date; segments are never added or compared. Paid data only: no reserves, premium or exposure.</v>
      </c>
    </row>
    <row r="152" spans="29:32">
      <c r="AC152" s="395" t="s">
        <v>18726</v>
      </c>
      <c r="AD152" s="355" t="s">
        <v>18728</v>
      </c>
      <c r="AE152" s="355" t="s">
        <v>18727</v>
      </c>
      <c r="AF152" s="390" t="str">
        <f>tblUIText[[#This Row],[TR]]&amp;CHAR(10)&amp;tblUIText[[#This Row],[EN]]</f>
        <v>Bu segmentin seçilen aydaki ödeme faaliyeti olağan mı?
Is this segment's payment activity normal in the selected month?</v>
      </c>
    </row>
    <row r="153" spans="29:32">
      <c r="AC153" s="395" t="s">
        <v>18729</v>
      </c>
      <c r="AD153" s="355" t="s">
        <v>18731</v>
      </c>
      <c r="AE153" s="355" t="s">
        <v>18730</v>
      </c>
      <c r="AF153" s="390" t="str">
        <f>tblUIText[[#This Row],[TR]]&amp;CHAR(10)&amp;tblUIText[[#This Row],[EN]]</f>
        <v>Ödenen (mn TL)
Paid (TRY m)</v>
      </c>
    </row>
    <row r="154" spans="29:32">
      <c r="AC154" s="395" t="s">
        <v>18732</v>
      </c>
      <c r="AD154" s="355" t="s">
        <v>17024</v>
      </c>
      <c r="AE154" s="355" t="s">
        <v>17025</v>
      </c>
      <c r="AF154" s="390" t="str">
        <f>tblUIText[[#This Row],[TR]]&amp;CHAR(10)&amp;tblUIText[[#This Row],[EN]]</f>
        <v>Dosya sayısı
Cases</v>
      </c>
    </row>
    <row r="155" spans="29:32">
      <c r="AC155" s="395" t="s">
        <v>18733</v>
      </c>
      <c r="AD155" s="355" t="s">
        <v>18735</v>
      </c>
      <c r="AE155" s="355" t="s">
        <v>18734</v>
      </c>
      <c r="AF155" s="390" t="str">
        <f>tblUIText[[#This Row],[TR]]&amp;CHAR(10)&amp;tblUIText[[#This Row],[EN]]</f>
        <v>Dosya başına ort. (bin TL)
Mean per case (TRY k)</v>
      </c>
    </row>
    <row r="156" spans="29:32">
      <c r="AC156" s="395" t="s">
        <v>18736</v>
      </c>
      <c r="AD156" s="355" t="s">
        <v>18738</v>
      </c>
      <c r="AE156" s="355" t="s">
        <v>18737</v>
      </c>
      <c r="AF156" s="390" t="str">
        <f>tblUIText[[#This Row],[TR]]&amp;CHAR(10)&amp;tblUIText[[#This Row],[EN]]</f>
        <v>Dosya başına P90 (bin TL)
P90 per case (TRY k)</v>
      </c>
    </row>
    <row r="157" spans="29:32">
      <c r="AC157" s="395" t="s">
        <v>18739</v>
      </c>
      <c r="AD157" s="355" t="s">
        <v>18741</v>
      </c>
      <c r="AE157" s="355" t="s">
        <v>18740</v>
      </c>
      <c r="AF157" s="390" t="str">
        <f>tblUIText[[#This Row],[TR]]&amp;CHAR(10)&amp;tblUIText[[#This Row],[EN]]</f>
        <v>Hasar→ödeme P50 (gün)
Loss→payment P50 (days)</v>
      </c>
    </row>
    <row r="158" spans="29:32">
      <c r="AC158" s="395" t="s">
        <v>18742</v>
      </c>
      <c r="AD158" s="355" t="s">
        <v>18744</v>
      </c>
      <c r="AE158" s="355" t="s">
        <v>18743</v>
      </c>
      <c r="AF158" s="390" t="str">
        <f>tblUIText[[#This Row],[TR]]&amp;CHAR(10)&amp;tblUIText[[#This Row],[EN]]</f>
        <v>Uçtan uca SLA aşımı
SLA breach, end to end</v>
      </c>
    </row>
    <row r="159" spans="29:32">
      <c r="AC159" s="395" t="s">
        <v>18745</v>
      </c>
      <c r="AD159" s="355" t="s">
        <v>18747</v>
      </c>
      <c r="AE159" s="355" t="s">
        <v>18746</v>
      </c>
      <c r="AF159" s="390" t="str">
        <f>tblUIText[[#This Row],[TR]]&amp;CHAR(10)&amp;tblUIText[[#This Row],[EN]]</f>
        <v>önceki aya göre
vs previous month</v>
      </c>
    </row>
    <row r="160" spans="29:32">
      <c r="AC160" s="395" t="s">
        <v>18748</v>
      </c>
      <c r="AD160" s="355" t="s">
        <v>18750</v>
      </c>
      <c r="AE160" s="355" t="s">
        <v>18749</v>
      </c>
      <c r="AF160" s="390" t="str">
        <f>tblUIText[[#This Row],[TR]]&amp;CHAR(10)&amp;tblUIText[[#This Row],[EN]]</f>
        <v>önceki ay
prev. month</v>
      </c>
    </row>
    <row r="161" spans="29:32">
      <c r="AC161" s="395" t="s">
        <v>18751</v>
      </c>
      <c r="AD161" s="355" t="s">
        <v>18753</v>
      </c>
      <c r="AE161" s="355" t="s">
        <v>18752</v>
      </c>
      <c r="AF161" s="390" t="str">
        <f>tblUIText[[#This Row],[TR]]&amp;CHAR(10)&amp;tblUIText[[#This Row],[EN]]</f>
        <v>mn TL
TRY m</v>
      </c>
    </row>
    <row r="162" spans="29:32">
      <c r="AC162" s="395" t="s">
        <v>18754</v>
      </c>
      <c r="AD162" s="355" t="s">
        <v>18755</v>
      </c>
      <c r="AE162" s="355" t="s">
        <v>16899</v>
      </c>
      <c r="AF162" s="390" t="str">
        <f>tblUIText[[#This Row],[TR]]&amp;CHAR(10)&amp;tblUIText[[#This Row],[EN]]</f>
        <v>gün
days</v>
      </c>
    </row>
    <row r="163" spans="29:32">
      <c r="AC163" s="395" t="s">
        <v>18756</v>
      </c>
      <c r="AD163" s="355" t="s">
        <v>18758</v>
      </c>
      <c r="AE163" s="355" t="s">
        <v>18757</v>
      </c>
      <c r="AF163" s="390" t="str">
        <f>tblUIText[[#This Row],[TR]]&amp;CHAR(10)&amp;tblUIText[[#This Row],[EN]]</f>
        <v>puan
pp</v>
      </c>
    </row>
    <row r="164" spans="29:32">
      <c r="AC164" s="395" t="s">
        <v>18759</v>
      </c>
      <c r="AD164" s="355" t="s">
        <v>18761</v>
      </c>
      <c r="AE164" s="355" t="s">
        <v>18760</v>
      </c>
      <c r="AF164" s="390" t="str">
        <f>tblUIText[[#This Row],[TR]]&amp;CHAR(10)&amp;tblUIText[[#This Row],[EN]]</f>
        <v>eşik yok
no threshold</v>
      </c>
    </row>
    <row r="165" spans="29:32">
      <c r="AC165" s="395" t="s">
        <v>18762</v>
      </c>
      <c r="AD165" s="355" t="s">
        <v>18764</v>
      </c>
      <c r="AE165" s="355" t="s">
        <v>18763</v>
      </c>
      <c r="AF165" s="390" t="str">
        <f>tblUIText[[#This Row],[TR]]&amp;CHAR(10)&amp;tblUIText[[#This Row],[EN]]</f>
        <v>SLA geçici değer
SLA placeholder</v>
      </c>
    </row>
    <row r="166" spans="29:32">
      <c r="AC166" s="395" t="s">
        <v>18765</v>
      </c>
      <c r="AD166" s="355" t="s">
        <v>18767</v>
      </c>
      <c r="AE166" s="355" t="s">
        <v>18766</v>
      </c>
      <c r="AF166" s="390" t="str">
        <f>tblUIText[[#This Row],[TR]]&amp;CHAR(10)&amp;tblUIText[[#This Row],[EN]]</f>
        <v>Referans verisi güncel; son yenileme
Reference data in sync; last refreshed</v>
      </c>
    </row>
    <row r="167" spans="29:32">
      <c r="AC167" s="395" t="s">
        <v>18768</v>
      </c>
      <c r="AD167" s="355" t="s">
        <v>19921</v>
      </c>
      <c r="AE167" s="355" t="s">
        <v>19920</v>
      </c>
      <c r="AF167" s="390" t="str">
        <f>tblUIText[[#This Row],[TR]]&amp;CHAR(10)&amp;tblUIText[[#This Row],[EN]]</f>
        <v>Aylık ödenen (mn TL), medyan ve olağan bant (log ölçekte medyan ± k robust sapma)
Monthly paid (TRY m), median and normal band (median ± k robust SD on the log scale)</v>
      </c>
    </row>
    <row r="168" spans="29:32">
      <c r="AC168" s="395" t="s">
        <v>18769</v>
      </c>
      <c r="AD168" s="355" t="s">
        <v>18771</v>
      </c>
      <c r="AE168" s="355" t="s">
        <v>18770</v>
      </c>
      <c r="AF168" s="390" t="str">
        <f>tblUIText[[#This Row],[TR]]&amp;CHAR(10)&amp;tblUIText[[#This Row],[EN]]</f>
        <v>En çok değişen ödeme nedenleri (önceki aya göre, mn TL)
Top movers by reason code (vs previous month, TRY m)</v>
      </c>
    </row>
    <row r="169" spans="29:32">
      <c r="AC169" s="395" t="s">
        <v>18772</v>
      </c>
      <c r="AD169" s="355" t="s">
        <v>18773</v>
      </c>
      <c r="AE169" s="355" t="s">
        <v>21</v>
      </c>
      <c r="AF169" s="390" t="str">
        <f>tblUIText[[#This Row],[TR]]&amp;CHAR(10)&amp;tblUIText[[#This Row],[EN]]</f>
        <v>Neden
Reason</v>
      </c>
    </row>
    <row r="170" spans="29:32">
      <c r="AC170" s="395" t="s">
        <v>18774</v>
      </c>
      <c r="AD170" s="355" t="s">
        <v>18776</v>
      </c>
      <c r="AE170" s="355" t="s">
        <v>18775</v>
      </c>
      <c r="AF170" s="390" t="str">
        <f>tblUIText[[#This Row],[TR]]&amp;CHAR(10)&amp;tblUIText[[#This Row],[EN]]</f>
        <v>Önceki
Previous</v>
      </c>
    </row>
    <row r="171" spans="29:32">
      <c r="AC171" s="395" t="s">
        <v>18777</v>
      </c>
      <c r="AD171" s="355" t="s">
        <v>18779</v>
      </c>
      <c r="AE171" s="355" t="s">
        <v>18778</v>
      </c>
      <c r="AF171" s="390" t="str">
        <f>tblUIText[[#This Row],[TR]]&amp;CHAR(10)&amp;tblUIText[[#This Row],[EN]]</f>
        <v>Bu ay
This month</v>
      </c>
    </row>
    <row r="172" spans="29:32">
      <c r="AC172" s="395" t="s">
        <v>18780</v>
      </c>
      <c r="AD172" s="355" t="s">
        <v>18782</v>
      </c>
      <c r="AE172" s="355" t="s">
        <v>18781</v>
      </c>
      <c r="AF172" s="390" t="str">
        <f>tblUIText[[#This Row],[TR]]&amp;CHAR(10)&amp;tblUIText[[#This Row],[EN]]</f>
        <v>Fark
Change</v>
      </c>
    </row>
    <row r="173" spans="29:32">
      <c r="AC173" s="395" t="s">
        <v>18783</v>
      </c>
      <c r="AD173" s="355" t="s">
        <v>18785</v>
      </c>
      <c r="AE173" s="355" t="s">
        <v>18784</v>
      </c>
      <c r="AF173" s="390" t="str">
        <f>tblUIText[[#This Row],[TR]]&amp;CHAR(10)&amp;tblUIText[[#This Row],[EN]]</f>
        <v>Açık uyarılar
Open alerts</v>
      </c>
    </row>
    <row r="174" spans="29:32">
      <c r="AC174" s="395" t="s">
        <v>18786</v>
      </c>
      <c r="AD174" s="355" t="s">
        <v>18788</v>
      </c>
      <c r="AE174" s="355" t="s">
        <v>18787</v>
      </c>
      <c r="AF174" s="390" t="str">
        <f>tblUIText[[#This Row],[TR]]&amp;CHAR(10)&amp;tblUIText[[#This Row],[EN]]</f>
        <v>Açık uyarı yok
No open alerts</v>
      </c>
    </row>
    <row r="175" spans="29:32">
      <c r="AC175" s="395" t="s">
        <v>18789</v>
      </c>
      <c r="AD175" s="355" t="s">
        <v>18791</v>
      </c>
      <c r="AE175" s="355" t="s">
        <v>18790</v>
      </c>
      <c r="AF175" s="390" t="str">
        <f>tblUIText[[#This Row],[TR]]&amp;CHAR(10)&amp;tblUIText[[#This Row],[EN]]</f>
        <v>ödemeleri
paid</v>
      </c>
    </row>
    <row r="176" spans="29:32">
      <c r="AC176" s="395" t="s">
        <v>18792</v>
      </c>
      <c r="AD176" s="355" t="s">
        <v>18794</v>
      </c>
      <c r="AE176" s="355" t="s">
        <v>18793</v>
      </c>
      <c r="AF176" s="390" t="str">
        <f>tblUIText[[#This Row],[TR]]&amp;CHAR(10)&amp;tblUIText[[#This Row],[EN]]</f>
        <v>geçen yılın aynı ayına göre
vs the same month last year</v>
      </c>
    </row>
    <row r="177" spans="29:32">
      <c r="AC177" s="395" t="s">
        <v>18795</v>
      </c>
      <c r="AD177" s="355" t="s">
        <v>18797</v>
      </c>
      <c r="AE177" s="355" t="s">
        <v>18796</v>
      </c>
      <c r="AF177" s="390" t="str">
        <f>tblUIText[[#This Row],[TR]]&amp;CHAR(10)&amp;tblUIText[[#This Row],[EN]]</f>
        <v>son 12 ay
last 12 months</v>
      </c>
    </row>
    <row r="178" spans="29:32">
      <c r="AC178" s="395" t="s">
        <v>18798</v>
      </c>
      <c r="AD178" s="355" t="s">
        <v>18800</v>
      </c>
      <c r="AE178" s="355" t="s">
        <v>18799</v>
      </c>
      <c r="AF178" s="390" t="str">
        <f>tblUIText[[#This Row],[TR]]&amp;CHAR(10)&amp;tblUIText[[#This Row],[EN]]</f>
        <v>açık uyarı
open alert(s)</v>
      </c>
    </row>
    <row r="179" spans="29:32">
      <c r="AC179" s="395" t="s">
        <v>18801</v>
      </c>
      <c r="AD179" s="355" t="s">
        <v>18803</v>
      </c>
      <c r="AE179" s="355" t="s">
        <v>18802</v>
      </c>
      <c r="AF179" s="390" t="str">
        <f>tblUIText[[#This Row],[TR]]&amp;CHAR(10)&amp;tblUIText[[#This Row],[EN]]</f>
        <v>Analitik sayfalar
Analytics pages</v>
      </c>
    </row>
    <row r="180" spans="29:32">
      <c r="AC180" s="395" t="s">
        <v>18804</v>
      </c>
      <c r="AD180" s="355" t="s">
        <v>18806</v>
      </c>
      <c r="AE180" s="355" t="s">
        <v>18805</v>
      </c>
      <c r="AF180" s="390" t="str">
        <f>tblUIText[[#This Row],[TR]]&amp;CHAR(10)&amp;tblUIText[[#This Row],[EN]]</f>
        <v>Her sayfa tek bir soruyu yanıtlar; her sayı KPI kataloğundaki bir tanıma dayanır. Segmentler hiçbir sayfada toplanmaz.
Each page answers one question; every figure traces to a definition in the KPI catalog. No page adds segments.</v>
      </c>
    </row>
    <row r="181" spans="29:32">
      <c r="AC181" s="395" t="s">
        <v>18807</v>
      </c>
      <c r="AD181" s="355" t="s">
        <v>18809</v>
      </c>
      <c r="AE181" s="355" t="s">
        <v>18808</v>
      </c>
      <c r="AF181" s="390" t="str">
        <f>tblUIText[[#This Row],[TR]]&amp;CHAR(10)&amp;tblUIText[[#This Row],[EN]]</f>
        <v>Sayfa
Page</v>
      </c>
    </row>
    <row r="182" spans="29:32">
      <c r="AC182" s="395" t="s">
        <v>18810</v>
      </c>
      <c r="AD182" s="355" t="s">
        <v>18812</v>
      </c>
      <c r="AE182" s="355" t="s">
        <v>18811</v>
      </c>
      <c r="AF182" s="390" t="str">
        <f>tblUIText[[#This Row],[TR]]&amp;CHAR(10)&amp;tblUIText[[#This Row],[EN]]</f>
        <v>Yanıtladığı soru
Question answered</v>
      </c>
    </row>
    <row r="183" spans="29:32">
      <c r="AC183" s="395" t="s">
        <v>18813</v>
      </c>
      <c r="AD183" s="355" t="s">
        <v>18815</v>
      </c>
      <c r="AE183" s="355" t="s">
        <v>18814</v>
      </c>
      <c r="AF183" s="390" t="str">
        <f>tblUIText[[#This Row],[TR]]&amp;CHAR(10)&amp;tblUIText[[#This Row],[EN]]</f>
        <v>Kimin için
Audience</v>
      </c>
    </row>
    <row r="184" spans="29:32">
      <c r="AC184" s="395" t="s">
        <v>18816</v>
      </c>
      <c r="AD184" s="355" t="s">
        <v>18818</v>
      </c>
      <c r="AE184" s="355" t="s">
        <v>18817</v>
      </c>
      <c r="AF184" s="390" t="str">
        <f>tblUIText[[#This Row],[TR]]&amp;CHAR(10)&amp;tblUIText[[#This Row],[EN]]</f>
        <v>Kademe
Tier</v>
      </c>
    </row>
    <row r="185" spans="29:32">
      <c r="AC185" s="395" t="s">
        <v>18819</v>
      </c>
      <c r="AD185" s="355" t="s">
        <v>18700</v>
      </c>
      <c r="AE185" s="355" t="s">
        <v>18699</v>
      </c>
      <c r="AF185" s="390" t="str">
        <f>tblUIText[[#This Row],[TR]]&amp;CHAR(10)&amp;tblUIText[[#This Row],[EN]]</f>
        <v>Veri durumu
Data readiness</v>
      </c>
    </row>
    <row r="186" spans="29:32">
      <c r="AC186" s="395" t="s">
        <v>18820</v>
      </c>
      <c r="AD186" s="355" t="s">
        <v>18822</v>
      </c>
      <c r="AE186" s="355" t="s">
        <v>18821</v>
      </c>
      <c r="AF186" s="390" t="str">
        <f>tblUIText[[#This Row],[TR]]&amp;CHAR(10)&amp;tblUIText[[#This Row],[EN]]</f>
        <v>Git
Go</v>
      </c>
    </row>
    <row r="187" spans="29:32">
      <c r="AC187" s="395" t="s">
        <v>18823</v>
      </c>
      <c r="AD187" s="355" t="s">
        <v>18825</v>
      </c>
      <c r="AE187" s="355" t="s">
        <v>18824</v>
      </c>
      <c r="AF187" s="390" t="str">
        <f>tblUIText[[#This Row],[TR]]&amp;CHAR(10)&amp;tblUIText[[#This Row],[EN]]</f>
        <v>Veri kapsamı
Data coverage</v>
      </c>
    </row>
    <row r="188" spans="29:32">
      <c r="AC188" s="395" t="s">
        <v>18826</v>
      </c>
      <c r="AD188" s="355" t="s">
        <v>18828</v>
      </c>
      <c r="AE188" s="355" t="s">
        <v>18827</v>
      </c>
      <c r="AF188" s="390" t="str">
        <f>tblUIText[[#This Row],[TR]]&amp;CHAR(10)&amp;tblUIText[[#This Row],[EN]]</f>
        <v>İlk ay
First month</v>
      </c>
    </row>
    <row r="189" spans="29:32">
      <c r="AC189" s="395" t="s">
        <v>18829</v>
      </c>
      <c r="AD189" s="355" t="s">
        <v>18709</v>
      </c>
      <c r="AE189" s="355" t="s">
        <v>18830</v>
      </c>
      <c r="AF189" s="390" t="str">
        <f>tblUIText[[#This Row],[TR]]&amp;CHAR(10)&amp;tblUIText[[#This Row],[EN]]</f>
        <v>Son ay
Last month</v>
      </c>
    </row>
    <row r="190" spans="29:32">
      <c r="AC190" s="395" t="s">
        <v>18831</v>
      </c>
      <c r="AD190" s="355" t="s">
        <v>18833</v>
      </c>
      <c r="AE190" s="355" t="s">
        <v>18832</v>
      </c>
      <c r="AF190" s="390" t="str">
        <f>tblUIText[[#This Row],[TR]]&amp;CHAR(10)&amp;tblUIText[[#This Row],[EN]]</f>
        <v>Ay sayısı
Months</v>
      </c>
    </row>
    <row r="191" spans="29:32">
      <c r="AC191" s="395" t="s">
        <v>18834</v>
      </c>
      <c r="AD191" s="355" t="s">
        <v>18836</v>
      </c>
      <c r="AE191" s="355" t="s">
        <v>18835</v>
      </c>
      <c r="AF191" s="390" t="str">
        <f>tblUIText[[#This Row],[TR]]&amp;CHAR(10)&amp;tblUIText[[#This Row],[EN]]</f>
        <v>Referans verisi
Reference data</v>
      </c>
    </row>
    <row r="192" spans="29:32">
      <c r="AC192" s="395" t="s">
        <v>18837</v>
      </c>
      <c r="AD192" s="355" t="s">
        <v>18839</v>
      </c>
      <c r="AE192" s="355" t="s">
        <v>18838</v>
      </c>
      <c r="AF192" s="390" t="str">
        <f>tblUIText[[#This Row],[TR]]&amp;CHAR(10)&amp;tblUIText[[#This Row],[EN]]</f>
        <v>Yönetici, gözden geçiren
Management, reviewer</v>
      </c>
    </row>
    <row r="193" spans="29:32">
      <c r="AC193" s="395" t="s">
        <v>18840</v>
      </c>
      <c r="AD193" s="355" t="s">
        <v>18842</v>
      </c>
      <c r="AE193" s="355" t="s">
        <v>18841</v>
      </c>
      <c r="AF193" s="390" t="str">
        <f>tblUIText[[#This Row],[TR]]&amp;CHAR(10)&amp;tblUIText[[#This Row],[EN]]</f>
        <v>Aktüer, analist
Actuary, analyst</v>
      </c>
    </row>
    <row r="194" spans="29:32">
      <c r="AC194" s="395" t="s">
        <v>18843</v>
      </c>
      <c r="AD194" s="355" t="s">
        <v>18845</v>
      </c>
      <c r="AE194" s="355" t="s">
        <v>18844</v>
      </c>
      <c r="AF194" s="390" t="str">
        <f>tblUIText[[#This Row],[TR]]&amp;CHAR(10)&amp;tblUIText[[#This Row],[EN]]</f>
        <v>Herkes
Everyone</v>
      </c>
    </row>
    <row r="195" spans="29:32">
      <c r="AC195" s="395" t="s">
        <v>18846</v>
      </c>
      <c r="AD195" s="355" t="s">
        <v>18848</v>
      </c>
      <c r="AE195" s="355" t="s">
        <v>18847</v>
      </c>
      <c r="AF195" s="390" t="str">
        <f>tblUIText[[#This Row],[TR]]&amp;CHAR(10)&amp;tblUIText[[#This Row],[EN]]</f>
        <v>Bu segmentin bu ayki ödeme faaliyeti olağan mı?
Is this segment's payment activity normal this period?</v>
      </c>
    </row>
    <row r="196" spans="29:32">
      <c r="AC196" s="395" t="s">
        <v>18849</v>
      </c>
      <c r="AD196" s="355" t="s">
        <v>18851</v>
      </c>
      <c r="AE196" s="355" t="s">
        <v>18850</v>
      </c>
      <c r="AF196" s="390" t="str">
        <f>tblUIText[[#This Row],[TR]]&amp;CHAR(10)&amp;tblUIText[[#This Row],[EN]]</f>
        <v>Ödemeler mevsimsel olarak ve geçen yıla göre nasıl gelişiyor?
How do payments evolve, seasonally and versus last year?</v>
      </c>
    </row>
    <row r="197" spans="29:32">
      <c r="AC197" s="395" t="s">
        <v>18852</v>
      </c>
      <c r="AD197" s="355" t="s">
        <v>18854</v>
      </c>
      <c r="AE197" s="355" t="s">
        <v>18853</v>
      </c>
      <c r="AF197" s="390" t="str">
        <f>tblUIText[[#This Row],[TR]]&amp;CHAR(10)&amp;tblUIText[[#This Row],[EN]]</f>
        <v>Ödenen tutarlar hasardan sonra nasıl gelişiyor?
How do paid amounts develop after loss?</v>
      </c>
    </row>
    <row r="198" spans="29:32">
      <c r="AC198" s="395" t="s">
        <v>18855</v>
      </c>
      <c r="AD198" s="355" t="s">
        <v>18857</v>
      </c>
      <c r="AE198" s="355" t="s">
        <v>18856</v>
      </c>
      <c r="AF198" s="390" t="str">
        <f>tblUIText[[#This Row],[TR]]&amp;CHAR(10)&amp;tblUIText[[#This Row],[EN]]</f>
        <v>Dosyalar ne kadar hızlı ilerliyor?
How fast do cases move?</v>
      </c>
    </row>
    <row r="199" spans="29:32">
      <c r="AC199" s="395" t="s">
        <v>18858</v>
      </c>
      <c r="AD199" s="355" t="s">
        <v>18860</v>
      </c>
      <c r="AE199" s="355" t="s">
        <v>18859</v>
      </c>
      <c r="AF199" s="390" t="str">
        <f>tblUIText[[#This Row],[TR]]&amp;CHAR(10)&amp;tblUIText[[#This Row],[EN]]</f>
        <v>Her gösterge nasıl tanımlanır?
How is each indicator defined?</v>
      </c>
    </row>
    <row r="200" spans="29:32">
      <c r="AC200" s="395" t="s">
        <v>18861</v>
      </c>
      <c r="AD200" s="355" t="s">
        <v>18863</v>
      </c>
      <c r="AE200" s="355" t="s">
        <v>18862</v>
      </c>
      <c r="AF200" s="390" t="str">
        <f>tblUIText[[#This Row],[TR]]&amp;CHAR(10)&amp;tblUIText[[#This Row],[EN]]</f>
        <v>Hangi eşik hangi gerekçeyle?
Which threshold, on what rationale?</v>
      </c>
    </row>
    <row r="201" spans="29:32">
      <c r="AC201" s="395" t="s">
        <v>18864</v>
      </c>
      <c r="AD201" s="355" t="s">
        <v>18851</v>
      </c>
      <c r="AE201" s="355" t="s">
        <v>18850</v>
      </c>
      <c r="AF201" s="390" t="str">
        <f>tblUIText[[#This Row],[TR]]&amp;CHAR(10)&amp;tblUIText[[#This Row],[EN]]</f>
        <v>Ödemeler mevsimsel olarak ve geçen yıla göre nasıl gelişiyor?
How do payments evolve, seasonally and versus last year?</v>
      </c>
    </row>
    <row r="202" spans="29:32">
      <c r="AC202" s="395" t="s">
        <v>18865</v>
      </c>
      <c r="AD202" s="355" t="s">
        <v>19923</v>
      </c>
      <c r="AE202" s="355" t="s">
        <v>19922</v>
      </c>
      <c r="AF202" s="390" t="str">
        <f>tblUIText[[#This Row],[TR]]&amp;CHAR(10)&amp;tblUIText[[#This Row],[EN]]</f>
        <v>Aylık ödenen, geçen yıl, 12 aylık ortalama ve tahmin (mn TL)
Monthly paid, last year, 12-month average and forecast (TRY m)</v>
      </c>
    </row>
    <row r="203" spans="29:32">
      <c r="AC203" s="395" t="s">
        <v>18866</v>
      </c>
      <c r="AD203" s="355" t="s">
        <v>18868</v>
      </c>
      <c r="AE203" s="355" t="s">
        <v>18867</v>
      </c>
      <c r="AF203" s="390" t="str">
        <f>tblUIText[[#This Row],[TR]]&amp;CHAR(10)&amp;tblUIText[[#This Row],[EN]]</f>
        <v>Aylık tablo
Monthly table</v>
      </c>
    </row>
    <row r="204" spans="29:32">
      <c r="AC204" s="395" t="s">
        <v>18869</v>
      </c>
      <c r="AD204" s="355" t="s">
        <v>18870</v>
      </c>
      <c r="AE204" s="355" t="s">
        <v>16979</v>
      </c>
      <c r="AF204" s="390" t="str">
        <f>tblUIText[[#This Row],[TR]]&amp;CHAR(10)&amp;tblUIText[[#This Row],[EN]]</f>
        <v>Ödenen
Paid</v>
      </c>
    </row>
    <row r="205" spans="29:32">
      <c r="AC205" s="395" t="s">
        <v>18871</v>
      </c>
      <c r="AD205" s="355" t="s">
        <v>18873</v>
      </c>
      <c r="AE205" s="355" t="s">
        <v>18872</v>
      </c>
      <c r="AF205" s="390" t="str">
        <f>tblUIText[[#This Row],[TR]]&amp;CHAR(10)&amp;tblUIText[[#This Row],[EN]]</f>
        <v>Geçen yıl
Last year</v>
      </c>
    </row>
    <row r="206" spans="29:32">
      <c r="AC206" s="395" t="s">
        <v>18874</v>
      </c>
      <c r="AD206" s="355" t="s">
        <v>18876</v>
      </c>
      <c r="AE206" s="355" t="s">
        <v>18875</v>
      </c>
      <c r="AF206" s="390" t="str">
        <f>tblUIText[[#This Row],[TR]]&amp;CHAR(10)&amp;tblUIText[[#This Row],[EN]]</f>
        <v>Yıllık %
YoY %</v>
      </c>
    </row>
    <row r="207" spans="29:32">
      <c r="AC207" s="395" t="s">
        <v>18877</v>
      </c>
      <c r="AD207" s="355" t="s">
        <v>18878</v>
      </c>
      <c r="AE207" s="355" t="s">
        <v>232</v>
      </c>
      <c r="AF207" s="390" t="str">
        <f>tblUIText[[#This Row],[TR]]&amp;CHAR(10)&amp;tblUIText[[#This Row],[EN]]</f>
        <v>Aylık %
MoM %</v>
      </c>
    </row>
    <row r="208" spans="29:32">
      <c r="AC208" s="395" t="s">
        <v>18879</v>
      </c>
      <c r="AD208" s="355" t="s">
        <v>18881</v>
      </c>
      <c r="AE208" s="355" t="s">
        <v>18880</v>
      </c>
      <c r="AF208" s="390" t="str">
        <f>tblUIText[[#This Row],[TR]]&amp;CHAR(10)&amp;tblUIText[[#This Row],[EN]]</f>
        <v>Yıl başından
YTD</v>
      </c>
    </row>
    <row r="209" spans="29:32">
      <c r="AC209" s="395" t="s">
        <v>18882</v>
      </c>
      <c r="AD209" s="355" t="s">
        <v>18884</v>
      </c>
      <c r="AE209" s="355" t="s">
        <v>18883</v>
      </c>
      <c r="AF209" s="390" t="str">
        <f>tblUIText[[#This Row],[TR]]&amp;CHAR(10)&amp;tblUIText[[#This Row],[EN]]</f>
        <v>3 ay
3 months</v>
      </c>
    </row>
    <row r="210" spans="29:32">
      <c r="AC210" s="395" t="s">
        <v>18885</v>
      </c>
      <c r="AD210" s="355" t="s">
        <v>18886</v>
      </c>
      <c r="AE210" s="355" t="s">
        <v>17099</v>
      </c>
      <c r="AF210" s="390" t="str">
        <f>tblUIText[[#This Row],[TR]]&amp;CHAR(10)&amp;tblUIText[[#This Row],[EN]]</f>
        <v>12 ay
12 months</v>
      </c>
    </row>
    <row r="211" spans="29:32">
      <c r="AC211" s="395" t="s">
        <v>18887</v>
      </c>
      <c r="AD211" s="355" t="s">
        <v>18888</v>
      </c>
      <c r="AE211" s="355" t="s">
        <v>17111</v>
      </c>
      <c r="AF211" s="390" t="str">
        <f>tblUIText[[#This Row],[TR]]&amp;CHAR(10)&amp;tblUIText[[#This Row],[EN]]</f>
        <v>Mevsim endeksi
Seasonal index</v>
      </c>
    </row>
    <row r="212" spans="29:32">
      <c r="AC212" s="395" t="s">
        <v>18889</v>
      </c>
      <c r="AD212" s="355" t="s">
        <v>18891</v>
      </c>
      <c r="AE212" s="355" t="s">
        <v>18890</v>
      </c>
      <c r="AF212" s="390" t="str">
        <f>tblUIText[[#This Row],[TR]]&amp;CHAR(10)&amp;tblUIText[[#This Row],[EN]]</f>
        <v>Mevsimsellikten arındırılmış
Deseasonalised</v>
      </c>
    </row>
    <row r="213" spans="29:32">
      <c r="AC213" s="395" t="s">
        <v>18892</v>
      </c>
      <c r="AD213" s="355" t="s">
        <v>18894</v>
      </c>
      <c r="AE213" s="355" t="s">
        <v>18893</v>
      </c>
      <c r="AF213" s="390" t="str">
        <f>tblUIText[[#This Row],[TR]]&amp;CHAR(10)&amp;tblUIText[[#This Row],[EN]]</f>
        <v>Mevsim endeksi için en az {0} ay gerekir; şu an {1} ay var: INSUFFICIENT DATA
The seasonal index needs at least {0} months; there are {1}: INSUFFICIENT DATA</v>
      </c>
    </row>
    <row r="214" spans="29:32">
      <c r="AC214" s="395" t="s">
        <v>18895</v>
      </c>
      <c r="AD214" s="355" t="s">
        <v>18897</v>
      </c>
      <c r="AE214" s="355" t="s">
        <v>18896</v>
      </c>
      <c r="AF214" s="390" t="str">
        <f>tblUIText[[#This Row],[TR]]&amp;CHAR(10)&amp;tblUIText[[#This Row],[EN]]</f>
        <v>Tahmin (FORECAST.ETS, sonraki {0} ay, %{1} güven aralığı)
Forecast (FORECAST.ETS, next {0} months, {1}% interval)</v>
      </c>
    </row>
    <row r="215" spans="29:32">
      <c r="AC215" s="395" t="s">
        <v>18898</v>
      </c>
      <c r="AD215" s="355" t="s">
        <v>18900</v>
      </c>
      <c r="AE215" s="355" t="s">
        <v>18899</v>
      </c>
      <c r="AF215" s="390" t="str">
        <f>tblUIText[[#This Row],[TR]]&amp;CHAR(10)&amp;tblUIText[[#This Row],[EN]]</f>
        <v>Tahmin için en az 24 aylık nokta gerekir: INSUFFICIENT DATA
The forecast needs at least 24 monthly points: INSUFFICIENT DATA</v>
      </c>
    </row>
    <row r="216" spans="29:32">
      <c r="AC216" s="395" t="s">
        <v>18901</v>
      </c>
      <c r="AD216" s="355" t="s">
        <v>18903</v>
      </c>
      <c r="AE216" s="355" t="s">
        <v>18902</v>
      </c>
      <c r="AF216" s="390" t="str">
        <f>tblUIText[[#This Row],[TR]]&amp;CHAR(10)&amp;tblUIText[[#This Row],[EN]]</f>
        <v>Tahmin yalnızca geçmiş ödemelerin istatistiksel uzantısıdır; rezerv veya bütçe değildir.
The forecast only extends past payments statistically; it is not a reserve or a budget.</v>
      </c>
    </row>
    <row r="217" spans="29:32">
      <c r="AC217" s="395" t="s">
        <v>18904</v>
      </c>
      <c r="AD217" s="355" t="s">
        <v>18906</v>
      </c>
      <c r="AE217" s="355" t="s">
        <v>18905</v>
      </c>
      <c r="AF217" s="390" t="str">
        <f>tblUIText[[#This Row],[TR]]&amp;CHAR(10)&amp;tblUIText[[#This Row],[EN]]</f>
        <v>Alt sınır
Lower</v>
      </c>
    </row>
    <row r="218" spans="29:32">
      <c r="AC218" s="395" t="s">
        <v>18907</v>
      </c>
      <c r="AD218" s="355" t="s">
        <v>18909</v>
      </c>
      <c r="AE218" s="355" t="s">
        <v>18908</v>
      </c>
      <c r="AF218" s="390" t="str">
        <f>tblUIText[[#This Row],[TR]]&amp;CHAR(10)&amp;tblUIText[[#This Row],[EN]]</f>
        <v>Üst sınır
Upper</v>
      </c>
    </row>
    <row r="219" spans="29:32">
      <c r="AC219" s="395" t="s">
        <v>18910</v>
      </c>
      <c r="AD219" s="355" t="s">
        <v>18912</v>
      </c>
      <c r="AE219" s="355" t="s">
        <v>18911</v>
      </c>
      <c r="AF219" s="390" t="str">
        <f>tblUIText[[#This Row],[TR]]&amp;CHAR(10)&amp;tblUIText[[#This Row],[EN]]</f>
        <v>Gerçekleşen
Actual</v>
      </c>
    </row>
    <row r="220" spans="29:32">
      <c r="AC220" s="395" t="s">
        <v>18913</v>
      </c>
      <c r="AD220" s="355" t="s">
        <v>18915</v>
      </c>
      <c r="AE220" s="355" t="s">
        <v>18914</v>
      </c>
      <c r="AF220" s="390" t="str">
        <f>tblUIText[[#This Row],[TR]]&amp;CHAR(10)&amp;tblUIText[[#This Row],[EN]]</f>
        <v>Tahmin
Forecast</v>
      </c>
    </row>
    <row r="221" spans="29:32">
      <c r="AC221" s="395" t="s">
        <v>18916</v>
      </c>
      <c r="AD221" s="355" t="s">
        <v>18918</v>
      </c>
      <c r="AE221" s="355" t="s">
        <v>18917</v>
      </c>
      <c r="AF221" s="390" t="str">
        <f>tblUIText[[#This Row],[TR]]&amp;CHAR(10)&amp;tblUIText[[#This Row],[EN]]</f>
        <v>Aylık değişim köprüsü: ödeme türüne göre (mn TL)
Month-over-month bridge by payment nature (TRY m)</v>
      </c>
    </row>
    <row r="222" spans="29:32">
      <c r="AC222" s="395" t="s">
        <v>18919</v>
      </c>
      <c r="AD222" s="355" t="s">
        <v>18921</v>
      </c>
      <c r="AE222" s="355" t="s">
        <v>18920</v>
      </c>
      <c r="AF222" s="390" t="str">
        <f>tblUIText[[#This Row],[TR]]&amp;CHAR(10)&amp;tblUIText[[#This Row],[EN]]</f>
        <v>Yıllık değişim köprüsü: ödeme türüne göre (mn TL)
Year-over-year bridge by payment nature (TRY m)</v>
      </c>
    </row>
    <row r="223" spans="29:32">
      <c r="AC223" s="395" t="s">
        <v>18922</v>
      </c>
      <c r="AD223" s="355" t="s">
        <v>18924</v>
      </c>
      <c r="AE223" s="355" t="s">
        <v>18923</v>
      </c>
      <c r="AF223" s="390" t="str">
        <f>tblUIText[[#This Row],[TR]]&amp;CHAR(10)&amp;tblUIText[[#This Row],[EN]]</f>
        <v>Karşılaştırma ayında veri yok: INSUFFICIENT DATA
No data in the comparison month: INSUFFICIENT DATA</v>
      </c>
    </row>
    <row r="224" spans="29:32">
      <c r="AC224" s="395" t="s">
        <v>18925</v>
      </c>
      <c r="AD224" s="355" t="s">
        <v>18927</v>
      </c>
      <c r="AE224" s="355" t="s">
        <v>18926</v>
      </c>
      <c r="AF224" s="390" t="str">
        <f>tblUIText[[#This Row],[TR]]&amp;CHAR(10)&amp;tblUIText[[#This Row],[EN]]</f>
        <v>Önceki ay
Previous month</v>
      </c>
    </row>
    <row r="225" spans="29:32">
      <c r="AC225" s="395" t="s">
        <v>18928</v>
      </c>
      <c r="AD225" s="355" t="s">
        <v>18930</v>
      </c>
      <c r="AE225" s="355" t="s">
        <v>18929</v>
      </c>
      <c r="AF225" s="390" t="str">
        <f>tblUIText[[#This Row],[TR]]&amp;CHAR(10)&amp;tblUIText[[#This Row],[EN]]</f>
        <v>Geçen yıl aynı ay
Same month last year</v>
      </c>
    </row>
    <row r="226" spans="29:32">
      <c r="AC226" s="395" t="s">
        <v>18931</v>
      </c>
      <c r="AD226" s="355" t="s">
        <v>18933</v>
      </c>
      <c r="AE226" s="355" t="s">
        <v>18932</v>
      </c>
      <c r="AF226" s="390" t="str">
        <f>tblUIText[[#This Row],[TR]]&amp;CHAR(10)&amp;tblUIText[[#This Row],[EN]]</f>
        <v>Seçilen ay
Selected month</v>
      </c>
    </row>
    <row r="227" spans="29:32">
      <c r="AC227" s="395" t="s">
        <v>18934</v>
      </c>
      <c r="AD227" s="355" t="s">
        <v>18936</v>
      </c>
      <c r="AE227" s="355" t="s">
        <v>18935</v>
      </c>
      <c r="AF227" s="390" t="str">
        <f>tblUIText[[#This Row],[TR]]&amp;CHAR(10)&amp;tblUIText[[#This Row],[EN]]</f>
        <v>Ödenen tutarlar hasar ayından sonra nasıl gelişiyor? Gösterge niteliğinde ödenen projeksiyonu - rezerv tahmini değildir.
How do paid amounts develop after the loss month? Indicative paid projection - not a reserve estimate.</v>
      </c>
    </row>
    <row r="228" spans="29:32">
      <c r="AC228" s="395" t="s">
        <v>18937</v>
      </c>
      <c r="AD228" s="355" t="s">
        <v>18939</v>
      </c>
      <c r="AE228" s="355" t="s">
        <v>18938</v>
      </c>
      <c r="AF228" s="390" t="str">
        <f>tblUIText[[#This Row],[TR]]&amp;CHAR(10)&amp;tblUIText[[#This Row],[EN]]</f>
        <v>Görünüm
View</v>
      </c>
    </row>
    <row r="229" spans="29:32">
      <c r="AC229" s="395" t="s">
        <v>18940</v>
      </c>
      <c r="AD229" s="355" t="s">
        <v>18941</v>
      </c>
      <c r="AE229" s="355" t="s">
        <v>3263</v>
      </c>
      <c r="AF229" s="390" t="str">
        <f>tblUIText[[#This Row],[TR]]&amp;CHAR(10)&amp;tblUIText[[#This Row],[EN]]</f>
        <v>Şirket
Company</v>
      </c>
    </row>
    <row r="230" spans="29:32">
      <c r="AC230" s="395" t="s">
        <v>18942</v>
      </c>
      <c r="AD230" s="355" t="s">
        <v>18944</v>
      </c>
      <c r="AE230" s="355" t="s">
        <v>18943</v>
      </c>
      <c r="AF230" s="390" t="str">
        <f>tblUIText[[#This Row],[TR]]&amp;CHAR(10)&amp;tblUIText[[#This Row],[EN]]</f>
        <v>Tümü
All</v>
      </c>
    </row>
    <row r="231" spans="29:32">
      <c r="AC231" s="395" t="s">
        <v>18945</v>
      </c>
      <c r="AD231" s="355" t="s">
        <v>18947</v>
      </c>
      <c r="AE231" s="355" t="s">
        <v>18946</v>
      </c>
      <c r="AF231" s="390" t="str">
        <f>tblUIText[[#This Row],[TR]]&amp;CHAR(10)&amp;tblUIText[[#This Row],[EN]]</f>
        <v>Faktör yöntemi
Factor method</v>
      </c>
    </row>
    <row r="232" spans="29:32">
      <c r="AC232" s="395" t="s">
        <v>18948</v>
      </c>
      <c r="AD232" s="355" t="s">
        <v>18950</v>
      </c>
      <c r="AE232" s="355" t="s">
        <v>18949</v>
      </c>
      <c r="AF232" s="390" t="str">
        <f>tblUIText[[#This Row],[TR]]&amp;CHAR(10)&amp;tblUIText[[#This Row],[EN]]</f>
        <v>Son n hasar ayı
Latest n accident months</v>
      </c>
    </row>
    <row r="233" spans="29:32">
      <c r="AC233" s="395" t="s">
        <v>18951</v>
      </c>
      <c r="AD233" s="355" t="s">
        <v>18953</v>
      </c>
      <c r="AE233" s="355" t="s">
        <v>18952</v>
      </c>
      <c r="AF233" s="390" t="str">
        <f>tblUIText[[#This Row],[TR]]&amp;CHAR(10)&amp;tblUIText[[#This Row],[EN]]</f>
        <v>Kuyruk faktörü
Tail factor</v>
      </c>
    </row>
    <row r="234" spans="29:32">
      <c r="AC234" s="395" t="s">
        <v>18954</v>
      </c>
      <c r="AD234" s="355" t="s">
        <v>18956</v>
      </c>
      <c r="AE234" s="355" t="s">
        <v>18955</v>
      </c>
      <c r="AF234" s="390" t="str">
        <f>tblUIText[[#This Row],[TR]]&amp;CHAR(10)&amp;tblUIText[[#This Row],[EN]]</f>
        <v>Hasar ayı x gelişim ayı (bin TL; oranlar)
Loss month x development month (TRY k; ratios)</v>
      </c>
    </row>
    <row r="235" spans="29:32">
      <c r="AC235" s="395" t="s">
        <v>18957</v>
      </c>
      <c r="AD235" s="355" t="s">
        <v>18959</v>
      </c>
      <c r="AE235" s="355" t="s">
        <v>18958</v>
      </c>
      <c r="AF235" s="390" t="str">
        <f>tblUIText[[#This Row],[TR]]&amp;CHAR(10)&amp;tblUIText[[#This Row],[EN]]</f>
        <v>Hasar ayı
Loss month</v>
      </c>
    </row>
    <row r="236" spans="29:32">
      <c r="AC236" s="395" t="s">
        <v>18960</v>
      </c>
      <c r="AD236" s="355" t="s">
        <v>18962</v>
      </c>
      <c r="AE236" s="355" t="s">
        <v>18961</v>
      </c>
      <c r="AF236" s="390" t="str">
        <f>tblUIText[[#This Row],[TR]]&amp;CHAR(10)&amp;tblUIText[[#This Row],[EN]]</f>
        <v>Durum
Flag</v>
      </c>
    </row>
    <row r="237" spans="29:32">
      <c r="AC237" s="395" t="s">
        <v>18963</v>
      </c>
      <c r="AD237" s="355" t="s">
        <v>18965</v>
      </c>
      <c r="AE237" s="355" t="s">
        <v>18964</v>
      </c>
      <c r="AF237" s="390" t="str">
        <f>tblUIText[[#This Row],[TR]]&amp;CHAR(10)&amp;tblUIText[[#This Row],[EN]]</f>
        <v>Son kümülatif
Latest cumulative</v>
      </c>
    </row>
    <row r="238" spans="29:32">
      <c r="AC238" s="395" t="s">
        <v>18966</v>
      </c>
      <c r="AD238" s="355" t="s">
        <v>18968</v>
      </c>
      <c r="AE238" s="355" t="s">
        <v>18967</v>
      </c>
      <c r="AF238" s="390" t="str">
        <f>tblUIText[[#This Row],[TR]]&amp;CHAR(10)&amp;tblUIText[[#This Row],[EN]]</f>
        <v>Gösterge projeksiyon
Indicative projection</v>
      </c>
    </row>
    <row r="239" spans="29:32">
      <c r="AC239" s="395" t="s">
        <v>18969</v>
      </c>
      <c r="AD239" s="355" t="s">
        <v>18971</v>
      </c>
      <c r="AE239" s="355" t="s">
        <v>18970</v>
      </c>
      <c r="AF239" s="390" t="str">
        <f>tblUIText[[#This Row],[TR]]&amp;CHAR(10)&amp;tblUIText[[#This Row],[EN]]</f>
        <v>PARTIAL: hasar ayı veri başlangıcından önce; ilk gelişim ayları gözlenmedi (n/o). Faktörlere girmez.
PARTIAL: loss month before the data start; the first development months were not observed (n/o). Excluded from the factors.</v>
      </c>
    </row>
    <row r="240" spans="29:32">
      <c r="AC240" s="395" t="s">
        <v>18972</v>
      </c>
      <c r="AD240" s="355" t="s">
        <v>17155</v>
      </c>
      <c r="AE240" s="355" t="s">
        <v>18973</v>
      </c>
      <c r="AF240" s="390" t="str">
        <f>tblUIText[[#This Row],[TR]]&amp;CHAR(10)&amp;tblUIText[[#This Row],[EN]]</f>
        <v>Gelişim faktörleri
Development factors</v>
      </c>
    </row>
    <row r="241" spans="29:32">
      <c r="AC241" s="395" t="s">
        <v>18974</v>
      </c>
      <c r="AD241" s="355" t="s">
        <v>18976</v>
      </c>
      <c r="AE241" s="355" t="s">
        <v>18975</v>
      </c>
      <c r="AF241" s="390" t="str">
        <f>tblUIText[[#This Row],[TR]]&amp;CHAR(10)&amp;tblUIText[[#This Row],[EN]]</f>
        <v>Basit ortalama
Simple average</v>
      </c>
    </row>
    <row r="242" spans="29:32">
      <c r="AC242" s="395" t="s">
        <v>18977</v>
      </c>
      <c r="AD242" s="355" t="s">
        <v>18979</v>
      </c>
      <c r="AE242" s="355" t="s">
        <v>18978</v>
      </c>
      <c r="AF242" s="390" t="str">
        <f>tblUIText[[#This Row],[TR]]&amp;CHAR(10)&amp;tblUIText[[#This Row],[EN]]</f>
        <v>Hacim ağırlıklı
Volume weighted</v>
      </c>
    </row>
    <row r="243" spans="29:32">
      <c r="AC243" s="395" t="s">
        <v>18980</v>
      </c>
      <c r="AD243" s="355" t="s">
        <v>18982</v>
      </c>
      <c r="AE243" s="355" t="s">
        <v>18981</v>
      </c>
      <c r="AF243" s="390" t="str">
        <f>tblUIText[[#This Row],[TR]]&amp;CHAR(10)&amp;tblUIText[[#This Row],[EN]]</f>
        <v>Seçilen
Selected</v>
      </c>
    </row>
    <row r="244" spans="29:32">
      <c r="AC244" s="395" t="s">
        <v>18983</v>
      </c>
      <c r="AD244" s="355" t="s">
        <v>18985</v>
      </c>
      <c r="AE244" s="355" t="s">
        <v>18984</v>
      </c>
      <c r="AF244" s="390" t="str">
        <f>tblUIText[[#This Row],[TR]]&amp;CHAR(10)&amp;tblUIText[[#This Row],[EN]]</f>
        <v>Kümülatif faktör
Cumulative factor</v>
      </c>
    </row>
    <row r="245" spans="29:32">
      <c r="AC245" s="395" t="s">
        <v>18986</v>
      </c>
      <c r="AD245" s="355" t="s">
        <v>18988</v>
      </c>
      <c r="AE245" s="355" t="s">
        <v>18987</v>
      </c>
      <c r="AF245" s="390" t="str">
        <f>tblUIText[[#This Row],[TR]]&amp;CHAR(10)&amp;tblUIText[[#This Row],[EN]]</f>
        <v>Oran sayısı
Ratios</v>
      </c>
    </row>
    <row r="246" spans="29:32">
      <c r="AC246" s="395" t="s">
        <v>18989</v>
      </c>
      <c r="AD246" s="355" t="s">
        <v>18991</v>
      </c>
      <c r="AE246" s="355" t="s">
        <v>18990</v>
      </c>
      <c r="AF246" s="390" t="str">
        <f>tblUIText[[#This Row],[TR]]&amp;CHAR(10)&amp;tblUIText[[#This Row],[EN]]</f>
        <v>Değişkenlik (CV)
Stability (CV)</v>
      </c>
    </row>
    <row r="247" spans="29:32">
      <c r="AC247" s="395" t="s">
        <v>18992</v>
      </c>
      <c r="AD247" s="355" t="s">
        <v>18994</v>
      </c>
      <c r="AE247" s="355" t="s">
        <v>18993</v>
      </c>
      <c r="AF247" s="390" t="str">
        <f>tblUIText[[#This Row],[TR]]&amp;CHAR(10)&amp;tblUIText[[#This Row],[EN]]</f>
        <v>Takvim ayı (köşegen) toplamları, bin TL
Calendar month (diagonal) totals, TRY k</v>
      </c>
    </row>
    <row r="248" spans="29:32">
      <c r="AC248" s="395" t="s">
        <v>18995</v>
      </c>
      <c r="AD248" s="355" t="s">
        <v>18997</v>
      </c>
      <c r="AE248" s="355" t="s">
        <v>18996</v>
      </c>
      <c r="AF248" s="390" t="str">
        <f>tblUIText[[#This Row],[TR]]&amp;CHAR(10)&amp;tblUIText[[#This Row],[EN]]</f>
        <v>Gösterge niteliğinde ödenen projeksiyonu - rezerv tahmini değildir; ödenmemiş hasar, IBNR ve prim bilgisi yoktur.
Indicative paid projection - not a reserve estimate; no outstanding, IBNR or premium information.</v>
      </c>
    </row>
    <row r="249" spans="29:32">
      <c r="AC249" s="395" t="s">
        <v>18998</v>
      </c>
      <c r="AD249" s="355" t="s">
        <v>19000</v>
      </c>
      <c r="AE249" s="355" t="s">
        <v>18999</v>
      </c>
      <c r="AF249" s="390" t="str">
        <f>tblUIText[[#This Row],[TR]]&amp;CHAR(10)&amp;tblUIText[[#This Row],[EN]]</f>
        <v>Faktör istikrarı: gelişim yaşına göre bağ oranları
Factor stability: link ratios by development age</v>
      </c>
    </row>
    <row r="250" spans="29:32">
      <c r="AC250" s="395" t="s">
        <v>19001</v>
      </c>
      <c r="AD250" s="355" t="s">
        <v>19003</v>
      </c>
      <c r="AE250" s="355" t="s">
        <v>19002</v>
      </c>
      <c r="AF250" s="390" t="str">
        <f>tblUIText[[#This Row],[TR]]&amp;CHAR(10)&amp;tblUIText[[#This Row],[EN]]</f>
        <v>Dosyalar aşamalar arasında ne kadar hızlı ilerliyor?
How fast do cases move between stages?</v>
      </c>
    </row>
    <row r="251" spans="29:32">
      <c r="AC251" s="395" t="s">
        <v>19004</v>
      </c>
      <c r="AD251" s="355" t="s">
        <v>19005</v>
      </c>
      <c r="AE251" s="355" t="s">
        <v>2894</v>
      </c>
      <c r="AF251" s="390" t="str">
        <f>tblUIText[[#This Row],[TR]]&amp;CHAR(10)&amp;tblUIText[[#This Row],[EN]]</f>
        <v>Aşama
Stage</v>
      </c>
    </row>
    <row r="252" spans="29:32">
      <c r="AC252" s="395" t="s">
        <v>19006</v>
      </c>
      <c r="AD252" s="355" t="s">
        <v>19925</v>
      </c>
      <c r="AE252" s="355" t="s">
        <v>19924</v>
      </c>
      <c r="AF252" s="390" t="str">
        <f>tblUIText[[#This Row],[TR]]&amp;CHAR(10)&amp;tblUIText[[#This Row],[EN]]</f>
        <v>Adet
Count</v>
      </c>
    </row>
    <row r="253" spans="29:32">
      <c r="AC253" s="395" t="s">
        <v>19007</v>
      </c>
      <c r="AD253" s="355" t="s">
        <v>19009</v>
      </c>
      <c r="AE253" s="355" t="s">
        <v>19008</v>
      </c>
      <c r="AF253" s="390" t="str">
        <f>tblUIText[[#This Row],[TR]]&amp;CHAR(10)&amp;tblUIText[[#This Row],[EN]]</f>
        <v>Ortalama
Mean</v>
      </c>
    </row>
    <row r="254" spans="29:32">
      <c r="AC254" s="395" t="s">
        <v>19010</v>
      </c>
      <c r="AD254" s="355" t="s">
        <v>19012</v>
      </c>
      <c r="AE254" s="355" t="s">
        <v>19011</v>
      </c>
      <c r="AF254" s="390" t="str">
        <f>tblUIText[[#This Row],[TR]]&amp;CHAR(10)&amp;tblUIText[[#This Row],[EN]]</f>
        <v>SLA aşımı
SLA breach</v>
      </c>
    </row>
    <row r="255" spans="29:32">
      <c r="AC255" s="395" t="s">
        <v>19013</v>
      </c>
      <c r="AD255" s="355" t="s">
        <v>19927</v>
      </c>
      <c r="AE255" s="355" t="s">
        <v>19926</v>
      </c>
      <c r="AF255" s="390" t="str">
        <f>tblUIText[[#This Row],[TR]]&amp;CHAR(10)&amp;tblUIText[[#This Row],[EN]]</f>
        <v>Aşamalara göre süre (gün; birim tabloda)
Days by stage (unit in the table)</v>
      </c>
    </row>
    <row r="256" spans="29:32">
      <c r="AC256" s="395" t="s">
        <v>19014</v>
      </c>
      <c r="AD256" s="355" t="s">
        <v>19929</v>
      </c>
      <c r="AE256" s="355" t="s">
        <v>19928</v>
      </c>
      <c r="AF256" s="390" t="str">
        <f>tblUIText[[#This Row],[TR]]&amp;CHAR(10)&amp;tblUIText[[#This Row],[EN]]</f>
        <v>Kümülatif dağılım (bant üst sınırına kadar olan pay)
Cumulative distribution (share up to the band's upper limit)</v>
      </c>
    </row>
    <row r="257" spans="29:32">
      <c r="AC257" s="395" t="s">
        <v>19015</v>
      </c>
      <c r="AD257" s="355" t="s">
        <v>19017</v>
      </c>
      <c r="AE257" s="355" t="s">
        <v>19016</v>
      </c>
      <c r="AF257" s="390" t="str">
        <f>tblUIText[[#This Row],[TR]]&amp;CHAR(10)&amp;tblUIText[[#This Row],[EN]]</f>
        <v>Seçilen aşamanın dağılımı (satır payı)
Distribution of the selected stage (share of lines)</v>
      </c>
    </row>
    <row r="258" spans="29:32">
      <c r="AC258" s="395" t="s">
        <v>19018</v>
      </c>
      <c r="AD258" s="355" t="s">
        <v>19020</v>
      </c>
      <c r="AE258" s="355" t="s">
        <v>19019</v>
      </c>
      <c r="AF258" s="390" t="str">
        <f>tblUIText[[#This Row],[TR]]&amp;CHAR(10)&amp;tblUIText[[#This Row],[EN]]</f>
        <v>Seçilen aşamanın aylık P50 ve P90 değeri (gün)
Monthly P50 and P90 of the selected stage (days)</v>
      </c>
    </row>
    <row r="259" spans="29:32">
      <c r="AC259" s="395" t="s">
        <v>19021</v>
      </c>
      <c r="AD259" s="355" t="s">
        <v>19931</v>
      </c>
      <c r="AE259" s="355" t="s">
        <v>19930</v>
      </c>
      <c r="AF259" s="390" t="str">
        <f>tblUIText[[#This Row],[TR]]&amp;CHAR(10)&amp;tblUIText[[#This Row],[EN]]</f>
        <v>Süre bantları (adet)
Lag bands (counts)</v>
      </c>
    </row>
    <row r="260" spans="29:32">
      <c r="AC260" s="395" t="s">
        <v>19022</v>
      </c>
      <c r="AD260" s="355" t="s">
        <v>19024</v>
      </c>
      <c r="AE260" s="355" t="s">
        <v>19023</v>
      </c>
      <c r="AF260" s="390" t="str">
        <f>tblUIText[[#This Row],[TR]]&amp;CHAR(10)&amp;tblUIText[[#This Row],[EN]]</f>
        <v>Grafik aşaması
Chart stage</v>
      </c>
    </row>
    <row r="261" spans="29:32">
      <c r="AC261" s="395" t="s">
        <v>19025</v>
      </c>
      <c r="AD261" s="355" t="s">
        <v>19027</v>
      </c>
      <c r="AE261" s="355" t="s">
        <v>19026</v>
      </c>
      <c r="AF261" s="390" t="str">
        <f>tblUIText[[#This Row],[TR]]&amp;CHAR(10)&amp;tblUIText[[#This Row],[EN]]</f>
        <v>Tüm aylar
All months</v>
      </c>
    </row>
    <row r="262" spans="29:32">
      <c r="AC262" s="395" t="s">
        <v>19028</v>
      </c>
      <c r="AD262" s="355" t="s">
        <v>19030</v>
      </c>
      <c r="AE262" s="355" t="s">
        <v>19029</v>
      </c>
      <c r="AF262" s="390" t="str">
        <f>tblUIText[[#This Row],[TR]]&amp;CHAR(10)&amp;tblUIText[[#This Row],[EN]]</f>
        <v>Hasar → ihbar
Loss → notification</v>
      </c>
    </row>
    <row r="263" spans="29:32">
      <c r="AC263" s="395" t="s">
        <v>19031</v>
      </c>
      <c r="AD263" s="355" t="s">
        <v>19033</v>
      </c>
      <c r="AE263" s="355" t="s">
        <v>19032</v>
      </c>
      <c r="AF263" s="390" t="str">
        <f>tblUIText[[#This Row],[TR]]&amp;CHAR(10)&amp;tblUIText[[#This Row],[EN]]</f>
        <v>İhbar → evrak
Notification → documents</v>
      </c>
    </row>
    <row r="264" spans="29:32">
      <c r="AC264" s="395" t="s">
        <v>19034</v>
      </c>
      <c r="AD264" s="355" t="s">
        <v>19036</v>
      </c>
      <c r="AE264" s="355" t="s">
        <v>19035</v>
      </c>
      <c r="AF264" s="390" t="str">
        <f>tblUIText[[#This Row],[TR]]&amp;CHAR(10)&amp;tblUIText[[#This Row],[EN]]</f>
        <v>Evrak → karar
Documents → decision</v>
      </c>
    </row>
    <row r="265" spans="29:32">
      <c r="AC265" s="395" t="s">
        <v>19037</v>
      </c>
      <c r="AD265" s="355" t="s">
        <v>19039</v>
      </c>
      <c r="AE265" s="355" t="s">
        <v>19038</v>
      </c>
      <c r="AF265" s="390" t="str">
        <f>tblUIText[[#This Row],[TR]]&amp;CHAR(10)&amp;tblUIText[[#This Row],[EN]]</f>
        <v>Karar → ödeme
Decision → payment</v>
      </c>
    </row>
    <row r="266" spans="29:32">
      <c r="AC266" s="395" t="s">
        <v>19040</v>
      </c>
      <c r="AD266" s="355" t="s">
        <v>19042</v>
      </c>
      <c r="AE266" s="355" t="s">
        <v>19041</v>
      </c>
      <c r="AF266" s="390" t="str">
        <f>tblUIText[[#This Row],[TR]]&amp;CHAR(10)&amp;tblUIText[[#This Row],[EN]]</f>
        <v>İhbar → ödeme
Notification → payment</v>
      </c>
    </row>
    <row r="267" spans="29:32">
      <c r="AC267" s="395" t="s">
        <v>19043</v>
      </c>
      <c r="AD267" s="355" t="s">
        <v>19045</v>
      </c>
      <c r="AE267" s="355" t="s">
        <v>19044</v>
      </c>
      <c r="AF267" s="390" t="str">
        <f>tblUIText[[#This Row],[TR]]&amp;CHAR(10)&amp;tblUIText[[#This Row],[EN]]</f>
        <v>Hasar → ödeme
Loss → payment</v>
      </c>
    </row>
    <row r="268" spans="29:32">
      <c r="AC268" s="395" t="s">
        <v>19834</v>
      </c>
      <c r="AD268" s="355" t="s">
        <v>16548</v>
      </c>
      <c r="AE268" s="355" t="s">
        <v>113</v>
      </c>
      <c r="AF268" s="390" t="str">
        <f>tblUIText[[#This Row],[TR]]&amp;CHAR(10)&amp;tblUIText[[#This Row],[EN]]</f>
        <v>Hayat
Life</v>
      </c>
    </row>
    <row r="269" spans="29:32">
      <c r="AC269" s="395" t="s">
        <v>19835</v>
      </c>
      <c r="AD269" s="355" t="s">
        <v>16550</v>
      </c>
      <c r="AE269" s="355" t="s">
        <v>114</v>
      </c>
      <c r="AF269" s="390" t="str">
        <f>tblUIText[[#This Row],[TR]]&amp;CHAR(10)&amp;tblUIText[[#This Row],[EN]]</f>
        <v>Emeklilik
Pension</v>
      </c>
    </row>
    <row r="270" spans="29:32">
      <c r="AC270" s="395" t="s">
        <v>19836</v>
      </c>
      <c r="AD270" s="355" t="s">
        <v>19830</v>
      </c>
      <c r="AE270" s="355" t="s">
        <v>112</v>
      </c>
      <c r="AF270" s="390" t="str">
        <f>tblUIText[[#This Row],[TR]]&amp;CHAR(10)&amp;tblUIText[[#This Row],[EN]]</f>
        <v>Elementer
Non-life</v>
      </c>
    </row>
    <row r="271" spans="29:32">
      <c r="AC271" s="395" t="s">
        <v>19837</v>
      </c>
      <c r="AD271" s="355" t="s">
        <v>18297</v>
      </c>
      <c r="AE271" s="355" t="s">
        <v>18298</v>
      </c>
      <c r="AF271" s="390" t="str">
        <f>tblUIText[[#This Row],[TR]]&amp;CHAR(10)&amp;tblUIText[[#This Row],[EN]]</f>
        <v>Atanmamış segment
Unassigned segment</v>
      </c>
    </row>
    <row r="272" spans="29:32">
      <c r="AC272" s="395" t="s">
        <v>19838</v>
      </c>
      <c r="AD272" s="355" t="s">
        <v>19840</v>
      </c>
      <c r="AE272" s="355" t="s">
        <v>19839</v>
      </c>
      <c r="AF272" s="390" t="str">
        <f>tblUIText[[#This Row],[TR]]&amp;CHAR(10)&amp;tblUIText[[#This Row],[EN]]</f>
        <v>Atanmamış: {0} satır (Dizin)
Unassigned: {0} lines (Index)</v>
      </c>
    </row>
    <row r="273" spans="29:32">
      <c r="AC273" s="395" t="s">
        <v>19841</v>
      </c>
      <c r="AD273" s="355" t="s">
        <v>19843</v>
      </c>
      <c r="AE273" s="355" t="s">
        <v>19842</v>
      </c>
      <c r="AF273" s="390" t="str">
        <f>tblUIText[[#This Row],[TR]]&amp;CHAR(10)&amp;tblUIText[[#This Row],[EN]]</f>
        <v>Dosya başına: veri başlangıcından sonraki ilk {0} ay ({1} dahil) PARTIAL - ilk ödeme gözlenmemiş olabilir, istatistiklere girmez
Per case: the first {0} months after the data start (to {1}) are PARTIAL - the first payment may be unobserved; excluded from the statistics</v>
      </c>
    </row>
    <row r="274" spans="29:32">
      <c r="AC274" s="395" t="s">
        <v>19844</v>
      </c>
      <c r="AD274" s="355" t="s">
        <v>19846</v>
      </c>
      <c r="AE274" s="355" t="s">
        <v>19845</v>
      </c>
      <c r="AF274" s="390" t="str">
        <f>tblUIText[[#This Row],[TR]]&amp;CHAR(10)&amp;tblUIText[[#This Row],[EN]]</f>
        <v>Başlıktaki aralık yalnızca kararlı yöntemlerden: hacim ağırlıklı son 6 ve son 12
The headline range uses the stable methods only: volume-weighted latest 6 and 12</v>
      </c>
    </row>
    <row r="275" spans="29:32">
      <c r="AC275" s="395" t="s">
        <v>19847</v>
      </c>
      <c r="AD275" s="355" t="s">
        <v>19849</v>
      </c>
      <c r="AE275" s="355" t="s">
        <v>19848</v>
      </c>
      <c r="AF275" s="390" t="str">
        <f>tblUIText[[#This Row],[TR]]&amp;CHAR(10)&amp;tblUIText[[#This Row],[EN]]</f>
        <v>VERİ YETERSİZ: {0} ay veri var, grafikler için en az {1} ay gerekir
INSUFFICIENT DATA: {0} months of data, the charts need at least {1}</v>
      </c>
    </row>
    <row r="276" spans="29:32">
      <c r="AC276" s="395" t="s">
        <v>19850</v>
      </c>
      <c r="AD276" s="355" t="s">
        <v>19852</v>
      </c>
      <c r="AE276" s="355" t="s">
        <v>19851</v>
      </c>
      <c r="AF276" s="390" t="str">
        <f>tblUIText[[#This Row],[TR]]&amp;CHAR(10)&amp;tblUIText[[#This Row],[EN]]</f>
        <v>taslak
draft</v>
      </c>
    </row>
    <row r="277" spans="29:32">
      <c r="AC277" s="395" t="s">
        <v>19853</v>
      </c>
      <c r="AD277" s="355" t="s">
        <v>19855</v>
      </c>
      <c r="AE277" s="355" t="s">
        <v>19854</v>
      </c>
      <c r="AF277" s="390" t="str">
        <f>tblUIText[[#This Row],[TR]]&amp;CHAR(10)&amp;tblUIText[[#This Row],[EN]]</f>
        <v>TH12 log-z + TH01 aylık kural
TH12 log-z + TH01 MoM rule</v>
      </c>
    </row>
    <row r="278" spans="29:32">
      <c r="AC278" s="395" t="s">
        <v>19856</v>
      </c>
      <c r="AD278" s="355" t="s">
        <v>19858</v>
      </c>
      <c r="AE278" s="355" t="s">
        <v>19857</v>
      </c>
      <c r="AF278" s="390" t="str">
        <f>tblUIText[[#This Row],[TR]]&amp;CHAR(10)&amp;tblUIText[[#This Row],[EN]]</f>
        <v>Son 12 ay toplamı (mn TL)
Rolling 12-month total (TRY m)</v>
      </c>
    </row>
    <row r="279" spans="29:32">
      <c r="AC279" s="395" t="s">
        <v>19859</v>
      </c>
      <c r="AD279" s="355" t="s">
        <v>19861</v>
      </c>
      <c r="AE279" s="355" t="s">
        <v>19860</v>
      </c>
      <c r="AF279" s="390" t="str">
        <f>tblUIText[[#This Row],[TR]]&amp;CHAR(10)&amp;tblUIText[[#This Row],[EN]]</f>
        <v>düşük güven ({0} nokta)
low confidence ({0} points)</v>
      </c>
    </row>
    <row r="280" spans="29:32">
      <c r="AC280" s="395" t="s">
        <v>19862</v>
      </c>
      <c r="AD280" s="355" t="s">
        <v>19864</v>
      </c>
      <c r="AE280" s="355" t="s">
        <v>19863</v>
      </c>
      <c r="AF280" s="390" t="str">
        <f>tblUIText[[#This Row],[TR]]&amp;CHAR(10)&amp;tblUIText[[#This Row],[EN]]</f>
        <v>Gösterge ek ödemeler = projeksiyon - son kümülatif (rezerv değildir)
Indicative further payments = projection - latest cumulative (not a reserve)</v>
      </c>
    </row>
    <row r="281" spans="29:32">
      <c r="AC281" s="395" t="s">
        <v>19865</v>
      </c>
      <c r="AD281" s="355" t="s">
        <v>19867</v>
      </c>
      <c r="AE281" s="355" t="s">
        <v>19866</v>
      </c>
      <c r="AF281" s="390" t="str">
        <f>tblUIText[[#This Row],[TR]]&amp;CHAR(10)&amp;tblUIText[[#This Row],[EN]]</f>
        <v>Duyarlılık aralığı (hacim ağırlıklı son 6, basit ortalama son 6, hacim ağırlıklı son 12)
Sensitivity range (volume-weighted latest 6, simple average latest 6, volume-weighted latest 12)</v>
      </c>
    </row>
    <row r="282" spans="29:32">
      <c r="AC282" s="395" t="s">
        <v>19868</v>
      </c>
      <c r="AD282" s="355" t="s">
        <v>19870</v>
      </c>
      <c r="AE282" s="355" t="s">
        <v>19869</v>
      </c>
      <c r="AF282" s="390" t="str">
        <f>tblUIText[[#This Row],[TR]]&amp;CHAR(10)&amp;tblUIText[[#This Row],[EN]]</f>
        <v>Gelişim payı
Development share</v>
      </c>
    </row>
    <row r="283" spans="29:32">
      <c r="AC283" s="395" t="s">
        <v>19871</v>
      </c>
      <c r="AD283" s="355" t="s">
        <v>19872</v>
      </c>
      <c r="AE283" s="355" t="s">
        <v>2935</v>
      </c>
      <c r="AF283" s="390" t="str">
        <f>tblUIText[[#This Row],[TR]]&amp;CHAR(10)&amp;tblUIText[[#This Row],[EN]]</f>
        <v>Kararlılık
Stability</v>
      </c>
    </row>
    <row r="284" spans="29:32">
      <c r="AC284" s="395" t="s">
        <v>19873</v>
      </c>
      <c r="AD284" s="355" t="s">
        <v>19875</v>
      </c>
      <c r="AE284" s="355" t="s">
        <v>19874</v>
      </c>
      <c r="AF284" s="390" t="str">
        <f>tblUIText[[#This Row],[TR]]&amp;CHAR(10)&amp;tblUIText[[#This Row],[EN]]</f>
        <v>Gösterge ek ödemeler (rezerv değil)
Indicative further payments (not a reserve)</v>
      </c>
    </row>
    <row r="285" spans="29:32">
      <c r="AC285" s="395" t="s">
        <v>19876</v>
      </c>
      <c r="AD285" s="355" t="s">
        <v>19878</v>
      </c>
      <c r="AE285" s="355" t="s">
        <v>19877</v>
      </c>
      <c r="AF285" s="390" t="str">
        <f>tblUIText[[#This Row],[TR]]&amp;CHAR(10)&amp;tblUIText[[#This Row],[EN]]</f>
        <v>kararsız
unstable</v>
      </c>
    </row>
    <row r="286" spans="29:32">
      <c r="AC286" s="395" t="s">
        <v>19879</v>
      </c>
      <c r="AD286" s="355" t="s">
        <v>19881</v>
      </c>
      <c r="AE286" s="355" t="s">
        <v>19880</v>
      </c>
      <c r="AF286" s="390" t="str">
        <f>tblUIText[[#This Row],[TR]]&amp;CHAR(10)&amp;tblUIText[[#This Row],[EN]]</f>
        <v>önemsiz
immaterial</v>
      </c>
    </row>
    <row r="287" spans="29:32">
      <c r="AC287" s="395" t="s">
        <v>19882</v>
      </c>
      <c r="AD287" s="355" t="s">
        <v>19883</v>
      </c>
      <c r="AE287" s="355" t="s">
        <v>16890</v>
      </c>
      <c r="AF287" s="390" t="str">
        <f>tblUIText[[#This Row],[TR]]&amp;CHAR(10)&amp;tblUIText[[#This Row],[EN]]</f>
        <v>Birim
Unit</v>
      </c>
    </row>
    <row r="288" spans="29:32">
      <c r="AC288" s="395" t="s">
        <v>19884</v>
      </c>
      <c r="AD288" s="355" t="s">
        <v>19886</v>
      </c>
      <c r="AE288" s="355" t="s">
        <v>19885</v>
      </c>
      <c r="AF288" s="390" t="str">
        <f>tblUIText[[#This Row],[TR]]&amp;CHAR(10)&amp;tblUIText[[#This Row],[EN]]</f>
        <v>satır
line</v>
      </c>
    </row>
    <row r="289" spans="29:32">
      <c r="AC289" s="395" t="s">
        <v>19887</v>
      </c>
      <c r="AD289" s="355" t="s">
        <v>19889</v>
      </c>
      <c r="AE289" s="355" t="s">
        <v>19888</v>
      </c>
      <c r="AF289" s="390" t="str">
        <f>tblUIText[[#This Row],[TR]]&amp;CHAR(10)&amp;tblUIText[[#This Row],[EN]]</f>
        <v>dosya
case</v>
      </c>
    </row>
    <row r="290" spans="29:32">
      <c r="AC290" s="395" t="s">
        <v>19890</v>
      </c>
      <c r="AD290" s="355" t="s">
        <v>19892</v>
      </c>
      <c r="AE290" s="355" t="s">
        <v>19891</v>
      </c>
      <c r="AF290" s="390" t="str">
        <f>tblUIText[[#This Row],[TR]]&amp;CHAR(10)&amp;tblUIText[[#This Row],[EN]]</f>
        <v>aşamaya göre (Birim sütunu)
per stage (Unit column)</v>
      </c>
    </row>
    <row r="291" spans="29:32">
      <c r="AC291" s="395" t="s">
        <v>19893</v>
      </c>
      <c r="AD291" s="355" t="s">
        <v>19895</v>
      </c>
      <c r="AE291" s="355" t="s">
        <v>19894</v>
      </c>
      <c r="AF291" s="390" t="str">
        <f>tblUIText[[#This Row],[TR]]&amp;CHAR(10)&amp;tblUIText[[#This Row],[EN]]</f>
        <v>Varsayılan: dosya aşamaları dosya başına, ödeme aşamaları satır başına
Default: case stages per case, payment stages per line</v>
      </c>
    </row>
    <row r="292" spans="29:32">
      <c r="AC292" s="395" t="s">
        <v>19896</v>
      </c>
      <c r="AD292" s="355" t="s">
        <v>19898</v>
      </c>
      <c r="AE292" s="355" t="s">
        <v>19897</v>
      </c>
      <c r="AF292" s="390" t="str">
        <f>tblUIText[[#This Row],[TR]]&amp;CHAR(10)&amp;tblUIText[[#This Row],[EN]]</f>
        <v>Tümü satır başına
All per payment line</v>
      </c>
    </row>
    <row r="293" spans="29:32">
      <c r="AC293" s="395" t="s">
        <v>19899</v>
      </c>
      <c r="AD293" s="355" t="s">
        <v>19901</v>
      </c>
      <c r="AE293" s="355" t="s">
        <v>19900</v>
      </c>
      <c r="AF293" s="390" t="str">
        <f>tblUIText[[#This Row],[TR]]&amp;CHAR(10)&amp;tblUIText[[#This Row],[EN]]</f>
        <v>Tümü dosya başına (ilk ödeme)
All per case (first payment)</v>
      </c>
    </row>
    <row r="294" spans="29:32">
      <c r="AC294" s="395" t="s">
        <v>19902</v>
      </c>
      <c r="AD294" s="355" t="s">
        <v>19904</v>
      </c>
      <c r="AE294" s="355" t="s">
        <v>19903</v>
      </c>
      <c r="AF294" s="390" t="str">
        <f>tblUIText[[#This Row],[TR]]&amp;CHAR(10)&amp;tblUIText[[#This Row],[EN]]</f>
        <v>Seçilen aşamanın dağılımı: gün başına pay (bant payı / bant genişliği)
Distribution of the selected stage: share per day (band share / band width)</v>
      </c>
    </row>
    <row r="295" spans="29:32">
      <c r="AC295" s="395" t="s">
        <v>19905</v>
      </c>
      <c r="AD295" s="355" t="s">
        <v>19907</v>
      </c>
      <c r="AE295" s="355" t="s">
        <v>19906</v>
      </c>
      <c r="AF295" s="390" t="str">
        <f>tblUIText[[#This Row],[TR]]&amp;CHAR(10)&amp;tblUIText[[#This Row],[EN]]</f>
        <v>Nasıl okunur: her satır bir sayfa; veri durumu yeşilse sayfa güvenilir veriyle çalışıyor, INSUFFICIENT DATA ise neden yazılı.
How to read: one row per page; green readiness means enough data, otherwise the reason is given.</v>
      </c>
    </row>
    <row r="296" spans="29:32">
      <c r="AC296" s="395" t="s">
        <v>19908</v>
      </c>
      <c r="AD296" s="355" t="s">
        <v>19910</v>
      </c>
      <c r="AE296" s="355" t="s">
        <v>19909</v>
      </c>
      <c r="AF296" s="390" t="str">
        <f>tblUIText[[#This Row],[TR]]&amp;CHAR(10)&amp;tblUIText[[#This Row],[EN]]</f>
        <v>Nasıl okunur: altı kutucuk seçilen ayın değeri, önceki aya değişim, 12 aylık seyir ve durumdur; durum taslak eşiklere göre hesaplanır. Grafik bandı log ölçekte olağan aralığı gösterir.
How to read: six tiles give the selected month's value, change vs the previous month, a 12-month sparkline and a status against draft levels; the chart band shows the usual range on a log scale.</v>
      </c>
    </row>
    <row r="297" spans="29:32">
      <c r="AC297" s="395" t="s">
        <v>19911</v>
      </c>
      <c r="AD297" s="355" t="s">
        <v>19913</v>
      </c>
      <c r="AE297" s="355" t="s">
        <v>19912</v>
      </c>
      <c r="AF297" s="390" t="str">
        <f>tblUIText[[#This Row],[TR]]&amp;CHAR(10)&amp;tblUIText[[#This Row],[EN]]</f>
        <v>Nasıl okunur: üst sol grafik aylık ödenen, geçen yıl, 12 aylık ortalama ve tahmin; köprüler değişimi ödeme türlerine ayırır; tablo seçilen aya kadar 12 ay.
How to read: top left shows monthly paid, last year, the 12-month average and the forecast; the bridges split the change by payment nature; the table gives the 12 months up to the selected month.</v>
      </c>
    </row>
    <row r="298" spans="29:32">
      <c r="AC298" s="395" t="s">
        <v>19914</v>
      </c>
      <c r="AD298" s="355" t="s">
        <v>19916</v>
      </c>
      <c r="AE298" s="355" t="s">
        <v>19915</v>
      </c>
      <c r="AF298" s="390" t="str">
        <f>tblUIText[[#This Row],[TR]]&amp;CHAR(10)&amp;tblUIText[[#This Row],[EN]]</f>
        <v>Nasıl okunur: satırlar hasar ayı, sütunlar gelişim ayı; faktörler son hasar aylarından; projeksiyon yalnızca ödenen verinin uzantısıdır, rezerv değildir.
How to read: rows are loss months, columns development months; factors come from the latest loss months; the projection only extends paid data and is not a reserve.</v>
      </c>
    </row>
    <row r="299" spans="29:32">
      <c r="AC299" s="395" t="s">
        <v>19917</v>
      </c>
      <c r="AD299" s="355" t="s">
        <v>19919</v>
      </c>
      <c r="AE299" s="355" t="s">
        <v>19918</v>
      </c>
      <c r="AF299" s="390" t="str">
        <f>tblUIText[[#This Row],[TR]]&amp;CHAR(10)&amp;tblUIText[[#This Row],[EN]]</f>
        <v>Nasıl okunur: her aşama için gün cinsinden süreler; birim satır ya da dosya (ilk ödeme); SLA değerleri geçicidir.
How to read: days per stage; the unit is the payment line or the case (first payment); SLA values are placeholders.</v>
      </c>
    </row>
    <row r="300" spans="29:32">
      <c r="AC300" s="395" t="s">
        <v>20161</v>
      </c>
      <c r="AD300" s="355" t="s">
        <v>20162</v>
      </c>
      <c r="AE300" s="355" t="s">
        <v>2618</v>
      </c>
      <c r="AF300" s="390" t="str">
        <f>tblUIText[[#This Row],[TR]]&amp;CHAR(10)&amp;tblUIText[[#This Row],[EN]]</f>
        <v>Şiddet
Severity</v>
      </c>
    </row>
    <row r="301" spans="29:32">
      <c r="AC301" s="395" t="s">
        <v>20163</v>
      </c>
      <c r="AD301" s="355" t="s">
        <v>20164</v>
      </c>
      <c r="AE301" s="355" t="s">
        <v>17176</v>
      </c>
      <c r="AF301" s="390" t="str">
        <f>tblUIText[[#This Row],[TR]]&amp;CHAR(10)&amp;tblUIText[[#This Row],[EN]]</f>
        <v>Limitler
Limits</v>
      </c>
    </row>
    <row r="302" spans="29:32">
      <c r="AC302" s="395" t="s">
        <v>20165</v>
      </c>
      <c r="AD302" s="355" t="s">
        <v>20167</v>
      </c>
      <c r="AE302" s="355" t="s">
        <v>20166</v>
      </c>
      <c r="AF302" s="390" t="str">
        <f>tblUIText[[#This Row],[TR]]&amp;CHAR(10)&amp;tblUIText[[#This Row],[EN]]</f>
        <v>Ödemeler ne kadar büyük ve kuyruk ne kadar ağır?
How large are the payments and how heavy is the tail?</v>
      </c>
    </row>
    <row r="303" spans="29:32">
      <c r="AC303" s="395" t="s">
        <v>20168</v>
      </c>
      <c r="AD303" s="355" t="s">
        <v>20170</v>
      </c>
      <c r="AE303" s="355" t="s">
        <v>20169</v>
      </c>
      <c r="AF303" s="390" t="str">
        <f>tblUIText[[#This Row],[TR]]&amp;CHAR(10)&amp;tblUIText[[#This Row],[EN]]</f>
        <v>Ödemeler teminat limitleri ve ilk muallaklarla nasıl karşılaştırılır?
How do payments compare with limits and initial reserves?</v>
      </c>
    </row>
    <row r="304" spans="29:32">
      <c r="AC304" s="395" t="s">
        <v>20171</v>
      </c>
      <c r="AD304" s="355" t="s">
        <v>20173</v>
      </c>
      <c r="AE304" s="355" t="s">
        <v>20172</v>
      </c>
      <c r="AF304" s="390" t="str">
        <f>tblUIText[[#This Row],[TR]]&amp;CHAR(10)&amp;tblUIText[[#This Row],[EN]]</f>
        <v>Dosya başına ödenen tutarlar ne kadar büyük, ne kadar yoğunlaşmış ve kuyruk ne kadar ağır?
How large are the amounts paid per case, how concentrated, and how heavy is the tail?</v>
      </c>
    </row>
    <row r="305" spans="29:32">
      <c r="AC305" s="395" t="s">
        <v>20174</v>
      </c>
      <c r="AD305" s="355" t="s">
        <v>20176</v>
      </c>
      <c r="AE305" s="355" t="s">
        <v>20175</v>
      </c>
      <c r="AF305" s="390" t="str">
        <f>tblUIText[[#This Row],[TR]]&amp;CHAR(10)&amp;tblUIText[[#This Row],[EN]]</f>
        <v>Nasıl okunur: dosya başına toplam ödenen (son 36 ay penceresi); dağılım dilimleri, Lorenz eğrisi ve Gini yoğunlaşmayı, ortalama aşım ve kuyruk endeksi kuyruğun ağırlığını gösterir (gösterge niteliğinde).
How to read: total paid per case (36-month window); quantile bands, the Lorenz curve and Gini show concentration, mean excess and the tail index show the weight of the tail (indicative).</v>
      </c>
    </row>
    <row r="306" spans="29:32">
      <c r="AC306" s="395" t="s">
        <v>20177</v>
      </c>
      <c r="AD306" s="355" t="s">
        <v>20179</v>
      </c>
      <c r="AE306" s="355" t="s">
        <v>20178</v>
      </c>
      <c r="AF306" s="390" t="str">
        <f>tblUIText[[#This Row],[TR]]&amp;CHAR(10)&amp;tblUIText[[#This Row],[EN]]</f>
        <v>Ödenen tutarlar teminat tutarına, toplam teminata ve ilk muallaka göre nerede duruyor?
Where do the amounts paid stand against the cover amount, the total sum insured and the initial reserve?</v>
      </c>
    </row>
    <row r="307" spans="29:32">
      <c r="AC307" s="395" t="s">
        <v>20180</v>
      </c>
      <c r="AD307" s="355" t="s">
        <v>20182</v>
      </c>
      <c r="AE307" s="355" t="s">
        <v>20181</v>
      </c>
      <c r="AF307" s="390" t="str">
        <f>tblUIText[[#This Row],[TR]]&amp;CHAR(10)&amp;tblUIText[[#This Row],[EN]]</f>
        <v>Nasıl okunur: dosya başına ödenen / teminat oranları orijinal para biriminde; ilk muallak doğruluğu yalnızca ödemesi olan dosyalar içindir (hayatta kalan yanlılığı).
How to read: paid / limit ratios per case in the original currency; initial-reserve accuracy covers only cases with payments (survivor bias).</v>
      </c>
    </row>
    <row r="308" spans="29:32">
      <c r="AC308" s="395" t="s">
        <v>20183</v>
      </c>
      <c r="AD308" s="355" t="s">
        <v>20185</v>
      </c>
      <c r="AE308" s="355" t="s">
        <v>20184</v>
      </c>
      <c r="AF308" s="390" t="str">
        <f>tblUIText[[#This Row],[TR]]&amp;CHAR(10)&amp;tblUIText[[#This Row],[EN]]</f>
        <v>Dosya başına ödenen: dağılım dilimleri (bin TL)
Paid per case: quantile bands (TRY k)</v>
      </c>
    </row>
    <row r="309" spans="29:32">
      <c r="AC309" s="395" t="s">
        <v>20186</v>
      </c>
      <c r="AD309" s="355" t="s">
        <v>20187</v>
      </c>
      <c r="AE309" s="355" t="s">
        <v>17127</v>
      </c>
      <c r="AF309" s="390" t="str">
        <f>tblUIText[[#This Row],[TR]]&amp;CHAR(10)&amp;tblUIText[[#This Row],[EN]]</f>
        <v>Yoğunlaşma
Concentration</v>
      </c>
    </row>
    <row r="310" spans="29:32">
      <c r="AC310" s="395" t="s">
        <v>20188</v>
      </c>
      <c r="AD310" s="355" t="s">
        <v>20190</v>
      </c>
      <c r="AE310" s="355" t="s">
        <v>20189</v>
      </c>
      <c r="AF310" s="390" t="str">
        <f>tblUIText[[#This Row],[TR]]&amp;CHAR(10)&amp;tblUIText[[#This Row],[EN]]</f>
        <v>Kuyruk (gösterge)
Tail (indicative)</v>
      </c>
    </row>
    <row r="311" spans="29:32">
      <c r="AC311" s="395" t="s">
        <v>20191</v>
      </c>
      <c r="AD311" s="355" t="s">
        <v>20192</v>
      </c>
      <c r="AE311" s="355" t="s">
        <v>17025</v>
      </c>
      <c r="AF311" s="390" t="str">
        <f>tblUIText[[#This Row],[TR]]&amp;CHAR(10)&amp;tblUIText[[#This Row],[EN]]</f>
        <v>Dosya
Cases</v>
      </c>
    </row>
    <row r="312" spans="29:32">
      <c r="AC312" s="395" t="s">
        <v>20193</v>
      </c>
      <c r="AD312" s="355" t="s">
        <v>19009</v>
      </c>
      <c r="AE312" s="355" t="s">
        <v>19008</v>
      </c>
      <c r="AF312" s="390" t="str">
        <f>tblUIText[[#This Row],[TR]]&amp;CHAR(10)&amp;tblUIText[[#This Row],[EN]]</f>
        <v>Ortalama
Mean</v>
      </c>
    </row>
    <row r="313" spans="29:32">
      <c r="AC313" s="395" t="s">
        <v>20194</v>
      </c>
      <c r="AD313" s="355" t="s">
        <v>20196</v>
      </c>
      <c r="AE313" s="355" t="s">
        <v>20195</v>
      </c>
      <c r="AF313" s="390" t="str">
        <f>tblUIText[[#This Row],[TR]]&amp;CHAR(10)&amp;tblUIText[[#This Row],[EN]]</f>
        <v>En büyük
Largest</v>
      </c>
    </row>
    <row r="314" spans="29:32">
      <c r="AC314" s="395" t="s">
        <v>20197</v>
      </c>
      <c r="AD314" s="355" t="s">
        <v>20198</v>
      </c>
      <c r="AE314" s="355" t="s">
        <v>20198</v>
      </c>
      <c r="AF314" s="390" t="str">
        <f>tblUIText[[#This Row],[TR]]&amp;CHAR(10)&amp;tblUIText[[#This Row],[EN]]</f>
        <v>Gini
Gini</v>
      </c>
    </row>
    <row r="315" spans="29:32">
      <c r="AC315" s="395" t="s">
        <v>20199</v>
      </c>
      <c r="AD315" s="355" t="s">
        <v>20201</v>
      </c>
      <c r="AE315" s="355" t="s">
        <v>20200</v>
      </c>
      <c r="AF315" s="390" t="str">
        <f>tblUIText[[#This Row],[TR]]&amp;CHAR(10)&amp;tblUIText[[#This Row],[EN]]</f>
        <v>En büyük %1 dosyanın payı
Share of the largest 1% of cases</v>
      </c>
    </row>
    <row r="316" spans="29:32">
      <c r="AC316" s="395" t="s">
        <v>20202</v>
      </c>
      <c r="AD316" s="355" t="s">
        <v>20204</v>
      </c>
      <c r="AE316" s="355" t="s">
        <v>20203</v>
      </c>
      <c r="AF316" s="390" t="str">
        <f>tblUIText[[#This Row],[TR]]&amp;CHAR(10)&amp;tblUIText[[#This Row],[EN]]</f>
        <v>En büyük 10 dosyanın payı
Share of the 10 largest cases</v>
      </c>
    </row>
    <row r="317" spans="29:32">
      <c r="AC317" s="395" t="s">
        <v>20205</v>
      </c>
      <c r="AD317" s="355" t="s">
        <v>20207</v>
      </c>
      <c r="AE317" s="355" t="s">
        <v>20206</v>
      </c>
      <c r="AF317" s="390" t="str">
        <f>tblUIText[[#This Row],[TR]]&amp;CHAR(10)&amp;tblUIText[[#This Row],[EN]]</f>
        <v>Pareto kuyruk endeksi (Hill, en büyük {0} dosya)
Pareto tail index (Hill, largest {0} cases)</v>
      </c>
    </row>
    <row r="318" spans="29:32">
      <c r="AC318" s="395" t="s">
        <v>20208</v>
      </c>
      <c r="AD318" s="355" t="s">
        <v>20210</v>
      </c>
      <c r="AE318" s="355" t="s">
        <v>20209</v>
      </c>
      <c r="AF318" s="390" t="str">
        <f>tblUIText[[#This Row],[TR]]&amp;CHAR(10)&amp;tblUIText[[#This Row],[EN]]</f>
        <v>alfa &lt; 2: varyans tanımsız kadar ağır kuyruk; gösterge niteliğinde
alpha &lt; 2: tail so heavy that the variance is undefined; indicative</v>
      </c>
    </row>
    <row r="319" spans="29:32">
      <c r="AC319" s="395" t="s">
        <v>20211</v>
      </c>
      <c r="AD319" s="355" t="s">
        <v>20213</v>
      </c>
      <c r="AE319" s="355" t="s">
        <v>20212</v>
      </c>
      <c r="AF319" s="390" t="str">
        <f>tblUIText[[#This Row],[TR]]&amp;CHAR(10)&amp;tblUIText[[#This Row],[EN]]</f>
        <v>Lorenz eğrisi: dosyaların payı - ödenenin payı
Lorenz curve: share of cases - share of paid</v>
      </c>
    </row>
    <row r="320" spans="29:32">
      <c r="AC320" s="395" t="s">
        <v>20214</v>
      </c>
      <c r="AD320" s="355" t="s">
        <v>20216</v>
      </c>
      <c r="AE320" s="355" t="s">
        <v>20215</v>
      </c>
      <c r="AF320" s="390" t="str">
        <f>tblUIText[[#This Row],[TR]]&amp;CHAR(10)&amp;tblUIText[[#This Row],[EN]]</f>
        <v>Ortalama aşım fonksiyonu e(u) (bin TL; artan eğim ağır kuyruk)
Mean excess function e(u) (TRY k; a rising slope means a heavy tail)</v>
      </c>
    </row>
    <row r="321" spans="29:32">
      <c r="AC321" s="395" t="s">
        <v>20217</v>
      </c>
      <c r="AD321" s="355" t="s">
        <v>20219</v>
      </c>
      <c r="AE321" s="355" t="s">
        <v>20218</v>
      </c>
      <c r="AF321" s="390" t="str">
        <f>tblUIText[[#This Row],[TR]]&amp;CHAR(10)&amp;tblUIText[[#This Row],[EN]]</f>
        <v>Hasar ayına göre dosya başına ödenen: medyan, ortalama, P90 (bin TL; son aylar gelişmemiş)
Paid per case by loss month: median, mean, P90 (TRY k; recent months undeveloped)</v>
      </c>
    </row>
    <row r="322" spans="29:32">
      <c r="AC322" s="395" t="s">
        <v>20220</v>
      </c>
      <c r="AD322" s="355" t="s">
        <v>20222</v>
      </c>
      <c r="AE322" s="355" t="s">
        <v>20221</v>
      </c>
      <c r="AF322" s="390" t="str">
        <f>tblUIText[[#This Row],[TR]]&amp;CHAR(10)&amp;tblUIText[[#This Row],[EN]]</f>
        <v>Büyük hasarlar (penceredeki en büyük dosyalar)
Large losses (largest cases in the window)</v>
      </c>
    </row>
    <row r="323" spans="29:32">
      <c r="AC323" s="395" t="s">
        <v>20223</v>
      </c>
      <c r="AD323" s="355" t="s">
        <v>20192</v>
      </c>
      <c r="AE323" s="355" t="s">
        <v>20224</v>
      </c>
      <c r="AF323" s="390" t="str">
        <f>tblUIText[[#This Row],[TR]]&amp;CHAR(10)&amp;tblUIText[[#This Row],[EN]]</f>
        <v>Dosya
Case</v>
      </c>
    </row>
    <row r="324" spans="29:32">
      <c r="AC324" s="395" t="s">
        <v>20225</v>
      </c>
      <c r="AD324" s="355" t="s">
        <v>20227</v>
      </c>
      <c r="AE324" s="355" t="s">
        <v>20226</v>
      </c>
      <c r="AF324" s="390" t="str">
        <f>tblUIText[[#This Row],[TR]]&amp;CHAR(10)&amp;tblUIText[[#This Row],[EN]]</f>
        <v>Ödenen (bin TL)
Paid (TRY k)</v>
      </c>
    </row>
    <row r="325" spans="29:32">
      <c r="AC325" s="395" t="s">
        <v>20228</v>
      </c>
      <c r="AD325" s="355" t="s">
        <v>20230</v>
      </c>
      <c r="AE325" s="355" t="s">
        <v>20229</v>
      </c>
      <c r="AF325" s="390" t="str">
        <f>tblUIText[[#This Row],[TR]]&amp;CHAR(10)&amp;tblUIText[[#This Row],[EN]]</f>
        <v>Pay
Share</v>
      </c>
    </row>
    <row r="326" spans="29:32">
      <c r="AC326" s="395" t="s">
        <v>20231</v>
      </c>
      <c r="AD326" s="355" t="s">
        <v>20233</v>
      </c>
      <c r="AE326" s="355" t="s">
        <v>20232</v>
      </c>
      <c r="AF326" s="390" t="str">
        <f>tblUIText[[#This Row],[TR]]&amp;CHAR(10)&amp;tblUIText[[#This Row],[EN]]</f>
        <v>Ödenen / teminat
Paid / cover</v>
      </c>
    </row>
    <row r="327" spans="29:32">
      <c r="AC327" s="395" t="s">
        <v>20234</v>
      </c>
      <c r="AD327" s="355" t="s">
        <v>20235</v>
      </c>
      <c r="AE327" s="355" t="s">
        <v>17178</v>
      </c>
      <c r="AF327" s="390" t="str">
        <f>tblUIText[[#This Row],[TR]]&amp;CHAR(10)&amp;tblUIText[[#This Row],[EN]]</f>
        <v>Ödenen / teminat tutarı
Paid / cover amount</v>
      </c>
    </row>
    <row r="328" spans="29:32">
      <c r="AC328" s="395" t="s">
        <v>20236</v>
      </c>
      <c r="AD328" s="355" t="s">
        <v>20237</v>
      </c>
      <c r="AE328" s="355" t="s">
        <v>17183</v>
      </c>
      <c r="AF328" s="390" t="str">
        <f>tblUIText[[#This Row],[TR]]&amp;CHAR(10)&amp;tblUIText[[#This Row],[EN]]</f>
        <v>Ödenen / toplam teminat
Paid / total sum insured</v>
      </c>
    </row>
    <row r="329" spans="29:32">
      <c r="AC329" s="395" t="s">
        <v>20238</v>
      </c>
      <c r="AD329" s="355" t="s">
        <v>20240</v>
      </c>
      <c r="AE329" s="355" t="s">
        <v>20239</v>
      </c>
      <c r="AF329" s="390" t="str">
        <f>tblUIText[[#This Row],[TR]]&amp;CHAR(10)&amp;tblUIText[[#This Row],[EN]]</f>
        <v>Ödenen / ilk muallak
Paid / initial reserve</v>
      </c>
    </row>
    <row r="330" spans="29:32">
      <c r="AC330" s="395" t="s">
        <v>20241</v>
      </c>
      <c r="AD330" s="355" t="s">
        <v>20243</v>
      </c>
      <c r="AE330" s="355" t="s">
        <v>20242</v>
      </c>
      <c r="AF330" s="390" t="str">
        <f>tblUIText[[#This Row],[TR]]&amp;CHAR(10)&amp;tblUIText[[#This Row],[EN]]</f>
        <v>Dosya (oranlı)
Cases (with a ratio)</v>
      </c>
    </row>
    <row r="331" spans="29:32">
      <c r="AC331" s="395" t="s">
        <v>20244</v>
      </c>
      <c r="AD331" s="355" t="s">
        <v>20246</v>
      </c>
      <c r="AE331" s="355" t="s">
        <v>20245</v>
      </c>
      <c r="AF331" s="390" t="str">
        <f>tblUIText[[#This Row],[TR]]&amp;CHAR(10)&amp;tblUIText[[#This Row],[EN]]</f>
        <v>Medyan oran
Median ratio</v>
      </c>
    </row>
    <row r="332" spans="29:32">
      <c r="AC332" s="395" t="s">
        <v>20247</v>
      </c>
      <c r="AD332" s="355" t="s">
        <v>20249</v>
      </c>
      <c r="AE332" s="355" t="s">
        <v>20248</v>
      </c>
      <c r="AF332" s="390" t="str">
        <f>tblUIText[[#This Row],[TR]]&amp;CHAR(10)&amp;tblUIText[[#This Row],[EN]]</f>
        <v>Tam limitte ödenen dosya payı (&gt;= {0})
Share of cases paid at the full limit (&gt;= {0})</v>
      </c>
    </row>
    <row r="333" spans="29:32">
      <c r="AC333" s="395" t="s">
        <v>20250</v>
      </c>
      <c r="AD333" s="355" t="s">
        <v>20252</v>
      </c>
      <c r="AE333" s="355" t="s">
        <v>20251</v>
      </c>
      <c r="AF333" s="390" t="str">
        <f>tblUIText[[#This Row],[TR]]&amp;CHAR(10)&amp;tblUIText[[#This Row],[EN]]</f>
        <v>Limiti aşan dosya payı (&gt; 1)
Share of cases paid above the limit (&gt; 1)</v>
      </c>
    </row>
    <row r="334" spans="29:32">
      <c r="AC334" s="395" t="s">
        <v>20253</v>
      </c>
      <c r="AD334" s="355" t="s">
        <v>20255</v>
      </c>
      <c r="AE334" s="355" t="s">
        <v>20254</v>
      </c>
      <c r="AF334" s="390" t="str">
        <f>tblUIText[[#This Row],[TR]]&amp;CHAR(10)&amp;tblUIText[[#This Row],[EN]]</f>
        <v>Sapma: geometrik ortalama oran - 1
Bias: geometric mean ratio - 1</v>
      </c>
    </row>
    <row r="335" spans="29:32">
      <c r="AC335" s="395" t="s">
        <v>20256</v>
      </c>
      <c r="AD335" s="355" t="s">
        <v>20258</v>
      </c>
      <c r="AE335" s="355" t="s">
        <v>20257</v>
      </c>
      <c r="AF335" s="390" t="str">
        <f>tblUIText[[#This Row],[TR]]&amp;CHAR(10)&amp;tblUIText[[#This Row],[EN]]</f>
        <v>Ödenen &gt; ilk muallak payı
Share with paid &gt; initial reserve</v>
      </c>
    </row>
    <row r="336" spans="29:32">
      <c r="AC336" s="395" t="s">
        <v>20259</v>
      </c>
      <c r="AD336" s="355" t="s">
        <v>20260</v>
      </c>
      <c r="AE336" s="355" t="s">
        <v>18364</v>
      </c>
      <c r="AF336" s="390" t="str">
        <f>tblUIText[[#This Row],[TR]]&amp;CHAR(10)&amp;tblUIText[[#This Row],[EN]]</f>
        <v>Muafiyetin brüte payı
Deductible share of gross</v>
      </c>
    </row>
    <row r="337" spans="29:32">
      <c r="AC337" s="395" t="s">
        <v>20261</v>
      </c>
      <c r="AD337" s="355" t="s">
        <v>20263</v>
      </c>
      <c r="AE337" s="355" t="s">
        <v>20262</v>
      </c>
      <c r="AF337" s="390" t="str">
        <f>tblUIText[[#This Row],[TR]]&amp;CHAR(10)&amp;tblUIText[[#This Row],[EN]]</f>
        <v>Net / brüt
Net / gross</v>
      </c>
    </row>
    <row r="338" spans="29:32">
      <c r="AC338" s="395" t="s">
        <v>20264</v>
      </c>
      <c r="AD338" s="355" t="s">
        <v>20266</v>
      </c>
      <c r="AE338" s="355" t="s">
        <v>20265</v>
      </c>
      <c r="AF338" s="390" t="str">
        <f>tblUIText[[#This Row],[TR]]&amp;CHAR(10)&amp;tblUIText[[#This Row],[EN]]</f>
        <v>Ödenen / teminat tutarı dağılımı (dosya payı)
Distribution of paid / cover amount (share of cases)</v>
      </c>
    </row>
    <row r="339" spans="29:32">
      <c r="AC339" s="395" t="s">
        <v>20267</v>
      </c>
      <c r="AD339" s="355" t="s">
        <v>20269</v>
      </c>
      <c r="AE339" s="355" t="s">
        <v>20268</v>
      </c>
      <c r="AF339" s="390" t="str">
        <f>tblUIText[[#This Row],[TR]]&amp;CHAR(10)&amp;tblUIText[[#This Row],[EN]]</f>
        <v>Ödenen / ilk muallak dağılımı (dosya payı)
Distribution of paid / initial reserve (share of cases)</v>
      </c>
    </row>
    <row r="340" spans="29:32">
      <c r="AC340" s="395" t="s">
        <v>20270</v>
      </c>
      <c r="AD340" s="355" t="s">
        <v>20272</v>
      </c>
      <c r="AE340" s="355" t="s">
        <v>20271</v>
      </c>
      <c r="AF340" s="390" t="str">
        <f>tblUIText[[#This Row],[TR]]&amp;CHAR(10)&amp;tblUIText[[#This Row],[EN]]</f>
        <v>İlk muallak doğruluğu yalnızca pencerede ödemesi olan dosyaları kapsar: ödemesiz kapanan ve henüz ödenmemiş dosyalar yoktur, kısmi ödenen dosyalarda oran düşük kalır (hayatta kalan yanlılığı).
Initial-reserve accuracy covers only cases with payments in the window: cases closed without payment and cases not yet paid are missing, and partially paid cases understate the ratio (survivor bias).</v>
      </c>
    </row>
    <row r="341" spans="29:32">
      <c r="AC341" s="395" t="s">
        <v>20273</v>
      </c>
      <c r="AD341" s="355" t="s">
        <v>20275</v>
      </c>
      <c r="AE341" s="355" t="s">
        <v>20274</v>
      </c>
      <c r="AF341" s="390" t="str">
        <f>tblUIText[[#This Row],[TR]]&amp;CHAR(10)&amp;tblUIText[[#This Row],[EN]]</f>
        <v>Oranlar dosyanın kendi para biriminde hesaplanır (ödenen orijinal / teminat orijinal); farklı para birimleri toplanmaz.
Ratios use each case's own currency (paid original / limit original); currencies are never added.</v>
      </c>
    </row>
    <row r="342" spans="29:32">
      <c r="AC342" s="395" t="s">
        <v>20276</v>
      </c>
      <c r="AD342" s="355" t="s">
        <v>20278</v>
      </c>
      <c r="AE342" s="355" t="s">
        <v>20277</v>
      </c>
      <c r="AF342" s="390" t="str">
        <f>tblUIText[[#This Row],[TR]]&amp;CHAR(10)&amp;tblUIText[[#This Row],[EN]]</f>
        <v>INSUFFICIENT DATA (en az {0})
INSUFFICIENT DATA (at least {0})</v>
      </c>
    </row>
    <row r="343" spans="29:32" ht="114.75">
      <c r="AC343" s="395" t="s">
        <v>20650</v>
      </c>
      <c r="AD343" s="396" t="s">
        <v>20652</v>
      </c>
      <c r="AE343" s="396" t="s">
        <v>20651</v>
      </c>
      <c r="AF343" s="390" t="str">
        <f>tblUIText[[#This Row],[TR]]&amp;CHAR(10)&amp;tblUIText[[#This Row],[EN]]</f>
        <v>DEPOYU YENİDEN KUR (Yönetici)
ArchiveLog'daki {0} güncel parti Archive\Inbox klasöründeki dosyalardan yeniden okunacak. Her parti kapanışta kaydedilen satır sayısını ve tutarları vermelidir; vermezse hiçbir şey değişmez.
Mevcut {1} Archive\Superseded klasörüne taşınır (silinmez).
Devam etmek için REBUILD yazın:
REBUILD STORE (Administrator)
The {0} current batch(es) of ArchiveLog are read again from the files in Archive\Inbox. Every batch must give the rows and amounts recorded at its close; otherwise nothing changes.
The current {1} moves to Archive\Superseded (never deleted).
Type REBUILD to continue:</v>
      </c>
    </row>
    <row r="344" spans="29:32">
      <c r="AC344" s="395" t="s">
        <v>20717</v>
      </c>
      <c r="AD344" s="355" t="s">
        <v>20718</v>
      </c>
      <c r="AE344" s="355" t="s">
        <v>17202</v>
      </c>
      <c r="AF344" s="390" t="str">
        <f>tblUIText[[#This Row],[TR]]&amp;CHAR(10)&amp;tblUIText[[#This Row],[EN]]</f>
        <v>Anomali
Anomaly</v>
      </c>
    </row>
    <row r="345" spans="29:32">
      <c r="AC345" s="395" t="s">
        <v>20719</v>
      </c>
      <c r="AD345" s="355" t="s">
        <v>20721</v>
      </c>
      <c r="AE345" s="355" t="s">
        <v>20720</v>
      </c>
      <c r="AF345" s="390" t="str">
        <f>tblUIText[[#This Row],[TR]]&amp;CHAR(10)&amp;tblUIText[[#This Row],[EN]]</f>
        <v>İzleme listesi
Watchlist</v>
      </c>
    </row>
    <row r="346" spans="29:32">
      <c r="AC346" s="395" t="s">
        <v>20722</v>
      </c>
      <c r="AD346" s="355" t="s">
        <v>20724</v>
      </c>
      <c r="AE346" s="355" t="s">
        <v>20723</v>
      </c>
      <c r="AF346" s="390" t="str">
        <f>tblUIText[[#This Row],[TR]]&amp;CHAR(10)&amp;tblUIText[[#This Row],[EN]]</f>
        <v>Satırlar
Raw view</v>
      </c>
    </row>
    <row r="347" spans="29:32">
      <c r="AC347" s="395" t="s">
        <v>20725</v>
      </c>
      <c r="AD347" s="355" t="s">
        <v>20727</v>
      </c>
      <c r="AE347" s="355" t="s">
        <v>20726</v>
      </c>
      <c r="AF347" s="390" t="str">
        <f>tblUIText[[#This Row],[TR]]&amp;CHAR(10)&amp;tblUIText[[#This Row],[EN]]</f>
        <v>Bir şirketin bu ayki ödemeleri kendi geçmişine göre istatistiksel olarak olağandışı mı?
Are a company's payments this month statistically unusual against its own history?</v>
      </c>
    </row>
    <row r="348" spans="29:32">
      <c r="AC348" s="395" t="s">
        <v>20728</v>
      </c>
      <c r="AD348" s="355" t="s">
        <v>20730</v>
      </c>
      <c r="AE348" s="355" t="s">
        <v>20729</v>
      </c>
      <c r="AF348" s="390" t="str">
        <f>tblUIText[[#This Row],[TR]]&amp;CHAR(10)&amp;tblUIText[[#This Row],[EN]]</f>
        <v>İncelemeci bu ay neye bakmalı?
What must the reviewer look at this month?</v>
      </c>
    </row>
    <row r="349" spans="29:32">
      <c r="AC349" s="395" t="s">
        <v>20731</v>
      </c>
      <c r="AD349" s="355" t="s">
        <v>20733</v>
      </c>
      <c r="AE349" s="355" t="s">
        <v>20732</v>
      </c>
      <c r="AF349" s="390" t="str">
        <f>tblUIText[[#This Row],[TR]]&amp;CHAR(10)&amp;tblUIText[[#This Row],[EN]]</f>
        <v>İncelemeci, aktüerya
Reviewer, actuarial</v>
      </c>
    </row>
    <row r="350" spans="29:32">
      <c r="AC350" s="395" t="s">
        <v>20734</v>
      </c>
      <c r="AD350" s="355" t="s">
        <v>20736</v>
      </c>
      <c r="AE350" s="355" t="s">
        <v>20735</v>
      </c>
      <c r="AF350" s="390" t="str">
        <f>tblUIText[[#This Row],[TR]]&amp;CHAR(10)&amp;tblUIText[[#This Row],[EN]]</f>
        <v>Segmentteki her şirket, seçilen ay: ödenen, satır ve dosya başına ortalama için dayanıklı z (medyan / MAD, log ölçek), kontrol grafiği (X-mR) ve CUSUM; yuvarlak tutar ve ödeme günü örüntüsü; Benford ilk hane; ödeme niteliği karması (PSI).
Every company of the segment, selected month: robust z (median / MAD, log scale) of paid, lines and mean per case, control chart (X-mR) and CUSUM; round-amount and payment-day patterns; Benford first digit; payment-nature mix (PSI).</v>
      </c>
    </row>
    <row r="351" spans="29:32">
      <c r="AC351" s="395" t="s">
        <v>20737</v>
      </c>
      <c r="AD351" s="355" t="s">
        <v>20739</v>
      </c>
      <c r="AE351" s="355" t="s">
        <v>20738</v>
      </c>
      <c r="AF351" s="390" t="str">
        <f>tblUIText[[#This Row],[TR]]&amp;CHAR(10)&amp;tblUIText[[#This Row],[EN]]</f>
        <v>Nasıl okunur: her hücre bir şirketin bir göstergesinin durumudur. '(draft)' eşikler henüz onaylanmamıştır; '*' işaretli durumlar yer tutucudur, sayılmaz ve sıralanmaz. Grafikler sağdaki şirket seçimini gösterir.
How to read: each cell is the status of one indicator of one company. '(draft)' levels are not approved yet; statuses ending in '*' are placeholders and are never counted or ranked. The charts show the company selected on the right.</v>
      </c>
    </row>
    <row r="352" spans="29:32">
      <c r="AC352" s="395" t="s">
        <v>20740</v>
      </c>
      <c r="AD352" s="355" t="s">
        <v>20742</v>
      </c>
      <c r="AE352" s="355" t="s">
        <v>20741</v>
      </c>
      <c r="AF352" s="390" t="str">
        <f>tblUIText[[#This Row],[TR]]&amp;CHAR(10)&amp;tblUIText[[#This Row],[EN]]</f>
        <v>Seçilen ayın uyarıları (WATCH / ALERT), her segmentte önem puanına göre sıralı; segment başına en fazla N satır.
Alerts (WATCH / ALERT) of the selected month, ranked by severity score within each segment; at most N rows per segment.</v>
      </c>
    </row>
    <row r="353" spans="29:32">
      <c r="AC353" s="395" t="s">
        <v>20743</v>
      </c>
      <c r="AD353" s="355" t="s">
        <v>20745</v>
      </c>
      <c r="AE353" s="355" t="s">
        <v>20744</v>
      </c>
      <c r="AF353" s="390" t="str">
        <f>tblUIText[[#This Row],[TR]]&amp;CHAR(10)&amp;tblUIText[[#This Row],[EN]]</f>
        <v>Nasıl okunur: puan = ALERT 3, WATCH 1, artı göstergenin gücü (|z| / 10, en fazla 1). Yer tutucu (*) ve INSUFFICIENT DATA durumları listede yoktur. Segmentler birbiriyle karşılaştırılmaz; 'Git' anomali sayfasını açar (segment ve şirketi orada seçin).
How to read: score = ALERT 3, WATCH 1, plus the indicator's strength (|z| / 10, at most 1). Placeholder (*) and INSUFFICIENT DATA statuses are not listed. Segments are never compared with each other; 'Go' opens the anomaly page (select segment and company there).</v>
      </c>
    </row>
    <row r="354" spans="29:32">
      <c r="AC354" s="395" t="s">
        <v>20746</v>
      </c>
      <c r="AD354" s="355" t="s">
        <v>20748</v>
      </c>
      <c r="AE354" s="355" t="s">
        <v>20747</v>
      </c>
      <c r="AF354" s="390" t="str">
        <f>tblUIText[[#This Row],[TR]]&amp;CHAR(10)&amp;tblUIText[[#This Row],[EN]]</f>
        <v>Ödenen (z)
Paid (z)</v>
      </c>
    </row>
    <row r="355" spans="29:32">
      <c r="AC355" s="395" t="s">
        <v>20749</v>
      </c>
      <c r="AD355" s="355" t="s">
        <v>20751</v>
      </c>
      <c r="AE355" s="355" t="s">
        <v>20750</v>
      </c>
      <c r="AF355" s="390" t="str">
        <f>tblUIText[[#This Row],[TR]]&amp;CHAR(10)&amp;tblUIText[[#This Row],[EN]]</f>
        <v>Satır (z)
Lines (z)</v>
      </c>
    </row>
    <row r="356" spans="29:32">
      <c r="AC356" s="395" t="s">
        <v>20752</v>
      </c>
      <c r="AD356" s="355" t="s">
        <v>20754</v>
      </c>
      <c r="AE356" s="355" t="s">
        <v>20753</v>
      </c>
      <c r="AF356" s="390" t="str">
        <f>tblUIText[[#This Row],[TR]]&amp;CHAR(10)&amp;tblUIText[[#This Row],[EN]]</f>
        <v>Dosya başı ort. (z)
Mean per case (z)</v>
      </c>
    </row>
    <row r="357" spans="29:32">
      <c r="AC357" s="395" t="s">
        <v>20755</v>
      </c>
      <c r="AD357" s="355" t="s">
        <v>20757</v>
      </c>
      <c r="AE357" s="355" t="s">
        <v>20756</v>
      </c>
      <c r="AF357" s="390" t="str">
        <f>tblUIText[[#This Row],[TR]]&amp;CHAR(10)&amp;tblUIText[[#This Row],[EN]]</f>
        <v>X-mR (ödenen)
X-mR (paid)</v>
      </c>
    </row>
    <row r="358" spans="29:32">
      <c r="AC358" s="395" t="s">
        <v>20758</v>
      </c>
      <c r="AD358" s="355" t="s">
        <v>20760</v>
      </c>
      <c r="AE358" s="355" t="s">
        <v>20759</v>
      </c>
      <c r="AF358" s="390" t="str">
        <f>tblUIText[[#This Row],[TR]]&amp;CHAR(10)&amp;tblUIText[[#This Row],[EN]]</f>
        <v>CUSUM (ödenen)
CUSUM (paid)</v>
      </c>
    </row>
    <row r="359" spans="29:32">
      <c r="AC359" s="395" t="s">
        <v>20761</v>
      </c>
      <c r="AD359" s="355" t="s">
        <v>20763</v>
      </c>
      <c r="AE359" s="355" t="s">
        <v>20762</v>
      </c>
      <c r="AF359" s="390" t="str">
        <f>tblUIText[[#This Row],[TR]]&amp;CHAR(10)&amp;tblUIText[[#This Row],[EN]]</f>
        <v>Yuvarlak tutar
Round amounts</v>
      </c>
    </row>
    <row r="360" spans="29:32">
      <c r="AC360" s="395" t="s">
        <v>20764</v>
      </c>
      <c r="AD360" s="355" t="s">
        <v>20766</v>
      </c>
      <c r="AE360" s="355" t="s">
        <v>20765</v>
      </c>
      <c r="AF360" s="390" t="str">
        <f>tblUIText[[#This Row],[TR]]&amp;CHAR(10)&amp;tblUIText[[#This Row],[EN]]</f>
        <v>Hafta sonu / ay sonu
Weekend / month-end</v>
      </c>
    </row>
    <row r="361" spans="29:32">
      <c r="AC361" s="395" t="s">
        <v>20767</v>
      </c>
      <c r="AD361" s="355" t="s">
        <v>20769</v>
      </c>
      <c r="AE361" s="355" t="s">
        <v>20768</v>
      </c>
      <c r="AF361" s="390" t="str">
        <f>tblUIText[[#This Row],[TR]]&amp;CHAR(10)&amp;tblUIText[[#This Row],[EN]]</f>
        <v>Benford ilk hane
Benford first digit</v>
      </c>
    </row>
    <row r="362" spans="29:32">
      <c r="AC362" s="395" t="s">
        <v>20770</v>
      </c>
      <c r="AD362" s="355" t="s">
        <v>20772</v>
      </c>
      <c r="AE362" s="355" t="s">
        <v>20771</v>
      </c>
      <c r="AF362" s="390" t="str">
        <f>tblUIText[[#This Row],[TR]]&amp;CHAR(10)&amp;tblUIText[[#This Row],[EN]]</f>
        <v>Nitelik karması (PSI)
Nature mix (PSI)</v>
      </c>
    </row>
    <row r="363" spans="29:32">
      <c r="AC363" s="395" t="s">
        <v>20773</v>
      </c>
      <c r="AD363" s="355" t="s">
        <v>18941</v>
      </c>
      <c r="AE363" s="355" t="s">
        <v>3263</v>
      </c>
      <c r="AF363" s="390" t="str">
        <f>tblUIText[[#This Row],[TR]]&amp;CHAR(10)&amp;tblUIText[[#This Row],[EN]]</f>
        <v>Şirket
Company</v>
      </c>
    </row>
    <row r="364" spans="29:32">
      <c r="AC364" s="395" t="s">
        <v>20774</v>
      </c>
      <c r="AD364" s="355" t="s">
        <v>20776</v>
      </c>
      <c r="AE364" s="355" t="s">
        <v>20775</v>
      </c>
      <c r="AF364" s="390" t="str">
        <f>tblUIText[[#This Row],[TR]]&amp;CHAR(10)&amp;tblUIText[[#This Row],[EN]]</f>
        <v>Durum, seçilen ay (üst satır) ve değer (alt satır)
Status, selected month (upper line) and value (lower line)</v>
      </c>
    </row>
    <row r="365" spans="29:32">
      <c r="AC365" s="395" t="s">
        <v>20777</v>
      </c>
      <c r="AD365" s="355" t="s">
        <v>20779</v>
      </c>
      <c r="AE365" s="355" t="s">
        <v>20778</v>
      </c>
      <c r="AF365" s="390" t="str">
        <f>tblUIText[[#This Row],[TR]]&amp;CHAR(10)&amp;tblUIText[[#This Row],[EN]]</f>
        <v>Ayrıntı: seçilen şirket
Detail: selected company</v>
      </c>
    </row>
    <row r="366" spans="29:32">
      <c r="AC366" s="395" t="s">
        <v>20780</v>
      </c>
      <c r="AD366" s="355" t="s">
        <v>20782</v>
      </c>
      <c r="AE366" s="355" t="s">
        <v>20781</v>
      </c>
      <c r="AF366" s="390" t="str">
        <f>tblUIText[[#This Row],[TR]]&amp;CHAR(10)&amp;tblUIText[[#This Row],[EN]]</f>
        <v>X-mR: aylık ödenen (bin TL), merkez ve 3σ sınırları (log ölçekte)
X-mR: monthly paid (TRY k), centre and 3σ limits (log scale)</v>
      </c>
    </row>
    <row r="367" spans="29:32">
      <c r="AC367" s="395" t="s">
        <v>20783</v>
      </c>
      <c r="AD367" s="355" t="s">
        <v>20785</v>
      </c>
      <c r="AE367" s="355" t="s">
        <v>20784</v>
      </c>
      <c r="AF367" s="390" t="str">
        <f>tblUIText[[#This Row],[TR]]&amp;CHAR(10)&amp;tblUIText[[#This Row],[EN]]</f>
        <v>CUSUM: log ödenen, standartlaştırılmış (S+ / S−, h)
CUSUM: log paid, standardised (S+ / S−, h)</v>
      </c>
    </row>
    <row r="368" spans="29:32">
      <c r="AC368" s="395" t="s">
        <v>20786</v>
      </c>
      <c r="AD368" s="355" t="s">
        <v>20788</v>
      </c>
      <c r="AE368" s="355" t="s">
        <v>20787</v>
      </c>
      <c r="AF368" s="390" t="str">
        <f>tblUIText[[#This Row],[TR]]&amp;CHAR(10)&amp;tblUIText[[#This Row],[EN]]</f>
        <v>Benford: ilk hane payı, seçilen ay (gözlenen / beklenen)
Benford: first-digit share, selected month (observed / expected)</v>
      </c>
    </row>
    <row r="369" spans="29:32">
      <c r="AC369" s="395" t="s">
        <v>20789</v>
      </c>
      <c r="AD369" s="355" t="s">
        <v>20791</v>
      </c>
      <c r="AE369" s="355" t="s">
        <v>20790</v>
      </c>
      <c r="AF369" s="390" t="str">
        <f>tblUIText[[#This Row],[TR]]&amp;CHAR(10)&amp;tblUIText[[#This Row],[EN]]</f>
        <v>Eşikler taslaktır (DRAFT). Benford ve PSI bantları yayımlanmış sabit değerlerdir: sahibi onaylayana kadar durumları yer tutucudur (*). İstatistiksel sinyal bir hatanın kanıtı değildir: önce kaynak dosyaya ve kontrol paneline bakın.
Levels are DRAFT. The Benford and PSI bands are published fixed values: until the owner approves them their statuses are placeholders (*). A statistical signal is not proof of an error: check the source file and the control panel first.</v>
      </c>
    </row>
    <row r="370" spans="29:32">
      <c r="AC370" s="395" t="s">
        <v>20792</v>
      </c>
      <c r="AD370" s="355" t="s">
        <v>20794</v>
      </c>
      <c r="AE370" s="355" t="s">
        <v>20793</v>
      </c>
      <c r="AF370" s="390" t="str">
        <f>tblUIText[[#This Row],[TR]]&amp;CHAR(10)&amp;tblUIText[[#This Row],[EN]]</f>
        <v>Yöntem: dayanıklı z = (ln x − medyan) / (1,4826 × MAD), cari aydan önceki en çok 24 ay; X-mR merkez = log ödenen ortalaması, σ = ortalama hareketli aralık / 1,128; CUSUM k = 0,5σ, taban = 12 ay; paylarda alt sınır binom standart hatası; Benford MAD (Nigrini), PSI (satır sayısı, önceki 12 ay). Kayıp, rezerv veya frekans sonucu çıkarılmaz.
Method: robust z = (ln x − median) / (1.4826 × MAD) over up to 24 months before the current one; X-mR centre = mean of log paid, σ = mean moving range / 1.128; CUSUM k = 0.5σ, baseline 12 months; shares floored at the binomial standard error; Benford MAD (Nigrini), PSI (line counts, the 12 months before). No loss, reserve or frequency conclusion is drawn.</v>
      </c>
    </row>
    <row r="371" spans="29:32">
      <c r="AC371" s="395" t="s">
        <v>20795</v>
      </c>
      <c r="AD371" s="355" t="s">
        <v>19886</v>
      </c>
      <c r="AE371" s="355" t="s">
        <v>16902</v>
      </c>
      <c r="AF371" s="390" t="str">
        <f>tblUIText[[#This Row],[TR]]&amp;CHAR(10)&amp;tblUIText[[#This Row],[EN]]</f>
        <v>satır
lines</v>
      </c>
    </row>
    <row r="372" spans="29:32">
      <c r="AC372" s="395" t="s">
        <v>20796</v>
      </c>
      <c r="AD372" s="355" t="s">
        <v>20798</v>
      </c>
      <c r="AE372" s="355" t="s">
        <v>20797</v>
      </c>
      <c r="AF372" s="390" t="str">
        <f>tblUIText[[#This Row],[TR]]&amp;CHAR(10)&amp;tblUIText[[#This Row],[EN]]</f>
        <v>şirket
companies</v>
      </c>
    </row>
    <row r="373" spans="29:32">
      <c r="AC373" s="395" t="s">
        <v>20799</v>
      </c>
      <c r="AD373" s="355" t="s">
        <v>16543</v>
      </c>
      <c r="AE373" s="355" t="s">
        <v>16543</v>
      </c>
      <c r="AF373" s="390" t="str">
        <f>tblUIText[[#This Row],[TR]]&amp;CHAR(10)&amp;tblUIText[[#This Row],[EN]]</f>
        <v>Segment
Segment</v>
      </c>
    </row>
    <row r="374" spans="29:32">
      <c r="AC374" s="395" t="s">
        <v>20800</v>
      </c>
      <c r="AD374" s="355" t="s">
        <v>18941</v>
      </c>
      <c r="AE374" s="355" t="s">
        <v>3263</v>
      </c>
      <c r="AF374" s="390" t="str">
        <f>tblUIText[[#This Row],[TR]]&amp;CHAR(10)&amp;tblUIText[[#This Row],[EN]]</f>
        <v>Şirket
Company</v>
      </c>
    </row>
    <row r="375" spans="29:32">
      <c r="AC375" s="395" t="s">
        <v>20801</v>
      </c>
      <c r="AD375" s="355" t="s">
        <v>20803</v>
      </c>
      <c r="AE375" s="355" t="s">
        <v>20802</v>
      </c>
      <c r="AF375" s="390" t="str">
        <f>tblUIText[[#This Row],[TR]]&amp;CHAR(10)&amp;tblUIText[[#This Row],[EN]]</f>
        <v>Gösterge
Indicator</v>
      </c>
    </row>
    <row r="376" spans="29:32">
      <c r="AC376" s="395" t="s">
        <v>20804</v>
      </c>
      <c r="AD376" s="355" t="s">
        <v>20805</v>
      </c>
      <c r="AE376" s="355" t="s">
        <v>93</v>
      </c>
      <c r="AF376" s="390" t="str">
        <f>tblUIText[[#This Row],[TR]]&amp;CHAR(10)&amp;tblUIText[[#This Row],[EN]]</f>
        <v>Değer
Value</v>
      </c>
    </row>
    <row r="377" spans="29:32">
      <c r="AC377" s="395" t="s">
        <v>20806</v>
      </c>
      <c r="AD377" s="355" t="s">
        <v>18962</v>
      </c>
      <c r="AE377" s="355" t="s">
        <v>148</v>
      </c>
      <c r="AF377" s="390" t="str">
        <f>tblUIText[[#This Row],[TR]]&amp;CHAR(10)&amp;tblUIText[[#This Row],[EN]]</f>
        <v>Durum
Status</v>
      </c>
    </row>
    <row r="378" spans="29:32">
      <c r="AC378" s="395" t="s">
        <v>20807</v>
      </c>
      <c r="AD378" s="355" t="s">
        <v>20809</v>
      </c>
      <c r="AE378" s="355" t="s">
        <v>20808</v>
      </c>
      <c r="AF378" s="390" t="str">
        <f>tblUIText[[#This Row],[TR]]&amp;CHAR(10)&amp;tblUIText[[#This Row],[EN]]</f>
        <v>Puan
Score</v>
      </c>
    </row>
    <row r="379" spans="29:32">
      <c r="AC379" s="395" t="s">
        <v>20810</v>
      </c>
      <c r="AD379" s="355" t="s">
        <v>18822</v>
      </c>
      <c r="AE379" s="355" t="s">
        <v>18821</v>
      </c>
      <c r="AF379" s="390" t="str">
        <f>tblUIText[[#This Row],[TR]]&amp;CHAR(10)&amp;tblUIText[[#This Row],[EN]]</f>
        <v>Git
Go</v>
      </c>
    </row>
    <row r="380" spans="29:32">
      <c r="AC380" s="395" t="s">
        <v>20811</v>
      </c>
      <c r="AD380" s="355" t="s">
        <v>20813</v>
      </c>
      <c r="AE380" s="355" t="s">
        <v>20812</v>
      </c>
      <c r="AF380" s="390" t="str">
        <f>tblUIText[[#This Row],[TR]]&amp;CHAR(10)&amp;tblUIText[[#This Row],[EN]]</f>
        <v>Bu ay sayılan uyarı yok
No counted alert this month</v>
      </c>
    </row>
    <row r="381" spans="29:32">
      <c r="AC381" s="395" t="s">
        <v>20814</v>
      </c>
      <c r="AD381" s="355" t="s">
        <v>20816</v>
      </c>
      <c r="AE381" s="355" t="s">
        <v>20815</v>
      </c>
      <c r="AF381" s="390" t="str">
        <f>tblUIText[[#This Row],[TR]]&amp;CHAR(10)&amp;tblUIText[[#This Row],[EN]]</f>
        <v>Özet (seçilen ay, şirket × gösterge)
Summary (selected month, company × indicator)</v>
      </c>
    </row>
    <row r="382" spans="29:32">
      <c r="AC382" s="395" t="s">
        <v>20817</v>
      </c>
      <c r="AD382" s="355" t="s">
        <v>20819</v>
      </c>
      <c r="AE382" s="355" t="s">
        <v>20818</v>
      </c>
      <c r="AF382" s="390" t="str">
        <f>tblUIText[[#This Row],[TR]]&amp;CHAR(10)&amp;tblUIText[[#This Row],[EN]]</f>
        <v>ALERT / WATCH / yer tutucu * / INSUFFICIENT DATA
ALERT / WATCH / placeholder * / INSUFFICIENT DATA</v>
      </c>
    </row>
    <row r="383" spans="29:32">
      <c r="AC383" s="395" t="s">
        <v>20820</v>
      </c>
      <c r="AD383" s="355" t="s">
        <v>20822</v>
      </c>
      <c r="AE383" s="355" t="s">
        <v>20821</v>
      </c>
      <c r="AF383" s="390" t="str">
        <f>tblUIText[[#This Row],[TR]]&amp;CHAR(10)&amp;tblUIText[[#This Row],[EN]]</f>
        <v>Segment başına en fazla {0} satır
At most {0} rows per segment</v>
      </c>
    </row>
    <row r="384" spans="29:32">
      <c r="AC384" s="395" t="s">
        <v>20823</v>
      </c>
      <c r="AD384" s="355" t="s">
        <v>20825</v>
      </c>
      <c r="AE384" s="355" t="s">
        <v>20824</v>
      </c>
      <c r="AF384" s="390" t="str">
        <f>tblUIText[[#This Row],[TR]]&amp;CHAR(10)&amp;tblUIText[[#This Row],[EN]]</f>
        <v>Platform bir web adresinden veya eşitlenen bir bulut klasöründen (OneDrive / SharePoint) açıldı: {0}. Platform yalnızca yerel ya da ağ (UNC) klasöründen çalışır; veri değiştiren komutlar kapalı. Dosyayı ve klasörlerini platform klasörüne taşıyın (Yönetim Kılavuzu, konum).
The platform is opened from a web address or a synchronised cloud folder (OneDrive / SharePoint): {0}. It runs only from a local or network (UNC) folder; commands that change data are disabled. Move the file and its folders to the platform folder (Admin Guide, location).</v>
      </c>
    </row>
    <row r="385" spans="29:32">
      <c r="AC385" s="395" t="s">
        <v>20826</v>
      </c>
      <c r="AD385" s="355" t="s">
        <v>20828</v>
      </c>
      <c r="AE385" s="355" t="s">
        <v>20827</v>
      </c>
      <c r="AF385" s="390" t="str">
        <f>tblUIText[[#This Row],[TR]]&amp;CHAR(10)&amp;tblUIText[[#This Row],[EN]]</f>
        <v>{0} yapılamaz: platform bulut / web konumundan açıldı ({1}). Yerel veya ağ (UNC) klasöründen açın.
{0} cannot run: the platform is opened from a cloud or web location ({1}). Open it from a local or network (UNC) folder.</v>
      </c>
    </row>
    <row r="386" spans="29:32">
      <c r="AC386" s="395" t="s">
        <v>20829</v>
      </c>
      <c r="AD386" s="355" t="s">
        <v>20831</v>
      </c>
      <c r="AE386" s="355" t="s">
        <v>20830</v>
      </c>
      <c r="AF386" s="390" t="str">
        <f>tblUIText[[#This Row],[TR]]&amp;CHAR(10)&amp;tblUIText[[#This Row],[EN]]</f>
        <v>Parola penceresi bozuk: {0}. Parola girişi reddedildi (parola maskesiz bir kutuya asla yazılmaz). Bir Yönetici frmPassword.frm ve .frx dosyalarını src\vba'dan yeniden almalı (Yönetim Kılavuzu).
The password window is damaged: {0}. Password entry is refused (a password is never typed into an unmasked box). An Administrator re-imports frmPassword.frm and .frx from src\vba (Admin Guide).</v>
      </c>
    </row>
    <row r="387" spans="29:32" ht="63.75">
      <c r="AC387" s="395" t="s">
        <v>20832</v>
      </c>
      <c r="AD387" s="396" t="s">
        <v>20834</v>
      </c>
      <c r="AE387" s="396" t="s">
        <v>20833</v>
      </c>
      <c r="AF387" s="390" t="str">
        <f>tblUIText[[#This Row],[TR]]&amp;CHAR(10)&amp;tblUIText[[#This Row],[EN]]</f>
        <v>KAYNAK DOSYAYI AÇ
{0}
Kaynak dosya kişisel veri içerir. Açma nedeni (kayda geçer):
OPEN SOURCE FILE
{0}
The source file holds personal data. Reason for opening it (logged):</v>
      </c>
    </row>
    <row r="388" spans="29:32" ht="51">
      <c r="AC388" s="395" t="s">
        <v>20835</v>
      </c>
      <c r="AD388" s="396" t="s">
        <v>20837</v>
      </c>
      <c r="AE388" s="396" t="s">
        <v>20836</v>
      </c>
      <c r="AF388" s="390" t="str">
        <f>tblUIText[[#This Row],[TR]]&amp;CHAR(10)&amp;tblUIText[[#This Row],[EN]]</f>
        <v>KOLON HARİTASINI KİLİTLE (Yönetici)
Alan seçimini kim, hangi tarihte onayladı? (ör. ColumnMap_proposal, &lt;ad&gt; tarafından &lt;tarih&gt; tarihinde imzalandı)
LOCK COLUMN MAP (Administrator)
Who approved the field selection, and when? (e.g. ColumnMap_proposal signed by &lt;name&gt; on &lt;date&gt;)</v>
      </c>
    </row>
    <row r="389" spans="29:32">
      <c r="AC389" s="395" t="s">
        <v>20838</v>
      </c>
      <c r="AD389" s="355" t="s">
        <v>20840</v>
      </c>
      <c r="AE389" s="355" t="s">
        <v>20839</v>
      </c>
      <c r="AF389" s="390" t="str">
        <f>tblUIText[[#This Row],[TR]]&amp;CHAR(10)&amp;tblUIText[[#This Row],[EN]]</f>
        <v>Kilitten sonra model alanlarını değiştirmek kilidi kaldırmayı ve depoyu yeniden kurmayı gerektirir. Kilitlemek için LOCK yazın.
After the lock, changing the model fields means unlocking and rebuilding the store. Type LOCK to lock.</v>
      </c>
    </row>
    <row r="390" spans="29:32" ht="51">
      <c r="AC390" s="395" t="s">
        <v>20841</v>
      </c>
      <c r="AD390" s="396" t="s">
        <v>20843</v>
      </c>
      <c r="AE390" s="396" t="s">
        <v>20842</v>
      </c>
      <c r="AF390" s="390" t="str">
        <f>tblUIText[[#This Row],[TR]]&amp;CHAR(10)&amp;tblUIText[[#This Row],[EN]]</f>
        <v>KOLON HARİTASI KİLİDİNİ KALDIR (Yönetici)
Neden? Kilit yeniden konana kadar Geçmişi dondur, Dönem kapat ve Depoyu yeniden kur engellenir; olay YÜKSEK önemle kaydedilir.
UNLOCK COLUMN MAP (Administrator)
Why? Backfill, Close and Rebuild store are blocked until the map is locked again; the event is logged with severity HIGH.</v>
      </c>
    </row>
    <row r="391" spans="29:32">
      <c r="AC391" s="395" t="s">
        <v>20844</v>
      </c>
      <c r="AD391" s="355" t="s">
        <v>20846</v>
      </c>
      <c r="AE391" s="355" t="s">
        <v>20845</v>
      </c>
      <c r="AF391" s="390" t="str">
        <f>tblUIText[[#This Row],[TR]]&amp;CHAR(10)&amp;tblUIText[[#This Row],[EN]]</f>
        <v>Seçilen şirket ve dönemlerin satırları neler, kayıtlı toplamlarla tutuyor mu?
What are the lines of the selected companies and months, and do they reconcile to the recorded totals?</v>
      </c>
    </row>
    <row r="392" spans="29:32">
      <c r="AC392" s="395" t="s">
        <v>20847</v>
      </c>
      <c r="AD392" s="355" t="s">
        <v>20849</v>
      </c>
      <c r="AE392" s="355" t="s">
        <v>20848</v>
      </c>
      <c r="AF392" s="390" t="str">
        <f>tblUIText[[#This Row],[TR]]&amp;CHAR(10)&amp;tblUIText[[#This Row],[EN]]</f>
        <v>Analist, Hazırlayan, İncelemeci
Analyst, Preparer, Reviewer</v>
      </c>
    </row>
    <row r="393" spans="29:32">
      <c r="AC393" s="395" t="s">
        <v>20850</v>
      </c>
      <c r="AD393" s="355" t="s">
        <v>20852</v>
      </c>
      <c r="AE393" s="355" t="s">
        <v>20851</v>
      </c>
      <c r="AF393" s="390" t="str">
        <f>tblUIText[[#This Row],[TR]]&amp;CHAR(10)&amp;tblUIText[[#This Row],[EN]]</f>
        <v>Komutla doldurulur; satırlar dosyayla kaydedilmez
Filled by a command; the lines are never saved with the file</v>
      </c>
    </row>
    <row r="394" spans="29:32">
      <c r="AC394" s="395" t="s">
        <v>20853</v>
      </c>
      <c r="AD394" s="355" t="s">
        <v>20855</v>
      </c>
      <c r="AE394" s="355" t="s">
        <v>20854</v>
      </c>
      <c r="AF394" s="390" t="str">
        <f>tblUIText[[#This Row],[TR]]&amp;CHAR(10)&amp;tblUIText[[#This Row],[EN]]</f>
        <v>Satırlar: seçilen şirketler ve dönemler
Raw view: selected companies and months</v>
      </c>
    </row>
    <row r="395" spans="29:32">
      <c r="AC395" s="395" t="s">
        <v>20856</v>
      </c>
      <c r="AD395" s="355" t="s">
        <v>20858</v>
      </c>
      <c r="AE395" s="355" t="s">
        <v>20857</v>
      </c>
      <c r="AF395" s="390" t="str">
        <f>tblUIText[[#This Row],[TR]]&amp;CHAR(10)&amp;tblUIText[[#This Row],[EN]]</f>
        <v>Kapanmış aylar depodan (kapanıştaki haliyle), açık ay incelenen aktif satırlardan; yalnızca şirket listesindeki şirketler ve sözlüğün kişisel olmayan model alanları.
Closed months from the store (as closed), the open month from the reviewed active lines; only companies in the company list and the non-personal model fields of the dictionary.</v>
      </c>
    </row>
    <row r="396" spans="29:32">
      <c r="AC396" s="395" t="s">
        <v>20859</v>
      </c>
      <c r="AD396" s="355" t="s">
        <v>20861</v>
      </c>
      <c r="AE396" s="355" t="s">
        <v>20860</v>
      </c>
      <c r="AF396" s="390" t="str">
        <f>tblUIText[[#This Row],[TR]]&amp;CHAR(10)&amp;tblUIText[[#This Row],[EN]]</f>
        <v>Nasıl kullanılır: şirketleri (virgülle; boş = hepsi), başlangıç ve bitiş ayını (YYYYAA) girin, gerekirse nitelik veya dosya parçası seçin, 'Satırları göster'e basın. Mutabakat her şirket-ay için gösterilen satırları kayıtlı satırlarla karşılaştırır.
How to use: enter the companies (comma-separated; blank = all), the first and last month (YYYYMM), optionally a nature or part of a case key, then press 'Show lines'. The reconciliation compares the lines shown with the recorded lines for each company-month.</v>
      </c>
    </row>
    <row r="397" spans="29:32">
      <c r="AC397" s="395" t="s">
        <v>20862</v>
      </c>
      <c r="AD397" s="355" t="s">
        <v>20864</v>
      </c>
      <c r="AE397" s="355" t="s">
        <v>20863</v>
      </c>
      <c r="AF397" s="390" t="str">
        <f>tblUIText[[#This Row],[TR]]&amp;CHAR(10)&amp;tblUIText[[#This Row],[EN]]</f>
        <v>Şirketler
Companies</v>
      </c>
    </row>
    <row r="398" spans="29:32">
      <c r="AC398" s="395" t="s">
        <v>20865</v>
      </c>
      <c r="AD398" s="355" t="s">
        <v>20867</v>
      </c>
      <c r="AE398" s="355" t="s">
        <v>20866</v>
      </c>
      <c r="AF398" s="390" t="str">
        <f>tblUIText[[#This Row],[TR]]&amp;CHAR(10)&amp;tblUIText[[#This Row],[EN]]</f>
        <v>Başlangıç
From</v>
      </c>
    </row>
    <row r="399" spans="29:32">
      <c r="AC399" s="395" t="s">
        <v>20868</v>
      </c>
      <c r="AD399" s="355" t="s">
        <v>20870</v>
      </c>
      <c r="AE399" s="355" t="s">
        <v>20869</v>
      </c>
      <c r="AF399" s="390" t="str">
        <f>tblUIText[[#This Row],[TR]]&amp;CHAR(10)&amp;tblUIText[[#This Row],[EN]]</f>
        <v>Bitiş
To</v>
      </c>
    </row>
    <row r="400" spans="29:32">
      <c r="AC400" s="395" t="s">
        <v>20871</v>
      </c>
      <c r="AD400" s="355" t="s">
        <v>20873</v>
      </c>
      <c r="AE400" s="355" t="s">
        <v>20872</v>
      </c>
      <c r="AF400" s="390" t="str">
        <f>tblUIText[[#This Row],[TR]]&amp;CHAR(10)&amp;tblUIText[[#This Row],[EN]]</f>
        <v>Nitelik
Nature</v>
      </c>
    </row>
    <row r="401" spans="29:32">
      <c r="AC401" s="395" t="s">
        <v>20874</v>
      </c>
      <c r="AD401" s="355" t="s">
        <v>20876</v>
      </c>
      <c r="AE401" s="355" t="s">
        <v>20875</v>
      </c>
      <c r="AF401" s="390" t="str">
        <f>tblUIText[[#This Row],[TR]]&amp;CHAR(10)&amp;tblUIText[[#This Row],[EN]]</f>
        <v>Dosya içerir
Case contains</v>
      </c>
    </row>
    <row r="402" spans="29:32">
      <c r="AC402" s="395" t="s">
        <v>20877</v>
      </c>
      <c r="AD402" s="355" t="s">
        <v>3895</v>
      </c>
      <c r="AE402" s="355" t="s">
        <v>20878</v>
      </c>
      <c r="AF402" s="390" t="str">
        <f>tblUIText[[#This Row],[TR]]&amp;CHAR(10)&amp;tblUIText[[#This Row],[EN]]</f>
        <v>Satırları göster / Show lines
Show lines</v>
      </c>
    </row>
    <row r="403" spans="29:32">
      <c r="AC403" s="395" t="s">
        <v>20879</v>
      </c>
      <c r="AD403" s="355" t="s">
        <v>20881</v>
      </c>
      <c r="AE403" s="355" t="s">
        <v>20880</v>
      </c>
      <c r="AF403" s="390" t="str">
        <f>tblUIText[[#This Row],[TR]]&amp;CHAR(10)&amp;tblUIText[[#This Row],[EN]]</f>
        <v>CSV dışa aktar / Export CSV
Export CSV</v>
      </c>
    </row>
    <row r="404" spans="29:32">
      <c r="AC404" s="395" t="s">
        <v>20882</v>
      </c>
      <c r="AD404" s="355" t="s">
        <v>20884</v>
      </c>
      <c r="AE404" s="355" t="s">
        <v>20883</v>
      </c>
      <c r="AF404" s="390" t="str">
        <f>tblUIText[[#This Row],[TR]]&amp;CHAR(10)&amp;tblUIText[[#This Row],[EN]]</f>
        <v>Kaynak dosyayı aç / Open source file
Open source file</v>
      </c>
    </row>
    <row r="405" spans="29:32">
      <c r="AC405" s="395" t="s">
        <v>20885</v>
      </c>
      <c r="AD405" s="355" t="s">
        <v>20887</v>
      </c>
      <c r="AE405" s="355" t="s">
        <v>20886</v>
      </c>
      <c r="AF405" s="390" t="str">
        <f>tblUIText[[#This Row],[TR]]&amp;CHAR(10)&amp;tblUIText[[#This Row],[EN]]</f>
        <v>Mutabakat (şirket × ay)
Reconciliation (company × month)</v>
      </c>
    </row>
    <row r="406" spans="29:32">
      <c r="AC406" s="395" t="s">
        <v>20888</v>
      </c>
      <c r="AD406" s="355" t="s">
        <v>18697</v>
      </c>
      <c r="AE406" s="355" t="s">
        <v>18696</v>
      </c>
      <c r="AF406" s="390" t="str">
        <f>tblUIText[[#This Row],[TR]]&amp;CHAR(10)&amp;tblUIText[[#This Row],[EN]]</f>
        <v>Ay
Month</v>
      </c>
    </row>
    <row r="407" spans="29:32">
      <c r="AC407" s="395" t="s">
        <v>20889</v>
      </c>
      <c r="AD407" s="355" t="s">
        <v>20891</v>
      </c>
      <c r="AE407" s="355" t="s">
        <v>20890</v>
      </c>
      <c r="AF407" s="390" t="str">
        <f>tblUIText[[#This Row],[TR]]&amp;CHAR(10)&amp;tblUIText[[#This Row],[EN]]</f>
        <v>Gösterilen
Shown</v>
      </c>
    </row>
    <row r="408" spans="29:32">
      <c r="AC408" s="395" t="s">
        <v>20892</v>
      </c>
      <c r="AD408" s="355" t="s">
        <v>20894</v>
      </c>
      <c r="AE408" s="355" t="s">
        <v>20893</v>
      </c>
      <c r="AF408" s="390" t="str">
        <f>tblUIText[[#This Row],[TR]]&amp;CHAR(10)&amp;tblUIText[[#This Row],[EN]]</f>
        <v>Kayıtlı
Recorded</v>
      </c>
    </row>
    <row r="409" spans="29:32">
      <c r="AC409" s="395" t="s">
        <v>20895</v>
      </c>
      <c r="AD409" s="355" t="s">
        <v>18962</v>
      </c>
      <c r="AE409" s="355" t="s">
        <v>148</v>
      </c>
      <c r="AF409" s="390" t="str">
        <f>tblUIText[[#This Row],[TR]]&amp;CHAR(10)&amp;tblUIText[[#This Row],[EN]]</f>
        <v>Durum
Status</v>
      </c>
    </row>
    <row r="410" spans="29:32">
      <c r="AC410" s="395" t="s">
        <v>20896</v>
      </c>
      <c r="AD410" s="355" t="s">
        <v>20898</v>
      </c>
      <c r="AE410" s="355" t="s">
        <v>20897</v>
      </c>
      <c r="AF410" s="390" t="str">
        <f>tblUIText[[#This Row],[TR]]&amp;CHAR(10)&amp;tblUIText[[#This Row],[EN]]</f>
        <v>Satırlar (en çok RawMaxRows)
Lines (at most RawMaxRows)</v>
      </c>
    </row>
    <row r="411" spans="29:32">
      <c r="AC411" s="395" t="s">
        <v>20899</v>
      </c>
      <c r="AD411" s="355" t="s">
        <v>20901</v>
      </c>
      <c r="AE411" s="355" t="s">
        <v>20900</v>
      </c>
      <c r="AF411" s="390" t="str">
        <f>tblUIText[[#This Row],[TR]]&amp;CHAR(10)&amp;tblUIText[[#This Row],[EN]]</f>
        <v>Göster ve CSV: Analist, Hazırlayan, İncelemeci; kaynak dosyayı açma: Hazırlayan, İncelemeci (neden sorulur). Her kullanım etkinlik günlüğüne yazılır; satırlar dosya kaydedilmeden önce silinir; PDF alınmaz.
Show and CSV: Analyst, Preparer, Reviewer; open source file: Preparer, Reviewer (a reason is asked). Every use is written to the activity log; the lines are removed before the file is saved; no PDF.</v>
      </c>
    </row>
    <row r="412" spans="29:32">
      <c r="AC412" s="395" t="s">
        <v>20902</v>
      </c>
      <c r="AD412" s="355" t="s">
        <v>20904</v>
      </c>
      <c r="AE412" s="355" t="s">
        <v>20903</v>
      </c>
      <c r="AF412" s="390" t="str">
        <f>tblUIText[[#This Row],[TR]]&amp;CHAR(10)&amp;tblUIText[[#This Row],[EN]]</f>
        <v>+{0} şirket-ay daha (mutabakat yalnızca ilk 12'yi gösterir)
+{0} more company-month(s) (the reconciliation shows the first 12)</v>
      </c>
    </row>
    <row r="413" spans="29:32">
      <c r="AC413" s="395" t="s">
        <v>20905</v>
      </c>
      <c r="AD413" s="355" t="s">
        <v>20907</v>
      </c>
      <c r="AE413" s="355" t="s">
        <v>20906</v>
      </c>
      <c r="AF413" s="390" t="str">
        <f>tblUIText[[#This Row],[TR]]&amp;CHAR(10)&amp;tblUIText[[#This Row],[EN]]</f>
        <v>Depoya alınmayacak: {0} satır, {1} dosya (Dizin)
Not admitted to the store: {0} lines in {1} files (Index)</v>
      </c>
    </row>
    <row r="414" spans="29:32">
      <c r="AC414" s="395" t="s">
        <v>20908</v>
      </c>
      <c r="AD414" s="355" t="s">
        <v>20910</v>
      </c>
      <c r="AE414" s="355" t="s">
        <v>20909</v>
      </c>
      <c r="AF414" s="390" t="str">
        <f>tblUIText[[#This Row],[TR]]&amp;CHAR(10)&amp;tblUIText[[#This Row],[EN]]</f>
        <v>Aktif teslimde depoya alınmayacak dosyalar var (STG_Rejected): listede olmayan şirket, raporlama aralığı dışı, yanlış ad (baştaki sıfır dahil) veya teslim biçimi uyumsuz. Yönetici yolu: şirketi listeye ekleyin (DimCompany: tip, ExpectedFromPeriod, SourceMode) ya da dosyayı düzelttirin / yeniden adlandırın, sonra Yenile. Liste dışı satırlar 'Atanmamış' segmentte görünür ve kapanışı engeller.
Files of the active delivery will not be admitted to the store (STG_Rejected): company not in the list, outside its reporting window, wrong name (leading zero included) or wrong delivery mode. Administrator path: add the company to the list (DimCompany: type, ExpectedFromPeriod, SourceMode) or have the file corrected / renamed, then Refresh. Lines outside the list show in the 'Unassigned' segment and block the close.</v>
      </c>
    </row>
    <row r="415" spans="29:32">
      <c r="AC415" s="395" t="s">
        <v>21485</v>
      </c>
      <c r="AD415" s="355" t="s">
        <v>21487</v>
      </c>
      <c r="AE415" s="355" t="s">
        <v>21486</v>
      </c>
      <c r="AF415" s="390" t="str">
        <f>tblUIText[[#This Row],[TR]]&amp;CHAR(10)&amp;tblUIText[[#This Row],[EN]]</f>
        <v>Yenileme Power Query gizlilik düzeyleri nedeniyle durdu: bu bilgisayarda gizlilik düzeyleri her dosya için zorunlu tutuluyor. Platformun sorguları çalışma kitabındaki 'gizlilik düzeylerini yoksay' ayarına dayanır (Yönetim Kılavuzu 17; BT: dosya başına ayara izin verin).
Refresh stopped by Power Query privacy levels: this machine enforces privacy levels for every file. The platform's queries rely on the workbook's 'ignore privacy levels' setting (Admin Guide 17; IT: allow the per-file setting).</v>
      </c>
    </row>
    <row r="416" spans="29:32">
      <c r="AC416" s="395" t="s">
        <v>21494</v>
      </c>
      <c r="AD416" s="355" t="s">
        <v>21496</v>
      </c>
      <c r="AE416" s="355" t="s">
        <v>21495</v>
      </c>
      <c r="AF416" s="390" t="str">
        <f>tblUIText[[#This Row],[TR]]&amp;CHAR(10)&amp;tblUIText[[#This Row],[EN]]</f>
        <v>Tahmin testi
Forecast backtest</v>
      </c>
    </row>
    <row r="417" spans="29:32">
      <c r="AC417" s="395" t="s">
        <v>21497</v>
      </c>
      <c r="AD417" s="355" t="s">
        <v>21499</v>
      </c>
      <c r="AE417" s="355" t="s">
        <v>21498</v>
      </c>
      <c r="AF417" s="390" t="str">
        <f>tblUIText[[#This Row],[TR]]&amp;CHAR(10)&amp;tblUIText[[#This Row],[EN]]</f>
        <v>Üçgen dağılımı
Triangle dispersion</v>
      </c>
    </row>
    <row r="418" spans="29:32">
      <c r="AC418" s="395" t="s">
        <v>21500</v>
      </c>
      <c r="AD418" s="355" t="s">
        <v>21502</v>
      </c>
      <c r="AE418" s="355" t="s">
        <v>21501</v>
      </c>
      <c r="AF418" s="390" t="str">
        <f>tblUIText[[#This Row],[TR]]&amp;CHAR(10)&amp;tblUIText[[#This Row],[EN]]</f>
        <v>Kuyruk uyumu
Tail fit</v>
      </c>
    </row>
    <row r="419" spans="29:32">
      <c r="AC419" s="395" t="s">
        <v>21503</v>
      </c>
      <c r="AD419" s="355" t="s">
        <v>21505</v>
      </c>
      <c r="AE419" s="355" t="s">
        <v>21504</v>
      </c>
      <c r="AF419" s="390" t="str">
        <f>tblUIText[[#This Row],[TR]]&amp;CHAR(10)&amp;tblUIText[[#This Row],[EN]]</f>
        <v>Yöntem dizini
Method index</v>
      </c>
    </row>
    <row r="420" spans="29:32">
      <c r="AC420" s="395" t="s">
        <v>21506</v>
      </c>
      <c r="AD420" s="355" t="s">
        <v>21508</v>
      </c>
      <c r="AE420" s="355" t="s">
        <v>21507</v>
      </c>
      <c r="AF420" s="390" t="str">
        <f>tblUIText[[#This Row],[TR]]&amp;CHAR(10)&amp;tblUIText[[#This Row],[EN]]</f>
        <v>AN_Trend tahmini geçmişte ne kadar isabetliydi ve aralığı gerçekleşenleri kapsadı mı?
How accurate was the AN_Trend forecast in the past, and did its interval cover the actual values?</v>
      </c>
    </row>
    <row r="421" spans="29:32">
      <c r="AC421" s="395" t="s">
        <v>21509</v>
      </c>
      <c r="AD421" s="355" t="s">
        <v>21511</v>
      </c>
      <c r="AE421" s="355" t="s">
        <v>21510</v>
      </c>
      <c r="AF421" s="390" t="str">
        <f>tblUIText[[#This Row],[TR]]&amp;CHAR(10)&amp;tblUIText[[#This Row],[EN]]</f>
        <v>Zincir merdiven ek ödemeleri ne kadar belirsiz (Mack tipi standart hata)?
How uncertain are the chain-ladder further payments (Mack-style standard error)?</v>
      </c>
    </row>
    <row r="422" spans="29:32">
      <c r="AC422" s="395" t="s">
        <v>21512</v>
      </c>
      <c r="AD422" s="355" t="s">
        <v>21514</v>
      </c>
      <c r="AE422" s="355" t="s">
        <v>21513</v>
      </c>
      <c r="AF422" s="390" t="str">
        <f>tblUIText[[#This Row],[TR]]&amp;CHAR(10)&amp;tblUIText[[#This Row],[EN]]</f>
        <v>Dosya başı ödemelerin kuyruğu ne kadar ağır ve tahmin eşik seçimine göre ne kadar kararlı?
How heavy is the tail of paid per case, and how stable is the estimate across thresholds?</v>
      </c>
    </row>
    <row r="423" spans="29:32">
      <c r="AC423" s="395" t="s">
        <v>21515</v>
      </c>
      <c r="AD423" s="355" t="s">
        <v>21517</v>
      </c>
      <c r="AE423" s="355" t="s">
        <v>21516</v>
      </c>
      <c r="AF423" s="390" t="str">
        <f>tblUIText[[#This Row],[TR]]&amp;CHAR(10)&amp;tblUIText[[#This Row],[EN]]</f>
        <v>TASLAK / gösterge
DRAFT / indicative</v>
      </c>
    </row>
    <row r="424" spans="29:32">
      <c r="AC424" s="395" t="s">
        <v>21518</v>
      </c>
      <c r="AD424" s="355" t="s">
        <v>21520</v>
      </c>
      <c r="AE424" s="355" t="s">
        <v>21519</v>
      </c>
      <c r="AF424" s="390" t="str">
        <f>tblUIText[[#This Row],[TR]]&amp;CHAR(10)&amp;tblUIText[[#This Row],[EN]]</f>
        <v>Sayfa haritası
Sheet map</v>
      </c>
    </row>
    <row r="425" spans="29:32">
      <c r="AC425" s="395" t="s">
        <v>21521</v>
      </c>
      <c r="AD425" s="355" t="s">
        <v>21523</v>
      </c>
      <c r="AE425" s="355" t="s">
        <v>21522</v>
      </c>
      <c r="AF425" s="390" t="str">
        <f>tblUIText[[#This Row],[TR]]&amp;CHAR(10)&amp;tblUIText[[#This Row],[EN]]</f>
        <v>Her istatistiksel model nasıl hesaplanır; parametreleri, varsayımları, sınırları ve doğrulaması nedir?
How is each statistical model computed; what are its parameters, assumptions, limits and validation?</v>
      </c>
    </row>
    <row r="426" spans="29:32">
      <c r="AC426" s="395" t="s">
        <v>21524</v>
      </c>
      <c r="AD426" s="355" t="s">
        <v>21526</v>
      </c>
      <c r="AE426" s="355" t="s">
        <v>21525</v>
      </c>
      <c r="AF426" s="390" t="str">
        <f>tblUIText[[#This Row],[TR]]&amp;CHAR(10)&amp;tblUIText[[#This Row],[EN]]</f>
        <v>Çalışma kitabındaki her sayfa ne işe yarar, kim görür, kim günceller?
What is each sheet of the workbook for, who sees it and who maintains it?</v>
      </c>
    </row>
    <row r="427" spans="29:32">
      <c r="AC427" s="395" t="s">
        <v>21527</v>
      </c>
      <c r="AD427" s="355" t="s">
        <v>21529</v>
      </c>
      <c r="AE427" s="355" t="s">
        <v>21528</v>
      </c>
      <c r="AF427" s="390" t="str">
        <f>tblUIText[[#This Row],[TR]]&amp;CHAR(10)&amp;tblUIText[[#This Row],[EN]]</f>
        <v>model kartı
model cards</v>
      </c>
    </row>
    <row r="428" spans="29:32">
      <c r="AC428" s="395" t="s">
        <v>21530</v>
      </c>
      <c r="AD428" s="355" t="s">
        <v>21532</v>
      </c>
      <c r="AE428" s="355" t="s">
        <v>21531</v>
      </c>
      <c r="AF428" s="390" t="str">
        <f>tblUIText[[#This Row],[TR]]&amp;CHAR(10)&amp;tblUIText[[#This Row],[EN]]</f>
        <v>sayfa
sheets</v>
      </c>
    </row>
    <row r="429" spans="29:32">
      <c r="AC429" s="395" t="s">
        <v>21533</v>
      </c>
      <c r="AD429" s="355" t="s">
        <v>21535</v>
      </c>
      <c r="AE429" s="355" t="s">
        <v>21534</v>
      </c>
      <c r="AF429" s="390" t="str">
        <f>tblUIText[[#This Row],[TR]]&amp;CHAR(10)&amp;tblUIText[[#This Row],[EN]]</f>
        <v>TASLAK - gösterge niteliğinde; karar için tek başına kullanılmaz
DRAFT - indicative; not for decisions on its own</v>
      </c>
    </row>
    <row r="430" spans="29:32">
      <c r="AC430" s="395" t="s">
        <v>21536</v>
      </c>
      <c r="AD430" s="355" t="s">
        <v>21538</v>
      </c>
      <c r="AE430" s="355" t="s">
        <v>21537</v>
      </c>
      <c r="AF430" s="390" t="str">
        <f>tblUIText[[#This Row],[TR]]&amp;CHAR(10)&amp;tblUIText[[#This Row],[EN]]</f>
        <v>Dizine dön
Back to the index</v>
      </c>
    </row>
    <row r="431" spans="29:32">
      <c r="AC431" s="395" t="s">
        <v>21539</v>
      </c>
      <c r="AD431" s="355" t="s">
        <v>21541</v>
      </c>
      <c r="AE431" s="355" t="s">
        <v>21540</v>
      </c>
      <c r="AF431" s="390" t="str">
        <f>tblUIText[[#This Row],[TR]]&amp;CHAR(10)&amp;tblUIText[[#This Row],[EN]]</f>
        <v>Yöntem kartı
Method card</v>
      </c>
    </row>
    <row r="432" spans="29:32">
      <c r="AC432" s="395" t="s">
        <v>21542</v>
      </c>
      <c r="AD432" s="355" t="s">
        <v>21496</v>
      </c>
      <c r="AE432" s="355" t="s">
        <v>21495</v>
      </c>
      <c r="AF432" s="390" t="str">
        <f>tblUIText[[#This Row],[TR]]&amp;CHAR(10)&amp;tblUIText[[#This Row],[EN]]</f>
        <v>Tahmin testi
Forecast backtest</v>
      </c>
    </row>
    <row r="433" spans="29:32">
      <c r="AC433" s="395" t="s">
        <v>21543</v>
      </c>
      <c r="AD433" s="355" t="s">
        <v>21545</v>
      </c>
      <c r="AE433" s="355" t="s">
        <v>21544</v>
      </c>
      <c r="AF433" s="390" t="str">
        <f>tblUIText[[#This Row],[TR]]&amp;CHAR(10)&amp;tblUIText[[#This Row],[EN]]</f>
        <v>Kayan başlangıçlı geriye dönük test: her başlangıç ayında FORECAST.ETS yalnızca o aya kadarki aylarla kurulur ve sonraki 1..H ay gerçekleşenlerle karşılaştırılır.
Rolling-origin backtest: at each origin month FORECAST.ETS is fitted on the months up to that origin only and its next 1..H months are compared with the actual values.</v>
      </c>
    </row>
    <row r="434" spans="29:32">
      <c r="AC434" s="395" t="s">
        <v>21546</v>
      </c>
      <c r="AD434" s="355" t="s">
        <v>21548</v>
      </c>
      <c r="AE434" s="355" t="s">
        <v>21547</v>
      </c>
      <c r="AF434" s="390" t="str">
        <f>tblUIText[[#This Row],[TR]]&amp;CHAR(10)&amp;tblUIText[[#This Row],[EN]]</f>
        <v>Nasıl okunur: MAPE düşük olmalı ve basit kıyaslardan (naif, mevsimsel naif) düşük olmalı; kapsama oranı güven düzeyine yakın olmalı. Az başlangıç = geniş belirsizlik.
How to read: MAPE should be low and lower than the simple benchmarks (naive, seasonal naive); coverage should be close to the confidence level. Few origins = wide uncertainty.</v>
      </c>
    </row>
    <row r="435" spans="29:32">
      <c r="AC435" s="395" t="s">
        <v>21549</v>
      </c>
      <c r="AD435" s="355" t="s">
        <v>21551</v>
      </c>
      <c r="AE435" s="355" t="s">
        <v>21550</v>
      </c>
      <c r="AF435" s="390" t="str">
        <f>tblUIText[[#This Row],[TR]]&amp;CHAR(10)&amp;tblUIText[[#This Row],[EN]]</f>
        <v>TASLAK - gösterge niteliğinde: test en fazla 36 aylık analiz penceresindeki aylarla yapılır; tahmin bir bütçe veya rezerv değildir.
DRAFT - indicative: the test uses at most the 36 months of the analysis window; the forecast is not a budget or a reserve.</v>
      </c>
    </row>
    <row r="436" spans="29:32">
      <c r="AC436" s="395" t="s">
        <v>21552</v>
      </c>
      <c r="AD436" s="355" t="s">
        <v>21554</v>
      </c>
      <c r="AE436" s="355" t="s">
        <v>21553</v>
      </c>
      <c r="AF436" s="390" t="str">
        <f>tblUIText[[#This Row],[TR]]&amp;CHAR(10)&amp;tblUIText[[#This Row],[EN]]</f>
        <v>Ufka göre isabet (tüm başlangıçlar)
Accuracy by horizon (all origins)</v>
      </c>
    </row>
    <row r="437" spans="29:32">
      <c r="AC437" s="395" t="s">
        <v>21555</v>
      </c>
      <c r="AD437" s="355" t="s">
        <v>21557</v>
      </c>
      <c r="AE437" s="355" t="s">
        <v>21556</v>
      </c>
      <c r="AF437" s="390" t="str">
        <f>tblUIText[[#This Row],[TR]]&amp;CHAR(10)&amp;tblUIText[[#This Row],[EN]]</f>
        <v>Ufuk (ay)
Horizon (months)</v>
      </c>
    </row>
    <row r="438" spans="29:32">
      <c r="AC438" s="395" t="s">
        <v>21558</v>
      </c>
      <c r="AD438" s="355" t="s">
        <v>21559</v>
      </c>
      <c r="AE438" s="355" t="s">
        <v>21559</v>
      </c>
      <c r="AF438" s="390" t="str">
        <f>tblUIText[[#This Row],[TR]]&amp;CHAR(10)&amp;tblUIText[[#This Row],[EN]]</f>
        <v>MAPE - ETS
MAPE - ETS</v>
      </c>
    </row>
    <row r="439" spans="29:32">
      <c r="AC439" s="395" t="s">
        <v>21560</v>
      </c>
      <c r="AD439" s="355" t="s">
        <v>21562</v>
      </c>
      <c r="AE439" s="355" t="s">
        <v>21561</v>
      </c>
      <c r="AF439" s="390" t="str">
        <f>tblUIText[[#This Row],[TR]]&amp;CHAR(10)&amp;tblUIText[[#This Row],[EN]]</f>
        <v>MAPE - naif (son ay)
MAPE - naive (last month)</v>
      </c>
    </row>
    <row r="440" spans="29:32">
      <c r="AC440" s="395" t="s">
        <v>21563</v>
      </c>
      <c r="AD440" s="355" t="s">
        <v>21565</v>
      </c>
      <c r="AE440" s="355" t="s">
        <v>21564</v>
      </c>
      <c r="AF440" s="390" t="str">
        <f>tblUIText[[#This Row],[TR]]&amp;CHAR(10)&amp;tblUIText[[#This Row],[EN]]</f>
        <v>MAPE - mevsimsel naif (12 ay önce)
MAPE - seasonal naive (12 months before)</v>
      </c>
    </row>
    <row r="441" spans="29:32">
      <c r="AC441" s="395" t="s">
        <v>21566</v>
      </c>
      <c r="AD441" s="355" t="s">
        <v>21568</v>
      </c>
      <c r="AE441" s="355" t="s">
        <v>21567</v>
      </c>
      <c r="AF441" s="390" t="str">
        <f>tblUIText[[#This Row],[TR]]&amp;CHAR(10)&amp;tblUIText[[#This Row],[EN]]</f>
        <v>Ortalama yüzde hata (ETS; + = fazla tahmin)
Mean percentage error (ETS; + = over-forecast)</v>
      </c>
    </row>
    <row r="442" spans="29:32">
      <c r="AC442" s="395" t="s">
        <v>21569</v>
      </c>
      <c r="AD442" s="355" t="s">
        <v>21571</v>
      </c>
      <c r="AE442" s="355" t="s">
        <v>21570</v>
      </c>
      <c r="AF442" s="390" t="str">
        <f>tblUIText[[#This Row],[TR]]&amp;CHAR(10)&amp;tblUIText[[#This Row],[EN]]</f>
        <v>Aralık kapsaması (gerçekleşen aralık içinde)
Interval coverage (actual inside the interval)</v>
      </c>
    </row>
    <row r="443" spans="29:32">
      <c r="AC443" s="395" t="s">
        <v>21572</v>
      </c>
      <c r="AD443" s="355" t="s">
        <v>21574</v>
      </c>
      <c r="AE443" s="355" t="s">
        <v>21573</v>
      </c>
      <c r="AF443" s="390" t="str">
        <f>tblUIText[[#This Row],[TR]]&amp;CHAR(10)&amp;tblUIText[[#This Row],[EN]]</f>
        <v>Hedef (güven düzeyi)
Target (confidence level)</v>
      </c>
    </row>
    <row r="444" spans="29:32">
      <c r="AC444" s="395" t="s">
        <v>21575</v>
      </c>
      <c r="AD444" s="355" t="s">
        <v>21577</v>
      </c>
      <c r="AE444" s="355" t="s">
        <v>21576</v>
      </c>
      <c r="AF444" s="390" t="str">
        <f>tblUIText[[#This Row],[TR]]&amp;CHAR(10)&amp;tblUIText[[#This Row],[EN]]</f>
        <v>Başlangıç sayısı
Origins</v>
      </c>
    </row>
    <row r="445" spans="29:32">
      <c r="AC445" s="395" t="s">
        <v>21578</v>
      </c>
      <c r="AD445" s="355" t="s">
        <v>21580</v>
      </c>
      <c r="AE445" s="355" t="s">
        <v>21579</v>
      </c>
      <c r="AF445" s="390" t="str">
        <f>tblUIText[[#This Row],[TR]]&amp;CHAR(10)&amp;tblUIText[[#This Row],[EN]]</f>
        <v>Başlangıç ayına göre mutlak yüzde hata (APE) ve aralık
Absolute percentage error (APE) and interval by origin month</v>
      </c>
    </row>
    <row r="446" spans="29:32">
      <c r="AC446" s="395" t="s">
        <v>21581</v>
      </c>
      <c r="AD446" s="355" t="s">
        <v>21583</v>
      </c>
      <c r="AE446" s="355" t="s">
        <v>21582</v>
      </c>
      <c r="AF446" s="390" t="str">
        <f>tblUIText[[#This Row],[TR]]&amp;CHAR(10)&amp;tblUIText[[#This Row],[EN]]</f>
        <v>Başlangıç ayı
Origin month</v>
      </c>
    </row>
    <row r="447" spans="29:32">
      <c r="AC447" s="395" t="s">
        <v>21584</v>
      </c>
      <c r="AD447" s="355" t="s">
        <v>21585</v>
      </c>
      <c r="AE447" s="355" t="s">
        <v>2599</v>
      </c>
      <c r="AF447" s="390" t="str">
        <f>tblUIText[[#This Row],[TR]]&amp;CHAR(10)&amp;tblUIText[[#This Row],[EN]]</f>
        <v>içinde
in</v>
      </c>
    </row>
    <row r="448" spans="29:32">
      <c r="AC448" s="395" t="s">
        <v>21586</v>
      </c>
      <c r="AD448" s="355" t="s">
        <v>21588</v>
      </c>
      <c r="AE448" s="355" t="s">
        <v>21587</v>
      </c>
      <c r="AF448" s="390" t="str">
        <f>tblUIText[[#This Row],[TR]]&amp;CHAR(10)&amp;tblUIText[[#This Row],[EN]]</f>
        <v>DIŞINDA
OUT</v>
      </c>
    </row>
    <row r="449" spans="29:32">
      <c r="AC449" s="395" t="s">
        <v>21589</v>
      </c>
      <c r="AD449" s="355" t="s">
        <v>21591</v>
      </c>
      <c r="AE449" s="355" t="s">
        <v>21590</v>
      </c>
      <c r="AF449" s="390" t="str">
        <f>tblUIText[[#This Row],[TR]]&amp;CHAR(10)&amp;tblUIText[[#This Row],[EN]]</f>
        <v>Bir ay sonrası tahmin ve gerçekleşen (mn TL), tahmin aralığıyla
One-month-ahead forecast and actual (TRY m), with the prediction interval</v>
      </c>
    </row>
    <row r="450" spans="29:32">
      <c r="AC450" s="395" t="s">
        <v>21592</v>
      </c>
      <c r="AD450" s="355" t="s">
        <v>18912</v>
      </c>
      <c r="AE450" s="355" t="s">
        <v>18911</v>
      </c>
      <c r="AF450" s="390" t="str">
        <f>tblUIText[[#This Row],[TR]]&amp;CHAR(10)&amp;tblUIText[[#This Row],[EN]]</f>
        <v>Gerçekleşen
Actual</v>
      </c>
    </row>
    <row r="451" spans="29:32">
      <c r="AC451" s="395" t="s">
        <v>21593</v>
      </c>
      <c r="AD451" s="355" t="s">
        <v>21595</v>
      </c>
      <c r="AE451" s="355" t="s">
        <v>21594</v>
      </c>
      <c r="AF451" s="390" t="str">
        <f>tblUIText[[#This Row],[TR]]&amp;CHAR(10)&amp;tblUIText[[#This Row],[EN]]</f>
        <v>Tahmin (1 ay)
Forecast (1 month)</v>
      </c>
    </row>
    <row r="452" spans="29:32">
      <c r="AC452" s="395" t="s">
        <v>21596</v>
      </c>
      <c r="AD452" s="355" t="s">
        <v>18906</v>
      </c>
      <c r="AE452" s="355" t="s">
        <v>21597</v>
      </c>
      <c r="AF452" s="390" t="str">
        <f>tblUIText[[#This Row],[TR]]&amp;CHAR(10)&amp;tblUIText[[#This Row],[EN]]</f>
        <v>Alt sınır
Lower bound</v>
      </c>
    </row>
    <row r="453" spans="29:32">
      <c r="AC453" s="395" t="s">
        <v>21598</v>
      </c>
      <c r="AD453" s="355" t="s">
        <v>18909</v>
      </c>
      <c r="AE453" s="355" t="s">
        <v>21599</v>
      </c>
      <c r="AF453" s="390" t="str">
        <f>tblUIText[[#This Row],[TR]]&amp;CHAR(10)&amp;tblUIText[[#This Row],[EN]]</f>
        <v>Üst sınır
Upper bound</v>
      </c>
    </row>
    <row r="454" spans="29:32">
      <c r="AC454" s="395" t="s">
        <v>21600</v>
      </c>
      <c r="AD454" s="355" t="s">
        <v>21602</v>
      </c>
      <c r="AE454" s="355" t="s">
        <v>21601</v>
      </c>
      <c r="AF454" s="390" t="str">
        <f>tblUIText[[#This Row],[TR]]&amp;CHAR(10)&amp;tblUIText[[#This Row],[EN]]</f>
        <v>VERİ YETERSİZ: {0} ay veri var; test için en az {1} ay eğitim + {2} ay ufuk gerekir
INSUFFICIENT DATA: {0} months of data; the test needs at least {1} training months + {2} horizon months</v>
      </c>
    </row>
    <row r="455" spans="29:32">
      <c r="AC455" s="395" t="s">
        <v>21603</v>
      </c>
      <c r="AD455" s="355" t="s">
        <v>21605</v>
      </c>
      <c r="AE455" s="355" t="s">
        <v>21604</v>
      </c>
      <c r="AF455" s="390" t="str">
        <f>tblUIText[[#This Row],[TR]]&amp;CHAR(10)&amp;tblUIText[[#This Row],[EN]]</f>
        <v>{0}: 1 ay ufukta MAPE {1} (mevsimsel naif {2}), aralık kapsaması {3} ({4} başlangıç)
{0}: one-month MAPE {1} (seasonal naive {2}), interval coverage {3} ({4} origins)</v>
      </c>
    </row>
    <row r="456" spans="29:32">
      <c r="AC456" s="395" t="s">
        <v>21606</v>
      </c>
      <c r="AD456" s="355" t="s">
        <v>21608</v>
      </c>
      <c r="AE456" s="355" t="s">
        <v>21607</v>
      </c>
      <c r="AF456" s="390" t="str">
        <f>tblUIText[[#This Row],[TR]]&amp;CHAR(10)&amp;tblUIText[[#This Row],[EN]]</f>
        <v>Üçgen dağılımı (Mack tipi)
Triangle dispersion (Mack-style)</v>
      </c>
    </row>
    <row r="457" spans="29:32">
      <c r="AC457" s="395" t="s">
        <v>21609</v>
      </c>
      <c r="AD457" s="355" t="s">
        <v>21611</v>
      </c>
      <c r="AE457" s="355" t="s">
        <v>21610</v>
      </c>
      <c r="AF457" s="390" t="str">
        <f>tblUIText[[#This Row],[TR]]&amp;CHAR(10)&amp;tblUIText[[#This Row],[EN]]</f>
        <v>AN_Triangle'daki seçimin (segment, şirket) ödenen üçgeni için zincir merdiven ek ödemelerinin Mack (1993) tipi standart hatası; faktörler tüm gözlenen hasar aylarının hacim ağırlıklı ortalamasıdır.
Mack (1993)-style standard error of the chain-ladder further payments for the paid triangle of the selection on AN_Triangle (segment, company); the factors are volume-weighted over every observed loss month.</v>
      </c>
    </row>
    <row r="458" spans="29:32">
      <c r="AC458" s="395" t="s">
        <v>21612</v>
      </c>
      <c r="AD458" s="355" t="s">
        <v>21614</v>
      </c>
      <c r="AE458" s="355" t="s">
        <v>21613</v>
      </c>
      <c r="AF458" s="390" t="str">
        <f>tblUIText[[#This Row],[TR]]&amp;CHAR(10)&amp;tblUIText[[#This Row],[EN]]</f>
        <v>Nasıl okunur: CV = standart hata / ek ödeme; büyük CV o hasar ayının tahmininin belirsiz olduğunu gösterir. Toplam satır hasar ayları arasındaki ortak faktör belirsizliğini içerir.
How to read: CV = standard error / further payments; a large CV means the projection of that loss month is uncertain. The total row includes the factor uncertainty shared by the loss months.</v>
      </c>
    </row>
    <row r="459" spans="29:32">
      <c r="AC459" s="395" t="s">
        <v>21615</v>
      </c>
      <c r="AD459" s="355" t="s">
        <v>21617</v>
      </c>
      <c r="AE459" s="355" t="s">
        <v>21616</v>
      </c>
      <c r="AF459" s="390" t="str">
        <f>tblUIText[[#This Row],[TR]]&amp;CHAR(10)&amp;tblUIText[[#This Row],[EN]]</f>
        <v>TASLAK - gösterge niteliğinde: yalnızca ödenen veri; muallak, IBNR ve kuyruk yok (kuyruk = 1); son sütun ({0}+) sonraki gelişimi toplar. Rezerv tahmini değildir.
DRAFT - indicative: paid data only; no case reserves, IBNR or tail (tail = 1); the last column ({0}+) accumulates later development. Not a reserve estimate.</v>
      </c>
    </row>
    <row r="460" spans="29:32">
      <c r="AC460" s="395" t="s">
        <v>21618</v>
      </c>
      <c r="AD460" s="355" t="s">
        <v>21620</v>
      </c>
      <c r="AE460" s="355" t="s">
        <v>21619</v>
      </c>
      <c r="AF460" s="390" t="str">
        <f>tblUIText[[#This Row],[TR]]&amp;CHAR(10)&amp;tblUIText[[#This Row],[EN]]</f>
        <v>Seçim AN_Triangle sayfasından
Selection from AN_Triangle</v>
      </c>
    </row>
    <row r="461" spans="29:32">
      <c r="AC461" s="395" t="s">
        <v>21621</v>
      </c>
      <c r="AD461" s="355" t="s">
        <v>21623</v>
      </c>
      <c r="AE461" s="355" t="s">
        <v>21622</v>
      </c>
      <c r="AF461" s="390" t="str">
        <f>tblUIText[[#This Row],[TR]]&amp;CHAR(10)&amp;tblUIText[[#This Row],[EN]]</f>
        <v>Hasar ayına göre ek ödeme ve standart hata (mn TL)
Further payments and standard error by loss month (TRY m)</v>
      </c>
    </row>
    <row r="462" spans="29:32">
      <c r="AC462" s="395" t="s">
        <v>21624</v>
      </c>
      <c r="AD462" s="355" t="s">
        <v>18965</v>
      </c>
      <c r="AE462" s="355" t="s">
        <v>18964</v>
      </c>
      <c r="AF462" s="390" t="str">
        <f>tblUIText[[#This Row],[TR]]&amp;CHAR(10)&amp;tblUIText[[#This Row],[EN]]</f>
        <v>Son kümülatif
Latest cumulative</v>
      </c>
    </row>
    <row r="463" spans="29:32">
      <c r="AC463" s="395" t="s">
        <v>21625</v>
      </c>
      <c r="AD463" s="355" t="s">
        <v>21627</v>
      </c>
      <c r="AE463" s="355" t="s">
        <v>21626</v>
      </c>
      <c r="AF463" s="390" t="str">
        <f>tblUIText[[#This Row],[TR]]&amp;CHAR(10)&amp;tblUIText[[#This Row],[EN]]</f>
        <v>Projeksiyon
Projection</v>
      </c>
    </row>
    <row r="464" spans="29:32">
      <c r="AC464" s="395" t="s">
        <v>21628</v>
      </c>
      <c r="AD464" s="355" t="s">
        <v>21630</v>
      </c>
      <c r="AE464" s="355" t="s">
        <v>21629</v>
      </c>
      <c r="AF464" s="390" t="str">
        <f>tblUIText[[#This Row],[TR]]&amp;CHAR(10)&amp;tblUIText[[#This Row],[EN]]</f>
        <v>Ek ödeme
Further payments</v>
      </c>
    </row>
    <row r="465" spans="29:32">
      <c r="AC465" s="395" t="s">
        <v>21631</v>
      </c>
      <c r="AD465" s="355" t="s">
        <v>21633</v>
      </c>
      <c r="AE465" s="355" t="s">
        <v>21632</v>
      </c>
      <c r="AF465" s="390" t="str">
        <f>tblUIText[[#This Row],[TR]]&amp;CHAR(10)&amp;tblUIText[[#This Row],[EN]]</f>
        <v>Standart hata
Standard error</v>
      </c>
    </row>
    <row r="466" spans="29:32">
      <c r="AC466" s="395" t="s">
        <v>21634</v>
      </c>
      <c r="AD466" s="355" t="s">
        <v>19777</v>
      </c>
      <c r="AE466" s="355" t="s">
        <v>19777</v>
      </c>
      <c r="AF466" s="390" t="str">
        <f>tblUIText[[#This Row],[TR]]&amp;CHAR(10)&amp;tblUIText[[#This Row],[EN]]</f>
        <v>CV
CV</v>
      </c>
    </row>
    <row r="467" spans="29:32">
      <c r="AC467" s="395" t="s">
        <v>21635</v>
      </c>
      <c r="AD467" s="355" t="s">
        <v>21637</v>
      </c>
      <c r="AE467" s="355" t="s">
        <v>21636</v>
      </c>
      <c r="AF467" s="390" t="str">
        <f>tblUIText[[#This Row],[TR]]&amp;CHAR(10)&amp;tblUIText[[#This Row],[EN]]</f>
        <v>Toplam (PARTIAL hariç)
Total (PARTIAL excluded)</v>
      </c>
    </row>
    <row r="468" spans="29:32">
      <c r="AC468" s="395" t="s">
        <v>21638</v>
      </c>
      <c r="AD468" s="355" t="s">
        <v>21640</v>
      </c>
      <c r="AE468" s="355" t="s">
        <v>21639</v>
      </c>
      <c r="AF468" s="390" t="str">
        <f>tblUIText[[#This Row],[TR]]&amp;CHAR(10)&amp;tblUIText[[#This Row],[EN]]</f>
        <v>Gelişim yaşına göre faktör, sigma ve oran sayısı
Factor, sigma and number of ratios by development age</v>
      </c>
    </row>
    <row r="469" spans="29:32">
      <c r="AC469" s="395" t="s">
        <v>21641</v>
      </c>
      <c r="AD469" s="355" t="s">
        <v>21643</v>
      </c>
      <c r="AE469" s="355" t="s">
        <v>21642</v>
      </c>
      <c r="AF469" s="390" t="str">
        <f>tblUIText[[#This Row],[TR]]&amp;CHAR(10)&amp;tblUIText[[#This Row],[EN]]</f>
        <v>Yaş
Age</v>
      </c>
    </row>
    <row r="470" spans="29:32">
      <c r="AC470" s="395" t="s">
        <v>21644</v>
      </c>
      <c r="AD470" s="355" t="s">
        <v>21646</v>
      </c>
      <c r="AE470" s="355" t="s">
        <v>21645</v>
      </c>
      <c r="AF470" s="390" t="str">
        <f>tblUIText[[#This Row],[TR]]&amp;CHAR(10)&amp;tblUIText[[#This Row],[EN]]</f>
        <v>Faktör f
Factor f</v>
      </c>
    </row>
    <row r="471" spans="29:32">
      <c r="AC471" s="395" t="s">
        <v>21647</v>
      </c>
      <c r="AD471" s="355" t="s">
        <v>21648</v>
      </c>
      <c r="AE471" s="355" t="s">
        <v>21648</v>
      </c>
      <c r="AF471" s="390" t="str">
        <f>tblUIText[[#This Row],[TR]]&amp;CHAR(10)&amp;tblUIText[[#This Row],[EN]]</f>
        <v>Sigma
Sigma</v>
      </c>
    </row>
    <row r="472" spans="29:32">
      <c r="AC472" s="395" t="s">
        <v>21649</v>
      </c>
      <c r="AD472" s="355" t="s">
        <v>18988</v>
      </c>
      <c r="AE472" s="355" t="s">
        <v>18987</v>
      </c>
      <c r="AF472" s="390" t="str">
        <f>tblUIText[[#This Row],[TR]]&amp;CHAR(10)&amp;tblUIText[[#This Row],[EN]]</f>
        <v>Oran sayısı
Ratios</v>
      </c>
    </row>
    <row r="473" spans="29:32">
      <c r="AC473" s="395" t="s">
        <v>21650</v>
      </c>
      <c r="AD473" s="355" t="s">
        <v>21652</v>
      </c>
      <c r="AE473" s="355" t="s">
        <v>21651</v>
      </c>
      <c r="AF473" s="390" t="str">
        <f>tblUIText[[#This Row],[TR]]&amp;CHAR(10)&amp;tblUIText[[#This Row],[EN]]</f>
        <v>Yaklaşık %95 aralık (normal yaklaşım, 0 alt sınır)
Approximate 95% range (normal approximation, floored at 0)</v>
      </c>
    </row>
    <row r="474" spans="29:32">
      <c r="AC474" s="395" t="s">
        <v>21653</v>
      </c>
      <c r="AD474" s="355" t="s">
        <v>21655</v>
      </c>
      <c r="AE474" s="355" t="s">
        <v>21654</v>
      </c>
      <c r="AF474" s="390" t="str">
        <f>tblUIText[[#This Row],[TR]]&amp;CHAR(10)&amp;tblUIText[[#This Row],[EN]]</f>
        <v>AN_Triangle seçili yöntemle ek ödeme
AN_Triangle further payments with the selected method</v>
      </c>
    </row>
    <row r="475" spans="29:32">
      <c r="AC475" s="395" t="s">
        <v>21656</v>
      </c>
      <c r="AD475" s="355" t="s">
        <v>21658</v>
      </c>
      <c r="AE475" s="355" t="s">
        <v>21657</v>
      </c>
      <c r="AF475" s="390" t="str">
        <f>tblUIText[[#This Row],[TR]]&amp;CHAR(10)&amp;tblUIText[[#This Row],[EN]]</f>
        <v>son yaşlarda sigma Mack kuralıyla dışdeğerlendi
sigma extrapolated by Mack's rule at the last ages</v>
      </c>
    </row>
    <row r="476" spans="29:32">
      <c r="AC476" s="395" t="s">
        <v>21659</v>
      </c>
      <c r="AD476" s="355" t="s">
        <v>21661</v>
      </c>
      <c r="AE476" s="355" t="s">
        <v>21660</v>
      </c>
      <c r="AF476" s="390" t="str">
        <f>tblUIText[[#This Row],[TR]]&amp;CHAR(10)&amp;tblUIText[[#This Row],[EN]]</f>
        <v>VERİ YETERSİZ: {0} PARTIAL olmayan hasar ayı (en az {1}) veya eksik faktör
INSUFFICIENT DATA: {0} loss months that are not PARTIAL (at least {1}) or a missing factor</v>
      </c>
    </row>
    <row r="477" spans="29:32">
      <c r="AC477" s="395" t="s">
        <v>21662</v>
      </c>
      <c r="AD477" s="355" t="s">
        <v>21623</v>
      </c>
      <c r="AE477" s="355" t="s">
        <v>21622</v>
      </c>
      <c r="AF477" s="390" t="str">
        <f>tblUIText[[#This Row],[TR]]&amp;CHAR(10)&amp;tblUIText[[#This Row],[EN]]</f>
        <v>Hasar ayına göre ek ödeme ve standart hata (mn TL)
Further payments and standard error by loss month (TRY m)</v>
      </c>
    </row>
    <row r="478" spans="29:32">
      <c r="AC478" s="395" t="s">
        <v>21663</v>
      </c>
      <c r="AD478" s="355" t="s">
        <v>21665</v>
      </c>
      <c r="AE478" s="355" t="s">
        <v>21664</v>
      </c>
      <c r="AF478" s="390" t="str">
        <f>tblUIText[[#This Row],[TR]]&amp;CHAR(10)&amp;tblUIText[[#This Row],[EN]]</f>
        <v>{0}: gösterge ek ödemeler {1} mn TL, standart hata {2} mn TL (CV {3}); {4} hasar ayı
{0}: indicative further payments TRY {1} m, standard error TRY {2} m (CV {3}); {4} loss months</v>
      </c>
    </row>
    <row r="479" spans="29:32">
      <c r="AC479" s="395" t="s">
        <v>21666</v>
      </c>
      <c r="AD479" s="355" t="s">
        <v>21502</v>
      </c>
      <c r="AE479" s="355" t="s">
        <v>21501</v>
      </c>
      <c r="AF479" s="390" t="str">
        <f>tblUIText[[#This Row],[TR]]&amp;CHAR(10)&amp;tblUIText[[#This Row],[EN]]</f>
        <v>Kuyruk uyumu
Tail fit</v>
      </c>
    </row>
    <row r="480" spans="29:32">
      <c r="AC480" s="395" t="s">
        <v>21667</v>
      </c>
      <c r="AD480" s="355" t="s">
        <v>21669</v>
      </c>
      <c r="AE480" s="355" t="s">
        <v>21668</v>
      </c>
      <c r="AF480" s="390" t="str">
        <f>tblUIText[[#This Row],[TR]]&amp;CHAR(10)&amp;tblUIText[[#This Row],[EN]]</f>
        <v>Analiz penceresindeki dosya başı ödenenlerin (pozitif) üst kuyruğu: kapalı biçimli kuyruk indeksi tahmincileri (Hill, moment, Pickands, GPD olasılık ağırlıklı momentler) eşiğe göre.
Upper tail of paid per case (positive) in the analysis window: closed-form tail-index estimators (Hill, moment, Pickands, GPD probability-weighted moments) across thresholds.</v>
      </c>
    </row>
    <row r="481" spans="29:32">
      <c r="AC481" s="395" t="s">
        <v>21670</v>
      </c>
      <c r="AD481" s="355" t="s">
        <v>21672</v>
      </c>
      <c r="AE481" s="355" t="s">
        <v>21671</v>
      </c>
      <c r="AF481" s="390" t="str">
        <f>tblUIText[[#This Row],[TR]]&amp;CHAR(10)&amp;tblUIText[[#This Row],[EN]]</f>
        <v>Nasıl okunur: ξ &gt; 0 ağır (Pareto tipi) kuyruk, büyükse daha ağır; tahminciler bir eşik aralığında birbirine yakın ve yatay ise o aralık güvenilir. α = 1/ξ.
How to read: ξ &gt; 0 means a heavy (Pareto-type) tail, larger is heavier; where the estimators agree and stay flat over a range of thresholds, that range is reliable. α = 1/ξ.</v>
      </c>
    </row>
    <row r="482" spans="29:32">
      <c r="AC482" s="395" t="s">
        <v>21673</v>
      </c>
      <c r="AD482" s="355" t="s">
        <v>21675</v>
      </c>
      <c r="AE482" s="355" t="s">
        <v>21674</v>
      </c>
      <c r="AF482" s="390" t="str">
        <f>tblUIText[[#This Row],[TR]]&amp;CHAR(10)&amp;tblUIText[[#This Row],[EN]]</f>
        <v>TASLAK - gösterge niteliğinde: dosya başı ödenen pencere içindedir (nihai hasar değil); poliçe limitleri kuyruğu keser (AN_Limits). Fiyatlama veya rezerv için değildir.
DRAFT - indicative: paid per case is within the window (not the ultimate claim); policy limits cap the tail (AN_Limits). Not for pricing or reserving.</v>
      </c>
    </row>
    <row r="483" spans="29:32">
      <c r="AC483" s="395" t="s">
        <v>21676</v>
      </c>
      <c r="AD483" s="355" t="s">
        <v>21678</v>
      </c>
      <c r="AE483" s="355" t="s">
        <v>21677</v>
      </c>
      <c r="AF483" s="390" t="str">
        <f>tblUIText[[#This Row],[TR]]&amp;CHAR(10)&amp;tblUIText[[#This Row],[EN]]</f>
        <v>Eşik (dosya yüzdeliği)
Threshold (case percentile)</v>
      </c>
    </row>
    <row r="484" spans="29:32">
      <c r="AC484" s="395" t="s">
        <v>21679</v>
      </c>
      <c r="AD484" s="355" t="s">
        <v>21681</v>
      </c>
      <c r="AE484" s="355" t="s">
        <v>21680</v>
      </c>
      <c r="AF484" s="390" t="str">
        <f>tblUIText[[#This Row],[TR]]&amp;CHAR(10)&amp;tblUIText[[#This Row],[EN]]</f>
        <v>Seçilen eşikte tahminler
Estimates at the selected threshold</v>
      </c>
    </row>
    <row r="485" spans="29:32">
      <c r="AC485" s="395" t="s">
        <v>21682</v>
      </c>
      <c r="AD485" s="355" t="s">
        <v>21683</v>
      </c>
      <c r="AE485" s="355" t="s">
        <v>16919</v>
      </c>
      <c r="AF485" s="390" t="str">
        <f>tblUIText[[#This Row],[TR]]&amp;CHAR(10)&amp;tblUIText[[#This Row],[EN]]</f>
        <v>Yöntem
Method</v>
      </c>
    </row>
    <row r="486" spans="29:32">
      <c r="AC486" s="395" t="s">
        <v>21684</v>
      </c>
      <c r="AD486" s="355" t="s">
        <v>21686</v>
      </c>
      <c r="AE486" s="355" t="s">
        <v>21685</v>
      </c>
      <c r="AF486" s="390" t="str">
        <f>tblUIText[[#This Row],[TR]]&amp;CHAR(10)&amp;tblUIText[[#This Row],[EN]]</f>
        <v>ξ (kuyruk indeksi)
ξ (tail index)</v>
      </c>
    </row>
    <row r="487" spans="29:32">
      <c r="AC487" s="395" t="s">
        <v>21687</v>
      </c>
      <c r="AD487" s="355" t="s">
        <v>21688</v>
      </c>
      <c r="AE487" s="355" t="s">
        <v>21688</v>
      </c>
      <c r="AF487" s="390" t="str">
        <f>tblUIText[[#This Row],[TR]]&amp;CHAR(10)&amp;tblUIText[[#This Row],[EN]]</f>
        <v>α = 1/ξ
α = 1/ξ</v>
      </c>
    </row>
    <row r="488" spans="29:32">
      <c r="AC488" s="395" t="s">
        <v>21689</v>
      </c>
      <c r="AD488" s="355" t="s">
        <v>21633</v>
      </c>
      <c r="AE488" s="355" t="s">
        <v>21632</v>
      </c>
      <c r="AF488" s="390" t="str">
        <f>tblUIText[[#This Row],[TR]]&amp;CHAR(10)&amp;tblUIText[[#This Row],[EN]]</f>
        <v>Standart hata
Standard error</v>
      </c>
    </row>
    <row r="489" spans="29:32">
      <c r="AC489" s="395" t="s">
        <v>21690</v>
      </c>
      <c r="AD489" s="355" t="s">
        <v>21692</v>
      </c>
      <c r="AE489" s="355" t="s">
        <v>21691</v>
      </c>
      <c r="AF489" s="390" t="str">
        <f>tblUIText[[#This Row],[TR]]&amp;CHAR(10)&amp;tblUIText[[#This Row],[EN]]</f>
        <v>Eşik u (bin TL)
Threshold u (TRY k)</v>
      </c>
    </row>
    <row r="490" spans="29:32">
      <c r="AC490" s="395" t="s">
        <v>21693</v>
      </c>
      <c r="AD490" s="355" t="s">
        <v>21695</v>
      </c>
      <c r="AE490" s="355" t="s">
        <v>21694</v>
      </c>
      <c r="AF490" s="390" t="str">
        <f>tblUIText[[#This Row],[TR]]&amp;CHAR(10)&amp;tblUIText[[#This Row],[EN]]</f>
        <v>Eşik üstü dosya k
Cases above the threshold k</v>
      </c>
    </row>
    <row r="491" spans="29:32">
      <c r="AC491" s="395" t="s">
        <v>21696</v>
      </c>
      <c r="AD491" s="355" t="s">
        <v>21697</v>
      </c>
      <c r="AE491" s="355" t="s">
        <v>21697</v>
      </c>
      <c r="AF491" s="390" t="str">
        <f>tblUIText[[#This Row],[TR]]&amp;CHAR(10)&amp;tblUIText[[#This Row],[EN]]</f>
        <v>Hill
Hill</v>
      </c>
    </row>
    <row r="492" spans="29:32">
      <c r="AC492" s="395" t="s">
        <v>21698</v>
      </c>
      <c r="AD492" s="355" t="s">
        <v>21699</v>
      </c>
      <c r="AE492" s="355" t="s">
        <v>21699</v>
      </c>
      <c r="AF492" s="390" t="str">
        <f>tblUIText[[#This Row],[TR]]&amp;CHAR(10)&amp;tblUIText[[#This Row],[EN]]</f>
        <v>Moment (Dekkers-Einmahl-de Haan)
Moment (Dekkers-Einmahl-de Haan)</v>
      </c>
    </row>
    <row r="493" spans="29:32">
      <c r="AC493" s="395" t="s">
        <v>21700</v>
      </c>
      <c r="AD493" s="355" t="s">
        <v>21701</v>
      </c>
      <c r="AE493" s="355" t="s">
        <v>21701</v>
      </c>
      <c r="AF493" s="390" t="str">
        <f>tblUIText[[#This Row],[TR]]&amp;CHAR(10)&amp;tblUIText[[#This Row],[EN]]</f>
        <v>Pickands
Pickands</v>
      </c>
    </row>
    <row r="494" spans="29:32">
      <c r="AC494" s="395" t="s">
        <v>21702</v>
      </c>
      <c r="AD494" s="355" t="s">
        <v>21704</v>
      </c>
      <c r="AE494" s="355" t="s">
        <v>21703</v>
      </c>
      <c r="AF494" s="390" t="str">
        <f>tblUIText[[#This Row],[TR]]&amp;CHAR(10)&amp;tblUIText[[#This Row],[EN]]</f>
        <v>GPD olasılık ağırlıklı momentler
GPD probability-weighted moments</v>
      </c>
    </row>
    <row r="495" spans="29:32">
      <c r="AC495" s="395" t="s">
        <v>21705</v>
      </c>
      <c r="AD495" s="355" t="s">
        <v>21707</v>
      </c>
      <c r="AE495" s="355" t="s">
        <v>21706</v>
      </c>
      <c r="AF495" s="390" t="str">
        <f>tblUIText[[#This Row],[TR]]&amp;CHAR(10)&amp;tblUIText[[#This Row],[EN]]</f>
        <v>Yüksek yüzdelikler (bin TL): model ve gözlenen
High percentiles (TRY k): model and observed</v>
      </c>
    </row>
    <row r="496" spans="29:32">
      <c r="AC496" s="395" t="s">
        <v>21708</v>
      </c>
      <c r="AD496" s="355" t="s">
        <v>21710</v>
      </c>
      <c r="AE496" s="355" t="s">
        <v>21709</v>
      </c>
      <c r="AF496" s="390" t="str">
        <f>tblUIText[[#This Row],[TR]]&amp;CHAR(10)&amp;tblUIText[[#This Row],[EN]]</f>
        <v>Gözlenen (PERCENTILE.INC)
Observed (PERCENTILE.INC)</v>
      </c>
    </row>
    <row r="497" spans="29:32">
      <c r="AC497" s="395" t="s">
        <v>21711</v>
      </c>
      <c r="AD497" s="355" t="s">
        <v>21712</v>
      </c>
      <c r="AE497" s="355" t="s">
        <v>21712</v>
      </c>
      <c r="AF497" s="390" t="str">
        <f>tblUIText[[#This Row],[TR]]&amp;CHAR(10)&amp;tblUIText[[#This Row],[EN]]</f>
        <v>Hill / Weissman
Hill / Weissman</v>
      </c>
    </row>
    <row r="498" spans="29:32">
      <c r="AC498" s="395" t="s">
        <v>21713</v>
      </c>
      <c r="AD498" s="355" t="s">
        <v>21714</v>
      </c>
      <c r="AE498" s="355" t="s">
        <v>21714</v>
      </c>
      <c r="AF498" s="390" t="str">
        <f>tblUIText[[#This Row],[TR]]&amp;CHAR(10)&amp;tblUIText[[#This Row],[EN]]</f>
        <v>GPD (PWM)
GPD (PWM)</v>
      </c>
    </row>
    <row r="499" spans="29:32">
      <c r="AC499" s="395" t="s">
        <v>21715</v>
      </c>
      <c r="AD499" s="355" t="s">
        <v>21717</v>
      </c>
      <c r="AE499" s="355" t="s">
        <v>21716</v>
      </c>
      <c r="AF499" s="390" t="str">
        <f>tblUIText[[#This Row],[TR]]&amp;CHAR(10)&amp;tblUIText[[#This Row],[EN]]</f>
        <v>Eşiğe göre ξ tahminleri (Hill ±1,96 standart hata bandıyla)
ξ estimates by threshold (Hill with a ±1.96 standard-error band)</v>
      </c>
    </row>
    <row r="500" spans="29:32">
      <c r="AC500" s="395" t="s">
        <v>21718</v>
      </c>
      <c r="AD500" s="355" t="s">
        <v>21720</v>
      </c>
      <c r="AE500" s="355" t="s">
        <v>21719</v>
      </c>
      <c r="AF500" s="390" t="str">
        <f>tblUIText[[#This Row],[TR]]&amp;CHAR(10)&amp;tblUIText[[#This Row],[EN]]</f>
        <v>AN_Severity Hill α (aynı k ile) - tutarlılık
AN_Severity Hill α (same k) - consistency</v>
      </c>
    </row>
    <row r="501" spans="29:32">
      <c r="AC501" s="395" t="s">
        <v>21721</v>
      </c>
      <c r="AD501" s="355" t="s">
        <v>21723</v>
      </c>
      <c r="AE501" s="355" t="s">
        <v>21722</v>
      </c>
      <c r="AF501" s="390" t="str">
        <f>tblUIText[[#This Row],[TR]]&amp;CHAR(10)&amp;tblUIText[[#This Row],[EN]]</f>
        <v>VERİ YETERSİZ: {0} dosya (en az {1}) veya eşik üstünde {2} dosya (en az {3})
INSUFFICIENT DATA: {0} cases (at least {1}) or {2} cases above the threshold (at least {3})</v>
      </c>
    </row>
    <row r="502" spans="29:32">
      <c r="AC502" s="395" t="s">
        <v>21724</v>
      </c>
      <c r="AD502" s="355" t="s">
        <v>21726</v>
      </c>
      <c r="AE502" s="355" t="s">
        <v>21725</v>
      </c>
      <c r="AF502" s="390" t="str">
        <f>tblUIText[[#This Row],[TR]]&amp;CHAR(10)&amp;tblUIText[[#This Row],[EN]]</f>
        <v>{0}: {1} dosya; P{2} eşiğinde Hill ξ {3} (α {4}), moment ξ {5}, GPD ξ {6}
{0}: {1} cases; at the P{2} threshold Hill ξ {3} (α {4}), moment ξ {5}, GPD ξ {6}</v>
      </c>
    </row>
    <row r="503" spans="29:32">
      <c r="AC503" s="395" t="s">
        <v>22858</v>
      </c>
      <c r="AD503" s="355" t="s">
        <v>22860</v>
      </c>
      <c r="AE503" s="355" t="s">
        <v>22859</v>
      </c>
      <c r="AF503" s="390" t="str">
        <f>tblUIText[[#This Row],[TR]]&amp;CHAR(10)&amp;tblUIText[[#This Row],[EN]]</f>
        <v>{0} REVIEW durumunda: bu kontroller açıklama ile geçilemez; nedeni giderilmeli (Yönetici)
{0} in REVIEW: these checks can never be explained away; the cause must be resolved (Administrator)</v>
      </c>
    </row>
  </sheetData>
  <sheetProtection algorithmName="SHA-512" hashValue="Jaxrh5tRjwTneMXAyITzwIJ7IExnoPtKhmVeCfQhD2wyjjUZMA79jhBJKP3lyTw2PeUVyw59iFI03dhcl0/+rA==" saltValue="d9oSC2Ttl9YqnAAfJNBpmg==" spinCount="100000" sheet="1" scenarios="1" formatColumns="0" sort="0" autoFilter="0"/>
  <phoneticPr fontId="17" type="noConversion"/>
  <dataValidations count="3">
    <dataValidation type="list" allowBlank="1" showInputMessage="1" showErrorMessage="1" sqref="V5:V42" xr:uid="{276FEA0D-3511-414D-9009-E5036C00B4DC}">
      <formula1>lstRefreshRole</formula1>
    </dataValidation>
    <dataValidation type="list" allowBlank="1" showInputMessage="1" showErrorMessage="1" sqref="B5:B45" xr:uid="{D6D06ACA-52F5-4F38-9644-D79984A43106}">
      <formula1>lstVisibility</formula1>
    </dataValidation>
    <dataValidation type="list" allowBlank="1" showInputMessage="1" showErrorMessage="1" sqref="C5:G45" xr:uid="{9E39122E-4569-49F5-BAE9-657062567062}">
      <formula1>lstYN</formula1>
    </dataValidation>
  </dataValidations>
  <pageMargins left="0.7" right="0.7" top="0.75" bottom="0.75" header="0.3" footer="0.3"/>
  <tableParts count="5">
    <tablePart r:id="rId1"/>
    <tablePart r:id="rId2"/>
    <tablePart r:id="rId3"/>
    <tablePart r:id="rId4"/>
    <tablePart r:id="rId5"/>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FB95A-E45C-4A2D-98AB-14DE0E894E12}">
  <sheetPr codeName="Sheet24"/>
  <dimension ref="A1:O5"/>
  <sheetViews>
    <sheetView workbookViewId="0"/>
  </sheetViews>
  <sheetFormatPr defaultRowHeight="12.75"/>
  <cols>
    <col min="1" max="5" width="14.7109375" customWidth="1"/>
    <col min="6" max="6" width="40.7109375" customWidth="1"/>
    <col min="7" max="7" width="14.7109375" customWidth="1"/>
    <col min="8" max="8" width="60.7109375" customWidth="1"/>
    <col min="9" max="16" width="14.7109375" customWidth="1"/>
  </cols>
  <sheetData>
    <row r="1" spans="1:15" ht="20.25">
      <c r="A1" s="53" t="s">
        <v>2908</v>
      </c>
    </row>
    <row r="2" spans="1:15">
      <c r="A2" s="54" t="s">
        <v>2909</v>
      </c>
    </row>
    <row r="4" spans="1:15" ht="25.5">
      <c r="A4" s="50" t="s">
        <v>2910</v>
      </c>
      <c r="B4" s="50" t="s">
        <v>2911</v>
      </c>
      <c r="C4" s="50" t="s">
        <v>2905</v>
      </c>
      <c r="D4" s="50" t="s">
        <v>2</v>
      </c>
      <c r="E4" s="50" t="s">
        <v>2912</v>
      </c>
      <c r="F4" s="50" t="s">
        <v>2913</v>
      </c>
      <c r="G4" s="50" t="s">
        <v>2914</v>
      </c>
      <c r="H4" s="50" t="s">
        <v>2902</v>
      </c>
      <c r="I4" s="50" t="s">
        <v>2903</v>
      </c>
      <c r="J4" s="50" t="s">
        <v>2904</v>
      </c>
      <c r="K4" s="50" t="s">
        <v>2899</v>
      </c>
      <c r="L4" s="50" t="s">
        <v>2900</v>
      </c>
      <c r="M4" s="50" t="s">
        <v>2915</v>
      </c>
      <c r="N4" s="50" t="s">
        <v>2895</v>
      </c>
      <c r="O4" s="50" t="s">
        <v>2916</v>
      </c>
    </row>
    <row r="5" spans="1:15">
      <c r="B5" s="83"/>
      <c r="C5" s="55"/>
      <c r="E5" s="83"/>
      <c r="G5" s="83"/>
      <c r="I5" s="45"/>
      <c r="J5" s="45"/>
      <c r="K5" s="83"/>
      <c r="N5" s="83"/>
    </row>
  </sheetData>
  <sheetProtection algorithmName="SHA-512" hashValue="pC/VWXho+Nv1DPouKdDBYGYotHCkpqeZWoH7Q3V0JH5mec2JbcshZwj9FeBHnJjKcxqtAlK8rh2b5756rVlJ9w==" saltValue="8q1818Zs4DQ6Bl0Sy7cNLw==" spinCount="100000" sheet="1" scenarios="1" formatColumns="0" sort="0" autoFilter="0"/>
  <pageMargins left="0.7" right="0.7" top="0.75" bottom="0.75" header="0.3" footer="0.3"/>
  <tableParts count="1">
    <tablePart r:id="rId1"/>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70AD47"/>
  </sheetPr>
  <dimension ref="A1:F5"/>
  <sheetViews>
    <sheetView showGridLines="0" workbookViewId="0"/>
  </sheetViews>
  <sheetFormatPr defaultRowHeight="12.75"/>
  <cols>
    <col min="1" max="1" width="14.28515625" bestFit="1" customWidth="1"/>
    <col min="2" max="2" width="14.85546875" bestFit="1" customWidth="1"/>
    <col min="3" max="3" width="17.7109375" bestFit="1" customWidth="1"/>
    <col min="4" max="4" width="12.28515625" bestFit="1" customWidth="1"/>
    <col min="5" max="5" width="9.85546875" bestFit="1" customWidth="1"/>
    <col min="6" max="7" width="16.42578125" bestFit="1" customWidth="1"/>
    <col min="8" max="8" width="22.140625" bestFit="1" customWidth="1"/>
    <col min="9" max="9" width="18.28515625" bestFit="1" customWidth="1"/>
    <col min="10" max="10" width="16.42578125" bestFit="1" customWidth="1"/>
  </cols>
  <sheetData>
    <row r="1" spans="1:6" ht="18">
      <c r="A1" s="29" t="s">
        <v>2348</v>
      </c>
    </row>
    <row r="2" spans="1:6">
      <c r="A2" s="10" t="s">
        <v>2349</v>
      </c>
    </row>
    <row r="3" spans="1:6">
      <c r="A3" s="101" t="str" cm="1">
        <f t="array" ref="A3">IF(prmSetupCompletedOn="",_xlfn.XLOOKUP("NODATA",tblUIText[Key],tblUIText[Text],"NODATA"),"")</f>
        <v>Henüz veri yok – Kurulum'u tamamlayın (Giriş sayfası).
No data yet – complete Setup (Home).</v>
      </c>
    </row>
    <row r="4" spans="1:6">
      <c r="A4" t="s">
        <v>2600</v>
      </c>
      <c r="B4" t="s">
        <v>2</v>
      </c>
      <c r="C4" t="s">
        <v>2912</v>
      </c>
      <c r="D4" t="s">
        <v>2913</v>
      </c>
      <c r="E4" t="s">
        <v>2914</v>
      </c>
      <c r="F4" t="s">
        <v>263</v>
      </c>
    </row>
    <row r="5" spans="1:6">
      <c r="A5" s="39"/>
      <c r="B5" s="40"/>
    </row>
  </sheetData>
  <sheetProtection algorithmName="SHA-512" hashValue="PS9IZlZh7c/i2Y98IgyLxgKL8NJGtdRNDkT9Qmx5banAFjRzGMmJMI3VR+wYsD8+ytREF8gRtu8zBGKq6jO0GQ==" saltValue="cUPz2QWrAnSPpiqd6pnohQ==" spinCount="100000" sheet="1" scenarios="1" formatColumns="0" sort="0" autoFilter="0"/>
  <phoneticPr fontId="17" type="noConversion"/>
  <pageMargins left="0.75" right="0.75" top="1" bottom="1" header="0.5" footer="0.5"/>
  <tableParts count="1">
    <tablePart r:id="rId1"/>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6">
    <tabColor rgb="FF70AD47"/>
  </sheetPr>
  <dimension ref="A1:S5"/>
  <sheetViews>
    <sheetView showGridLines="0" workbookViewId="0"/>
  </sheetViews>
  <sheetFormatPr defaultRowHeight="12.75"/>
  <cols>
    <col min="1" max="1" width="12" bestFit="1" customWidth="1"/>
    <col min="2" max="2" width="13.28515625" bestFit="1" customWidth="1"/>
    <col min="3" max="3" width="15.42578125" bestFit="1" customWidth="1"/>
    <col min="4" max="4" width="14.28515625" bestFit="1" customWidth="1"/>
    <col min="5" max="5" width="10" bestFit="1" customWidth="1"/>
    <col min="6" max="6" width="13.7109375" bestFit="1" customWidth="1"/>
    <col min="7" max="7" width="12.7109375" bestFit="1" customWidth="1"/>
    <col min="8" max="8" width="16.42578125" bestFit="1" customWidth="1"/>
    <col min="9" max="9" width="25.5703125" bestFit="1" customWidth="1"/>
    <col min="10" max="10" width="11.7109375" bestFit="1" customWidth="1"/>
    <col min="11" max="11" width="16.42578125" bestFit="1" customWidth="1"/>
    <col min="13" max="13" width="12" bestFit="1" customWidth="1"/>
    <col min="14" max="14" width="13.7109375" bestFit="1" customWidth="1"/>
    <col min="15" max="15" width="12.7109375" bestFit="1" customWidth="1"/>
    <col min="16" max="16" width="7.42578125" bestFit="1" customWidth="1"/>
    <col min="17" max="17" width="8.140625" bestFit="1" customWidth="1"/>
    <col min="18" max="18" width="10" bestFit="1" customWidth="1"/>
    <col min="19" max="19" width="9" bestFit="1" customWidth="1"/>
  </cols>
  <sheetData>
    <row r="1" spans="1:19" ht="18">
      <c r="A1" s="29" t="s">
        <v>2350</v>
      </c>
    </row>
    <row r="2" spans="1:19">
      <c r="A2" s="10" t="s">
        <v>2351</v>
      </c>
    </row>
    <row r="3" spans="1:19">
      <c r="A3" s="101" t="str" cm="1">
        <f t="array" ref="A3">IF(prmSetupCompletedOn="",_xlfn.XLOOKUP("NODATA",tblUIText[Key],tblUIText[Text],"NODATA"),"")</f>
        <v>Henüz veri yok – Kurulum'u tamamlayın (Giriş sayfası).
No data yet – complete Setup (Home).</v>
      </c>
      <c r="M3" s="47" t="s">
        <v>21420</v>
      </c>
    </row>
    <row r="4" spans="1:19">
      <c r="A4" t="s">
        <v>2601</v>
      </c>
      <c r="B4" t="s">
        <v>2602</v>
      </c>
      <c r="C4" t="s">
        <v>2603</v>
      </c>
      <c r="D4" t="s">
        <v>2604</v>
      </c>
      <c r="E4" t="s">
        <v>21</v>
      </c>
      <c r="F4" t="s">
        <v>181</v>
      </c>
      <c r="G4" t="s">
        <v>193</v>
      </c>
      <c r="H4" t="s">
        <v>2605</v>
      </c>
      <c r="I4" t="s">
        <v>2606</v>
      </c>
      <c r="J4" t="s">
        <v>20576</v>
      </c>
      <c r="K4" t="s">
        <v>20636</v>
      </c>
      <c r="M4" t="s">
        <v>2601</v>
      </c>
      <c r="N4" t="s">
        <v>181</v>
      </c>
      <c r="O4" t="s">
        <v>193</v>
      </c>
      <c r="P4" t="s">
        <v>307</v>
      </c>
      <c r="Q4" t="s">
        <v>184</v>
      </c>
      <c r="R4" t="s">
        <v>21</v>
      </c>
      <c r="S4" t="s">
        <v>3195</v>
      </c>
    </row>
    <row r="5" spans="1:19">
      <c r="C5" s="39"/>
      <c r="G5" s="40"/>
    </row>
  </sheetData>
  <sheetProtection algorithmName="SHA-512" hashValue="Oj9YuKT7fWztASHKDbbFp9TAr7Z+QYv3GucoM+QKM1HSdspQh31DcgCc1HEAM/mmBvY2IxAwjEzQPKX1kgg0xQ==" saltValue="3lRNIzV3vboPrL6WYqK7dw==" spinCount="100000" sheet="1" scenarios="1" formatColumns="0" sort="0" autoFilter="0"/>
  <phoneticPr fontId="17" type="noConversion"/>
  <conditionalFormatting sqref="D5:D4896">
    <cfRule type="cellIs" dxfId="6" priority="1" operator="equal">
      <formula>"NEAR-MISS"</formula>
    </cfRule>
    <cfRule type="cellIs" dxfId="5" priority="2" operator="equal">
      <formula>"MATCHED"</formula>
    </cfRule>
  </conditionalFormatting>
  <pageMargins left="0.75" right="0.75" top="1" bottom="1" header="0.5" footer="0.5"/>
  <tableParts count="2">
    <tablePart r:id="rId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7">
    <tabColor rgb="FF70AD47"/>
  </sheetPr>
  <dimension ref="A1:CE5"/>
  <sheetViews>
    <sheetView showGridLines="0" workbookViewId="0"/>
  </sheetViews>
  <sheetFormatPr defaultRowHeight="12.75"/>
  <cols>
    <col min="1" max="1" width="17.28515625" bestFit="1" customWidth="1"/>
    <col min="2" max="2" width="13.7109375" bestFit="1" customWidth="1"/>
    <col min="3" max="3" width="12.7109375" bestFit="1" customWidth="1"/>
    <col min="4" max="4" width="13.42578125" bestFit="1" customWidth="1"/>
    <col min="5" max="5" width="13.85546875" bestFit="1" customWidth="1"/>
    <col min="6" max="6" width="13.140625" bestFit="1" customWidth="1"/>
    <col min="7" max="7" width="16.28515625" bestFit="1" customWidth="1"/>
    <col min="8" max="8" width="13.5703125" bestFit="1" customWidth="1"/>
    <col min="9" max="9" width="10.140625" bestFit="1" customWidth="1"/>
    <col min="10" max="10" width="15.5703125" bestFit="1" customWidth="1"/>
    <col min="11" max="11" width="15.140625" bestFit="1" customWidth="1"/>
    <col min="12" max="12" width="11.42578125" bestFit="1" customWidth="1"/>
    <col min="13" max="13" width="17.85546875" bestFit="1" customWidth="1"/>
    <col min="14" max="14" width="15" bestFit="1" customWidth="1"/>
    <col min="15" max="15" width="18.7109375" bestFit="1" customWidth="1"/>
    <col min="16" max="16" width="18.140625" bestFit="1" customWidth="1"/>
    <col min="17" max="17" width="12.85546875" bestFit="1" customWidth="1"/>
    <col min="18" max="18" width="15.42578125" bestFit="1" customWidth="1"/>
    <col min="19" max="19" width="16.28515625" bestFit="1" customWidth="1"/>
    <col min="20" max="20" width="20.7109375" bestFit="1" customWidth="1"/>
    <col min="21" max="21" width="15.85546875" bestFit="1" customWidth="1"/>
    <col min="22" max="23" width="15.7109375" bestFit="1" customWidth="1"/>
    <col min="24" max="24" width="13.28515625" bestFit="1" customWidth="1"/>
    <col min="25" max="25" width="15.7109375" bestFit="1" customWidth="1"/>
    <col min="26" max="27" width="13.28515625" bestFit="1" customWidth="1"/>
    <col min="28" max="28" width="17" bestFit="1" customWidth="1"/>
    <col min="29" max="29" width="14.42578125" bestFit="1" customWidth="1"/>
    <col min="30" max="30" width="21.42578125" bestFit="1" customWidth="1"/>
    <col min="31" max="31" width="14.7109375" bestFit="1" customWidth="1"/>
    <col min="32" max="32" width="20.85546875" bestFit="1" customWidth="1"/>
    <col min="33" max="33" width="22.140625" bestFit="1" customWidth="1"/>
    <col min="34" max="34" width="23.28515625" bestFit="1" customWidth="1"/>
    <col min="35" max="35" width="18.85546875" bestFit="1" customWidth="1"/>
    <col min="36" max="36" width="21.28515625" bestFit="1" customWidth="1"/>
    <col min="37" max="37" width="20.85546875" bestFit="1" customWidth="1"/>
    <col min="38" max="38" width="11" bestFit="1" customWidth="1"/>
    <col min="39" max="39" width="11.28515625" bestFit="1" customWidth="1"/>
    <col min="40" max="40" width="7.42578125" bestFit="1" customWidth="1"/>
    <col min="41" max="41" width="15.42578125" bestFit="1" customWidth="1"/>
    <col min="42" max="42" width="16.5703125" bestFit="1" customWidth="1"/>
    <col min="43" max="43" width="14.7109375" bestFit="1" customWidth="1"/>
    <col min="44" max="44" width="18.42578125" bestFit="1" customWidth="1"/>
    <col min="45" max="45" width="13" bestFit="1" customWidth="1"/>
    <col min="46" max="46" width="18.140625" bestFit="1" customWidth="1"/>
    <col min="47" max="47" width="17.42578125" bestFit="1" customWidth="1"/>
    <col min="48" max="48" width="22.7109375" bestFit="1" customWidth="1"/>
    <col min="49" max="49" width="20.28515625" bestFit="1" customWidth="1"/>
    <col min="50" max="50" width="15.5703125" bestFit="1" customWidth="1"/>
    <col min="51" max="51" width="14.5703125" bestFit="1" customWidth="1"/>
    <col min="52" max="52" width="21.5703125" bestFit="1" customWidth="1"/>
    <col min="53" max="53" width="16.85546875" bestFit="1" customWidth="1"/>
    <col min="54" max="54" width="12.7109375" bestFit="1" customWidth="1"/>
    <col min="55" max="55" width="20.7109375" bestFit="1" customWidth="1"/>
    <col min="56" max="56" width="22.28515625" bestFit="1" customWidth="1"/>
    <col min="57" max="57" width="11.140625" bestFit="1" customWidth="1"/>
    <col min="58" max="58" width="10.7109375" bestFit="1" customWidth="1"/>
    <col min="59" max="59" width="9.140625" bestFit="1" customWidth="1"/>
    <col min="60" max="60" width="13.28515625" bestFit="1" customWidth="1"/>
    <col min="61" max="61" width="19" bestFit="1" customWidth="1"/>
    <col min="62" max="62" width="17" bestFit="1" customWidth="1"/>
    <col min="63" max="63" width="16.7109375" bestFit="1" customWidth="1"/>
    <col min="64" max="64" width="20.85546875" bestFit="1" customWidth="1"/>
    <col min="65" max="65" width="16.85546875" bestFit="1" customWidth="1"/>
    <col min="66" max="66" width="17.7109375" bestFit="1" customWidth="1"/>
    <col min="67" max="67" width="18.140625" bestFit="1" customWidth="1"/>
    <col min="68" max="68" width="15.140625" bestFit="1" customWidth="1"/>
    <col min="69" max="69" width="24.5703125" bestFit="1" customWidth="1"/>
    <col min="70" max="70" width="28.7109375" bestFit="1" customWidth="1"/>
    <col min="71" max="71" width="19.5703125" bestFit="1" customWidth="1"/>
    <col min="72" max="72" width="24.85546875" bestFit="1" customWidth="1"/>
    <col min="73" max="73" width="10.85546875" bestFit="1" customWidth="1"/>
    <col min="74" max="74" width="13.140625" bestFit="1" customWidth="1"/>
    <col min="75" max="75" width="14.85546875" bestFit="1" customWidth="1"/>
    <col min="76" max="76" width="16.85546875" bestFit="1" customWidth="1"/>
    <col min="77" max="77" width="12.28515625" bestFit="1" customWidth="1"/>
    <col min="78" max="78" width="16.7109375" bestFit="1" customWidth="1"/>
    <col min="79" max="79" width="20.28515625" bestFit="1" customWidth="1"/>
    <col min="80" max="80" width="27.140625" bestFit="1" customWidth="1"/>
    <col min="81" max="81" width="19.140625" customWidth="1"/>
    <col min="82" max="82" width="13" bestFit="1" customWidth="1"/>
    <col min="83" max="83" width="12.140625" bestFit="1" customWidth="1"/>
  </cols>
  <sheetData>
    <row r="1" spans="1:83" ht="18">
      <c r="A1" s="29" t="s">
        <v>2352</v>
      </c>
    </row>
    <row r="2" spans="1:83">
      <c r="A2" s="10" t="s">
        <v>2353</v>
      </c>
    </row>
    <row r="3" spans="1:83">
      <c r="A3" s="101" t="str" cm="1">
        <f t="array" ref="A3">IF(prmSetupCompletedOn="",_xlfn.XLOOKUP("NODATA",tblUIText[Key],tblUIText[Text],"NODATA"),"")</f>
        <v>Henüz veri yok – Kurulum'u tamamlayın (Giriş sayfası).
No data yet – complete Setup (Home).</v>
      </c>
    </row>
    <row r="4" spans="1:83">
      <c r="A4" t="s">
        <v>2412</v>
      </c>
      <c r="B4" t="s">
        <v>181</v>
      </c>
      <c r="C4" t="s">
        <v>193</v>
      </c>
      <c r="D4" t="s">
        <v>2417</v>
      </c>
      <c r="E4" t="s">
        <v>2419</v>
      </c>
      <c r="F4" t="s">
        <v>2421</v>
      </c>
      <c r="G4" t="s">
        <v>2423</v>
      </c>
      <c r="H4" t="s">
        <v>194</v>
      </c>
      <c r="I4" t="s">
        <v>121</v>
      </c>
      <c r="J4" t="s">
        <v>123</v>
      </c>
      <c r="K4" t="s">
        <v>124</v>
      </c>
      <c r="L4" t="s">
        <v>126</v>
      </c>
      <c r="M4" t="s">
        <v>125</v>
      </c>
      <c r="N4" t="s">
        <v>326</v>
      </c>
      <c r="O4" t="s">
        <v>331</v>
      </c>
      <c r="P4" t="s">
        <v>336</v>
      </c>
      <c r="Q4" t="s">
        <v>346</v>
      </c>
      <c r="R4" t="s">
        <v>117</v>
      </c>
      <c r="S4" t="s">
        <v>127</v>
      </c>
      <c r="T4" t="s">
        <v>366</v>
      </c>
      <c r="U4" t="s">
        <v>369</v>
      </c>
      <c r="V4" t="s">
        <v>372</v>
      </c>
      <c r="W4" t="s">
        <v>387</v>
      </c>
      <c r="X4" t="s">
        <v>118</v>
      </c>
      <c r="Y4" t="s">
        <v>401</v>
      </c>
      <c r="Z4" t="s">
        <v>404</v>
      </c>
      <c r="AA4" t="s">
        <v>410</v>
      </c>
      <c r="AB4" t="s">
        <v>122</v>
      </c>
      <c r="AC4" t="s">
        <v>418</v>
      </c>
      <c r="AD4" t="s">
        <v>421</v>
      </c>
      <c r="AE4" t="s">
        <v>427</v>
      </c>
      <c r="AF4" t="s">
        <v>430</v>
      </c>
      <c r="AG4" t="s">
        <v>433</v>
      </c>
      <c r="AH4" t="s">
        <v>439</v>
      </c>
      <c r="AI4" t="s">
        <v>442</v>
      </c>
      <c r="AJ4" t="s">
        <v>445</v>
      </c>
      <c r="AK4" t="s">
        <v>448</v>
      </c>
      <c r="AL4" t="s">
        <v>460</v>
      </c>
      <c r="AM4" t="s">
        <v>472</v>
      </c>
      <c r="AN4" t="s">
        <v>475</v>
      </c>
      <c r="AO4" t="s">
        <v>484</v>
      </c>
      <c r="AP4" t="s">
        <v>487</v>
      </c>
      <c r="AQ4" t="s">
        <v>499</v>
      </c>
      <c r="AR4" t="s">
        <v>16343</v>
      </c>
      <c r="AS4" t="s">
        <v>510</v>
      </c>
      <c r="AT4" t="s">
        <v>519</v>
      </c>
      <c r="AU4" t="s">
        <v>522</v>
      </c>
      <c r="AV4" t="s">
        <v>528</v>
      </c>
      <c r="AW4" t="s">
        <v>531</v>
      </c>
      <c r="AX4" t="s">
        <v>534</v>
      </c>
      <c r="AY4" t="s">
        <v>537</v>
      </c>
      <c r="AZ4" t="s">
        <v>546</v>
      </c>
      <c r="BA4" t="s">
        <v>561</v>
      </c>
      <c r="BB4" t="s">
        <v>564</v>
      </c>
      <c r="BC4" t="s">
        <v>570</v>
      </c>
      <c r="BD4" t="s">
        <v>604</v>
      </c>
      <c r="BE4" t="s">
        <v>2446</v>
      </c>
      <c r="BF4" t="s">
        <v>2448</v>
      </c>
      <c r="BG4" t="s">
        <v>2450</v>
      </c>
      <c r="BH4" t="s">
        <v>618</v>
      </c>
      <c r="BI4" t="s">
        <v>2454</v>
      </c>
      <c r="BJ4" t="s">
        <v>2456</v>
      </c>
      <c r="BK4" t="s">
        <v>2458</v>
      </c>
      <c r="BL4" t="s">
        <v>2460</v>
      </c>
      <c r="BM4" t="s">
        <v>2462</v>
      </c>
      <c r="BN4" t="s">
        <v>2464</v>
      </c>
      <c r="BO4" t="s">
        <v>2466</v>
      </c>
      <c r="BP4" t="s">
        <v>2468</v>
      </c>
      <c r="BQ4" t="s">
        <v>2470</v>
      </c>
      <c r="BR4" t="s">
        <v>2472</v>
      </c>
      <c r="BS4" t="s">
        <v>3186</v>
      </c>
      <c r="BT4" t="s">
        <v>3187</v>
      </c>
      <c r="BU4" t="s">
        <v>3188</v>
      </c>
      <c r="BV4" t="s">
        <v>16645</v>
      </c>
      <c r="BW4" t="s">
        <v>18559</v>
      </c>
      <c r="BX4" t="s">
        <v>19766</v>
      </c>
      <c r="BY4" t="s">
        <v>16814</v>
      </c>
      <c r="BZ4" t="s">
        <v>20160</v>
      </c>
      <c r="CA4" t="s">
        <v>20144</v>
      </c>
      <c r="CB4" t="s">
        <v>2607</v>
      </c>
      <c r="CC4" t="s">
        <v>2608</v>
      </c>
      <c r="CD4" t="s">
        <v>20555</v>
      </c>
      <c r="CE4" t="s">
        <v>20556</v>
      </c>
    </row>
    <row r="5" spans="1:83">
      <c r="C5" s="40"/>
      <c r="D5" s="38"/>
      <c r="J5" s="43"/>
      <c r="K5" s="43"/>
      <c r="L5" s="43"/>
      <c r="M5" s="43"/>
      <c r="R5" s="42"/>
      <c r="T5" s="38"/>
      <c r="W5" s="38"/>
      <c r="X5" s="42"/>
      <c r="AH5" s="38"/>
      <c r="AL5" s="38"/>
      <c r="AP5" s="38"/>
      <c r="AU5" s="38"/>
      <c r="AX5" s="38"/>
      <c r="AY5" s="38"/>
      <c r="BH5" s="41"/>
      <c r="BI5" s="42"/>
      <c r="BJ5" s="42"/>
    </row>
  </sheetData>
  <sheetProtection algorithmName="SHA-512" hashValue="e2WF5AwvBwlZ2vOE40eLherxOUJKBrroGWzfi04lZsXiUKpOraoefDDT+yeDf8Vg5ljoeeYV1fJluVwITXwGSA==" saltValue="2uGgP/1OtcKPVZKNYGT0Yw==" spinCount="100000" sheet="1" scenarios="1" formatColumns="0" sort="0" autoFilter="0"/>
  <phoneticPr fontId="17" type="noConversion"/>
  <pageMargins left="0.75" right="0.75" top="1" bottom="1" header="0.5" footer="0.5"/>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70AD47"/>
  </sheetPr>
  <dimension ref="A1:P5"/>
  <sheetViews>
    <sheetView showGridLines="0" workbookViewId="0"/>
  </sheetViews>
  <sheetFormatPr defaultRowHeight="12.75"/>
  <cols>
    <col min="1" max="1" width="12.7109375" bestFit="1" customWidth="1"/>
    <col min="2" max="2" width="13.7109375" bestFit="1" customWidth="1"/>
    <col min="3" max="3" width="16.28515625" bestFit="1" customWidth="1"/>
    <col min="4" max="4" width="13.85546875" bestFit="1" customWidth="1"/>
    <col min="5" max="5" width="12.5703125" bestFit="1" customWidth="1"/>
    <col min="6" max="6" width="15.140625" bestFit="1" customWidth="1"/>
    <col min="7" max="7" width="14" bestFit="1" customWidth="1"/>
    <col min="8" max="8" width="15.42578125" bestFit="1" customWidth="1"/>
    <col min="9" max="9" width="13.28515625" bestFit="1" customWidth="1"/>
    <col min="10" max="10" width="19" bestFit="1" customWidth="1"/>
    <col min="11" max="11" width="17" bestFit="1" customWidth="1"/>
    <col min="12" max="12" width="21.7109375" bestFit="1" customWidth="1"/>
    <col min="13" max="13" width="23.140625" bestFit="1" customWidth="1"/>
    <col min="14" max="14" width="20.42578125" bestFit="1" customWidth="1"/>
    <col min="15" max="15" width="29.5703125" bestFit="1" customWidth="1"/>
    <col min="16" max="16" width="22.42578125" bestFit="1" customWidth="1"/>
  </cols>
  <sheetData>
    <row r="1" spans="1:16" ht="18">
      <c r="A1" s="29" t="s">
        <v>2354</v>
      </c>
    </row>
    <row r="2" spans="1:16">
      <c r="A2" s="10" t="s">
        <v>2355</v>
      </c>
    </row>
    <row r="3" spans="1:16">
      <c r="A3" s="101" t="str" cm="1">
        <f t="array" ref="A3">IF(prmSetupCompletedOn="",_xlfn.XLOOKUP("NODATA",tblUIText[Key],tblUIText[Text],"NODATA"),"")</f>
        <v>Henüz veri yok – Kurulum'u tamamlayın (Giriş sayfası).
No data yet – complete Setup (Home).</v>
      </c>
    </row>
    <row r="4" spans="1:16">
      <c r="A4" t="s">
        <v>193</v>
      </c>
      <c r="B4" t="s">
        <v>181</v>
      </c>
      <c r="C4" t="s">
        <v>127</v>
      </c>
      <c r="D4" t="s">
        <v>2419</v>
      </c>
      <c r="E4" t="s">
        <v>2609</v>
      </c>
      <c r="F4" t="s">
        <v>2610</v>
      </c>
      <c r="G4" t="s">
        <v>2611</v>
      </c>
      <c r="H4" t="s">
        <v>117</v>
      </c>
      <c r="I4" t="s">
        <v>118</v>
      </c>
      <c r="J4" t="s">
        <v>2454</v>
      </c>
      <c r="K4" t="s">
        <v>2456</v>
      </c>
      <c r="L4" t="s">
        <v>2612</v>
      </c>
      <c r="M4" t="s">
        <v>2613</v>
      </c>
      <c r="N4" t="s">
        <v>2614</v>
      </c>
      <c r="O4" t="s">
        <v>2615</v>
      </c>
      <c r="P4" t="s">
        <v>2616</v>
      </c>
    </row>
    <row r="5" spans="1:16">
      <c r="A5" s="40"/>
      <c r="H5" s="42"/>
      <c r="I5" s="42"/>
      <c r="J5" s="42"/>
      <c r="K5" s="42"/>
    </row>
  </sheetData>
  <sheetProtection algorithmName="SHA-512" hashValue="P60ROaFNfux89hknW+T4lR20c3bcru0YlOmgZO1eMiT25T98Hj0psfO2gPKmVozcPrQorLBvIuysJthwTPgjBA==" saltValue="jXHfHp8WiCb4zz+hiE6kAA==" spinCount="100000" sheet="1" scenarios="1" formatColumns="0" sort="0" autoFilter="0"/>
  <phoneticPr fontId="17" type="noConversion"/>
  <pageMargins left="0.75" right="0.75" top="1" bottom="1" header="0.5" footer="0.5"/>
  <tableParts count="1">
    <tablePart r:id="rId1"/>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B48CE-FBAD-4A20-A056-5A4DFC087779}">
  <sheetPr codeName="Sheet84"/>
  <dimension ref="A1:CI6"/>
  <sheetViews>
    <sheetView workbookViewId="0"/>
  </sheetViews>
  <sheetFormatPr defaultRowHeight="12.75"/>
  <cols>
    <col min="1" max="1" width="81.140625" bestFit="1" customWidth="1"/>
    <col min="2" max="2" width="16.140625" bestFit="1" customWidth="1"/>
    <col min="4" max="4" width="10.42578125" bestFit="1" customWidth="1"/>
    <col min="5" max="6" width="10.7109375" bestFit="1" customWidth="1"/>
    <col min="7" max="7" width="11.42578125" bestFit="1" customWidth="1"/>
    <col min="8" max="8" width="10.28515625" bestFit="1" customWidth="1"/>
    <col min="11" max="11" width="13.7109375" bestFit="1" customWidth="1"/>
    <col min="12" max="12" width="12.7109375" bestFit="1" customWidth="1"/>
    <col min="13" max="13" width="13.140625" bestFit="1" customWidth="1"/>
    <col min="14" max="14" width="11.5703125" bestFit="1" customWidth="1"/>
    <col min="15" max="15" width="11.7109375" bestFit="1" customWidth="1"/>
    <col min="16" max="16" width="14.140625" bestFit="1" customWidth="1"/>
    <col min="17" max="17" width="14.28515625" bestFit="1" customWidth="1"/>
    <col min="18" max="18" width="8.85546875" bestFit="1" customWidth="1"/>
    <col min="19" max="19" width="8.5703125" bestFit="1" customWidth="1"/>
    <col min="21" max="21" width="12.7109375" bestFit="1" customWidth="1"/>
    <col min="22" max="22" width="13" bestFit="1" customWidth="1"/>
    <col min="23" max="23" width="13.7109375" bestFit="1" customWidth="1"/>
    <col min="24" max="24" width="16.28515625" bestFit="1" customWidth="1"/>
    <col min="25" max="25" width="11.140625" bestFit="1" customWidth="1"/>
    <col min="26" max="26" width="13.140625" bestFit="1" customWidth="1"/>
    <col min="27" max="27" width="16.28515625" bestFit="1" customWidth="1"/>
    <col min="28" max="28" width="7.28515625" bestFit="1" customWidth="1"/>
    <col min="29" max="29" width="15.42578125" bestFit="1" customWidth="1"/>
    <col min="30" max="30" width="13.28515625" bestFit="1" customWidth="1"/>
    <col min="31" max="31" width="19" bestFit="1" customWidth="1"/>
    <col min="32" max="32" width="17" bestFit="1" customWidth="1"/>
    <col min="33" max="33" width="16.7109375" bestFit="1" customWidth="1"/>
    <col min="34" max="34" width="18.140625" bestFit="1" customWidth="1"/>
    <col min="35" max="35" width="16.85546875" bestFit="1" customWidth="1"/>
    <col min="36" max="36" width="24.5703125" bestFit="1" customWidth="1"/>
    <col min="37" max="37" width="13.85546875" bestFit="1" customWidth="1"/>
    <col min="38" max="38" width="13.140625" bestFit="1" customWidth="1"/>
    <col min="40" max="40" width="12" bestFit="1" customWidth="1"/>
    <col min="41" max="41" width="13.28515625" bestFit="1" customWidth="1"/>
    <col min="42" max="42" width="13.7109375" bestFit="1" customWidth="1"/>
    <col min="43" max="43" width="11.7109375" bestFit="1" customWidth="1"/>
    <col min="44" max="44" width="12.7109375" bestFit="1" customWidth="1"/>
    <col min="45" max="45" width="13" bestFit="1" customWidth="1"/>
    <col min="46" max="46" width="7.5703125" bestFit="1" customWidth="1"/>
    <col min="48" max="48" width="12.7109375" bestFit="1" customWidth="1"/>
    <col min="49" max="49" width="13" bestFit="1" customWidth="1"/>
    <col min="50" max="50" width="13.7109375" bestFit="1" customWidth="1"/>
    <col min="51" max="51" width="16.28515625" bestFit="1" customWidth="1"/>
    <col min="52" max="52" width="11.140625" bestFit="1" customWidth="1"/>
    <col min="53" max="53" width="13.140625" bestFit="1" customWidth="1"/>
    <col min="54" max="54" width="16.28515625" bestFit="1" customWidth="1"/>
    <col min="55" max="55" width="7.28515625" bestFit="1" customWidth="1"/>
    <col min="56" max="56" width="15.42578125" bestFit="1" customWidth="1"/>
    <col min="57" max="57" width="13.28515625" bestFit="1" customWidth="1"/>
    <col min="58" max="58" width="19" bestFit="1" customWidth="1"/>
    <col min="59" max="59" width="17" bestFit="1" customWidth="1"/>
    <col min="60" max="60" width="16.7109375" bestFit="1" customWidth="1"/>
    <col min="61" max="61" width="18.140625" bestFit="1" customWidth="1"/>
    <col min="62" max="62" width="16.85546875" bestFit="1" customWidth="1"/>
    <col min="63" max="63" width="24.5703125" bestFit="1" customWidth="1"/>
    <col min="64" max="64" width="13.85546875" bestFit="1" customWidth="1"/>
    <col min="65" max="65" width="13.140625" bestFit="1" customWidth="1"/>
    <col min="67" max="67" width="12.7109375" bestFit="1" customWidth="1"/>
    <col min="68" max="68" width="11.28515625" bestFit="1" customWidth="1"/>
    <col min="69" max="69" width="11.42578125" bestFit="1" customWidth="1"/>
    <col min="70" max="70" width="15.7109375" bestFit="1" customWidth="1"/>
    <col min="72" max="72" width="12.85546875" customWidth="1"/>
    <col min="73" max="73" width="12.5703125" customWidth="1"/>
    <col min="74" max="74" width="13.5703125" customWidth="1"/>
    <col min="75" max="75" width="16" customWidth="1"/>
    <col min="76" max="76" width="12.42578125" customWidth="1"/>
    <col min="77" max="77" width="15" customWidth="1"/>
    <col min="78" max="78" width="13.85546875" customWidth="1"/>
    <col min="79" max="79" width="15.140625" customWidth="1"/>
    <col min="80" max="80" width="13.140625" customWidth="1"/>
    <col min="81" max="81" width="18.7109375" customWidth="1"/>
    <col min="82" max="82" width="16.7109375" customWidth="1"/>
    <col min="83" max="83" width="21.28515625" customWidth="1"/>
    <col min="84" max="84" width="22.7109375" customWidth="1"/>
    <col min="85" max="85" width="20" customWidth="1"/>
    <col min="86" max="86" width="28.85546875" customWidth="1"/>
    <col min="87" max="87" width="14.42578125" customWidth="1"/>
  </cols>
  <sheetData>
    <row r="1" spans="1:87" ht="15.75">
      <c r="A1" s="184" t="s">
        <v>20553</v>
      </c>
    </row>
    <row r="2" spans="1:87">
      <c r="A2" s="122" t="s">
        <v>20554</v>
      </c>
    </row>
    <row r="4" spans="1:87">
      <c r="A4" s="47" t="s">
        <v>20557</v>
      </c>
      <c r="D4" s="47" t="s">
        <v>20561</v>
      </c>
      <c r="K4" s="47" t="s">
        <v>20566</v>
      </c>
      <c r="U4" s="47" t="s">
        <v>20571</v>
      </c>
      <c r="AN4" s="47" t="s">
        <v>20575</v>
      </c>
      <c r="AV4" s="47" t="s">
        <v>20578</v>
      </c>
      <c r="BO4" s="47" t="s">
        <v>20625</v>
      </c>
      <c r="BT4" s="47" t="s">
        <v>20580</v>
      </c>
    </row>
    <row r="5" spans="1:87">
      <c r="A5" t="s">
        <v>20558</v>
      </c>
      <c r="B5" t="s">
        <v>20559</v>
      </c>
      <c r="D5" t="s">
        <v>193</v>
      </c>
      <c r="E5" t="s">
        <v>20555</v>
      </c>
      <c r="F5" t="s">
        <v>20562</v>
      </c>
      <c r="G5" t="s">
        <v>20563</v>
      </c>
      <c r="H5" t="s">
        <v>20564</v>
      </c>
      <c r="I5" t="s">
        <v>20565</v>
      </c>
      <c r="K5" t="s">
        <v>181</v>
      </c>
      <c r="L5" t="s">
        <v>193</v>
      </c>
      <c r="M5" t="s">
        <v>2421</v>
      </c>
      <c r="N5" t="s">
        <v>20567</v>
      </c>
      <c r="O5" t="s">
        <v>20568</v>
      </c>
      <c r="P5" t="s">
        <v>20569</v>
      </c>
      <c r="Q5" t="s">
        <v>20570</v>
      </c>
      <c r="R5" t="s">
        <v>148</v>
      </c>
      <c r="S5" t="s">
        <v>2620</v>
      </c>
      <c r="U5" t="s">
        <v>193</v>
      </c>
      <c r="V5" t="s">
        <v>20555</v>
      </c>
      <c r="W5" t="s">
        <v>181</v>
      </c>
      <c r="X5" t="s">
        <v>127</v>
      </c>
      <c r="Y5" t="s">
        <v>2446</v>
      </c>
      <c r="Z5" t="s">
        <v>2421</v>
      </c>
      <c r="AA5" t="s">
        <v>2423</v>
      </c>
      <c r="AB5" t="s">
        <v>20572</v>
      </c>
      <c r="AC5" t="s">
        <v>117</v>
      </c>
      <c r="AD5" t="s">
        <v>118</v>
      </c>
      <c r="AE5" t="s">
        <v>2454</v>
      </c>
      <c r="AF5" t="s">
        <v>2456</v>
      </c>
      <c r="AG5" t="s">
        <v>2458</v>
      </c>
      <c r="AH5" t="s">
        <v>2466</v>
      </c>
      <c r="AI5" t="s">
        <v>2462</v>
      </c>
      <c r="AJ5" t="s">
        <v>2470</v>
      </c>
      <c r="AK5" t="s">
        <v>20573</v>
      </c>
      <c r="AL5" t="s">
        <v>20574</v>
      </c>
      <c r="AN5" t="s">
        <v>2601</v>
      </c>
      <c r="AO5" t="s">
        <v>2602</v>
      </c>
      <c r="AP5" t="s">
        <v>181</v>
      </c>
      <c r="AQ5" t="s">
        <v>20576</v>
      </c>
      <c r="AR5" t="s">
        <v>193</v>
      </c>
      <c r="AS5" t="s">
        <v>20555</v>
      </c>
      <c r="AT5" t="s">
        <v>20577</v>
      </c>
      <c r="AV5" t="s">
        <v>193</v>
      </c>
      <c r="AW5" t="s">
        <v>20555</v>
      </c>
      <c r="AX5" t="s">
        <v>181</v>
      </c>
      <c r="AY5" t="s">
        <v>127</v>
      </c>
      <c r="AZ5" t="s">
        <v>2446</v>
      </c>
      <c r="BA5" t="s">
        <v>2421</v>
      </c>
      <c r="BB5" t="s">
        <v>2423</v>
      </c>
      <c r="BC5" t="s">
        <v>20572</v>
      </c>
      <c r="BD5" t="s">
        <v>117</v>
      </c>
      <c r="BE5" t="s">
        <v>118</v>
      </c>
      <c r="BF5" t="s">
        <v>2454</v>
      </c>
      <c r="BG5" t="s">
        <v>2456</v>
      </c>
      <c r="BH5" t="s">
        <v>2458</v>
      </c>
      <c r="BI5" t="s">
        <v>2466</v>
      </c>
      <c r="BJ5" t="s">
        <v>2462</v>
      </c>
      <c r="BK5" t="s">
        <v>2470</v>
      </c>
      <c r="BL5" t="s">
        <v>20573</v>
      </c>
      <c r="BM5" t="s">
        <v>20574</v>
      </c>
      <c r="BO5" s="44" t="s">
        <v>193</v>
      </c>
      <c r="BP5" t="s">
        <v>20622</v>
      </c>
      <c r="BQ5" t="s">
        <v>20623</v>
      </c>
      <c r="BR5" t="s">
        <v>20624</v>
      </c>
      <c r="BT5" s="84" t="s">
        <v>20555</v>
      </c>
      <c r="BU5" t="s">
        <v>193</v>
      </c>
      <c r="BV5" s="84" t="s">
        <v>181</v>
      </c>
      <c r="BW5" s="84" t="s">
        <v>127</v>
      </c>
      <c r="BX5" t="s">
        <v>2609</v>
      </c>
      <c r="BY5" t="s">
        <v>2610</v>
      </c>
      <c r="BZ5" t="s">
        <v>2611</v>
      </c>
      <c r="CA5" t="s">
        <v>117</v>
      </c>
      <c r="CB5" t="s">
        <v>118</v>
      </c>
      <c r="CC5" t="s">
        <v>2454</v>
      </c>
      <c r="CD5" t="s">
        <v>2456</v>
      </c>
      <c r="CE5" t="s">
        <v>2612</v>
      </c>
      <c r="CF5" t="s">
        <v>2613</v>
      </c>
      <c r="CG5" t="s">
        <v>2614</v>
      </c>
      <c r="CH5" t="s">
        <v>2615</v>
      </c>
      <c r="CI5" s="55" t="s">
        <v>20579</v>
      </c>
    </row>
    <row r="6" spans="1:87">
      <c r="A6" t="s">
        <v>20560</v>
      </c>
      <c r="B6">
        <v>77</v>
      </c>
      <c r="BT6" s="395"/>
      <c r="BU6" s="390"/>
      <c r="BV6" s="395"/>
      <c r="BW6" s="395"/>
      <c r="BX6" s="390"/>
      <c r="BY6" s="390"/>
      <c r="BZ6" s="390"/>
      <c r="CA6" s="390"/>
      <c r="CB6" s="390"/>
      <c r="CC6" s="390"/>
      <c r="CD6" s="390"/>
      <c r="CE6" s="390"/>
      <c r="CF6" s="390"/>
      <c r="CG6" s="390"/>
      <c r="CH6" s="390"/>
      <c r="CI6" s="394"/>
    </row>
  </sheetData>
  <sheetProtection algorithmName="SHA-512" hashValue="kt4We0eCYGc8mbBWItXImMMW6dtT93V2fG3pdtzDU/ligGtOZbnR9ikS6Ua0hTSJzc++H8VLtLG2ajPYqbSTrg==" saltValue="LfmuH4L3ne9UZ6vCPB93vQ==" spinCount="100000" sheet="1" scenarios="1" formatColumns="0" sort="0" autoFilter="0" pivotTables="0"/>
  <phoneticPr fontId="17" type="noConversion"/>
  <pageMargins left="0.7" right="0.7" top="0.75" bottom="0.75" header="0.3" footer="0.3"/>
  <tableParts count="7">
    <tablePart r:id="rId2"/>
    <tablePart r:id="rId3"/>
    <tablePart r:id="rId4"/>
    <tablePart r:id="rId5"/>
    <tablePart r:id="rId6"/>
    <tablePart r:id="rId7"/>
    <tablePart r:id="rId8"/>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9">
    <tabColor rgb="FF70AD47"/>
  </sheetPr>
  <dimension ref="A1:I5"/>
  <sheetViews>
    <sheetView showGridLines="0" workbookViewId="0"/>
  </sheetViews>
  <sheetFormatPr defaultRowHeight="12.75"/>
  <cols>
    <col min="1" max="1" width="12.7109375" bestFit="1" customWidth="1"/>
    <col min="2" max="2" width="13.7109375" bestFit="1" customWidth="1"/>
    <col min="3" max="3" width="13.140625" bestFit="1" customWidth="1"/>
    <col min="4" max="4" width="12.28515625" bestFit="1" customWidth="1"/>
    <col min="5" max="5" width="10.7109375" bestFit="1" customWidth="1"/>
    <col min="6" max="6" width="17.85546875" bestFit="1" customWidth="1"/>
    <col min="7" max="7" width="16.42578125" bestFit="1" customWidth="1"/>
    <col min="8" max="8" width="16.140625" bestFit="1" customWidth="1"/>
    <col min="9" max="9" width="8.5703125" bestFit="1" customWidth="1"/>
  </cols>
  <sheetData>
    <row r="1" spans="1:9" ht="18">
      <c r="A1" s="29" t="s">
        <v>2356</v>
      </c>
    </row>
    <row r="2" spans="1:9">
      <c r="A2" s="10" t="s">
        <v>2357</v>
      </c>
    </row>
    <row r="3" spans="1:9">
      <c r="A3" s="101" t="str" cm="1">
        <f t="array" ref="A3">IF(prmSetupCompletedOn="",_xlfn.XLOOKUP("NODATA",tblUIText[Key],tblUIText[Text],"NODATA"),"")</f>
        <v>Henüz veri yok – Kurulum'u tamamlayın (Giriş sayfası).
No data yet – complete Setup (Home).</v>
      </c>
    </row>
    <row r="4" spans="1:9">
      <c r="A4" t="s">
        <v>193</v>
      </c>
      <c r="B4" t="s">
        <v>181</v>
      </c>
      <c r="C4" t="s">
        <v>2421</v>
      </c>
      <c r="D4" t="s">
        <v>2617</v>
      </c>
      <c r="E4" t="s">
        <v>2618</v>
      </c>
      <c r="F4" t="s">
        <v>297</v>
      </c>
      <c r="G4" t="s">
        <v>296</v>
      </c>
      <c r="H4" t="s">
        <v>2619</v>
      </c>
      <c r="I4" t="s">
        <v>2620</v>
      </c>
    </row>
    <row r="5" spans="1:9">
      <c r="A5" s="40"/>
    </row>
  </sheetData>
  <sheetProtection algorithmName="SHA-512" hashValue="WMH1mhc5KKMo8hul42pktgHDZ6ATno/Y0ARVx8P/cirFgOFnMwhX76R6JOMmBGr8tTnsh8SnYiGUksdswfBTNQ==" saltValue="6Hi1mFSiIuR5Zoc+l5JgXQ==" spinCount="100000" sheet="1" scenarios="1" formatColumns="0" sort="0" autoFilter="0"/>
  <phoneticPr fontId="17" type="noConversion"/>
  <conditionalFormatting sqref="E5:E4956">
    <cfRule type="cellIs" dxfId="4" priority="1" operator="equal">
      <formula>"OK"</formula>
    </cfRule>
    <cfRule type="cellIs" dxfId="3" priority="2" operator="equal">
      <formula>"REVIEW"</formula>
    </cfRule>
    <cfRule type="cellIs" dxfId="2" priority="3" operator="equal">
      <formula>"NO INPUT"</formula>
    </cfRule>
    <cfRule type="cellIs" dxfId="1" priority="4" operator="equal">
      <formula>"INFO"</formula>
    </cfRule>
  </conditionalFormatting>
  <pageMargins left="0.75" right="0.75" top="1" bottom="1" header="0.5" footer="0.5"/>
  <tableParts count="1">
    <tablePart r:id="rId1"/>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51AB9-07D5-43DD-B1A8-98517CB0E327}">
  <sheetPr codeName="Sheet30"/>
  <dimension ref="A1:G5"/>
  <sheetViews>
    <sheetView workbookViewId="0"/>
  </sheetViews>
  <sheetFormatPr defaultRowHeight="12.75"/>
  <cols>
    <col min="1" max="1" width="11.5703125" bestFit="1" customWidth="1"/>
    <col min="2" max="2" width="16.28515625" bestFit="1" customWidth="1"/>
    <col min="3" max="3" width="13.28515625" bestFit="1" customWidth="1"/>
    <col min="4" max="4" width="10.28515625" bestFit="1" customWidth="1"/>
    <col min="5" max="5" width="13.85546875" bestFit="1" customWidth="1"/>
    <col min="6" max="6" width="81.140625" bestFit="1" customWidth="1"/>
    <col min="7" max="7" width="23.140625" bestFit="1" customWidth="1"/>
  </cols>
  <sheetData>
    <row r="1" spans="1:7" ht="20.25">
      <c r="A1" s="53" t="s">
        <v>3170</v>
      </c>
    </row>
    <row r="2" spans="1:7">
      <c r="A2" s="54" t="s">
        <v>3171</v>
      </c>
    </row>
    <row r="3" spans="1:7">
      <c r="A3" s="101" t="str" cm="1">
        <f t="array" ref="A3">IF(prmSetupCompletedOn="",_xlfn.XLOOKUP("NODATA",tblUIText[Key],tblUIText[Text],"NODATA"),"")</f>
        <v>Henüz veri yok – Kurulum'u tamamlayın (Giriş sayfası).
No data yet – complete Setup (Home).</v>
      </c>
    </row>
    <row r="4" spans="1:7">
      <c r="A4" t="s">
        <v>617</v>
      </c>
      <c r="B4" t="s">
        <v>127</v>
      </c>
      <c r="C4" t="s">
        <v>618</v>
      </c>
      <c r="D4" t="s">
        <v>3172</v>
      </c>
      <c r="E4" t="s">
        <v>3173</v>
      </c>
      <c r="F4" t="s">
        <v>2620</v>
      </c>
      <c r="G4" t="s">
        <v>3174</v>
      </c>
    </row>
    <row r="5" spans="1:7">
      <c r="A5" s="38">
        <v>46300</v>
      </c>
      <c r="E5" t="s">
        <v>16352</v>
      </c>
      <c r="F5" t="s">
        <v>16353</v>
      </c>
      <c r="G5" t="b">
        <v>0</v>
      </c>
    </row>
  </sheetData>
  <sheetProtection algorithmName="SHA-512" hashValue="9VU1/ovheALM4jIOG7AhCisA7vAssJpn7wQwsecrt5zeDhSd3srP+2FNhTjbyYg8UXHxoM1Vk0bLKdywNyUFSw==" saltValue="NsplWz2mSqHPjXZfaM/xjQ==" spinCount="100000" sheet="1" scenarios="1" formatColumns="0" sort="0" autoFilter="0"/>
  <phoneticPr fontId="17" type="noConversion"/>
  <pageMargins left="0.7" right="0.7" top="0.75" bottom="0.75" header="0.3" footer="0.3"/>
  <tableParts count="1">
    <tablePart r:id="rId1"/>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E4FA7-E75D-4DB1-A816-B9EAB616A64A}">
  <sheetPr codeName="Sheet31"/>
  <dimension ref="A1:I5"/>
  <sheetViews>
    <sheetView workbookViewId="0"/>
  </sheetViews>
  <sheetFormatPr defaultRowHeight="12.75"/>
  <cols>
    <col min="1" max="1" width="15.42578125" bestFit="1" customWidth="1"/>
    <col min="2" max="2" width="16.85546875" bestFit="1" customWidth="1"/>
    <col min="3" max="3" width="18.42578125" bestFit="1" customWidth="1"/>
    <col min="4" max="4" width="19.28515625" bestFit="1" customWidth="1"/>
    <col min="5" max="5" width="18.42578125" bestFit="1" customWidth="1"/>
    <col min="6" max="6" width="17.28515625" bestFit="1" customWidth="1"/>
    <col min="7" max="7" width="16.28515625" bestFit="1" customWidth="1"/>
    <col min="8" max="8" width="20.5703125" bestFit="1" customWidth="1"/>
    <col min="9" max="9" width="13.5703125" bestFit="1" customWidth="1"/>
  </cols>
  <sheetData>
    <row r="1" spans="1:9" ht="20.25">
      <c r="A1" s="53" t="s">
        <v>3175</v>
      </c>
    </row>
    <row r="2" spans="1:9">
      <c r="A2" s="54" t="s">
        <v>3176</v>
      </c>
    </row>
    <row r="3" spans="1:9">
      <c r="A3" s="101" t="str" cm="1">
        <f t="array" ref="A3">IF(prmSetupCompletedOn="",_xlfn.XLOOKUP("NODATA",tblUIText[Key],tblUIText[Text],"NODATA"),"")</f>
        <v>Henüz veri yok – Kurulum'u tamamlayın (Giriş sayfası).
No data yet – complete Setup (Home).</v>
      </c>
    </row>
    <row r="4" spans="1:9">
      <c r="A4" t="s">
        <v>3177</v>
      </c>
      <c r="B4" t="s">
        <v>3178</v>
      </c>
      <c r="C4" t="s">
        <v>3179</v>
      </c>
      <c r="D4" t="s">
        <v>3180</v>
      </c>
      <c r="E4" t="s">
        <v>3181</v>
      </c>
      <c r="F4" t="s">
        <v>3182</v>
      </c>
      <c r="G4" t="s">
        <v>3183</v>
      </c>
      <c r="H4" t="s">
        <v>3184</v>
      </c>
      <c r="I4" t="s">
        <v>3185</v>
      </c>
    </row>
    <row r="5" spans="1:9">
      <c r="A5" s="57">
        <v>46300.787558194446</v>
      </c>
      <c r="B5">
        <v>0</v>
      </c>
      <c r="C5">
        <v>0</v>
      </c>
      <c r="D5">
        <v>0</v>
      </c>
      <c r="E5" t="s">
        <v>2833</v>
      </c>
      <c r="F5">
        <v>0</v>
      </c>
      <c r="G5">
        <v>0</v>
      </c>
      <c r="I5" t="s">
        <v>68</v>
      </c>
    </row>
  </sheetData>
  <sheetProtection algorithmName="SHA-512" hashValue="xcLywDfipCJpx1VpFmibV4wdTQyJlPqVbYk0DUD/7H3SDWbRAQLpHav4t15gQKpyrxJYIggPApfSHXqqwzH6Gw==" saltValue="7tWC/0A+7IQvvuh5dUk6PQ==" spinCount="100000" sheet="1" scenarios="1" formatColumns="0" sort="0" autoFilter="0"/>
  <phoneticPr fontId="17" type="noConversion"/>
  <pageMargins left="0.7" right="0.7" top="0.75" bottom="0.75" header="0.3" footer="0.3"/>
  <tableParts count="1">
    <tablePart r:id="rId1"/>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54B19-27CB-402D-9072-B5BED5EDEF69}">
  <sheetPr codeName="Sheet35"/>
  <dimension ref="A1:G200"/>
  <sheetViews>
    <sheetView workbookViewId="0"/>
  </sheetViews>
  <sheetFormatPr defaultRowHeight="12.75"/>
  <cols>
    <col min="1" max="1" width="8.85546875" bestFit="1" customWidth="1"/>
    <col min="2" max="2" width="32.5703125" bestFit="1" customWidth="1"/>
    <col min="3" max="3" width="75" bestFit="1" customWidth="1"/>
    <col min="4" max="4" width="16" bestFit="1" customWidth="1"/>
    <col min="5" max="5" width="13.7109375" bestFit="1" customWidth="1"/>
    <col min="6" max="6" width="12.7109375" bestFit="1" customWidth="1"/>
    <col min="7" max="7" width="37.42578125" bestFit="1" customWidth="1"/>
  </cols>
  <sheetData>
    <row r="1" spans="1:7" ht="20.25">
      <c r="A1" s="53" t="s">
        <v>3877</v>
      </c>
    </row>
    <row r="2" spans="1:7">
      <c r="A2" s="54" t="s">
        <v>3878</v>
      </c>
    </row>
    <row r="3" spans="1:7">
      <c r="A3" t="str" cm="1">
        <f t="array" ref="A3">IF(prmSetupCompletedOn="",_xlfn.XLOOKUP("NODATA",tblUIText[Key],tblUIText[Text],"NODATA"),"")</f>
        <v>Henüz veri yok – Kurulum'u tamamlayın (Giriş sayfası).
No data yet – complete Setup (Home).</v>
      </c>
    </row>
    <row r="4" spans="1:7">
      <c r="A4" t="s">
        <v>3154</v>
      </c>
      <c r="B4" t="s">
        <v>2601</v>
      </c>
      <c r="C4" t="s">
        <v>2602</v>
      </c>
      <c r="D4" t="s">
        <v>2604</v>
      </c>
      <c r="E4" t="s">
        <v>181</v>
      </c>
      <c r="F4" t="s">
        <v>193</v>
      </c>
      <c r="G4" t="s">
        <v>21</v>
      </c>
    </row>
    <row r="5" spans="1:7">
      <c r="A5" t="s">
        <v>16058</v>
      </c>
      <c r="B5" t="s">
        <v>16059</v>
      </c>
      <c r="C5" t="s">
        <v>16060</v>
      </c>
      <c r="D5" t="s">
        <v>16061</v>
      </c>
      <c r="G5" t="s">
        <v>16062</v>
      </c>
    </row>
    <row r="6" spans="1:7">
      <c r="A6" t="s">
        <v>16058</v>
      </c>
      <c r="B6" t="s">
        <v>16059</v>
      </c>
      <c r="C6" t="s">
        <v>16063</v>
      </c>
      <c r="D6" t="s">
        <v>16061</v>
      </c>
      <c r="G6" t="s">
        <v>16062</v>
      </c>
    </row>
    <row r="7" spans="1:7">
      <c r="A7" t="s">
        <v>16058</v>
      </c>
      <c r="B7" t="s">
        <v>16059</v>
      </c>
      <c r="C7" t="s">
        <v>16064</v>
      </c>
      <c r="D7" t="s">
        <v>16061</v>
      </c>
      <c r="G7" t="s">
        <v>16062</v>
      </c>
    </row>
    <row r="8" spans="1:7">
      <c r="A8" t="s">
        <v>16058</v>
      </c>
      <c r="B8" t="s">
        <v>16059</v>
      </c>
      <c r="C8" t="s">
        <v>16065</v>
      </c>
      <c r="D8" t="s">
        <v>16061</v>
      </c>
      <c r="G8" t="s">
        <v>16062</v>
      </c>
    </row>
    <row r="9" spans="1:7">
      <c r="A9" t="s">
        <v>16058</v>
      </c>
      <c r="B9" t="s">
        <v>16059</v>
      </c>
      <c r="C9" t="s">
        <v>16066</v>
      </c>
      <c r="D9" t="s">
        <v>16061</v>
      </c>
      <c r="G9" t="s">
        <v>16062</v>
      </c>
    </row>
    <row r="10" spans="1:7">
      <c r="A10" t="s">
        <v>16058</v>
      </c>
      <c r="B10" t="s">
        <v>16059</v>
      </c>
      <c r="C10" t="s">
        <v>16067</v>
      </c>
      <c r="D10" t="s">
        <v>16061</v>
      </c>
      <c r="G10" t="s">
        <v>16062</v>
      </c>
    </row>
    <row r="11" spans="1:7">
      <c r="A11" t="s">
        <v>16058</v>
      </c>
      <c r="B11" t="s">
        <v>16059</v>
      </c>
      <c r="C11" t="s">
        <v>16068</v>
      </c>
      <c r="D11" t="s">
        <v>16061</v>
      </c>
      <c r="G11" t="s">
        <v>16062</v>
      </c>
    </row>
    <row r="12" spans="1:7">
      <c r="A12" t="s">
        <v>16058</v>
      </c>
      <c r="B12" t="s">
        <v>16059</v>
      </c>
      <c r="C12" t="s">
        <v>16069</v>
      </c>
      <c r="D12" t="s">
        <v>16061</v>
      </c>
      <c r="G12" t="s">
        <v>16062</v>
      </c>
    </row>
    <row r="13" spans="1:7">
      <c r="A13" t="s">
        <v>16058</v>
      </c>
      <c r="B13" t="s">
        <v>16059</v>
      </c>
      <c r="C13" t="s">
        <v>16070</v>
      </c>
      <c r="D13" t="s">
        <v>16061</v>
      </c>
      <c r="G13" t="s">
        <v>16062</v>
      </c>
    </row>
    <row r="14" spans="1:7">
      <c r="A14" t="s">
        <v>16058</v>
      </c>
      <c r="B14" t="s">
        <v>16059</v>
      </c>
      <c r="C14" t="s">
        <v>16071</v>
      </c>
      <c r="D14" t="s">
        <v>16061</v>
      </c>
      <c r="G14" t="s">
        <v>16062</v>
      </c>
    </row>
    <row r="15" spans="1:7">
      <c r="A15" t="s">
        <v>16058</v>
      </c>
      <c r="B15" t="s">
        <v>16059</v>
      </c>
      <c r="C15" t="s">
        <v>16072</v>
      </c>
      <c r="D15" t="s">
        <v>16061</v>
      </c>
      <c r="G15" t="s">
        <v>16062</v>
      </c>
    </row>
    <row r="16" spans="1:7">
      <c r="A16" t="s">
        <v>16058</v>
      </c>
      <c r="B16" t="s">
        <v>16059</v>
      </c>
      <c r="C16" t="s">
        <v>16073</v>
      </c>
      <c r="D16" t="s">
        <v>16061</v>
      </c>
      <c r="G16" t="s">
        <v>16062</v>
      </c>
    </row>
    <row r="17" spans="1:7">
      <c r="A17" t="s">
        <v>16058</v>
      </c>
      <c r="B17" t="s">
        <v>16059</v>
      </c>
      <c r="C17" t="s">
        <v>16074</v>
      </c>
      <c r="D17" t="s">
        <v>16061</v>
      </c>
      <c r="G17" t="s">
        <v>16062</v>
      </c>
    </row>
    <row r="18" spans="1:7">
      <c r="A18" t="s">
        <v>16058</v>
      </c>
      <c r="B18" t="s">
        <v>16059</v>
      </c>
      <c r="C18" t="s">
        <v>16075</v>
      </c>
      <c r="D18" t="s">
        <v>16061</v>
      </c>
      <c r="G18" t="s">
        <v>16062</v>
      </c>
    </row>
    <row r="19" spans="1:7">
      <c r="A19" t="s">
        <v>16058</v>
      </c>
      <c r="B19" t="s">
        <v>16059</v>
      </c>
      <c r="C19" t="s">
        <v>16076</v>
      </c>
      <c r="D19" t="s">
        <v>16061</v>
      </c>
      <c r="G19" t="s">
        <v>16062</v>
      </c>
    </row>
    <row r="20" spans="1:7">
      <c r="A20" t="s">
        <v>16058</v>
      </c>
      <c r="B20" t="s">
        <v>16059</v>
      </c>
      <c r="C20" t="s">
        <v>16077</v>
      </c>
      <c r="D20" t="s">
        <v>16061</v>
      </c>
      <c r="G20" t="s">
        <v>16062</v>
      </c>
    </row>
    <row r="21" spans="1:7">
      <c r="A21" t="s">
        <v>16058</v>
      </c>
      <c r="B21" t="s">
        <v>16059</v>
      </c>
      <c r="C21" t="s">
        <v>16078</v>
      </c>
      <c r="D21" t="s">
        <v>16061</v>
      </c>
      <c r="G21" t="s">
        <v>16062</v>
      </c>
    </row>
    <row r="22" spans="1:7">
      <c r="A22" t="s">
        <v>16058</v>
      </c>
      <c r="B22" t="s">
        <v>16059</v>
      </c>
      <c r="C22" t="s">
        <v>16079</v>
      </c>
      <c r="D22" t="s">
        <v>16061</v>
      </c>
      <c r="G22" t="s">
        <v>16062</v>
      </c>
    </row>
    <row r="23" spans="1:7">
      <c r="A23" t="s">
        <v>16058</v>
      </c>
      <c r="B23" t="s">
        <v>16080</v>
      </c>
      <c r="C23" t="s">
        <v>16069</v>
      </c>
      <c r="D23" t="s">
        <v>16081</v>
      </c>
      <c r="E23" t="s">
        <v>16082</v>
      </c>
      <c r="F23">
        <v>202601</v>
      </c>
    </row>
    <row r="24" spans="1:7">
      <c r="A24" t="s">
        <v>16058</v>
      </c>
      <c r="B24" t="s">
        <v>16083</v>
      </c>
      <c r="C24" t="s">
        <v>16071</v>
      </c>
      <c r="D24" t="s">
        <v>16081</v>
      </c>
      <c r="E24" t="s">
        <v>16084</v>
      </c>
      <c r="F24">
        <v>202501</v>
      </c>
    </row>
    <row r="25" spans="1:7">
      <c r="A25" t="s">
        <v>16058</v>
      </c>
      <c r="B25" t="s">
        <v>16085</v>
      </c>
      <c r="C25" t="s">
        <v>16075</v>
      </c>
      <c r="D25" t="s">
        <v>16081</v>
      </c>
      <c r="E25" t="s">
        <v>16084</v>
      </c>
      <c r="F25">
        <v>202601</v>
      </c>
    </row>
    <row r="26" spans="1:7">
      <c r="A26" t="s">
        <v>16058</v>
      </c>
      <c r="B26" t="s">
        <v>16086</v>
      </c>
      <c r="C26" t="s">
        <v>16079</v>
      </c>
      <c r="D26" t="s">
        <v>16081</v>
      </c>
      <c r="E26" t="s">
        <v>16084</v>
      </c>
      <c r="F26">
        <v>202502</v>
      </c>
    </row>
    <row r="27" spans="1:7">
      <c r="A27" t="s">
        <v>16058</v>
      </c>
      <c r="B27" t="s">
        <v>16087</v>
      </c>
      <c r="C27" t="s">
        <v>16079</v>
      </c>
      <c r="D27" t="s">
        <v>16081</v>
      </c>
      <c r="E27" t="s">
        <v>16084</v>
      </c>
      <c r="F27">
        <v>202602</v>
      </c>
    </row>
    <row r="28" spans="1:7">
      <c r="A28" t="s">
        <v>16058</v>
      </c>
      <c r="B28" t="s">
        <v>16088</v>
      </c>
      <c r="C28" t="s">
        <v>16079</v>
      </c>
      <c r="D28" t="s">
        <v>16081</v>
      </c>
      <c r="E28" t="s">
        <v>16084</v>
      </c>
      <c r="F28">
        <v>202503</v>
      </c>
    </row>
    <row r="29" spans="1:7">
      <c r="A29" t="s">
        <v>16058</v>
      </c>
      <c r="B29" t="s">
        <v>16089</v>
      </c>
      <c r="C29" t="s">
        <v>16075</v>
      </c>
      <c r="D29" t="s">
        <v>16081</v>
      </c>
      <c r="E29" t="s">
        <v>16084</v>
      </c>
      <c r="F29">
        <v>202603</v>
      </c>
    </row>
    <row r="30" spans="1:7">
      <c r="A30" t="s">
        <v>16058</v>
      </c>
      <c r="B30" t="s">
        <v>16090</v>
      </c>
      <c r="C30" t="s">
        <v>16071</v>
      </c>
      <c r="D30" t="s">
        <v>16081</v>
      </c>
      <c r="E30" t="s">
        <v>16084</v>
      </c>
      <c r="F30">
        <v>202504</v>
      </c>
    </row>
    <row r="31" spans="1:7">
      <c r="A31" t="s">
        <v>16058</v>
      </c>
      <c r="B31" t="s">
        <v>16091</v>
      </c>
      <c r="C31" t="s">
        <v>16075</v>
      </c>
      <c r="D31" t="s">
        <v>16081</v>
      </c>
      <c r="E31" t="s">
        <v>16084</v>
      </c>
      <c r="F31">
        <v>202604</v>
      </c>
    </row>
    <row r="32" spans="1:7">
      <c r="A32" t="s">
        <v>16058</v>
      </c>
      <c r="B32" t="s">
        <v>16092</v>
      </c>
      <c r="C32" t="s">
        <v>16077</v>
      </c>
      <c r="D32" t="s">
        <v>16081</v>
      </c>
      <c r="E32" t="s">
        <v>16084</v>
      </c>
      <c r="F32">
        <v>202505</v>
      </c>
    </row>
    <row r="33" spans="1:6">
      <c r="A33" t="s">
        <v>16058</v>
      </c>
      <c r="B33" t="s">
        <v>16093</v>
      </c>
      <c r="C33" t="s">
        <v>16079</v>
      </c>
      <c r="D33" t="s">
        <v>16081</v>
      </c>
      <c r="E33" t="s">
        <v>16084</v>
      </c>
      <c r="F33">
        <v>202605</v>
      </c>
    </row>
    <row r="34" spans="1:6">
      <c r="A34" t="s">
        <v>16058</v>
      </c>
      <c r="B34" t="s">
        <v>16094</v>
      </c>
      <c r="C34" t="s">
        <v>16060</v>
      </c>
      <c r="D34" t="s">
        <v>16081</v>
      </c>
      <c r="E34" t="s">
        <v>16084</v>
      </c>
      <c r="F34">
        <v>202506</v>
      </c>
    </row>
    <row r="35" spans="1:6">
      <c r="A35" t="s">
        <v>16058</v>
      </c>
      <c r="B35" t="s">
        <v>16095</v>
      </c>
      <c r="C35" t="s">
        <v>16077</v>
      </c>
      <c r="D35" t="s">
        <v>16081</v>
      </c>
      <c r="E35" t="s">
        <v>16084</v>
      </c>
      <c r="F35">
        <v>202606</v>
      </c>
    </row>
    <row r="36" spans="1:6">
      <c r="A36" t="s">
        <v>16058</v>
      </c>
      <c r="B36" t="s">
        <v>16096</v>
      </c>
      <c r="C36" t="s">
        <v>16071</v>
      </c>
      <c r="D36" t="s">
        <v>16081</v>
      </c>
      <c r="E36" t="s">
        <v>16084</v>
      </c>
      <c r="F36">
        <v>202507</v>
      </c>
    </row>
    <row r="37" spans="1:6">
      <c r="A37" t="s">
        <v>16058</v>
      </c>
      <c r="B37" t="s">
        <v>16097</v>
      </c>
      <c r="C37" t="s">
        <v>16079</v>
      </c>
      <c r="D37" t="s">
        <v>16081</v>
      </c>
      <c r="E37" t="s">
        <v>16084</v>
      </c>
      <c r="F37">
        <v>202607</v>
      </c>
    </row>
    <row r="38" spans="1:6">
      <c r="A38" t="s">
        <v>16058</v>
      </c>
      <c r="B38" t="s">
        <v>16098</v>
      </c>
      <c r="C38" t="s">
        <v>16073</v>
      </c>
      <c r="D38" t="s">
        <v>16081</v>
      </c>
      <c r="E38" t="s">
        <v>16084</v>
      </c>
      <c r="F38">
        <v>202508</v>
      </c>
    </row>
    <row r="39" spans="1:6">
      <c r="A39" t="s">
        <v>16058</v>
      </c>
      <c r="B39" t="s">
        <v>16099</v>
      </c>
      <c r="C39" t="s">
        <v>16060</v>
      </c>
      <c r="D39" t="s">
        <v>16081</v>
      </c>
      <c r="E39" t="s">
        <v>16084</v>
      </c>
      <c r="F39">
        <v>202608</v>
      </c>
    </row>
    <row r="40" spans="1:6">
      <c r="A40" t="s">
        <v>16058</v>
      </c>
      <c r="B40" t="s">
        <v>16100</v>
      </c>
      <c r="C40" t="s">
        <v>16079</v>
      </c>
      <c r="D40" t="s">
        <v>16081</v>
      </c>
      <c r="E40" t="s">
        <v>16084</v>
      </c>
      <c r="F40">
        <v>202409</v>
      </c>
    </row>
    <row r="41" spans="1:6">
      <c r="A41" t="s">
        <v>16058</v>
      </c>
      <c r="B41" t="s">
        <v>16101</v>
      </c>
      <c r="C41" t="s">
        <v>16071</v>
      </c>
      <c r="D41" t="s">
        <v>16081</v>
      </c>
      <c r="E41" t="s">
        <v>16084</v>
      </c>
      <c r="F41">
        <v>202509</v>
      </c>
    </row>
    <row r="42" spans="1:6">
      <c r="A42" t="s">
        <v>16058</v>
      </c>
      <c r="B42" t="s">
        <v>16102</v>
      </c>
      <c r="C42" t="s">
        <v>16079</v>
      </c>
      <c r="D42" t="s">
        <v>16081</v>
      </c>
      <c r="E42" t="s">
        <v>16084</v>
      </c>
      <c r="F42">
        <v>202410</v>
      </c>
    </row>
    <row r="43" spans="1:6">
      <c r="A43" t="s">
        <v>16058</v>
      </c>
      <c r="B43" t="s">
        <v>16103</v>
      </c>
      <c r="C43" t="s">
        <v>16079</v>
      </c>
      <c r="D43" t="s">
        <v>16081</v>
      </c>
      <c r="E43" t="s">
        <v>16084</v>
      </c>
      <c r="F43">
        <v>202510</v>
      </c>
    </row>
    <row r="44" spans="1:6">
      <c r="A44" t="s">
        <v>16058</v>
      </c>
      <c r="B44" t="s">
        <v>16104</v>
      </c>
      <c r="C44" t="s">
        <v>16077</v>
      </c>
      <c r="D44" t="s">
        <v>16081</v>
      </c>
      <c r="E44" t="s">
        <v>16084</v>
      </c>
      <c r="F44">
        <v>202411</v>
      </c>
    </row>
    <row r="45" spans="1:6">
      <c r="A45" t="s">
        <v>16058</v>
      </c>
      <c r="B45" t="s">
        <v>16105</v>
      </c>
      <c r="C45" t="s">
        <v>16077</v>
      </c>
      <c r="D45" t="s">
        <v>16081</v>
      </c>
      <c r="E45" t="s">
        <v>16084</v>
      </c>
      <c r="F45">
        <v>202511</v>
      </c>
    </row>
    <row r="46" spans="1:6">
      <c r="A46" t="s">
        <v>16058</v>
      </c>
      <c r="B46" t="s">
        <v>16106</v>
      </c>
      <c r="C46" t="s">
        <v>16077</v>
      </c>
      <c r="D46" t="s">
        <v>16081</v>
      </c>
      <c r="E46" t="s">
        <v>16084</v>
      </c>
      <c r="F46">
        <v>202412</v>
      </c>
    </row>
    <row r="47" spans="1:6">
      <c r="A47" t="s">
        <v>16058</v>
      </c>
      <c r="B47" t="s">
        <v>16107</v>
      </c>
      <c r="C47" t="s">
        <v>16073</v>
      </c>
      <c r="D47" t="s">
        <v>16081</v>
      </c>
      <c r="E47" t="s">
        <v>16084</v>
      </c>
      <c r="F47">
        <v>202512</v>
      </c>
    </row>
    <row r="48" spans="1:6">
      <c r="A48" t="s">
        <v>16058</v>
      </c>
      <c r="B48" t="s">
        <v>16108</v>
      </c>
      <c r="C48" t="s">
        <v>16077</v>
      </c>
      <c r="D48" t="s">
        <v>16081</v>
      </c>
      <c r="E48" t="s">
        <v>16109</v>
      </c>
      <c r="F48">
        <v>202501</v>
      </c>
    </row>
    <row r="49" spans="1:6">
      <c r="A49" t="s">
        <v>16058</v>
      </c>
      <c r="B49" t="s">
        <v>16110</v>
      </c>
      <c r="C49" t="s">
        <v>16075</v>
      </c>
      <c r="D49" t="s">
        <v>16081</v>
      </c>
      <c r="E49" t="s">
        <v>16109</v>
      </c>
      <c r="F49">
        <v>202601</v>
      </c>
    </row>
    <row r="50" spans="1:6">
      <c r="A50" t="s">
        <v>16058</v>
      </c>
      <c r="B50" t="s">
        <v>16111</v>
      </c>
      <c r="C50" t="s">
        <v>16079</v>
      </c>
      <c r="D50" t="s">
        <v>16081</v>
      </c>
      <c r="E50" t="s">
        <v>16109</v>
      </c>
      <c r="F50">
        <v>202502</v>
      </c>
    </row>
    <row r="51" spans="1:6">
      <c r="A51" t="s">
        <v>16058</v>
      </c>
      <c r="B51" t="s">
        <v>16112</v>
      </c>
      <c r="C51" t="s">
        <v>16077</v>
      </c>
      <c r="D51" t="s">
        <v>16081</v>
      </c>
      <c r="E51" t="s">
        <v>16109</v>
      </c>
      <c r="F51">
        <v>202602</v>
      </c>
    </row>
    <row r="52" spans="1:6">
      <c r="A52" t="s">
        <v>16058</v>
      </c>
      <c r="B52" t="s">
        <v>16113</v>
      </c>
      <c r="C52" t="s">
        <v>16073</v>
      </c>
      <c r="D52" t="s">
        <v>16081</v>
      </c>
      <c r="E52" t="s">
        <v>16109</v>
      </c>
      <c r="F52">
        <v>202503</v>
      </c>
    </row>
    <row r="53" spans="1:6">
      <c r="A53" t="s">
        <v>16058</v>
      </c>
      <c r="B53" t="s">
        <v>16114</v>
      </c>
      <c r="C53" t="s">
        <v>16071</v>
      </c>
      <c r="D53" t="s">
        <v>16081</v>
      </c>
      <c r="E53" t="s">
        <v>16109</v>
      </c>
      <c r="F53">
        <v>202603</v>
      </c>
    </row>
    <row r="54" spans="1:6">
      <c r="A54" t="s">
        <v>16058</v>
      </c>
      <c r="B54" t="s">
        <v>16115</v>
      </c>
      <c r="C54" t="s">
        <v>16060</v>
      </c>
      <c r="D54" t="s">
        <v>16081</v>
      </c>
      <c r="E54" t="s">
        <v>16109</v>
      </c>
      <c r="F54">
        <v>202504</v>
      </c>
    </row>
    <row r="55" spans="1:6">
      <c r="A55" t="s">
        <v>16058</v>
      </c>
      <c r="B55" t="s">
        <v>16116</v>
      </c>
      <c r="C55" t="s">
        <v>16071</v>
      </c>
      <c r="D55" t="s">
        <v>16081</v>
      </c>
      <c r="E55" t="s">
        <v>16109</v>
      </c>
      <c r="F55">
        <v>202604</v>
      </c>
    </row>
    <row r="56" spans="1:6">
      <c r="A56" t="s">
        <v>16058</v>
      </c>
      <c r="B56" t="s">
        <v>16117</v>
      </c>
      <c r="C56" t="s">
        <v>16073</v>
      </c>
      <c r="D56" t="s">
        <v>16081</v>
      </c>
      <c r="E56" t="s">
        <v>16109</v>
      </c>
      <c r="F56">
        <v>202505</v>
      </c>
    </row>
    <row r="57" spans="1:6">
      <c r="A57" t="s">
        <v>16058</v>
      </c>
      <c r="B57" t="s">
        <v>16118</v>
      </c>
      <c r="C57" t="s">
        <v>16079</v>
      </c>
      <c r="D57" t="s">
        <v>16081</v>
      </c>
      <c r="E57" t="s">
        <v>16109</v>
      </c>
      <c r="F57">
        <v>202605</v>
      </c>
    </row>
    <row r="58" spans="1:6">
      <c r="A58" t="s">
        <v>16058</v>
      </c>
      <c r="B58" t="s">
        <v>16119</v>
      </c>
      <c r="C58" t="s">
        <v>16073</v>
      </c>
      <c r="D58" t="s">
        <v>16081</v>
      </c>
      <c r="E58" t="s">
        <v>16109</v>
      </c>
      <c r="F58">
        <v>202506</v>
      </c>
    </row>
    <row r="59" spans="1:6">
      <c r="A59" t="s">
        <v>16058</v>
      </c>
      <c r="B59" t="s">
        <v>16120</v>
      </c>
      <c r="C59" t="s">
        <v>16079</v>
      </c>
      <c r="D59" t="s">
        <v>16081</v>
      </c>
      <c r="E59" t="s">
        <v>16109</v>
      </c>
      <c r="F59">
        <v>202606</v>
      </c>
    </row>
    <row r="60" spans="1:6">
      <c r="A60" t="s">
        <v>16058</v>
      </c>
      <c r="B60" t="s">
        <v>16121</v>
      </c>
      <c r="C60" t="s">
        <v>16079</v>
      </c>
      <c r="D60" t="s">
        <v>16081</v>
      </c>
      <c r="E60" t="s">
        <v>16109</v>
      </c>
      <c r="F60">
        <v>202507</v>
      </c>
    </row>
    <row r="61" spans="1:6">
      <c r="A61" t="s">
        <v>16058</v>
      </c>
      <c r="B61" t="s">
        <v>16122</v>
      </c>
      <c r="C61" t="s">
        <v>16060</v>
      </c>
      <c r="D61" t="s">
        <v>16081</v>
      </c>
      <c r="E61" t="s">
        <v>16109</v>
      </c>
      <c r="F61">
        <v>202607</v>
      </c>
    </row>
    <row r="62" spans="1:6">
      <c r="A62" t="s">
        <v>16058</v>
      </c>
      <c r="B62" t="s">
        <v>16123</v>
      </c>
      <c r="C62" t="s">
        <v>16073</v>
      </c>
      <c r="D62" t="s">
        <v>16081</v>
      </c>
      <c r="E62" t="s">
        <v>16109</v>
      </c>
      <c r="F62">
        <v>202508</v>
      </c>
    </row>
    <row r="63" spans="1:6">
      <c r="A63" t="s">
        <v>16058</v>
      </c>
      <c r="B63" t="s">
        <v>16124</v>
      </c>
      <c r="C63" t="s">
        <v>16075</v>
      </c>
      <c r="D63" t="s">
        <v>16081</v>
      </c>
      <c r="E63" t="s">
        <v>16109</v>
      </c>
      <c r="F63">
        <v>202608</v>
      </c>
    </row>
    <row r="64" spans="1:6">
      <c r="A64" t="s">
        <v>16058</v>
      </c>
      <c r="B64" t="s">
        <v>16125</v>
      </c>
      <c r="C64" t="s">
        <v>16060</v>
      </c>
      <c r="D64" t="s">
        <v>16081</v>
      </c>
      <c r="E64" t="s">
        <v>16109</v>
      </c>
      <c r="F64">
        <v>202409</v>
      </c>
    </row>
    <row r="65" spans="1:6">
      <c r="A65" t="s">
        <v>16058</v>
      </c>
      <c r="B65" t="s">
        <v>16126</v>
      </c>
      <c r="C65" t="s">
        <v>16071</v>
      </c>
      <c r="D65" t="s">
        <v>16081</v>
      </c>
      <c r="E65" t="s">
        <v>16109</v>
      </c>
      <c r="F65">
        <v>202509</v>
      </c>
    </row>
    <row r="66" spans="1:6">
      <c r="A66" t="s">
        <v>16058</v>
      </c>
      <c r="B66" t="s">
        <v>16127</v>
      </c>
      <c r="C66" t="s">
        <v>16128</v>
      </c>
      <c r="D66" t="s">
        <v>16081</v>
      </c>
      <c r="E66" t="s">
        <v>16109</v>
      </c>
      <c r="F66">
        <v>202410</v>
      </c>
    </row>
    <row r="67" spans="1:6">
      <c r="A67" t="s">
        <v>16058</v>
      </c>
      <c r="B67" t="s">
        <v>16129</v>
      </c>
      <c r="C67" t="s">
        <v>16060</v>
      </c>
      <c r="D67" t="s">
        <v>16081</v>
      </c>
      <c r="E67" t="s">
        <v>16109</v>
      </c>
      <c r="F67">
        <v>202510</v>
      </c>
    </row>
    <row r="68" spans="1:6">
      <c r="A68" t="s">
        <v>16058</v>
      </c>
      <c r="B68" t="s">
        <v>16130</v>
      </c>
      <c r="C68" t="s">
        <v>16071</v>
      </c>
      <c r="D68" t="s">
        <v>16081</v>
      </c>
      <c r="E68" t="s">
        <v>16109</v>
      </c>
      <c r="F68">
        <v>202411</v>
      </c>
    </row>
    <row r="69" spans="1:6">
      <c r="A69" t="s">
        <v>16058</v>
      </c>
      <c r="B69" t="s">
        <v>16131</v>
      </c>
      <c r="C69" t="s">
        <v>16060</v>
      </c>
      <c r="D69" t="s">
        <v>16081</v>
      </c>
      <c r="E69" t="s">
        <v>16109</v>
      </c>
      <c r="F69">
        <v>202511</v>
      </c>
    </row>
    <row r="70" spans="1:6">
      <c r="A70" t="s">
        <v>16058</v>
      </c>
      <c r="B70" t="s">
        <v>16132</v>
      </c>
      <c r="C70" t="s">
        <v>16077</v>
      </c>
      <c r="D70" t="s">
        <v>16081</v>
      </c>
      <c r="E70" t="s">
        <v>16109</v>
      </c>
      <c r="F70">
        <v>202412</v>
      </c>
    </row>
    <row r="71" spans="1:6">
      <c r="A71" t="s">
        <v>16058</v>
      </c>
      <c r="B71" t="s">
        <v>16133</v>
      </c>
      <c r="C71" t="s">
        <v>16073</v>
      </c>
      <c r="D71" t="s">
        <v>16081</v>
      </c>
      <c r="E71" t="s">
        <v>16109</v>
      </c>
      <c r="F71">
        <v>202512</v>
      </c>
    </row>
    <row r="72" spans="1:6">
      <c r="A72" t="s">
        <v>16058</v>
      </c>
      <c r="B72" t="s">
        <v>16134</v>
      </c>
      <c r="C72" t="s">
        <v>16066</v>
      </c>
      <c r="D72" t="s">
        <v>16081</v>
      </c>
      <c r="E72" t="s">
        <v>16135</v>
      </c>
      <c r="F72">
        <v>202501</v>
      </c>
    </row>
    <row r="73" spans="1:6">
      <c r="A73" t="s">
        <v>16058</v>
      </c>
      <c r="B73" t="s">
        <v>16136</v>
      </c>
      <c r="C73" t="s">
        <v>16067</v>
      </c>
      <c r="D73" t="s">
        <v>16081</v>
      </c>
      <c r="E73" t="s">
        <v>16135</v>
      </c>
      <c r="F73">
        <v>202601</v>
      </c>
    </row>
    <row r="74" spans="1:6">
      <c r="A74" t="s">
        <v>16058</v>
      </c>
      <c r="B74" t="s">
        <v>16137</v>
      </c>
      <c r="C74" t="s">
        <v>16070</v>
      </c>
      <c r="D74" t="s">
        <v>16081</v>
      </c>
      <c r="E74" t="s">
        <v>16135</v>
      </c>
      <c r="F74">
        <v>202502</v>
      </c>
    </row>
    <row r="75" spans="1:6">
      <c r="A75" t="s">
        <v>16058</v>
      </c>
      <c r="B75" t="s">
        <v>16138</v>
      </c>
      <c r="C75" t="s">
        <v>16067</v>
      </c>
      <c r="D75" t="s">
        <v>16081</v>
      </c>
      <c r="E75" t="s">
        <v>16135</v>
      </c>
      <c r="F75">
        <v>202602</v>
      </c>
    </row>
    <row r="76" spans="1:6">
      <c r="A76" t="s">
        <v>16058</v>
      </c>
      <c r="B76" t="s">
        <v>16139</v>
      </c>
      <c r="C76" t="s">
        <v>16066</v>
      </c>
      <c r="D76" t="s">
        <v>16081</v>
      </c>
      <c r="E76" t="s">
        <v>16135</v>
      </c>
      <c r="F76">
        <v>202503</v>
      </c>
    </row>
    <row r="77" spans="1:6">
      <c r="A77" t="s">
        <v>16058</v>
      </c>
      <c r="B77" t="s">
        <v>16140</v>
      </c>
      <c r="C77" t="s">
        <v>16064</v>
      </c>
      <c r="D77" t="s">
        <v>16081</v>
      </c>
      <c r="E77" t="s">
        <v>16135</v>
      </c>
      <c r="F77">
        <v>202603</v>
      </c>
    </row>
    <row r="78" spans="1:6">
      <c r="A78" t="s">
        <v>16058</v>
      </c>
      <c r="B78" t="s">
        <v>16141</v>
      </c>
      <c r="C78" t="s">
        <v>16066</v>
      </c>
      <c r="D78" t="s">
        <v>16081</v>
      </c>
      <c r="E78" t="s">
        <v>16135</v>
      </c>
      <c r="F78">
        <v>202504</v>
      </c>
    </row>
    <row r="79" spans="1:6">
      <c r="A79" t="s">
        <v>16058</v>
      </c>
      <c r="B79" t="s">
        <v>16142</v>
      </c>
      <c r="C79" t="s">
        <v>16070</v>
      </c>
      <c r="D79" t="s">
        <v>16081</v>
      </c>
      <c r="E79" t="s">
        <v>16135</v>
      </c>
      <c r="F79">
        <v>202604</v>
      </c>
    </row>
    <row r="80" spans="1:6">
      <c r="A80" t="s">
        <v>16058</v>
      </c>
      <c r="B80" t="s">
        <v>16143</v>
      </c>
      <c r="C80" t="s">
        <v>16068</v>
      </c>
      <c r="D80" t="s">
        <v>16081</v>
      </c>
      <c r="E80" t="s">
        <v>16135</v>
      </c>
      <c r="F80">
        <v>202505</v>
      </c>
    </row>
    <row r="81" spans="1:6">
      <c r="A81" t="s">
        <v>16058</v>
      </c>
      <c r="B81" t="s">
        <v>16144</v>
      </c>
      <c r="C81" t="s">
        <v>16068</v>
      </c>
      <c r="D81" t="s">
        <v>16081</v>
      </c>
      <c r="E81" t="s">
        <v>16135</v>
      </c>
      <c r="F81">
        <v>202605</v>
      </c>
    </row>
    <row r="82" spans="1:6">
      <c r="A82" t="s">
        <v>16058</v>
      </c>
      <c r="B82" t="s">
        <v>16145</v>
      </c>
      <c r="C82" t="s">
        <v>16066</v>
      </c>
      <c r="D82" t="s">
        <v>16081</v>
      </c>
      <c r="E82" t="s">
        <v>16135</v>
      </c>
      <c r="F82">
        <v>202506</v>
      </c>
    </row>
    <row r="83" spans="1:6">
      <c r="A83" t="s">
        <v>16058</v>
      </c>
      <c r="B83" t="s">
        <v>16146</v>
      </c>
      <c r="C83" t="s">
        <v>16070</v>
      </c>
      <c r="D83" t="s">
        <v>16081</v>
      </c>
      <c r="E83" t="s">
        <v>16135</v>
      </c>
      <c r="F83">
        <v>202606</v>
      </c>
    </row>
    <row r="84" spans="1:6">
      <c r="A84" t="s">
        <v>16058</v>
      </c>
      <c r="B84" t="s">
        <v>16147</v>
      </c>
      <c r="C84" t="s">
        <v>16070</v>
      </c>
      <c r="D84" t="s">
        <v>16081</v>
      </c>
      <c r="E84" t="s">
        <v>16135</v>
      </c>
      <c r="F84">
        <v>202507</v>
      </c>
    </row>
    <row r="85" spans="1:6">
      <c r="A85" t="s">
        <v>16058</v>
      </c>
      <c r="B85" t="s">
        <v>16148</v>
      </c>
      <c r="C85" t="s">
        <v>16068</v>
      </c>
      <c r="D85" t="s">
        <v>16081</v>
      </c>
      <c r="E85" t="s">
        <v>16135</v>
      </c>
      <c r="F85">
        <v>202607</v>
      </c>
    </row>
    <row r="86" spans="1:6">
      <c r="A86" t="s">
        <v>16058</v>
      </c>
      <c r="B86" t="s">
        <v>16149</v>
      </c>
      <c r="C86" t="s">
        <v>16070</v>
      </c>
      <c r="D86" t="s">
        <v>16081</v>
      </c>
      <c r="E86" t="s">
        <v>16135</v>
      </c>
      <c r="F86">
        <v>202508</v>
      </c>
    </row>
    <row r="87" spans="1:6">
      <c r="A87" t="s">
        <v>16058</v>
      </c>
      <c r="B87" t="s">
        <v>16150</v>
      </c>
      <c r="C87" t="s">
        <v>16067</v>
      </c>
      <c r="D87" t="s">
        <v>16081</v>
      </c>
      <c r="E87" t="s">
        <v>16135</v>
      </c>
      <c r="F87">
        <v>202608</v>
      </c>
    </row>
    <row r="88" spans="1:6">
      <c r="A88" t="s">
        <v>16058</v>
      </c>
      <c r="B88" t="s">
        <v>16151</v>
      </c>
      <c r="C88" t="s">
        <v>16070</v>
      </c>
      <c r="D88" t="s">
        <v>16081</v>
      </c>
      <c r="E88" t="s">
        <v>16135</v>
      </c>
      <c r="F88">
        <v>202409</v>
      </c>
    </row>
    <row r="89" spans="1:6">
      <c r="A89" t="s">
        <v>16058</v>
      </c>
      <c r="B89" t="s">
        <v>16152</v>
      </c>
      <c r="C89" t="s">
        <v>16066</v>
      </c>
      <c r="D89" t="s">
        <v>16081</v>
      </c>
      <c r="E89" t="s">
        <v>16135</v>
      </c>
      <c r="F89">
        <v>202509</v>
      </c>
    </row>
    <row r="90" spans="1:6">
      <c r="A90" t="s">
        <v>16058</v>
      </c>
      <c r="B90" t="s">
        <v>16153</v>
      </c>
      <c r="C90" t="s">
        <v>16064</v>
      </c>
      <c r="D90" t="s">
        <v>16081</v>
      </c>
      <c r="E90" t="s">
        <v>16135</v>
      </c>
      <c r="F90">
        <v>202410</v>
      </c>
    </row>
    <row r="91" spans="1:6">
      <c r="A91" t="s">
        <v>16058</v>
      </c>
      <c r="B91" t="s">
        <v>16154</v>
      </c>
      <c r="C91" t="s">
        <v>16063</v>
      </c>
      <c r="D91" t="s">
        <v>16081</v>
      </c>
      <c r="E91" t="s">
        <v>16135</v>
      </c>
      <c r="F91">
        <v>202510</v>
      </c>
    </row>
    <row r="92" spans="1:6">
      <c r="A92" t="s">
        <v>16058</v>
      </c>
      <c r="B92" t="s">
        <v>16155</v>
      </c>
      <c r="C92" t="s">
        <v>16070</v>
      </c>
      <c r="D92" t="s">
        <v>16081</v>
      </c>
      <c r="E92" t="s">
        <v>16135</v>
      </c>
      <c r="F92">
        <v>202411</v>
      </c>
    </row>
    <row r="93" spans="1:6">
      <c r="A93" t="s">
        <v>16058</v>
      </c>
      <c r="B93" t="s">
        <v>16156</v>
      </c>
      <c r="C93" t="s">
        <v>16063</v>
      </c>
      <c r="D93" t="s">
        <v>16081</v>
      </c>
      <c r="E93" t="s">
        <v>16135</v>
      </c>
      <c r="F93">
        <v>202511</v>
      </c>
    </row>
    <row r="94" spans="1:6">
      <c r="A94" t="s">
        <v>16058</v>
      </c>
      <c r="B94" t="s">
        <v>16157</v>
      </c>
      <c r="C94" t="s">
        <v>16065</v>
      </c>
      <c r="D94" t="s">
        <v>16081</v>
      </c>
      <c r="E94" t="s">
        <v>16135</v>
      </c>
      <c r="F94">
        <v>202412</v>
      </c>
    </row>
    <row r="95" spans="1:6">
      <c r="A95" t="s">
        <v>16058</v>
      </c>
      <c r="B95" t="s">
        <v>16158</v>
      </c>
      <c r="C95" t="s">
        <v>16064</v>
      </c>
      <c r="D95" t="s">
        <v>16081</v>
      </c>
      <c r="E95" t="s">
        <v>16135</v>
      </c>
      <c r="F95">
        <v>202512</v>
      </c>
    </row>
    <row r="96" spans="1:6">
      <c r="A96" t="s">
        <v>16058</v>
      </c>
      <c r="B96" t="s">
        <v>16159</v>
      </c>
      <c r="C96" t="s">
        <v>16160</v>
      </c>
      <c r="D96" t="s">
        <v>16081</v>
      </c>
      <c r="E96" t="s">
        <v>16161</v>
      </c>
      <c r="F96">
        <v>202501</v>
      </c>
    </row>
    <row r="97" spans="1:6">
      <c r="A97" t="s">
        <v>16058</v>
      </c>
      <c r="B97" t="s">
        <v>16162</v>
      </c>
      <c r="C97" t="s">
        <v>16069</v>
      </c>
      <c r="D97" t="s">
        <v>16081</v>
      </c>
      <c r="E97" t="s">
        <v>16161</v>
      </c>
      <c r="F97">
        <v>202601</v>
      </c>
    </row>
    <row r="98" spans="1:6">
      <c r="A98" t="s">
        <v>16058</v>
      </c>
      <c r="B98" t="s">
        <v>16163</v>
      </c>
      <c r="C98" t="s">
        <v>16160</v>
      </c>
      <c r="D98" t="s">
        <v>16081</v>
      </c>
      <c r="E98" t="s">
        <v>16161</v>
      </c>
      <c r="F98">
        <v>202502</v>
      </c>
    </row>
    <row r="99" spans="1:6">
      <c r="A99" t="s">
        <v>16058</v>
      </c>
      <c r="B99" t="s">
        <v>16164</v>
      </c>
      <c r="C99" t="s">
        <v>16078</v>
      </c>
      <c r="D99" t="s">
        <v>16081</v>
      </c>
      <c r="E99" t="s">
        <v>16161</v>
      </c>
      <c r="F99">
        <v>202602</v>
      </c>
    </row>
    <row r="100" spans="1:6">
      <c r="A100" t="s">
        <v>16058</v>
      </c>
      <c r="B100" t="s">
        <v>16165</v>
      </c>
      <c r="C100" t="s">
        <v>16069</v>
      </c>
      <c r="D100" t="s">
        <v>16081</v>
      </c>
      <c r="E100" t="s">
        <v>16161</v>
      </c>
      <c r="F100">
        <v>202503</v>
      </c>
    </row>
    <row r="101" spans="1:6">
      <c r="A101" t="s">
        <v>16058</v>
      </c>
      <c r="B101" t="s">
        <v>16166</v>
      </c>
      <c r="C101" t="s">
        <v>16167</v>
      </c>
      <c r="D101" t="s">
        <v>16081</v>
      </c>
      <c r="E101" t="s">
        <v>16161</v>
      </c>
      <c r="F101">
        <v>202603</v>
      </c>
    </row>
    <row r="102" spans="1:6">
      <c r="A102" t="s">
        <v>16058</v>
      </c>
      <c r="B102" t="s">
        <v>16168</v>
      </c>
      <c r="C102" t="s">
        <v>16069</v>
      </c>
      <c r="D102" t="s">
        <v>16081</v>
      </c>
      <c r="E102" t="s">
        <v>16161</v>
      </c>
      <c r="F102">
        <v>202504</v>
      </c>
    </row>
    <row r="103" spans="1:6">
      <c r="A103" t="s">
        <v>16058</v>
      </c>
      <c r="B103" t="s">
        <v>16169</v>
      </c>
      <c r="C103" t="s">
        <v>16072</v>
      </c>
      <c r="D103" t="s">
        <v>16081</v>
      </c>
      <c r="E103" t="s">
        <v>16161</v>
      </c>
      <c r="F103">
        <v>202604</v>
      </c>
    </row>
    <row r="104" spans="1:6">
      <c r="A104" t="s">
        <v>16058</v>
      </c>
      <c r="B104" t="s">
        <v>16170</v>
      </c>
      <c r="C104" t="s">
        <v>16078</v>
      </c>
      <c r="D104" t="s">
        <v>16081</v>
      </c>
      <c r="E104" t="s">
        <v>16161</v>
      </c>
      <c r="F104">
        <v>202505</v>
      </c>
    </row>
    <row r="105" spans="1:6">
      <c r="A105" t="s">
        <v>16058</v>
      </c>
      <c r="B105" t="s">
        <v>16171</v>
      </c>
      <c r="C105" t="s">
        <v>16072</v>
      </c>
      <c r="D105" t="s">
        <v>16081</v>
      </c>
      <c r="E105" t="s">
        <v>16161</v>
      </c>
      <c r="F105">
        <v>202605</v>
      </c>
    </row>
    <row r="106" spans="1:6">
      <c r="A106" t="s">
        <v>16058</v>
      </c>
      <c r="B106" t="s">
        <v>16172</v>
      </c>
      <c r="C106" t="s">
        <v>16069</v>
      </c>
      <c r="D106" t="s">
        <v>16081</v>
      </c>
      <c r="E106" t="s">
        <v>16161</v>
      </c>
      <c r="F106">
        <v>202506</v>
      </c>
    </row>
    <row r="107" spans="1:6">
      <c r="A107" t="s">
        <v>16058</v>
      </c>
      <c r="B107" t="s">
        <v>16173</v>
      </c>
      <c r="C107" t="s">
        <v>16072</v>
      </c>
      <c r="D107" t="s">
        <v>16081</v>
      </c>
      <c r="E107" t="s">
        <v>16161</v>
      </c>
      <c r="F107">
        <v>202606</v>
      </c>
    </row>
    <row r="108" spans="1:6">
      <c r="A108" t="s">
        <v>16058</v>
      </c>
      <c r="B108" t="s">
        <v>16174</v>
      </c>
      <c r="C108" t="s">
        <v>16074</v>
      </c>
      <c r="D108" t="s">
        <v>16081</v>
      </c>
      <c r="E108" t="s">
        <v>16161</v>
      </c>
      <c r="F108">
        <v>202507</v>
      </c>
    </row>
    <row r="109" spans="1:6">
      <c r="A109" t="s">
        <v>16058</v>
      </c>
      <c r="B109" t="s">
        <v>16175</v>
      </c>
      <c r="C109" t="s">
        <v>16069</v>
      </c>
      <c r="D109" t="s">
        <v>16081</v>
      </c>
      <c r="E109" t="s">
        <v>16161</v>
      </c>
      <c r="F109">
        <v>202607</v>
      </c>
    </row>
    <row r="110" spans="1:6">
      <c r="A110" t="s">
        <v>16058</v>
      </c>
      <c r="B110" t="s">
        <v>16176</v>
      </c>
      <c r="C110" t="s">
        <v>16069</v>
      </c>
      <c r="D110" t="s">
        <v>16081</v>
      </c>
      <c r="E110" t="s">
        <v>16161</v>
      </c>
      <c r="F110">
        <v>202508</v>
      </c>
    </row>
    <row r="111" spans="1:6">
      <c r="A111" t="s">
        <v>16058</v>
      </c>
      <c r="B111" t="s">
        <v>16177</v>
      </c>
      <c r="C111" t="s">
        <v>16072</v>
      </c>
      <c r="D111" t="s">
        <v>16081</v>
      </c>
      <c r="E111" t="s">
        <v>16161</v>
      </c>
      <c r="F111">
        <v>202608</v>
      </c>
    </row>
    <row r="112" spans="1:6">
      <c r="A112" t="s">
        <v>16058</v>
      </c>
      <c r="B112" t="s">
        <v>16178</v>
      </c>
      <c r="C112" t="s">
        <v>16167</v>
      </c>
      <c r="D112" t="s">
        <v>16081</v>
      </c>
      <c r="E112" t="s">
        <v>16161</v>
      </c>
      <c r="F112">
        <v>202409</v>
      </c>
    </row>
    <row r="113" spans="1:6">
      <c r="A113" t="s">
        <v>16058</v>
      </c>
      <c r="B113" t="s">
        <v>16179</v>
      </c>
      <c r="C113" t="s">
        <v>16074</v>
      </c>
      <c r="D113" t="s">
        <v>16081</v>
      </c>
      <c r="E113" t="s">
        <v>16161</v>
      </c>
      <c r="F113">
        <v>202509</v>
      </c>
    </row>
    <row r="114" spans="1:6">
      <c r="A114" t="s">
        <v>16058</v>
      </c>
      <c r="B114" t="s">
        <v>16180</v>
      </c>
      <c r="C114" t="s">
        <v>16160</v>
      </c>
      <c r="D114" t="s">
        <v>16081</v>
      </c>
      <c r="E114" t="s">
        <v>16161</v>
      </c>
      <c r="F114">
        <v>202410</v>
      </c>
    </row>
    <row r="115" spans="1:6">
      <c r="A115" t="s">
        <v>16058</v>
      </c>
      <c r="B115" t="s">
        <v>16181</v>
      </c>
      <c r="C115" t="s">
        <v>16167</v>
      </c>
      <c r="D115" t="s">
        <v>16081</v>
      </c>
      <c r="E115" t="s">
        <v>16161</v>
      </c>
      <c r="F115">
        <v>202510</v>
      </c>
    </row>
    <row r="116" spans="1:6">
      <c r="A116" t="s">
        <v>16058</v>
      </c>
      <c r="B116" t="s">
        <v>16182</v>
      </c>
      <c r="C116" t="s">
        <v>16167</v>
      </c>
      <c r="D116" t="s">
        <v>16081</v>
      </c>
      <c r="E116" t="s">
        <v>16161</v>
      </c>
      <c r="F116">
        <v>202411</v>
      </c>
    </row>
    <row r="117" spans="1:6">
      <c r="A117" t="s">
        <v>16058</v>
      </c>
      <c r="B117" t="s">
        <v>16183</v>
      </c>
      <c r="C117" t="s">
        <v>16074</v>
      </c>
      <c r="D117" t="s">
        <v>16081</v>
      </c>
      <c r="E117" t="s">
        <v>16161</v>
      </c>
      <c r="F117">
        <v>202511</v>
      </c>
    </row>
    <row r="118" spans="1:6">
      <c r="A118" t="s">
        <v>16058</v>
      </c>
      <c r="B118" t="s">
        <v>16184</v>
      </c>
      <c r="C118" t="s">
        <v>16167</v>
      </c>
      <c r="D118" t="s">
        <v>16081</v>
      </c>
      <c r="E118" t="s">
        <v>16161</v>
      </c>
      <c r="F118">
        <v>202412</v>
      </c>
    </row>
    <row r="119" spans="1:6">
      <c r="A119" t="s">
        <v>16058</v>
      </c>
      <c r="B119" t="s">
        <v>16185</v>
      </c>
      <c r="C119" t="s">
        <v>16074</v>
      </c>
      <c r="D119" t="s">
        <v>16081</v>
      </c>
      <c r="E119" t="s">
        <v>16161</v>
      </c>
      <c r="F119">
        <v>202512</v>
      </c>
    </row>
    <row r="120" spans="1:6">
      <c r="A120" t="s">
        <v>16058</v>
      </c>
      <c r="B120" t="s">
        <v>16186</v>
      </c>
      <c r="C120" t="s">
        <v>16069</v>
      </c>
      <c r="D120" t="s">
        <v>16081</v>
      </c>
      <c r="E120" t="s">
        <v>16187</v>
      </c>
      <c r="F120">
        <v>202501</v>
      </c>
    </row>
    <row r="121" spans="1:6">
      <c r="A121" t="s">
        <v>16058</v>
      </c>
      <c r="B121" t="s">
        <v>16188</v>
      </c>
      <c r="C121" t="s">
        <v>16069</v>
      </c>
      <c r="D121" t="s">
        <v>16081</v>
      </c>
      <c r="E121" t="s">
        <v>16187</v>
      </c>
      <c r="F121">
        <v>202601</v>
      </c>
    </row>
    <row r="122" spans="1:6">
      <c r="A122" t="s">
        <v>16058</v>
      </c>
      <c r="B122" t="s">
        <v>16189</v>
      </c>
      <c r="C122" t="s">
        <v>16074</v>
      </c>
      <c r="D122" t="s">
        <v>16081</v>
      </c>
      <c r="E122" t="s">
        <v>16187</v>
      </c>
      <c r="F122">
        <v>202502</v>
      </c>
    </row>
    <row r="123" spans="1:6">
      <c r="A123" t="s">
        <v>16058</v>
      </c>
      <c r="B123" t="s">
        <v>16190</v>
      </c>
      <c r="C123" t="s">
        <v>16072</v>
      </c>
      <c r="D123" t="s">
        <v>16081</v>
      </c>
      <c r="E123" t="s">
        <v>16187</v>
      </c>
      <c r="F123">
        <v>202602</v>
      </c>
    </row>
    <row r="124" spans="1:6">
      <c r="A124" t="s">
        <v>16058</v>
      </c>
      <c r="B124" t="s">
        <v>16191</v>
      </c>
      <c r="C124" t="s">
        <v>16069</v>
      </c>
      <c r="D124" t="s">
        <v>16081</v>
      </c>
      <c r="E124" t="s">
        <v>16187</v>
      </c>
      <c r="F124">
        <v>202503</v>
      </c>
    </row>
    <row r="125" spans="1:6">
      <c r="A125" t="s">
        <v>16058</v>
      </c>
      <c r="B125" t="s">
        <v>16192</v>
      </c>
      <c r="C125" t="s">
        <v>16072</v>
      </c>
      <c r="D125" t="s">
        <v>16081</v>
      </c>
      <c r="E125" t="s">
        <v>16187</v>
      </c>
      <c r="F125">
        <v>202603</v>
      </c>
    </row>
    <row r="126" spans="1:6">
      <c r="A126" t="s">
        <v>16058</v>
      </c>
      <c r="B126" t="s">
        <v>16193</v>
      </c>
      <c r="C126" t="s">
        <v>16074</v>
      </c>
      <c r="D126" t="s">
        <v>16081</v>
      </c>
      <c r="E126" t="s">
        <v>16187</v>
      </c>
      <c r="F126">
        <v>202504</v>
      </c>
    </row>
    <row r="127" spans="1:6">
      <c r="A127" t="s">
        <v>16058</v>
      </c>
      <c r="B127" t="s">
        <v>16194</v>
      </c>
      <c r="C127" t="s">
        <v>16167</v>
      </c>
      <c r="D127" t="s">
        <v>16081</v>
      </c>
      <c r="E127" t="s">
        <v>16187</v>
      </c>
      <c r="F127">
        <v>202604</v>
      </c>
    </row>
    <row r="128" spans="1:6">
      <c r="A128" t="s">
        <v>16058</v>
      </c>
      <c r="B128" t="s">
        <v>16195</v>
      </c>
      <c r="C128" t="s">
        <v>16167</v>
      </c>
      <c r="D128" t="s">
        <v>16081</v>
      </c>
      <c r="E128" t="s">
        <v>16187</v>
      </c>
      <c r="F128">
        <v>202505</v>
      </c>
    </row>
    <row r="129" spans="1:7">
      <c r="A129" t="s">
        <v>16058</v>
      </c>
      <c r="B129" t="s">
        <v>16196</v>
      </c>
      <c r="C129" t="s">
        <v>16160</v>
      </c>
      <c r="D129" t="s">
        <v>16081</v>
      </c>
      <c r="E129" t="s">
        <v>16187</v>
      </c>
      <c r="F129">
        <v>202605</v>
      </c>
    </row>
    <row r="130" spans="1:7">
      <c r="A130" t="s">
        <v>16058</v>
      </c>
      <c r="B130" t="s">
        <v>16197</v>
      </c>
      <c r="C130" t="s">
        <v>16078</v>
      </c>
      <c r="D130" t="s">
        <v>16081</v>
      </c>
      <c r="E130" t="s">
        <v>16187</v>
      </c>
      <c r="F130">
        <v>202506</v>
      </c>
    </row>
    <row r="131" spans="1:7">
      <c r="A131" t="s">
        <v>16058</v>
      </c>
      <c r="B131" t="s">
        <v>16198</v>
      </c>
      <c r="C131" t="s">
        <v>16167</v>
      </c>
      <c r="D131" t="s">
        <v>16081</v>
      </c>
      <c r="E131" t="s">
        <v>16187</v>
      </c>
      <c r="F131">
        <v>202606</v>
      </c>
    </row>
    <row r="132" spans="1:7">
      <c r="A132" t="s">
        <v>16058</v>
      </c>
      <c r="B132" t="s">
        <v>16199</v>
      </c>
      <c r="C132" t="s">
        <v>16074</v>
      </c>
      <c r="D132" t="s">
        <v>16081</v>
      </c>
      <c r="E132" t="s">
        <v>16187</v>
      </c>
      <c r="F132">
        <v>202507</v>
      </c>
    </row>
    <row r="133" spans="1:7">
      <c r="A133" t="s">
        <v>16058</v>
      </c>
      <c r="B133" t="s">
        <v>16200</v>
      </c>
      <c r="C133" t="s">
        <v>16078</v>
      </c>
      <c r="D133" t="s">
        <v>16081</v>
      </c>
      <c r="E133" t="s">
        <v>16187</v>
      </c>
      <c r="F133">
        <v>202607</v>
      </c>
    </row>
    <row r="134" spans="1:7">
      <c r="A134" t="s">
        <v>16058</v>
      </c>
      <c r="B134" t="s">
        <v>16201</v>
      </c>
      <c r="C134" t="s">
        <v>16160</v>
      </c>
      <c r="D134" t="s">
        <v>16081</v>
      </c>
      <c r="E134" t="s">
        <v>16187</v>
      </c>
      <c r="F134">
        <v>202508</v>
      </c>
    </row>
    <row r="135" spans="1:7">
      <c r="A135" t="s">
        <v>16058</v>
      </c>
      <c r="B135" t="s">
        <v>16202</v>
      </c>
      <c r="C135" t="s">
        <v>16078</v>
      </c>
      <c r="D135" t="s">
        <v>16081</v>
      </c>
      <c r="E135" t="s">
        <v>16187</v>
      </c>
      <c r="F135">
        <v>202608</v>
      </c>
    </row>
    <row r="136" spans="1:7">
      <c r="A136" t="s">
        <v>16058</v>
      </c>
      <c r="B136" t="s">
        <v>16203</v>
      </c>
      <c r="C136" t="s">
        <v>16076</v>
      </c>
      <c r="D136" t="s">
        <v>16081</v>
      </c>
      <c r="E136" t="s">
        <v>16187</v>
      </c>
      <c r="F136">
        <v>202409</v>
      </c>
    </row>
    <row r="137" spans="1:7">
      <c r="A137" t="s">
        <v>16058</v>
      </c>
      <c r="B137" t="s">
        <v>16204</v>
      </c>
      <c r="C137" t="s">
        <v>16167</v>
      </c>
      <c r="D137" t="s">
        <v>16081</v>
      </c>
      <c r="E137" t="s">
        <v>16187</v>
      </c>
      <c r="F137">
        <v>202509</v>
      </c>
    </row>
    <row r="138" spans="1:7">
      <c r="A138" t="s">
        <v>16058</v>
      </c>
      <c r="B138" t="s">
        <v>16205</v>
      </c>
      <c r="C138" t="s">
        <v>16078</v>
      </c>
      <c r="D138" t="s">
        <v>16081</v>
      </c>
      <c r="E138" t="s">
        <v>16187</v>
      </c>
      <c r="F138">
        <v>202410</v>
      </c>
    </row>
    <row r="139" spans="1:7">
      <c r="A139" t="s">
        <v>16058</v>
      </c>
      <c r="B139" t="s">
        <v>16206</v>
      </c>
      <c r="C139" t="s">
        <v>16069</v>
      </c>
      <c r="D139" t="s">
        <v>16081</v>
      </c>
      <c r="E139" t="s">
        <v>16187</v>
      </c>
      <c r="F139">
        <v>202510</v>
      </c>
    </row>
    <row r="140" spans="1:7">
      <c r="A140" t="s">
        <v>16058</v>
      </c>
      <c r="B140" t="s">
        <v>16207</v>
      </c>
      <c r="C140" t="s">
        <v>16076</v>
      </c>
      <c r="D140" t="s">
        <v>16081</v>
      </c>
      <c r="E140" t="s">
        <v>16187</v>
      </c>
      <c r="F140">
        <v>202411</v>
      </c>
    </row>
    <row r="141" spans="1:7">
      <c r="A141" t="s">
        <v>16058</v>
      </c>
      <c r="B141" t="s">
        <v>16208</v>
      </c>
      <c r="C141" t="s">
        <v>16160</v>
      </c>
      <c r="D141" t="s">
        <v>16081</v>
      </c>
      <c r="E141" t="s">
        <v>16187</v>
      </c>
      <c r="F141">
        <v>202511</v>
      </c>
    </row>
    <row r="142" spans="1:7">
      <c r="A142" t="s">
        <v>16058</v>
      </c>
      <c r="B142" t="s">
        <v>16209</v>
      </c>
      <c r="C142" t="s">
        <v>16076</v>
      </c>
      <c r="D142" t="s">
        <v>16081</v>
      </c>
      <c r="E142" t="s">
        <v>16187</v>
      </c>
      <c r="F142">
        <v>202412</v>
      </c>
    </row>
    <row r="143" spans="1:7">
      <c r="A143" t="s">
        <v>16058</v>
      </c>
      <c r="B143" t="s">
        <v>16210</v>
      </c>
      <c r="C143" t="s">
        <v>16074</v>
      </c>
      <c r="D143" t="s">
        <v>16081</v>
      </c>
      <c r="E143" t="s">
        <v>16187</v>
      </c>
      <c r="F143">
        <v>202512</v>
      </c>
    </row>
    <row r="144" spans="1:7">
      <c r="A144" t="s">
        <v>16058</v>
      </c>
      <c r="B144" t="s">
        <v>16211</v>
      </c>
      <c r="C144" t="s">
        <v>16075</v>
      </c>
      <c r="D144" t="s">
        <v>16212</v>
      </c>
      <c r="G144" t="s">
        <v>16213</v>
      </c>
    </row>
    <row r="145" spans="1:7">
      <c r="A145" t="s">
        <v>16058</v>
      </c>
      <c r="B145" t="s">
        <v>16214</v>
      </c>
      <c r="C145" t="s">
        <v>16079</v>
      </c>
      <c r="D145" t="s">
        <v>16212</v>
      </c>
      <c r="G145" t="s">
        <v>16213</v>
      </c>
    </row>
    <row r="146" spans="1:7">
      <c r="A146" t="s">
        <v>16058</v>
      </c>
      <c r="B146" t="s">
        <v>16215</v>
      </c>
      <c r="C146" t="s">
        <v>16071</v>
      </c>
      <c r="D146" t="s">
        <v>16212</v>
      </c>
      <c r="G146" t="s">
        <v>16213</v>
      </c>
    </row>
    <row r="147" spans="1:7">
      <c r="A147" t="s">
        <v>16058</v>
      </c>
      <c r="B147" t="s">
        <v>16216</v>
      </c>
      <c r="C147" t="s">
        <v>16073</v>
      </c>
      <c r="D147" t="s">
        <v>16212</v>
      </c>
      <c r="G147" t="s">
        <v>16213</v>
      </c>
    </row>
    <row r="148" spans="1:7">
      <c r="A148" t="s">
        <v>16058</v>
      </c>
      <c r="B148" t="s">
        <v>16217</v>
      </c>
      <c r="C148" t="s">
        <v>16071</v>
      </c>
      <c r="D148" t="s">
        <v>16212</v>
      </c>
      <c r="G148" t="s">
        <v>16213</v>
      </c>
    </row>
    <row r="149" spans="1:7">
      <c r="A149" t="s">
        <v>16058</v>
      </c>
      <c r="B149" t="s">
        <v>16217</v>
      </c>
      <c r="C149" t="s">
        <v>16060</v>
      </c>
      <c r="D149" t="s">
        <v>16212</v>
      </c>
      <c r="G149" t="s">
        <v>16213</v>
      </c>
    </row>
    <row r="150" spans="1:7">
      <c r="A150" t="s">
        <v>16058</v>
      </c>
      <c r="B150" t="s">
        <v>16218</v>
      </c>
      <c r="C150" t="s">
        <v>16079</v>
      </c>
      <c r="D150" t="s">
        <v>16212</v>
      </c>
      <c r="G150" t="s">
        <v>16213</v>
      </c>
    </row>
    <row r="151" spans="1:7">
      <c r="A151" t="s">
        <v>16058</v>
      </c>
      <c r="B151" t="s">
        <v>16218</v>
      </c>
      <c r="C151" t="s">
        <v>16077</v>
      </c>
      <c r="D151" t="s">
        <v>16212</v>
      </c>
      <c r="G151" t="s">
        <v>16213</v>
      </c>
    </row>
    <row r="152" spans="1:7">
      <c r="A152" t="s">
        <v>16058</v>
      </c>
      <c r="B152" t="s">
        <v>16219</v>
      </c>
      <c r="C152" t="s">
        <v>16071</v>
      </c>
      <c r="D152" t="s">
        <v>16212</v>
      </c>
      <c r="G152" t="s">
        <v>16213</v>
      </c>
    </row>
    <row r="153" spans="1:7">
      <c r="A153" t="s">
        <v>16058</v>
      </c>
      <c r="B153" t="s">
        <v>16220</v>
      </c>
      <c r="C153" t="s">
        <v>16079</v>
      </c>
      <c r="D153" t="s">
        <v>16212</v>
      </c>
      <c r="G153" t="s">
        <v>16213</v>
      </c>
    </row>
    <row r="154" spans="1:7">
      <c r="A154" t="s">
        <v>16058</v>
      </c>
      <c r="B154" t="s">
        <v>16221</v>
      </c>
      <c r="C154" t="s">
        <v>16079</v>
      </c>
      <c r="D154" t="s">
        <v>16212</v>
      </c>
      <c r="G154" t="s">
        <v>16213</v>
      </c>
    </row>
    <row r="155" spans="1:7">
      <c r="A155" t="s">
        <v>16058</v>
      </c>
      <c r="B155" t="s">
        <v>16221</v>
      </c>
      <c r="C155" t="s">
        <v>16077</v>
      </c>
      <c r="D155" t="s">
        <v>16212</v>
      </c>
      <c r="G155" t="s">
        <v>16213</v>
      </c>
    </row>
    <row r="156" spans="1:7">
      <c r="A156" t="s">
        <v>16058</v>
      </c>
      <c r="B156" t="s">
        <v>16222</v>
      </c>
      <c r="C156" t="s">
        <v>16076</v>
      </c>
      <c r="D156" t="s">
        <v>16212</v>
      </c>
      <c r="G156" t="s">
        <v>16213</v>
      </c>
    </row>
    <row r="157" spans="1:7">
      <c r="A157" t="s">
        <v>16058</v>
      </c>
      <c r="B157" t="s">
        <v>16223</v>
      </c>
      <c r="C157" t="s">
        <v>16160</v>
      </c>
      <c r="D157" t="s">
        <v>16212</v>
      </c>
      <c r="G157" t="s">
        <v>16213</v>
      </c>
    </row>
    <row r="158" spans="1:7">
      <c r="A158" t="s">
        <v>16058</v>
      </c>
      <c r="B158" t="s">
        <v>16224</v>
      </c>
      <c r="C158" t="s">
        <v>16078</v>
      </c>
      <c r="D158" t="s">
        <v>16212</v>
      </c>
      <c r="G158" t="s">
        <v>16213</v>
      </c>
    </row>
    <row r="159" spans="1:7">
      <c r="A159" t="s">
        <v>16058</v>
      </c>
      <c r="B159" t="s">
        <v>16225</v>
      </c>
      <c r="C159" t="s">
        <v>16167</v>
      </c>
      <c r="D159" t="s">
        <v>16212</v>
      </c>
      <c r="G159" t="s">
        <v>16213</v>
      </c>
    </row>
    <row r="160" spans="1:7">
      <c r="A160" t="s">
        <v>16058</v>
      </c>
      <c r="B160" t="s">
        <v>16225</v>
      </c>
      <c r="C160" t="s">
        <v>16076</v>
      </c>
      <c r="D160" t="s">
        <v>16212</v>
      </c>
      <c r="G160" t="s">
        <v>16213</v>
      </c>
    </row>
    <row r="161" spans="1:7">
      <c r="A161" t="s">
        <v>16058</v>
      </c>
      <c r="B161" t="s">
        <v>16226</v>
      </c>
      <c r="C161" t="s">
        <v>16076</v>
      </c>
      <c r="D161" t="s">
        <v>16212</v>
      </c>
      <c r="G161" t="s">
        <v>16213</v>
      </c>
    </row>
    <row r="162" spans="1:7">
      <c r="A162" t="s">
        <v>16058</v>
      </c>
      <c r="B162" t="s">
        <v>16226</v>
      </c>
      <c r="C162" t="s">
        <v>16167</v>
      </c>
      <c r="D162" t="s">
        <v>16212</v>
      </c>
      <c r="G162" t="s">
        <v>16213</v>
      </c>
    </row>
    <row r="163" spans="1:7">
      <c r="A163" t="s">
        <v>16058</v>
      </c>
      <c r="B163" t="s">
        <v>16227</v>
      </c>
      <c r="C163" t="s">
        <v>16167</v>
      </c>
      <c r="D163" t="s">
        <v>16212</v>
      </c>
      <c r="G163" t="s">
        <v>16213</v>
      </c>
    </row>
    <row r="164" spans="1:7">
      <c r="A164" t="s">
        <v>16058</v>
      </c>
      <c r="B164" t="s">
        <v>16228</v>
      </c>
      <c r="C164" t="s">
        <v>16069</v>
      </c>
      <c r="D164" t="s">
        <v>16212</v>
      </c>
      <c r="G164" t="s">
        <v>16213</v>
      </c>
    </row>
    <row r="165" spans="1:7">
      <c r="A165" t="s">
        <v>16058</v>
      </c>
      <c r="B165" t="s">
        <v>16228</v>
      </c>
      <c r="C165" t="s">
        <v>16074</v>
      </c>
      <c r="D165" t="s">
        <v>16212</v>
      </c>
      <c r="G165" t="s">
        <v>16213</v>
      </c>
    </row>
    <row r="166" spans="1:7">
      <c r="A166" t="s">
        <v>16058</v>
      </c>
      <c r="B166" t="s">
        <v>16229</v>
      </c>
      <c r="C166" t="s">
        <v>16074</v>
      </c>
      <c r="D166" t="s">
        <v>16212</v>
      </c>
      <c r="G166" t="s">
        <v>16213</v>
      </c>
    </row>
    <row r="167" spans="1:7">
      <c r="A167" t="s">
        <v>16058</v>
      </c>
      <c r="B167" t="s">
        <v>16230</v>
      </c>
      <c r="C167" t="s">
        <v>16065</v>
      </c>
      <c r="D167" t="s">
        <v>16212</v>
      </c>
      <c r="G167" t="s">
        <v>16213</v>
      </c>
    </row>
    <row r="168" spans="1:7">
      <c r="A168" t="s">
        <v>16058</v>
      </c>
      <c r="B168" t="s">
        <v>16230</v>
      </c>
      <c r="C168" t="s">
        <v>16064</v>
      </c>
      <c r="D168" t="s">
        <v>16212</v>
      </c>
      <c r="G168" t="s">
        <v>16213</v>
      </c>
    </row>
    <row r="169" spans="1:7">
      <c r="A169" t="s">
        <v>16058</v>
      </c>
      <c r="B169" t="s">
        <v>16231</v>
      </c>
      <c r="C169" t="s">
        <v>16070</v>
      </c>
      <c r="D169" t="s">
        <v>16212</v>
      </c>
      <c r="G169" t="s">
        <v>16213</v>
      </c>
    </row>
    <row r="170" spans="1:7">
      <c r="A170" t="s">
        <v>16058</v>
      </c>
      <c r="B170" t="s">
        <v>16232</v>
      </c>
      <c r="C170" t="s">
        <v>16070</v>
      </c>
      <c r="D170" t="s">
        <v>16212</v>
      </c>
      <c r="G170" t="s">
        <v>16213</v>
      </c>
    </row>
    <row r="171" spans="1:7">
      <c r="A171" t="s">
        <v>16058</v>
      </c>
      <c r="B171" t="s">
        <v>16233</v>
      </c>
      <c r="C171" t="s">
        <v>16067</v>
      </c>
      <c r="D171" t="s">
        <v>16212</v>
      </c>
      <c r="G171" t="s">
        <v>16213</v>
      </c>
    </row>
    <row r="172" spans="1:7">
      <c r="A172" t="s">
        <v>16058</v>
      </c>
      <c r="B172" t="s">
        <v>16233</v>
      </c>
      <c r="C172" t="s">
        <v>16167</v>
      </c>
      <c r="D172" t="s">
        <v>16212</v>
      </c>
      <c r="G172" t="s">
        <v>16213</v>
      </c>
    </row>
    <row r="173" spans="1:7">
      <c r="A173" t="s">
        <v>16058</v>
      </c>
      <c r="B173" t="s">
        <v>16233</v>
      </c>
      <c r="C173" t="s">
        <v>16069</v>
      </c>
      <c r="D173" t="s">
        <v>16212</v>
      </c>
      <c r="G173" t="s">
        <v>16213</v>
      </c>
    </row>
    <row r="174" spans="1:7">
      <c r="A174" t="s">
        <v>16058</v>
      </c>
      <c r="B174" t="s">
        <v>16233</v>
      </c>
      <c r="C174" t="s">
        <v>16073</v>
      </c>
      <c r="D174" t="s">
        <v>16212</v>
      </c>
      <c r="G174" t="s">
        <v>16213</v>
      </c>
    </row>
    <row r="175" spans="1:7">
      <c r="A175" t="s">
        <v>16058</v>
      </c>
      <c r="B175" t="s">
        <v>16233</v>
      </c>
      <c r="C175" t="s">
        <v>16060</v>
      </c>
      <c r="D175" t="s">
        <v>16212</v>
      </c>
      <c r="G175" t="s">
        <v>16213</v>
      </c>
    </row>
    <row r="176" spans="1:7">
      <c r="A176" t="s">
        <v>16058</v>
      </c>
      <c r="B176" t="s">
        <v>16233</v>
      </c>
      <c r="C176" t="s">
        <v>16070</v>
      </c>
      <c r="D176" t="s">
        <v>16212</v>
      </c>
      <c r="G176" t="s">
        <v>16213</v>
      </c>
    </row>
    <row r="177" spans="1:7">
      <c r="A177" t="s">
        <v>16058</v>
      </c>
      <c r="B177" t="s">
        <v>16233</v>
      </c>
      <c r="C177" t="s">
        <v>16078</v>
      </c>
      <c r="D177" t="s">
        <v>16212</v>
      </c>
      <c r="G177" t="s">
        <v>16213</v>
      </c>
    </row>
    <row r="178" spans="1:7">
      <c r="A178" t="s">
        <v>16058</v>
      </c>
      <c r="B178" t="s">
        <v>16233</v>
      </c>
      <c r="C178" t="s">
        <v>16066</v>
      </c>
      <c r="D178" t="s">
        <v>16212</v>
      </c>
      <c r="G178" t="s">
        <v>16213</v>
      </c>
    </row>
    <row r="179" spans="1:7">
      <c r="A179" t="s">
        <v>16058</v>
      </c>
      <c r="B179" t="s">
        <v>16233</v>
      </c>
      <c r="C179" t="s">
        <v>16071</v>
      </c>
      <c r="D179" t="s">
        <v>16212</v>
      </c>
      <c r="G179" t="s">
        <v>16213</v>
      </c>
    </row>
    <row r="180" spans="1:7">
      <c r="A180" t="s">
        <v>16058</v>
      </c>
      <c r="B180" t="s">
        <v>16233</v>
      </c>
      <c r="C180" t="s">
        <v>16075</v>
      </c>
      <c r="D180" t="s">
        <v>16212</v>
      </c>
      <c r="G180" t="s">
        <v>16213</v>
      </c>
    </row>
    <row r="181" spans="1:7">
      <c r="A181" t="s">
        <v>16058</v>
      </c>
      <c r="B181" t="s">
        <v>16233</v>
      </c>
      <c r="C181" t="s">
        <v>16079</v>
      </c>
      <c r="D181" t="s">
        <v>16212</v>
      </c>
      <c r="G181" t="s">
        <v>16213</v>
      </c>
    </row>
    <row r="182" spans="1:7">
      <c r="A182" t="s">
        <v>16058</v>
      </c>
      <c r="B182" t="s">
        <v>16233</v>
      </c>
      <c r="C182" t="s">
        <v>16077</v>
      </c>
      <c r="D182" t="s">
        <v>16212</v>
      </c>
      <c r="G182" t="s">
        <v>16213</v>
      </c>
    </row>
    <row r="183" spans="1:7">
      <c r="A183" t="s">
        <v>16058</v>
      </c>
      <c r="B183" t="s">
        <v>16233</v>
      </c>
      <c r="C183" t="s">
        <v>16076</v>
      </c>
      <c r="D183" t="s">
        <v>16212</v>
      </c>
      <c r="G183" t="s">
        <v>16213</v>
      </c>
    </row>
    <row r="184" spans="1:7">
      <c r="A184" t="s">
        <v>16058</v>
      </c>
      <c r="B184" t="s">
        <v>16233</v>
      </c>
      <c r="C184" t="s">
        <v>16072</v>
      </c>
      <c r="D184" t="s">
        <v>16212</v>
      </c>
      <c r="G184" t="s">
        <v>16213</v>
      </c>
    </row>
    <row r="185" spans="1:7">
      <c r="A185" t="s">
        <v>16058</v>
      </c>
      <c r="B185" t="s">
        <v>16234</v>
      </c>
      <c r="C185" t="s">
        <v>16060</v>
      </c>
      <c r="D185" t="s">
        <v>16212</v>
      </c>
      <c r="G185" t="s">
        <v>16213</v>
      </c>
    </row>
    <row r="186" spans="1:7">
      <c r="A186" t="s">
        <v>16058</v>
      </c>
      <c r="B186" t="s">
        <v>16234</v>
      </c>
      <c r="C186" t="s">
        <v>16078</v>
      </c>
      <c r="D186" t="s">
        <v>16212</v>
      </c>
      <c r="G186" t="s">
        <v>16213</v>
      </c>
    </row>
    <row r="187" spans="1:7">
      <c r="A187" t="s">
        <v>16058</v>
      </c>
      <c r="B187" t="s">
        <v>16234</v>
      </c>
      <c r="C187" t="s">
        <v>16077</v>
      </c>
      <c r="D187" t="s">
        <v>16212</v>
      </c>
      <c r="G187" t="s">
        <v>16213</v>
      </c>
    </row>
    <row r="188" spans="1:7">
      <c r="A188" t="s">
        <v>16058</v>
      </c>
      <c r="B188" t="s">
        <v>16234</v>
      </c>
      <c r="C188" t="s">
        <v>16075</v>
      </c>
      <c r="D188" t="s">
        <v>16212</v>
      </c>
      <c r="G188" t="s">
        <v>16213</v>
      </c>
    </row>
    <row r="189" spans="1:7">
      <c r="A189" t="s">
        <v>16058</v>
      </c>
      <c r="B189" t="s">
        <v>16234</v>
      </c>
      <c r="C189" t="s">
        <v>16074</v>
      </c>
      <c r="D189" t="s">
        <v>16212</v>
      </c>
      <c r="G189" t="s">
        <v>16213</v>
      </c>
    </row>
    <row r="190" spans="1:7">
      <c r="A190" t="s">
        <v>16058</v>
      </c>
      <c r="B190" t="s">
        <v>16234</v>
      </c>
      <c r="C190" t="s">
        <v>16072</v>
      </c>
      <c r="D190" t="s">
        <v>16212</v>
      </c>
      <c r="G190" t="s">
        <v>16213</v>
      </c>
    </row>
    <row r="191" spans="1:7">
      <c r="A191" t="s">
        <v>16058</v>
      </c>
      <c r="B191" t="s">
        <v>16234</v>
      </c>
      <c r="C191" t="s">
        <v>16071</v>
      </c>
      <c r="D191" t="s">
        <v>16212</v>
      </c>
      <c r="G191" t="s">
        <v>16213</v>
      </c>
    </row>
    <row r="192" spans="1:7">
      <c r="A192" t="s">
        <v>16058</v>
      </c>
      <c r="B192" t="s">
        <v>16234</v>
      </c>
      <c r="C192" t="s">
        <v>16069</v>
      </c>
      <c r="D192" t="s">
        <v>16212</v>
      </c>
      <c r="G192" t="s">
        <v>16213</v>
      </c>
    </row>
    <row r="193" spans="1:7">
      <c r="A193" t="s">
        <v>16058</v>
      </c>
      <c r="B193" t="s">
        <v>16234</v>
      </c>
      <c r="C193" t="s">
        <v>16160</v>
      </c>
      <c r="D193" t="s">
        <v>16212</v>
      </c>
      <c r="G193" t="s">
        <v>16213</v>
      </c>
    </row>
    <row r="194" spans="1:7">
      <c r="A194" t="s">
        <v>16058</v>
      </c>
      <c r="B194" t="s">
        <v>16234</v>
      </c>
      <c r="C194" t="s">
        <v>16068</v>
      </c>
      <c r="D194" t="s">
        <v>16212</v>
      </c>
      <c r="G194" t="s">
        <v>16213</v>
      </c>
    </row>
    <row r="195" spans="1:7">
      <c r="A195" t="s">
        <v>16058</v>
      </c>
      <c r="B195" t="s">
        <v>16234</v>
      </c>
      <c r="C195" t="s">
        <v>16067</v>
      </c>
      <c r="D195" t="s">
        <v>16212</v>
      </c>
      <c r="G195" t="s">
        <v>16213</v>
      </c>
    </row>
    <row r="196" spans="1:7">
      <c r="A196" t="s">
        <v>16058</v>
      </c>
      <c r="B196" t="s">
        <v>16234</v>
      </c>
      <c r="C196" t="s">
        <v>16066</v>
      </c>
      <c r="D196" t="s">
        <v>16212</v>
      </c>
      <c r="G196" t="s">
        <v>16213</v>
      </c>
    </row>
    <row r="197" spans="1:7">
      <c r="A197" t="s">
        <v>16058</v>
      </c>
      <c r="B197" t="s">
        <v>16234</v>
      </c>
      <c r="C197" t="s">
        <v>16167</v>
      </c>
      <c r="D197" t="s">
        <v>16212</v>
      </c>
      <c r="G197" t="s">
        <v>16213</v>
      </c>
    </row>
    <row r="198" spans="1:7">
      <c r="A198" t="s">
        <v>16058</v>
      </c>
      <c r="B198" t="s">
        <v>16234</v>
      </c>
      <c r="C198" t="s">
        <v>16064</v>
      </c>
      <c r="D198" t="s">
        <v>16212</v>
      </c>
      <c r="G198" t="s">
        <v>16213</v>
      </c>
    </row>
    <row r="199" spans="1:7">
      <c r="A199" t="s">
        <v>16058</v>
      </c>
      <c r="B199" t="s">
        <v>16234</v>
      </c>
      <c r="C199" t="s">
        <v>16079</v>
      </c>
      <c r="D199" t="s">
        <v>16212</v>
      </c>
      <c r="G199" t="s">
        <v>16213</v>
      </c>
    </row>
    <row r="200" spans="1:7">
      <c r="A200" t="s">
        <v>16058</v>
      </c>
      <c r="B200" t="s">
        <v>16234</v>
      </c>
      <c r="C200" t="s">
        <v>16063</v>
      </c>
      <c r="D200" t="s">
        <v>16212</v>
      </c>
      <c r="G200" t="s">
        <v>16213</v>
      </c>
    </row>
  </sheetData>
  <sheetProtection algorithmName="SHA-512" hashValue="TrTn/oF5iqbJgtV/WlQF3hV52dRuuzxkwlPFhv1JAWdSfByO5ETpvVO8PqNFuofmio+vL1lFjF3fngl/MWt/ZQ==" saltValue="ztamMxZiPGvLW1wbenQ+JA==" spinCount="100000" sheet="1" scenarios="1" formatColumns="0" sort="0" autoFilter="0"/>
  <phoneticPr fontId="17" type="noConversion"/>
  <pageMargins left="0.7" right="0.7" top="0.75" bottom="0.75" header="0.3" footer="0.3"/>
  <tableParts count="1">
    <tablePart r:id="rId1"/>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21622-F45C-40F3-932A-457434343A10}">
  <sheetPr codeName="Sheet32"/>
  <dimension ref="A1:N5"/>
  <sheetViews>
    <sheetView workbookViewId="0"/>
  </sheetViews>
  <sheetFormatPr defaultRowHeight="12.75"/>
  <cols>
    <col min="1" max="1" width="13.85546875" bestFit="1" customWidth="1"/>
    <col min="2" max="2" width="19.42578125" bestFit="1" customWidth="1"/>
    <col min="5" max="5" width="13.85546875" bestFit="1" customWidth="1"/>
    <col min="6" max="6" width="19.42578125" bestFit="1" customWidth="1"/>
    <col min="9" max="9" width="13.85546875" bestFit="1" customWidth="1"/>
    <col min="10" max="10" width="19.42578125" bestFit="1" customWidth="1"/>
    <col min="13" max="13" width="13.85546875" bestFit="1" customWidth="1"/>
    <col min="14" max="14" width="14.5703125" bestFit="1" customWidth="1"/>
  </cols>
  <sheetData>
    <row r="1" spans="1:14" ht="20.25">
      <c r="A1" s="53" t="s">
        <v>3272</v>
      </c>
    </row>
    <row r="2" spans="1:14">
      <c r="A2" s="54" t="s">
        <v>3273</v>
      </c>
    </row>
    <row r="5" spans="1:14">
      <c r="A5" s="44" t="s">
        <v>3274</v>
      </c>
      <c r="B5" t="s">
        <v>205</v>
      </c>
      <c r="E5" s="44" t="s">
        <v>3274</v>
      </c>
      <c r="F5" t="s">
        <v>205</v>
      </c>
      <c r="I5" s="44" t="s">
        <v>3274</v>
      </c>
      <c r="J5" t="s">
        <v>205</v>
      </c>
      <c r="M5" s="44" t="s">
        <v>3274</v>
      </c>
      <c r="N5" t="s">
        <v>211</v>
      </c>
    </row>
  </sheetData>
  <sheetProtection algorithmName="SHA-512" hashValue="gLJnmyyFrQqwPFo3F+LLS+dRQ3TJzrGTIaBQxwgv16ymb+QMujoDj9TXypQwmEVcaZfgDKhjWafrg1hYdbi8oQ==" saltValue="o1/yiPNRQJVA8uwiq3Gb4A==" spinCount="100000" sheet="1" scenarios="1" formatColumns="0" sort="0" autoFilter="0" pivotTables="0"/>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68B07-5322-494E-9BE6-66CDCA5318C3}">
  <sheetPr codeName="Sheet33"/>
  <dimension ref="A1:Q6"/>
  <sheetViews>
    <sheetView workbookViewId="0"/>
  </sheetViews>
  <sheetFormatPr defaultRowHeight="12.75"/>
  <cols>
    <col min="1" max="9" width="14.7109375" customWidth="1"/>
    <col min="10" max="11" width="50.7109375" customWidth="1"/>
    <col min="12" max="17" width="14.7109375" customWidth="1"/>
  </cols>
  <sheetData>
    <row r="1" spans="1:17" ht="20.25">
      <c r="A1" s="53" t="s">
        <v>2917</v>
      </c>
    </row>
    <row r="2" spans="1:17">
      <c r="A2" s="54" t="s">
        <v>2918</v>
      </c>
    </row>
    <row r="3" spans="1:17">
      <c r="A3" s="47" t="s">
        <v>2919</v>
      </c>
      <c r="B3" s="83" t="s">
        <v>68</v>
      </c>
      <c r="C3" s="47" t="s">
        <v>2920</v>
      </c>
      <c r="D3" s="83"/>
    </row>
    <row r="5" spans="1:17" ht="25.5">
      <c r="A5" s="50" t="s">
        <v>2921</v>
      </c>
      <c r="B5" s="50" t="s">
        <v>2922</v>
      </c>
      <c r="C5" s="50" t="s">
        <v>2923</v>
      </c>
      <c r="D5" s="50" t="s">
        <v>2895</v>
      </c>
      <c r="E5" s="50" t="s">
        <v>2924</v>
      </c>
      <c r="F5" s="50" t="s">
        <v>2896</v>
      </c>
      <c r="G5" s="50" t="s">
        <v>2897</v>
      </c>
      <c r="H5" s="50" t="s">
        <v>2925</v>
      </c>
      <c r="I5" s="50" t="s">
        <v>2926</v>
      </c>
      <c r="J5" s="50" t="s">
        <v>15</v>
      </c>
      <c r="K5" s="50" t="s">
        <v>146</v>
      </c>
      <c r="L5" s="50" t="s">
        <v>2916</v>
      </c>
      <c r="M5" s="50" t="s">
        <v>2706</v>
      </c>
      <c r="N5" s="50" t="s">
        <v>2927</v>
      </c>
      <c r="O5" s="50" t="s">
        <v>2928</v>
      </c>
      <c r="P5" s="50" t="s">
        <v>2929</v>
      </c>
      <c r="Q5" s="50" t="s">
        <v>2930</v>
      </c>
    </row>
    <row r="6" spans="1:17">
      <c r="B6" s="83"/>
      <c r="C6" s="83"/>
      <c r="D6" s="83"/>
      <c r="E6" s="83"/>
      <c r="F6" s="83"/>
      <c r="G6" s="83"/>
      <c r="H6" s="83"/>
      <c r="I6" s="83"/>
      <c r="J6" s="83"/>
      <c r="K6" s="83"/>
      <c r="L6" s="83"/>
      <c r="M6" s="83"/>
      <c r="N6" s="83"/>
      <c r="P6" s="83"/>
      <c r="Q6" s="83"/>
    </row>
  </sheetData>
  <sheetProtection algorithmName="SHA-512" hashValue="j+38ucW6BjnTpCqYZvbU0NmACw62oowL1q/ba71f0K4m9WqSSPrMo4pwmVRakEefRnwECYlqMPJbDsjYO13gRw==" saltValue="KqwOaAA73TCrrxs7vLvA2w==" spinCount="100000" sheet="1" scenarios="1" formatColumns="0" sort="0" autoFilter="0"/>
  <pageMargins left="0.7" right="0.7" top="0.75" bottom="0.75" header="0.3" footer="0.3"/>
  <tableParts count="1">
    <tablePart r:id="rId1"/>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2B639-187C-4E07-B932-A1C2E897B681}">
  <sheetPr codeName="Sheet36"/>
  <dimension ref="A1:F59"/>
  <sheetViews>
    <sheetView workbookViewId="0"/>
  </sheetViews>
  <sheetFormatPr defaultRowHeight="12.75"/>
  <sheetData>
    <row r="1" spans="1:6">
      <c r="A1">
        <v>57</v>
      </c>
      <c r="B1">
        <v>6</v>
      </c>
      <c r="C1" t="s">
        <v>3372</v>
      </c>
    </row>
    <row r="2" spans="1:6">
      <c r="A2" t="s">
        <v>236</v>
      </c>
      <c r="B2" t="s">
        <v>237</v>
      </c>
      <c r="C2" t="s">
        <v>93</v>
      </c>
      <c r="D2" t="s">
        <v>238</v>
      </c>
      <c r="E2" t="s">
        <v>239</v>
      </c>
      <c r="F2" t="s">
        <v>240</v>
      </c>
    </row>
    <row r="3" spans="1:6">
      <c r="A3" s="83" t="s">
        <v>4447</v>
      </c>
      <c r="B3" s="83" t="s">
        <v>4448</v>
      </c>
      <c r="D3" s="83" t="s">
        <v>4449</v>
      </c>
      <c r="E3" s="83" t="s">
        <v>4450</v>
      </c>
      <c r="F3" s="83" t="s">
        <v>4451</v>
      </c>
    </row>
    <row r="4" spans="1:6">
      <c r="A4" s="83" t="s">
        <v>4447</v>
      </c>
      <c r="B4" s="83" t="s">
        <v>4452</v>
      </c>
      <c r="C4" s="83" t="s">
        <v>16235</v>
      </c>
      <c r="D4" s="83" t="s">
        <v>4449</v>
      </c>
      <c r="E4" s="83" t="s">
        <v>22146</v>
      </c>
      <c r="F4" s="83" t="s">
        <v>22147</v>
      </c>
    </row>
    <row r="5" spans="1:6">
      <c r="A5" s="83" t="s">
        <v>4453</v>
      </c>
      <c r="B5" s="83" t="s">
        <v>4454</v>
      </c>
      <c r="D5" s="83" t="s">
        <v>4455</v>
      </c>
      <c r="E5" s="83" t="s">
        <v>4456</v>
      </c>
      <c r="F5" s="83" t="s">
        <v>4457</v>
      </c>
    </row>
    <row r="6" spans="1:6">
      <c r="A6" s="83" t="s">
        <v>4453</v>
      </c>
      <c r="B6" s="83" t="s">
        <v>4458</v>
      </c>
      <c r="D6" s="83" t="s">
        <v>4455</v>
      </c>
      <c r="E6" s="83" t="s">
        <v>4459</v>
      </c>
      <c r="F6" s="83" t="s">
        <v>4460</v>
      </c>
    </row>
    <row r="7" spans="1:6">
      <c r="A7" s="83" t="s">
        <v>4453</v>
      </c>
      <c r="B7" s="83" t="s">
        <v>4461</v>
      </c>
      <c r="D7" s="83" t="s">
        <v>4455</v>
      </c>
      <c r="E7" s="83" t="s">
        <v>22148</v>
      </c>
      <c r="F7" s="83" t="s">
        <v>22149</v>
      </c>
    </row>
    <row r="8" spans="1:6">
      <c r="A8" s="83" t="s">
        <v>4453</v>
      </c>
      <c r="B8" s="83" t="s">
        <v>4462</v>
      </c>
      <c r="D8" s="83" t="s">
        <v>4455</v>
      </c>
      <c r="E8" s="83" t="s">
        <v>4463</v>
      </c>
      <c r="F8" s="83" t="s">
        <v>4464</v>
      </c>
    </row>
    <row r="9" spans="1:6">
      <c r="A9" s="83" t="s">
        <v>4453</v>
      </c>
      <c r="B9" s="83" t="s">
        <v>4465</v>
      </c>
      <c r="D9" s="83" t="s">
        <v>4455</v>
      </c>
      <c r="E9" s="83" t="s">
        <v>4466</v>
      </c>
      <c r="F9" s="83" t="s">
        <v>4467</v>
      </c>
    </row>
    <row r="10" spans="1:6">
      <c r="A10" s="83" t="s">
        <v>4453</v>
      </c>
      <c r="B10" s="83" t="s">
        <v>4468</v>
      </c>
      <c r="D10" s="83" t="s">
        <v>4455</v>
      </c>
      <c r="E10" s="83" t="s">
        <v>4469</v>
      </c>
      <c r="F10" s="83" t="s">
        <v>4470</v>
      </c>
    </row>
    <row r="11" spans="1:6">
      <c r="A11" s="83" t="s">
        <v>4453</v>
      </c>
      <c r="B11" s="83" t="s">
        <v>4471</v>
      </c>
      <c r="D11" s="83" t="s">
        <v>4472</v>
      </c>
      <c r="E11" s="83" t="s">
        <v>4473</v>
      </c>
      <c r="F11" s="83" t="s">
        <v>4474</v>
      </c>
    </row>
    <row r="12" spans="1:6">
      <c r="A12" s="83" t="s">
        <v>4453</v>
      </c>
      <c r="B12" s="83" t="s">
        <v>4475</v>
      </c>
      <c r="D12" s="83" t="s">
        <v>4476</v>
      </c>
      <c r="E12" s="83" t="s">
        <v>4477</v>
      </c>
      <c r="F12" s="83" t="s">
        <v>4478</v>
      </c>
    </row>
    <row r="13" spans="1:6">
      <c r="A13" s="83" t="s">
        <v>4453</v>
      </c>
      <c r="B13" s="83" t="s">
        <v>4479</v>
      </c>
      <c r="D13" s="83" t="s">
        <v>4480</v>
      </c>
      <c r="E13" s="83" t="s">
        <v>4481</v>
      </c>
      <c r="F13" s="83" t="s">
        <v>4482</v>
      </c>
    </row>
    <row r="14" spans="1:6">
      <c r="A14" s="83" t="s">
        <v>4483</v>
      </c>
      <c r="B14" s="83" t="s">
        <v>4484</v>
      </c>
      <c r="C14" s="83" t="s">
        <v>4485</v>
      </c>
      <c r="D14" s="83" t="s">
        <v>4486</v>
      </c>
      <c r="E14" s="83" t="s">
        <v>4487</v>
      </c>
      <c r="F14" s="83" t="s">
        <v>4488</v>
      </c>
    </row>
    <row r="15" spans="1:6">
      <c r="A15" s="83" t="s">
        <v>4483</v>
      </c>
      <c r="B15" s="83" t="s">
        <v>4489</v>
      </c>
      <c r="C15" s="83" t="s">
        <v>4490</v>
      </c>
      <c r="D15" s="83" t="s">
        <v>4486</v>
      </c>
      <c r="E15" s="83" t="s">
        <v>4491</v>
      </c>
      <c r="F15" s="83" t="s">
        <v>4492</v>
      </c>
    </row>
    <row r="16" spans="1:6">
      <c r="A16" s="83" t="s">
        <v>4483</v>
      </c>
      <c r="B16" s="83" t="s">
        <v>4493</v>
      </c>
      <c r="C16" s="83" t="s">
        <v>4494</v>
      </c>
      <c r="D16" s="83" t="s">
        <v>4486</v>
      </c>
      <c r="E16" s="83" t="s">
        <v>22150</v>
      </c>
      <c r="F16" s="83" t="s">
        <v>4495</v>
      </c>
    </row>
    <row r="17" spans="1:6">
      <c r="A17" s="83" t="s">
        <v>4483</v>
      </c>
      <c r="B17" s="83" t="s">
        <v>4496</v>
      </c>
      <c r="C17" s="83" t="s">
        <v>4497</v>
      </c>
      <c r="D17" s="83" t="s">
        <v>4486</v>
      </c>
      <c r="E17" s="83" t="s">
        <v>22151</v>
      </c>
      <c r="F17" s="83" t="s">
        <v>22152</v>
      </c>
    </row>
    <row r="18" spans="1:6">
      <c r="A18" s="83" t="s">
        <v>4483</v>
      </c>
      <c r="B18" s="83" t="s">
        <v>4498</v>
      </c>
      <c r="C18" s="83" t="s">
        <v>4499</v>
      </c>
      <c r="D18" s="83" t="s">
        <v>4486</v>
      </c>
      <c r="E18" s="83" t="s">
        <v>22153</v>
      </c>
      <c r="F18" s="83" t="s">
        <v>22154</v>
      </c>
    </row>
    <row r="19" spans="1:6">
      <c r="A19" s="83" t="s">
        <v>4500</v>
      </c>
      <c r="B19" s="83" t="s">
        <v>4501</v>
      </c>
      <c r="C19" s="83" t="s">
        <v>4502</v>
      </c>
      <c r="D19" s="83" t="s">
        <v>4503</v>
      </c>
      <c r="E19" s="83" t="s">
        <v>4504</v>
      </c>
      <c r="F19" s="83" t="s">
        <v>4505</v>
      </c>
    </row>
    <row r="20" spans="1:6">
      <c r="A20" s="83" t="s">
        <v>4500</v>
      </c>
      <c r="B20" s="83" t="s">
        <v>4506</v>
      </c>
      <c r="C20" s="83" t="s">
        <v>4507</v>
      </c>
      <c r="D20" s="83" t="s">
        <v>4508</v>
      </c>
      <c r="E20" s="83" t="s">
        <v>4509</v>
      </c>
      <c r="F20" s="83" t="s">
        <v>4510</v>
      </c>
    </row>
    <row r="21" spans="1:6">
      <c r="A21" s="83" t="s">
        <v>4500</v>
      </c>
      <c r="B21" s="83" t="s">
        <v>4511</v>
      </c>
      <c r="C21" s="83" t="s">
        <v>4512</v>
      </c>
      <c r="D21" s="83" t="s">
        <v>4513</v>
      </c>
      <c r="E21" s="83" t="s">
        <v>4514</v>
      </c>
      <c r="F21" s="83" t="s">
        <v>4515</v>
      </c>
    </row>
    <row r="22" spans="1:6">
      <c r="A22" s="83" t="s">
        <v>4500</v>
      </c>
      <c r="B22" s="83" t="s">
        <v>4516</v>
      </c>
      <c r="C22" s="83" t="s">
        <v>4517</v>
      </c>
      <c r="D22" s="83" t="s">
        <v>4513</v>
      </c>
      <c r="E22" s="83" t="s">
        <v>4518</v>
      </c>
      <c r="F22" s="83" t="s">
        <v>4519</v>
      </c>
    </row>
    <row r="23" spans="1:6">
      <c r="A23" s="83" t="s">
        <v>4500</v>
      </c>
      <c r="B23" s="83" t="s">
        <v>4520</v>
      </c>
      <c r="C23" s="83" t="s">
        <v>4521</v>
      </c>
      <c r="D23" s="83" t="s">
        <v>4522</v>
      </c>
      <c r="E23" s="83" t="s">
        <v>4523</v>
      </c>
      <c r="F23" s="83" t="s">
        <v>4524</v>
      </c>
    </row>
    <row r="24" spans="1:6">
      <c r="A24" s="83" t="s">
        <v>4500</v>
      </c>
      <c r="B24" s="83" t="s">
        <v>4525</v>
      </c>
      <c r="C24" s="83" t="s">
        <v>4526</v>
      </c>
      <c r="D24" s="83" t="s">
        <v>4522</v>
      </c>
      <c r="E24" s="83" t="s">
        <v>4527</v>
      </c>
      <c r="F24" s="83" t="s">
        <v>4528</v>
      </c>
    </row>
    <row r="25" spans="1:6">
      <c r="A25" s="83" t="s">
        <v>4500</v>
      </c>
      <c r="B25" s="83" t="s">
        <v>4529</v>
      </c>
      <c r="C25" s="83" t="s">
        <v>4530</v>
      </c>
      <c r="D25" s="83" t="s">
        <v>4513</v>
      </c>
      <c r="E25" s="83" t="s">
        <v>4531</v>
      </c>
      <c r="F25" s="83" t="s">
        <v>4532</v>
      </c>
    </row>
    <row r="26" spans="1:6">
      <c r="A26" s="83" t="s">
        <v>4533</v>
      </c>
      <c r="B26" s="83" t="s">
        <v>4534</v>
      </c>
      <c r="C26" s="83" t="s">
        <v>4535</v>
      </c>
      <c r="D26" s="83" t="s">
        <v>4536</v>
      </c>
      <c r="E26" s="83" t="s">
        <v>4537</v>
      </c>
      <c r="F26" s="83" t="s">
        <v>4538</v>
      </c>
    </row>
    <row r="27" spans="1:6">
      <c r="A27" s="83" t="s">
        <v>4533</v>
      </c>
      <c r="B27" s="83" t="s">
        <v>4539</v>
      </c>
      <c r="C27" s="83" t="s">
        <v>4540</v>
      </c>
      <c r="D27" s="83" t="s">
        <v>4541</v>
      </c>
      <c r="E27" s="83" t="s">
        <v>4542</v>
      </c>
      <c r="F27" s="83" t="s">
        <v>4543</v>
      </c>
    </row>
    <row r="28" spans="1:6">
      <c r="A28" s="83" t="s">
        <v>4533</v>
      </c>
      <c r="B28" s="83" t="s">
        <v>4544</v>
      </c>
      <c r="C28" s="83" t="s">
        <v>4545</v>
      </c>
      <c r="D28" s="83" t="s">
        <v>4546</v>
      </c>
      <c r="E28" s="83" t="s">
        <v>4547</v>
      </c>
      <c r="F28" s="83" t="s">
        <v>4548</v>
      </c>
    </row>
    <row r="29" spans="1:6">
      <c r="A29" s="83" t="s">
        <v>4533</v>
      </c>
      <c r="B29" s="83" t="s">
        <v>4549</v>
      </c>
      <c r="C29" s="83" t="s">
        <v>4606</v>
      </c>
      <c r="D29" s="83" t="s">
        <v>4551</v>
      </c>
      <c r="E29" s="83" t="s">
        <v>4552</v>
      </c>
      <c r="F29" s="83" t="s">
        <v>4553</v>
      </c>
    </row>
    <row r="30" spans="1:6">
      <c r="A30" s="83" t="s">
        <v>4533</v>
      </c>
      <c r="B30" s="83" t="s">
        <v>4554</v>
      </c>
      <c r="D30" s="83" t="s">
        <v>4555</v>
      </c>
      <c r="E30" s="83" t="s">
        <v>4556</v>
      </c>
      <c r="F30" s="83" t="s">
        <v>4557</v>
      </c>
    </row>
    <row r="31" spans="1:6">
      <c r="A31" s="83" t="s">
        <v>4558</v>
      </c>
      <c r="B31" s="83" t="s">
        <v>4559</v>
      </c>
      <c r="C31" s="83" t="s">
        <v>4560</v>
      </c>
      <c r="D31" s="83" t="s">
        <v>4561</v>
      </c>
      <c r="E31" s="83" t="s">
        <v>4562</v>
      </c>
      <c r="F31" s="83" t="s">
        <v>4563</v>
      </c>
    </row>
    <row r="32" spans="1:6">
      <c r="A32" s="83" t="s">
        <v>4558</v>
      </c>
      <c r="B32" s="83" t="s">
        <v>4564</v>
      </c>
      <c r="C32" s="83" t="s">
        <v>4565</v>
      </c>
      <c r="D32" s="83" t="s">
        <v>4566</v>
      </c>
      <c r="E32" s="83" t="s">
        <v>4567</v>
      </c>
      <c r="F32" s="83" t="s">
        <v>4568</v>
      </c>
    </row>
    <row r="33" spans="1:6">
      <c r="A33" s="83" t="s">
        <v>4558</v>
      </c>
      <c r="B33" s="83" t="s">
        <v>4569</v>
      </c>
      <c r="C33" s="83" t="s">
        <v>4570</v>
      </c>
      <c r="D33" s="83" t="s">
        <v>4571</v>
      </c>
      <c r="E33" s="83" t="s">
        <v>4572</v>
      </c>
      <c r="F33" s="83" t="s">
        <v>4573</v>
      </c>
    </row>
    <row r="34" spans="1:6">
      <c r="A34" s="83" t="s">
        <v>4574</v>
      </c>
      <c r="B34" s="83" t="s">
        <v>4575</v>
      </c>
      <c r="C34" s="83" t="s">
        <v>4576</v>
      </c>
      <c r="D34" s="83" t="s">
        <v>4577</v>
      </c>
      <c r="E34" s="83" t="s">
        <v>4578</v>
      </c>
      <c r="F34" s="83" t="s">
        <v>4579</v>
      </c>
    </row>
    <row r="35" spans="1:6">
      <c r="A35" s="83" t="s">
        <v>4574</v>
      </c>
      <c r="B35" s="83" t="s">
        <v>4580</v>
      </c>
      <c r="C35" s="83" t="s">
        <v>4550</v>
      </c>
      <c r="D35" s="83" t="s">
        <v>4581</v>
      </c>
      <c r="E35" s="83" t="s">
        <v>4582</v>
      </c>
      <c r="F35" s="83" t="s">
        <v>4583</v>
      </c>
    </row>
    <row r="36" spans="1:6">
      <c r="A36" s="83" t="s">
        <v>4584</v>
      </c>
      <c r="B36" s="83" t="s">
        <v>4585</v>
      </c>
      <c r="D36" s="83" t="s">
        <v>4486</v>
      </c>
      <c r="E36" s="83" t="s">
        <v>4586</v>
      </c>
      <c r="F36" s="83" t="s">
        <v>4587</v>
      </c>
    </row>
    <row r="37" spans="1:6">
      <c r="A37" s="83" t="s">
        <v>4584</v>
      </c>
      <c r="B37" s="83" t="s">
        <v>4588</v>
      </c>
      <c r="D37" s="83" t="s">
        <v>4449</v>
      </c>
      <c r="E37" s="83" t="s">
        <v>4589</v>
      </c>
      <c r="F37" s="83" t="s">
        <v>4590</v>
      </c>
    </row>
    <row r="38" spans="1:6">
      <c r="A38" s="83" t="s">
        <v>4591</v>
      </c>
      <c r="B38" s="83" t="s">
        <v>4592</v>
      </c>
      <c r="C38" s="83" t="s">
        <v>22155</v>
      </c>
      <c r="D38" s="83" t="s">
        <v>4486</v>
      </c>
      <c r="E38" s="83" t="s">
        <v>22156</v>
      </c>
      <c r="F38" s="83" t="s">
        <v>4594</v>
      </c>
    </row>
    <row r="39" spans="1:6">
      <c r="A39" s="83" t="s">
        <v>4591</v>
      </c>
      <c r="B39" s="83" t="s">
        <v>4595</v>
      </c>
      <c r="C39" s="83" t="s">
        <v>22157</v>
      </c>
      <c r="D39" s="83" t="s">
        <v>4486</v>
      </c>
      <c r="E39" s="83" t="s">
        <v>22158</v>
      </c>
      <c r="F39" s="83" t="s">
        <v>4596</v>
      </c>
    </row>
    <row r="40" spans="1:6">
      <c r="A40" s="83" t="s">
        <v>4591</v>
      </c>
      <c r="B40" s="83" t="s">
        <v>4597</v>
      </c>
      <c r="C40" s="83" t="s">
        <v>4598</v>
      </c>
      <c r="D40" s="83" t="s">
        <v>4599</v>
      </c>
      <c r="E40" s="83" t="s">
        <v>4600</v>
      </c>
      <c r="F40" s="83" t="s">
        <v>4601</v>
      </c>
    </row>
    <row r="41" spans="1:6">
      <c r="A41" s="83" t="s">
        <v>17958</v>
      </c>
      <c r="B41" s="83" t="s">
        <v>20156</v>
      </c>
      <c r="C41" s="83" t="s">
        <v>15358</v>
      </c>
      <c r="D41" s="83" t="s">
        <v>20157</v>
      </c>
      <c r="E41" s="83" t="s">
        <v>20158</v>
      </c>
      <c r="F41" s="83" t="s">
        <v>20159</v>
      </c>
    </row>
    <row r="42" spans="1:6">
      <c r="A42" s="83" t="s">
        <v>4483</v>
      </c>
      <c r="B42" s="83" t="s">
        <v>20655</v>
      </c>
      <c r="C42" s="83" t="s">
        <v>20656</v>
      </c>
      <c r="D42" s="83" t="s">
        <v>4486</v>
      </c>
      <c r="E42" s="83" t="s">
        <v>20657</v>
      </c>
      <c r="F42" s="83" t="s">
        <v>20658</v>
      </c>
    </row>
    <row r="43" spans="1:6">
      <c r="A43" s="83" t="s">
        <v>4483</v>
      </c>
      <c r="B43" s="83" t="s">
        <v>20659</v>
      </c>
      <c r="C43" s="83" t="s">
        <v>4447</v>
      </c>
      <c r="D43" s="83" t="s">
        <v>4486</v>
      </c>
      <c r="E43" s="83" t="s">
        <v>20660</v>
      </c>
      <c r="F43" s="83" t="s">
        <v>20661</v>
      </c>
    </row>
    <row r="44" spans="1:6">
      <c r="A44" s="83" t="s">
        <v>20662</v>
      </c>
      <c r="B44" s="83" t="s">
        <v>20663</v>
      </c>
      <c r="C44" s="83" t="s">
        <v>20664</v>
      </c>
      <c r="D44" s="83" t="s">
        <v>20665</v>
      </c>
      <c r="E44" s="83" t="s">
        <v>20666</v>
      </c>
      <c r="F44" s="83" t="s">
        <v>20667</v>
      </c>
    </row>
    <row r="45" spans="1:6">
      <c r="A45" s="83" t="s">
        <v>20662</v>
      </c>
      <c r="B45" s="83" t="s">
        <v>20668</v>
      </c>
      <c r="D45" s="83" t="s">
        <v>4449</v>
      </c>
      <c r="E45" s="83" t="s">
        <v>20669</v>
      </c>
      <c r="F45" s="83" t="s">
        <v>20670</v>
      </c>
    </row>
    <row r="46" spans="1:6">
      <c r="A46" s="83" t="s">
        <v>20662</v>
      </c>
      <c r="B46" s="83" t="s">
        <v>20671</v>
      </c>
      <c r="C46" s="83" t="s">
        <v>4570</v>
      </c>
      <c r="D46" s="83" t="s">
        <v>4449</v>
      </c>
      <c r="E46" s="83" t="s">
        <v>20672</v>
      </c>
      <c r="F46" s="83" t="s">
        <v>20670</v>
      </c>
    </row>
    <row r="47" spans="1:6">
      <c r="A47" s="83" t="s">
        <v>20662</v>
      </c>
      <c r="B47" s="83" t="s">
        <v>20673</v>
      </c>
      <c r="C47" s="83" t="s">
        <v>15399</v>
      </c>
      <c r="D47" s="83" t="s">
        <v>4513</v>
      </c>
      <c r="E47" s="83" t="s">
        <v>20674</v>
      </c>
      <c r="F47" s="83" t="s">
        <v>20675</v>
      </c>
    </row>
    <row r="48" spans="1:6">
      <c r="A48" s="83" t="s">
        <v>4591</v>
      </c>
      <c r="B48" s="83" t="s">
        <v>20676</v>
      </c>
      <c r="C48" s="83" t="s">
        <v>4606</v>
      </c>
      <c r="D48" s="83" t="s">
        <v>20677</v>
      </c>
      <c r="E48" s="83" t="s">
        <v>20678</v>
      </c>
      <c r="F48" s="83" t="s">
        <v>20679</v>
      </c>
    </row>
    <row r="49" spans="1:5">
      <c r="A49" s="83" t="s">
        <v>17958</v>
      </c>
      <c r="B49" s="83" t="s">
        <v>21444</v>
      </c>
      <c r="D49" s="83" t="s">
        <v>21445</v>
      </c>
      <c r="E49" s="83" t="s">
        <v>21446</v>
      </c>
    </row>
    <row r="50" spans="1:5">
      <c r="A50" s="83" t="s">
        <v>17958</v>
      </c>
      <c r="B50" s="83" t="s">
        <v>21447</v>
      </c>
      <c r="C50" s="83" t="s">
        <v>4570</v>
      </c>
      <c r="D50" s="83" t="s">
        <v>21448</v>
      </c>
      <c r="E50" s="83" t="s">
        <v>21449</v>
      </c>
    </row>
    <row r="51" spans="1:5">
      <c r="A51" s="83" t="s">
        <v>17958</v>
      </c>
      <c r="B51" s="83" t="s">
        <v>21450</v>
      </c>
      <c r="C51" s="83" t="s">
        <v>4570</v>
      </c>
      <c r="D51" s="83" t="s">
        <v>21448</v>
      </c>
      <c r="E51" s="83" t="s">
        <v>21451</v>
      </c>
    </row>
    <row r="52" spans="1:5">
      <c r="A52" s="83" t="s">
        <v>17958</v>
      </c>
      <c r="B52" s="83" t="s">
        <v>21452</v>
      </c>
      <c r="D52" s="83" t="s">
        <v>21445</v>
      </c>
      <c r="E52" s="83" t="s">
        <v>21453</v>
      </c>
    </row>
    <row r="53" spans="1:5">
      <c r="A53" s="83" t="s">
        <v>17958</v>
      </c>
      <c r="B53" s="83" t="s">
        <v>21454</v>
      </c>
      <c r="D53" s="83" t="s">
        <v>21445</v>
      </c>
      <c r="E53" s="83" t="s">
        <v>21455</v>
      </c>
    </row>
    <row r="54" spans="1:5">
      <c r="A54" s="83" t="s">
        <v>17958</v>
      </c>
      <c r="B54" s="83" t="s">
        <v>21456</v>
      </c>
      <c r="C54" s="83" t="s">
        <v>17869</v>
      </c>
      <c r="D54" s="83" t="s">
        <v>21457</v>
      </c>
      <c r="E54" s="83" t="s">
        <v>21458</v>
      </c>
    </row>
    <row r="55" spans="1:5">
      <c r="A55" s="83" t="s">
        <v>21459</v>
      </c>
      <c r="B55" s="83" t="s">
        <v>21460</v>
      </c>
      <c r="C55" s="83" t="s">
        <v>4606</v>
      </c>
      <c r="D55" s="83" t="s">
        <v>21461</v>
      </c>
      <c r="E55" s="83" t="s">
        <v>21462</v>
      </c>
    </row>
    <row r="56" spans="1:5">
      <c r="A56" s="83" t="s">
        <v>21459</v>
      </c>
      <c r="B56" s="83" t="s">
        <v>21463</v>
      </c>
      <c r="D56" s="83" t="s">
        <v>21464</v>
      </c>
      <c r="E56" s="83" t="s">
        <v>21465</v>
      </c>
    </row>
    <row r="57" spans="1:5">
      <c r="A57" s="83" t="s">
        <v>21459</v>
      </c>
      <c r="B57" s="83" t="s">
        <v>21466</v>
      </c>
      <c r="D57" s="83" t="s">
        <v>21464</v>
      </c>
      <c r="E57" s="83" t="s">
        <v>21467</v>
      </c>
    </row>
    <row r="58" spans="1:5">
      <c r="A58" s="83" t="s">
        <v>21459</v>
      </c>
      <c r="B58" s="83" t="s">
        <v>21468</v>
      </c>
      <c r="D58" s="83" t="s">
        <v>21464</v>
      </c>
      <c r="E58" s="83" t="s">
        <v>21469</v>
      </c>
    </row>
    <row r="59" spans="1:5">
      <c r="A59" s="83" t="s">
        <v>21459</v>
      </c>
      <c r="B59" s="83" t="s">
        <v>21470</v>
      </c>
      <c r="D59" s="83" t="s">
        <v>21464</v>
      </c>
      <c r="E59" s="83" t="s">
        <v>21471</v>
      </c>
    </row>
  </sheetData>
  <sheetProtection algorithmName="SHA-512" hashValue="yvjd5rky3RsQbI9/bfoaK55DZnqAetF2McnFJjNAlOWfUH2ojAHjoMpuThkyQcWhamNdXw9NvUDWqOV4SNCmYQ==" saltValue="hZkF/c8Z1ZP7JyeHY+ZipQ==" spinCount="100000" sheet="1" scenarios="1" formatColumns="0" sort="0" autoFilter="0"/>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3BD8A-C3E5-4862-BF36-412E97AA794E}">
  <sheetPr codeName="Sheet37"/>
  <dimension ref="A1:J105"/>
  <sheetViews>
    <sheetView workbookViewId="0"/>
  </sheetViews>
  <sheetFormatPr defaultRowHeight="12.75"/>
  <sheetData>
    <row r="1" spans="1:10">
      <c r="A1">
        <v>103</v>
      </c>
      <c r="B1">
        <v>10</v>
      </c>
      <c r="C1" t="s">
        <v>3373</v>
      </c>
    </row>
    <row r="2" spans="1:10">
      <c r="A2" t="s">
        <v>296</v>
      </c>
      <c r="B2" t="s">
        <v>297</v>
      </c>
      <c r="C2" t="s">
        <v>298</v>
      </c>
      <c r="D2" t="s">
        <v>299</v>
      </c>
      <c r="E2" t="s">
        <v>300</v>
      </c>
      <c r="F2" t="s">
        <v>301</v>
      </c>
      <c r="G2" t="s">
        <v>302</v>
      </c>
      <c r="H2" t="s">
        <v>303</v>
      </c>
      <c r="I2" t="s">
        <v>2714</v>
      </c>
      <c r="J2" t="s">
        <v>2715</v>
      </c>
    </row>
    <row r="3" spans="1:10">
      <c r="A3" s="83" t="s">
        <v>4602</v>
      </c>
      <c r="B3" s="83" t="s">
        <v>4603</v>
      </c>
      <c r="C3" s="83" t="s">
        <v>4604</v>
      </c>
      <c r="D3" s="83" t="s">
        <v>4605</v>
      </c>
      <c r="E3" s="83" t="s">
        <v>4550</v>
      </c>
      <c r="F3" s="83" t="s">
        <v>4606</v>
      </c>
      <c r="G3" s="83" t="s">
        <v>4607</v>
      </c>
      <c r="H3" s="83" t="s">
        <v>4608</v>
      </c>
    </row>
    <row r="4" spans="1:10">
      <c r="A4" s="83" t="s">
        <v>4609</v>
      </c>
      <c r="B4" s="83" t="s">
        <v>4610</v>
      </c>
      <c r="C4" s="83" t="s">
        <v>4611</v>
      </c>
      <c r="D4" s="83" t="s">
        <v>4612</v>
      </c>
      <c r="E4" s="83" t="s">
        <v>4550</v>
      </c>
      <c r="F4" s="83" t="s">
        <v>4606</v>
      </c>
      <c r="G4" s="83" t="s">
        <v>4607</v>
      </c>
      <c r="H4" s="83" t="s">
        <v>4613</v>
      </c>
    </row>
    <row r="5" spans="1:10">
      <c r="A5" s="83" t="s">
        <v>4614</v>
      </c>
      <c r="B5" s="83" t="s">
        <v>4615</v>
      </c>
      <c r="C5" s="83" t="s">
        <v>4616</v>
      </c>
      <c r="D5" s="83" t="s">
        <v>4612</v>
      </c>
      <c r="E5" s="83" t="s">
        <v>4550</v>
      </c>
      <c r="F5" s="83" t="s">
        <v>4606</v>
      </c>
      <c r="G5" s="83" t="s">
        <v>4607</v>
      </c>
      <c r="H5" s="83" t="s">
        <v>4617</v>
      </c>
    </row>
    <row r="6" spans="1:10">
      <c r="A6" s="83" t="s">
        <v>4618</v>
      </c>
      <c r="B6" s="83" t="s">
        <v>4619</v>
      </c>
      <c r="C6" s="83" t="s">
        <v>4620</v>
      </c>
      <c r="D6" s="83" t="s">
        <v>4612</v>
      </c>
      <c r="E6" s="83" t="s">
        <v>4550</v>
      </c>
      <c r="F6" s="83" t="s">
        <v>4606</v>
      </c>
      <c r="G6" s="83" t="s">
        <v>4607</v>
      </c>
      <c r="H6" s="83" t="s">
        <v>4621</v>
      </c>
    </row>
    <row r="7" spans="1:10">
      <c r="A7" s="83" t="s">
        <v>4622</v>
      </c>
      <c r="B7" s="83" t="s">
        <v>4623</v>
      </c>
      <c r="C7" s="83" t="s">
        <v>4624</v>
      </c>
      <c r="D7" s="83" t="s">
        <v>4612</v>
      </c>
      <c r="E7" s="83" t="s">
        <v>4550</v>
      </c>
      <c r="F7" s="83" t="s">
        <v>4606</v>
      </c>
      <c r="G7" s="83" t="s">
        <v>4607</v>
      </c>
      <c r="H7" s="83" t="s">
        <v>4625</v>
      </c>
    </row>
    <row r="8" spans="1:10">
      <c r="A8" s="83" t="s">
        <v>4626</v>
      </c>
      <c r="B8" s="83" t="s">
        <v>4627</v>
      </c>
      <c r="C8" s="83" t="s">
        <v>4628</v>
      </c>
      <c r="D8" s="83" t="s">
        <v>4605</v>
      </c>
      <c r="E8" s="83" t="s">
        <v>4550</v>
      </c>
      <c r="F8" s="83" t="s">
        <v>4606</v>
      </c>
      <c r="G8" s="83" t="s">
        <v>4629</v>
      </c>
      <c r="H8" s="83" t="s">
        <v>4630</v>
      </c>
    </row>
    <row r="9" spans="1:10">
      <c r="A9" s="83" t="s">
        <v>4631</v>
      </c>
      <c r="B9" s="83" t="s">
        <v>4632</v>
      </c>
      <c r="C9" s="83" t="s">
        <v>4633</v>
      </c>
      <c r="D9" s="83" t="s">
        <v>4605</v>
      </c>
      <c r="E9" s="83" t="s">
        <v>4550</v>
      </c>
      <c r="F9" s="83" t="s">
        <v>4606</v>
      </c>
      <c r="G9" s="83" t="s">
        <v>16347</v>
      </c>
      <c r="H9" s="83" t="s">
        <v>4634</v>
      </c>
    </row>
    <row r="10" spans="1:10">
      <c r="A10" s="83" t="s">
        <v>4635</v>
      </c>
      <c r="B10" s="83" t="s">
        <v>4636</v>
      </c>
      <c r="C10" s="83" t="s">
        <v>4637</v>
      </c>
      <c r="D10" s="83" t="s">
        <v>4605</v>
      </c>
      <c r="E10" s="83" t="s">
        <v>4550</v>
      </c>
      <c r="F10" s="83" t="s">
        <v>4606</v>
      </c>
      <c r="G10" s="83" t="s">
        <v>16347</v>
      </c>
      <c r="H10" s="83" t="s">
        <v>4634</v>
      </c>
    </row>
    <row r="11" spans="1:10">
      <c r="A11" s="83" t="s">
        <v>4638</v>
      </c>
      <c r="B11" s="83" t="s">
        <v>4639</v>
      </c>
      <c r="C11" s="83" t="s">
        <v>4640</v>
      </c>
      <c r="D11" s="83" t="s">
        <v>4605</v>
      </c>
      <c r="E11" s="83" t="s">
        <v>4606</v>
      </c>
      <c r="F11" s="83" t="s">
        <v>4606</v>
      </c>
      <c r="G11" s="83" t="s">
        <v>4641</v>
      </c>
      <c r="H11" s="83" t="s">
        <v>4642</v>
      </c>
    </row>
    <row r="12" spans="1:10">
      <c r="A12" s="83" t="s">
        <v>4643</v>
      </c>
      <c r="B12" s="83" t="s">
        <v>4644</v>
      </c>
      <c r="C12" s="83" t="s">
        <v>4645</v>
      </c>
      <c r="D12" s="83" t="s">
        <v>4605</v>
      </c>
      <c r="E12" s="83" t="s">
        <v>4550</v>
      </c>
      <c r="F12" s="83" t="s">
        <v>4606</v>
      </c>
      <c r="G12" s="83" t="s">
        <v>4629</v>
      </c>
      <c r="H12" s="83" t="s">
        <v>4646</v>
      </c>
    </row>
    <row r="13" spans="1:10">
      <c r="A13" s="83" t="s">
        <v>4647</v>
      </c>
      <c r="B13" s="83" t="s">
        <v>4648</v>
      </c>
      <c r="C13" s="83" t="s">
        <v>4649</v>
      </c>
      <c r="D13" s="83" t="s">
        <v>4605</v>
      </c>
      <c r="E13" s="83" t="s">
        <v>4606</v>
      </c>
      <c r="F13" s="83" t="s">
        <v>4550</v>
      </c>
      <c r="G13" s="83" t="s">
        <v>4650</v>
      </c>
      <c r="H13" s="83" t="s">
        <v>4651</v>
      </c>
    </row>
    <row r="14" spans="1:10">
      <c r="A14" s="83" t="s">
        <v>4652</v>
      </c>
      <c r="B14" s="83" t="s">
        <v>4653</v>
      </c>
      <c r="C14" s="83" t="s">
        <v>4654</v>
      </c>
      <c r="D14" s="83" t="s">
        <v>4605</v>
      </c>
      <c r="E14" s="83" t="s">
        <v>4606</v>
      </c>
      <c r="F14" s="83" t="s">
        <v>4550</v>
      </c>
      <c r="G14" s="83" t="s">
        <v>4650</v>
      </c>
      <c r="H14" s="83" t="s">
        <v>4655</v>
      </c>
    </row>
    <row r="15" spans="1:10">
      <c r="A15" s="83" t="s">
        <v>4656</v>
      </c>
      <c r="B15" s="83" t="s">
        <v>4560</v>
      </c>
      <c r="C15" s="83" t="s">
        <v>4657</v>
      </c>
      <c r="D15" s="83" t="s">
        <v>4658</v>
      </c>
      <c r="E15" s="83" t="s">
        <v>4550</v>
      </c>
      <c r="F15" s="83" t="s">
        <v>4606</v>
      </c>
      <c r="G15" s="83" t="s">
        <v>4607</v>
      </c>
      <c r="H15" s="83" t="s">
        <v>4659</v>
      </c>
    </row>
    <row r="16" spans="1:10">
      <c r="A16" s="83" t="s">
        <v>4660</v>
      </c>
      <c r="B16" s="83" t="s">
        <v>4661</v>
      </c>
      <c r="C16" s="83" t="s">
        <v>4662</v>
      </c>
      <c r="D16" s="83" t="s">
        <v>4605</v>
      </c>
      <c r="E16" s="83" t="s">
        <v>4550</v>
      </c>
      <c r="F16" s="83" t="s">
        <v>4606</v>
      </c>
      <c r="G16" s="83" t="s">
        <v>4607</v>
      </c>
      <c r="H16" s="83" t="s">
        <v>4663</v>
      </c>
    </row>
    <row r="17" spans="1:8">
      <c r="A17" s="83" t="s">
        <v>4664</v>
      </c>
      <c r="B17" s="83" t="s">
        <v>4665</v>
      </c>
      <c r="C17" s="83" t="s">
        <v>4666</v>
      </c>
      <c r="D17" s="83" t="s">
        <v>4605</v>
      </c>
      <c r="E17" s="83" t="s">
        <v>4606</v>
      </c>
      <c r="F17" s="83" t="s">
        <v>4550</v>
      </c>
      <c r="G17" s="83" t="s">
        <v>4650</v>
      </c>
      <c r="H17" s="83" t="s">
        <v>4667</v>
      </c>
    </row>
    <row r="18" spans="1:8">
      <c r="A18" s="83" t="s">
        <v>4668</v>
      </c>
      <c r="B18" s="83" t="s">
        <v>4669</v>
      </c>
      <c r="C18" s="83" t="s">
        <v>4670</v>
      </c>
      <c r="D18" s="83" t="s">
        <v>4612</v>
      </c>
      <c r="E18" s="83" t="s">
        <v>4550</v>
      </c>
      <c r="F18" s="83" t="s">
        <v>4606</v>
      </c>
      <c r="G18" s="83" t="s">
        <v>4629</v>
      </c>
      <c r="H18" s="83" t="s">
        <v>4671</v>
      </c>
    </row>
    <row r="19" spans="1:8">
      <c r="A19" s="83" t="s">
        <v>4672</v>
      </c>
      <c r="B19" s="83" t="s">
        <v>4673</v>
      </c>
      <c r="C19" s="83" t="s">
        <v>4674</v>
      </c>
      <c r="D19" s="83" t="s">
        <v>4658</v>
      </c>
      <c r="E19" s="83" t="s">
        <v>4550</v>
      </c>
      <c r="F19" s="83" t="s">
        <v>4606</v>
      </c>
      <c r="G19" s="83" t="s">
        <v>4629</v>
      </c>
      <c r="H19" s="83" t="s">
        <v>4675</v>
      </c>
    </row>
    <row r="20" spans="1:8">
      <c r="A20" s="83" t="s">
        <v>4676</v>
      </c>
      <c r="B20" s="83" t="s">
        <v>4677</v>
      </c>
      <c r="C20" s="83" t="s">
        <v>4678</v>
      </c>
      <c r="D20" s="83" t="s">
        <v>4658</v>
      </c>
      <c r="E20" s="83" t="s">
        <v>4550</v>
      </c>
      <c r="F20" s="83" t="s">
        <v>4606</v>
      </c>
      <c r="G20" s="83" t="s">
        <v>4629</v>
      </c>
      <c r="H20" s="83" t="s">
        <v>4679</v>
      </c>
    </row>
    <row r="21" spans="1:8">
      <c r="A21" s="83" t="s">
        <v>4680</v>
      </c>
      <c r="B21" s="83" t="s">
        <v>4681</v>
      </c>
      <c r="C21" s="83" t="s">
        <v>4682</v>
      </c>
      <c r="D21" s="83" t="s">
        <v>4605</v>
      </c>
      <c r="E21" s="83" t="s">
        <v>4606</v>
      </c>
      <c r="F21" s="83" t="s">
        <v>4606</v>
      </c>
      <c r="G21" s="83" t="s">
        <v>4641</v>
      </c>
      <c r="H21" s="83" t="s">
        <v>4683</v>
      </c>
    </row>
    <row r="22" spans="1:8">
      <c r="A22" s="83" t="s">
        <v>4684</v>
      </c>
      <c r="B22" s="83" t="s">
        <v>4685</v>
      </c>
      <c r="C22" s="83" t="s">
        <v>4686</v>
      </c>
      <c r="D22" s="83" t="s">
        <v>4605</v>
      </c>
      <c r="E22" s="83" t="s">
        <v>4606</v>
      </c>
      <c r="F22" s="83" t="s">
        <v>4550</v>
      </c>
      <c r="G22" s="83" t="s">
        <v>4650</v>
      </c>
      <c r="H22" s="83" t="s">
        <v>4687</v>
      </c>
    </row>
    <row r="23" spans="1:8">
      <c r="A23" s="83" t="s">
        <v>4688</v>
      </c>
      <c r="B23" s="83" t="s">
        <v>4689</v>
      </c>
      <c r="C23" s="83" t="s">
        <v>4690</v>
      </c>
      <c r="D23" s="83" t="s">
        <v>4691</v>
      </c>
      <c r="E23" s="83" t="s">
        <v>4606</v>
      </c>
      <c r="F23" s="83" t="s">
        <v>4606</v>
      </c>
      <c r="G23" s="83" t="s">
        <v>4641</v>
      </c>
      <c r="H23" s="83" t="s">
        <v>4692</v>
      </c>
    </row>
    <row r="24" spans="1:8">
      <c r="A24" s="83" t="s">
        <v>4693</v>
      </c>
      <c r="B24" s="83" t="s">
        <v>4694</v>
      </c>
      <c r="C24" s="83" t="s">
        <v>4695</v>
      </c>
      <c r="D24" s="83" t="s">
        <v>4691</v>
      </c>
      <c r="E24" s="83" t="s">
        <v>4606</v>
      </c>
      <c r="F24" s="83" t="s">
        <v>4606</v>
      </c>
      <c r="G24" s="83" t="s">
        <v>4641</v>
      </c>
      <c r="H24" s="83" t="s">
        <v>4696</v>
      </c>
    </row>
    <row r="25" spans="1:8">
      <c r="A25" s="83" t="s">
        <v>4697</v>
      </c>
      <c r="B25" s="83" t="s">
        <v>4698</v>
      </c>
      <c r="C25" s="83" t="s">
        <v>4699</v>
      </c>
      <c r="D25" s="83" t="s">
        <v>4612</v>
      </c>
      <c r="E25" s="83" t="s">
        <v>4550</v>
      </c>
      <c r="F25" s="83" t="s">
        <v>4606</v>
      </c>
      <c r="G25" s="83" t="s">
        <v>4629</v>
      </c>
      <c r="H25" s="83" t="s">
        <v>4700</v>
      </c>
    </row>
    <row r="26" spans="1:8">
      <c r="A26" s="83" t="s">
        <v>4701</v>
      </c>
      <c r="B26" s="83" t="s">
        <v>4702</v>
      </c>
      <c r="C26" s="83" t="s">
        <v>4703</v>
      </c>
      <c r="D26" s="83" t="s">
        <v>4605</v>
      </c>
      <c r="E26" s="83" t="s">
        <v>4606</v>
      </c>
      <c r="F26" s="83" t="s">
        <v>4606</v>
      </c>
      <c r="G26" s="83" t="s">
        <v>4641</v>
      </c>
      <c r="H26" s="83" t="s">
        <v>4704</v>
      </c>
    </row>
    <row r="27" spans="1:8">
      <c r="A27" s="83" t="s">
        <v>4705</v>
      </c>
      <c r="B27" s="83" t="s">
        <v>4706</v>
      </c>
      <c r="C27" s="83" t="s">
        <v>4707</v>
      </c>
      <c r="D27" s="83" t="s">
        <v>4605</v>
      </c>
      <c r="E27" s="83" t="s">
        <v>4606</v>
      </c>
      <c r="F27" s="83" t="s">
        <v>4550</v>
      </c>
      <c r="G27" s="83" t="s">
        <v>4650</v>
      </c>
      <c r="H27" s="83" t="s">
        <v>4708</v>
      </c>
    </row>
    <row r="28" spans="1:8">
      <c r="A28" s="83" t="s">
        <v>4709</v>
      </c>
      <c r="B28" s="83" t="s">
        <v>4710</v>
      </c>
      <c r="C28" s="83" t="s">
        <v>4711</v>
      </c>
      <c r="D28" s="83" t="s">
        <v>4605</v>
      </c>
      <c r="E28" s="83" t="s">
        <v>4606</v>
      </c>
      <c r="F28" s="83" t="s">
        <v>4606</v>
      </c>
      <c r="G28" s="83" t="s">
        <v>4641</v>
      </c>
      <c r="H28" s="83" t="s">
        <v>4712</v>
      </c>
    </row>
    <row r="29" spans="1:8">
      <c r="A29" s="83" t="s">
        <v>4713</v>
      </c>
      <c r="B29" s="83" t="s">
        <v>4714</v>
      </c>
      <c r="C29" s="83" t="s">
        <v>4715</v>
      </c>
      <c r="D29" s="83" t="s">
        <v>4658</v>
      </c>
      <c r="E29" s="83" t="s">
        <v>4550</v>
      </c>
      <c r="F29" s="83" t="s">
        <v>4606</v>
      </c>
      <c r="G29" s="83" t="s">
        <v>4607</v>
      </c>
      <c r="H29" s="83" t="s">
        <v>4716</v>
      </c>
    </row>
    <row r="30" spans="1:8">
      <c r="A30" s="83" t="s">
        <v>4717</v>
      </c>
      <c r="B30" s="83" t="s">
        <v>4718</v>
      </c>
      <c r="C30" s="83" t="s">
        <v>4719</v>
      </c>
      <c r="D30" s="83" t="s">
        <v>4605</v>
      </c>
      <c r="E30" s="83" t="s">
        <v>4550</v>
      </c>
      <c r="F30" s="83" t="s">
        <v>4606</v>
      </c>
      <c r="G30" s="83" t="s">
        <v>4629</v>
      </c>
      <c r="H30" s="83" t="s">
        <v>4720</v>
      </c>
    </row>
    <row r="31" spans="1:8">
      <c r="A31" s="83" t="s">
        <v>4721</v>
      </c>
      <c r="B31" s="83" t="s">
        <v>4722</v>
      </c>
      <c r="C31" s="83" t="s">
        <v>4723</v>
      </c>
      <c r="D31" s="83" t="s">
        <v>4605</v>
      </c>
      <c r="E31" s="83" t="s">
        <v>4550</v>
      </c>
      <c r="F31" s="83" t="s">
        <v>4606</v>
      </c>
      <c r="G31" s="83" t="s">
        <v>4629</v>
      </c>
      <c r="H31" s="83" t="s">
        <v>4724</v>
      </c>
    </row>
    <row r="32" spans="1:8">
      <c r="A32" s="83" t="s">
        <v>4725</v>
      </c>
      <c r="B32" s="83" t="s">
        <v>4726</v>
      </c>
      <c r="C32" s="83" t="s">
        <v>4727</v>
      </c>
      <c r="D32" s="83" t="s">
        <v>4605</v>
      </c>
      <c r="E32" s="83" t="s">
        <v>4606</v>
      </c>
      <c r="F32" s="83" t="s">
        <v>4606</v>
      </c>
      <c r="G32" s="83" t="s">
        <v>4641</v>
      </c>
      <c r="H32" s="83" t="s">
        <v>4728</v>
      </c>
    </row>
    <row r="33" spans="1:8">
      <c r="A33" s="83" t="s">
        <v>4729</v>
      </c>
      <c r="B33" s="83" t="s">
        <v>4730</v>
      </c>
      <c r="C33" s="83" t="s">
        <v>4731</v>
      </c>
      <c r="D33" s="83" t="s">
        <v>4605</v>
      </c>
      <c r="E33" s="83" t="s">
        <v>4550</v>
      </c>
      <c r="F33" s="83" t="s">
        <v>4606</v>
      </c>
      <c r="G33" s="83" t="s">
        <v>4629</v>
      </c>
      <c r="H33" s="83" t="s">
        <v>4732</v>
      </c>
    </row>
    <row r="34" spans="1:8">
      <c r="A34" s="83" t="s">
        <v>4733</v>
      </c>
      <c r="B34" s="83" t="s">
        <v>4734</v>
      </c>
      <c r="C34" s="83" t="s">
        <v>4735</v>
      </c>
      <c r="D34" s="83" t="s">
        <v>4691</v>
      </c>
      <c r="E34" s="83" t="s">
        <v>4550</v>
      </c>
      <c r="F34" s="83" t="s">
        <v>4606</v>
      </c>
      <c r="G34" s="83" t="s">
        <v>4607</v>
      </c>
      <c r="H34" s="83" t="s">
        <v>4736</v>
      </c>
    </row>
    <row r="35" spans="1:8">
      <c r="A35" s="83" t="s">
        <v>4737</v>
      </c>
      <c r="B35" s="83" t="s">
        <v>4738</v>
      </c>
      <c r="C35" s="83" t="s">
        <v>4739</v>
      </c>
      <c r="D35" s="83" t="s">
        <v>4605</v>
      </c>
      <c r="E35" s="83" t="s">
        <v>4606</v>
      </c>
      <c r="F35" s="83" t="s">
        <v>4606</v>
      </c>
      <c r="G35" s="83" t="s">
        <v>4641</v>
      </c>
      <c r="H35" s="83" t="s">
        <v>4740</v>
      </c>
    </row>
    <row r="36" spans="1:8">
      <c r="A36" s="83" t="s">
        <v>4741</v>
      </c>
      <c r="B36" s="83" t="s">
        <v>4742</v>
      </c>
      <c r="C36" s="83" t="s">
        <v>4743</v>
      </c>
      <c r="D36" s="83" t="s">
        <v>4605</v>
      </c>
      <c r="E36" s="83" t="s">
        <v>4550</v>
      </c>
      <c r="F36" s="83" t="s">
        <v>4606</v>
      </c>
      <c r="G36" s="83" t="s">
        <v>16347</v>
      </c>
      <c r="H36" s="83" t="s">
        <v>4634</v>
      </c>
    </row>
    <row r="37" spans="1:8">
      <c r="A37" s="83" t="s">
        <v>4744</v>
      </c>
      <c r="B37" s="83" t="s">
        <v>4745</v>
      </c>
      <c r="C37" s="83" t="s">
        <v>4746</v>
      </c>
      <c r="D37" s="83" t="s">
        <v>4605</v>
      </c>
      <c r="E37" s="83" t="s">
        <v>4550</v>
      </c>
      <c r="F37" s="83" t="s">
        <v>4606</v>
      </c>
      <c r="G37" s="83" t="s">
        <v>4629</v>
      </c>
      <c r="H37" s="83" t="s">
        <v>4747</v>
      </c>
    </row>
    <row r="38" spans="1:8">
      <c r="A38" s="83" t="s">
        <v>4748</v>
      </c>
      <c r="B38" s="83" t="s">
        <v>4749</v>
      </c>
      <c r="C38" s="83" t="s">
        <v>4750</v>
      </c>
      <c r="D38" s="83" t="s">
        <v>4605</v>
      </c>
      <c r="E38" s="83" t="s">
        <v>4606</v>
      </c>
      <c r="F38" s="83" t="s">
        <v>4606</v>
      </c>
      <c r="G38" s="83" t="s">
        <v>4641</v>
      </c>
      <c r="H38" s="83" t="s">
        <v>4751</v>
      </c>
    </row>
    <row r="39" spans="1:8">
      <c r="A39" s="83" t="s">
        <v>4752</v>
      </c>
      <c r="B39" s="83" t="s">
        <v>4753</v>
      </c>
      <c r="C39" s="83" t="s">
        <v>4754</v>
      </c>
      <c r="D39" s="83" t="s">
        <v>4605</v>
      </c>
      <c r="E39" s="83" t="s">
        <v>4550</v>
      </c>
      <c r="F39" s="83" t="s">
        <v>4606</v>
      </c>
      <c r="G39" s="83" t="s">
        <v>4629</v>
      </c>
      <c r="H39" s="83" t="s">
        <v>4755</v>
      </c>
    </row>
    <row r="40" spans="1:8">
      <c r="A40" s="83" t="s">
        <v>4756</v>
      </c>
      <c r="B40" s="83" t="s">
        <v>4757</v>
      </c>
      <c r="C40" s="83" t="s">
        <v>4758</v>
      </c>
      <c r="D40" s="83" t="s">
        <v>4658</v>
      </c>
      <c r="E40" s="83" t="s">
        <v>4550</v>
      </c>
      <c r="F40" s="83" t="s">
        <v>4606</v>
      </c>
      <c r="G40" s="83" t="s">
        <v>4629</v>
      </c>
      <c r="H40" s="83" t="s">
        <v>4759</v>
      </c>
    </row>
    <row r="41" spans="1:8">
      <c r="A41" s="83" t="s">
        <v>4760</v>
      </c>
      <c r="B41" s="83" t="s">
        <v>4761</v>
      </c>
      <c r="C41" s="83" t="s">
        <v>4762</v>
      </c>
      <c r="D41" s="83" t="s">
        <v>4605</v>
      </c>
      <c r="E41" s="83" t="s">
        <v>4550</v>
      </c>
      <c r="F41" s="83" t="s">
        <v>4606</v>
      </c>
      <c r="G41" s="83" t="s">
        <v>16347</v>
      </c>
      <c r="H41" s="83" t="s">
        <v>4763</v>
      </c>
    </row>
    <row r="42" spans="1:8">
      <c r="A42" s="83" t="s">
        <v>4764</v>
      </c>
      <c r="B42" s="83" t="s">
        <v>4765</v>
      </c>
      <c r="C42" s="83" t="s">
        <v>4766</v>
      </c>
      <c r="D42" s="83" t="s">
        <v>4605</v>
      </c>
      <c r="E42" s="83" t="s">
        <v>4606</v>
      </c>
      <c r="F42" s="83" t="s">
        <v>4606</v>
      </c>
      <c r="G42" s="83" t="s">
        <v>4641</v>
      </c>
      <c r="H42" s="83" t="s">
        <v>4767</v>
      </c>
    </row>
    <row r="43" spans="1:8">
      <c r="A43" s="83" t="s">
        <v>4768</v>
      </c>
      <c r="B43" s="83" t="s">
        <v>4769</v>
      </c>
      <c r="C43" s="83" t="s">
        <v>4770</v>
      </c>
      <c r="D43" s="83" t="s">
        <v>4612</v>
      </c>
      <c r="E43" s="83" t="s">
        <v>4550</v>
      </c>
      <c r="F43" s="83" t="s">
        <v>4606</v>
      </c>
      <c r="G43" s="83" t="s">
        <v>4629</v>
      </c>
      <c r="H43" s="83" t="s">
        <v>4771</v>
      </c>
    </row>
    <row r="44" spans="1:8">
      <c r="A44" s="83" t="s">
        <v>4772</v>
      </c>
      <c r="B44" s="83" t="s">
        <v>4773</v>
      </c>
      <c r="C44" s="83" t="s">
        <v>4774</v>
      </c>
      <c r="D44" s="83" t="s">
        <v>4658</v>
      </c>
      <c r="E44" s="83" t="s">
        <v>4550</v>
      </c>
      <c r="F44" s="83" t="s">
        <v>4606</v>
      </c>
      <c r="G44" s="83" t="s">
        <v>4629</v>
      </c>
      <c r="H44" s="83" t="s">
        <v>4775</v>
      </c>
    </row>
    <row r="45" spans="1:8">
      <c r="A45" s="83" t="s">
        <v>4776</v>
      </c>
      <c r="B45" s="83" t="s">
        <v>4777</v>
      </c>
      <c r="C45" s="83" t="s">
        <v>4778</v>
      </c>
      <c r="D45" s="83" t="s">
        <v>4605</v>
      </c>
      <c r="E45" s="83" t="s">
        <v>4550</v>
      </c>
      <c r="F45" s="83" t="s">
        <v>4606</v>
      </c>
      <c r="G45" s="83" t="s">
        <v>16347</v>
      </c>
      <c r="H45" s="83" t="s">
        <v>4634</v>
      </c>
    </row>
    <row r="46" spans="1:8">
      <c r="A46" s="83" t="s">
        <v>4779</v>
      </c>
      <c r="B46" s="83" t="s">
        <v>4780</v>
      </c>
      <c r="C46" s="83" t="s">
        <v>4781</v>
      </c>
      <c r="D46" s="83" t="s">
        <v>4605</v>
      </c>
      <c r="E46" s="83" t="s">
        <v>4550</v>
      </c>
      <c r="F46" s="83" t="s">
        <v>4606</v>
      </c>
      <c r="G46" s="83" t="s">
        <v>4629</v>
      </c>
      <c r="H46" s="83" t="s">
        <v>4782</v>
      </c>
    </row>
    <row r="47" spans="1:8">
      <c r="A47" s="83" t="s">
        <v>4783</v>
      </c>
      <c r="B47" s="83" t="s">
        <v>4784</v>
      </c>
      <c r="C47" s="83" t="s">
        <v>4785</v>
      </c>
      <c r="D47" s="83" t="s">
        <v>4605</v>
      </c>
      <c r="E47" s="83" t="s">
        <v>4606</v>
      </c>
      <c r="F47" s="83" t="s">
        <v>4550</v>
      </c>
      <c r="G47" s="83" t="s">
        <v>4650</v>
      </c>
      <c r="H47" s="83" t="s">
        <v>4786</v>
      </c>
    </row>
    <row r="48" spans="1:8">
      <c r="A48" s="83" t="s">
        <v>4787</v>
      </c>
      <c r="B48" s="83" t="s">
        <v>4788</v>
      </c>
      <c r="C48" s="83" t="s">
        <v>4789</v>
      </c>
      <c r="D48" s="83" t="s">
        <v>4605</v>
      </c>
      <c r="E48" s="83" t="s">
        <v>4606</v>
      </c>
      <c r="F48" s="83" t="s">
        <v>4606</v>
      </c>
      <c r="G48" s="83" t="s">
        <v>4641</v>
      </c>
      <c r="H48" s="83" t="s">
        <v>4790</v>
      </c>
    </row>
    <row r="49" spans="1:8">
      <c r="A49" s="83" t="s">
        <v>4791</v>
      </c>
      <c r="B49" s="83" t="s">
        <v>4792</v>
      </c>
      <c r="C49" s="83" t="s">
        <v>4793</v>
      </c>
      <c r="D49" s="83" t="s">
        <v>4605</v>
      </c>
      <c r="E49" s="83" t="s">
        <v>4606</v>
      </c>
      <c r="F49" s="83" t="s">
        <v>4606</v>
      </c>
      <c r="G49" s="83" t="s">
        <v>4641</v>
      </c>
      <c r="H49" s="83" t="s">
        <v>4794</v>
      </c>
    </row>
    <row r="50" spans="1:8">
      <c r="A50" s="83" t="s">
        <v>4795</v>
      </c>
      <c r="B50" s="83" t="s">
        <v>4796</v>
      </c>
      <c r="C50" s="83" t="s">
        <v>4797</v>
      </c>
      <c r="D50" s="83" t="s">
        <v>4612</v>
      </c>
      <c r="E50" s="83" t="s">
        <v>4550</v>
      </c>
      <c r="F50" s="83" t="s">
        <v>4606</v>
      </c>
      <c r="G50" s="83" t="s">
        <v>4629</v>
      </c>
      <c r="H50" s="83" t="s">
        <v>4798</v>
      </c>
    </row>
    <row r="51" spans="1:8">
      <c r="A51" s="83" t="s">
        <v>4799</v>
      </c>
      <c r="B51" s="83" t="s">
        <v>4800</v>
      </c>
      <c r="C51" s="83" t="s">
        <v>4801</v>
      </c>
      <c r="D51" s="83" t="s">
        <v>4605</v>
      </c>
      <c r="E51" s="83" t="s">
        <v>4606</v>
      </c>
      <c r="F51" s="83" t="s">
        <v>4606</v>
      </c>
      <c r="G51" s="83" t="s">
        <v>4641</v>
      </c>
      <c r="H51" s="83" t="s">
        <v>4802</v>
      </c>
    </row>
    <row r="52" spans="1:8">
      <c r="A52" s="83" t="s">
        <v>4803</v>
      </c>
      <c r="B52" s="83" t="s">
        <v>4804</v>
      </c>
      <c r="C52" s="83" t="s">
        <v>4805</v>
      </c>
      <c r="D52" s="83" t="s">
        <v>4605</v>
      </c>
      <c r="E52" s="83" t="s">
        <v>4606</v>
      </c>
      <c r="F52" s="83" t="s">
        <v>4550</v>
      </c>
      <c r="G52" s="83" t="s">
        <v>4650</v>
      </c>
      <c r="H52" s="83" t="s">
        <v>4806</v>
      </c>
    </row>
    <row r="53" spans="1:8">
      <c r="A53" s="83" t="s">
        <v>4807</v>
      </c>
      <c r="B53" s="83" t="s">
        <v>4808</v>
      </c>
      <c r="C53" s="83" t="s">
        <v>4809</v>
      </c>
      <c r="D53" s="83" t="s">
        <v>4605</v>
      </c>
      <c r="E53" s="83" t="s">
        <v>4606</v>
      </c>
      <c r="F53" s="83" t="s">
        <v>4550</v>
      </c>
      <c r="G53" s="83" t="s">
        <v>4650</v>
      </c>
      <c r="H53" s="83" t="s">
        <v>4810</v>
      </c>
    </row>
    <row r="54" spans="1:8">
      <c r="A54" s="83" t="s">
        <v>4811</v>
      </c>
      <c r="B54" s="83" t="s">
        <v>4812</v>
      </c>
      <c r="C54" s="83" t="s">
        <v>4813</v>
      </c>
      <c r="D54" s="83" t="s">
        <v>4605</v>
      </c>
      <c r="E54" s="83" t="s">
        <v>4550</v>
      </c>
      <c r="F54" s="83" t="s">
        <v>4606</v>
      </c>
      <c r="G54" s="83" t="s">
        <v>4629</v>
      </c>
      <c r="H54" s="83" t="s">
        <v>4814</v>
      </c>
    </row>
    <row r="55" spans="1:8">
      <c r="A55" s="83" t="s">
        <v>4815</v>
      </c>
      <c r="B55" s="83" t="s">
        <v>4816</v>
      </c>
      <c r="C55" s="83" t="s">
        <v>4817</v>
      </c>
      <c r="D55" s="83" t="s">
        <v>4818</v>
      </c>
      <c r="E55" s="83" t="s">
        <v>4550</v>
      </c>
      <c r="F55" s="83" t="s">
        <v>4606</v>
      </c>
      <c r="G55" s="83" t="s">
        <v>4629</v>
      </c>
      <c r="H55" s="83" t="s">
        <v>4819</v>
      </c>
    </row>
    <row r="56" spans="1:8">
      <c r="A56" s="83" t="s">
        <v>4820</v>
      </c>
      <c r="B56" s="83" t="s">
        <v>4821</v>
      </c>
      <c r="C56" s="83" t="s">
        <v>4822</v>
      </c>
      <c r="D56" s="83" t="s">
        <v>4605</v>
      </c>
      <c r="E56" s="83" t="s">
        <v>4606</v>
      </c>
      <c r="F56" s="83" t="s">
        <v>4606</v>
      </c>
      <c r="G56" s="83" t="s">
        <v>4641</v>
      </c>
      <c r="H56" s="83" t="s">
        <v>4823</v>
      </c>
    </row>
    <row r="57" spans="1:8">
      <c r="A57" s="83" t="s">
        <v>4824</v>
      </c>
      <c r="B57" s="83" t="s">
        <v>4825</v>
      </c>
      <c r="C57" s="83" t="s">
        <v>4826</v>
      </c>
      <c r="D57" s="83" t="s">
        <v>4612</v>
      </c>
      <c r="E57" s="83" t="s">
        <v>4606</v>
      </c>
      <c r="F57" s="83" t="s">
        <v>4550</v>
      </c>
      <c r="G57" s="83" t="s">
        <v>4650</v>
      </c>
      <c r="H57" s="83" t="s">
        <v>4827</v>
      </c>
    </row>
    <row r="58" spans="1:8">
      <c r="A58" s="83" t="s">
        <v>4828</v>
      </c>
      <c r="B58" s="83" t="s">
        <v>4829</v>
      </c>
      <c r="C58" s="83" t="s">
        <v>4830</v>
      </c>
      <c r="D58" s="83" t="s">
        <v>4605</v>
      </c>
      <c r="E58" s="83" t="s">
        <v>4550</v>
      </c>
      <c r="F58" s="83" t="s">
        <v>4606</v>
      </c>
      <c r="G58" s="83" t="s">
        <v>4629</v>
      </c>
      <c r="H58" s="83" t="s">
        <v>4831</v>
      </c>
    </row>
    <row r="59" spans="1:8">
      <c r="A59" s="83" t="s">
        <v>4832</v>
      </c>
      <c r="B59" s="83" t="s">
        <v>4833</v>
      </c>
      <c r="C59" s="83" t="s">
        <v>4834</v>
      </c>
      <c r="D59" s="83" t="s">
        <v>4612</v>
      </c>
      <c r="E59" s="83" t="s">
        <v>4550</v>
      </c>
      <c r="F59" s="83" t="s">
        <v>4606</v>
      </c>
      <c r="G59" s="83" t="s">
        <v>4629</v>
      </c>
      <c r="H59" s="83" t="s">
        <v>4835</v>
      </c>
    </row>
    <row r="60" spans="1:8">
      <c r="A60" s="83" t="s">
        <v>4836</v>
      </c>
      <c r="B60" s="83" t="s">
        <v>4837</v>
      </c>
      <c r="C60" s="83" t="s">
        <v>4838</v>
      </c>
      <c r="D60" s="83" t="s">
        <v>4605</v>
      </c>
      <c r="E60" s="83" t="s">
        <v>4606</v>
      </c>
      <c r="F60" s="83" t="s">
        <v>4550</v>
      </c>
      <c r="G60" s="83" t="s">
        <v>4650</v>
      </c>
      <c r="H60" s="83" t="s">
        <v>4839</v>
      </c>
    </row>
    <row r="61" spans="1:8">
      <c r="A61" s="83" t="s">
        <v>4840</v>
      </c>
      <c r="B61" s="83" t="s">
        <v>4841</v>
      </c>
      <c r="C61" s="83" t="s">
        <v>4842</v>
      </c>
      <c r="D61" s="83" t="s">
        <v>4605</v>
      </c>
      <c r="E61" s="83" t="s">
        <v>4606</v>
      </c>
      <c r="F61" s="83" t="s">
        <v>4606</v>
      </c>
      <c r="G61" s="83" t="s">
        <v>4641</v>
      </c>
      <c r="H61" s="83" t="s">
        <v>4843</v>
      </c>
    </row>
    <row r="62" spans="1:8">
      <c r="A62" s="83" t="s">
        <v>4844</v>
      </c>
      <c r="B62" s="83" t="s">
        <v>4845</v>
      </c>
      <c r="C62" s="83" t="s">
        <v>4846</v>
      </c>
      <c r="D62" s="83" t="s">
        <v>4605</v>
      </c>
      <c r="E62" s="83" t="s">
        <v>4606</v>
      </c>
      <c r="F62" s="83" t="s">
        <v>4550</v>
      </c>
      <c r="G62" s="83" t="s">
        <v>4650</v>
      </c>
      <c r="H62" s="83" t="s">
        <v>4847</v>
      </c>
    </row>
    <row r="63" spans="1:8">
      <c r="A63" s="83" t="s">
        <v>4848</v>
      </c>
      <c r="B63" s="83" t="s">
        <v>4849</v>
      </c>
      <c r="C63" s="83" t="s">
        <v>4850</v>
      </c>
      <c r="D63" s="83" t="s">
        <v>4605</v>
      </c>
      <c r="E63" s="83" t="s">
        <v>4550</v>
      </c>
      <c r="F63" s="83" t="s">
        <v>4606</v>
      </c>
      <c r="G63" s="83" t="s">
        <v>4629</v>
      </c>
      <c r="H63" s="83" t="s">
        <v>4851</v>
      </c>
    </row>
    <row r="64" spans="1:8">
      <c r="A64" s="83" t="s">
        <v>4852</v>
      </c>
      <c r="B64" s="83" t="s">
        <v>4853</v>
      </c>
      <c r="C64" s="83" t="s">
        <v>4854</v>
      </c>
      <c r="D64" s="83" t="s">
        <v>4605</v>
      </c>
      <c r="E64" s="83" t="s">
        <v>4606</v>
      </c>
      <c r="F64" s="83" t="s">
        <v>4606</v>
      </c>
      <c r="G64" s="83" t="s">
        <v>4641</v>
      </c>
      <c r="H64" s="83" t="s">
        <v>4855</v>
      </c>
    </row>
    <row r="65" spans="1:8">
      <c r="A65" s="83" t="s">
        <v>4856</v>
      </c>
      <c r="B65" s="83" t="s">
        <v>4857</v>
      </c>
      <c r="C65" s="83" t="s">
        <v>4858</v>
      </c>
      <c r="D65" s="83" t="s">
        <v>4605</v>
      </c>
      <c r="E65" s="83" t="s">
        <v>4606</v>
      </c>
      <c r="F65" s="83" t="s">
        <v>4550</v>
      </c>
      <c r="G65" s="83" t="s">
        <v>4650</v>
      </c>
      <c r="H65" s="83" t="s">
        <v>4859</v>
      </c>
    </row>
    <row r="66" spans="1:8">
      <c r="A66" s="83" t="s">
        <v>4860</v>
      </c>
      <c r="B66" s="83" t="s">
        <v>16348</v>
      </c>
      <c r="C66" s="83" t="s">
        <v>4861</v>
      </c>
      <c r="D66" s="83" t="s">
        <v>16349</v>
      </c>
      <c r="E66" s="83" t="s">
        <v>4550</v>
      </c>
      <c r="F66" s="83" t="s">
        <v>4606</v>
      </c>
      <c r="G66" s="83" t="s">
        <v>4629</v>
      </c>
      <c r="H66" s="83" t="s">
        <v>4862</v>
      </c>
    </row>
    <row r="67" spans="1:8">
      <c r="A67" s="83" t="s">
        <v>4863</v>
      </c>
      <c r="B67" s="83" t="s">
        <v>4864</v>
      </c>
      <c r="C67" s="83" t="s">
        <v>4865</v>
      </c>
      <c r="D67" s="83" t="s">
        <v>4605</v>
      </c>
      <c r="E67" s="83" t="s">
        <v>4550</v>
      </c>
      <c r="F67" s="83" t="s">
        <v>4606</v>
      </c>
      <c r="G67" s="83" t="s">
        <v>4629</v>
      </c>
      <c r="H67" s="83" t="s">
        <v>4866</v>
      </c>
    </row>
    <row r="68" spans="1:8">
      <c r="A68" s="83" t="s">
        <v>4867</v>
      </c>
      <c r="B68" s="83" t="s">
        <v>4868</v>
      </c>
      <c r="C68" s="83" t="s">
        <v>4869</v>
      </c>
      <c r="D68" s="83" t="s">
        <v>4605</v>
      </c>
      <c r="E68" s="83" t="s">
        <v>4606</v>
      </c>
      <c r="F68" s="83" t="s">
        <v>4606</v>
      </c>
      <c r="G68" s="83" t="s">
        <v>4641</v>
      </c>
      <c r="H68" s="83" t="s">
        <v>4870</v>
      </c>
    </row>
    <row r="69" spans="1:8">
      <c r="A69" s="83" t="s">
        <v>4871</v>
      </c>
      <c r="B69" s="83" t="s">
        <v>4872</v>
      </c>
      <c r="C69" s="83" t="s">
        <v>4873</v>
      </c>
      <c r="D69" s="83" t="s">
        <v>4605</v>
      </c>
      <c r="E69" s="83" t="s">
        <v>4606</v>
      </c>
      <c r="F69" s="83" t="s">
        <v>4606</v>
      </c>
      <c r="G69" s="83" t="s">
        <v>4641</v>
      </c>
      <c r="H69" s="83" t="s">
        <v>4874</v>
      </c>
    </row>
    <row r="70" spans="1:8">
      <c r="A70" s="83" t="s">
        <v>4875</v>
      </c>
      <c r="B70" s="83" t="s">
        <v>4876</v>
      </c>
      <c r="C70" s="83" t="s">
        <v>4877</v>
      </c>
      <c r="D70" s="83" t="s">
        <v>4605</v>
      </c>
      <c r="E70" s="83" t="s">
        <v>4550</v>
      </c>
      <c r="F70" s="83" t="s">
        <v>4606</v>
      </c>
      <c r="G70" s="83" t="s">
        <v>4629</v>
      </c>
      <c r="H70" s="83" t="s">
        <v>4878</v>
      </c>
    </row>
    <row r="71" spans="1:8">
      <c r="A71" s="83" t="s">
        <v>4879</v>
      </c>
      <c r="B71" s="83" t="s">
        <v>4880</v>
      </c>
      <c r="C71" s="83" t="s">
        <v>4881</v>
      </c>
      <c r="D71" s="83" t="s">
        <v>4612</v>
      </c>
      <c r="E71" s="83" t="s">
        <v>4550</v>
      </c>
      <c r="F71" s="83" t="s">
        <v>4606</v>
      </c>
      <c r="G71" s="83" t="s">
        <v>4629</v>
      </c>
      <c r="H71" s="83" t="s">
        <v>4882</v>
      </c>
    </row>
    <row r="72" spans="1:8">
      <c r="A72" s="83" t="s">
        <v>4883</v>
      </c>
      <c r="B72" s="83" t="s">
        <v>4884</v>
      </c>
      <c r="C72" s="83" t="s">
        <v>4885</v>
      </c>
      <c r="D72" s="83" t="s">
        <v>4605</v>
      </c>
      <c r="E72" s="83" t="s">
        <v>4606</v>
      </c>
      <c r="F72" s="83" t="s">
        <v>4606</v>
      </c>
      <c r="G72" s="83" t="s">
        <v>4641</v>
      </c>
      <c r="H72" s="83" t="s">
        <v>4886</v>
      </c>
    </row>
    <row r="73" spans="1:8">
      <c r="A73" s="83" t="s">
        <v>4887</v>
      </c>
      <c r="B73" s="83" t="s">
        <v>4888</v>
      </c>
      <c r="C73" s="83" t="s">
        <v>4889</v>
      </c>
      <c r="D73" s="83" t="s">
        <v>4605</v>
      </c>
      <c r="E73" s="83" t="s">
        <v>4550</v>
      </c>
      <c r="F73" s="83" t="s">
        <v>4606</v>
      </c>
      <c r="G73" s="83" t="s">
        <v>16347</v>
      </c>
      <c r="H73" s="83" t="s">
        <v>4634</v>
      </c>
    </row>
    <row r="74" spans="1:8">
      <c r="A74" s="83" t="s">
        <v>4890</v>
      </c>
      <c r="B74" s="83" t="s">
        <v>4891</v>
      </c>
      <c r="C74" s="83" t="s">
        <v>4892</v>
      </c>
      <c r="D74" s="83" t="s">
        <v>4658</v>
      </c>
      <c r="E74" s="83" t="s">
        <v>4550</v>
      </c>
      <c r="F74" s="83" t="s">
        <v>4606</v>
      </c>
      <c r="G74" s="83" t="s">
        <v>4629</v>
      </c>
      <c r="H74" s="83" t="s">
        <v>4893</v>
      </c>
    </row>
    <row r="75" spans="1:8">
      <c r="A75" s="83" t="s">
        <v>4894</v>
      </c>
      <c r="B75" s="83" t="s">
        <v>4895</v>
      </c>
      <c r="C75" s="83" t="s">
        <v>4896</v>
      </c>
      <c r="D75" s="83" t="s">
        <v>4612</v>
      </c>
      <c r="E75" s="83" t="s">
        <v>4550</v>
      </c>
      <c r="F75" s="83" t="s">
        <v>4606</v>
      </c>
      <c r="G75" s="83" t="s">
        <v>4629</v>
      </c>
      <c r="H75" s="83" t="s">
        <v>4897</v>
      </c>
    </row>
    <row r="76" spans="1:8">
      <c r="A76" s="83" t="s">
        <v>4898</v>
      </c>
      <c r="B76" s="83" t="s">
        <v>4899</v>
      </c>
      <c r="C76" s="83" t="s">
        <v>4900</v>
      </c>
      <c r="D76" s="83" t="s">
        <v>4612</v>
      </c>
      <c r="E76" s="83" t="s">
        <v>4550</v>
      </c>
      <c r="F76" s="83" t="s">
        <v>4606</v>
      </c>
      <c r="G76" s="83" t="s">
        <v>4629</v>
      </c>
      <c r="H76" s="83" t="s">
        <v>4901</v>
      </c>
    </row>
    <row r="77" spans="1:8">
      <c r="A77" s="83" t="s">
        <v>4902</v>
      </c>
      <c r="B77" s="83" t="s">
        <v>4903</v>
      </c>
      <c r="C77" s="83" t="s">
        <v>4904</v>
      </c>
      <c r="D77" s="83" t="s">
        <v>4605</v>
      </c>
      <c r="E77" s="83" t="s">
        <v>4606</v>
      </c>
      <c r="F77" s="83" t="s">
        <v>4606</v>
      </c>
      <c r="G77" s="83" t="s">
        <v>4641</v>
      </c>
      <c r="H77" s="83" t="s">
        <v>4905</v>
      </c>
    </row>
    <row r="78" spans="1:8">
      <c r="A78" s="83" t="s">
        <v>4906</v>
      </c>
      <c r="B78" s="83" t="s">
        <v>4907</v>
      </c>
      <c r="C78" s="83" t="s">
        <v>4908</v>
      </c>
      <c r="D78" s="83" t="s">
        <v>4605</v>
      </c>
      <c r="E78" s="83" t="s">
        <v>4606</v>
      </c>
      <c r="F78" s="83" t="s">
        <v>4606</v>
      </c>
      <c r="G78" s="83" t="s">
        <v>4641</v>
      </c>
      <c r="H78" s="83" t="s">
        <v>4909</v>
      </c>
    </row>
    <row r="79" spans="1:8">
      <c r="A79" s="83" t="s">
        <v>4910</v>
      </c>
      <c r="B79" s="83" t="s">
        <v>4911</v>
      </c>
      <c r="C79" s="83" t="s">
        <v>4912</v>
      </c>
      <c r="D79" s="83" t="s">
        <v>4605</v>
      </c>
      <c r="E79" s="83" t="s">
        <v>4550</v>
      </c>
      <c r="F79" s="83" t="s">
        <v>4606</v>
      </c>
      <c r="G79" s="83" t="s">
        <v>4629</v>
      </c>
      <c r="H79" s="83" t="s">
        <v>4913</v>
      </c>
    </row>
    <row r="80" spans="1:8">
      <c r="A80" s="83" t="s">
        <v>4914</v>
      </c>
      <c r="B80" s="83" t="s">
        <v>4915</v>
      </c>
      <c r="C80" s="83" t="s">
        <v>4916</v>
      </c>
      <c r="D80" s="83" t="s">
        <v>4612</v>
      </c>
      <c r="E80" s="83" t="s">
        <v>4606</v>
      </c>
      <c r="F80" s="83" t="s">
        <v>4606</v>
      </c>
      <c r="G80" s="83" t="s">
        <v>4641</v>
      </c>
      <c r="H80" s="83" t="s">
        <v>4917</v>
      </c>
    </row>
    <row r="81" spans="1:8">
      <c r="A81" s="83" t="s">
        <v>4918</v>
      </c>
      <c r="B81" s="83" t="s">
        <v>4919</v>
      </c>
      <c r="C81" s="83" t="s">
        <v>4920</v>
      </c>
      <c r="D81" s="83" t="s">
        <v>4612</v>
      </c>
      <c r="E81" s="83" t="s">
        <v>4606</v>
      </c>
      <c r="F81" s="83" t="s">
        <v>4606</v>
      </c>
      <c r="G81" s="83" t="s">
        <v>4641</v>
      </c>
      <c r="H81" s="83" t="s">
        <v>4921</v>
      </c>
    </row>
    <row r="82" spans="1:8">
      <c r="A82" s="83" t="s">
        <v>4922</v>
      </c>
      <c r="B82" s="83" t="s">
        <v>4923</v>
      </c>
      <c r="C82" s="83" t="s">
        <v>4924</v>
      </c>
      <c r="D82" s="83" t="s">
        <v>4612</v>
      </c>
      <c r="E82" s="83" t="s">
        <v>4606</v>
      </c>
      <c r="F82" s="83" t="s">
        <v>4606</v>
      </c>
      <c r="G82" s="83" t="s">
        <v>4641</v>
      </c>
      <c r="H82" s="83" t="s">
        <v>4925</v>
      </c>
    </row>
    <row r="83" spans="1:8">
      <c r="A83" s="83" t="s">
        <v>4926</v>
      </c>
      <c r="B83" s="83" t="s">
        <v>4927</v>
      </c>
      <c r="C83" s="83" t="s">
        <v>4928</v>
      </c>
      <c r="D83" s="83" t="s">
        <v>4605</v>
      </c>
      <c r="E83" s="83" t="s">
        <v>4606</v>
      </c>
      <c r="F83" s="83" t="s">
        <v>4550</v>
      </c>
      <c r="G83" s="83" t="s">
        <v>4650</v>
      </c>
      <c r="H83" s="83" t="s">
        <v>4929</v>
      </c>
    </row>
    <row r="84" spans="1:8">
      <c r="A84" s="83" t="s">
        <v>4930</v>
      </c>
      <c r="B84" s="83" t="s">
        <v>4931</v>
      </c>
      <c r="C84" s="83" t="s">
        <v>4932</v>
      </c>
      <c r="D84" s="83" t="s">
        <v>4605</v>
      </c>
      <c r="E84" s="83" t="s">
        <v>4550</v>
      </c>
      <c r="F84" s="83" t="s">
        <v>4606</v>
      </c>
      <c r="G84" s="83" t="s">
        <v>4629</v>
      </c>
      <c r="H84" s="83" t="s">
        <v>4933</v>
      </c>
    </row>
    <row r="85" spans="1:8">
      <c r="A85" s="83" t="s">
        <v>4934</v>
      </c>
      <c r="B85" s="83" t="s">
        <v>4935</v>
      </c>
      <c r="C85" s="83" t="s">
        <v>4936</v>
      </c>
      <c r="D85" s="83" t="s">
        <v>4605</v>
      </c>
      <c r="E85" s="83" t="s">
        <v>4550</v>
      </c>
      <c r="F85" s="83" t="s">
        <v>4606</v>
      </c>
      <c r="G85" s="83" t="s">
        <v>4629</v>
      </c>
      <c r="H85" s="83" t="s">
        <v>4937</v>
      </c>
    </row>
    <row r="86" spans="1:8">
      <c r="A86" s="83" t="s">
        <v>4938</v>
      </c>
      <c r="B86" s="83" t="s">
        <v>4939</v>
      </c>
      <c r="C86" s="83" t="s">
        <v>4940</v>
      </c>
      <c r="D86" s="83" t="s">
        <v>4605</v>
      </c>
      <c r="E86" s="83" t="s">
        <v>4606</v>
      </c>
      <c r="F86" s="83" t="s">
        <v>4550</v>
      </c>
      <c r="G86" s="83" t="s">
        <v>4650</v>
      </c>
      <c r="H86" s="83" t="s">
        <v>4941</v>
      </c>
    </row>
    <row r="87" spans="1:8">
      <c r="A87" s="83" t="s">
        <v>4942</v>
      </c>
      <c r="B87" s="83" t="s">
        <v>4943</v>
      </c>
      <c r="C87" s="83" t="s">
        <v>4944</v>
      </c>
      <c r="D87" s="83" t="s">
        <v>4605</v>
      </c>
      <c r="E87" s="83" t="s">
        <v>4550</v>
      </c>
      <c r="F87" s="83" t="s">
        <v>4606</v>
      </c>
      <c r="G87" s="83" t="s">
        <v>16347</v>
      </c>
      <c r="H87" s="83" t="s">
        <v>4634</v>
      </c>
    </row>
    <row r="88" spans="1:8">
      <c r="A88" s="83" t="s">
        <v>4945</v>
      </c>
      <c r="B88" s="83" t="s">
        <v>4946</v>
      </c>
      <c r="C88" s="83" t="s">
        <v>4947</v>
      </c>
      <c r="D88" s="83" t="s">
        <v>4605</v>
      </c>
      <c r="E88" s="83" t="s">
        <v>4606</v>
      </c>
      <c r="F88" s="83" t="s">
        <v>4606</v>
      </c>
      <c r="G88" s="83" t="s">
        <v>4641</v>
      </c>
      <c r="H88" s="83" t="s">
        <v>4948</v>
      </c>
    </row>
    <row r="89" spans="1:8">
      <c r="A89" s="83" t="s">
        <v>4949</v>
      </c>
      <c r="B89" s="83" t="s">
        <v>4950</v>
      </c>
      <c r="C89" s="83" t="s">
        <v>4951</v>
      </c>
      <c r="D89" s="83" t="s">
        <v>4605</v>
      </c>
      <c r="E89" s="83" t="s">
        <v>4606</v>
      </c>
      <c r="F89" s="83" t="s">
        <v>4606</v>
      </c>
      <c r="G89" s="83" t="s">
        <v>4641</v>
      </c>
      <c r="H89" s="83" t="s">
        <v>4952</v>
      </c>
    </row>
    <row r="90" spans="1:8">
      <c r="A90" s="83" t="s">
        <v>4953</v>
      </c>
      <c r="B90" s="83" t="s">
        <v>4954</v>
      </c>
      <c r="C90" s="83" t="s">
        <v>4955</v>
      </c>
      <c r="D90" s="83" t="s">
        <v>4605</v>
      </c>
      <c r="E90" s="83" t="s">
        <v>4606</v>
      </c>
      <c r="F90" s="83" t="s">
        <v>4606</v>
      </c>
      <c r="G90" s="83" t="s">
        <v>4641</v>
      </c>
      <c r="H90" s="83" t="s">
        <v>4956</v>
      </c>
    </row>
    <row r="91" spans="1:8">
      <c r="A91" s="83" t="s">
        <v>4957</v>
      </c>
      <c r="B91" s="83" t="s">
        <v>4812</v>
      </c>
      <c r="C91" s="83" t="s">
        <v>4958</v>
      </c>
      <c r="D91" s="83" t="s">
        <v>4605</v>
      </c>
      <c r="E91" s="83" t="s">
        <v>4550</v>
      </c>
      <c r="F91" s="83" t="s">
        <v>4606</v>
      </c>
      <c r="G91" s="83" t="s">
        <v>4629</v>
      </c>
      <c r="H91" s="83" t="s">
        <v>4959</v>
      </c>
    </row>
    <row r="92" spans="1:8">
      <c r="A92" s="83" t="s">
        <v>4960</v>
      </c>
      <c r="B92" s="83" t="s">
        <v>4648</v>
      </c>
      <c r="C92" s="83" t="s">
        <v>4961</v>
      </c>
      <c r="D92" s="83" t="s">
        <v>4605</v>
      </c>
      <c r="E92" s="83" t="s">
        <v>4606</v>
      </c>
      <c r="F92" s="83" t="s">
        <v>4550</v>
      </c>
      <c r="G92" s="83" t="s">
        <v>4650</v>
      </c>
      <c r="H92" s="83" t="s">
        <v>4962</v>
      </c>
    </row>
    <row r="93" spans="1:8">
      <c r="A93" s="83" t="s">
        <v>4963</v>
      </c>
      <c r="B93" s="83" t="s">
        <v>4706</v>
      </c>
      <c r="C93" s="83" t="s">
        <v>4964</v>
      </c>
      <c r="D93" s="83" t="s">
        <v>4605</v>
      </c>
      <c r="E93" s="83" t="s">
        <v>4606</v>
      </c>
      <c r="F93" s="83" t="s">
        <v>4550</v>
      </c>
      <c r="G93" s="83" t="s">
        <v>4650</v>
      </c>
      <c r="H93" s="83" t="s">
        <v>4965</v>
      </c>
    </row>
    <row r="94" spans="1:8">
      <c r="A94" s="83" t="s">
        <v>4966</v>
      </c>
      <c r="B94" s="83" t="s">
        <v>4619</v>
      </c>
      <c r="C94" s="83" t="s">
        <v>4967</v>
      </c>
      <c r="D94" s="83" t="s">
        <v>4612</v>
      </c>
      <c r="E94" s="83" t="s">
        <v>4550</v>
      </c>
      <c r="F94" s="83" t="s">
        <v>4606</v>
      </c>
      <c r="G94" s="83" t="s">
        <v>4607</v>
      </c>
      <c r="H94" s="83" t="s">
        <v>4968</v>
      </c>
    </row>
    <row r="95" spans="1:8">
      <c r="A95" s="83" t="s">
        <v>4969</v>
      </c>
      <c r="B95" s="83" t="s">
        <v>4734</v>
      </c>
      <c r="C95" s="83" t="s">
        <v>4970</v>
      </c>
      <c r="D95" s="83" t="s">
        <v>4691</v>
      </c>
      <c r="E95" s="83" t="s">
        <v>4550</v>
      </c>
      <c r="F95" s="83" t="s">
        <v>4606</v>
      </c>
      <c r="G95" s="83" t="s">
        <v>4607</v>
      </c>
      <c r="H95" s="83" t="s">
        <v>4971</v>
      </c>
    </row>
    <row r="96" spans="1:8">
      <c r="A96" s="83" t="s">
        <v>4972</v>
      </c>
      <c r="B96" s="83" t="s">
        <v>4623</v>
      </c>
      <c r="C96" s="83" t="s">
        <v>4973</v>
      </c>
      <c r="D96" s="83" t="s">
        <v>4612</v>
      </c>
      <c r="E96" s="83" t="s">
        <v>4550</v>
      </c>
      <c r="F96" s="83" t="s">
        <v>4606</v>
      </c>
      <c r="G96" s="83" t="s">
        <v>4607</v>
      </c>
      <c r="H96" s="83" t="s">
        <v>4974</v>
      </c>
    </row>
    <row r="97" spans="1:8">
      <c r="A97" s="83" t="s">
        <v>4975</v>
      </c>
      <c r="B97" s="83" t="s">
        <v>4603</v>
      </c>
      <c r="C97" s="83" t="s">
        <v>4976</v>
      </c>
      <c r="D97" s="83" t="s">
        <v>4605</v>
      </c>
      <c r="E97" s="83" t="s">
        <v>4550</v>
      </c>
      <c r="F97" s="83" t="s">
        <v>4606</v>
      </c>
      <c r="G97" s="83" t="s">
        <v>4607</v>
      </c>
      <c r="H97" s="83" t="s">
        <v>4977</v>
      </c>
    </row>
    <row r="98" spans="1:8">
      <c r="A98" s="83" t="s">
        <v>4978</v>
      </c>
      <c r="B98" s="83" t="s">
        <v>4935</v>
      </c>
      <c r="C98" s="83" t="s">
        <v>4979</v>
      </c>
      <c r="D98" s="83" t="s">
        <v>4605</v>
      </c>
      <c r="E98" s="83" t="s">
        <v>4550</v>
      </c>
      <c r="F98" s="83" t="s">
        <v>4606</v>
      </c>
      <c r="G98" s="83" t="s">
        <v>4629</v>
      </c>
      <c r="H98" s="83" t="s">
        <v>4980</v>
      </c>
    </row>
    <row r="99" spans="1:8">
      <c r="A99" s="83" t="s">
        <v>4981</v>
      </c>
      <c r="B99" s="83" t="s">
        <v>4730</v>
      </c>
      <c r="C99" s="83" t="s">
        <v>4982</v>
      </c>
      <c r="D99" s="83" t="s">
        <v>4605</v>
      </c>
      <c r="E99" s="83" t="s">
        <v>4550</v>
      </c>
      <c r="F99" s="83" t="s">
        <v>4606</v>
      </c>
      <c r="G99" s="83" t="s">
        <v>4629</v>
      </c>
      <c r="H99" s="83" t="s">
        <v>4983</v>
      </c>
    </row>
    <row r="100" spans="1:8">
      <c r="A100" s="83" t="s">
        <v>4984</v>
      </c>
      <c r="B100" s="83" t="s">
        <v>4560</v>
      </c>
      <c r="C100" s="83" t="s">
        <v>4985</v>
      </c>
      <c r="D100" s="83" t="s">
        <v>4658</v>
      </c>
      <c r="E100" s="83" t="s">
        <v>4550</v>
      </c>
      <c r="F100" s="83" t="s">
        <v>4606</v>
      </c>
      <c r="G100" s="83" t="s">
        <v>4607</v>
      </c>
      <c r="H100" s="83" t="s">
        <v>4986</v>
      </c>
    </row>
    <row r="101" spans="1:8">
      <c r="A101" s="83" t="s">
        <v>4987</v>
      </c>
      <c r="B101" s="83" t="s">
        <v>4610</v>
      </c>
      <c r="C101" s="83" t="s">
        <v>4988</v>
      </c>
      <c r="D101" s="83" t="s">
        <v>4612</v>
      </c>
      <c r="E101" s="83" t="s">
        <v>4550</v>
      </c>
      <c r="F101" s="83" t="s">
        <v>4606</v>
      </c>
      <c r="G101" s="83" t="s">
        <v>4607</v>
      </c>
      <c r="H101" s="83" t="s">
        <v>4989</v>
      </c>
    </row>
    <row r="102" spans="1:8">
      <c r="A102" s="83" t="s">
        <v>4990</v>
      </c>
      <c r="B102" s="83" t="s">
        <v>4991</v>
      </c>
      <c r="C102" s="83" t="s">
        <v>4992</v>
      </c>
      <c r="D102" s="83" t="s">
        <v>4605</v>
      </c>
      <c r="E102" s="83" t="s">
        <v>4550</v>
      </c>
      <c r="F102" s="83" t="s">
        <v>4606</v>
      </c>
      <c r="G102" s="83" t="s">
        <v>4629</v>
      </c>
      <c r="H102" s="83" t="s">
        <v>4993</v>
      </c>
    </row>
    <row r="103" spans="1:8">
      <c r="A103" s="83" t="s">
        <v>4994</v>
      </c>
      <c r="B103" s="83" t="s">
        <v>16350</v>
      </c>
      <c r="C103" s="83" t="s">
        <v>4995</v>
      </c>
      <c r="D103" s="83" t="s">
        <v>4612</v>
      </c>
      <c r="E103" s="83" t="s">
        <v>4606</v>
      </c>
      <c r="F103" s="83" t="s">
        <v>4606</v>
      </c>
      <c r="G103" s="83" t="s">
        <v>4641</v>
      </c>
      <c r="H103" s="83" t="s">
        <v>4996</v>
      </c>
    </row>
    <row r="104" spans="1:8">
      <c r="A104" s="83" t="s">
        <v>4997</v>
      </c>
      <c r="B104" s="83" t="s">
        <v>16351</v>
      </c>
      <c r="C104" s="83" t="s">
        <v>4998</v>
      </c>
      <c r="D104" s="83" t="s">
        <v>4612</v>
      </c>
      <c r="E104" s="83" t="s">
        <v>4606</v>
      </c>
      <c r="F104" s="83" t="s">
        <v>4606</v>
      </c>
      <c r="G104" s="83" t="s">
        <v>4641</v>
      </c>
      <c r="H104" s="83" t="s">
        <v>4999</v>
      </c>
    </row>
    <row r="105" spans="1:8">
      <c r="A105" s="83" t="s">
        <v>5000</v>
      </c>
      <c r="B105" s="83" t="s">
        <v>4603</v>
      </c>
      <c r="D105" s="83" t="s">
        <v>4605</v>
      </c>
      <c r="E105" s="83" t="s">
        <v>4550</v>
      </c>
      <c r="F105" s="83" t="s">
        <v>4606</v>
      </c>
      <c r="G105" s="83" t="s">
        <v>4607</v>
      </c>
      <c r="H105" s="83" t="s">
        <v>5001</v>
      </c>
    </row>
  </sheetData>
  <sheetProtection algorithmName="SHA-512" hashValue="RU0XAGu77RNla8zqa1FGSruEMnc7PpJ/tgl1loPBI6rNjMosAojPciU8OSbtQK5mSzErhf1nK1a0Tpjdn55aTw==" saltValue="JBO4UlYgbimbCadGPoZiAA==" spinCount="100000" sheet="1" scenarios="1" formatColumns="0" sort="0" autoFilter="0"/>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B8306-F94A-47DA-8166-C93B70EB8713}">
  <sheetPr codeName="Sheet38"/>
  <dimension ref="A1:G2"/>
  <sheetViews>
    <sheetView workbookViewId="0"/>
  </sheetViews>
  <sheetFormatPr defaultRowHeight="12.75"/>
  <sheetData>
    <row r="1" spans="1:7">
      <c r="A1">
        <v>0</v>
      </c>
      <c r="B1">
        <v>7</v>
      </c>
      <c r="C1" t="s">
        <v>3374</v>
      </c>
    </row>
    <row r="2" spans="1:7">
      <c r="A2" t="s">
        <v>181</v>
      </c>
      <c r="B2" t="s">
        <v>182</v>
      </c>
      <c r="C2" t="s">
        <v>612</v>
      </c>
      <c r="D2" t="s">
        <v>613</v>
      </c>
      <c r="E2" t="s">
        <v>614</v>
      </c>
      <c r="F2" t="s">
        <v>303</v>
      </c>
      <c r="G2" t="s">
        <v>2665</v>
      </c>
    </row>
  </sheetData>
  <sheetProtection algorithmName="SHA-512" hashValue="9rbsJlQQFQXbbkpUWzB24Ft6GZFKKydLjmKsnW0im7xkY9sEMgwypbAY0tizyOzYkc/fwqok70wWYe4ynqE9Iw==" saltValue="51jYBPN242gd1WXhlt5pfA==" spinCount="100000" sheet="1" scenarios="1" formatColumns="0" sort="0" autoFilter="0"/>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8E5B2-B68E-4DA7-AC70-D5FC251AD70E}">
  <sheetPr codeName="Sheet39"/>
  <dimension ref="A1:E2"/>
  <sheetViews>
    <sheetView workbookViewId="0"/>
  </sheetViews>
  <sheetFormatPr defaultRowHeight="12.75"/>
  <sheetData>
    <row r="1" spans="1:5">
      <c r="A1">
        <v>0</v>
      </c>
      <c r="B1">
        <v>5</v>
      </c>
      <c r="C1" t="s">
        <v>3375</v>
      </c>
    </row>
    <row r="2" spans="1:5">
      <c r="A2" t="s">
        <v>193</v>
      </c>
      <c r="B2" t="s">
        <v>181</v>
      </c>
      <c r="C2" t="s">
        <v>2711</v>
      </c>
      <c r="D2" t="s">
        <v>2712</v>
      </c>
      <c r="E2" t="s">
        <v>2713</v>
      </c>
    </row>
  </sheetData>
  <sheetProtection algorithmName="SHA-512" hashValue="hmIPFkqRQz42C05et76pSwxSArEmyt/dOKA29vLa9Vfz2j8JMLqaK+LE3V8YnY2SPPjUi7eyz3yE531rK6suuw==" saltValue="brSl7i8oetWUOghclMQ8Hg==" spinCount="100000" sheet="1" scenarios="1" formatColumns="0" sort="0" autoFilter="0"/>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CFF3A-D67F-473F-A0A3-47FBE8B84D70}">
  <sheetPr codeName="Sheet40"/>
  <dimension ref="A1:C15"/>
  <sheetViews>
    <sheetView workbookViewId="0"/>
  </sheetViews>
  <sheetFormatPr defaultRowHeight="12.75"/>
  <sheetData>
    <row r="1" spans="1:3">
      <c r="A1">
        <v>13</v>
      </c>
      <c r="B1">
        <v>3</v>
      </c>
      <c r="C1" t="s">
        <v>3376</v>
      </c>
    </row>
    <row r="2" spans="1:3">
      <c r="A2" t="s">
        <v>616</v>
      </c>
      <c r="B2" t="s">
        <v>127</v>
      </c>
      <c r="C2" t="s">
        <v>303</v>
      </c>
    </row>
    <row r="3" spans="1:3">
      <c r="A3" s="83" t="s">
        <v>4507</v>
      </c>
      <c r="B3" s="83" t="s">
        <v>4507</v>
      </c>
      <c r="C3" s="83" t="s">
        <v>5002</v>
      </c>
    </row>
    <row r="4" spans="1:3">
      <c r="A4" s="83" t="s">
        <v>5003</v>
      </c>
      <c r="B4" s="83" t="s">
        <v>4507</v>
      </c>
      <c r="C4" s="83" t="s">
        <v>5004</v>
      </c>
    </row>
    <row r="5" spans="1:3">
      <c r="A5" s="83" t="s">
        <v>5005</v>
      </c>
      <c r="B5" s="83" t="s">
        <v>4507</v>
      </c>
      <c r="C5" s="83" t="s">
        <v>5006</v>
      </c>
    </row>
    <row r="6" spans="1:3">
      <c r="A6" s="83" t="s">
        <v>5007</v>
      </c>
      <c r="B6" s="83" t="s">
        <v>4507</v>
      </c>
      <c r="C6" s="83" t="s">
        <v>5008</v>
      </c>
    </row>
    <row r="7" spans="1:3">
      <c r="A7" s="83" t="s">
        <v>5009</v>
      </c>
      <c r="B7" s="83" t="s">
        <v>4507</v>
      </c>
    </row>
    <row r="8" spans="1:3">
      <c r="A8" s="83" t="s">
        <v>5010</v>
      </c>
      <c r="B8" s="83" t="s">
        <v>5010</v>
      </c>
      <c r="C8" s="83" t="s">
        <v>5002</v>
      </c>
    </row>
    <row r="9" spans="1:3">
      <c r="A9" s="83" t="s">
        <v>5011</v>
      </c>
      <c r="B9" s="83" t="s">
        <v>5010</v>
      </c>
    </row>
    <row r="10" spans="1:3">
      <c r="A10" s="83" t="s">
        <v>5012</v>
      </c>
      <c r="B10" s="83" t="s">
        <v>5012</v>
      </c>
      <c r="C10" s="83" t="s">
        <v>5002</v>
      </c>
    </row>
    <row r="11" spans="1:3">
      <c r="A11" s="83" t="s">
        <v>5013</v>
      </c>
      <c r="B11" s="83" t="s">
        <v>5012</v>
      </c>
    </row>
    <row r="12" spans="1:3">
      <c r="A12" s="83" t="s">
        <v>5014</v>
      </c>
      <c r="B12" s="83" t="s">
        <v>5012</v>
      </c>
    </row>
    <row r="13" spans="1:3">
      <c r="A13" s="83" t="s">
        <v>5015</v>
      </c>
      <c r="B13" s="83" t="s">
        <v>5015</v>
      </c>
      <c r="C13" s="83" t="s">
        <v>5002</v>
      </c>
    </row>
    <row r="14" spans="1:3">
      <c r="A14" s="83" t="s">
        <v>5016</v>
      </c>
      <c r="B14" s="83" t="s">
        <v>5015</v>
      </c>
    </row>
    <row r="15" spans="1:3">
      <c r="A15" s="83" t="s">
        <v>5017</v>
      </c>
      <c r="B15" s="83" t="s">
        <v>5017</v>
      </c>
      <c r="C15" s="83" t="s">
        <v>5002</v>
      </c>
    </row>
  </sheetData>
  <sheetProtection algorithmName="SHA-512" hashValue="vHHjJZnU85tZJdAd6XyAZrdj96An8CNmBZRR5I+2WV2kaaUVHvJpSvd2yNbMhYt3zKPYLJOt+dN02RSYvqS4Og==" saltValue="GqUd12Mjm4DUsDXdHEMl4A==" spinCount="100000" sheet="1" scenarios="1" formatColumns="0" sort="0" autoFilter="0"/>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CE0B0-9A38-4AF7-A9D6-CE8E175E5471}">
  <sheetPr codeName="Sheet41"/>
  <dimension ref="A1:D6802"/>
  <sheetViews>
    <sheetView workbookViewId="0"/>
  </sheetViews>
  <sheetFormatPr defaultRowHeight="12.75"/>
  <sheetData>
    <row r="1" spans="1:4">
      <c r="A1">
        <v>6800</v>
      </c>
      <c r="B1">
        <v>4</v>
      </c>
      <c r="C1" t="s">
        <v>3377</v>
      </c>
    </row>
    <row r="2" spans="1:4">
      <c r="A2" t="s">
        <v>617</v>
      </c>
      <c r="B2" t="s">
        <v>127</v>
      </c>
      <c r="C2" t="s">
        <v>618</v>
      </c>
      <c r="D2" t="s">
        <v>619</v>
      </c>
    </row>
    <row r="3" spans="1:4">
      <c r="A3" s="83" t="s">
        <v>5018</v>
      </c>
      <c r="B3" s="83" t="s">
        <v>5017</v>
      </c>
      <c r="C3" s="83" t="s">
        <v>5019</v>
      </c>
      <c r="D3" s="83" t="s">
        <v>5020</v>
      </c>
    </row>
    <row r="4" spans="1:4">
      <c r="A4" s="83" t="s">
        <v>5018</v>
      </c>
      <c r="B4" s="83" t="s">
        <v>5012</v>
      </c>
      <c r="C4" s="83" t="s">
        <v>5021</v>
      </c>
      <c r="D4" s="83" t="s">
        <v>5020</v>
      </c>
    </row>
    <row r="5" spans="1:4">
      <c r="A5" s="83" t="s">
        <v>5018</v>
      </c>
      <c r="B5" s="83" t="s">
        <v>5015</v>
      </c>
      <c r="C5" s="83" t="s">
        <v>5022</v>
      </c>
      <c r="D5" s="83" t="s">
        <v>5020</v>
      </c>
    </row>
    <row r="6" spans="1:4">
      <c r="A6" s="83" t="s">
        <v>5018</v>
      </c>
      <c r="B6" s="83" t="s">
        <v>5010</v>
      </c>
      <c r="C6" s="83" t="s">
        <v>5023</v>
      </c>
      <c r="D6" s="83" t="s">
        <v>5020</v>
      </c>
    </row>
    <row r="7" spans="1:4">
      <c r="A7" s="83" t="s">
        <v>5024</v>
      </c>
      <c r="B7" s="83" t="s">
        <v>5017</v>
      </c>
      <c r="C7" s="83" t="s">
        <v>5025</v>
      </c>
      <c r="D7" s="83" t="s">
        <v>5026</v>
      </c>
    </row>
    <row r="8" spans="1:4">
      <c r="A8" s="83" t="s">
        <v>5024</v>
      </c>
      <c r="B8" s="83" t="s">
        <v>5012</v>
      </c>
      <c r="C8" s="83" t="s">
        <v>5027</v>
      </c>
      <c r="D8" s="83" t="s">
        <v>5026</v>
      </c>
    </row>
    <row r="9" spans="1:4">
      <c r="A9" s="83" t="s">
        <v>5024</v>
      </c>
      <c r="B9" s="83" t="s">
        <v>5015</v>
      </c>
      <c r="C9" s="83" t="s">
        <v>5028</v>
      </c>
      <c r="D9" s="83" t="s">
        <v>5026</v>
      </c>
    </row>
    <row r="10" spans="1:4">
      <c r="A10" s="83" t="s">
        <v>5024</v>
      </c>
      <c r="B10" s="83" t="s">
        <v>5010</v>
      </c>
      <c r="C10" s="83" t="s">
        <v>5029</v>
      </c>
      <c r="D10" s="83" t="s">
        <v>5026</v>
      </c>
    </row>
    <row r="11" spans="1:4">
      <c r="A11" s="83" t="s">
        <v>5030</v>
      </c>
      <c r="B11" s="83" t="s">
        <v>5017</v>
      </c>
      <c r="C11" s="83" t="s">
        <v>5031</v>
      </c>
      <c r="D11" s="83" t="s">
        <v>5032</v>
      </c>
    </row>
    <row r="12" spans="1:4">
      <c r="A12" s="83" t="s">
        <v>5030</v>
      </c>
      <c r="B12" s="83" t="s">
        <v>5012</v>
      </c>
      <c r="C12" s="83" t="s">
        <v>5033</v>
      </c>
      <c r="D12" s="83" t="s">
        <v>5032</v>
      </c>
    </row>
    <row r="13" spans="1:4">
      <c r="A13" s="83" t="s">
        <v>5030</v>
      </c>
      <c r="B13" s="83" t="s">
        <v>5015</v>
      </c>
      <c r="C13" s="83" t="s">
        <v>5034</v>
      </c>
      <c r="D13" s="83" t="s">
        <v>5032</v>
      </c>
    </row>
    <row r="14" spans="1:4">
      <c r="A14" s="83" t="s">
        <v>5030</v>
      </c>
      <c r="B14" s="83" t="s">
        <v>5010</v>
      </c>
      <c r="C14" s="83" t="s">
        <v>5035</v>
      </c>
      <c r="D14" s="83" t="s">
        <v>5032</v>
      </c>
    </row>
    <row r="15" spans="1:4">
      <c r="A15" s="83" t="s">
        <v>5036</v>
      </c>
      <c r="B15" s="83" t="s">
        <v>5017</v>
      </c>
      <c r="C15" s="83" t="s">
        <v>5037</v>
      </c>
      <c r="D15" s="83" t="s">
        <v>5038</v>
      </c>
    </row>
    <row r="16" spans="1:4">
      <c r="A16" s="83" t="s">
        <v>5036</v>
      </c>
      <c r="B16" s="83" t="s">
        <v>5012</v>
      </c>
      <c r="C16" s="83" t="s">
        <v>5039</v>
      </c>
      <c r="D16" s="83" t="s">
        <v>5038</v>
      </c>
    </row>
    <row r="17" spans="1:4">
      <c r="A17" s="83" t="s">
        <v>5036</v>
      </c>
      <c r="B17" s="83" t="s">
        <v>5015</v>
      </c>
      <c r="C17" s="83" t="s">
        <v>5040</v>
      </c>
      <c r="D17" s="83" t="s">
        <v>5038</v>
      </c>
    </row>
    <row r="18" spans="1:4">
      <c r="A18" s="83" t="s">
        <v>5036</v>
      </c>
      <c r="B18" s="83" t="s">
        <v>5010</v>
      </c>
      <c r="C18" s="83" t="s">
        <v>5041</v>
      </c>
      <c r="D18" s="83" t="s">
        <v>5038</v>
      </c>
    </row>
    <row r="19" spans="1:4">
      <c r="A19" s="83" t="s">
        <v>5042</v>
      </c>
      <c r="B19" s="83" t="s">
        <v>5017</v>
      </c>
      <c r="C19" s="83" t="s">
        <v>5043</v>
      </c>
      <c r="D19" s="83" t="s">
        <v>5044</v>
      </c>
    </row>
    <row r="20" spans="1:4">
      <c r="A20" s="83" t="s">
        <v>5042</v>
      </c>
      <c r="B20" s="83" t="s">
        <v>5012</v>
      </c>
      <c r="C20" s="83" t="s">
        <v>5045</v>
      </c>
      <c r="D20" s="83" t="s">
        <v>5044</v>
      </c>
    </row>
    <row r="21" spans="1:4">
      <c r="A21" s="83" t="s">
        <v>5042</v>
      </c>
      <c r="B21" s="83" t="s">
        <v>5015</v>
      </c>
      <c r="C21" s="83" t="s">
        <v>5046</v>
      </c>
      <c r="D21" s="83" t="s">
        <v>5044</v>
      </c>
    </row>
    <row r="22" spans="1:4">
      <c r="A22" s="83" t="s">
        <v>5042</v>
      </c>
      <c r="B22" s="83" t="s">
        <v>5010</v>
      </c>
      <c r="C22" s="83" t="s">
        <v>5047</v>
      </c>
      <c r="D22" s="83" t="s">
        <v>5044</v>
      </c>
    </row>
    <row r="23" spans="1:4">
      <c r="A23" s="83" t="s">
        <v>5048</v>
      </c>
      <c r="B23" s="83" t="s">
        <v>5017</v>
      </c>
      <c r="C23" s="83" t="s">
        <v>5049</v>
      </c>
      <c r="D23" s="83" t="s">
        <v>5050</v>
      </c>
    </row>
    <row r="24" spans="1:4">
      <c r="A24" s="83" t="s">
        <v>5048</v>
      </c>
      <c r="B24" s="83" t="s">
        <v>5012</v>
      </c>
      <c r="C24" s="83" t="s">
        <v>5051</v>
      </c>
      <c r="D24" s="83" t="s">
        <v>5050</v>
      </c>
    </row>
    <row r="25" spans="1:4">
      <c r="A25" s="83" t="s">
        <v>5048</v>
      </c>
      <c r="B25" s="83" t="s">
        <v>5015</v>
      </c>
      <c r="C25" s="83" t="s">
        <v>5052</v>
      </c>
      <c r="D25" s="83" t="s">
        <v>5050</v>
      </c>
    </row>
    <row r="26" spans="1:4">
      <c r="A26" s="83" t="s">
        <v>5048</v>
      </c>
      <c r="B26" s="83" t="s">
        <v>5010</v>
      </c>
      <c r="C26" s="83" t="s">
        <v>5053</v>
      </c>
      <c r="D26" s="83" t="s">
        <v>5050</v>
      </c>
    </row>
    <row r="27" spans="1:4">
      <c r="A27" s="83" t="s">
        <v>5054</v>
      </c>
      <c r="B27" s="83" t="s">
        <v>5017</v>
      </c>
      <c r="C27" s="83" t="s">
        <v>5055</v>
      </c>
      <c r="D27" s="83" t="s">
        <v>5056</v>
      </c>
    </row>
    <row r="28" spans="1:4">
      <c r="A28" s="83" t="s">
        <v>5054</v>
      </c>
      <c r="B28" s="83" t="s">
        <v>5012</v>
      </c>
      <c r="C28" s="83" t="s">
        <v>5057</v>
      </c>
      <c r="D28" s="83" t="s">
        <v>5056</v>
      </c>
    </row>
    <row r="29" spans="1:4">
      <c r="A29" s="83" t="s">
        <v>5054</v>
      </c>
      <c r="B29" s="83" t="s">
        <v>5015</v>
      </c>
      <c r="C29" s="83" t="s">
        <v>5058</v>
      </c>
      <c r="D29" s="83" t="s">
        <v>5056</v>
      </c>
    </row>
    <row r="30" spans="1:4">
      <c r="A30" s="83" t="s">
        <v>5054</v>
      </c>
      <c r="B30" s="83" t="s">
        <v>5010</v>
      </c>
      <c r="C30" s="83" t="s">
        <v>5059</v>
      </c>
      <c r="D30" s="83" t="s">
        <v>5056</v>
      </c>
    </row>
    <row r="31" spans="1:4">
      <c r="A31" s="83" t="s">
        <v>5060</v>
      </c>
      <c r="B31" s="83" t="s">
        <v>5017</v>
      </c>
      <c r="C31" s="83" t="s">
        <v>5061</v>
      </c>
      <c r="D31" s="83" t="s">
        <v>5062</v>
      </c>
    </row>
    <row r="32" spans="1:4">
      <c r="A32" s="83" t="s">
        <v>5060</v>
      </c>
      <c r="B32" s="83" t="s">
        <v>5012</v>
      </c>
      <c r="C32" s="83" t="s">
        <v>5063</v>
      </c>
      <c r="D32" s="83" t="s">
        <v>5062</v>
      </c>
    </row>
    <row r="33" spans="1:4">
      <c r="A33" s="83" t="s">
        <v>5060</v>
      </c>
      <c r="B33" s="83" t="s">
        <v>5015</v>
      </c>
      <c r="C33" s="83" t="s">
        <v>5064</v>
      </c>
      <c r="D33" s="83" t="s">
        <v>5062</v>
      </c>
    </row>
    <row r="34" spans="1:4">
      <c r="A34" s="83" t="s">
        <v>5060</v>
      </c>
      <c r="B34" s="83" t="s">
        <v>5010</v>
      </c>
      <c r="C34" s="83" t="s">
        <v>5065</v>
      </c>
      <c r="D34" s="83" t="s">
        <v>5062</v>
      </c>
    </row>
    <row r="35" spans="1:4">
      <c r="A35" s="83" t="s">
        <v>5066</v>
      </c>
      <c r="B35" s="83" t="s">
        <v>5017</v>
      </c>
      <c r="C35" s="83" t="s">
        <v>5067</v>
      </c>
      <c r="D35" s="83" t="s">
        <v>5068</v>
      </c>
    </row>
    <row r="36" spans="1:4">
      <c r="A36" s="83" t="s">
        <v>5066</v>
      </c>
      <c r="B36" s="83" t="s">
        <v>5012</v>
      </c>
      <c r="C36" s="83" t="s">
        <v>5069</v>
      </c>
      <c r="D36" s="83" t="s">
        <v>5068</v>
      </c>
    </row>
    <row r="37" spans="1:4">
      <c r="A37" s="83" t="s">
        <v>5066</v>
      </c>
      <c r="B37" s="83" t="s">
        <v>5015</v>
      </c>
      <c r="C37" s="83" t="s">
        <v>5070</v>
      </c>
      <c r="D37" s="83" t="s">
        <v>5068</v>
      </c>
    </row>
    <row r="38" spans="1:4">
      <c r="A38" s="83" t="s">
        <v>5066</v>
      </c>
      <c r="B38" s="83" t="s">
        <v>5010</v>
      </c>
      <c r="C38" s="83" t="s">
        <v>5071</v>
      </c>
      <c r="D38" s="83" t="s">
        <v>5068</v>
      </c>
    </row>
    <row r="39" spans="1:4">
      <c r="A39" s="83" t="s">
        <v>5072</v>
      </c>
      <c r="B39" s="83" t="s">
        <v>5017</v>
      </c>
      <c r="C39" s="83" t="s">
        <v>5073</v>
      </c>
      <c r="D39" s="83" t="s">
        <v>5074</v>
      </c>
    </row>
    <row r="40" spans="1:4">
      <c r="A40" s="83" t="s">
        <v>5072</v>
      </c>
      <c r="B40" s="83" t="s">
        <v>5012</v>
      </c>
      <c r="C40" s="83" t="s">
        <v>5075</v>
      </c>
      <c r="D40" s="83" t="s">
        <v>5074</v>
      </c>
    </row>
    <row r="41" spans="1:4">
      <c r="A41" s="83" t="s">
        <v>5072</v>
      </c>
      <c r="B41" s="83" t="s">
        <v>5015</v>
      </c>
      <c r="C41" s="83" t="s">
        <v>5076</v>
      </c>
      <c r="D41" s="83" t="s">
        <v>5074</v>
      </c>
    </row>
    <row r="42" spans="1:4">
      <c r="A42" s="83" t="s">
        <v>5072</v>
      </c>
      <c r="B42" s="83" t="s">
        <v>5010</v>
      </c>
      <c r="C42" s="83" t="s">
        <v>5077</v>
      </c>
      <c r="D42" s="83" t="s">
        <v>5074</v>
      </c>
    </row>
    <row r="43" spans="1:4">
      <c r="A43" s="83" t="s">
        <v>5078</v>
      </c>
      <c r="B43" s="83" t="s">
        <v>5017</v>
      </c>
      <c r="C43" s="83" t="s">
        <v>5079</v>
      </c>
      <c r="D43" s="83" t="s">
        <v>5080</v>
      </c>
    </row>
    <row r="44" spans="1:4">
      <c r="A44" s="83" t="s">
        <v>5078</v>
      </c>
      <c r="B44" s="83" t="s">
        <v>5012</v>
      </c>
      <c r="C44" s="83" t="s">
        <v>5081</v>
      </c>
      <c r="D44" s="83" t="s">
        <v>5080</v>
      </c>
    </row>
    <row r="45" spans="1:4">
      <c r="A45" s="83" t="s">
        <v>5078</v>
      </c>
      <c r="B45" s="83" t="s">
        <v>5015</v>
      </c>
      <c r="C45" s="83" t="s">
        <v>5082</v>
      </c>
      <c r="D45" s="83" t="s">
        <v>5080</v>
      </c>
    </row>
    <row r="46" spans="1:4">
      <c r="A46" s="83" t="s">
        <v>5078</v>
      </c>
      <c r="B46" s="83" t="s">
        <v>5010</v>
      </c>
      <c r="C46" s="83" t="s">
        <v>5049</v>
      </c>
      <c r="D46" s="83" t="s">
        <v>5080</v>
      </c>
    </row>
    <row r="47" spans="1:4">
      <c r="A47" s="83" t="s">
        <v>5083</v>
      </c>
      <c r="B47" s="83" t="s">
        <v>5017</v>
      </c>
      <c r="C47" s="83" t="s">
        <v>5084</v>
      </c>
      <c r="D47" s="83" t="s">
        <v>5085</v>
      </c>
    </row>
    <row r="48" spans="1:4">
      <c r="A48" s="83" t="s">
        <v>5083</v>
      </c>
      <c r="B48" s="83" t="s">
        <v>5012</v>
      </c>
      <c r="C48" s="83" t="s">
        <v>5086</v>
      </c>
      <c r="D48" s="83" t="s">
        <v>5085</v>
      </c>
    </row>
    <row r="49" spans="1:4">
      <c r="A49" s="83" t="s">
        <v>5083</v>
      </c>
      <c r="B49" s="83" t="s">
        <v>5015</v>
      </c>
      <c r="C49" s="83" t="s">
        <v>5087</v>
      </c>
      <c r="D49" s="83" t="s">
        <v>5085</v>
      </c>
    </row>
    <row r="50" spans="1:4">
      <c r="A50" s="83" t="s">
        <v>5083</v>
      </c>
      <c r="B50" s="83" t="s">
        <v>5010</v>
      </c>
      <c r="C50" s="83" t="s">
        <v>5088</v>
      </c>
      <c r="D50" s="83" t="s">
        <v>5085</v>
      </c>
    </row>
    <row r="51" spans="1:4">
      <c r="A51" s="83" t="s">
        <v>5089</v>
      </c>
      <c r="B51" s="83" t="s">
        <v>5017</v>
      </c>
      <c r="C51" s="83" t="s">
        <v>5090</v>
      </c>
      <c r="D51" s="83" t="s">
        <v>5091</v>
      </c>
    </row>
    <row r="52" spans="1:4">
      <c r="A52" s="83" t="s">
        <v>5089</v>
      </c>
      <c r="B52" s="83" t="s">
        <v>5012</v>
      </c>
      <c r="C52" s="83" t="s">
        <v>5092</v>
      </c>
      <c r="D52" s="83" t="s">
        <v>5091</v>
      </c>
    </row>
    <row r="53" spans="1:4">
      <c r="A53" s="83" t="s">
        <v>5089</v>
      </c>
      <c r="B53" s="83" t="s">
        <v>5015</v>
      </c>
      <c r="C53" s="83" t="s">
        <v>5093</v>
      </c>
      <c r="D53" s="83" t="s">
        <v>5091</v>
      </c>
    </row>
    <row r="54" spans="1:4">
      <c r="A54" s="83" t="s">
        <v>5089</v>
      </c>
      <c r="B54" s="83" t="s">
        <v>5010</v>
      </c>
      <c r="C54" s="83" t="s">
        <v>5094</v>
      </c>
      <c r="D54" s="83" t="s">
        <v>5091</v>
      </c>
    </row>
    <row r="55" spans="1:4">
      <c r="A55" s="83" t="s">
        <v>5095</v>
      </c>
      <c r="B55" s="83" t="s">
        <v>5017</v>
      </c>
      <c r="C55" s="83" t="s">
        <v>5096</v>
      </c>
      <c r="D55" s="83" t="s">
        <v>5097</v>
      </c>
    </row>
    <row r="56" spans="1:4">
      <c r="A56" s="83" t="s">
        <v>5095</v>
      </c>
      <c r="B56" s="83" t="s">
        <v>5012</v>
      </c>
      <c r="C56" s="83" t="s">
        <v>5098</v>
      </c>
      <c r="D56" s="83" t="s">
        <v>5097</v>
      </c>
    </row>
    <row r="57" spans="1:4">
      <c r="A57" s="83" t="s">
        <v>5095</v>
      </c>
      <c r="B57" s="83" t="s">
        <v>5015</v>
      </c>
      <c r="C57" s="83" t="s">
        <v>5099</v>
      </c>
      <c r="D57" s="83" t="s">
        <v>5097</v>
      </c>
    </row>
    <row r="58" spans="1:4">
      <c r="A58" s="83" t="s">
        <v>5095</v>
      </c>
      <c r="B58" s="83" t="s">
        <v>5010</v>
      </c>
      <c r="C58" s="83" t="s">
        <v>5100</v>
      </c>
      <c r="D58" s="83" t="s">
        <v>5097</v>
      </c>
    </row>
    <row r="59" spans="1:4">
      <c r="A59" s="83" t="s">
        <v>5101</v>
      </c>
      <c r="B59" s="83" t="s">
        <v>5017</v>
      </c>
      <c r="C59" s="83" t="s">
        <v>5102</v>
      </c>
      <c r="D59" s="83" t="s">
        <v>5103</v>
      </c>
    </row>
    <row r="60" spans="1:4">
      <c r="A60" s="83" t="s">
        <v>5101</v>
      </c>
      <c r="B60" s="83" t="s">
        <v>5012</v>
      </c>
      <c r="C60" s="83" t="s">
        <v>5104</v>
      </c>
      <c r="D60" s="83" t="s">
        <v>5103</v>
      </c>
    </row>
    <row r="61" spans="1:4">
      <c r="A61" s="83" t="s">
        <v>5101</v>
      </c>
      <c r="B61" s="83" t="s">
        <v>5015</v>
      </c>
      <c r="C61" s="83" t="s">
        <v>5105</v>
      </c>
      <c r="D61" s="83" t="s">
        <v>5103</v>
      </c>
    </row>
    <row r="62" spans="1:4">
      <c r="A62" s="83" t="s">
        <v>5101</v>
      </c>
      <c r="B62" s="83" t="s">
        <v>5010</v>
      </c>
      <c r="C62" s="83" t="s">
        <v>5106</v>
      </c>
      <c r="D62" s="83" t="s">
        <v>5103</v>
      </c>
    </row>
    <row r="63" spans="1:4">
      <c r="A63" s="83" t="s">
        <v>5107</v>
      </c>
      <c r="B63" s="83" t="s">
        <v>5017</v>
      </c>
      <c r="C63" s="83" t="s">
        <v>5108</v>
      </c>
      <c r="D63" s="83" t="s">
        <v>5109</v>
      </c>
    </row>
    <row r="64" spans="1:4">
      <c r="A64" s="83" t="s">
        <v>5107</v>
      </c>
      <c r="B64" s="83" t="s">
        <v>5012</v>
      </c>
      <c r="C64" s="83" t="s">
        <v>5110</v>
      </c>
      <c r="D64" s="83" t="s">
        <v>5109</v>
      </c>
    </row>
    <row r="65" spans="1:4">
      <c r="A65" s="83" t="s">
        <v>5107</v>
      </c>
      <c r="B65" s="83" t="s">
        <v>5015</v>
      </c>
      <c r="C65" s="83" t="s">
        <v>5111</v>
      </c>
      <c r="D65" s="83" t="s">
        <v>5109</v>
      </c>
    </row>
    <row r="66" spans="1:4">
      <c r="A66" s="83" t="s">
        <v>5107</v>
      </c>
      <c r="B66" s="83" t="s">
        <v>5010</v>
      </c>
      <c r="C66" s="83" t="s">
        <v>5112</v>
      </c>
      <c r="D66" s="83" t="s">
        <v>5109</v>
      </c>
    </row>
    <row r="67" spans="1:4">
      <c r="A67" s="83" t="s">
        <v>5113</v>
      </c>
      <c r="B67" s="83" t="s">
        <v>5017</v>
      </c>
      <c r="C67" s="83" t="s">
        <v>5114</v>
      </c>
      <c r="D67" s="83" t="s">
        <v>5115</v>
      </c>
    </row>
    <row r="68" spans="1:4">
      <c r="A68" s="83" t="s">
        <v>5113</v>
      </c>
      <c r="B68" s="83" t="s">
        <v>5012</v>
      </c>
      <c r="C68" s="83" t="s">
        <v>5116</v>
      </c>
      <c r="D68" s="83" t="s">
        <v>5115</v>
      </c>
    </row>
    <row r="69" spans="1:4">
      <c r="A69" s="83" t="s">
        <v>5113</v>
      </c>
      <c r="B69" s="83" t="s">
        <v>5015</v>
      </c>
      <c r="C69" s="83" t="s">
        <v>5117</v>
      </c>
      <c r="D69" s="83" t="s">
        <v>5115</v>
      </c>
    </row>
    <row r="70" spans="1:4">
      <c r="A70" s="83" t="s">
        <v>5113</v>
      </c>
      <c r="B70" s="83" t="s">
        <v>5010</v>
      </c>
      <c r="C70" s="83" t="s">
        <v>5118</v>
      </c>
      <c r="D70" s="83" t="s">
        <v>5115</v>
      </c>
    </row>
    <row r="71" spans="1:4">
      <c r="A71" s="83" t="s">
        <v>5119</v>
      </c>
      <c r="B71" s="83" t="s">
        <v>5017</v>
      </c>
      <c r="C71" s="83" t="s">
        <v>5120</v>
      </c>
      <c r="D71" s="83" t="s">
        <v>5121</v>
      </c>
    </row>
    <row r="72" spans="1:4">
      <c r="A72" s="83" t="s">
        <v>5119</v>
      </c>
      <c r="B72" s="83" t="s">
        <v>5012</v>
      </c>
      <c r="C72" s="83" t="s">
        <v>5122</v>
      </c>
      <c r="D72" s="83" t="s">
        <v>5121</v>
      </c>
    </row>
    <row r="73" spans="1:4">
      <c r="A73" s="83" t="s">
        <v>5119</v>
      </c>
      <c r="B73" s="83" t="s">
        <v>5015</v>
      </c>
      <c r="C73" s="83" t="s">
        <v>5123</v>
      </c>
      <c r="D73" s="83" t="s">
        <v>5121</v>
      </c>
    </row>
    <row r="74" spans="1:4">
      <c r="A74" s="83" t="s">
        <v>5119</v>
      </c>
      <c r="B74" s="83" t="s">
        <v>5010</v>
      </c>
      <c r="C74" s="83" t="s">
        <v>5124</v>
      </c>
      <c r="D74" s="83" t="s">
        <v>5121</v>
      </c>
    </row>
    <row r="75" spans="1:4">
      <c r="A75" s="83" t="s">
        <v>5125</v>
      </c>
      <c r="B75" s="83" t="s">
        <v>5017</v>
      </c>
      <c r="C75" s="83" t="s">
        <v>5126</v>
      </c>
      <c r="D75" s="83" t="s">
        <v>5127</v>
      </c>
    </row>
    <row r="76" spans="1:4">
      <c r="A76" s="83" t="s">
        <v>5125</v>
      </c>
      <c r="B76" s="83" t="s">
        <v>5012</v>
      </c>
      <c r="C76" s="83" t="s">
        <v>5128</v>
      </c>
      <c r="D76" s="83" t="s">
        <v>5127</v>
      </c>
    </row>
    <row r="77" spans="1:4">
      <c r="A77" s="83" t="s">
        <v>5125</v>
      </c>
      <c r="B77" s="83" t="s">
        <v>5015</v>
      </c>
      <c r="C77" s="83" t="s">
        <v>5129</v>
      </c>
      <c r="D77" s="83" t="s">
        <v>5127</v>
      </c>
    </row>
    <row r="78" spans="1:4">
      <c r="A78" s="83" t="s">
        <v>5125</v>
      </c>
      <c r="B78" s="83" t="s">
        <v>5010</v>
      </c>
      <c r="C78" s="83" t="s">
        <v>5130</v>
      </c>
      <c r="D78" s="83" t="s">
        <v>5127</v>
      </c>
    </row>
    <row r="79" spans="1:4">
      <c r="A79" s="83" t="s">
        <v>5131</v>
      </c>
      <c r="B79" s="83" t="s">
        <v>5017</v>
      </c>
      <c r="C79" s="83" t="s">
        <v>5132</v>
      </c>
      <c r="D79" s="83" t="s">
        <v>5133</v>
      </c>
    </row>
    <row r="80" spans="1:4">
      <c r="A80" s="83" t="s">
        <v>5131</v>
      </c>
      <c r="B80" s="83" t="s">
        <v>5012</v>
      </c>
      <c r="C80" s="83" t="s">
        <v>5134</v>
      </c>
      <c r="D80" s="83" t="s">
        <v>5133</v>
      </c>
    </row>
    <row r="81" spans="1:4">
      <c r="A81" s="83" t="s">
        <v>5131</v>
      </c>
      <c r="B81" s="83" t="s">
        <v>5015</v>
      </c>
      <c r="C81" s="83" t="s">
        <v>5135</v>
      </c>
      <c r="D81" s="83" t="s">
        <v>5133</v>
      </c>
    </row>
    <row r="82" spans="1:4">
      <c r="A82" s="83" t="s">
        <v>5131</v>
      </c>
      <c r="B82" s="83" t="s">
        <v>5010</v>
      </c>
      <c r="C82" s="83" t="s">
        <v>5136</v>
      </c>
      <c r="D82" s="83" t="s">
        <v>5133</v>
      </c>
    </row>
    <row r="83" spans="1:4">
      <c r="A83" s="83" t="s">
        <v>5137</v>
      </c>
      <c r="B83" s="83" t="s">
        <v>5017</v>
      </c>
      <c r="C83" s="83" t="s">
        <v>5138</v>
      </c>
      <c r="D83" s="83" t="s">
        <v>5139</v>
      </c>
    </row>
    <row r="84" spans="1:4">
      <c r="A84" s="83" t="s">
        <v>5137</v>
      </c>
      <c r="B84" s="83" t="s">
        <v>5012</v>
      </c>
      <c r="C84" s="83" t="s">
        <v>5140</v>
      </c>
      <c r="D84" s="83" t="s">
        <v>5139</v>
      </c>
    </row>
    <row r="85" spans="1:4">
      <c r="A85" s="83" t="s">
        <v>5137</v>
      </c>
      <c r="B85" s="83" t="s">
        <v>5015</v>
      </c>
      <c r="C85" s="83" t="s">
        <v>5141</v>
      </c>
      <c r="D85" s="83" t="s">
        <v>5139</v>
      </c>
    </row>
    <row r="86" spans="1:4">
      <c r="A86" s="83" t="s">
        <v>5137</v>
      </c>
      <c r="B86" s="83" t="s">
        <v>5010</v>
      </c>
      <c r="C86" s="83" t="s">
        <v>5142</v>
      </c>
      <c r="D86" s="83" t="s">
        <v>5139</v>
      </c>
    </row>
    <row r="87" spans="1:4">
      <c r="A87" s="83" t="s">
        <v>5143</v>
      </c>
      <c r="B87" s="83" t="s">
        <v>5017</v>
      </c>
      <c r="C87" s="83" t="s">
        <v>5144</v>
      </c>
      <c r="D87" s="83" t="s">
        <v>5145</v>
      </c>
    </row>
    <row r="88" spans="1:4">
      <c r="A88" s="83" t="s">
        <v>5143</v>
      </c>
      <c r="B88" s="83" t="s">
        <v>5012</v>
      </c>
      <c r="C88" s="83" t="s">
        <v>5146</v>
      </c>
      <c r="D88" s="83" t="s">
        <v>5145</v>
      </c>
    </row>
    <row r="89" spans="1:4">
      <c r="A89" s="83" t="s">
        <v>5143</v>
      </c>
      <c r="B89" s="83" t="s">
        <v>5015</v>
      </c>
      <c r="C89" s="83" t="s">
        <v>5147</v>
      </c>
      <c r="D89" s="83" t="s">
        <v>5145</v>
      </c>
    </row>
    <row r="90" spans="1:4">
      <c r="A90" s="83" t="s">
        <v>5143</v>
      </c>
      <c r="B90" s="83" t="s">
        <v>5010</v>
      </c>
      <c r="C90" s="83" t="s">
        <v>5148</v>
      </c>
      <c r="D90" s="83" t="s">
        <v>5145</v>
      </c>
    </row>
    <row r="91" spans="1:4">
      <c r="A91" s="83" t="s">
        <v>5149</v>
      </c>
      <c r="B91" s="83" t="s">
        <v>5017</v>
      </c>
      <c r="C91" s="83" t="s">
        <v>5150</v>
      </c>
      <c r="D91" s="83" t="s">
        <v>5151</v>
      </c>
    </row>
    <row r="92" spans="1:4">
      <c r="A92" s="83" t="s">
        <v>5149</v>
      </c>
      <c r="B92" s="83" t="s">
        <v>5012</v>
      </c>
      <c r="C92" s="83" t="s">
        <v>5152</v>
      </c>
      <c r="D92" s="83" t="s">
        <v>5151</v>
      </c>
    </row>
    <row r="93" spans="1:4">
      <c r="A93" s="83" t="s">
        <v>5149</v>
      </c>
      <c r="B93" s="83" t="s">
        <v>5015</v>
      </c>
      <c r="C93" s="83" t="s">
        <v>5153</v>
      </c>
      <c r="D93" s="83" t="s">
        <v>5151</v>
      </c>
    </row>
    <row r="94" spans="1:4">
      <c r="A94" s="83" t="s">
        <v>5149</v>
      </c>
      <c r="B94" s="83" t="s">
        <v>5010</v>
      </c>
      <c r="C94" s="83" t="s">
        <v>5154</v>
      </c>
      <c r="D94" s="83" t="s">
        <v>5151</v>
      </c>
    </row>
    <row r="95" spans="1:4">
      <c r="A95" s="83" t="s">
        <v>5155</v>
      </c>
      <c r="B95" s="83" t="s">
        <v>5017</v>
      </c>
      <c r="C95" s="83" t="s">
        <v>5156</v>
      </c>
      <c r="D95" s="83" t="s">
        <v>5157</v>
      </c>
    </row>
    <row r="96" spans="1:4">
      <c r="A96" s="83" t="s">
        <v>5155</v>
      </c>
      <c r="B96" s="83" t="s">
        <v>5012</v>
      </c>
      <c r="C96" s="83" t="s">
        <v>5158</v>
      </c>
      <c r="D96" s="83" t="s">
        <v>5157</v>
      </c>
    </row>
    <row r="97" spans="1:4">
      <c r="A97" s="83" t="s">
        <v>5155</v>
      </c>
      <c r="B97" s="83" t="s">
        <v>5015</v>
      </c>
      <c r="C97" s="83" t="s">
        <v>5159</v>
      </c>
      <c r="D97" s="83" t="s">
        <v>5157</v>
      </c>
    </row>
    <row r="98" spans="1:4">
      <c r="A98" s="83" t="s">
        <v>5155</v>
      </c>
      <c r="B98" s="83" t="s">
        <v>5010</v>
      </c>
      <c r="C98" s="83" t="s">
        <v>5160</v>
      </c>
      <c r="D98" s="83" t="s">
        <v>5157</v>
      </c>
    </row>
    <row r="99" spans="1:4">
      <c r="A99" s="83" t="s">
        <v>5161</v>
      </c>
      <c r="B99" s="83" t="s">
        <v>5017</v>
      </c>
      <c r="C99" s="83" t="s">
        <v>5162</v>
      </c>
      <c r="D99" s="83" t="s">
        <v>5163</v>
      </c>
    </row>
    <row r="100" spans="1:4">
      <c r="A100" s="83" t="s">
        <v>5161</v>
      </c>
      <c r="B100" s="83" t="s">
        <v>5012</v>
      </c>
      <c r="C100" s="83" t="s">
        <v>5164</v>
      </c>
      <c r="D100" s="83" t="s">
        <v>5163</v>
      </c>
    </row>
    <row r="101" spans="1:4">
      <c r="A101" s="83" t="s">
        <v>5161</v>
      </c>
      <c r="B101" s="83" t="s">
        <v>5015</v>
      </c>
      <c r="C101" s="83" t="s">
        <v>5165</v>
      </c>
      <c r="D101" s="83" t="s">
        <v>5163</v>
      </c>
    </row>
    <row r="102" spans="1:4">
      <c r="A102" s="83" t="s">
        <v>5161</v>
      </c>
      <c r="B102" s="83" t="s">
        <v>5010</v>
      </c>
      <c r="C102" s="83" t="s">
        <v>5166</v>
      </c>
      <c r="D102" s="83" t="s">
        <v>5163</v>
      </c>
    </row>
    <row r="103" spans="1:4">
      <c r="A103" s="83" t="s">
        <v>5167</v>
      </c>
      <c r="B103" s="83" t="s">
        <v>5017</v>
      </c>
      <c r="C103" s="83" t="s">
        <v>5168</v>
      </c>
      <c r="D103" s="83" t="s">
        <v>5169</v>
      </c>
    </row>
    <row r="104" spans="1:4">
      <c r="A104" s="83" t="s">
        <v>5167</v>
      </c>
      <c r="B104" s="83" t="s">
        <v>5012</v>
      </c>
      <c r="C104" s="83" t="s">
        <v>5170</v>
      </c>
      <c r="D104" s="83" t="s">
        <v>5169</v>
      </c>
    </row>
    <row r="105" spans="1:4">
      <c r="A105" s="83" t="s">
        <v>5167</v>
      </c>
      <c r="B105" s="83" t="s">
        <v>5015</v>
      </c>
      <c r="C105" s="83" t="s">
        <v>5171</v>
      </c>
      <c r="D105" s="83" t="s">
        <v>5169</v>
      </c>
    </row>
    <row r="106" spans="1:4">
      <c r="A106" s="83" t="s">
        <v>5167</v>
      </c>
      <c r="B106" s="83" t="s">
        <v>5010</v>
      </c>
      <c r="C106" s="83" t="s">
        <v>5172</v>
      </c>
      <c r="D106" s="83" t="s">
        <v>5169</v>
      </c>
    </row>
    <row r="107" spans="1:4">
      <c r="A107" s="83" t="s">
        <v>5173</v>
      </c>
      <c r="B107" s="83" t="s">
        <v>5017</v>
      </c>
      <c r="C107" s="83" t="s">
        <v>5174</v>
      </c>
      <c r="D107" s="83" t="s">
        <v>5175</v>
      </c>
    </row>
    <row r="108" spans="1:4">
      <c r="A108" s="83" t="s">
        <v>5173</v>
      </c>
      <c r="B108" s="83" t="s">
        <v>5012</v>
      </c>
      <c r="C108" s="83" t="s">
        <v>5176</v>
      </c>
      <c r="D108" s="83" t="s">
        <v>5175</v>
      </c>
    </row>
    <row r="109" spans="1:4">
      <c r="A109" s="83" t="s">
        <v>5173</v>
      </c>
      <c r="B109" s="83" t="s">
        <v>5015</v>
      </c>
      <c r="C109" s="83" t="s">
        <v>5177</v>
      </c>
      <c r="D109" s="83" t="s">
        <v>5175</v>
      </c>
    </row>
    <row r="110" spans="1:4">
      <c r="A110" s="83" t="s">
        <v>5173</v>
      </c>
      <c r="B110" s="83" t="s">
        <v>5010</v>
      </c>
      <c r="C110" s="83" t="s">
        <v>5178</v>
      </c>
      <c r="D110" s="83" t="s">
        <v>5175</v>
      </c>
    </row>
    <row r="111" spans="1:4">
      <c r="A111" s="83" t="s">
        <v>5179</v>
      </c>
      <c r="B111" s="83" t="s">
        <v>5017</v>
      </c>
      <c r="C111" s="83" t="s">
        <v>5180</v>
      </c>
      <c r="D111" s="83" t="s">
        <v>5181</v>
      </c>
    </row>
    <row r="112" spans="1:4">
      <c r="A112" s="83" t="s">
        <v>5179</v>
      </c>
      <c r="B112" s="83" t="s">
        <v>5012</v>
      </c>
      <c r="C112" s="83" t="s">
        <v>5182</v>
      </c>
      <c r="D112" s="83" t="s">
        <v>5181</v>
      </c>
    </row>
    <row r="113" spans="1:4">
      <c r="A113" s="83" t="s">
        <v>5179</v>
      </c>
      <c r="B113" s="83" t="s">
        <v>5015</v>
      </c>
      <c r="C113" s="83" t="s">
        <v>5183</v>
      </c>
      <c r="D113" s="83" t="s">
        <v>5181</v>
      </c>
    </row>
    <row r="114" spans="1:4">
      <c r="A114" s="83" t="s">
        <v>5179</v>
      </c>
      <c r="B114" s="83" t="s">
        <v>5010</v>
      </c>
      <c r="C114" s="83" t="s">
        <v>5184</v>
      </c>
      <c r="D114" s="83" t="s">
        <v>5181</v>
      </c>
    </row>
    <row r="115" spans="1:4">
      <c r="A115" s="83" t="s">
        <v>5185</v>
      </c>
      <c r="B115" s="83" t="s">
        <v>5017</v>
      </c>
      <c r="C115" s="83" t="s">
        <v>5186</v>
      </c>
      <c r="D115" s="83" t="s">
        <v>5187</v>
      </c>
    </row>
    <row r="116" spans="1:4">
      <c r="A116" s="83" t="s">
        <v>5185</v>
      </c>
      <c r="B116" s="83" t="s">
        <v>5012</v>
      </c>
      <c r="C116" s="83" t="s">
        <v>5188</v>
      </c>
      <c r="D116" s="83" t="s">
        <v>5187</v>
      </c>
    </row>
    <row r="117" spans="1:4">
      <c r="A117" s="83" t="s">
        <v>5185</v>
      </c>
      <c r="B117" s="83" t="s">
        <v>5015</v>
      </c>
      <c r="C117" s="83" t="s">
        <v>5189</v>
      </c>
      <c r="D117" s="83" t="s">
        <v>5187</v>
      </c>
    </row>
    <row r="118" spans="1:4">
      <c r="A118" s="83" t="s">
        <v>5185</v>
      </c>
      <c r="B118" s="83" t="s">
        <v>5010</v>
      </c>
      <c r="C118" s="83" t="s">
        <v>5190</v>
      </c>
      <c r="D118" s="83" t="s">
        <v>5187</v>
      </c>
    </row>
    <row r="119" spans="1:4">
      <c r="A119" s="83" t="s">
        <v>5191</v>
      </c>
      <c r="B119" s="83" t="s">
        <v>5017</v>
      </c>
      <c r="C119" s="83" t="s">
        <v>5192</v>
      </c>
      <c r="D119" s="83" t="s">
        <v>5193</v>
      </c>
    </row>
    <row r="120" spans="1:4">
      <c r="A120" s="83" t="s">
        <v>5191</v>
      </c>
      <c r="B120" s="83" t="s">
        <v>5012</v>
      </c>
      <c r="C120" s="83" t="s">
        <v>5194</v>
      </c>
      <c r="D120" s="83" t="s">
        <v>5193</v>
      </c>
    </row>
    <row r="121" spans="1:4">
      <c r="A121" s="83" t="s">
        <v>5191</v>
      </c>
      <c r="B121" s="83" t="s">
        <v>5015</v>
      </c>
      <c r="C121" s="83" t="s">
        <v>5195</v>
      </c>
      <c r="D121" s="83" t="s">
        <v>5193</v>
      </c>
    </row>
    <row r="122" spans="1:4">
      <c r="A122" s="83" t="s">
        <v>5191</v>
      </c>
      <c r="B122" s="83" t="s">
        <v>5010</v>
      </c>
      <c r="C122" s="83" t="s">
        <v>5196</v>
      </c>
      <c r="D122" s="83" t="s">
        <v>5193</v>
      </c>
    </row>
    <row r="123" spans="1:4">
      <c r="A123" s="83" t="s">
        <v>5197</v>
      </c>
      <c r="B123" s="83" t="s">
        <v>5017</v>
      </c>
      <c r="C123" s="83" t="s">
        <v>5198</v>
      </c>
      <c r="D123" s="83" t="s">
        <v>5199</v>
      </c>
    </row>
    <row r="124" spans="1:4">
      <c r="A124" s="83" t="s">
        <v>5197</v>
      </c>
      <c r="B124" s="83" t="s">
        <v>5012</v>
      </c>
      <c r="C124" s="83" t="s">
        <v>5200</v>
      </c>
      <c r="D124" s="83" t="s">
        <v>5199</v>
      </c>
    </row>
    <row r="125" spans="1:4">
      <c r="A125" s="83" t="s">
        <v>5197</v>
      </c>
      <c r="B125" s="83" t="s">
        <v>5015</v>
      </c>
      <c r="C125" s="83" t="s">
        <v>5201</v>
      </c>
      <c r="D125" s="83" t="s">
        <v>5199</v>
      </c>
    </row>
    <row r="126" spans="1:4">
      <c r="A126" s="83" t="s">
        <v>5197</v>
      </c>
      <c r="B126" s="83" t="s">
        <v>5010</v>
      </c>
      <c r="C126" s="83" t="s">
        <v>5202</v>
      </c>
      <c r="D126" s="83" t="s">
        <v>5199</v>
      </c>
    </row>
    <row r="127" spans="1:4">
      <c r="A127" s="83" t="s">
        <v>5203</v>
      </c>
      <c r="B127" s="83" t="s">
        <v>5017</v>
      </c>
      <c r="C127" s="83" t="s">
        <v>5204</v>
      </c>
      <c r="D127" s="83" t="s">
        <v>5205</v>
      </c>
    </row>
    <row r="128" spans="1:4">
      <c r="A128" s="83" t="s">
        <v>5203</v>
      </c>
      <c r="B128" s="83" t="s">
        <v>5012</v>
      </c>
      <c r="C128" s="83" t="s">
        <v>5206</v>
      </c>
      <c r="D128" s="83" t="s">
        <v>5205</v>
      </c>
    </row>
    <row r="129" spans="1:4">
      <c r="A129" s="83" t="s">
        <v>5203</v>
      </c>
      <c r="B129" s="83" t="s">
        <v>5015</v>
      </c>
      <c r="C129" s="83" t="s">
        <v>5207</v>
      </c>
      <c r="D129" s="83" t="s">
        <v>5205</v>
      </c>
    </row>
    <row r="130" spans="1:4">
      <c r="A130" s="83" t="s">
        <v>5203</v>
      </c>
      <c r="B130" s="83" t="s">
        <v>5010</v>
      </c>
      <c r="C130" s="83" t="s">
        <v>5208</v>
      </c>
      <c r="D130" s="83" t="s">
        <v>5205</v>
      </c>
    </row>
    <row r="131" spans="1:4">
      <c r="A131" s="83" t="s">
        <v>5209</v>
      </c>
      <c r="B131" s="83" t="s">
        <v>5017</v>
      </c>
      <c r="C131" s="83" t="s">
        <v>5210</v>
      </c>
      <c r="D131" s="83" t="s">
        <v>5211</v>
      </c>
    </row>
    <row r="132" spans="1:4">
      <c r="A132" s="83" t="s">
        <v>5209</v>
      </c>
      <c r="B132" s="83" t="s">
        <v>5012</v>
      </c>
      <c r="C132" s="83" t="s">
        <v>5212</v>
      </c>
      <c r="D132" s="83" t="s">
        <v>5211</v>
      </c>
    </row>
    <row r="133" spans="1:4">
      <c r="A133" s="83" t="s">
        <v>5209</v>
      </c>
      <c r="B133" s="83" t="s">
        <v>5015</v>
      </c>
      <c r="C133" s="83" t="s">
        <v>5213</v>
      </c>
      <c r="D133" s="83" t="s">
        <v>5211</v>
      </c>
    </row>
    <row r="134" spans="1:4">
      <c r="A134" s="83" t="s">
        <v>5209</v>
      </c>
      <c r="B134" s="83" t="s">
        <v>5010</v>
      </c>
      <c r="C134" s="83" t="s">
        <v>5214</v>
      </c>
      <c r="D134" s="83" t="s">
        <v>5211</v>
      </c>
    </row>
    <row r="135" spans="1:4">
      <c r="A135" s="83" t="s">
        <v>5215</v>
      </c>
      <c r="B135" s="83" t="s">
        <v>5017</v>
      </c>
      <c r="C135" s="83" t="s">
        <v>5216</v>
      </c>
      <c r="D135" s="83" t="s">
        <v>5217</v>
      </c>
    </row>
    <row r="136" spans="1:4">
      <c r="A136" s="83" t="s">
        <v>5215</v>
      </c>
      <c r="B136" s="83" t="s">
        <v>5012</v>
      </c>
      <c r="C136" s="83" t="s">
        <v>5218</v>
      </c>
      <c r="D136" s="83" t="s">
        <v>5217</v>
      </c>
    </row>
    <row r="137" spans="1:4">
      <c r="A137" s="83" t="s">
        <v>5215</v>
      </c>
      <c r="B137" s="83" t="s">
        <v>5015</v>
      </c>
      <c r="C137" s="83" t="s">
        <v>5219</v>
      </c>
      <c r="D137" s="83" t="s">
        <v>5217</v>
      </c>
    </row>
    <row r="138" spans="1:4">
      <c r="A138" s="83" t="s">
        <v>5215</v>
      </c>
      <c r="B138" s="83" t="s">
        <v>5010</v>
      </c>
      <c r="C138" s="83" t="s">
        <v>5220</v>
      </c>
      <c r="D138" s="83" t="s">
        <v>5217</v>
      </c>
    </row>
    <row r="139" spans="1:4">
      <c r="A139" s="83" t="s">
        <v>5221</v>
      </c>
      <c r="B139" s="83" t="s">
        <v>5017</v>
      </c>
      <c r="C139" s="83" t="s">
        <v>5222</v>
      </c>
      <c r="D139" s="83" t="s">
        <v>5223</v>
      </c>
    </row>
    <row r="140" spans="1:4">
      <c r="A140" s="83" t="s">
        <v>5221</v>
      </c>
      <c r="B140" s="83" t="s">
        <v>5012</v>
      </c>
      <c r="C140" s="83" t="s">
        <v>5224</v>
      </c>
      <c r="D140" s="83" t="s">
        <v>5223</v>
      </c>
    </row>
    <row r="141" spans="1:4">
      <c r="A141" s="83" t="s">
        <v>5221</v>
      </c>
      <c r="B141" s="83" t="s">
        <v>5015</v>
      </c>
      <c r="C141" s="83" t="s">
        <v>5213</v>
      </c>
      <c r="D141" s="83" t="s">
        <v>5223</v>
      </c>
    </row>
    <row r="142" spans="1:4">
      <c r="A142" s="83" t="s">
        <v>5221</v>
      </c>
      <c r="B142" s="83" t="s">
        <v>5010</v>
      </c>
      <c r="C142" s="83" t="s">
        <v>5225</v>
      </c>
      <c r="D142" s="83" t="s">
        <v>5223</v>
      </c>
    </row>
    <row r="143" spans="1:4">
      <c r="A143" s="83" t="s">
        <v>5226</v>
      </c>
      <c r="B143" s="83" t="s">
        <v>5017</v>
      </c>
      <c r="C143" s="83" t="s">
        <v>5227</v>
      </c>
      <c r="D143" s="83" t="s">
        <v>5228</v>
      </c>
    </row>
    <row r="144" spans="1:4">
      <c r="A144" s="83" t="s">
        <v>5226</v>
      </c>
      <c r="B144" s="83" t="s">
        <v>5012</v>
      </c>
      <c r="C144" s="83" t="s">
        <v>5229</v>
      </c>
      <c r="D144" s="83" t="s">
        <v>5228</v>
      </c>
    </row>
    <row r="145" spans="1:4">
      <c r="A145" s="83" t="s">
        <v>5226</v>
      </c>
      <c r="B145" s="83" t="s">
        <v>5015</v>
      </c>
      <c r="C145" s="83" t="s">
        <v>5230</v>
      </c>
      <c r="D145" s="83" t="s">
        <v>5228</v>
      </c>
    </row>
    <row r="146" spans="1:4">
      <c r="A146" s="83" t="s">
        <v>5226</v>
      </c>
      <c r="B146" s="83" t="s">
        <v>5010</v>
      </c>
      <c r="C146" s="83" t="s">
        <v>5231</v>
      </c>
      <c r="D146" s="83" t="s">
        <v>5228</v>
      </c>
    </row>
    <row r="147" spans="1:4">
      <c r="A147" s="83" t="s">
        <v>5232</v>
      </c>
      <c r="B147" s="83" t="s">
        <v>5017</v>
      </c>
      <c r="C147" s="83" t="s">
        <v>5233</v>
      </c>
      <c r="D147" s="83" t="s">
        <v>5234</v>
      </c>
    </row>
    <row r="148" spans="1:4">
      <c r="A148" s="83" t="s">
        <v>5232</v>
      </c>
      <c r="B148" s="83" t="s">
        <v>5012</v>
      </c>
      <c r="C148" s="83" t="s">
        <v>5235</v>
      </c>
      <c r="D148" s="83" t="s">
        <v>5234</v>
      </c>
    </row>
    <row r="149" spans="1:4">
      <c r="A149" s="83" t="s">
        <v>5232</v>
      </c>
      <c r="B149" s="83" t="s">
        <v>5015</v>
      </c>
      <c r="C149" s="83" t="s">
        <v>5236</v>
      </c>
      <c r="D149" s="83" t="s">
        <v>5234</v>
      </c>
    </row>
    <row r="150" spans="1:4">
      <c r="A150" s="83" t="s">
        <v>5232</v>
      </c>
      <c r="B150" s="83" t="s">
        <v>5010</v>
      </c>
      <c r="C150" s="83" t="s">
        <v>5124</v>
      </c>
      <c r="D150" s="83" t="s">
        <v>5234</v>
      </c>
    </row>
    <row r="151" spans="1:4">
      <c r="A151" s="83" t="s">
        <v>5237</v>
      </c>
      <c r="B151" s="83" t="s">
        <v>5017</v>
      </c>
      <c r="C151" s="83" t="s">
        <v>5238</v>
      </c>
      <c r="D151" s="83" t="s">
        <v>5239</v>
      </c>
    </row>
    <row r="152" spans="1:4">
      <c r="A152" s="83" t="s">
        <v>5237</v>
      </c>
      <c r="B152" s="83" t="s">
        <v>5012</v>
      </c>
      <c r="C152" s="83" t="s">
        <v>5240</v>
      </c>
      <c r="D152" s="83" t="s">
        <v>5239</v>
      </c>
    </row>
    <row r="153" spans="1:4">
      <c r="A153" s="83" t="s">
        <v>5237</v>
      </c>
      <c r="B153" s="83" t="s">
        <v>5015</v>
      </c>
      <c r="C153" s="83" t="s">
        <v>5241</v>
      </c>
      <c r="D153" s="83" t="s">
        <v>5239</v>
      </c>
    </row>
    <row r="154" spans="1:4">
      <c r="A154" s="83" t="s">
        <v>5237</v>
      </c>
      <c r="B154" s="83" t="s">
        <v>5010</v>
      </c>
      <c r="C154" s="83" t="s">
        <v>5242</v>
      </c>
      <c r="D154" s="83" t="s">
        <v>5239</v>
      </c>
    </row>
    <row r="155" spans="1:4">
      <c r="A155" s="83" t="s">
        <v>5243</v>
      </c>
      <c r="B155" s="83" t="s">
        <v>5017</v>
      </c>
      <c r="C155" s="83" t="s">
        <v>5244</v>
      </c>
      <c r="D155" s="83" t="s">
        <v>5245</v>
      </c>
    </row>
    <row r="156" spans="1:4">
      <c r="A156" s="83" t="s">
        <v>5243</v>
      </c>
      <c r="B156" s="83" t="s">
        <v>5012</v>
      </c>
      <c r="C156" s="83" t="s">
        <v>5246</v>
      </c>
      <c r="D156" s="83" t="s">
        <v>5245</v>
      </c>
    </row>
    <row r="157" spans="1:4">
      <c r="A157" s="83" t="s">
        <v>5243</v>
      </c>
      <c r="B157" s="83" t="s">
        <v>5015</v>
      </c>
      <c r="C157" s="83" t="s">
        <v>5247</v>
      </c>
      <c r="D157" s="83" t="s">
        <v>5245</v>
      </c>
    </row>
    <row r="158" spans="1:4">
      <c r="A158" s="83" t="s">
        <v>5243</v>
      </c>
      <c r="B158" s="83" t="s">
        <v>5010</v>
      </c>
      <c r="C158" s="83" t="s">
        <v>5248</v>
      </c>
      <c r="D158" s="83" t="s">
        <v>5245</v>
      </c>
    </row>
    <row r="159" spans="1:4">
      <c r="A159" s="83" t="s">
        <v>5249</v>
      </c>
      <c r="B159" s="83" t="s">
        <v>5017</v>
      </c>
      <c r="C159" s="83" t="s">
        <v>5250</v>
      </c>
      <c r="D159" s="83" t="s">
        <v>5251</v>
      </c>
    </row>
    <row r="160" spans="1:4">
      <c r="A160" s="83" t="s">
        <v>5249</v>
      </c>
      <c r="B160" s="83" t="s">
        <v>5012</v>
      </c>
      <c r="C160" s="83" t="s">
        <v>5252</v>
      </c>
      <c r="D160" s="83" t="s">
        <v>5251</v>
      </c>
    </row>
    <row r="161" spans="1:4">
      <c r="A161" s="83" t="s">
        <v>5249</v>
      </c>
      <c r="B161" s="83" t="s">
        <v>5015</v>
      </c>
      <c r="C161" s="83" t="s">
        <v>5253</v>
      </c>
      <c r="D161" s="83" t="s">
        <v>5251</v>
      </c>
    </row>
    <row r="162" spans="1:4">
      <c r="A162" s="83" t="s">
        <v>5249</v>
      </c>
      <c r="B162" s="83" t="s">
        <v>5010</v>
      </c>
      <c r="C162" s="83" t="s">
        <v>5254</v>
      </c>
      <c r="D162" s="83" t="s">
        <v>5251</v>
      </c>
    </row>
    <row r="163" spans="1:4">
      <c r="A163" s="83" t="s">
        <v>5255</v>
      </c>
      <c r="B163" s="83" t="s">
        <v>5017</v>
      </c>
      <c r="C163" s="83" t="s">
        <v>5256</v>
      </c>
      <c r="D163" s="83" t="s">
        <v>5257</v>
      </c>
    </row>
    <row r="164" spans="1:4">
      <c r="A164" s="83" t="s">
        <v>5255</v>
      </c>
      <c r="B164" s="83" t="s">
        <v>5012</v>
      </c>
      <c r="C164" s="83" t="s">
        <v>5258</v>
      </c>
      <c r="D164" s="83" t="s">
        <v>5257</v>
      </c>
    </row>
    <row r="165" spans="1:4">
      <c r="A165" s="83" t="s">
        <v>5255</v>
      </c>
      <c r="B165" s="83" t="s">
        <v>5015</v>
      </c>
      <c r="C165" s="83" t="s">
        <v>5259</v>
      </c>
      <c r="D165" s="83" t="s">
        <v>5257</v>
      </c>
    </row>
    <row r="166" spans="1:4">
      <c r="A166" s="83" t="s">
        <v>5255</v>
      </c>
      <c r="B166" s="83" t="s">
        <v>5010</v>
      </c>
      <c r="C166" s="83" t="s">
        <v>5260</v>
      </c>
      <c r="D166" s="83" t="s">
        <v>5257</v>
      </c>
    </row>
    <row r="167" spans="1:4">
      <c r="A167" s="83" t="s">
        <v>5261</v>
      </c>
      <c r="B167" s="83" t="s">
        <v>5017</v>
      </c>
      <c r="C167" s="83" t="s">
        <v>5262</v>
      </c>
      <c r="D167" s="83" t="s">
        <v>5263</v>
      </c>
    </row>
    <row r="168" spans="1:4">
      <c r="A168" s="83" t="s">
        <v>5261</v>
      </c>
      <c r="B168" s="83" t="s">
        <v>5012</v>
      </c>
      <c r="C168" s="83" t="s">
        <v>5264</v>
      </c>
      <c r="D168" s="83" t="s">
        <v>5263</v>
      </c>
    </row>
    <row r="169" spans="1:4">
      <c r="A169" s="83" t="s">
        <v>5261</v>
      </c>
      <c r="B169" s="83" t="s">
        <v>5015</v>
      </c>
      <c r="C169" s="83" t="s">
        <v>5265</v>
      </c>
      <c r="D169" s="83" t="s">
        <v>5263</v>
      </c>
    </row>
    <row r="170" spans="1:4">
      <c r="A170" s="83" t="s">
        <v>5261</v>
      </c>
      <c r="B170" s="83" t="s">
        <v>5010</v>
      </c>
      <c r="C170" s="83" t="s">
        <v>5266</v>
      </c>
      <c r="D170" s="83" t="s">
        <v>5263</v>
      </c>
    </row>
    <row r="171" spans="1:4">
      <c r="A171" s="83" t="s">
        <v>5267</v>
      </c>
      <c r="B171" s="83" t="s">
        <v>5017</v>
      </c>
      <c r="C171" s="83" t="s">
        <v>5268</v>
      </c>
      <c r="D171" s="83" t="s">
        <v>5269</v>
      </c>
    </row>
    <row r="172" spans="1:4">
      <c r="A172" s="83" t="s">
        <v>5267</v>
      </c>
      <c r="B172" s="83" t="s">
        <v>5012</v>
      </c>
      <c r="C172" s="83" t="s">
        <v>5270</v>
      </c>
      <c r="D172" s="83" t="s">
        <v>5269</v>
      </c>
    </row>
    <row r="173" spans="1:4">
      <c r="A173" s="83" t="s">
        <v>5267</v>
      </c>
      <c r="B173" s="83" t="s">
        <v>5015</v>
      </c>
      <c r="C173" s="83" t="s">
        <v>5271</v>
      </c>
      <c r="D173" s="83" t="s">
        <v>5269</v>
      </c>
    </row>
    <row r="174" spans="1:4">
      <c r="A174" s="83" t="s">
        <v>5267</v>
      </c>
      <c r="B174" s="83" t="s">
        <v>5010</v>
      </c>
      <c r="C174" s="83" t="s">
        <v>5272</v>
      </c>
      <c r="D174" s="83" t="s">
        <v>5269</v>
      </c>
    </row>
    <row r="175" spans="1:4">
      <c r="A175" s="83" t="s">
        <v>5273</v>
      </c>
      <c r="B175" s="83" t="s">
        <v>5017</v>
      </c>
      <c r="C175" s="83" t="s">
        <v>5274</v>
      </c>
      <c r="D175" s="83" t="s">
        <v>5275</v>
      </c>
    </row>
    <row r="176" spans="1:4">
      <c r="A176" s="83" t="s">
        <v>5273</v>
      </c>
      <c r="B176" s="83" t="s">
        <v>5012</v>
      </c>
      <c r="C176" s="83" t="s">
        <v>5276</v>
      </c>
      <c r="D176" s="83" t="s">
        <v>5275</v>
      </c>
    </row>
    <row r="177" spans="1:4">
      <c r="A177" s="83" t="s">
        <v>5273</v>
      </c>
      <c r="B177" s="83" t="s">
        <v>5015</v>
      </c>
      <c r="C177" s="83" t="s">
        <v>5277</v>
      </c>
      <c r="D177" s="83" t="s">
        <v>5275</v>
      </c>
    </row>
    <row r="178" spans="1:4">
      <c r="A178" s="83" t="s">
        <v>5273</v>
      </c>
      <c r="B178" s="83" t="s">
        <v>5010</v>
      </c>
      <c r="C178" s="83" t="s">
        <v>5278</v>
      </c>
      <c r="D178" s="83" t="s">
        <v>5275</v>
      </c>
    </row>
    <row r="179" spans="1:4">
      <c r="A179" s="83" t="s">
        <v>5279</v>
      </c>
      <c r="B179" s="83" t="s">
        <v>5017</v>
      </c>
      <c r="C179" s="83" t="s">
        <v>5280</v>
      </c>
      <c r="D179" s="83" t="s">
        <v>5281</v>
      </c>
    </row>
    <row r="180" spans="1:4">
      <c r="A180" s="83" t="s">
        <v>5279</v>
      </c>
      <c r="B180" s="83" t="s">
        <v>5012</v>
      </c>
      <c r="C180" s="83" t="s">
        <v>5282</v>
      </c>
      <c r="D180" s="83" t="s">
        <v>5281</v>
      </c>
    </row>
    <row r="181" spans="1:4">
      <c r="A181" s="83" t="s">
        <v>5279</v>
      </c>
      <c r="B181" s="83" t="s">
        <v>5015</v>
      </c>
      <c r="C181" s="83" t="s">
        <v>5283</v>
      </c>
      <c r="D181" s="83" t="s">
        <v>5281</v>
      </c>
    </row>
    <row r="182" spans="1:4">
      <c r="A182" s="83" t="s">
        <v>5279</v>
      </c>
      <c r="B182" s="83" t="s">
        <v>5010</v>
      </c>
      <c r="C182" s="83" t="s">
        <v>5284</v>
      </c>
      <c r="D182" s="83" t="s">
        <v>5281</v>
      </c>
    </row>
    <row r="183" spans="1:4">
      <c r="A183" s="83" t="s">
        <v>5285</v>
      </c>
      <c r="B183" s="83" t="s">
        <v>5017</v>
      </c>
      <c r="C183" s="83" t="s">
        <v>5286</v>
      </c>
      <c r="D183" s="83" t="s">
        <v>5287</v>
      </c>
    </row>
    <row r="184" spans="1:4">
      <c r="A184" s="83" t="s">
        <v>5285</v>
      </c>
      <c r="B184" s="83" t="s">
        <v>5012</v>
      </c>
      <c r="C184" s="83" t="s">
        <v>5288</v>
      </c>
      <c r="D184" s="83" t="s">
        <v>5287</v>
      </c>
    </row>
    <row r="185" spans="1:4">
      <c r="A185" s="83" t="s">
        <v>5285</v>
      </c>
      <c r="B185" s="83" t="s">
        <v>5015</v>
      </c>
      <c r="C185" s="83" t="s">
        <v>5289</v>
      </c>
      <c r="D185" s="83" t="s">
        <v>5287</v>
      </c>
    </row>
    <row r="186" spans="1:4">
      <c r="A186" s="83" t="s">
        <v>5285</v>
      </c>
      <c r="B186" s="83" t="s">
        <v>5010</v>
      </c>
      <c r="C186" s="83" t="s">
        <v>5290</v>
      </c>
      <c r="D186" s="83" t="s">
        <v>5287</v>
      </c>
    </row>
    <row r="187" spans="1:4">
      <c r="A187" s="83" t="s">
        <v>5291</v>
      </c>
      <c r="B187" s="83" t="s">
        <v>5017</v>
      </c>
      <c r="C187" s="83" t="s">
        <v>5292</v>
      </c>
      <c r="D187" s="83" t="s">
        <v>5293</v>
      </c>
    </row>
    <row r="188" spans="1:4">
      <c r="A188" s="83" t="s">
        <v>5291</v>
      </c>
      <c r="B188" s="83" t="s">
        <v>5012</v>
      </c>
      <c r="C188" s="83" t="s">
        <v>5294</v>
      </c>
      <c r="D188" s="83" t="s">
        <v>5293</v>
      </c>
    </row>
    <row r="189" spans="1:4">
      <c r="A189" s="83" t="s">
        <v>5291</v>
      </c>
      <c r="B189" s="83" t="s">
        <v>5015</v>
      </c>
      <c r="C189" s="83" t="s">
        <v>5295</v>
      </c>
      <c r="D189" s="83" t="s">
        <v>5293</v>
      </c>
    </row>
    <row r="190" spans="1:4">
      <c r="A190" s="83" t="s">
        <v>5291</v>
      </c>
      <c r="B190" s="83" t="s">
        <v>5010</v>
      </c>
      <c r="C190" s="83" t="s">
        <v>5296</v>
      </c>
      <c r="D190" s="83" t="s">
        <v>5293</v>
      </c>
    </row>
    <row r="191" spans="1:4">
      <c r="A191" s="83" t="s">
        <v>5297</v>
      </c>
      <c r="B191" s="83" t="s">
        <v>5017</v>
      </c>
      <c r="C191" s="83" t="s">
        <v>5298</v>
      </c>
      <c r="D191" s="83" t="s">
        <v>5299</v>
      </c>
    </row>
    <row r="192" spans="1:4">
      <c r="A192" s="83" t="s">
        <v>5297</v>
      </c>
      <c r="B192" s="83" t="s">
        <v>5012</v>
      </c>
      <c r="C192" s="83" t="s">
        <v>5300</v>
      </c>
      <c r="D192" s="83" t="s">
        <v>5299</v>
      </c>
    </row>
    <row r="193" spans="1:4">
      <c r="A193" s="83" t="s">
        <v>5297</v>
      </c>
      <c r="B193" s="83" t="s">
        <v>5015</v>
      </c>
      <c r="C193" s="83" t="s">
        <v>5301</v>
      </c>
      <c r="D193" s="83" t="s">
        <v>5299</v>
      </c>
    </row>
    <row r="194" spans="1:4">
      <c r="A194" s="83" t="s">
        <v>5297</v>
      </c>
      <c r="B194" s="83" t="s">
        <v>5010</v>
      </c>
      <c r="C194" s="83" t="s">
        <v>5302</v>
      </c>
      <c r="D194" s="83" t="s">
        <v>5299</v>
      </c>
    </row>
    <row r="195" spans="1:4">
      <c r="A195" s="83" t="s">
        <v>5303</v>
      </c>
      <c r="B195" s="83" t="s">
        <v>5017</v>
      </c>
      <c r="C195" s="83" t="s">
        <v>5304</v>
      </c>
      <c r="D195" s="83" t="s">
        <v>5305</v>
      </c>
    </row>
    <row r="196" spans="1:4">
      <c r="A196" s="83" t="s">
        <v>5303</v>
      </c>
      <c r="B196" s="83" t="s">
        <v>5012</v>
      </c>
      <c r="C196" s="83" t="s">
        <v>5306</v>
      </c>
      <c r="D196" s="83" t="s">
        <v>5305</v>
      </c>
    </row>
    <row r="197" spans="1:4">
      <c r="A197" s="83" t="s">
        <v>5303</v>
      </c>
      <c r="B197" s="83" t="s">
        <v>5015</v>
      </c>
      <c r="C197" s="83" t="s">
        <v>5307</v>
      </c>
      <c r="D197" s="83" t="s">
        <v>5305</v>
      </c>
    </row>
    <row r="198" spans="1:4">
      <c r="A198" s="83" t="s">
        <v>5303</v>
      </c>
      <c r="B198" s="83" t="s">
        <v>5010</v>
      </c>
      <c r="C198" s="83" t="s">
        <v>5308</v>
      </c>
      <c r="D198" s="83" t="s">
        <v>5305</v>
      </c>
    </row>
    <row r="199" spans="1:4">
      <c r="A199" s="83" t="s">
        <v>5309</v>
      </c>
      <c r="B199" s="83" t="s">
        <v>5017</v>
      </c>
      <c r="C199" s="83" t="s">
        <v>5310</v>
      </c>
      <c r="D199" s="83" t="s">
        <v>5311</v>
      </c>
    </row>
    <row r="200" spans="1:4">
      <c r="A200" s="83" t="s">
        <v>5309</v>
      </c>
      <c r="B200" s="83" t="s">
        <v>5012</v>
      </c>
      <c r="C200" s="83" t="s">
        <v>5312</v>
      </c>
      <c r="D200" s="83" t="s">
        <v>5311</v>
      </c>
    </row>
    <row r="201" spans="1:4">
      <c r="A201" s="83" t="s">
        <v>5309</v>
      </c>
      <c r="B201" s="83" t="s">
        <v>5015</v>
      </c>
      <c r="C201" s="83" t="s">
        <v>5313</v>
      </c>
      <c r="D201" s="83" t="s">
        <v>5311</v>
      </c>
    </row>
    <row r="202" spans="1:4">
      <c r="A202" s="83" t="s">
        <v>5309</v>
      </c>
      <c r="B202" s="83" t="s">
        <v>5010</v>
      </c>
      <c r="C202" s="83" t="s">
        <v>5314</v>
      </c>
      <c r="D202" s="83" t="s">
        <v>5311</v>
      </c>
    </row>
    <row r="203" spans="1:4">
      <c r="A203" s="83" t="s">
        <v>5315</v>
      </c>
      <c r="B203" s="83" t="s">
        <v>5017</v>
      </c>
      <c r="C203" s="83" t="s">
        <v>5316</v>
      </c>
      <c r="D203" s="83" t="s">
        <v>5317</v>
      </c>
    </row>
    <row r="204" spans="1:4">
      <c r="A204" s="83" t="s">
        <v>5315</v>
      </c>
      <c r="B204" s="83" t="s">
        <v>5012</v>
      </c>
      <c r="C204" s="83" t="s">
        <v>5318</v>
      </c>
      <c r="D204" s="83" t="s">
        <v>5317</v>
      </c>
    </row>
    <row r="205" spans="1:4">
      <c r="A205" s="83" t="s">
        <v>5315</v>
      </c>
      <c r="B205" s="83" t="s">
        <v>5015</v>
      </c>
      <c r="C205" s="83" t="s">
        <v>5319</v>
      </c>
      <c r="D205" s="83" t="s">
        <v>5317</v>
      </c>
    </row>
    <row r="206" spans="1:4">
      <c r="A206" s="83" t="s">
        <v>5315</v>
      </c>
      <c r="B206" s="83" t="s">
        <v>5010</v>
      </c>
      <c r="C206" s="83" t="s">
        <v>5320</v>
      </c>
      <c r="D206" s="83" t="s">
        <v>5317</v>
      </c>
    </row>
    <row r="207" spans="1:4">
      <c r="A207" s="83" t="s">
        <v>5321</v>
      </c>
      <c r="B207" s="83" t="s">
        <v>5017</v>
      </c>
      <c r="C207" s="83" t="s">
        <v>5322</v>
      </c>
      <c r="D207" s="83" t="s">
        <v>5323</v>
      </c>
    </row>
    <row r="208" spans="1:4">
      <c r="A208" s="83" t="s">
        <v>5321</v>
      </c>
      <c r="B208" s="83" t="s">
        <v>5012</v>
      </c>
      <c r="C208" s="83" t="s">
        <v>5324</v>
      </c>
      <c r="D208" s="83" t="s">
        <v>5323</v>
      </c>
    </row>
    <row r="209" spans="1:4">
      <c r="A209" s="83" t="s">
        <v>5321</v>
      </c>
      <c r="B209" s="83" t="s">
        <v>5015</v>
      </c>
      <c r="C209" s="83" t="s">
        <v>5325</v>
      </c>
      <c r="D209" s="83" t="s">
        <v>5323</v>
      </c>
    </row>
    <row r="210" spans="1:4">
      <c r="A210" s="83" t="s">
        <v>5321</v>
      </c>
      <c r="B210" s="83" t="s">
        <v>5010</v>
      </c>
      <c r="C210" s="83" t="s">
        <v>5326</v>
      </c>
      <c r="D210" s="83" t="s">
        <v>5323</v>
      </c>
    </row>
    <row r="211" spans="1:4">
      <c r="A211" s="83" t="s">
        <v>5327</v>
      </c>
      <c r="B211" s="83" t="s">
        <v>5017</v>
      </c>
      <c r="C211" s="83" t="s">
        <v>5328</v>
      </c>
      <c r="D211" s="83" t="s">
        <v>5329</v>
      </c>
    </row>
    <row r="212" spans="1:4">
      <c r="A212" s="83" t="s">
        <v>5327</v>
      </c>
      <c r="B212" s="83" t="s">
        <v>5012</v>
      </c>
      <c r="C212" s="83" t="s">
        <v>5330</v>
      </c>
      <c r="D212" s="83" t="s">
        <v>5329</v>
      </c>
    </row>
    <row r="213" spans="1:4">
      <c r="A213" s="83" t="s">
        <v>5327</v>
      </c>
      <c r="B213" s="83" t="s">
        <v>5015</v>
      </c>
      <c r="C213" s="83" t="s">
        <v>5331</v>
      </c>
      <c r="D213" s="83" t="s">
        <v>5329</v>
      </c>
    </row>
    <row r="214" spans="1:4">
      <c r="A214" s="83" t="s">
        <v>5327</v>
      </c>
      <c r="B214" s="83" t="s">
        <v>5010</v>
      </c>
      <c r="C214" s="83" t="s">
        <v>5332</v>
      </c>
      <c r="D214" s="83" t="s">
        <v>5329</v>
      </c>
    </row>
    <row r="215" spans="1:4">
      <c r="A215" s="83" t="s">
        <v>5333</v>
      </c>
      <c r="B215" s="83" t="s">
        <v>5017</v>
      </c>
      <c r="C215" s="83" t="s">
        <v>5334</v>
      </c>
      <c r="D215" s="83" t="s">
        <v>5335</v>
      </c>
    </row>
    <row r="216" spans="1:4">
      <c r="A216" s="83" t="s">
        <v>5333</v>
      </c>
      <c r="B216" s="83" t="s">
        <v>5012</v>
      </c>
      <c r="C216" s="83" t="s">
        <v>5336</v>
      </c>
      <c r="D216" s="83" t="s">
        <v>5335</v>
      </c>
    </row>
    <row r="217" spans="1:4">
      <c r="A217" s="83" t="s">
        <v>5333</v>
      </c>
      <c r="B217" s="83" t="s">
        <v>5015</v>
      </c>
      <c r="C217" s="83" t="s">
        <v>5337</v>
      </c>
      <c r="D217" s="83" t="s">
        <v>5335</v>
      </c>
    </row>
    <row r="218" spans="1:4">
      <c r="A218" s="83" t="s">
        <v>5333</v>
      </c>
      <c r="B218" s="83" t="s">
        <v>5010</v>
      </c>
      <c r="C218" s="83" t="s">
        <v>5338</v>
      </c>
      <c r="D218" s="83" t="s">
        <v>5335</v>
      </c>
    </row>
    <row r="219" spans="1:4">
      <c r="A219" s="83" t="s">
        <v>5339</v>
      </c>
      <c r="B219" s="83" t="s">
        <v>5017</v>
      </c>
      <c r="C219" s="83" t="s">
        <v>5340</v>
      </c>
      <c r="D219" s="83" t="s">
        <v>5341</v>
      </c>
    </row>
    <row r="220" spans="1:4">
      <c r="A220" s="83" t="s">
        <v>5339</v>
      </c>
      <c r="B220" s="83" t="s">
        <v>5012</v>
      </c>
      <c r="C220" s="83" t="s">
        <v>5342</v>
      </c>
      <c r="D220" s="83" t="s">
        <v>5341</v>
      </c>
    </row>
    <row r="221" spans="1:4">
      <c r="A221" s="83" t="s">
        <v>5339</v>
      </c>
      <c r="B221" s="83" t="s">
        <v>5015</v>
      </c>
      <c r="C221" s="83" t="s">
        <v>5343</v>
      </c>
      <c r="D221" s="83" t="s">
        <v>5341</v>
      </c>
    </row>
    <row r="222" spans="1:4">
      <c r="A222" s="83" t="s">
        <v>5339</v>
      </c>
      <c r="B222" s="83" t="s">
        <v>5010</v>
      </c>
      <c r="C222" s="83" t="s">
        <v>5344</v>
      </c>
      <c r="D222" s="83" t="s">
        <v>5341</v>
      </c>
    </row>
    <row r="223" spans="1:4">
      <c r="A223" s="83" t="s">
        <v>5345</v>
      </c>
      <c r="B223" s="83" t="s">
        <v>5017</v>
      </c>
      <c r="C223" s="83" t="s">
        <v>5346</v>
      </c>
      <c r="D223" s="83" t="s">
        <v>5347</v>
      </c>
    </row>
    <row r="224" spans="1:4">
      <c r="A224" s="83" t="s">
        <v>5345</v>
      </c>
      <c r="B224" s="83" t="s">
        <v>5012</v>
      </c>
      <c r="C224" s="83" t="s">
        <v>5348</v>
      </c>
      <c r="D224" s="83" t="s">
        <v>5347</v>
      </c>
    </row>
    <row r="225" spans="1:4">
      <c r="A225" s="83" t="s">
        <v>5345</v>
      </c>
      <c r="B225" s="83" t="s">
        <v>5015</v>
      </c>
      <c r="C225" s="83" t="s">
        <v>5349</v>
      </c>
      <c r="D225" s="83" t="s">
        <v>5347</v>
      </c>
    </row>
    <row r="226" spans="1:4">
      <c r="A226" s="83" t="s">
        <v>5345</v>
      </c>
      <c r="B226" s="83" t="s">
        <v>5010</v>
      </c>
      <c r="C226" s="83" t="s">
        <v>5350</v>
      </c>
      <c r="D226" s="83" t="s">
        <v>5347</v>
      </c>
    </row>
    <row r="227" spans="1:4">
      <c r="A227" s="83" t="s">
        <v>5351</v>
      </c>
      <c r="B227" s="83" t="s">
        <v>5017</v>
      </c>
      <c r="C227" s="83" t="s">
        <v>5352</v>
      </c>
      <c r="D227" s="83" t="s">
        <v>5353</v>
      </c>
    </row>
    <row r="228" spans="1:4">
      <c r="A228" s="83" t="s">
        <v>5351</v>
      </c>
      <c r="B228" s="83" t="s">
        <v>5012</v>
      </c>
      <c r="C228" s="83" t="s">
        <v>5354</v>
      </c>
      <c r="D228" s="83" t="s">
        <v>5353</v>
      </c>
    </row>
    <row r="229" spans="1:4">
      <c r="A229" s="83" t="s">
        <v>5351</v>
      </c>
      <c r="B229" s="83" t="s">
        <v>5015</v>
      </c>
      <c r="C229" s="83" t="s">
        <v>5355</v>
      </c>
      <c r="D229" s="83" t="s">
        <v>5353</v>
      </c>
    </row>
    <row r="230" spans="1:4">
      <c r="A230" s="83" t="s">
        <v>5351</v>
      </c>
      <c r="B230" s="83" t="s">
        <v>5010</v>
      </c>
      <c r="C230" s="83" t="s">
        <v>5132</v>
      </c>
      <c r="D230" s="83" t="s">
        <v>5353</v>
      </c>
    </row>
    <row r="231" spans="1:4">
      <c r="A231" s="83" t="s">
        <v>5356</v>
      </c>
      <c r="B231" s="83" t="s">
        <v>5017</v>
      </c>
      <c r="C231" s="83" t="s">
        <v>5357</v>
      </c>
      <c r="D231" s="83" t="s">
        <v>5358</v>
      </c>
    </row>
    <row r="232" spans="1:4">
      <c r="A232" s="83" t="s">
        <v>5356</v>
      </c>
      <c r="B232" s="83" t="s">
        <v>5012</v>
      </c>
      <c r="C232" s="83" t="s">
        <v>5359</v>
      </c>
      <c r="D232" s="83" t="s">
        <v>5358</v>
      </c>
    </row>
    <row r="233" spans="1:4">
      <c r="A233" s="83" t="s">
        <v>5356</v>
      </c>
      <c r="B233" s="83" t="s">
        <v>5015</v>
      </c>
      <c r="C233" s="83" t="s">
        <v>5360</v>
      </c>
      <c r="D233" s="83" t="s">
        <v>5358</v>
      </c>
    </row>
    <row r="234" spans="1:4">
      <c r="A234" s="83" t="s">
        <v>5356</v>
      </c>
      <c r="B234" s="83" t="s">
        <v>5010</v>
      </c>
      <c r="C234" s="83" t="s">
        <v>5361</v>
      </c>
      <c r="D234" s="83" t="s">
        <v>5358</v>
      </c>
    </row>
    <row r="235" spans="1:4">
      <c r="A235" s="83" t="s">
        <v>5362</v>
      </c>
      <c r="B235" s="83" t="s">
        <v>5017</v>
      </c>
      <c r="C235" s="83" t="s">
        <v>5363</v>
      </c>
      <c r="D235" s="83" t="s">
        <v>5364</v>
      </c>
    </row>
    <row r="236" spans="1:4">
      <c r="A236" s="83" t="s">
        <v>5362</v>
      </c>
      <c r="B236" s="83" t="s">
        <v>5012</v>
      </c>
      <c r="C236" s="83" t="s">
        <v>5365</v>
      </c>
      <c r="D236" s="83" t="s">
        <v>5364</v>
      </c>
    </row>
    <row r="237" spans="1:4">
      <c r="A237" s="83" t="s">
        <v>5362</v>
      </c>
      <c r="B237" s="83" t="s">
        <v>5015</v>
      </c>
      <c r="C237" s="83" t="s">
        <v>5366</v>
      </c>
      <c r="D237" s="83" t="s">
        <v>5364</v>
      </c>
    </row>
    <row r="238" spans="1:4">
      <c r="A238" s="83" t="s">
        <v>5362</v>
      </c>
      <c r="B238" s="83" t="s">
        <v>5010</v>
      </c>
      <c r="C238" s="83" t="s">
        <v>5367</v>
      </c>
      <c r="D238" s="83" t="s">
        <v>5364</v>
      </c>
    </row>
    <row r="239" spans="1:4">
      <c r="A239" s="83" t="s">
        <v>5368</v>
      </c>
      <c r="B239" s="83" t="s">
        <v>5017</v>
      </c>
      <c r="C239" s="83" t="s">
        <v>5369</v>
      </c>
      <c r="D239" s="83" t="s">
        <v>5370</v>
      </c>
    </row>
    <row r="240" spans="1:4">
      <c r="A240" s="83" t="s">
        <v>5368</v>
      </c>
      <c r="B240" s="83" t="s">
        <v>5012</v>
      </c>
      <c r="C240" s="83" t="s">
        <v>5371</v>
      </c>
      <c r="D240" s="83" t="s">
        <v>5370</v>
      </c>
    </row>
    <row r="241" spans="1:4">
      <c r="A241" s="83" t="s">
        <v>5368</v>
      </c>
      <c r="B241" s="83" t="s">
        <v>5015</v>
      </c>
      <c r="C241" s="83" t="s">
        <v>5372</v>
      </c>
      <c r="D241" s="83" t="s">
        <v>5370</v>
      </c>
    </row>
    <row r="242" spans="1:4">
      <c r="A242" s="83" t="s">
        <v>5368</v>
      </c>
      <c r="B242" s="83" t="s">
        <v>5010</v>
      </c>
      <c r="C242" s="83" t="s">
        <v>5373</v>
      </c>
      <c r="D242" s="83" t="s">
        <v>5370</v>
      </c>
    </row>
    <row r="243" spans="1:4">
      <c r="A243" s="83" t="s">
        <v>5374</v>
      </c>
      <c r="B243" s="83" t="s">
        <v>5017</v>
      </c>
      <c r="C243" s="83" t="s">
        <v>5375</v>
      </c>
      <c r="D243" s="83" t="s">
        <v>5376</v>
      </c>
    </row>
    <row r="244" spans="1:4">
      <c r="A244" s="83" t="s">
        <v>5374</v>
      </c>
      <c r="B244" s="83" t="s">
        <v>5012</v>
      </c>
      <c r="C244" s="83" t="s">
        <v>5377</v>
      </c>
      <c r="D244" s="83" t="s">
        <v>5376</v>
      </c>
    </row>
    <row r="245" spans="1:4">
      <c r="A245" s="83" t="s">
        <v>5374</v>
      </c>
      <c r="B245" s="83" t="s">
        <v>5015</v>
      </c>
      <c r="C245" s="83" t="s">
        <v>5378</v>
      </c>
      <c r="D245" s="83" t="s">
        <v>5376</v>
      </c>
    </row>
    <row r="246" spans="1:4">
      <c r="A246" s="83" t="s">
        <v>5374</v>
      </c>
      <c r="B246" s="83" t="s">
        <v>5010</v>
      </c>
      <c r="C246" s="83" t="s">
        <v>5379</v>
      </c>
      <c r="D246" s="83" t="s">
        <v>5376</v>
      </c>
    </row>
    <row r="247" spans="1:4">
      <c r="A247" s="83" t="s">
        <v>5380</v>
      </c>
      <c r="B247" s="83" t="s">
        <v>5017</v>
      </c>
      <c r="C247" s="83" t="s">
        <v>5381</v>
      </c>
      <c r="D247" s="83" t="s">
        <v>5382</v>
      </c>
    </row>
    <row r="248" spans="1:4">
      <c r="A248" s="83" t="s">
        <v>5380</v>
      </c>
      <c r="B248" s="83" t="s">
        <v>5012</v>
      </c>
      <c r="C248" s="83" t="s">
        <v>5383</v>
      </c>
      <c r="D248" s="83" t="s">
        <v>5382</v>
      </c>
    </row>
    <row r="249" spans="1:4">
      <c r="A249" s="83" t="s">
        <v>5380</v>
      </c>
      <c r="B249" s="83" t="s">
        <v>5015</v>
      </c>
      <c r="C249" s="83" t="s">
        <v>5384</v>
      </c>
      <c r="D249" s="83" t="s">
        <v>5382</v>
      </c>
    </row>
    <row r="250" spans="1:4">
      <c r="A250" s="83" t="s">
        <v>5380</v>
      </c>
      <c r="B250" s="83" t="s">
        <v>5010</v>
      </c>
      <c r="C250" s="83" t="s">
        <v>5385</v>
      </c>
      <c r="D250" s="83" t="s">
        <v>5382</v>
      </c>
    </row>
    <row r="251" spans="1:4">
      <c r="A251" s="83" t="s">
        <v>5386</v>
      </c>
      <c r="B251" s="83" t="s">
        <v>5017</v>
      </c>
      <c r="C251" s="83" t="s">
        <v>5387</v>
      </c>
      <c r="D251" s="83" t="s">
        <v>5388</v>
      </c>
    </row>
    <row r="252" spans="1:4">
      <c r="A252" s="83" t="s">
        <v>5386</v>
      </c>
      <c r="B252" s="83" t="s">
        <v>5012</v>
      </c>
      <c r="C252" s="83" t="s">
        <v>5389</v>
      </c>
      <c r="D252" s="83" t="s">
        <v>5388</v>
      </c>
    </row>
    <row r="253" spans="1:4">
      <c r="A253" s="83" t="s">
        <v>5386</v>
      </c>
      <c r="B253" s="83" t="s">
        <v>5015</v>
      </c>
      <c r="C253" s="83" t="s">
        <v>5390</v>
      </c>
      <c r="D253" s="83" t="s">
        <v>5388</v>
      </c>
    </row>
    <row r="254" spans="1:4">
      <c r="A254" s="83" t="s">
        <v>5386</v>
      </c>
      <c r="B254" s="83" t="s">
        <v>5010</v>
      </c>
      <c r="C254" s="83" t="s">
        <v>5322</v>
      </c>
      <c r="D254" s="83" t="s">
        <v>5388</v>
      </c>
    </row>
    <row r="255" spans="1:4">
      <c r="A255" s="83" t="s">
        <v>5391</v>
      </c>
      <c r="B255" s="83" t="s">
        <v>5017</v>
      </c>
      <c r="C255" s="83" t="s">
        <v>5392</v>
      </c>
      <c r="D255" s="83" t="s">
        <v>5393</v>
      </c>
    </row>
    <row r="256" spans="1:4">
      <c r="A256" s="83" t="s">
        <v>5391</v>
      </c>
      <c r="B256" s="83" t="s">
        <v>5012</v>
      </c>
      <c r="C256" s="83" t="s">
        <v>5394</v>
      </c>
      <c r="D256" s="83" t="s">
        <v>5393</v>
      </c>
    </row>
    <row r="257" spans="1:4">
      <c r="A257" s="83" t="s">
        <v>5391</v>
      </c>
      <c r="B257" s="83" t="s">
        <v>5015</v>
      </c>
      <c r="C257" s="83" t="s">
        <v>5395</v>
      </c>
      <c r="D257" s="83" t="s">
        <v>5393</v>
      </c>
    </row>
    <row r="258" spans="1:4">
      <c r="A258" s="83" t="s">
        <v>5391</v>
      </c>
      <c r="B258" s="83" t="s">
        <v>5010</v>
      </c>
      <c r="C258" s="83" t="s">
        <v>5396</v>
      </c>
      <c r="D258" s="83" t="s">
        <v>5393</v>
      </c>
    </row>
    <row r="259" spans="1:4">
      <c r="A259" s="83" t="s">
        <v>5397</v>
      </c>
      <c r="B259" s="83" t="s">
        <v>5017</v>
      </c>
      <c r="C259" s="83" t="s">
        <v>5398</v>
      </c>
      <c r="D259" s="83" t="s">
        <v>5399</v>
      </c>
    </row>
    <row r="260" spans="1:4">
      <c r="A260" s="83" t="s">
        <v>5397</v>
      </c>
      <c r="B260" s="83" t="s">
        <v>5012</v>
      </c>
      <c r="C260" s="83" t="s">
        <v>5400</v>
      </c>
      <c r="D260" s="83" t="s">
        <v>5399</v>
      </c>
    </row>
    <row r="261" spans="1:4">
      <c r="A261" s="83" t="s">
        <v>5397</v>
      </c>
      <c r="B261" s="83" t="s">
        <v>5015</v>
      </c>
      <c r="C261" s="83" t="s">
        <v>5401</v>
      </c>
      <c r="D261" s="83" t="s">
        <v>5399</v>
      </c>
    </row>
    <row r="262" spans="1:4">
      <c r="A262" s="83" t="s">
        <v>5397</v>
      </c>
      <c r="B262" s="83" t="s">
        <v>5010</v>
      </c>
      <c r="C262" s="83" t="s">
        <v>5402</v>
      </c>
      <c r="D262" s="83" t="s">
        <v>5399</v>
      </c>
    </row>
    <row r="263" spans="1:4">
      <c r="A263" s="83" t="s">
        <v>5403</v>
      </c>
      <c r="B263" s="83" t="s">
        <v>5017</v>
      </c>
      <c r="C263" s="83" t="s">
        <v>5404</v>
      </c>
      <c r="D263" s="83" t="s">
        <v>5405</v>
      </c>
    </row>
    <row r="264" spans="1:4">
      <c r="A264" s="83" t="s">
        <v>5403</v>
      </c>
      <c r="B264" s="83" t="s">
        <v>5012</v>
      </c>
      <c r="C264" s="83" t="s">
        <v>5406</v>
      </c>
      <c r="D264" s="83" t="s">
        <v>5405</v>
      </c>
    </row>
    <row r="265" spans="1:4">
      <c r="A265" s="83" t="s">
        <v>5403</v>
      </c>
      <c r="B265" s="83" t="s">
        <v>5015</v>
      </c>
      <c r="C265" s="83" t="s">
        <v>5407</v>
      </c>
      <c r="D265" s="83" t="s">
        <v>5405</v>
      </c>
    </row>
    <row r="266" spans="1:4">
      <c r="A266" s="83" t="s">
        <v>5403</v>
      </c>
      <c r="B266" s="83" t="s">
        <v>5010</v>
      </c>
      <c r="C266" s="83" t="s">
        <v>5408</v>
      </c>
      <c r="D266" s="83" t="s">
        <v>5405</v>
      </c>
    </row>
    <row r="267" spans="1:4">
      <c r="A267" s="83" t="s">
        <v>5409</v>
      </c>
      <c r="B267" s="83" t="s">
        <v>5017</v>
      </c>
      <c r="C267" s="83" t="s">
        <v>5410</v>
      </c>
      <c r="D267" s="83" t="s">
        <v>5411</v>
      </c>
    </row>
    <row r="268" spans="1:4">
      <c r="A268" s="83" t="s">
        <v>5409</v>
      </c>
      <c r="B268" s="83" t="s">
        <v>5012</v>
      </c>
      <c r="C268" s="83" t="s">
        <v>5412</v>
      </c>
      <c r="D268" s="83" t="s">
        <v>5411</v>
      </c>
    </row>
    <row r="269" spans="1:4">
      <c r="A269" s="83" t="s">
        <v>5409</v>
      </c>
      <c r="B269" s="83" t="s">
        <v>5015</v>
      </c>
      <c r="C269" s="83" t="s">
        <v>5413</v>
      </c>
      <c r="D269" s="83" t="s">
        <v>5411</v>
      </c>
    </row>
    <row r="270" spans="1:4">
      <c r="A270" s="83" t="s">
        <v>5409</v>
      </c>
      <c r="B270" s="83" t="s">
        <v>5010</v>
      </c>
      <c r="C270" s="83" t="s">
        <v>5414</v>
      </c>
      <c r="D270" s="83" t="s">
        <v>5411</v>
      </c>
    </row>
    <row r="271" spans="1:4">
      <c r="A271" s="83" t="s">
        <v>5415</v>
      </c>
      <c r="B271" s="83" t="s">
        <v>5017</v>
      </c>
      <c r="C271" s="83" t="s">
        <v>5416</v>
      </c>
      <c r="D271" s="83" t="s">
        <v>5417</v>
      </c>
    </row>
    <row r="272" spans="1:4">
      <c r="A272" s="83" t="s">
        <v>5415</v>
      </c>
      <c r="B272" s="83" t="s">
        <v>5012</v>
      </c>
      <c r="C272" s="83" t="s">
        <v>5418</v>
      </c>
      <c r="D272" s="83" t="s">
        <v>5417</v>
      </c>
    </row>
    <row r="273" spans="1:4">
      <c r="A273" s="83" t="s">
        <v>5415</v>
      </c>
      <c r="B273" s="83" t="s">
        <v>5015</v>
      </c>
      <c r="C273" s="83" t="s">
        <v>5419</v>
      </c>
      <c r="D273" s="83" t="s">
        <v>5417</v>
      </c>
    </row>
    <row r="274" spans="1:4">
      <c r="A274" s="83" t="s">
        <v>5415</v>
      </c>
      <c r="B274" s="83" t="s">
        <v>5010</v>
      </c>
      <c r="C274" s="83" t="s">
        <v>5420</v>
      </c>
      <c r="D274" s="83" t="s">
        <v>5417</v>
      </c>
    </row>
    <row r="275" spans="1:4">
      <c r="A275" s="83" t="s">
        <v>5421</v>
      </c>
      <c r="B275" s="83" t="s">
        <v>5017</v>
      </c>
      <c r="C275" s="83" t="s">
        <v>5422</v>
      </c>
      <c r="D275" s="83" t="s">
        <v>5423</v>
      </c>
    </row>
    <row r="276" spans="1:4">
      <c r="A276" s="83" t="s">
        <v>5421</v>
      </c>
      <c r="B276" s="83" t="s">
        <v>5012</v>
      </c>
      <c r="C276" s="83" t="s">
        <v>5424</v>
      </c>
      <c r="D276" s="83" t="s">
        <v>5423</v>
      </c>
    </row>
    <row r="277" spans="1:4">
      <c r="A277" s="83" t="s">
        <v>5421</v>
      </c>
      <c r="B277" s="83" t="s">
        <v>5015</v>
      </c>
      <c r="C277" s="83" t="s">
        <v>5425</v>
      </c>
      <c r="D277" s="83" t="s">
        <v>5423</v>
      </c>
    </row>
    <row r="278" spans="1:4">
      <c r="A278" s="83" t="s">
        <v>5421</v>
      </c>
      <c r="B278" s="83" t="s">
        <v>5010</v>
      </c>
      <c r="C278" s="83" t="s">
        <v>5426</v>
      </c>
      <c r="D278" s="83" t="s">
        <v>5423</v>
      </c>
    </row>
    <row r="279" spans="1:4">
      <c r="A279" s="83" t="s">
        <v>5427</v>
      </c>
      <c r="B279" s="83" t="s">
        <v>5017</v>
      </c>
      <c r="C279" s="83" t="s">
        <v>5428</v>
      </c>
      <c r="D279" s="83" t="s">
        <v>5429</v>
      </c>
    </row>
    <row r="280" spans="1:4">
      <c r="A280" s="83" t="s">
        <v>5427</v>
      </c>
      <c r="B280" s="83" t="s">
        <v>5012</v>
      </c>
      <c r="C280" s="83" t="s">
        <v>5430</v>
      </c>
      <c r="D280" s="83" t="s">
        <v>5429</v>
      </c>
    </row>
    <row r="281" spans="1:4">
      <c r="A281" s="83" t="s">
        <v>5427</v>
      </c>
      <c r="B281" s="83" t="s">
        <v>5015</v>
      </c>
      <c r="C281" s="83" t="s">
        <v>5431</v>
      </c>
      <c r="D281" s="83" t="s">
        <v>5429</v>
      </c>
    </row>
    <row r="282" spans="1:4">
      <c r="A282" s="83" t="s">
        <v>5427</v>
      </c>
      <c r="B282" s="83" t="s">
        <v>5010</v>
      </c>
      <c r="C282" s="83" t="s">
        <v>5432</v>
      </c>
      <c r="D282" s="83" t="s">
        <v>5429</v>
      </c>
    </row>
    <row r="283" spans="1:4">
      <c r="A283" s="83" t="s">
        <v>5433</v>
      </c>
      <c r="B283" s="83" t="s">
        <v>5017</v>
      </c>
      <c r="C283" s="83" t="s">
        <v>5434</v>
      </c>
      <c r="D283" s="83" t="s">
        <v>5435</v>
      </c>
    </row>
    <row r="284" spans="1:4">
      <c r="A284" s="83" t="s">
        <v>5433</v>
      </c>
      <c r="B284" s="83" t="s">
        <v>5012</v>
      </c>
      <c r="C284" s="83" t="s">
        <v>5436</v>
      </c>
      <c r="D284" s="83" t="s">
        <v>5435</v>
      </c>
    </row>
    <row r="285" spans="1:4">
      <c r="A285" s="83" t="s">
        <v>5433</v>
      </c>
      <c r="B285" s="83" t="s">
        <v>5015</v>
      </c>
      <c r="C285" s="83" t="s">
        <v>5437</v>
      </c>
      <c r="D285" s="83" t="s">
        <v>5435</v>
      </c>
    </row>
    <row r="286" spans="1:4">
      <c r="A286" s="83" t="s">
        <v>5433</v>
      </c>
      <c r="B286" s="83" t="s">
        <v>5010</v>
      </c>
      <c r="C286" s="83" t="s">
        <v>5438</v>
      </c>
      <c r="D286" s="83" t="s">
        <v>5435</v>
      </c>
    </row>
    <row r="287" spans="1:4">
      <c r="A287" s="83" t="s">
        <v>5439</v>
      </c>
      <c r="B287" s="83" t="s">
        <v>5017</v>
      </c>
      <c r="C287" s="83" t="s">
        <v>5440</v>
      </c>
      <c r="D287" s="83" t="s">
        <v>5441</v>
      </c>
    </row>
    <row r="288" spans="1:4">
      <c r="A288" s="83" t="s">
        <v>5439</v>
      </c>
      <c r="B288" s="83" t="s">
        <v>5012</v>
      </c>
      <c r="C288" s="83" t="s">
        <v>5442</v>
      </c>
      <c r="D288" s="83" t="s">
        <v>5441</v>
      </c>
    </row>
    <row r="289" spans="1:4">
      <c r="A289" s="83" t="s">
        <v>5439</v>
      </c>
      <c r="B289" s="83" t="s">
        <v>5015</v>
      </c>
      <c r="C289" s="83" t="s">
        <v>5443</v>
      </c>
      <c r="D289" s="83" t="s">
        <v>5441</v>
      </c>
    </row>
    <row r="290" spans="1:4">
      <c r="A290" s="83" t="s">
        <v>5439</v>
      </c>
      <c r="B290" s="83" t="s">
        <v>5010</v>
      </c>
      <c r="C290" s="83" t="s">
        <v>5444</v>
      </c>
      <c r="D290" s="83" t="s">
        <v>5441</v>
      </c>
    </row>
    <row r="291" spans="1:4">
      <c r="A291" s="83" t="s">
        <v>5445</v>
      </c>
      <c r="B291" s="83" t="s">
        <v>5017</v>
      </c>
      <c r="C291" s="83" t="s">
        <v>5446</v>
      </c>
      <c r="D291" s="83" t="s">
        <v>5447</v>
      </c>
    </row>
    <row r="292" spans="1:4">
      <c r="A292" s="83" t="s">
        <v>5445</v>
      </c>
      <c r="B292" s="83" t="s">
        <v>5012</v>
      </c>
      <c r="C292" s="83" t="s">
        <v>5448</v>
      </c>
      <c r="D292" s="83" t="s">
        <v>5447</v>
      </c>
    </row>
    <row r="293" spans="1:4">
      <c r="A293" s="83" t="s">
        <v>5445</v>
      </c>
      <c r="B293" s="83" t="s">
        <v>5015</v>
      </c>
      <c r="C293" s="83" t="s">
        <v>5449</v>
      </c>
      <c r="D293" s="83" t="s">
        <v>5447</v>
      </c>
    </row>
    <row r="294" spans="1:4">
      <c r="A294" s="83" t="s">
        <v>5445</v>
      </c>
      <c r="B294" s="83" t="s">
        <v>5010</v>
      </c>
      <c r="C294" s="83" t="s">
        <v>5450</v>
      </c>
      <c r="D294" s="83" t="s">
        <v>5447</v>
      </c>
    </row>
    <row r="295" spans="1:4">
      <c r="A295" s="83" t="s">
        <v>5451</v>
      </c>
      <c r="B295" s="83" t="s">
        <v>5017</v>
      </c>
      <c r="C295" s="83" t="s">
        <v>5452</v>
      </c>
      <c r="D295" s="83" t="s">
        <v>5453</v>
      </c>
    </row>
    <row r="296" spans="1:4">
      <c r="A296" s="83" t="s">
        <v>5451</v>
      </c>
      <c r="B296" s="83" t="s">
        <v>5012</v>
      </c>
      <c r="C296" s="83" t="s">
        <v>5454</v>
      </c>
      <c r="D296" s="83" t="s">
        <v>5453</v>
      </c>
    </row>
    <row r="297" spans="1:4">
      <c r="A297" s="83" t="s">
        <v>5451</v>
      </c>
      <c r="B297" s="83" t="s">
        <v>5015</v>
      </c>
      <c r="C297" s="83" t="s">
        <v>5455</v>
      </c>
      <c r="D297" s="83" t="s">
        <v>5453</v>
      </c>
    </row>
    <row r="298" spans="1:4">
      <c r="A298" s="83" t="s">
        <v>5451</v>
      </c>
      <c r="B298" s="83" t="s">
        <v>5010</v>
      </c>
      <c r="C298" s="83" t="s">
        <v>5456</v>
      </c>
      <c r="D298" s="83" t="s">
        <v>5453</v>
      </c>
    </row>
    <row r="299" spans="1:4">
      <c r="A299" s="83" t="s">
        <v>5457</v>
      </c>
      <c r="B299" s="83" t="s">
        <v>5017</v>
      </c>
      <c r="C299" s="83" t="s">
        <v>5458</v>
      </c>
      <c r="D299" s="83" t="s">
        <v>5459</v>
      </c>
    </row>
    <row r="300" spans="1:4">
      <c r="A300" s="83" t="s">
        <v>5457</v>
      </c>
      <c r="B300" s="83" t="s">
        <v>5012</v>
      </c>
      <c r="C300" s="83" t="s">
        <v>5460</v>
      </c>
      <c r="D300" s="83" t="s">
        <v>5459</v>
      </c>
    </row>
    <row r="301" spans="1:4">
      <c r="A301" s="83" t="s">
        <v>5457</v>
      </c>
      <c r="B301" s="83" t="s">
        <v>5015</v>
      </c>
      <c r="C301" s="83" t="s">
        <v>5461</v>
      </c>
      <c r="D301" s="83" t="s">
        <v>5459</v>
      </c>
    </row>
    <row r="302" spans="1:4">
      <c r="A302" s="83" t="s">
        <v>5457</v>
      </c>
      <c r="B302" s="83" t="s">
        <v>5010</v>
      </c>
      <c r="C302" s="83" t="s">
        <v>5462</v>
      </c>
      <c r="D302" s="83" t="s">
        <v>5459</v>
      </c>
    </row>
    <row r="303" spans="1:4">
      <c r="A303" s="83" t="s">
        <v>5463</v>
      </c>
      <c r="B303" s="83" t="s">
        <v>5017</v>
      </c>
      <c r="C303" s="83" t="s">
        <v>5464</v>
      </c>
      <c r="D303" s="83" t="s">
        <v>5465</v>
      </c>
    </row>
    <row r="304" spans="1:4">
      <c r="A304" s="83" t="s">
        <v>5463</v>
      </c>
      <c r="B304" s="83" t="s">
        <v>5012</v>
      </c>
      <c r="C304" s="83" t="s">
        <v>5466</v>
      </c>
      <c r="D304" s="83" t="s">
        <v>5465</v>
      </c>
    </row>
    <row r="305" spans="1:4">
      <c r="A305" s="83" t="s">
        <v>5463</v>
      </c>
      <c r="B305" s="83" t="s">
        <v>5015</v>
      </c>
      <c r="C305" s="83" t="s">
        <v>5467</v>
      </c>
      <c r="D305" s="83" t="s">
        <v>5465</v>
      </c>
    </row>
    <row r="306" spans="1:4">
      <c r="A306" s="83" t="s">
        <v>5463</v>
      </c>
      <c r="B306" s="83" t="s">
        <v>5010</v>
      </c>
      <c r="C306" s="83" t="s">
        <v>5468</v>
      </c>
      <c r="D306" s="83" t="s">
        <v>5465</v>
      </c>
    </row>
    <row r="307" spans="1:4">
      <c r="A307" s="83" t="s">
        <v>5469</v>
      </c>
      <c r="B307" s="83" t="s">
        <v>5017</v>
      </c>
      <c r="C307" s="83" t="s">
        <v>5470</v>
      </c>
      <c r="D307" s="83" t="s">
        <v>5471</v>
      </c>
    </row>
    <row r="308" spans="1:4">
      <c r="A308" s="83" t="s">
        <v>5469</v>
      </c>
      <c r="B308" s="83" t="s">
        <v>5012</v>
      </c>
      <c r="C308" s="83" t="s">
        <v>5472</v>
      </c>
      <c r="D308" s="83" t="s">
        <v>5471</v>
      </c>
    </row>
    <row r="309" spans="1:4">
      <c r="A309" s="83" t="s">
        <v>5469</v>
      </c>
      <c r="B309" s="83" t="s">
        <v>5015</v>
      </c>
      <c r="C309" s="83" t="s">
        <v>5473</v>
      </c>
      <c r="D309" s="83" t="s">
        <v>5471</v>
      </c>
    </row>
    <row r="310" spans="1:4">
      <c r="A310" s="83" t="s">
        <v>5469</v>
      </c>
      <c r="B310" s="83" t="s">
        <v>5010</v>
      </c>
      <c r="C310" s="83" t="s">
        <v>5474</v>
      </c>
      <c r="D310" s="83" t="s">
        <v>5471</v>
      </c>
    </row>
    <row r="311" spans="1:4">
      <c r="A311" s="83" t="s">
        <v>5475</v>
      </c>
      <c r="B311" s="83" t="s">
        <v>5017</v>
      </c>
      <c r="C311" s="83" t="s">
        <v>5476</v>
      </c>
      <c r="D311" s="83" t="s">
        <v>5477</v>
      </c>
    </row>
    <row r="312" spans="1:4">
      <c r="A312" s="83" t="s">
        <v>5475</v>
      </c>
      <c r="B312" s="83" t="s">
        <v>5012</v>
      </c>
      <c r="C312" s="83" t="s">
        <v>5478</v>
      </c>
      <c r="D312" s="83" t="s">
        <v>5477</v>
      </c>
    </row>
    <row r="313" spans="1:4">
      <c r="A313" s="83" t="s">
        <v>5475</v>
      </c>
      <c r="B313" s="83" t="s">
        <v>5015</v>
      </c>
      <c r="C313" s="83" t="s">
        <v>5479</v>
      </c>
      <c r="D313" s="83" t="s">
        <v>5477</v>
      </c>
    </row>
    <row r="314" spans="1:4">
      <c r="A314" s="83" t="s">
        <v>5475</v>
      </c>
      <c r="B314" s="83" t="s">
        <v>5010</v>
      </c>
      <c r="C314" s="83" t="s">
        <v>5480</v>
      </c>
      <c r="D314" s="83" t="s">
        <v>5477</v>
      </c>
    </row>
    <row r="315" spans="1:4">
      <c r="A315" s="83" t="s">
        <v>5481</v>
      </c>
      <c r="B315" s="83" t="s">
        <v>5017</v>
      </c>
      <c r="C315" s="83" t="s">
        <v>5482</v>
      </c>
      <c r="D315" s="83" t="s">
        <v>5483</v>
      </c>
    </row>
    <row r="316" spans="1:4">
      <c r="A316" s="83" t="s">
        <v>5481</v>
      </c>
      <c r="B316" s="83" t="s">
        <v>5012</v>
      </c>
      <c r="C316" s="83" t="s">
        <v>5484</v>
      </c>
      <c r="D316" s="83" t="s">
        <v>5483</v>
      </c>
    </row>
    <row r="317" spans="1:4">
      <c r="A317" s="83" t="s">
        <v>5481</v>
      </c>
      <c r="B317" s="83" t="s">
        <v>5015</v>
      </c>
      <c r="C317" s="83" t="s">
        <v>5485</v>
      </c>
      <c r="D317" s="83" t="s">
        <v>5483</v>
      </c>
    </row>
    <row r="318" spans="1:4">
      <c r="A318" s="83" t="s">
        <v>5481</v>
      </c>
      <c r="B318" s="83" t="s">
        <v>5010</v>
      </c>
      <c r="C318" s="83" t="s">
        <v>5486</v>
      </c>
      <c r="D318" s="83" t="s">
        <v>5483</v>
      </c>
    </row>
    <row r="319" spans="1:4">
      <c r="A319" s="83" t="s">
        <v>5487</v>
      </c>
      <c r="B319" s="83" t="s">
        <v>5017</v>
      </c>
      <c r="C319" s="83" t="s">
        <v>5488</v>
      </c>
      <c r="D319" s="83" t="s">
        <v>5489</v>
      </c>
    </row>
    <row r="320" spans="1:4">
      <c r="A320" s="83" t="s">
        <v>5487</v>
      </c>
      <c r="B320" s="83" t="s">
        <v>5012</v>
      </c>
      <c r="C320" s="83" t="s">
        <v>5490</v>
      </c>
      <c r="D320" s="83" t="s">
        <v>5489</v>
      </c>
    </row>
    <row r="321" spans="1:4">
      <c r="A321" s="83" t="s">
        <v>5487</v>
      </c>
      <c r="B321" s="83" t="s">
        <v>5015</v>
      </c>
      <c r="C321" s="83" t="s">
        <v>5491</v>
      </c>
      <c r="D321" s="83" t="s">
        <v>5489</v>
      </c>
    </row>
    <row r="322" spans="1:4">
      <c r="A322" s="83" t="s">
        <v>5487</v>
      </c>
      <c r="B322" s="83" t="s">
        <v>5010</v>
      </c>
      <c r="C322" s="83" t="s">
        <v>5276</v>
      </c>
      <c r="D322" s="83" t="s">
        <v>5489</v>
      </c>
    </row>
    <row r="323" spans="1:4">
      <c r="A323" s="83" t="s">
        <v>5492</v>
      </c>
      <c r="B323" s="83" t="s">
        <v>5017</v>
      </c>
      <c r="C323" s="83" t="s">
        <v>5493</v>
      </c>
      <c r="D323" s="83" t="s">
        <v>5494</v>
      </c>
    </row>
    <row r="324" spans="1:4">
      <c r="A324" s="83" t="s">
        <v>5492</v>
      </c>
      <c r="B324" s="83" t="s">
        <v>5012</v>
      </c>
      <c r="C324" s="83" t="s">
        <v>5495</v>
      </c>
      <c r="D324" s="83" t="s">
        <v>5494</v>
      </c>
    </row>
    <row r="325" spans="1:4">
      <c r="A325" s="83" t="s">
        <v>5492</v>
      </c>
      <c r="B325" s="83" t="s">
        <v>5015</v>
      </c>
      <c r="C325" s="83" t="s">
        <v>5496</v>
      </c>
      <c r="D325" s="83" t="s">
        <v>5494</v>
      </c>
    </row>
    <row r="326" spans="1:4">
      <c r="A326" s="83" t="s">
        <v>5492</v>
      </c>
      <c r="B326" s="83" t="s">
        <v>5010</v>
      </c>
      <c r="C326" s="83" t="s">
        <v>5497</v>
      </c>
      <c r="D326" s="83" t="s">
        <v>5494</v>
      </c>
    </row>
    <row r="327" spans="1:4">
      <c r="A327" s="83" t="s">
        <v>5498</v>
      </c>
      <c r="B327" s="83" t="s">
        <v>5017</v>
      </c>
      <c r="C327" s="83" t="s">
        <v>5499</v>
      </c>
      <c r="D327" s="83" t="s">
        <v>5500</v>
      </c>
    </row>
    <row r="328" spans="1:4">
      <c r="A328" s="83" t="s">
        <v>5498</v>
      </c>
      <c r="B328" s="83" t="s">
        <v>5012</v>
      </c>
      <c r="C328" s="83" t="s">
        <v>5501</v>
      </c>
      <c r="D328" s="83" t="s">
        <v>5500</v>
      </c>
    </row>
    <row r="329" spans="1:4">
      <c r="A329" s="83" t="s">
        <v>5498</v>
      </c>
      <c r="B329" s="83" t="s">
        <v>5015</v>
      </c>
      <c r="C329" s="83" t="s">
        <v>5502</v>
      </c>
      <c r="D329" s="83" t="s">
        <v>5500</v>
      </c>
    </row>
    <row r="330" spans="1:4">
      <c r="A330" s="83" t="s">
        <v>5498</v>
      </c>
      <c r="B330" s="83" t="s">
        <v>5010</v>
      </c>
      <c r="C330" s="83" t="s">
        <v>5503</v>
      </c>
      <c r="D330" s="83" t="s">
        <v>5500</v>
      </c>
    </row>
    <row r="331" spans="1:4">
      <c r="A331" s="83" t="s">
        <v>5504</v>
      </c>
      <c r="B331" s="83" t="s">
        <v>5017</v>
      </c>
      <c r="C331" s="83" t="s">
        <v>5505</v>
      </c>
      <c r="D331" s="83" t="s">
        <v>5506</v>
      </c>
    </row>
    <row r="332" spans="1:4">
      <c r="A332" s="83" t="s">
        <v>5504</v>
      </c>
      <c r="B332" s="83" t="s">
        <v>5012</v>
      </c>
      <c r="C332" s="83" t="s">
        <v>5507</v>
      </c>
      <c r="D332" s="83" t="s">
        <v>5506</v>
      </c>
    </row>
    <row r="333" spans="1:4">
      <c r="A333" s="83" t="s">
        <v>5504</v>
      </c>
      <c r="B333" s="83" t="s">
        <v>5015</v>
      </c>
      <c r="C333" s="83" t="s">
        <v>5508</v>
      </c>
      <c r="D333" s="83" t="s">
        <v>5506</v>
      </c>
    </row>
    <row r="334" spans="1:4">
      <c r="A334" s="83" t="s">
        <v>5504</v>
      </c>
      <c r="B334" s="83" t="s">
        <v>5010</v>
      </c>
      <c r="C334" s="83" t="s">
        <v>5509</v>
      </c>
      <c r="D334" s="83" t="s">
        <v>5506</v>
      </c>
    </row>
    <row r="335" spans="1:4">
      <c r="A335" s="83" t="s">
        <v>5510</v>
      </c>
      <c r="B335" s="83" t="s">
        <v>5017</v>
      </c>
      <c r="C335" s="83" t="s">
        <v>5511</v>
      </c>
      <c r="D335" s="83" t="s">
        <v>5512</v>
      </c>
    </row>
    <row r="336" spans="1:4">
      <c r="A336" s="83" t="s">
        <v>5510</v>
      </c>
      <c r="B336" s="83" t="s">
        <v>5012</v>
      </c>
      <c r="C336" s="83" t="s">
        <v>5513</v>
      </c>
      <c r="D336" s="83" t="s">
        <v>5512</v>
      </c>
    </row>
    <row r="337" spans="1:4">
      <c r="A337" s="83" t="s">
        <v>5510</v>
      </c>
      <c r="B337" s="83" t="s">
        <v>5015</v>
      </c>
      <c r="C337" s="83" t="s">
        <v>5514</v>
      </c>
      <c r="D337" s="83" t="s">
        <v>5512</v>
      </c>
    </row>
    <row r="338" spans="1:4">
      <c r="A338" s="83" t="s">
        <v>5510</v>
      </c>
      <c r="B338" s="83" t="s">
        <v>5010</v>
      </c>
      <c r="C338" s="83" t="s">
        <v>5515</v>
      </c>
      <c r="D338" s="83" t="s">
        <v>5512</v>
      </c>
    </row>
    <row r="339" spans="1:4">
      <c r="A339" s="83" t="s">
        <v>5516</v>
      </c>
      <c r="B339" s="83" t="s">
        <v>5017</v>
      </c>
      <c r="C339" s="83" t="s">
        <v>5517</v>
      </c>
      <c r="D339" s="83" t="s">
        <v>5518</v>
      </c>
    </row>
    <row r="340" spans="1:4">
      <c r="A340" s="83" t="s">
        <v>5516</v>
      </c>
      <c r="B340" s="83" t="s">
        <v>5012</v>
      </c>
      <c r="C340" s="83" t="s">
        <v>5519</v>
      </c>
      <c r="D340" s="83" t="s">
        <v>5518</v>
      </c>
    </row>
    <row r="341" spans="1:4">
      <c r="A341" s="83" t="s">
        <v>5516</v>
      </c>
      <c r="B341" s="83" t="s">
        <v>5015</v>
      </c>
      <c r="C341" s="83" t="s">
        <v>5520</v>
      </c>
      <c r="D341" s="83" t="s">
        <v>5518</v>
      </c>
    </row>
    <row r="342" spans="1:4">
      <c r="A342" s="83" t="s">
        <v>5516</v>
      </c>
      <c r="B342" s="83" t="s">
        <v>5010</v>
      </c>
      <c r="C342" s="83" t="s">
        <v>5521</v>
      </c>
      <c r="D342" s="83" t="s">
        <v>5518</v>
      </c>
    </row>
    <row r="343" spans="1:4">
      <c r="A343" s="83" t="s">
        <v>5522</v>
      </c>
      <c r="B343" s="83" t="s">
        <v>5017</v>
      </c>
      <c r="C343" s="83" t="s">
        <v>5523</v>
      </c>
      <c r="D343" s="83" t="s">
        <v>5524</v>
      </c>
    </row>
    <row r="344" spans="1:4">
      <c r="A344" s="83" t="s">
        <v>5522</v>
      </c>
      <c r="B344" s="83" t="s">
        <v>5012</v>
      </c>
      <c r="C344" s="83" t="s">
        <v>5525</v>
      </c>
      <c r="D344" s="83" t="s">
        <v>5524</v>
      </c>
    </row>
    <row r="345" spans="1:4">
      <c r="A345" s="83" t="s">
        <v>5522</v>
      </c>
      <c r="B345" s="83" t="s">
        <v>5015</v>
      </c>
      <c r="C345" s="83" t="s">
        <v>5526</v>
      </c>
      <c r="D345" s="83" t="s">
        <v>5524</v>
      </c>
    </row>
    <row r="346" spans="1:4">
      <c r="A346" s="83" t="s">
        <v>5522</v>
      </c>
      <c r="B346" s="83" t="s">
        <v>5010</v>
      </c>
      <c r="C346" s="83" t="s">
        <v>5527</v>
      </c>
      <c r="D346" s="83" t="s">
        <v>5524</v>
      </c>
    </row>
    <row r="347" spans="1:4">
      <c r="A347" s="83" t="s">
        <v>5528</v>
      </c>
      <c r="B347" s="83" t="s">
        <v>5017</v>
      </c>
      <c r="C347" s="83" t="s">
        <v>5529</v>
      </c>
      <c r="D347" s="83" t="s">
        <v>5530</v>
      </c>
    </row>
    <row r="348" spans="1:4">
      <c r="A348" s="83" t="s">
        <v>5528</v>
      </c>
      <c r="B348" s="83" t="s">
        <v>5012</v>
      </c>
      <c r="C348" s="83" t="s">
        <v>5531</v>
      </c>
      <c r="D348" s="83" t="s">
        <v>5530</v>
      </c>
    </row>
    <row r="349" spans="1:4">
      <c r="A349" s="83" t="s">
        <v>5528</v>
      </c>
      <c r="B349" s="83" t="s">
        <v>5015</v>
      </c>
      <c r="C349" s="83" t="s">
        <v>5532</v>
      </c>
      <c r="D349" s="83" t="s">
        <v>5530</v>
      </c>
    </row>
    <row r="350" spans="1:4">
      <c r="A350" s="83" t="s">
        <v>5528</v>
      </c>
      <c r="B350" s="83" t="s">
        <v>5010</v>
      </c>
      <c r="C350" s="83" t="s">
        <v>5533</v>
      </c>
      <c r="D350" s="83" t="s">
        <v>5530</v>
      </c>
    </row>
    <row r="351" spans="1:4">
      <c r="A351" s="83" t="s">
        <v>5534</v>
      </c>
      <c r="B351" s="83" t="s">
        <v>5017</v>
      </c>
      <c r="C351" s="83" t="s">
        <v>5535</v>
      </c>
      <c r="D351" s="83" t="s">
        <v>5536</v>
      </c>
    </row>
    <row r="352" spans="1:4">
      <c r="A352" s="83" t="s">
        <v>5534</v>
      </c>
      <c r="B352" s="83" t="s">
        <v>5012</v>
      </c>
      <c r="C352" s="83" t="s">
        <v>5537</v>
      </c>
      <c r="D352" s="83" t="s">
        <v>5536</v>
      </c>
    </row>
    <row r="353" spans="1:4">
      <c r="A353" s="83" t="s">
        <v>5534</v>
      </c>
      <c r="B353" s="83" t="s">
        <v>5015</v>
      </c>
      <c r="C353" s="83" t="s">
        <v>5538</v>
      </c>
      <c r="D353" s="83" t="s">
        <v>5536</v>
      </c>
    </row>
    <row r="354" spans="1:4">
      <c r="A354" s="83" t="s">
        <v>5534</v>
      </c>
      <c r="B354" s="83" t="s">
        <v>5010</v>
      </c>
      <c r="C354" s="83" t="s">
        <v>5539</v>
      </c>
      <c r="D354" s="83" t="s">
        <v>5536</v>
      </c>
    </row>
    <row r="355" spans="1:4">
      <c r="A355" s="83" t="s">
        <v>5540</v>
      </c>
      <c r="B355" s="83" t="s">
        <v>5017</v>
      </c>
      <c r="C355" s="83" t="s">
        <v>5541</v>
      </c>
      <c r="D355" s="83" t="s">
        <v>5542</v>
      </c>
    </row>
    <row r="356" spans="1:4">
      <c r="A356" s="83" t="s">
        <v>5540</v>
      </c>
      <c r="B356" s="83" t="s">
        <v>5012</v>
      </c>
      <c r="C356" s="83" t="s">
        <v>5543</v>
      </c>
      <c r="D356" s="83" t="s">
        <v>5542</v>
      </c>
    </row>
    <row r="357" spans="1:4">
      <c r="A357" s="83" t="s">
        <v>5540</v>
      </c>
      <c r="B357" s="83" t="s">
        <v>5015</v>
      </c>
      <c r="C357" s="83" t="s">
        <v>5544</v>
      </c>
      <c r="D357" s="83" t="s">
        <v>5542</v>
      </c>
    </row>
    <row r="358" spans="1:4">
      <c r="A358" s="83" t="s">
        <v>5540</v>
      </c>
      <c r="B358" s="83" t="s">
        <v>5010</v>
      </c>
      <c r="C358" s="83" t="s">
        <v>5545</v>
      </c>
      <c r="D358" s="83" t="s">
        <v>5542</v>
      </c>
    </row>
    <row r="359" spans="1:4">
      <c r="A359" s="83" t="s">
        <v>5546</v>
      </c>
      <c r="B359" s="83" t="s">
        <v>5017</v>
      </c>
      <c r="C359" s="83" t="s">
        <v>5547</v>
      </c>
      <c r="D359" s="83" t="s">
        <v>5548</v>
      </c>
    </row>
    <row r="360" spans="1:4">
      <c r="A360" s="83" t="s">
        <v>5546</v>
      </c>
      <c r="B360" s="83" t="s">
        <v>5012</v>
      </c>
      <c r="C360" s="83" t="s">
        <v>5549</v>
      </c>
      <c r="D360" s="83" t="s">
        <v>5548</v>
      </c>
    </row>
    <row r="361" spans="1:4">
      <c r="A361" s="83" t="s">
        <v>5546</v>
      </c>
      <c r="B361" s="83" t="s">
        <v>5015</v>
      </c>
      <c r="C361" s="83" t="s">
        <v>5550</v>
      </c>
      <c r="D361" s="83" t="s">
        <v>5548</v>
      </c>
    </row>
    <row r="362" spans="1:4">
      <c r="A362" s="83" t="s">
        <v>5546</v>
      </c>
      <c r="B362" s="83" t="s">
        <v>5010</v>
      </c>
      <c r="C362" s="83" t="s">
        <v>5551</v>
      </c>
      <c r="D362" s="83" t="s">
        <v>5548</v>
      </c>
    </row>
    <row r="363" spans="1:4">
      <c r="A363" s="83" t="s">
        <v>5552</v>
      </c>
      <c r="B363" s="83" t="s">
        <v>5017</v>
      </c>
      <c r="C363" s="83" t="s">
        <v>5553</v>
      </c>
      <c r="D363" s="83" t="s">
        <v>5554</v>
      </c>
    </row>
    <row r="364" spans="1:4">
      <c r="A364" s="83" t="s">
        <v>5552</v>
      </c>
      <c r="B364" s="83" t="s">
        <v>5012</v>
      </c>
      <c r="C364" s="83" t="s">
        <v>5555</v>
      </c>
      <c r="D364" s="83" t="s">
        <v>5554</v>
      </c>
    </row>
    <row r="365" spans="1:4">
      <c r="A365" s="83" t="s">
        <v>5552</v>
      </c>
      <c r="B365" s="83" t="s">
        <v>5015</v>
      </c>
      <c r="C365" s="83" t="s">
        <v>5556</v>
      </c>
      <c r="D365" s="83" t="s">
        <v>5554</v>
      </c>
    </row>
    <row r="366" spans="1:4">
      <c r="A366" s="83" t="s">
        <v>5552</v>
      </c>
      <c r="B366" s="83" t="s">
        <v>5010</v>
      </c>
      <c r="C366" s="83" t="s">
        <v>5557</v>
      </c>
      <c r="D366" s="83" t="s">
        <v>5554</v>
      </c>
    </row>
    <row r="367" spans="1:4">
      <c r="A367" s="83" t="s">
        <v>5558</v>
      </c>
      <c r="B367" s="83" t="s">
        <v>5017</v>
      </c>
      <c r="C367" s="83" t="s">
        <v>5559</v>
      </c>
      <c r="D367" s="83" t="s">
        <v>5560</v>
      </c>
    </row>
    <row r="368" spans="1:4">
      <c r="A368" s="83" t="s">
        <v>5558</v>
      </c>
      <c r="B368" s="83" t="s">
        <v>5012</v>
      </c>
      <c r="C368" s="83" t="s">
        <v>5561</v>
      </c>
      <c r="D368" s="83" t="s">
        <v>5560</v>
      </c>
    </row>
    <row r="369" spans="1:4">
      <c r="A369" s="83" t="s">
        <v>5558</v>
      </c>
      <c r="B369" s="83" t="s">
        <v>5015</v>
      </c>
      <c r="C369" s="83" t="s">
        <v>5562</v>
      </c>
      <c r="D369" s="83" t="s">
        <v>5560</v>
      </c>
    </row>
    <row r="370" spans="1:4">
      <c r="A370" s="83" t="s">
        <v>5558</v>
      </c>
      <c r="B370" s="83" t="s">
        <v>5010</v>
      </c>
      <c r="C370" s="83" t="s">
        <v>5563</v>
      </c>
      <c r="D370" s="83" t="s">
        <v>5560</v>
      </c>
    </row>
    <row r="371" spans="1:4">
      <c r="A371" s="83" t="s">
        <v>5564</v>
      </c>
      <c r="B371" s="83" t="s">
        <v>5017</v>
      </c>
      <c r="C371" s="83" t="s">
        <v>5565</v>
      </c>
      <c r="D371" s="83" t="s">
        <v>5566</v>
      </c>
    </row>
    <row r="372" spans="1:4">
      <c r="A372" s="83" t="s">
        <v>5564</v>
      </c>
      <c r="B372" s="83" t="s">
        <v>5012</v>
      </c>
      <c r="C372" s="83" t="s">
        <v>5567</v>
      </c>
      <c r="D372" s="83" t="s">
        <v>5566</v>
      </c>
    </row>
    <row r="373" spans="1:4">
      <c r="A373" s="83" t="s">
        <v>5564</v>
      </c>
      <c r="B373" s="83" t="s">
        <v>5015</v>
      </c>
      <c r="C373" s="83" t="s">
        <v>5568</v>
      </c>
      <c r="D373" s="83" t="s">
        <v>5566</v>
      </c>
    </row>
    <row r="374" spans="1:4">
      <c r="A374" s="83" t="s">
        <v>5564</v>
      </c>
      <c r="B374" s="83" t="s">
        <v>5010</v>
      </c>
      <c r="C374" s="83" t="s">
        <v>5569</v>
      </c>
      <c r="D374" s="83" t="s">
        <v>5566</v>
      </c>
    </row>
    <row r="375" spans="1:4">
      <c r="A375" s="83" t="s">
        <v>5570</v>
      </c>
      <c r="B375" s="83" t="s">
        <v>5017</v>
      </c>
      <c r="C375" s="83" t="s">
        <v>5571</v>
      </c>
      <c r="D375" s="83" t="s">
        <v>5572</v>
      </c>
    </row>
    <row r="376" spans="1:4">
      <c r="A376" s="83" t="s">
        <v>5570</v>
      </c>
      <c r="B376" s="83" t="s">
        <v>5012</v>
      </c>
      <c r="C376" s="83" t="s">
        <v>5573</v>
      </c>
      <c r="D376" s="83" t="s">
        <v>5572</v>
      </c>
    </row>
    <row r="377" spans="1:4">
      <c r="A377" s="83" t="s">
        <v>5570</v>
      </c>
      <c r="B377" s="83" t="s">
        <v>5015</v>
      </c>
      <c r="C377" s="83" t="s">
        <v>5574</v>
      </c>
      <c r="D377" s="83" t="s">
        <v>5572</v>
      </c>
    </row>
    <row r="378" spans="1:4">
      <c r="A378" s="83" t="s">
        <v>5570</v>
      </c>
      <c r="B378" s="83" t="s">
        <v>5010</v>
      </c>
      <c r="C378" s="83" t="s">
        <v>5575</v>
      </c>
      <c r="D378" s="83" t="s">
        <v>5572</v>
      </c>
    </row>
    <row r="379" spans="1:4">
      <c r="A379" s="83" t="s">
        <v>5576</v>
      </c>
      <c r="B379" s="83" t="s">
        <v>5017</v>
      </c>
      <c r="C379" s="83" t="s">
        <v>5577</v>
      </c>
      <c r="D379" s="83" t="s">
        <v>5578</v>
      </c>
    </row>
    <row r="380" spans="1:4">
      <c r="A380" s="83" t="s">
        <v>5576</v>
      </c>
      <c r="B380" s="83" t="s">
        <v>5012</v>
      </c>
      <c r="C380" s="83" t="s">
        <v>5579</v>
      </c>
      <c r="D380" s="83" t="s">
        <v>5578</v>
      </c>
    </row>
    <row r="381" spans="1:4">
      <c r="A381" s="83" t="s">
        <v>5576</v>
      </c>
      <c r="B381" s="83" t="s">
        <v>5015</v>
      </c>
      <c r="C381" s="83" t="s">
        <v>5580</v>
      </c>
      <c r="D381" s="83" t="s">
        <v>5578</v>
      </c>
    </row>
    <row r="382" spans="1:4">
      <c r="A382" s="83" t="s">
        <v>5576</v>
      </c>
      <c r="B382" s="83" t="s">
        <v>5010</v>
      </c>
      <c r="C382" s="83" t="s">
        <v>5581</v>
      </c>
      <c r="D382" s="83" t="s">
        <v>5578</v>
      </c>
    </row>
    <row r="383" spans="1:4">
      <c r="A383" s="83" t="s">
        <v>5582</v>
      </c>
      <c r="B383" s="83" t="s">
        <v>5017</v>
      </c>
      <c r="C383" s="83" t="s">
        <v>5583</v>
      </c>
      <c r="D383" s="83" t="s">
        <v>5584</v>
      </c>
    </row>
    <row r="384" spans="1:4">
      <c r="A384" s="83" t="s">
        <v>5582</v>
      </c>
      <c r="B384" s="83" t="s">
        <v>5012</v>
      </c>
      <c r="C384" s="83" t="s">
        <v>5585</v>
      </c>
      <c r="D384" s="83" t="s">
        <v>5584</v>
      </c>
    </row>
    <row r="385" spans="1:4">
      <c r="A385" s="83" t="s">
        <v>5582</v>
      </c>
      <c r="B385" s="83" t="s">
        <v>5015</v>
      </c>
      <c r="C385" s="83" t="s">
        <v>5586</v>
      </c>
      <c r="D385" s="83" t="s">
        <v>5584</v>
      </c>
    </row>
    <row r="386" spans="1:4">
      <c r="A386" s="83" t="s">
        <v>5582</v>
      </c>
      <c r="B386" s="83" t="s">
        <v>5010</v>
      </c>
      <c r="C386" s="83" t="s">
        <v>5587</v>
      </c>
      <c r="D386" s="83" t="s">
        <v>5584</v>
      </c>
    </row>
    <row r="387" spans="1:4">
      <c r="A387" s="83" t="s">
        <v>5588</v>
      </c>
      <c r="B387" s="83" t="s">
        <v>5017</v>
      </c>
      <c r="C387" s="83" t="s">
        <v>5589</v>
      </c>
      <c r="D387" s="83" t="s">
        <v>5590</v>
      </c>
    </row>
    <row r="388" spans="1:4">
      <c r="A388" s="83" t="s">
        <v>5588</v>
      </c>
      <c r="B388" s="83" t="s">
        <v>5012</v>
      </c>
      <c r="C388" s="83" t="s">
        <v>5591</v>
      </c>
      <c r="D388" s="83" t="s">
        <v>5590</v>
      </c>
    </row>
    <row r="389" spans="1:4">
      <c r="A389" s="83" t="s">
        <v>5588</v>
      </c>
      <c r="B389" s="83" t="s">
        <v>5015</v>
      </c>
      <c r="C389" s="83" t="s">
        <v>5592</v>
      </c>
      <c r="D389" s="83" t="s">
        <v>5590</v>
      </c>
    </row>
    <row r="390" spans="1:4">
      <c r="A390" s="83" t="s">
        <v>5588</v>
      </c>
      <c r="B390" s="83" t="s">
        <v>5010</v>
      </c>
      <c r="C390" s="83" t="s">
        <v>5593</v>
      </c>
      <c r="D390" s="83" t="s">
        <v>5590</v>
      </c>
    </row>
    <row r="391" spans="1:4">
      <c r="A391" s="83" t="s">
        <v>5594</v>
      </c>
      <c r="B391" s="83" t="s">
        <v>5017</v>
      </c>
      <c r="C391" s="83" t="s">
        <v>5595</v>
      </c>
      <c r="D391" s="83" t="s">
        <v>5596</v>
      </c>
    </row>
    <row r="392" spans="1:4">
      <c r="A392" s="83" t="s">
        <v>5594</v>
      </c>
      <c r="B392" s="83" t="s">
        <v>5012</v>
      </c>
      <c r="C392" s="83" t="s">
        <v>5597</v>
      </c>
      <c r="D392" s="83" t="s">
        <v>5596</v>
      </c>
    </row>
    <row r="393" spans="1:4">
      <c r="A393" s="83" t="s">
        <v>5594</v>
      </c>
      <c r="B393" s="83" t="s">
        <v>5015</v>
      </c>
      <c r="C393" s="83" t="s">
        <v>5598</v>
      </c>
      <c r="D393" s="83" t="s">
        <v>5596</v>
      </c>
    </row>
    <row r="394" spans="1:4">
      <c r="A394" s="83" t="s">
        <v>5594</v>
      </c>
      <c r="B394" s="83" t="s">
        <v>5010</v>
      </c>
      <c r="C394" s="83" t="s">
        <v>5599</v>
      </c>
      <c r="D394" s="83" t="s">
        <v>5596</v>
      </c>
    </row>
    <row r="395" spans="1:4">
      <c r="A395" s="83" t="s">
        <v>5600</v>
      </c>
      <c r="B395" s="83" t="s">
        <v>5017</v>
      </c>
      <c r="C395" s="83" t="s">
        <v>5601</v>
      </c>
      <c r="D395" s="83" t="s">
        <v>5602</v>
      </c>
    </row>
    <row r="396" spans="1:4">
      <c r="A396" s="83" t="s">
        <v>5600</v>
      </c>
      <c r="B396" s="83" t="s">
        <v>5012</v>
      </c>
      <c r="C396" s="83" t="s">
        <v>5603</v>
      </c>
      <c r="D396" s="83" t="s">
        <v>5602</v>
      </c>
    </row>
    <row r="397" spans="1:4">
      <c r="A397" s="83" t="s">
        <v>5600</v>
      </c>
      <c r="B397" s="83" t="s">
        <v>5015</v>
      </c>
      <c r="C397" s="83" t="s">
        <v>5604</v>
      </c>
      <c r="D397" s="83" t="s">
        <v>5602</v>
      </c>
    </row>
    <row r="398" spans="1:4">
      <c r="A398" s="83" t="s">
        <v>5600</v>
      </c>
      <c r="B398" s="83" t="s">
        <v>5010</v>
      </c>
      <c r="C398" s="83" t="s">
        <v>5605</v>
      </c>
      <c r="D398" s="83" t="s">
        <v>5602</v>
      </c>
    </row>
    <row r="399" spans="1:4">
      <c r="A399" s="83" t="s">
        <v>5606</v>
      </c>
      <c r="B399" s="83" t="s">
        <v>5017</v>
      </c>
      <c r="C399" s="83" t="s">
        <v>5607</v>
      </c>
      <c r="D399" s="83" t="s">
        <v>5608</v>
      </c>
    </row>
    <row r="400" spans="1:4">
      <c r="A400" s="83" t="s">
        <v>5606</v>
      </c>
      <c r="B400" s="83" t="s">
        <v>5012</v>
      </c>
      <c r="C400" s="83" t="s">
        <v>5609</v>
      </c>
      <c r="D400" s="83" t="s">
        <v>5608</v>
      </c>
    </row>
    <row r="401" spans="1:4">
      <c r="A401" s="83" t="s">
        <v>5606</v>
      </c>
      <c r="B401" s="83" t="s">
        <v>5015</v>
      </c>
      <c r="C401" s="83" t="s">
        <v>5610</v>
      </c>
      <c r="D401" s="83" t="s">
        <v>5608</v>
      </c>
    </row>
    <row r="402" spans="1:4">
      <c r="A402" s="83" t="s">
        <v>5606</v>
      </c>
      <c r="B402" s="83" t="s">
        <v>5010</v>
      </c>
      <c r="C402" s="83" t="s">
        <v>5611</v>
      </c>
      <c r="D402" s="83" t="s">
        <v>5608</v>
      </c>
    </row>
    <row r="403" spans="1:4">
      <c r="A403" s="83" t="s">
        <v>5612</v>
      </c>
      <c r="B403" s="83" t="s">
        <v>5017</v>
      </c>
      <c r="C403" s="83" t="s">
        <v>5613</v>
      </c>
      <c r="D403" s="83" t="s">
        <v>5614</v>
      </c>
    </row>
    <row r="404" spans="1:4">
      <c r="A404" s="83" t="s">
        <v>5612</v>
      </c>
      <c r="B404" s="83" t="s">
        <v>5012</v>
      </c>
      <c r="C404" s="83" t="s">
        <v>5615</v>
      </c>
      <c r="D404" s="83" t="s">
        <v>5614</v>
      </c>
    </row>
    <row r="405" spans="1:4">
      <c r="A405" s="83" t="s">
        <v>5612</v>
      </c>
      <c r="B405" s="83" t="s">
        <v>5015</v>
      </c>
      <c r="C405" s="83" t="s">
        <v>5616</v>
      </c>
      <c r="D405" s="83" t="s">
        <v>5614</v>
      </c>
    </row>
    <row r="406" spans="1:4">
      <c r="A406" s="83" t="s">
        <v>5612</v>
      </c>
      <c r="B406" s="83" t="s">
        <v>5010</v>
      </c>
      <c r="C406" s="83" t="s">
        <v>5617</v>
      </c>
      <c r="D406" s="83" t="s">
        <v>5614</v>
      </c>
    </row>
    <row r="407" spans="1:4">
      <c r="A407" s="83" t="s">
        <v>5618</v>
      </c>
      <c r="B407" s="83" t="s">
        <v>5017</v>
      </c>
      <c r="C407" s="83" t="s">
        <v>5619</v>
      </c>
      <c r="D407" s="83" t="s">
        <v>5620</v>
      </c>
    </row>
    <row r="408" spans="1:4">
      <c r="A408" s="83" t="s">
        <v>5618</v>
      </c>
      <c r="B408" s="83" t="s">
        <v>5012</v>
      </c>
      <c r="C408" s="83" t="s">
        <v>5621</v>
      </c>
      <c r="D408" s="83" t="s">
        <v>5620</v>
      </c>
    </row>
    <row r="409" spans="1:4">
      <c r="A409" s="83" t="s">
        <v>5618</v>
      </c>
      <c r="B409" s="83" t="s">
        <v>5015</v>
      </c>
      <c r="C409" s="83" t="s">
        <v>5622</v>
      </c>
      <c r="D409" s="83" t="s">
        <v>5620</v>
      </c>
    </row>
    <row r="410" spans="1:4">
      <c r="A410" s="83" t="s">
        <v>5618</v>
      </c>
      <c r="B410" s="83" t="s">
        <v>5010</v>
      </c>
      <c r="C410" s="83" t="s">
        <v>5623</v>
      </c>
      <c r="D410" s="83" t="s">
        <v>5620</v>
      </c>
    </row>
    <row r="411" spans="1:4">
      <c r="A411" s="83" t="s">
        <v>5624</v>
      </c>
      <c r="B411" s="83" t="s">
        <v>5017</v>
      </c>
      <c r="C411" s="83" t="s">
        <v>5625</v>
      </c>
      <c r="D411" s="83" t="s">
        <v>5626</v>
      </c>
    </row>
    <row r="412" spans="1:4">
      <c r="A412" s="83" t="s">
        <v>5624</v>
      </c>
      <c r="B412" s="83" t="s">
        <v>5012</v>
      </c>
      <c r="C412" s="83" t="s">
        <v>5627</v>
      </c>
      <c r="D412" s="83" t="s">
        <v>5626</v>
      </c>
    </row>
    <row r="413" spans="1:4">
      <c r="A413" s="83" t="s">
        <v>5624</v>
      </c>
      <c r="B413" s="83" t="s">
        <v>5015</v>
      </c>
      <c r="C413" s="83" t="s">
        <v>5628</v>
      </c>
      <c r="D413" s="83" t="s">
        <v>5626</v>
      </c>
    </row>
    <row r="414" spans="1:4">
      <c r="A414" s="83" t="s">
        <v>5624</v>
      </c>
      <c r="B414" s="83" t="s">
        <v>5010</v>
      </c>
      <c r="C414" s="83" t="s">
        <v>5629</v>
      </c>
      <c r="D414" s="83" t="s">
        <v>5626</v>
      </c>
    </row>
    <row r="415" spans="1:4">
      <c r="A415" s="83" t="s">
        <v>5630</v>
      </c>
      <c r="B415" s="83" t="s">
        <v>5017</v>
      </c>
      <c r="C415" s="83" t="s">
        <v>5631</v>
      </c>
      <c r="D415" s="83" t="s">
        <v>5632</v>
      </c>
    </row>
    <row r="416" spans="1:4">
      <c r="A416" s="83" t="s">
        <v>5630</v>
      </c>
      <c r="B416" s="83" t="s">
        <v>5012</v>
      </c>
      <c r="C416" s="83" t="s">
        <v>5633</v>
      </c>
      <c r="D416" s="83" t="s">
        <v>5632</v>
      </c>
    </row>
    <row r="417" spans="1:4">
      <c r="A417" s="83" t="s">
        <v>5630</v>
      </c>
      <c r="B417" s="83" t="s">
        <v>5015</v>
      </c>
      <c r="C417" s="83" t="s">
        <v>5634</v>
      </c>
      <c r="D417" s="83" t="s">
        <v>5632</v>
      </c>
    </row>
    <row r="418" spans="1:4">
      <c r="A418" s="83" t="s">
        <v>5630</v>
      </c>
      <c r="B418" s="83" t="s">
        <v>5010</v>
      </c>
      <c r="C418" s="83" t="s">
        <v>5635</v>
      </c>
      <c r="D418" s="83" t="s">
        <v>5632</v>
      </c>
    </row>
    <row r="419" spans="1:4">
      <c r="A419" s="83" t="s">
        <v>5636</v>
      </c>
      <c r="B419" s="83" t="s">
        <v>5017</v>
      </c>
      <c r="C419" s="83" t="s">
        <v>5637</v>
      </c>
      <c r="D419" s="83" t="s">
        <v>5638</v>
      </c>
    </row>
    <row r="420" spans="1:4">
      <c r="A420" s="83" t="s">
        <v>5636</v>
      </c>
      <c r="B420" s="83" t="s">
        <v>5012</v>
      </c>
      <c r="C420" s="83" t="s">
        <v>5639</v>
      </c>
      <c r="D420" s="83" t="s">
        <v>5638</v>
      </c>
    </row>
    <row r="421" spans="1:4">
      <c r="A421" s="83" t="s">
        <v>5636</v>
      </c>
      <c r="B421" s="83" t="s">
        <v>5015</v>
      </c>
      <c r="C421" s="83" t="s">
        <v>5640</v>
      </c>
      <c r="D421" s="83" t="s">
        <v>5638</v>
      </c>
    </row>
    <row r="422" spans="1:4">
      <c r="A422" s="83" t="s">
        <v>5636</v>
      </c>
      <c r="B422" s="83" t="s">
        <v>5010</v>
      </c>
      <c r="C422" s="83" t="s">
        <v>5641</v>
      </c>
      <c r="D422" s="83" t="s">
        <v>5638</v>
      </c>
    </row>
    <row r="423" spans="1:4">
      <c r="A423" s="83" t="s">
        <v>5642</v>
      </c>
      <c r="B423" s="83" t="s">
        <v>5017</v>
      </c>
      <c r="C423" s="83" t="s">
        <v>5643</v>
      </c>
      <c r="D423" s="83" t="s">
        <v>5644</v>
      </c>
    </row>
    <row r="424" spans="1:4">
      <c r="A424" s="83" t="s">
        <v>5642</v>
      </c>
      <c r="B424" s="83" t="s">
        <v>5012</v>
      </c>
      <c r="C424" s="83" t="s">
        <v>5645</v>
      </c>
      <c r="D424" s="83" t="s">
        <v>5644</v>
      </c>
    </row>
    <row r="425" spans="1:4">
      <c r="A425" s="83" t="s">
        <v>5642</v>
      </c>
      <c r="B425" s="83" t="s">
        <v>5015</v>
      </c>
      <c r="C425" s="83" t="s">
        <v>5646</v>
      </c>
      <c r="D425" s="83" t="s">
        <v>5644</v>
      </c>
    </row>
    <row r="426" spans="1:4">
      <c r="A426" s="83" t="s">
        <v>5642</v>
      </c>
      <c r="B426" s="83" t="s">
        <v>5010</v>
      </c>
      <c r="C426" s="83" t="s">
        <v>5647</v>
      </c>
      <c r="D426" s="83" t="s">
        <v>5644</v>
      </c>
    </row>
    <row r="427" spans="1:4">
      <c r="A427" s="83" t="s">
        <v>5648</v>
      </c>
      <c r="B427" s="83" t="s">
        <v>5017</v>
      </c>
      <c r="C427" s="83" t="s">
        <v>5649</v>
      </c>
      <c r="D427" s="83" t="s">
        <v>5650</v>
      </c>
    </row>
    <row r="428" spans="1:4">
      <c r="A428" s="83" t="s">
        <v>5648</v>
      </c>
      <c r="B428" s="83" t="s">
        <v>5012</v>
      </c>
      <c r="C428" s="83" t="s">
        <v>5651</v>
      </c>
      <c r="D428" s="83" t="s">
        <v>5650</v>
      </c>
    </row>
    <row r="429" spans="1:4">
      <c r="A429" s="83" t="s">
        <v>5648</v>
      </c>
      <c r="B429" s="83" t="s">
        <v>5015</v>
      </c>
      <c r="C429" s="83" t="s">
        <v>5652</v>
      </c>
      <c r="D429" s="83" t="s">
        <v>5650</v>
      </c>
    </row>
    <row r="430" spans="1:4">
      <c r="A430" s="83" t="s">
        <v>5648</v>
      </c>
      <c r="B430" s="83" t="s">
        <v>5010</v>
      </c>
      <c r="C430" s="83" t="s">
        <v>5653</v>
      </c>
      <c r="D430" s="83" t="s">
        <v>5650</v>
      </c>
    </row>
    <row r="431" spans="1:4">
      <c r="A431" s="83" t="s">
        <v>5654</v>
      </c>
      <c r="B431" s="83" t="s">
        <v>5017</v>
      </c>
      <c r="C431" s="83" t="s">
        <v>5655</v>
      </c>
      <c r="D431" s="83" t="s">
        <v>5656</v>
      </c>
    </row>
    <row r="432" spans="1:4">
      <c r="A432" s="83" t="s">
        <v>5654</v>
      </c>
      <c r="B432" s="83" t="s">
        <v>5012</v>
      </c>
      <c r="C432" s="83" t="s">
        <v>5657</v>
      </c>
      <c r="D432" s="83" t="s">
        <v>5656</v>
      </c>
    </row>
    <row r="433" spans="1:4">
      <c r="A433" s="83" t="s">
        <v>5654</v>
      </c>
      <c r="B433" s="83" t="s">
        <v>5015</v>
      </c>
      <c r="C433" s="83" t="s">
        <v>5658</v>
      </c>
      <c r="D433" s="83" t="s">
        <v>5656</v>
      </c>
    </row>
    <row r="434" spans="1:4">
      <c r="A434" s="83" t="s">
        <v>5654</v>
      </c>
      <c r="B434" s="83" t="s">
        <v>5010</v>
      </c>
      <c r="C434" s="83" t="s">
        <v>5659</v>
      </c>
      <c r="D434" s="83" t="s">
        <v>5656</v>
      </c>
    </row>
    <row r="435" spans="1:4">
      <c r="A435" s="83" t="s">
        <v>5660</v>
      </c>
      <c r="B435" s="83" t="s">
        <v>5017</v>
      </c>
      <c r="C435" s="83" t="s">
        <v>5661</v>
      </c>
      <c r="D435" s="83" t="s">
        <v>5662</v>
      </c>
    </row>
    <row r="436" spans="1:4">
      <c r="A436" s="83" t="s">
        <v>5660</v>
      </c>
      <c r="B436" s="83" t="s">
        <v>5012</v>
      </c>
      <c r="C436" s="83" t="s">
        <v>5663</v>
      </c>
      <c r="D436" s="83" t="s">
        <v>5662</v>
      </c>
    </row>
    <row r="437" spans="1:4">
      <c r="A437" s="83" t="s">
        <v>5660</v>
      </c>
      <c r="B437" s="83" t="s">
        <v>5015</v>
      </c>
      <c r="C437" s="83" t="s">
        <v>5664</v>
      </c>
      <c r="D437" s="83" t="s">
        <v>5662</v>
      </c>
    </row>
    <row r="438" spans="1:4">
      <c r="A438" s="83" t="s">
        <v>5660</v>
      </c>
      <c r="B438" s="83" t="s">
        <v>5010</v>
      </c>
      <c r="C438" s="83" t="s">
        <v>5478</v>
      </c>
      <c r="D438" s="83" t="s">
        <v>5662</v>
      </c>
    </row>
    <row r="439" spans="1:4">
      <c r="A439" s="83" t="s">
        <v>5665</v>
      </c>
      <c r="B439" s="83" t="s">
        <v>5017</v>
      </c>
      <c r="C439" s="83" t="s">
        <v>5666</v>
      </c>
      <c r="D439" s="83" t="s">
        <v>5667</v>
      </c>
    </row>
    <row r="440" spans="1:4">
      <c r="A440" s="83" t="s">
        <v>5665</v>
      </c>
      <c r="B440" s="83" t="s">
        <v>5012</v>
      </c>
      <c r="C440" s="83" t="s">
        <v>5668</v>
      </c>
      <c r="D440" s="83" t="s">
        <v>5667</v>
      </c>
    </row>
    <row r="441" spans="1:4">
      <c r="A441" s="83" t="s">
        <v>5665</v>
      </c>
      <c r="B441" s="83" t="s">
        <v>5015</v>
      </c>
      <c r="C441" s="83" t="s">
        <v>5669</v>
      </c>
      <c r="D441" s="83" t="s">
        <v>5667</v>
      </c>
    </row>
    <row r="442" spans="1:4">
      <c r="A442" s="83" t="s">
        <v>5665</v>
      </c>
      <c r="B442" s="83" t="s">
        <v>5010</v>
      </c>
      <c r="C442" s="83" t="s">
        <v>5670</v>
      </c>
      <c r="D442" s="83" t="s">
        <v>5667</v>
      </c>
    </row>
    <row r="443" spans="1:4">
      <c r="A443" s="83" t="s">
        <v>5671</v>
      </c>
      <c r="B443" s="83" t="s">
        <v>5017</v>
      </c>
      <c r="C443" s="83" t="s">
        <v>5672</v>
      </c>
      <c r="D443" s="83" t="s">
        <v>5673</v>
      </c>
    </row>
    <row r="444" spans="1:4">
      <c r="A444" s="83" t="s">
        <v>5671</v>
      </c>
      <c r="B444" s="83" t="s">
        <v>5012</v>
      </c>
      <c r="C444" s="83" t="s">
        <v>5674</v>
      </c>
      <c r="D444" s="83" t="s">
        <v>5673</v>
      </c>
    </row>
    <row r="445" spans="1:4">
      <c r="A445" s="83" t="s">
        <v>5671</v>
      </c>
      <c r="B445" s="83" t="s">
        <v>5015</v>
      </c>
      <c r="C445" s="83" t="s">
        <v>5675</v>
      </c>
      <c r="D445" s="83" t="s">
        <v>5673</v>
      </c>
    </row>
    <row r="446" spans="1:4">
      <c r="A446" s="83" t="s">
        <v>5671</v>
      </c>
      <c r="B446" s="83" t="s">
        <v>5010</v>
      </c>
      <c r="C446" s="83" t="s">
        <v>5676</v>
      </c>
      <c r="D446" s="83" t="s">
        <v>5673</v>
      </c>
    </row>
    <row r="447" spans="1:4">
      <c r="A447" s="83" t="s">
        <v>5677</v>
      </c>
      <c r="B447" s="83" t="s">
        <v>5017</v>
      </c>
      <c r="C447" s="83" t="s">
        <v>5678</v>
      </c>
      <c r="D447" s="83" t="s">
        <v>5679</v>
      </c>
    </row>
    <row r="448" spans="1:4">
      <c r="A448" s="83" t="s">
        <v>5677</v>
      </c>
      <c r="B448" s="83" t="s">
        <v>5012</v>
      </c>
      <c r="C448" s="83" t="s">
        <v>5680</v>
      </c>
      <c r="D448" s="83" t="s">
        <v>5679</v>
      </c>
    </row>
    <row r="449" spans="1:4">
      <c r="A449" s="83" t="s">
        <v>5677</v>
      </c>
      <c r="B449" s="83" t="s">
        <v>5015</v>
      </c>
      <c r="C449" s="83" t="s">
        <v>5681</v>
      </c>
      <c r="D449" s="83" t="s">
        <v>5679</v>
      </c>
    </row>
    <row r="450" spans="1:4">
      <c r="A450" s="83" t="s">
        <v>5677</v>
      </c>
      <c r="B450" s="83" t="s">
        <v>5010</v>
      </c>
      <c r="C450" s="83" t="s">
        <v>5682</v>
      </c>
      <c r="D450" s="83" t="s">
        <v>5679</v>
      </c>
    </row>
    <row r="451" spans="1:4">
      <c r="A451" s="83" t="s">
        <v>5683</v>
      </c>
      <c r="B451" s="83" t="s">
        <v>5017</v>
      </c>
      <c r="C451" s="83" t="s">
        <v>5684</v>
      </c>
      <c r="D451" s="83" t="s">
        <v>5685</v>
      </c>
    </row>
    <row r="452" spans="1:4">
      <c r="A452" s="83" t="s">
        <v>5683</v>
      </c>
      <c r="B452" s="83" t="s">
        <v>5012</v>
      </c>
      <c r="C452" s="83" t="s">
        <v>5686</v>
      </c>
      <c r="D452" s="83" t="s">
        <v>5685</v>
      </c>
    </row>
    <row r="453" spans="1:4">
      <c r="A453" s="83" t="s">
        <v>5683</v>
      </c>
      <c r="B453" s="83" t="s">
        <v>5015</v>
      </c>
      <c r="C453" s="83" t="s">
        <v>5687</v>
      </c>
      <c r="D453" s="83" t="s">
        <v>5685</v>
      </c>
    </row>
    <row r="454" spans="1:4">
      <c r="A454" s="83" t="s">
        <v>5683</v>
      </c>
      <c r="B454" s="83" t="s">
        <v>5010</v>
      </c>
      <c r="C454" s="83" t="s">
        <v>5688</v>
      </c>
      <c r="D454" s="83" t="s">
        <v>5685</v>
      </c>
    </row>
    <row r="455" spans="1:4">
      <c r="A455" s="83" t="s">
        <v>5689</v>
      </c>
      <c r="B455" s="83" t="s">
        <v>5017</v>
      </c>
      <c r="C455" s="83" t="s">
        <v>5690</v>
      </c>
      <c r="D455" s="83" t="s">
        <v>5691</v>
      </c>
    </row>
    <row r="456" spans="1:4">
      <c r="A456" s="83" t="s">
        <v>5689</v>
      </c>
      <c r="B456" s="83" t="s">
        <v>5012</v>
      </c>
      <c r="C456" s="83" t="s">
        <v>5692</v>
      </c>
      <c r="D456" s="83" t="s">
        <v>5691</v>
      </c>
    </row>
    <row r="457" spans="1:4">
      <c r="A457" s="83" t="s">
        <v>5689</v>
      </c>
      <c r="B457" s="83" t="s">
        <v>5015</v>
      </c>
      <c r="C457" s="83" t="s">
        <v>5693</v>
      </c>
      <c r="D457" s="83" t="s">
        <v>5691</v>
      </c>
    </row>
    <row r="458" spans="1:4">
      <c r="A458" s="83" t="s">
        <v>5689</v>
      </c>
      <c r="B458" s="83" t="s">
        <v>5010</v>
      </c>
      <c r="C458" s="83" t="s">
        <v>5694</v>
      </c>
      <c r="D458" s="83" t="s">
        <v>5691</v>
      </c>
    </row>
    <row r="459" spans="1:4">
      <c r="A459" s="83" t="s">
        <v>5695</v>
      </c>
      <c r="B459" s="83" t="s">
        <v>5017</v>
      </c>
      <c r="C459" s="83" t="s">
        <v>5696</v>
      </c>
      <c r="D459" s="83" t="s">
        <v>5697</v>
      </c>
    </row>
    <row r="460" spans="1:4">
      <c r="A460" s="83" t="s">
        <v>5695</v>
      </c>
      <c r="B460" s="83" t="s">
        <v>5012</v>
      </c>
      <c r="C460" s="83" t="s">
        <v>5698</v>
      </c>
      <c r="D460" s="83" t="s">
        <v>5697</v>
      </c>
    </row>
    <row r="461" spans="1:4">
      <c r="A461" s="83" t="s">
        <v>5695</v>
      </c>
      <c r="B461" s="83" t="s">
        <v>5015</v>
      </c>
      <c r="C461" s="83" t="s">
        <v>5699</v>
      </c>
      <c r="D461" s="83" t="s">
        <v>5697</v>
      </c>
    </row>
    <row r="462" spans="1:4">
      <c r="A462" s="83" t="s">
        <v>5695</v>
      </c>
      <c r="B462" s="83" t="s">
        <v>5010</v>
      </c>
      <c r="C462" s="83" t="s">
        <v>5700</v>
      </c>
      <c r="D462" s="83" t="s">
        <v>5697</v>
      </c>
    </row>
    <row r="463" spans="1:4">
      <c r="A463" s="83" t="s">
        <v>5701</v>
      </c>
      <c r="B463" s="83" t="s">
        <v>5017</v>
      </c>
      <c r="C463" s="83" t="s">
        <v>5702</v>
      </c>
      <c r="D463" s="83" t="s">
        <v>5703</v>
      </c>
    </row>
    <row r="464" spans="1:4">
      <c r="A464" s="83" t="s">
        <v>5701</v>
      </c>
      <c r="B464" s="83" t="s">
        <v>5012</v>
      </c>
      <c r="C464" s="83" t="s">
        <v>5704</v>
      </c>
      <c r="D464" s="83" t="s">
        <v>5703</v>
      </c>
    </row>
    <row r="465" spans="1:4">
      <c r="A465" s="83" t="s">
        <v>5701</v>
      </c>
      <c r="B465" s="83" t="s">
        <v>5015</v>
      </c>
      <c r="C465" s="83" t="s">
        <v>5705</v>
      </c>
      <c r="D465" s="83" t="s">
        <v>5703</v>
      </c>
    </row>
    <row r="466" spans="1:4">
      <c r="A466" s="83" t="s">
        <v>5701</v>
      </c>
      <c r="B466" s="83" t="s">
        <v>5010</v>
      </c>
      <c r="C466" s="83" t="s">
        <v>5706</v>
      </c>
      <c r="D466" s="83" t="s">
        <v>5703</v>
      </c>
    </row>
    <row r="467" spans="1:4">
      <c r="A467" s="83" t="s">
        <v>5707</v>
      </c>
      <c r="B467" s="83" t="s">
        <v>5017</v>
      </c>
      <c r="C467" s="83" t="s">
        <v>5708</v>
      </c>
      <c r="D467" s="83" t="s">
        <v>5709</v>
      </c>
    </row>
    <row r="468" spans="1:4">
      <c r="A468" s="83" t="s">
        <v>5707</v>
      </c>
      <c r="B468" s="83" t="s">
        <v>5012</v>
      </c>
      <c r="C468" s="83" t="s">
        <v>5710</v>
      </c>
      <c r="D468" s="83" t="s">
        <v>5709</v>
      </c>
    </row>
    <row r="469" spans="1:4">
      <c r="A469" s="83" t="s">
        <v>5707</v>
      </c>
      <c r="B469" s="83" t="s">
        <v>5015</v>
      </c>
      <c r="C469" s="83" t="s">
        <v>5711</v>
      </c>
      <c r="D469" s="83" t="s">
        <v>5709</v>
      </c>
    </row>
    <row r="470" spans="1:4">
      <c r="A470" s="83" t="s">
        <v>5707</v>
      </c>
      <c r="B470" s="83" t="s">
        <v>5010</v>
      </c>
      <c r="C470" s="83" t="s">
        <v>5712</v>
      </c>
      <c r="D470" s="83" t="s">
        <v>5709</v>
      </c>
    </row>
    <row r="471" spans="1:4">
      <c r="A471" s="83" t="s">
        <v>5713</v>
      </c>
      <c r="B471" s="83" t="s">
        <v>5017</v>
      </c>
      <c r="C471" s="83" t="s">
        <v>5714</v>
      </c>
      <c r="D471" s="83" t="s">
        <v>5715</v>
      </c>
    </row>
    <row r="472" spans="1:4">
      <c r="A472" s="83" t="s">
        <v>5713</v>
      </c>
      <c r="B472" s="83" t="s">
        <v>5012</v>
      </c>
      <c r="C472" s="83" t="s">
        <v>5716</v>
      </c>
      <c r="D472" s="83" t="s">
        <v>5715</v>
      </c>
    </row>
    <row r="473" spans="1:4">
      <c r="A473" s="83" t="s">
        <v>5713</v>
      </c>
      <c r="B473" s="83" t="s">
        <v>5015</v>
      </c>
      <c r="C473" s="83" t="s">
        <v>5717</v>
      </c>
      <c r="D473" s="83" t="s">
        <v>5715</v>
      </c>
    </row>
    <row r="474" spans="1:4">
      <c r="A474" s="83" t="s">
        <v>5713</v>
      </c>
      <c r="B474" s="83" t="s">
        <v>5010</v>
      </c>
      <c r="C474" s="83" t="s">
        <v>5718</v>
      </c>
      <c r="D474" s="83" t="s">
        <v>5715</v>
      </c>
    </row>
    <row r="475" spans="1:4">
      <c r="A475" s="83" t="s">
        <v>5719</v>
      </c>
      <c r="B475" s="83" t="s">
        <v>5017</v>
      </c>
      <c r="C475" s="83" t="s">
        <v>5720</v>
      </c>
      <c r="D475" s="83" t="s">
        <v>5721</v>
      </c>
    </row>
    <row r="476" spans="1:4">
      <c r="A476" s="83" t="s">
        <v>5719</v>
      </c>
      <c r="B476" s="83" t="s">
        <v>5012</v>
      </c>
      <c r="C476" s="83" t="s">
        <v>5722</v>
      </c>
      <c r="D476" s="83" t="s">
        <v>5721</v>
      </c>
    </row>
    <row r="477" spans="1:4">
      <c r="A477" s="83" t="s">
        <v>5719</v>
      </c>
      <c r="B477" s="83" t="s">
        <v>5015</v>
      </c>
      <c r="C477" s="83" t="s">
        <v>5723</v>
      </c>
      <c r="D477" s="83" t="s">
        <v>5721</v>
      </c>
    </row>
    <row r="478" spans="1:4">
      <c r="A478" s="83" t="s">
        <v>5719</v>
      </c>
      <c r="B478" s="83" t="s">
        <v>5010</v>
      </c>
      <c r="C478" s="83" t="s">
        <v>5724</v>
      </c>
      <c r="D478" s="83" t="s">
        <v>5721</v>
      </c>
    </row>
    <row r="479" spans="1:4">
      <c r="A479" s="83" t="s">
        <v>5725</v>
      </c>
      <c r="B479" s="83" t="s">
        <v>5017</v>
      </c>
      <c r="C479" s="83" t="s">
        <v>5726</v>
      </c>
      <c r="D479" s="83" t="s">
        <v>5727</v>
      </c>
    </row>
    <row r="480" spans="1:4">
      <c r="A480" s="83" t="s">
        <v>5725</v>
      </c>
      <c r="B480" s="83" t="s">
        <v>5012</v>
      </c>
      <c r="C480" s="83" t="s">
        <v>5728</v>
      </c>
      <c r="D480" s="83" t="s">
        <v>5727</v>
      </c>
    </row>
    <row r="481" spans="1:4">
      <c r="A481" s="83" t="s">
        <v>5725</v>
      </c>
      <c r="B481" s="83" t="s">
        <v>5015</v>
      </c>
      <c r="C481" s="83" t="s">
        <v>5729</v>
      </c>
      <c r="D481" s="83" t="s">
        <v>5727</v>
      </c>
    </row>
    <row r="482" spans="1:4">
      <c r="A482" s="83" t="s">
        <v>5725</v>
      </c>
      <c r="B482" s="83" t="s">
        <v>5010</v>
      </c>
      <c r="C482" s="83" t="s">
        <v>5730</v>
      </c>
      <c r="D482" s="83" t="s">
        <v>5727</v>
      </c>
    </row>
    <row r="483" spans="1:4">
      <c r="A483" s="83" t="s">
        <v>5731</v>
      </c>
      <c r="B483" s="83" t="s">
        <v>5017</v>
      </c>
      <c r="C483" s="83" t="s">
        <v>5430</v>
      </c>
      <c r="D483" s="83" t="s">
        <v>5732</v>
      </c>
    </row>
    <row r="484" spans="1:4">
      <c r="A484" s="83" t="s">
        <v>5731</v>
      </c>
      <c r="B484" s="83" t="s">
        <v>5012</v>
      </c>
      <c r="C484" s="83" t="s">
        <v>5733</v>
      </c>
      <c r="D484" s="83" t="s">
        <v>5732</v>
      </c>
    </row>
    <row r="485" spans="1:4">
      <c r="A485" s="83" t="s">
        <v>5731</v>
      </c>
      <c r="B485" s="83" t="s">
        <v>5015</v>
      </c>
      <c r="C485" s="83" t="s">
        <v>5734</v>
      </c>
      <c r="D485" s="83" t="s">
        <v>5732</v>
      </c>
    </row>
    <row r="486" spans="1:4">
      <c r="A486" s="83" t="s">
        <v>5731</v>
      </c>
      <c r="B486" s="83" t="s">
        <v>5010</v>
      </c>
      <c r="C486" s="83" t="s">
        <v>5735</v>
      </c>
      <c r="D486" s="83" t="s">
        <v>5732</v>
      </c>
    </row>
    <row r="487" spans="1:4">
      <c r="A487" s="83" t="s">
        <v>5736</v>
      </c>
      <c r="B487" s="83" t="s">
        <v>5017</v>
      </c>
      <c r="C487" s="83" t="s">
        <v>5737</v>
      </c>
      <c r="D487" s="83" t="s">
        <v>5738</v>
      </c>
    </row>
    <row r="488" spans="1:4">
      <c r="A488" s="83" t="s">
        <v>5736</v>
      </c>
      <c r="B488" s="83" t="s">
        <v>5012</v>
      </c>
      <c r="C488" s="83" t="s">
        <v>5739</v>
      </c>
      <c r="D488" s="83" t="s">
        <v>5738</v>
      </c>
    </row>
    <row r="489" spans="1:4">
      <c r="A489" s="83" t="s">
        <v>5736</v>
      </c>
      <c r="B489" s="83" t="s">
        <v>5015</v>
      </c>
      <c r="C489" s="83" t="s">
        <v>5740</v>
      </c>
      <c r="D489" s="83" t="s">
        <v>5738</v>
      </c>
    </row>
    <row r="490" spans="1:4">
      <c r="A490" s="83" t="s">
        <v>5736</v>
      </c>
      <c r="B490" s="83" t="s">
        <v>5010</v>
      </c>
      <c r="C490" s="83" t="s">
        <v>5741</v>
      </c>
      <c r="D490" s="83" t="s">
        <v>5738</v>
      </c>
    </row>
    <row r="491" spans="1:4">
      <c r="A491" s="83" t="s">
        <v>5742</v>
      </c>
      <c r="B491" s="83" t="s">
        <v>5017</v>
      </c>
      <c r="C491" s="83" t="s">
        <v>5743</v>
      </c>
      <c r="D491" s="83" t="s">
        <v>5744</v>
      </c>
    </row>
    <row r="492" spans="1:4">
      <c r="A492" s="83" t="s">
        <v>5742</v>
      </c>
      <c r="B492" s="83" t="s">
        <v>5012</v>
      </c>
      <c r="C492" s="83" t="s">
        <v>5745</v>
      </c>
      <c r="D492" s="83" t="s">
        <v>5744</v>
      </c>
    </row>
    <row r="493" spans="1:4">
      <c r="A493" s="83" t="s">
        <v>5742</v>
      </c>
      <c r="B493" s="83" t="s">
        <v>5015</v>
      </c>
      <c r="C493" s="83" t="s">
        <v>5746</v>
      </c>
      <c r="D493" s="83" t="s">
        <v>5744</v>
      </c>
    </row>
    <row r="494" spans="1:4">
      <c r="A494" s="83" t="s">
        <v>5742</v>
      </c>
      <c r="B494" s="83" t="s">
        <v>5010</v>
      </c>
      <c r="C494" s="83" t="s">
        <v>5747</v>
      </c>
      <c r="D494" s="83" t="s">
        <v>5744</v>
      </c>
    </row>
    <row r="495" spans="1:4">
      <c r="A495" s="83" t="s">
        <v>5748</v>
      </c>
      <c r="B495" s="83" t="s">
        <v>5017</v>
      </c>
      <c r="C495" s="83" t="s">
        <v>5749</v>
      </c>
      <c r="D495" s="83" t="s">
        <v>5750</v>
      </c>
    </row>
    <row r="496" spans="1:4">
      <c r="A496" s="83" t="s">
        <v>5748</v>
      </c>
      <c r="B496" s="83" t="s">
        <v>5012</v>
      </c>
      <c r="C496" s="83" t="s">
        <v>5751</v>
      </c>
      <c r="D496" s="83" t="s">
        <v>5750</v>
      </c>
    </row>
    <row r="497" spans="1:4">
      <c r="A497" s="83" t="s">
        <v>5748</v>
      </c>
      <c r="B497" s="83" t="s">
        <v>5015</v>
      </c>
      <c r="C497" s="83" t="s">
        <v>5752</v>
      </c>
      <c r="D497" s="83" t="s">
        <v>5750</v>
      </c>
    </row>
    <row r="498" spans="1:4">
      <c r="A498" s="83" t="s">
        <v>5748</v>
      </c>
      <c r="B498" s="83" t="s">
        <v>5010</v>
      </c>
      <c r="C498" s="83" t="s">
        <v>5753</v>
      </c>
      <c r="D498" s="83" t="s">
        <v>5750</v>
      </c>
    </row>
    <row r="499" spans="1:4">
      <c r="A499" s="83" t="s">
        <v>5754</v>
      </c>
      <c r="B499" s="83" t="s">
        <v>5017</v>
      </c>
      <c r="C499" s="83" t="s">
        <v>5755</v>
      </c>
      <c r="D499" s="83" t="s">
        <v>5756</v>
      </c>
    </row>
    <row r="500" spans="1:4">
      <c r="A500" s="83" t="s">
        <v>5754</v>
      </c>
      <c r="B500" s="83" t="s">
        <v>5012</v>
      </c>
      <c r="C500" s="83" t="s">
        <v>5757</v>
      </c>
      <c r="D500" s="83" t="s">
        <v>5756</v>
      </c>
    </row>
    <row r="501" spans="1:4">
      <c r="A501" s="83" t="s">
        <v>5754</v>
      </c>
      <c r="B501" s="83" t="s">
        <v>5015</v>
      </c>
      <c r="C501" s="83" t="s">
        <v>5758</v>
      </c>
      <c r="D501" s="83" t="s">
        <v>5756</v>
      </c>
    </row>
    <row r="502" spans="1:4">
      <c r="A502" s="83" t="s">
        <v>5754</v>
      </c>
      <c r="B502" s="83" t="s">
        <v>5010</v>
      </c>
      <c r="C502" s="83" t="s">
        <v>5759</v>
      </c>
      <c r="D502" s="83" t="s">
        <v>5756</v>
      </c>
    </row>
    <row r="503" spans="1:4">
      <c r="A503" s="83" t="s">
        <v>5760</v>
      </c>
      <c r="B503" s="83" t="s">
        <v>5017</v>
      </c>
      <c r="C503" s="83" t="s">
        <v>5761</v>
      </c>
      <c r="D503" s="83" t="s">
        <v>5762</v>
      </c>
    </row>
    <row r="504" spans="1:4">
      <c r="A504" s="83" t="s">
        <v>5760</v>
      </c>
      <c r="B504" s="83" t="s">
        <v>5012</v>
      </c>
      <c r="C504" s="83" t="s">
        <v>5763</v>
      </c>
      <c r="D504" s="83" t="s">
        <v>5762</v>
      </c>
    </row>
    <row r="505" spans="1:4">
      <c r="A505" s="83" t="s">
        <v>5760</v>
      </c>
      <c r="B505" s="83" t="s">
        <v>5015</v>
      </c>
      <c r="C505" s="83" t="s">
        <v>5764</v>
      </c>
      <c r="D505" s="83" t="s">
        <v>5762</v>
      </c>
    </row>
    <row r="506" spans="1:4">
      <c r="A506" s="83" t="s">
        <v>5760</v>
      </c>
      <c r="B506" s="83" t="s">
        <v>5010</v>
      </c>
      <c r="C506" s="83" t="s">
        <v>5765</v>
      </c>
      <c r="D506" s="83" t="s">
        <v>5762</v>
      </c>
    </row>
    <row r="507" spans="1:4">
      <c r="A507" s="83" t="s">
        <v>5766</v>
      </c>
      <c r="B507" s="83" t="s">
        <v>5017</v>
      </c>
      <c r="C507" s="83" t="s">
        <v>5767</v>
      </c>
      <c r="D507" s="83" t="s">
        <v>5768</v>
      </c>
    </row>
    <row r="508" spans="1:4">
      <c r="A508" s="83" t="s">
        <v>5766</v>
      </c>
      <c r="B508" s="83" t="s">
        <v>5012</v>
      </c>
      <c r="C508" s="83" t="s">
        <v>5769</v>
      </c>
      <c r="D508" s="83" t="s">
        <v>5768</v>
      </c>
    </row>
    <row r="509" spans="1:4">
      <c r="A509" s="83" t="s">
        <v>5766</v>
      </c>
      <c r="B509" s="83" t="s">
        <v>5015</v>
      </c>
      <c r="C509" s="83" t="s">
        <v>5770</v>
      </c>
      <c r="D509" s="83" t="s">
        <v>5768</v>
      </c>
    </row>
    <row r="510" spans="1:4">
      <c r="A510" s="83" t="s">
        <v>5766</v>
      </c>
      <c r="B510" s="83" t="s">
        <v>5010</v>
      </c>
      <c r="C510" s="83" t="s">
        <v>5771</v>
      </c>
      <c r="D510" s="83" t="s">
        <v>5768</v>
      </c>
    </row>
    <row r="511" spans="1:4">
      <c r="A511" s="83" t="s">
        <v>5772</v>
      </c>
      <c r="B511" s="83" t="s">
        <v>5017</v>
      </c>
      <c r="C511" s="83" t="s">
        <v>5773</v>
      </c>
      <c r="D511" s="83" t="s">
        <v>5774</v>
      </c>
    </row>
    <row r="512" spans="1:4">
      <c r="A512" s="83" t="s">
        <v>5772</v>
      </c>
      <c r="B512" s="83" t="s">
        <v>5012</v>
      </c>
      <c r="C512" s="83" t="s">
        <v>5775</v>
      </c>
      <c r="D512" s="83" t="s">
        <v>5774</v>
      </c>
    </row>
    <row r="513" spans="1:4">
      <c r="A513" s="83" t="s">
        <v>5772</v>
      </c>
      <c r="B513" s="83" t="s">
        <v>5015</v>
      </c>
      <c r="C513" s="83" t="s">
        <v>5776</v>
      </c>
      <c r="D513" s="83" t="s">
        <v>5774</v>
      </c>
    </row>
    <row r="514" spans="1:4">
      <c r="A514" s="83" t="s">
        <v>5772</v>
      </c>
      <c r="B514" s="83" t="s">
        <v>5010</v>
      </c>
      <c r="C514" s="83" t="s">
        <v>5777</v>
      </c>
      <c r="D514" s="83" t="s">
        <v>5774</v>
      </c>
    </row>
    <row r="515" spans="1:4">
      <c r="A515" s="83" t="s">
        <v>5778</v>
      </c>
      <c r="B515" s="83" t="s">
        <v>5017</v>
      </c>
      <c r="C515" s="83" t="s">
        <v>5779</v>
      </c>
      <c r="D515" s="83" t="s">
        <v>5780</v>
      </c>
    </row>
    <row r="516" spans="1:4">
      <c r="A516" s="83" t="s">
        <v>5778</v>
      </c>
      <c r="B516" s="83" t="s">
        <v>5012</v>
      </c>
      <c r="C516" s="83" t="s">
        <v>5781</v>
      </c>
      <c r="D516" s="83" t="s">
        <v>5780</v>
      </c>
    </row>
    <row r="517" spans="1:4">
      <c r="A517" s="83" t="s">
        <v>5778</v>
      </c>
      <c r="B517" s="83" t="s">
        <v>5015</v>
      </c>
      <c r="C517" s="83" t="s">
        <v>5782</v>
      </c>
      <c r="D517" s="83" t="s">
        <v>5780</v>
      </c>
    </row>
    <row r="518" spans="1:4">
      <c r="A518" s="83" t="s">
        <v>5778</v>
      </c>
      <c r="B518" s="83" t="s">
        <v>5010</v>
      </c>
      <c r="C518" s="83" t="s">
        <v>5783</v>
      </c>
      <c r="D518" s="83" t="s">
        <v>5780</v>
      </c>
    </row>
    <row r="519" spans="1:4">
      <c r="A519" s="83" t="s">
        <v>5784</v>
      </c>
      <c r="B519" s="83" t="s">
        <v>5017</v>
      </c>
      <c r="C519" s="83" t="s">
        <v>5785</v>
      </c>
      <c r="D519" s="83" t="s">
        <v>5786</v>
      </c>
    </row>
    <row r="520" spans="1:4">
      <c r="A520" s="83" t="s">
        <v>5784</v>
      </c>
      <c r="B520" s="83" t="s">
        <v>5012</v>
      </c>
      <c r="C520" s="83" t="s">
        <v>5787</v>
      </c>
      <c r="D520" s="83" t="s">
        <v>5786</v>
      </c>
    </row>
    <row r="521" spans="1:4">
      <c r="A521" s="83" t="s">
        <v>5784</v>
      </c>
      <c r="B521" s="83" t="s">
        <v>5015</v>
      </c>
      <c r="C521" s="83" t="s">
        <v>5788</v>
      </c>
      <c r="D521" s="83" t="s">
        <v>5786</v>
      </c>
    </row>
    <row r="522" spans="1:4">
      <c r="A522" s="83" t="s">
        <v>5784</v>
      </c>
      <c r="B522" s="83" t="s">
        <v>5010</v>
      </c>
      <c r="C522" s="83" t="s">
        <v>5789</v>
      </c>
      <c r="D522" s="83" t="s">
        <v>5786</v>
      </c>
    </row>
    <row r="523" spans="1:4">
      <c r="A523" s="83" t="s">
        <v>5790</v>
      </c>
      <c r="B523" s="83" t="s">
        <v>5017</v>
      </c>
      <c r="C523" s="83" t="s">
        <v>5791</v>
      </c>
      <c r="D523" s="83" t="s">
        <v>5792</v>
      </c>
    </row>
    <row r="524" spans="1:4">
      <c r="A524" s="83" t="s">
        <v>5790</v>
      </c>
      <c r="B524" s="83" t="s">
        <v>5012</v>
      </c>
      <c r="C524" s="83" t="s">
        <v>5793</v>
      </c>
      <c r="D524" s="83" t="s">
        <v>5792</v>
      </c>
    </row>
    <row r="525" spans="1:4">
      <c r="A525" s="83" t="s">
        <v>5790</v>
      </c>
      <c r="B525" s="83" t="s">
        <v>5015</v>
      </c>
      <c r="C525" s="83" t="s">
        <v>5794</v>
      </c>
      <c r="D525" s="83" t="s">
        <v>5792</v>
      </c>
    </row>
    <row r="526" spans="1:4">
      <c r="A526" s="83" t="s">
        <v>5790</v>
      </c>
      <c r="B526" s="83" t="s">
        <v>5010</v>
      </c>
      <c r="C526" s="83" t="s">
        <v>5795</v>
      </c>
      <c r="D526" s="83" t="s">
        <v>5792</v>
      </c>
    </row>
    <row r="527" spans="1:4">
      <c r="A527" s="83" t="s">
        <v>5796</v>
      </c>
      <c r="B527" s="83" t="s">
        <v>5017</v>
      </c>
      <c r="C527" s="83" t="s">
        <v>5797</v>
      </c>
      <c r="D527" s="83" t="s">
        <v>5798</v>
      </c>
    </row>
    <row r="528" spans="1:4">
      <c r="A528" s="83" t="s">
        <v>5796</v>
      </c>
      <c r="B528" s="83" t="s">
        <v>5012</v>
      </c>
      <c r="C528" s="83" t="s">
        <v>5799</v>
      </c>
      <c r="D528" s="83" t="s">
        <v>5798</v>
      </c>
    </row>
    <row r="529" spans="1:4">
      <c r="A529" s="83" t="s">
        <v>5796</v>
      </c>
      <c r="B529" s="83" t="s">
        <v>5015</v>
      </c>
      <c r="C529" s="83" t="s">
        <v>5800</v>
      </c>
      <c r="D529" s="83" t="s">
        <v>5798</v>
      </c>
    </row>
    <row r="530" spans="1:4">
      <c r="A530" s="83" t="s">
        <v>5796</v>
      </c>
      <c r="B530" s="83" t="s">
        <v>5010</v>
      </c>
      <c r="C530" s="83" t="s">
        <v>5801</v>
      </c>
      <c r="D530" s="83" t="s">
        <v>5798</v>
      </c>
    </row>
    <row r="531" spans="1:4">
      <c r="A531" s="83" t="s">
        <v>5802</v>
      </c>
      <c r="B531" s="83" t="s">
        <v>5017</v>
      </c>
      <c r="C531" s="83" t="s">
        <v>5803</v>
      </c>
      <c r="D531" s="83" t="s">
        <v>5804</v>
      </c>
    </row>
    <row r="532" spans="1:4">
      <c r="A532" s="83" t="s">
        <v>5802</v>
      </c>
      <c r="B532" s="83" t="s">
        <v>5012</v>
      </c>
      <c r="C532" s="83" t="s">
        <v>5805</v>
      </c>
      <c r="D532" s="83" t="s">
        <v>5804</v>
      </c>
    </row>
    <row r="533" spans="1:4">
      <c r="A533" s="83" t="s">
        <v>5802</v>
      </c>
      <c r="B533" s="83" t="s">
        <v>5015</v>
      </c>
      <c r="C533" s="83" t="s">
        <v>5806</v>
      </c>
      <c r="D533" s="83" t="s">
        <v>5804</v>
      </c>
    </row>
    <row r="534" spans="1:4">
      <c r="A534" s="83" t="s">
        <v>5802</v>
      </c>
      <c r="B534" s="83" t="s">
        <v>5010</v>
      </c>
      <c r="C534" s="83" t="s">
        <v>5807</v>
      </c>
      <c r="D534" s="83" t="s">
        <v>5804</v>
      </c>
    </row>
    <row r="535" spans="1:4">
      <c r="A535" s="83" t="s">
        <v>5808</v>
      </c>
      <c r="B535" s="83" t="s">
        <v>5017</v>
      </c>
      <c r="C535" s="83" t="s">
        <v>5809</v>
      </c>
      <c r="D535" s="83" t="s">
        <v>5810</v>
      </c>
    </row>
    <row r="536" spans="1:4">
      <c r="A536" s="83" t="s">
        <v>5808</v>
      </c>
      <c r="B536" s="83" t="s">
        <v>5012</v>
      </c>
      <c r="C536" s="83" t="s">
        <v>5811</v>
      </c>
      <c r="D536" s="83" t="s">
        <v>5810</v>
      </c>
    </row>
    <row r="537" spans="1:4">
      <c r="A537" s="83" t="s">
        <v>5808</v>
      </c>
      <c r="B537" s="83" t="s">
        <v>5015</v>
      </c>
      <c r="C537" s="83" t="s">
        <v>5812</v>
      </c>
      <c r="D537" s="83" t="s">
        <v>5810</v>
      </c>
    </row>
    <row r="538" spans="1:4">
      <c r="A538" s="83" t="s">
        <v>5808</v>
      </c>
      <c r="B538" s="83" t="s">
        <v>5010</v>
      </c>
      <c r="C538" s="83" t="s">
        <v>5813</v>
      </c>
      <c r="D538" s="83" t="s">
        <v>5810</v>
      </c>
    </row>
    <row r="539" spans="1:4">
      <c r="A539" s="83" t="s">
        <v>5814</v>
      </c>
      <c r="B539" s="83" t="s">
        <v>5017</v>
      </c>
      <c r="C539" s="83" t="s">
        <v>5815</v>
      </c>
      <c r="D539" s="83" t="s">
        <v>5816</v>
      </c>
    </row>
    <row r="540" spans="1:4">
      <c r="A540" s="83" t="s">
        <v>5814</v>
      </c>
      <c r="B540" s="83" t="s">
        <v>5012</v>
      </c>
      <c r="C540" s="83" t="s">
        <v>5817</v>
      </c>
      <c r="D540" s="83" t="s">
        <v>5816</v>
      </c>
    </row>
    <row r="541" spans="1:4">
      <c r="A541" s="83" t="s">
        <v>5814</v>
      </c>
      <c r="B541" s="83" t="s">
        <v>5015</v>
      </c>
      <c r="C541" s="83" t="s">
        <v>5818</v>
      </c>
      <c r="D541" s="83" t="s">
        <v>5816</v>
      </c>
    </row>
    <row r="542" spans="1:4">
      <c r="A542" s="83" t="s">
        <v>5814</v>
      </c>
      <c r="B542" s="83" t="s">
        <v>5010</v>
      </c>
      <c r="C542" s="83" t="s">
        <v>5819</v>
      </c>
      <c r="D542" s="83" t="s">
        <v>5816</v>
      </c>
    </row>
    <row r="543" spans="1:4">
      <c r="A543" s="83" t="s">
        <v>5820</v>
      </c>
      <c r="B543" s="83" t="s">
        <v>5017</v>
      </c>
      <c r="C543" s="83" t="s">
        <v>5821</v>
      </c>
      <c r="D543" s="83" t="s">
        <v>5822</v>
      </c>
    </row>
    <row r="544" spans="1:4">
      <c r="A544" s="83" t="s">
        <v>5820</v>
      </c>
      <c r="B544" s="83" t="s">
        <v>5012</v>
      </c>
      <c r="C544" s="83" t="s">
        <v>5823</v>
      </c>
      <c r="D544" s="83" t="s">
        <v>5822</v>
      </c>
    </row>
    <row r="545" spans="1:4">
      <c r="A545" s="83" t="s">
        <v>5820</v>
      </c>
      <c r="B545" s="83" t="s">
        <v>5015</v>
      </c>
      <c r="C545" s="83" t="s">
        <v>5824</v>
      </c>
      <c r="D545" s="83" t="s">
        <v>5822</v>
      </c>
    </row>
    <row r="546" spans="1:4">
      <c r="A546" s="83" t="s">
        <v>5820</v>
      </c>
      <c r="B546" s="83" t="s">
        <v>5010</v>
      </c>
      <c r="C546" s="83" t="s">
        <v>5825</v>
      </c>
      <c r="D546" s="83" t="s">
        <v>5822</v>
      </c>
    </row>
    <row r="547" spans="1:4">
      <c r="A547" s="83" t="s">
        <v>5826</v>
      </c>
      <c r="B547" s="83" t="s">
        <v>5017</v>
      </c>
      <c r="C547" s="83" t="s">
        <v>5827</v>
      </c>
      <c r="D547" s="83" t="s">
        <v>5828</v>
      </c>
    </row>
    <row r="548" spans="1:4">
      <c r="A548" s="83" t="s">
        <v>5826</v>
      </c>
      <c r="B548" s="83" t="s">
        <v>5012</v>
      </c>
      <c r="C548" s="83" t="s">
        <v>5829</v>
      </c>
      <c r="D548" s="83" t="s">
        <v>5828</v>
      </c>
    </row>
    <row r="549" spans="1:4">
      <c r="A549" s="83" t="s">
        <v>5826</v>
      </c>
      <c r="B549" s="83" t="s">
        <v>5015</v>
      </c>
      <c r="C549" s="83" t="s">
        <v>5830</v>
      </c>
      <c r="D549" s="83" t="s">
        <v>5828</v>
      </c>
    </row>
    <row r="550" spans="1:4">
      <c r="A550" s="83" t="s">
        <v>5826</v>
      </c>
      <c r="B550" s="83" t="s">
        <v>5010</v>
      </c>
      <c r="C550" s="83" t="s">
        <v>5831</v>
      </c>
      <c r="D550" s="83" t="s">
        <v>5828</v>
      </c>
    </row>
    <row r="551" spans="1:4">
      <c r="A551" s="83" t="s">
        <v>5832</v>
      </c>
      <c r="B551" s="83" t="s">
        <v>5017</v>
      </c>
      <c r="C551" s="83" t="s">
        <v>5833</v>
      </c>
      <c r="D551" s="83" t="s">
        <v>5834</v>
      </c>
    </row>
    <row r="552" spans="1:4">
      <c r="A552" s="83" t="s">
        <v>5832</v>
      </c>
      <c r="B552" s="83" t="s">
        <v>5012</v>
      </c>
      <c r="C552" s="83" t="s">
        <v>5835</v>
      </c>
      <c r="D552" s="83" t="s">
        <v>5834</v>
      </c>
    </row>
    <row r="553" spans="1:4">
      <c r="A553" s="83" t="s">
        <v>5832</v>
      </c>
      <c r="B553" s="83" t="s">
        <v>5015</v>
      </c>
      <c r="C553" s="83" t="s">
        <v>5836</v>
      </c>
      <c r="D553" s="83" t="s">
        <v>5834</v>
      </c>
    </row>
    <row r="554" spans="1:4">
      <c r="A554" s="83" t="s">
        <v>5832</v>
      </c>
      <c r="B554" s="83" t="s">
        <v>5010</v>
      </c>
      <c r="C554" s="83" t="s">
        <v>5837</v>
      </c>
      <c r="D554" s="83" t="s">
        <v>5834</v>
      </c>
    </row>
    <row r="555" spans="1:4">
      <c r="A555" s="83" t="s">
        <v>5838</v>
      </c>
      <c r="B555" s="83" t="s">
        <v>5017</v>
      </c>
      <c r="C555" s="83" t="s">
        <v>5839</v>
      </c>
      <c r="D555" s="83" t="s">
        <v>5840</v>
      </c>
    </row>
    <row r="556" spans="1:4">
      <c r="A556" s="83" t="s">
        <v>5838</v>
      </c>
      <c r="B556" s="83" t="s">
        <v>5012</v>
      </c>
      <c r="C556" s="83" t="s">
        <v>5657</v>
      </c>
      <c r="D556" s="83" t="s">
        <v>5840</v>
      </c>
    </row>
    <row r="557" spans="1:4">
      <c r="A557" s="83" t="s">
        <v>5838</v>
      </c>
      <c r="B557" s="83" t="s">
        <v>5015</v>
      </c>
      <c r="C557" s="83" t="s">
        <v>5841</v>
      </c>
      <c r="D557" s="83" t="s">
        <v>5840</v>
      </c>
    </row>
    <row r="558" spans="1:4">
      <c r="A558" s="83" t="s">
        <v>5838</v>
      </c>
      <c r="B558" s="83" t="s">
        <v>5010</v>
      </c>
      <c r="C558" s="83" t="s">
        <v>5842</v>
      </c>
      <c r="D558" s="83" t="s">
        <v>5840</v>
      </c>
    </row>
    <row r="559" spans="1:4">
      <c r="A559" s="83" t="s">
        <v>5843</v>
      </c>
      <c r="B559" s="83" t="s">
        <v>5017</v>
      </c>
      <c r="C559" s="83" t="s">
        <v>5844</v>
      </c>
      <c r="D559" s="83" t="s">
        <v>5845</v>
      </c>
    </row>
    <row r="560" spans="1:4">
      <c r="A560" s="83" t="s">
        <v>5843</v>
      </c>
      <c r="B560" s="83" t="s">
        <v>5012</v>
      </c>
      <c r="C560" s="83" t="s">
        <v>5846</v>
      </c>
      <c r="D560" s="83" t="s">
        <v>5845</v>
      </c>
    </row>
    <row r="561" spans="1:4">
      <c r="A561" s="83" t="s">
        <v>5843</v>
      </c>
      <c r="B561" s="83" t="s">
        <v>5015</v>
      </c>
      <c r="C561" s="83" t="s">
        <v>5847</v>
      </c>
      <c r="D561" s="83" t="s">
        <v>5845</v>
      </c>
    </row>
    <row r="562" spans="1:4">
      <c r="A562" s="83" t="s">
        <v>5843</v>
      </c>
      <c r="B562" s="83" t="s">
        <v>5010</v>
      </c>
      <c r="C562" s="83" t="s">
        <v>5848</v>
      </c>
      <c r="D562" s="83" t="s">
        <v>5845</v>
      </c>
    </row>
    <row r="563" spans="1:4">
      <c r="A563" s="83" t="s">
        <v>5849</v>
      </c>
      <c r="B563" s="83" t="s">
        <v>5017</v>
      </c>
      <c r="C563" s="83" t="s">
        <v>5850</v>
      </c>
      <c r="D563" s="83" t="s">
        <v>5851</v>
      </c>
    </row>
    <row r="564" spans="1:4">
      <c r="A564" s="83" t="s">
        <v>5849</v>
      </c>
      <c r="B564" s="83" t="s">
        <v>5012</v>
      </c>
      <c r="C564" s="83" t="s">
        <v>5852</v>
      </c>
      <c r="D564" s="83" t="s">
        <v>5851</v>
      </c>
    </row>
    <row r="565" spans="1:4">
      <c r="A565" s="83" t="s">
        <v>5849</v>
      </c>
      <c r="B565" s="83" t="s">
        <v>5015</v>
      </c>
      <c r="C565" s="83" t="s">
        <v>5853</v>
      </c>
      <c r="D565" s="83" t="s">
        <v>5851</v>
      </c>
    </row>
    <row r="566" spans="1:4">
      <c r="A566" s="83" t="s">
        <v>5849</v>
      </c>
      <c r="B566" s="83" t="s">
        <v>5010</v>
      </c>
      <c r="C566" s="83" t="s">
        <v>5842</v>
      </c>
      <c r="D566" s="83" t="s">
        <v>5851</v>
      </c>
    </row>
    <row r="567" spans="1:4">
      <c r="A567" s="83" t="s">
        <v>5854</v>
      </c>
      <c r="B567" s="83" t="s">
        <v>5017</v>
      </c>
      <c r="C567" s="83" t="s">
        <v>5855</v>
      </c>
      <c r="D567" s="83" t="s">
        <v>5856</v>
      </c>
    </row>
    <row r="568" spans="1:4">
      <c r="A568" s="83" t="s">
        <v>5854</v>
      </c>
      <c r="B568" s="83" t="s">
        <v>5012</v>
      </c>
      <c r="C568" s="83" t="s">
        <v>5857</v>
      </c>
      <c r="D568" s="83" t="s">
        <v>5856</v>
      </c>
    </row>
    <row r="569" spans="1:4">
      <c r="A569" s="83" t="s">
        <v>5854</v>
      </c>
      <c r="B569" s="83" t="s">
        <v>5015</v>
      </c>
      <c r="C569" s="83" t="s">
        <v>5858</v>
      </c>
      <c r="D569" s="83" t="s">
        <v>5856</v>
      </c>
    </row>
    <row r="570" spans="1:4">
      <c r="A570" s="83" t="s">
        <v>5854</v>
      </c>
      <c r="B570" s="83" t="s">
        <v>5010</v>
      </c>
      <c r="C570" s="83" t="s">
        <v>5859</v>
      </c>
      <c r="D570" s="83" t="s">
        <v>5856</v>
      </c>
    </row>
    <row r="571" spans="1:4">
      <c r="A571" s="83" t="s">
        <v>5860</v>
      </c>
      <c r="B571" s="83" t="s">
        <v>5017</v>
      </c>
      <c r="C571" s="83" t="s">
        <v>5861</v>
      </c>
      <c r="D571" s="83" t="s">
        <v>5862</v>
      </c>
    </row>
    <row r="572" spans="1:4">
      <c r="A572" s="83" t="s">
        <v>5860</v>
      </c>
      <c r="B572" s="83" t="s">
        <v>5012</v>
      </c>
      <c r="C572" s="83" t="s">
        <v>5863</v>
      </c>
      <c r="D572" s="83" t="s">
        <v>5862</v>
      </c>
    </row>
    <row r="573" spans="1:4">
      <c r="A573" s="83" t="s">
        <v>5860</v>
      </c>
      <c r="B573" s="83" t="s">
        <v>5015</v>
      </c>
      <c r="C573" s="83" t="s">
        <v>5864</v>
      </c>
      <c r="D573" s="83" t="s">
        <v>5862</v>
      </c>
    </row>
    <row r="574" spans="1:4">
      <c r="A574" s="83" t="s">
        <v>5860</v>
      </c>
      <c r="B574" s="83" t="s">
        <v>5010</v>
      </c>
      <c r="C574" s="83" t="s">
        <v>5865</v>
      </c>
      <c r="D574" s="83" t="s">
        <v>5862</v>
      </c>
    </row>
    <row r="575" spans="1:4">
      <c r="A575" s="83" t="s">
        <v>5866</v>
      </c>
      <c r="B575" s="83" t="s">
        <v>5017</v>
      </c>
      <c r="C575" s="83" t="s">
        <v>5867</v>
      </c>
      <c r="D575" s="83" t="s">
        <v>5868</v>
      </c>
    </row>
    <row r="576" spans="1:4">
      <c r="A576" s="83" t="s">
        <v>5866</v>
      </c>
      <c r="B576" s="83" t="s">
        <v>5012</v>
      </c>
      <c r="C576" s="83" t="s">
        <v>5869</v>
      </c>
      <c r="D576" s="83" t="s">
        <v>5868</v>
      </c>
    </row>
    <row r="577" spans="1:4">
      <c r="A577" s="83" t="s">
        <v>5866</v>
      </c>
      <c r="B577" s="83" t="s">
        <v>5015</v>
      </c>
      <c r="C577" s="83" t="s">
        <v>5870</v>
      </c>
      <c r="D577" s="83" t="s">
        <v>5868</v>
      </c>
    </row>
    <row r="578" spans="1:4">
      <c r="A578" s="83" t="s">
        <v>5866</v>
      </c>
      <c r="B578" s="83" t="s">
        <v>5010</v>
      </c>
      <c r="C578" s="83" t="s">
        <v>5871</v>
      </c>
      <c r="D578" s="83" t="s">
        <v>5868</v>
      </c>
    </row>
    <row r="579" spans="1:4">
      <c r="A579" s="83" t="s">
        <v>5872</v>
      </c>
      <c r="B579" s="83" t="s">
        <v>5017</v>
      </c>
      <c r="C579" s="83" t="s">
        <v>5873</v>
      </c>
      <c r="D579" s="83" t="s">
        <v>5874</v>
      </c>
    </row>
    <row r="580" spans="1:4">
      <c r="A580" s="83" t="s">
        <v>5872</v>
      </c>
      <c r="B580" s="83" t="s">
        <v>5012</v>
      </c>
      <c r="C580" s="83" t="s">
        <v>5875</v>
      </c>
      <c r="D580" s="83" t="s">
        <v>5874</v>
      </c>
    </row>
    <row r="581" spans="1:4">
      <c r="A581" s="83" t="s">
        <v>5872</v>
      </c>
      <c r="B581" s="83" t="s">
        <v>5015</v>
      </c>
      <c r="C581" s="83" t="s">
        <v>5876</v>
      </c>
      <c r="D581" s="83" t="s">
        <v>5874</v>
      </c>
    </row>
    <row r="582" spans="1:4">
      <c r="A582" s="83" t="s">
        <v>5872</v>
      </c>
      <c r="B582" s="83" t="s">
        <v>5010</v>
      </c>
      <c r="C582" s="83" t="s">
        <v>5848</v>
      </c>
      <c r="D582" s="83" t="s">
        <v>5874</v>
      </c>
    </row>
    <row r="583" spans="1:4">
      <c r="A583" s="83" t="s">
        <v>5877</v>
      </c>
      <c r="B583" s="83" t="s">
        <v>5017</v>
      </c>
      <c r="C583" s="83" t="s">
        <v>5878</v>
      </c>
      <c r="D583" s="83" t="s">
        <v>5879</v>
      </c>
    </row>
    <row r="584" spans="1:4">
      <c r="A584" s="83" t="s">
        <v>5877</v>
      </c>
      <c r="B584" s="83" t="s">
        <v>5012</v>
      </c>
      <c r="C584" s="83" t="s">
        <v>5880</v>
      </c>
      <c r="D584" s="83" t="s">
        <v>5879</v>
      </c>
    </row>
    <row r="585" spans="1:4">
      <c r="A585" s="83" t="s">
        <v>5877</v>
      </c>
      <c r="B585" s="83" t="s">
        <v>5015</v>
      </c>
      <c r="C585" s="83" t="s">
        <v>5881</v>
      </c>
      <c r="D585" s="83" t="s">
        <v>5879</v>
      </c>
    </row>
    <row r="586" spans="1:4">
      <c r="A586" s="83" t="s">
        <v>5877</v>
      </c>
      <c r="B586" s="83" t="s">
        <v>5010</v>
      </c>
      <c r="C586" s="83" t="s">
        <v>5882</v>
      </c>
      <c r="D586" s="83" t="s">
        <v>5879</v>
      </c>
    </row>
    <row r="587" spans="1:4">
      <c r="A587" s="83" t="s">
        <v>5883</v>
      </c>
      <c r="B587" s="83" t="s">
        <v>5017</v>
      </c>
      <c r="C587" s="83" t="s">
        <v>5884</v>
      </c>
      <c r="D587" s="83" t="s">
        <v>5885</v>
      </c>
    </row>
    <row r="588" spans="1:4">
      <c r="A588" s="83" t="s">
        <v>5883</v>
      </c>
      <c r="B588" s="83" t="s">
        <v>5012</v>
      </c>
      <c r="C588" s="83" t="s">
        <v>5886</v>
      </c>
      <c r="D588" s="83" t="s">
        <v>5885</v>
      </c>
    </row>
    <row r="589" spans="1:4">
      <c r="A589" s="83" t="s">
        <v>5883</v>
      </c>
      <c r="B589" s="83" t="s">
        <v>5015</v>
      </c>
      <c r="C589" s="83" t="s">
        <v>5887</v>
      </c>
      <c r="D589" s="83" t="s">
        <v>5885</v>
      </c>
    </row>
    <row r="590" spans="1:4">
      <c r="A590" s="83" t="s">
        <v>5883</v>
      </c>
      <c r="B590" s="83" t="s">
        <v>5010</v>
      </c>
      <c r="C590" s="83" t="s">
        <v>5882</v>
      </c>
      <c r="D590" s="83" t="s">
        <v>5885</v>
      </c>
    </row>
    <row r="591" spans="1:4">
      <c r="A591" s="83" t="s">
        <v>5888</v>
      </c>
      <c r="B591" s="83" t="s">
        <v>5017</v>
      </c>
      <c r="C591" s="83" t="s">
        <v>5889</v>
      </c>
      <c r="D591" s="83" t="s">
        <v>5890</v>
      </c>
    </row>
    <row r="592" spans="1:4">
      <c r="A592" s="83" t="s">
        <v>5888</v>
      </c>
      <c r="B592" s="83" t="s">
        <v>5012</v>
      </c>
      <c r="C592" s="83" t="s">
        <v>5891</v>
      </c>
      <c r="D592" s="83" t="s">
        <v>5890</v>
      </c>
    </row>
    <row r="593" spans="1:4">
      <c r="A593" s="83" t="s">
        <v>5888</v>
      </c>
      <c r="B593" s="83" t="s">
        <v>5015</v>
      </c>
      <c r="C593" s="83" t="s">
        <v>5892</v>
      </c>
      <c r="D593" s="83" t="s">
        <v>5890</v>
      </c>
    </row>
    <row r="594" spans="1:4">
      <c r="A594" s="83" t="s">
        <v>5888</v>
      </c>
      <c r="B594" s="83" t="s">
        <v>5010</v>
      </c>
      <c r="C594" s="83" t="s">
        <v>5893</v>
      </c>
      <c r="D594" s="83" t="s">
        <v>5890</v>
      </c>
    </row>
    <row r="595" spans="1:4">
      <c r="A595" s="83" t="s">
        <v>5894</v>
      </c>
      <c r="B595" s="83" t="s">
        <v>5017</v>
      </c>
      <c r="C595" s="83" t="s">
        <v>5895</v>
      </c>
      <c r="D595" s="83" t="s">
        <v>5896</v>
      </c>
    </row>
    <row r="596" spans="1:4">
      <c r="A596" s="83" t="s">
        <v>5894</v>
      </c>
      <c r="B596" s="83" t="s">
        <v>5012</v>
      </c>
      <c r="C596" s="83" t="s">
        <v>5897</v>
      </c>
      <c r="D596" s="83" t="s">
        <v>5896</v>
      </c>
    </row>
    <row r="597" spans="1:4">
      <c r="A597" s="83" t="s">
        <v>5894</v>
      </c>
      <c r="B597" s="83" t="s">
        <v>5015</v>
      </c>
      <c r="C597" s="83" t="s">
        <v>5898</v>
      </c>
      <c r="D597" s="83" t="s">
        <v>5896</v>
      </c>
    </row>
    <row r="598" spans="1:4">
      <c r="A598" s="83" t="s">
        <v>5894</v>
      </c>
      <c r="B598" s="83" t="s">
        <v>5010</v>
      </c>
      <c r="C598" s="83" t="s">
        <v>5848</v>
      </c>
      <c r="D598" s="83" t="s">
        <v>5896</v>
      </c>
    </row>
    <row r="599" spans="1:4">
      <c r="A599" s="83" t="s">
        <v>5899</v>
      </c>
      <c r="B599" s="83" t="s">
        <v>5017</v>
      </c>
      <c r="C599" s="83" t="s">
        <v>5900</v>
      </c>
      <c r="D599" s="83" t="s">
        <v>5901</v>
      </c>
    </row>
    <row r="600" spans="1:4">
      <c r="A600" s="83" t="s">
        <v>5899</v>
      </c>
      <c r="B600" s="83" t="s">
        <v>5012</v>
      </c>
      <c r="C600" s="83" t="s">
        <v>5902</v>
      </c>
      <c r="D600" s="83" t="s">
        <v>5901</v>
      </c>
    </row>
    <row r="601" spans="1:4">
      <c r="A601" s="83" t="s">
        <v>5899</v>
      </c>
      <c r="B601" s="83" t="s">
        <v>5015</v>
      </c>
      <c r="C601" s="83" t="s">
        <v>5903</v>
      </c>
      <c r="D601" s="83" t="s">
        <v>5901</v>
      </c>
    </row>
    <row r="602" spans="1:4">
      <c r="A602" s="83" t="s">
        <v>5899</v>
      </c>
      <c r="B602" s="83" t="s">
        <v>5010</v>
      </c>
      <c r="C602" s="83" t="s">
        <v>5904</v>
      </c>
      <c r="D602" s="83" t="s">
        <v>5901</v>
      </c>
    </row>
    <row r="603" spans="1:4">
      <c r="A603" s="83" t="s">
        <v>5905</v>
      </c>
      <c r="B603" s="83" t="s">
        <v>5017</v>
      </c>
      <c r="C603" s="83" t="s">
        <v>5906</v>
      </c>
      <c r="D603" s="83" t="s">
        <v>5907</v>
      </c>
    </row>
    <row r="604" spans="1:4">
      <c r="A604" s="83" t="s">
        <v>5905</v>
      </c>
      <c r="B604" s="83" t="s">
        <v>5012</v>
      </c>
      <c r="C604" s="83" t="s">
        <v>5908</v>
      </c>
      <c r="D604" s="83" t="s">
        <v>5907</v>
      </c>
    </row>
    <row r="605" spans="1:4">
      <c r="A605" s="83" t="s">
        <v>5905</v>
      </c>
      <c r="B605" s="83" t="s">
        <v>5015</v>
      </c>
      <c r="C605" s="83" t="s">
        <v>5909</v>
      </c>
      <c r="D605" s="83" t="s">
        <v>5907</v>
      </c>
    </row>
    <row r="606" spans="1:4">
      <c r="A606" s="83" t="s">
        <v>5905</v>
      </c>
      <c r="B606" s="83" t="s">
        <v>5010</v>
      </c>
      <c r="C606" s="83" t="s">
        <v>5910</v>
      </c>
      <c r="D606" s="83" t="s">
        <v>5907</v>
      </c>
    </row>
    <row r="607" spans="1:4">
      <c r="A607" s="83" t="s">
        <v>5911</v>
      </c>
      <c r="B607" s="83" t="s">
        <v>5017</v>
      </c>
      <c r="C607" s="83" t="s">
        <v>5912</v>
      </c>
      <c r="D607" s="83" t="s">
        <v>5913</v>
      </c>
    </row>
    <row r="608" spans="1:4">
      <c r="A608" s="83" t="s">
        <v>5911</v>
      </c>
      <c r="B608" s="83" t="s">
        <v>5012</v>
      </c>
      <c r="C608" s="83" t="s">
        <v>5914</v>
      </c>
      <c r="D608" s="83" t="s">
        <v>5913</v>
      </c>
    </row>
    <row r="609" spans="1:4">
      <c r="A609" s="83" t="s">
        <v>5911</v>
      </c>
      <c r="B609" s="83" t="s">
        <v>5015</v>
      </c>
      <c r="C609" s="83" t="s">
        <v>5915</v>
      </c>
      <c r="D609" s="83" t="s">
        <v>5913</v>
      </c>
    </row>
    <row r="610" spans="1:4">
      <c r="A610" s="83" t="s">
        <v>5911</v>
      </c>
      <c r="B610" s="83" t="s">
        <v>5010</v>
      </c>
      <c r="C610" s="83" t="s">
        <v>5916</v>
      </c>
      <c r="D610" s="83" t="s">
        <v>5913</v>
      </c>
    </row>
    <row r="611" spans="1:4">
      <c r="A611" s="83" t="s">
        <v>5917</v>
      </c>
      <c r="B611" s="83" t="s">
        <v>5017</v>
      </c>
      <c r="C611" s="83" t="s">
        <v>5918</v>
      </c>
      <c r="D611" s="83" t="s">
        <v>5919</v>
      </c>
    </row>
    <row r="612" spans="1:4">
      <c r="A612" s="83" t="s">
        <v>5917</v>
      </c>
      <c r="B612" s="83" t="s">
        <v>5012</v>
      </c>
      <c r="C612" s="83" t="s">
        <v>5920</v>
      </c>
      <c r="D612" s="83" t="s">
        <v>5919</v>
      </c>
    </row>
    <row r="613" spans="1:4">
      <c r="A613" s="83" t="s">
        <v>5917</v>
      </c>
      <c r="B613" s="83" t="s">
        <v>5015</v>
      </c>
      <c r="C613" s="83" t="s">
        <v>5921</v>
      </c>
      <c r="D613" s="83" t="s">
        <v>5919</v>
      </c>
    </row>
    <row r="614" spans="1:4">
      <c r="A614" s="83" t="s">
        <v>5917</v>
      </c>
      <c r="B614" s="83" t="s">
        <v>5010</v>
      </c>
      <c r="C614" s="83" t="s">
        <v>5922</v>
      </c>
      <c r="D614" s="83" t="s">
        <v>5919</v>
      </c>
    </row>
    <row r="615" spans="1:4">
      <c r="A615" s="83" t="s">
        <v>5923</v>
      </c>
      <c r="B615" s="83" t="s">
        <v>5017</v>
      </c>
      <c r="C615" s="83" t="s">
        <v>5924</v>
      </c>
      <c r="D615" s="83" t="s">
        <v>5925</v>
      </c>
    </row>
    <row r="616" spans="1:4">
      <c r="A616" s="83" t="s">
        <v>5923</v>
      </c>
      <c r="B616" s="83" t="s">
        <v>5012</v>
      </c>
      <c r="C616" s="83" t="s">
        <v>5926</v>
      </c>
      <c r="D616" s="83" t="s">
        <v>5925</v>
      </c>
    </row>
    <row r="617" spans="1:4">
      <c r="A617" s="83" t="s">
        <v>5923</v>
      </c>
      <c r="B617" s="83" t="s">
        <v>5015</v>
      </c>
      <c r="C617" s="83" t="s">
        <v>5927</v>
      </c>
      <c r="D617" s="83" t="s">
        <v>5925</v>
      </c>
    </row>
    <row r="618" spans="1:4">
      <c r="A618" s="83" t="s">
        <v>5923</v>
      </c>
      <c r="B618" s="83" t="s">
        <v>5010</v>
      </c>
      <c r="C618" s="83" t="s">
        <v>5928</v>
      </c>
      <c r="D618" s="83" t="s">
        <v>5925</v>
      </c>
    </row>
    <row r="619" spans="1:4">
      <c r="A619" s="83" t="s">
        <v>5929</v>
      </c>
      <c r="B619" s="83" t="s">
        <v>5017</v>
      </c>
      <c r="C619" s="83" t="s">
        <v>5930</v>
      </c>
      <c r="D619" s="83" t="s">
        <v>5931</v>
      </c>
    </row>
    <row r="620" spans="1:4">
      <c r="A620" s="83" t="s">
        <v>5929</v>
      </c>
      <c r="B620" s="83" t="s">
        <v>5012</v>
      </c>
      <c r="C620" s="83" t="s">
        <v>5932</v>
      </c>
      <c r="D620" s="83" t="s">
        <v>5931</v>
      </c>
    </row>
    <row r="621" spans="1:4">
      <c r="A621" s="83" t="s">
        <v>5929</v>
      </c>
      <c r="B621" s="83" t="s">
        <v>5015</v>
      </c>
      <c r="C621" s="83" t="s">
        <v>5933</v>
      </c>
      <c r="D621" s="83" t="s">
        <v>5931</v>
      </c>
    </row>
    <row r="622" spans="1:4">
      <c r="A622" s="83" t="s">
        <v>5929</v>
      </c>
      <c r="B622" s="83" t="s">
        <v>5010</v>
      </c>
      <c r="C622" s="83" t="s">
        <v>5934</v>
      </c>
      <c r="D622" s="83" t="s">
        <v>5931</v>
      </c>
    </row>
    <row r="623" spans="1:4">
      <c r="A623" s="83" t="s">
        <v>5935</v>
      </c>
      <c r="B623" s="83" t="s">
        <v>5017</v>
      </c>
      <c r="C623" s="83" t="s">
        <v>5936</v>
      </c>
      <c r="D623" s="83" t="s">
        <v>5937</v>
      </c>
    </row>
    <row r="624" spans="1:4">
      <c r="A624" s="83" t="s">
        <v>5935</v>
      </c>
      <c r="B624" s="83" t="s">
        <v>5012</v>
      </c>
      <c r="C624" s="83" t="s">
        <v>5938</v>
      </c>
      <c r="D624" s="83" t="s">
        <v>5937</v>
      </c>
    </row>
    <row r="625" spans="1:4">
      <c r="A625" s="83" t="s">
        <v>5935</v>
      </c>
      <c r="B625" s="83" t="s">
        <v>5015</v>
      </c>
      <c r="C625" s="83" t="s">
        <v>5939</v>
      </c>
      <c r="D625" s="83" t="s">
        <v>5937</v>
      </c>
    </row>
    <row r="626" spans="1:4">
      <c r="A626" s="83" t="s">
        <v>5935</v>
      </c>
      <c r="B626" s="83" t="s">
        <v>5010</v>
      </c>
      <c r="C626" s="83" t="s">
        <v>5940</v>
      </c>
      <c r="D626" s="83" t="s">
        <v>5937</v>
      </c>
    </row>
    <row r="627" spans="1:4">
      <c r="A627" s="83" t="s">
        <v>5941</v>
      </c>
      <c r="B627" s="83" t="s">
        <v>5017</v>
      </c>
      <c r="C627" s="83" t="s">
        <v>5942</v>
      </c>
      <c r="D627" s="83" t="s">
        <v>5943</v>
      </c>
    </row>
    <row r="628" spans="1:4">
      <c r="A628" s="83" t="s">
        <v>5941</v>
      </c>
      <c r="B628" s="83" t="s">
        <v>5012</v>
      </c>
      <c r="C628" s="83" t="s">
        <v>5944</v>
      </c>
      <c r="D628" s="83" t="s">
        <v>5943</v>
      </c>
    </row>
    <row r="629" spans="1:4">
      <c r="A629" s="83" t="s">
        <v>5941</v>
      </c>
      <c r="B629" s="83" t="s">
        <v>5015</v>
      </c>
      <c r="C629" s="83" t="s">
        <v>5945</v>
      </c>
      <c r="D629" s="83" t="s">
        <v>5943</v>
      </c>
    </row>
    <row r="630" spans="1:4">
      <c r="A630" s="83" t="s">
        <v>5941</v>
      </c>
      <c r="B630" s="83" t="s">
        <v>5010</v>
      </c>
      <c r="C630" s="83" t="s">
        <v>5837</v>
      </c>
      <c r="D630" s="83" t="s">
        <v>5943</v>
      </c>
    </row>
    <row r="631" spans="1:4">
      <c r="A631" s="83" t="s">
        <v>5946</v>
      </c>
      <c r="B631" s="83" t="s">
        <v>5017</v>
      </c>
      <c r="C631" s="83" t="s">
        <v>5947</v>
      </c>
      <c r="D631" s="83" t="s">
        <v>5948</v>
      </c>
    </row>
    <row r="632" spans="1:4">
      <c r="A632" s="83" t="s">
        <v>5946</v>
      </c>
      <c r="B632" s="83" t="s">
        <v>5012</v>
      </c>
      <c r="C632" s="83" t="s">
        <v>5949</v>
      </c>
      <c r="D632" s="83" t="s">
        <v>5948</v>
      </c>
    </row>
    <row r="633" spans="1:4">
      <c r="A633" s="83" t="s">
        <v>5946</v>
      </c>
      <c r="B633" s="83" t="s">
        <v>5015</v>
      </c>
      <c r="C633" s="83" t="s">
        <v>5950</v>
      </c>
      <c r="D633" s="83" t="s">
        <v>5948</v>
      </c>
    </row>
    <row r="634" spans="1:4">
      <c r="A634" s="83" t="s">
        <v>5946</v>
      </c>
      <c r="B634" s="83" t="s">
        <v>5010</v>
      </c>
      <c r="C634" s="83" t="s">
        <v>5951</v>
      </c>
      <c r="D634" s="83" t="s">
        <v>5948</v>
      </c>
    </row>
    <row r="635" spans="1:4">
      <c r="A635" s="83" t="s">
        <v>5952</v>
      </c>
      <c r="B635" s="83" t="s">
        <v>5017</v>
      </c>
      <c r="C635" s="83" t="s">
        <v>5953</v>
      </c>
      <c r="D635" s="83" t="s">
        <v>5954</v>
      </c>
    </row>
    <row r="636" spans="1:4">
      <c r="A636" s="83" t="s">
        <v>5952</v>
      </c>
      <c r="B636" s="83" t="s">
        <v>5012</v>
      </c>
      <c r="C636" s="83" t="s">
        <v>5955</v>
      </c>
      <c r="D636" s="83" t="s">
        <v>5954</v>
      </c>
    </row>
    <row r="637" spans="1:4">
      <c r="A637" s="83" t="s">
        <v>5952</v>
      </c>
      <c r="B637" s="83" t="s">
        <v>5015</v>
      </c>
      <c r="C637" s="83" t="s">
        <v>5956</v>
      </c>
      <c r="D637" s="83" t="s">
        <v>5954</v>
      </c>
    </row>
    <row r="638" spans="1:4">
      <c r="A638" s="83" t="s">
        <v>5952</v>
      </c>
      <c r="B638" s="83" t="s">
        <v>5010</v>
      </c>
      <c r="C638" s="83" t="s">
        <v>5957</v>
      </c>
      <c r="D638" s="83" t="s">
        <v>5954</v>
      </c>
    </row>
    <row r="639" spans="1:4">
      <c r="A639" s="83" t="s">
        <v>5958</v>
      </c>
      <c r="B639" s="83" t="s">
        <v>5017</v>
      </c>
      <c r="C639" s="83" t="s">
        <v>5959</v>
      </c>
      <c r="D639" s="83" t="s">
        <v>5960</v>
      </c>
    </row>
    <row r="640" spans="1:4">
      <c r="A640" s="83" t="s">
        <v>5958</v>
      </c>
      <c r="B640" s="83" t="s">
        <v>5012</v>
      </c>
      <c r="C640" s="83" t="s">
        <v>5961</v>
      </c>
      <c r="D640" s="83" t="s">
        <v>5960</v>
      </c>
    </row>
    <row r="641" spans="1:4">
      <c r="A641" s="83" t="s">
        <v>5958</v>
      </c>
      <c r="B641" s="83" t="s">
        <v>5015</v>
      </c>
      <c r="C641" s="83" t="s">
        <v>5962</v>
      </c>
      <c r="D641" s="83" t="s">
        <v>5960</v>
      </c>
    </row>
    <row r="642" spans="1:4">
      <c r="A642" s="83" t="s">
        <v>5958</v>
      </c>
      <c r="B642" s="83" t="s">
        <v>5010</v>
      </c>
      <c r="C642" s="83" t="s">
        <v>5963</v>
      </c>
      <c r="D642" s="83" t="s">
        <v>5960</v>
      </c>
    </row>
    <row r="643" spans="1:4">
      <c r="A643" s="83" t="s">
        <v>5964</v>
      </c>
      <c r="B643" s="83" t="s">
        <v>5017</v>
      </c>
      <c r="C643" s="83" t="s">
        <v>5965</v>
      </c>
      <c r="D643" s="83" t="s">
        <v>5966</v>
      </c>
    </row>
    <row r="644" spans="1:4">
      <c r="A644" s="83" t="s">
        <v>5964</v>
      </c>
      <c r="B644" s="83" t="s">
        <v>5012</v>
      </c>
      <c r="C644" s="83" t="s">
        <v>5967</v>
      </c>
      <c r="D644" s="83" t="s">
        <v>5966</v>
      </c>
    </row>
    <row r="645" spans="1:4">
      <c r="A645" s="83" t="s">
        <v>5964</v>
      </c>
      <c r="B645" s="83" t="s">
        <v>5015</v>
      </c>
      <c r="C645" s="83" t="s">
        <v>5968</v>
      </c>
      <c r="D645" s="83" t="s">
        <v>5966</v>
      </c>
    </row>
    <row r="646" spans="1:4">
      <c r="A646" s="83" t="s">
        <v>5964</v>
      </c>
      <c r="B646" s="83" t="s">
        <v>5010</v>
      </c>
      <c r="C646" s="83" t="s">
        <v>5969</v>
      </c>
      <c r="D646" s="83" t="s">
        <v>5966</v>
      </c>
    </row>
    <row r="647" spans="1:4">
      <c r="A647" s="83" t="s">
        <v>5970</v>
      </c>
      <c r="B647" s="83" t="s">
        <v>5017</v>
      </c>
      <c r="C647" s="83" t="s">
        <v>5971</v>
      </c>
      <c r="D647" s="83" t="s">
        <v>5972</v>
      </c>
    </row>
    <row r="648" spans="1:4">
      <c r="A648" s="83" t="s">
        <v>5970</v>
      </c>
      <c r="B648" s="83" t="s">
        <v>5012</v>
      </c>
      <c r="C648" s="83" t="s">
        <v>5973</v>
      </c>
      <c r="D648" s="83" t="s">
        <v>5972</v>
      </c>
    </row>
    <row r="649" spans="1:4">
      <c r="A649" s="83" t="s">
        <v>5970</v>
      </c>
      <c r="B649" s="83" t="s">
        <v>5015</v>
      </c>
      <c r="C649" s="83" t="s">
        <v>5974</v>
      </c>
      <c r="D649" s="83" t="s">
        <v>5972</v>
      </c>
    </row>
    <row r="650" spans="1:4">
      <c r="A650" s="83" t="s">
        <v>5970</v>
      </c>
      <c r="B650" s="83" t="s">
        <v>5010</v>
      </c>
      <c r="C650" s="83" t="s">
        <v>5975</v>
      </c>
      <c r="D650" s="83" t="s">
        <v>5972</v>
      </c>
    </row>
    <row r="651" spans="1:4">
      <c r="A651" s="83" t="s">
        <v>5976</v>
      </c>
      <c r="B651" s="83" t="s">
        <v>5017</v>
      </c>
      <c r="C651" s="83" t="s">
        <v>5977</v>
      </c>
      <c r="D651" s="83" t="s">
        <v>5978</v>
      </c>
    </row>
    <row r="652" spans="1:4">
      <c r="A652" s="83" t="s">
        <v>5976</v>
      </c>
      <c r="B652" s="83" t="s">
        <v>5012</v>
      </c>
      <c r="C652" s="83" t="s">
        <v>5979</v>
      </c>
      <c r="D652" s="83" t="s">
        <v>5978</v>
      </c>
    </row>
    <row r="653" spans="1:4">
      <c r="A653" s="83" t="s">
        <v>5976</v>
      </c>
      <c r="B653" s="83" t="s">
        <v>5015</v>
      </c>
      <c r="C653" s="83" t="s">
        <v>5980</v>
      </c>
      <c r="D653" s="83" t="s">
        <v>5978</v>
      </c>
    </row>
    <row r="654" spans="1:4">
      <c r="A654" s="83" t="s">
        <v>5976</v>
      </c>
      <c r="B654" s="83" t="s">
        <v>5010</v>
      </c>
      <c r="C654" s="83" t="s">
        <v>5981</v>
      </c>
      <c r="D654" s="83" t="s">
        <v>5978</v>
      </c>
    </row>
    <row r="655" spans="1:4">
      <c r="A655" s="83" t="s">
        <v>5982</v>
      </c>
      <c r="B655" s="83" t="s">
        <v>5017</v>
      </c>
      <c r="C655" s="83" t="s">
        <v>5983</v>
      </c>
      <c r="D655" s="83" t="s">
        <v>5984</v>
      </c>
    </row>
    <row r="656" spans="1:4">
      <c r="A656" s="83" t="s">
        <v>5982</v>
      </c>
      <c r="B656" s="83" t="s">
        <v>5012</v>
      </c>
      <c r="C656" s="83" t="s">
        <v>5985</v>
      </c>
      <c r="D656" s="83" t="s">
        <v>5984</v>
      </c>
    </row>
    <row r="657" spans="1:4">
      <c r="A657" s="83" t="s">
        <v>5982</v>
      </c>
      <c r="B657" s="83" t="s">
        <v>5015</v>
      </c>
      <c r="C657" s="83" t="s">
        <v>5986</v>
      </c>
      <c r="D657" s="83" t="s">
        <v>5984</v>
      </c>
    </row>
    <row r="658" spans="1:4">
      <c r="A658" s="83" t="s">
        <v>5982</v>
      </c>
      <c r="B658" s="83" t="s">
        <v>5010</v>
      </c>
      <c r="C658" s="83" t="s">
        <v>5987</v>
      </c>
      <c r="D658" s="83" t="s">
        <v>5984</v>
      </c>
    </row>
    <row r="659" spans="1:4">
      <c r="A659" s="83" t="s">
        <v>5988</v>
      </c>
      <c r="B659" s="83" t="s">
        <v>5017</v>
      </c>
      <c r="C659" s="83" t="s">
        <v>5989</v>
      </c>
      <c r="D659" s="83" t="s">
        <v>5990</v>
      </c>
    </row>
    <row r="660" spans="1:4">
      <c r="A660" s="83" t="s">
        <v>5988</v>
      </c>
      <c r="B660" s="83" t="s">
        <v>5012</v>
      </c>
      <c r="C660" s="83" t="s">
        <v>5991</v>
      </c>
      <c r="D660" s="83" t="s">
        <v>5990</v>
      </c>
    </row>
    <row r="661" spans="1:4">
      <c r="A661" s="83" t="s">
        <v>5988</v>
      </c>
      <c r="B661" s="83" t="s">
        <v>5015</v>
      </c>
      <c r="C661" s="83" t="s">
        <v>5992</v>
      </c>
      <c r="D661" s="83" t="s">
        <v>5990</v>
      </c>
    </row>
    <row r="662" spans="1:4">
      <c r="A662" s="83" t="s">
        <v>5988</v>
      </c>
      <c r="B662" s="83" t="s">
        <v>5010</v>
      </c>
      <c r="C662" s="83" t="s">
        <v>5993</v>
      </c>
      <c r="D662" s="83" t="s">
        <v>5990</v>
      </c>
    </row>
    <row r="663" spans="1:4">
      <c r="A663" s="83" t="s">
        <v>5994</v>
      </c>
      <c r="B663" s="83" t="s">
        <v>5017</v>
      </c>
      <c r="C663" s="83" t="s">
        <v>5995</v>
      </c>
      <c r="D663" s="83" t="s">
        <v>5996</v>
      </c>
    </row>
    <row r="664" spans="1:4">
      <c r="A664" s="83" t="s">
        <v>5994</v>
      </c>
      <c r="B664" s="83" t="s">
        <v>5012</v>
      </c>
      <c r="C664" s="83" t="s">
        <v>5997</v>
      </c>
      <c r="D664" s="83" t="s">
        <v>5996</v>
      </c>
    </row>
    <row r="665" spans="1:4">
      <c r="A665" s="83" t="s">
        <v>5994</v>
      </c>
      <c r="B665" s="83" t="s">
        <v>5015</v>
      </c>
      <c r="C665" s="83" t="s">
        <v>5998</v>
      </c>
      <c r="D665" s="83" t="s">
        <v>5996</v>
      </c>
    </row>
    <row r="666" spans="1:4">
      <c r="A666" s="83" t="s">
        <v>5994</v>
      </c>
      <c r="B666" s="83" t="s">
        <v>5010</v>
      </c>
      <c r="C666" s="83" t="s">
        <v>5999</v>
      </c>
      <c r="D666" s="83" t="s">
        <v>5996</v>
      </c>
    </row>
    <row r="667" spans="1:4">
      <c r="A667" s="83" t="s">
        <v>6000</v>
      </c>
      <c r="B667" s="83" t="s">
        <v>5017</v>
      </c>
      <c r="C667" s="83" t="s">
        <v>6001</v>
      </c>
      <c r="D667" s="83" t="s">
        <v>6002</v>
      </c>
    </row>
    <row r="668" spans="1:4">
      <c r="A668" s="83" t="s">
        <v>6000</v>
      </c>
      <c r="B668" s="83" t="s">
        <v>5012</v>
      </c>
      <c r="C668" s="83" t="s">
        <v>6003</v>
      </c>
      <c r="D668" s="83" t="s">
        <v>6002</v>
      </c>
    </row>
    <row r="669" spans="1:4">
      <c r="A669" s="83" t="s">
        <v>6000</v>
      </c>
      <c r="B669" s="83" t="s">
        <v>5015</v>
      </c>
      <c r="C669" s="83" t="s">
        <v>6004</v>
      </c>
      <c r="D669" s="83" t="s">
        <v>6002</v>
      </c>
    </row>
    <row r="670" spans="1:4">
      <c r="A670" s="83" t="s">
        <v>6000</v>
      </c>
      <c r="B670" s="83" t="s">
        <v>5010</v>
      </c>
      <c r="C670" s="83" t="s">
        <v>6005</v>
      </c>
      <c r="D670" s="83" t="s">
        <v>6002</v>
      </c>
    </row>
    <row r="671" spans="1:4">
      <c r="A671" s="83" t="s">
        <v>6006</v>
      </c>
      <c r="B671" s="83" t="s">
        <v>5017</v>
      </c>
      <c r="C671" s="83" t="s">
        <v>6007</v>
      </c>
      <c r="D671" s="83" t="s">
        <v>6008</v>
      </c>
    </row>
    <row r="672" spans="1:4">
      <c r="A672" s="83" t="s">
        <v>6006</v>
      </c>
      <c r="B672" s="83" t="s">
        <v>5012</v>
      </c>
      <c r="C672" s="83" t="s">
        <v>6009</v>
      </c>
      <c r="D672" s="83" t="s">
        <v>6008</v>
      </c>
    </row>
    <row r="673" spans="1:4">
      <c r="A673" s="83" t="s">
        <v>6006</v>
      </c>
      <c r="B673" s="83" t="s">
        <v>5015</v>
      </c>
      <c r="C673" s="83" t="s">
        <v>6010</v>
      </c>
      <c r="D673" s="83" t="s">
        <v>6008</v>
      </c>
    </row>
    <row r="674" spans="1:4">
      <c r="A674" s="83" t="s">
        <v>6006</v>
      </c>
      <c r="B674" s="83" t="s">
        <v>5010</v>
      </c>
      <c r="C674" s="83" t="s">
        <v>6011</v>
      </c>
      <c r="D674" s="83" t="s">
        <v>6008</v>
      </c>
    </row>
    <row r="675" spans="1:4">
      <c r="A675" s="83" t="s">
        <v>6012</v>
      </c>
      <c r="B675" s="83" t="s">
        <v>5017</v>
      </c>
      <c r="C675" s="83" t="s">
        <v>6013</v>
      </c>
      <c r="D675" s="83" t="s">
        <v>6014</v>
      </c>
    </row>
    <row r="676" spans="1:4">
      <c r="A676" s="83" t="s">
        <v>6012</v>
      </c>
      <c r="B676" s="83" t="s">
        <v>5012</v>
      </c>
      <c r="C676" s="83" t="s">
        <v>6015</v>
      </c>
      <c r="D676" s="83" t="s">
        <v>6014</v>
      </c>
    </row>
    <row r="677" spans="1:4">
      <c r="A677" s="83" t="s">
        <v>6012</v>
      </c>
      <c r="B677" s="83" t="s">
        <v>5015</v>
      </c>
      <c r="C677" s="83" t="s">
        <v>6016</v>
      </c>
      <c r="D677" s="83" t="s">
        <v>6014</v>
      </c>
    </row>
    <row r="678" spans="1:4">
      <c r="A678" s="83" t="s">
        <v>6012</v>
      </c>
      <c r="B678" s="83" t="s">
        <v>5010</v>
      </c>
      <c r="C678" s="83" t="s">
        <v>6017</v>
      </c>
      <c r="D678" s="83" t="s">
        <v>6014</v>
      </c>
    </row>
    <row r="679" spans="1:4">
      <c r="A679" s="83" t="s">
        <v>6018</v>
      </c>
      <c r="B679" s="83" t="s">
        <v>5017</v>
      </c>
      <c r="C679" s="83" t="s">
        <v>6019</v>
      </c>
      <c r="D679" s="83" t="s">
        <v>6020</v>
      </c>
    </row>
    <row r="680" spans="1:4">
      <c r="A680" s="83" t="s">
        <v>6018</v>
      </c>
      <c r="B680" s="83" t="s">
        <v>5012</v>
      </c>
      <c r="C680" s="83" t="s">
        <v>6021</v>
      </c>
      <c r="D680" s="83" t="s">
        <v>6020</v>
      </c>
    </row>
    <row r="681" spans="1:4">
      <c r="A681" s="83" t="s">
        <v>6018</v>
      </c>
      <c r="B681" s="83" t="s">
        <v>5015</v>
      </c>
      <c r="C681" s="83" t="s">
        <v>6022</v>
      </c>
      <c r="D681" s="83" t="s">
        <v>6020</v>
      </c>
    </row>
    <row r="682" spans="1:4">
      <c r="A682" s="83" t="s">
        <v>6018</v>
      </c>
      <c r="B682" s="83" t="s">
        <v>5010</v>
      </c>
      <c r="C682" s="83" t="s">
        <v>6023</v>
      </c>
      <c r="D682" s="83" t="s">
        <v>6020</v>
      </c>
    </row>
    <row r="683" spans="1:4">
      <c r="A683" s="83" t="s">
        <v>6024</v>
      </c>
      <c r="B683" s="83" t="s">
        <v>5017</v>
      </c>
      <c r="C683" s="83" t="s">
        <v>6025</v>
      </c>
      <c r="D683" s="83" t="s">
        <v>6026</v>
      </c>
    </row>
    <row r="684" spans="1:4">
      <c r="A684" s="83" t="s">
        <v>6024</v>
      </c>
      <c r="B684" s="83" t="s">
        <v>5012</v>
      </c>
      <c r="C684" s="83" t="s">
        <v>6027</v>
      </c>
      <c r="D684" s="83" t="s">
        <v>6026</v>
      </c>
    </row>
    <row r="685" spans="1:4">
      <c r="A685" s="83" t="s">
        <v>6024</v>
      </c>
      <c r="B685" s="83" t="s">
        <v>5015</v>
      </c>
      <c r="C685" s="83" t="s">
        <v>6028</v>
      </c>
      <c r="D685" s="83" t="s">
        <v>6026</v>
      </c>
    </row>
    <row r="686" spans="1:4">
      <c r="A686" s="83" t="s">
        <v>6024</v>
      </c>
      <c r="B686" s="83" t="s">
        <v>5010</v>
      </c>
      <c r="C686" s="83" t="s">
        <v>6029</v>
      </c>
      <c r="D686" s="83" t="s">
        <v>6026</v>
      </c>
    </row>
    <row r="687" spans="1:4">
      <c r="A687" s="83" t="s">
        <v>6030</v>
      </c>
      <c r="B687" s="83" t="s">
        <v>5017</v>
      </c>
      <c r="C687" s="83" t="s">
        <v>6031</v>
      </c>
      <c r="D687" s="83" t="s">
        <v>6032</v>
      </c>
    </row>
    <row r="688" spans="1:4">
      <c r="A688" s="83" t="s">
        <v>6030</v>
      </c>
      <c r="B688" s="83" t="s">
        <v>5012</v>
      </c>
      <c r="C688" s="83" t="s">
        <v>6033</v>
      </c>
      <c r="D688" s="83" t="s">
        <v>6032</v>
      </c>
    </row>
    <row r="689" spans="1:4">
      <c r="A689" s="83" t="s">
        <v>6030</v>
      </c>
      <c r="B689" s="83" t="s">
        <v>5015</v>
      </c>
      <c r="C689" s="83" t="s">
        <v>6034</v>
      </c>
      <c r="D689" s="83" t="s">
        <v>6032</v>
      </c>
    </row>
    <row r="690" spans="1:4">
      <c r="A690" s="83" t="s">
        <v>6030</v>
      </c>
      <c r="B690" s="83" t="s">
        <v>5010</v>
      </c>
      <c r="C690" s="83" t="s">
        <v>6035</v>
      </c>
      <c r="D690" s="83" t="s">
        <v>6032</v>
      </c>
    </row>
    <row r="691" spans="1:4">
      <c r="A691" s="83" t="s">
        <v>6036</v>
      </c>
      <c r="B691" s="83" t="s">
        <v>5017</v>
      </c>
      <c r="C691" s="83" t="s">
        <v>6037</v>
      </c>
      <c r="D691" s="83" t="s">
        <v>6038</v>
      </c>
    </row>
    <row r="692" spans="1:4">
      <c r="A692" s="83" t="s">
        <v>6036</v>
      </c>
      <c r="B692" s="83" t="s">
        <v>5012</v>
      </c>
      <c r="C692" s="83" t="s">
        <v>6039</v>
      </c>
      <c r="D692" s="83" t="s">
        <v>6038</v>
      </c>
    </row>
    <row r="693" spans="1:4">
      <c r="A693" s="83" t="s">
        <v>6036</v>
      </c>
      <c r="B693" s="83" t="s">
        <v>5015</v>
      </c>
      <c r="C693" s="83" t="s">
        <v>6040</v>
      </c>
      <c r="D693" s="83" t="s">
        <v>6038</v>
      </c>
    </row>
    <row r="694" spans="1:4">
      <c r="A694" s="83" t="s">
        <v>6036</v>
      </c>
      <c r="B694" s="83" t="s">
        <v>5010</v>
      </c>
      <c r="C694" s="83" t="s">
        <v>6041</v>
      </c>
      <c r="D694" s="83" t="s">
        <v>6038</v>
      </c>
    </row>
    <row r="695" spans="1:4">
      <c r="A695" s="83" t="s">
        <v>6042</v>
      </c>
      <c r="B695" s="83" t="s">
        <v>5017</v>
      </c>
      <c r="C695" s="83" t="s">
        <v>6043</v>
      </c>
      <c r="D695" s="83" t="s">
        <v>6044</v>
      </c>
    </row>
    <row r="696" spans="1:4">
      <c r="A696" s="83" t="s">
        <v>6042</v>
      </c>
      <c r="B696" s="83" t="s">
        <v>5012</v>
      </c>
      <c r="C696" s="83" t="s">
        <v>6045</v>
      </c>
      <c r="D696" s="83" t="s">
        <v>6044</v>
      </c>
    </row>
    <row r="697" spans="1:4">
      <c r="A697" s="83" t="s">
        <v>6042</v>
      </c>
      <c r="B697" s="83" t="s">
        <v>5015</v>
      </c>
      <c r="C697" s="83" t="s">
        <v>6046</v>
      </c>
      <c r="D697" s="83" t="s">
        <v>6044</v>
      </c>
    </row>
    <row r="698" spans="1:4">
      <c r="A698" s="83" t="s">
        <v>6042</v>
      </c>
      <c r="B698" s="83" t="s">
        <v>5010</v>
      </c>
      <c r="C698" s="83" t="s">
        <v>6047</v>
      </c>
      <c r="D698" s="83" t="s">
        <v>6044</v>
      </c>
    </row>
    <row r="699" spans="1:4">
      <c r="A699" s="83" t="s">
        <v>6048</v>
      </c>
      <c r="B699" s="83" t="s">
        <v>5017</v>
      </c>
      <c r="C699" s="83" t="s">
        <v>6049</v>
      </c>
      <c r="D699" s="83" t="s">
        <v>6050</v>
      </c>
    </row>
    <row r="700" spans="1:4">
      <c r="A700" s="83" t="s">
        <v>6048</v>
      </c>
      <c r="B700" s="83" t="s">
        <v>5012</v>
      </c>
      <c r="C700" s="83" t="s">
        <v>6051</v>
      </c>
      <c r="D700" s="83" t="s">
        <v>6050</v>
      </c>
    </row>
    <row r="701" spans="1:4">
      <c r="A701" s="83" t="s">
        <v>6048</v>
      </c>
      <c r="B701" s="83" t="s">
        <v>5015</v>
      </c>
      <c r="C701" s="83" t="s">
        <v>6052</v>
      </c>
      <c r="D701" s="83" t="s">
        <v>6050</v>
      </c>
    </row>
    <row r="702" spans="1:4">
      <c r="A702" s="83" t="s">
        <v>6048</v>
      </c>
      <c r="B702" s="83" t="s">
        <v>5010</v>
      </c>
      <c r="C702" s="83" t="s">
        <v>6053</v>
      </c>
      <c r="D702" s="83" t="s">
        <v>6050</v>
      </c>
    </row>
    <row r="703" spans="1:4">
      <c r="A703" s="83" t="s">
        <v>6054</v>
      </c>
      <c r="B703" s="83" t="s">
        <v>5017</v>
      </c>
      <c r="C703" s="83" t="s">
        <v>6055</v>
      </c>
      <c r="D703" s="83" t="s">
        <v>6056</v>
      </c>
    </row>
    <row r="704" spans="1:4">
      <c r="A704" s="83" t="s">
        <v>6054</v>
      </c>
      <c r="B704" s="83" t="s">
        <v>5012</v>
      </c>
      <c r="C704" s="83" t="s">
        <v>6057</v>
      </c>
      <c r="D704" s="83" t="s">
        <v>6056</v>
      </c>
    </row>
    <row r="705" spans="1:4">
      <c r="A705" s="83" t="s">
        <v>6054</v>
      </c>
      <c r="B705" s="83" t="s">
        <v>5015</v>
      </c>
      <c r="C705" s="83" t="s">
        <v>6058</v>
      </c>
      <c r="D705" s="83" t="s">
        <v>6056</v>
      </c>
    </row>
    <row r="706" spans="1:4">
      <c r="A706" s="83" t="s">
        <v>6054</v>
      </c>
      <c r="B706" s="83" t="s">
        <v>5010</v>
      </c>
      <c r="C706" s="83" t="s">
        <v>6059</v>
      </c>
      <c r="D706" s="83" t="s">
        <v>6056</v>
      </c>
    </row>
    <row r="707" spans="1:4">
      <c r="A707" s="83" t="s">
        <v>6060</v>
      </c>
      <c r="B707" s="83" t="s">
        <v>5017</v>
      </c>
      <c r="C707" s="83" t="s">
        <v>6061</v>
      </c>
      <c r="D707" s="83" t="s">
        <v>6062</v>
      </c>
    </row>
    <row r="708" spans="1:4">
      <c r="A708" s="83" t="s">
        <v>6060</v>
      </c>
      <c r="B708" s="83" t="s">
        <v>5012</v>
      </c>
      <c r="C708" s="83" t="s">
        <v>6063</v>
      </c>
      <c r="D708" s="83" t="s">
        <v>6062</v>
      </c>
    </row>
    <row r="709" spans="1:4">
      <c r="A709" s="83" t="s">
        <v>6060</v>
      </c>
      <c r="B709" s="83" t="s">
        <v>5015</v>
      </c>
      <c r="C709" s="83" t="s">
        <v>6064</v>
      </c>
      <c r="D709" s="83" t="s">
        <v>6062</v>
      </c>
    </row>
    <row r="710" spans="1:4">
      <c r="A710" s="83" t="s">
        <v>6060</v>
      </c>
      <c r="B710" s="83" t="s">
        <v>5010</v>
      </c>
      <c r="C710" s="83" t="s">
        <v>6065</v>
      </c>
      <c r="D710" s="83" t="s">
        <v>6062</v>
      </c>
    </row>
    <row r="711" spans="1:4">
      <c r="A711" s="83" t="s">
        <v>6066</v>
      </c>
      <c r="B711" s="83" t="s">
        <v>5017</v>
      </c>
      <c r="C711" s="83" t="s">
        <v>6067</v>
      </c>
      <c r="D711" s="83" t="s">
        <v>6068</v>
      </c>
    </row>
    <row r="712" spans="1:4">
      <c r="A712" s="83" t="s">
        <v>6066</v>
      </c>
      <c r="B712" s="83" t="s">
        <v>5012</v>
      </c>
      <c r="C712" s="83" t="s">
        <v>6069</v>
      </c>
      <c r="D712" s="83" t="s">
        <v>6068</v>
      </c>
    </row>
    <row r="713" spans="1:4">
      <c r="A713" s="83" t="s">
        <v>6066</v>
      </c>
      <c r="B713" s="83" t="s">
        <v>5015</v>
      </c>
      <c r="C713" s="83" t="s">
        <v>6070</v>
      </c>
      <c r="D713" s="83" t="s">
        <v>6068</v>
      </c>
    </row>
    <row r="714" spans="1:4">
      <c r="A714" s="83" t="s">
        <v>6066</v>
      </c>
      <c r="B714" s="83" t="s">
        <v>5010</v>
      </c>
      <c r="C714" s="83" t="s">
        <v>6071</v>
      </c>
      <c r="D714" s="83" t="s">
        <v>6068</v>
      </c>
    </row>
    <row r="715" spans="1:4">
      <c r="A715" s="83" t="s">
        <v>6072</v>
      </c>
      <c r="B715" s="83" t="s">
        <v>5017</v>
      </c>
      <c r="C715" s="83" t="s">
        <v>6073</v>
      </c>
      <c r="D715" s="83" t="s">
        <v>6074</v>
      </c>
    </row>
    <row r="716" spans="1:4">
      <c r="A716" s="83" t="s">
        <v>6072</v>
      </c>
      <c r="B716" s="83" t="s">
        <v>5012</v>
      </c>
      <c r="C716" s="83" t="s">
        <v>6075</v>
      </c>
      <c r="D716" s="83" t="s">
        <v>6074</v>
      </c>
    </row>
    <row r="717" spans="1:4">
      <c r="A717" s="83" t="s">
        <v>6072</v>
      </c>
      <c r="B717" s="83" t="s">
        <v>5015</v>
      </c>
      <c r="C717" s="83" t="s">
        <v>6076</v>
      </c>
      <c r="D717" s="83" t="s">
        <v>6074</v>
      </c>
    </row>
    <row r="718" spans="1:4">
      <c r="A718" s="83" t="s">
        <v>6072</v>
      </c>
      <c r="B718" s="83" t="s">
        <v>5010</v>
      </c>
      <c r="C718" s="83" t="s">
        <v>6077</v>
      </c>
      <c r="D718" s="83" t="s">
        <v>6074</v>
      </c>
    </row>
    <row r="719" spans="1:4">
      <c r="A719" s="83" t="s">
        <v>6078</v>
      </c>
      <c r="B719" s="83" t="s">
        <v>5017</v>
      </c>
      <c r="C719" s="83" t="s">
        <v>6079</v>
      </c>
      <c r="D719" s="83" t="s">
        <v>6080</v>
      </c>
    </row>
    <row r="720" spans="1:4">
      <c r="A720" s="83" t="s">
        <v>6078</v>
      </c>
      <c r="B720" s="83" t="s">
        <v>5012</v>
      </c>
      <c r="C720" s="83" t="s">
        <v>6081</v>
      </c>
      <c r="D720" s="83" t="s">
        <v>6080</v>
      </c>
    </row>
    <row r="721" spans="1:4">
      <c r="A721" s="83" t="s">
        <v>6078</v>
      </c>
      <c r="B721" s="83" t="s">
        <v>5015</v>
      </c>
      <c r="C721" s="83" t="s">
        <v>6082</v>
      </c>
      <c r="D721" s="83" t="s">
        <v>6080</v>
      </c>
    </row>
    <row r="722" spans="1:4">
      <c r="A722" s="83" t="s">
        <v>6078</v>
      </c>
      <c r="B722" s="83" t="s">
        <v>5010</v>
      </c>
      <c r="C722" s="83" t="s">
        <v>6083</v>
      </c>
      <c r="D722" s="83" t="s">
        <v>6080</v>
      </c>
    </row>
    <row r="723" spans="1:4">
      <c r="A723" s="83" t="s">
        <v>6084</v>
      </c>
      <c r="B723" s="83" t="s">
        <v>5017</v>
      </c>
      <c r="C723" s="83" t="s">
        <v>6085</v>
      </c>
      <c r="D723" s="83" t="s">
        <v>6086</v>
      </c>
    </row>
    <row r="724" spans="1:4">
      <c r="A724" s="83" t="s">
        <v>6084</v>
      </c>
      <c r="B724" s="83" t="s">
        <v>5012</v>
      </c>
      <c r="C724" s="83" t="s">
        <v>6087</v>
      </c>
      <c r="D724" s="83" t="s">
        <v>6086</v>
      </c>
    </row>
    <row r="725" spans="1:4">
      <c r="A725" s="83" t="s">
        <v>6084</v>
      </c>
      <c r="B725" s="83" t="s">
        <v>5015</v>
      </c>
      <c r="C725" s="83" t="s">
        <v>6088</v>
      </c>
      <c r="D725" s="83" t="s">
        <v>6086</v>
      </c>
    </row>
    <row r="726" spans="1:4">
      <c r="A726" s="83" t="s">
        <v>6084</v>
      </c>
      <c r="B726" s="83" t="s">
        <v>5010</v>
      </c>
      <c r="C726" s="83" t="s">
        <v>6089</v>
      </c>
      <c r="D726" s="83" t="s">
        <v>6086</v>
      </c>
    </row>
    <row r="727" spans="1:4">
      <c r="A727" s="83" t="s">
        <v>6090</v>
      </c>
      <c r="B727" s="83" t="s">
        <v>5017</v>
      </c>
      <c r="C727" s="83" t="s">
        <v>6091</v>
      </c>
      <c r="D727" s="83" t="s">
        <v>6092</v>
      </c>
    </row>
    <row r="728" spans="1:4">
      <c r="A728" s="83" t="s">
        <v>6090</v>
      </c>
      <c r="B728" s="83" t="s">
        <v>5012</v>
      </c>
      <c r="C728" s="83" t="s">
        <v>6093</v>
      </c>
      <c r="D728" s="83" t="s">
        <v>6092</v>
      </c>
    </row>
    <row r="729" spans="1:4">
      <c r="A729" s="83" t="s">
        <v>6090</v>
      </c>
      <c r="B729" s="83" t="s">
        <v>5015</v>
      </c>
      <c r="C729" s="83" t="s">
        <v>6094</v>
      </c>
      <c r="D729" s="83" t="s">
        <v>6092</v>
      </c>
    </row>
    <row r="730" spans="1:4">
      <c r="A730" s="83" t="s">
        <v>6090</v>
      </c>
      <c r="B730" s="83" t="s">
        <v>5010</v>
      </c>
      <c r="C730" s="83" t="s">
        <v>6095</v>
      </c>
      <c r="D730" s="83" t="s">
        <v>6092</v>
      </c>
    </row>
    <row r="731" spans="1:4">
      <c r="A731" s="83" t="s">
        <v>6096</v>
      </c>
      <c r="B731" s="83" t="s">
        <v>5017</v>
      </c>
      <c r="C731" s="83" t="s">
        <v>6097</v>
      </c>
      <c r="D731" s="83" t="s">
        <v>6098</v>
      </c>
    </row>
    <row r="732" spans="1:4">
      <c r="A732" s="83" t="s">
        <v>6096</v>
      </c>
      <c r="B732" s="83" t="s">
        <v>5012</v>
      </c>
      <c r="C732" s="83" t="s">
        <v>6099</v>
      </c>
      <c r="D732" s="83" t="s">
        <v>6098</v>
      </c>
    </row>
    <row r="733" spans="1:4">
      <c r="A733" s="83" t="s">
        <v>6096</v>
      </c>
      <c r="B733" s="83" t="s">
        <v>5015</v>
      </c>
      <c r="C733" s="83" t="s">
        <v>6100</v>
      </c>
      <c r="D733" s="83" t="s">
        <v>6098</v>
      </c>
    </row>
    <row r="734" spans="1:4">
      <c r="A734" s="83" t="s">
        <v>6096</v>
      </c>
      <c r="B734" s="83" t="s">
        <v>5010</v>
      </c>
      <c r="C734" s="83" t="s">
        <v>6101</v>
      </c>
      <c r="D734" s="83" t="s">
        <v>6098</v>
      </c>
    </row>
    <row r="735" spans="1:4">
      <c r="A735" s="83" t="s">
        <v>6102</v>
      </c>
      <c r="B735" s="83" t="s">
        <v>5017</v>
      </c>
      <c r="C735" s="83" t="s">
        <v>6103</v>
      </c>
      <c r="D735" s="83" t="s">
        <v>6104</v>
      </c>
    </row>
    <row r="736" spans="1:4">
      <c r="A736" s="83" t="s">
        <v>6102</v>
      </c>
      <c r="B736" s="83" t="s">
        <v>5012</v>
      </c>
      <c r="C736" s="83" t="s">
        <v>6105</v>
      </c>
      <c r="D736" s="83" t="s">
        <v>6104</v>
      </c>
    </row>
    <row r="737" spans="1:4">
      <c r="A737" s="83" t="s">
        <v>6102</v>
      </c>
      <c r="B737" s="83" t="s">
        <v>5015</v>
      </c>
      <c r="C737" s="83" t="s">
        <v>6106</v>
      </c>
      <c r="D737" s="83" t="s">
        <v>6104</v>
      </c>
    </row>
    <row r="738" spans="1:4">
      <c r="A738" s="83" t="s">
        <v>6102</v>
      </c>
      <c r="B738" s="83" t="s">
        <v>5010</v>
      </c>
      <c r="C738" s="83" t="s">
        <v>6107</v>
      </c>
      <c r="D738" s="83" t="s">
        <v>6104</v>
      </c>
    </row>
    <row r="739" spans="1:4">
      <c r="A739" s="83" t="s">
        <v>6108</v>
      </c>
      <c r="B739" s="83" t="s">
        <v>5017</v>
      </c>
      <c r="C739" s="83" t="s">
        <v>6109</v>
      </c>
      <c r="D739" s="83" t="s">
        <v>6110</v>
      </c>
    </row>
    <row r="740" spans="1:4">
      <c r="A740" s="83" t="s">
        <v>6108</v>
      </c>
      <c r="B740" s="83" t="s">
        <v>5012</v>
      </c>
      <c r="C740" s="83" t="s">
        <v>6111</v>
      </c>
      <c r="D740" s="83" t="s">
        <v>6110</v>
      </c>
    </row>
    <row r="741" spans="1:4">
      <c r="A741" s="83" t="s">
        <v>6108</v>
      </c>
      <c r="B741" s="83" t="s">
        <v>5015</v>
      </c>
      <c r="C741" s="83" t="s">
        <v>6112</v>
      </c>
      <c r="D741" s="83" t="s">
        <v>6110</v>
      </c>
    </row>
    <row r="742" spans="1:4">
      <c r="A742" s="83" t="s">
        <v>6108</v>
      </c>
      <c r="B742" s="83" t="s">
        <v>5010</v>
      </c>
      <c r="C742" s="83" t="s">
        <v>6113</v>
      </c>
      <c r="D742" s="83" t="s">
        <v>6110</v>
      </c>
    </row>
    <row r="743" spans="1:4">
      <c r="A743" s="83" t="s">
        <v>6114</v>
      </c>
      <c r="B743" s="83" t="s">
        <v>5017</v>
      </c>
      <c r="C743" s="83" t="s">
        <v>6115</v>
      </c>
      <c r="D743" s="83" t="s">
        <v>6116</v>
      </c>
    </row>
    <row r="744" spans="1:4">
      <c r="A744" s="83" t="s">
        <v>6114</v>
      </c>
      <c r="B744" s="83" t="s">
        <v>5012</v>
      </c>
      <c r="C744" s="83" t="s">
        <v>6117</v>
      </c>
      <c r="D744" s="83" t="s">
        <v>6116</v>
      </c>
    </row>
    <row r="745" spans="1:4">
      <c r="A745" s="83" t="s">
        <v>6114</v>
      </c>
      <c r="B745" s="83" t="s">
        <v>5015</v>
      </c>
      <c r="C745" s="83" t="s">
        <v>6118</v>
      </c>
      <c r="D745" s="83" t="s">
        <v>6116</v>
      </c>
    </row>
    <row r="746" spans="1:4">
      <c r="A746" s="83" t="s">
        <v>6114</v>
      </c>
      <c r="B746" s="83" t="s">
        <v>5010</v>
      </c>
      <c r="C746" s="83" t="s">
        <v>6119</v>
      </c>
      <c r="D746" s="83" t="s">
        <v>6116</v>
      </c>
    </row>
    <row r="747" spans="1:4">
      <c r="A747" s="83" t="s">
        <v>6120</v>
      </c>
      <c r="B747" s="83" t="s">
        <v>5017</v>
      </c>
      <c r="C747" s="83" t="s">
        <v>6121</v>
      </c>
      <c r="D747" s="83" t="s">
        <v>6122</v>
      </c>
    </row>
    <row r="748" spans="1:4">
      <c r="A748" s="83" t="s">
        <v>6120</v>
      </c>
      <c r="B748" s="83" t="s">
        <v>5012</v>
      </c>
      <c r="C748" s="83" t="s">
        <v>6123</v>
      </c>
      <c r="D748" s="83" t="s">
        <v>6122</v>
      </c>
    </row>
    <row r="749" spans="1:4">
      <c r="A749" s="83" t="s">
        <v>6120</v>
      </c>
      <c r="B749" s="83" t="s">
        <v>5015</v>
      </c>
      <c r="C749" s="83" t="s">
        <v>6124</v>
      </c>
      <c r="D749" s="83" t="s">
        <v>6122</v>
      </c>
    </row>
    <row r="750" spans="1:4">
      <c r="A750" s="83" t="s">
        <v>6120</v>
      </c>
      <c r="B750" s="83" t="s">
        <v>5010</v>
      </c>
      <c r="C750" s="83" t="s">
        <v>6125</v>
      </c>
      <c r="D750" s="83" t="s">
        <v>6122</v>
      </c>
    </row>
    <row r="751" spans="1:4">
      <c r="A751" s="83" t="s">
        <v>6126</v>
      </c>
      <c r="B751" s="83" t="s">
        <v>5017</v>
      </c>
      <c r="C751" s="83" t="s">
        <v>6127</v>
      </c>
      <c r="D751" s="83" t="s">
        <v>6128</v>
      </c>
    </row>
    <row r="752" spans="1:4">
      <c r="A752" s="83" t="s">
        <v>6126</v>
      </c>
      <c r="B752" s="83" t="s">
        <v>5012</v>
      </c>
      <c r="C752" s="83" t="s">
        <v>6129</v>
      </c>
      <c r="D752" s="83" t="s">
        <v>6128</v>
      </c>
    </row>
    <row r="753" spans="1:4">
      <c r="A753" s="83" t="s">
        <v>6126</v>
      </c>
      <c r="B753" s="83" t="s">
        <v>5015</v>
      </c>
      <c r="C753" s="83" t="s">
        <v>6130</v>
      </c>
      <c r="D753" s="83" t="s">
        <v>6128</v>
      </c>
    </row>
    <row r="754" spans="1:4">
      <c r="A754" s="83" t="s">
        <v>6126</v>
      </c>
      <c r="B754" s="83" t="s">
        <v>5010</v>
      </c>
      <c r="C754" s="83" t="s">
        <v>6131</v>
      </c>
      <c r="D754" s="83" t="s">
        <v>6128</v>
      </c>
    </row>
    <row r="755" spans="1:4">
      <c r="A755" s="83" t="s">
        <v>6132</v>
      </c>
      <c r="B755" s="83" t="s">
        <v>5017</v>
      </c>
      <c r="C755" s="83" t="s">
        <v>6133</v>
      </c>
      <c r="D755" s="83" t="s">
        <v>6134</v>
      </c>
    </row>
    <row r="756" spans="1:4">
      <c r="A756" s="83" t="s">
        <v>6132</v>
      </c>
      <c r="B756" s="83" t="s">
        <v>5012</v>
      </c>
      <c r="C756" s="83" t="s">
        <v>6135</v>
      </c>
      <c r="D756" s="83" t="s">
        <v>6134</v>
      </c>
    </row>
    <row r="757" spans="1:4">
      <c r="A757" s="83" t="s">
        <v>6132</v>
      </c>
      <c r="B757" s="83" t="s">
        <v>5015</v>
      </c>
      <c r="C757" s="83" t="s">
        <v>6136</v>
      </c>
      <c r="D757" s="83" t="s">
        <v>6134</v>
      </c>
    </row>
    <row r="758" spans="1:4">
      <c r="A758" s="83" t="s">
        <v>6132</v>
      </c>
      <c r="B758" s="83" t="s">
        <v>5010</v>
      </c>
      <c r="C758" s="83" t="s">
        <v>6137</v>
      </c>
      <c r="D758" s="83" t="s">
        <v>6134</v>
      </c>
    </row>
    <row r="759" spans="1:4">
      <c r="A759" s="83" t="s">
        <v>6138</v>
      </c>
      <c r="B759" s="83" t="s">
        <v>5017</v>
      </c>
      <c r="C759" s="83" t="s">
        <v>6139</v>
      </c>
      <c r="D759" s="83" t="s">
        <v>6140</v>
      </c>
    </row>
    <row r="760" spans="1:4">
      <c r="A760" s="83" t="s">
        <v>6138</v>
      </c>
      <c r="B760" s="83" t="s">
        <v>5012</v>
      </c>
      <c r="C760" s="83" t="s">
        <v>6141</v>
      </c>
      <c r="D760" s="83" t="s">
        <v>6140</v>
      </c>
    </row>
    <row r="761" spans="1:4">
      <c r="A761" s="83" t="s">
        <v>6138</v>
      </c>
      <c r="B761" s="83" t="s">
        <v>5015</v>
      </c>
      <c r="C761" s="83" t="s">
        <v>6142</v>
      </c>
      <c r="D761" s="83" t="s">
        <v>6140</v>
      </c>
    </row>
    <row r="762" spans="1:4">
      <c r="A762" s="83" t="s">
        <v>6138</v>
      </c>
      <c r="B762" s="83" t="s">
        <v>5010</v>
      </c>
      <c r="C762" s="83" t="s">
        <v>6143</v>
      </c>
      <c r="D762" s="83" t="s">
        <v>6140</v>
      </c>
    </row>
    <row r="763" spans="1:4">
      <c r="A763" s="83" t="s">
        <v>6144</v>
      </c>
      <c r="B763" s="83" t="s">
        <v>5017</v>
      </c>
      <c r="C763" s="83" t="s">
        <v>6145</v>
      </c>
      <c r="D763" s="83" t="s">
        <v>6146</v>
      </c>
    </row>
    <row r="764" spans="1:4">
      <c r="A764" s="83" t="s">
        <v>6144</v>
      </c>
      <c r="B764" s="83" t="s">
        <v>5012</v>
      </c>
      <c r="C764" s="83" t="s">
        <v>6147</v>
      </c>
      <c r="D764" s="83" t="s">
        <v>6146</v>
      </c>
    </row>
    <row r="765" spans="1:4">
      <c r="A765" s="83" t="s">
        <v>6144</v>
      </c>
      <c r="B765" s="83" t="s">
        <v>5015</v>
      </c>
      <c r="C765" s="83" t="s">
        <v>6148</v>
      </c>
      <c r="D765" s="83" t="s">
        <v>6146</v>
      </c>
    </row>
    <row r="766" spans="1:4">
      <c r="A766" s="83" t="s">
        <v>6144</v>
      </c>
      <c r="B766" s="83" t="s">
        <v>5010</v>
      </c>
      <c r="C766" s="83" t="s">
        <v>6149</v>
      </c>
      <c r="D766" s="83" t="s">
        <v>6146</v>
      </c>
    </row>
    <row r="767" spans="1:4">
      <c r="A767" s="83" t="s">
        <v>6150</v>
      </c>
      <c r="B767" s="83" t="s">
        <v>5017</v>
      </c>
      <c r="C767" s="83" t="s">
        <v>6151</v>
      </c>
      <c r="D767" s="83" t="s">
        <v>6152</v>
      </c>
    </row>
    <row r="768" spans="1:4">
      <c r="A768" s="83" t="s">
        <v>6150</v>
      </c>
      <c r="B768" s="83" t="s">
        <v>5012</v>
      </c>
      <c r="C768" s="83" t="s">
        <v>6153</v>
      </c>
      <c r="D768" s="83" t="s">
        <v>6152</v>
      </c>
    </row>
    <row r="769" spans="1:4">
      <c r="A769" s="83" t="s">
        <v>6150</v>
      </c>
      <c r="B769" s="83" t="s">
        <v>5015</v>
      </c>
      <c r="C769" s="83" t="s">
        <v>6154</v>
      </c>
      <c r="D769" s="83" t="s">
        <v>6152</v>
      </c>
    </row>
    <row r="770" spans="1:4">
      <c r="A770" s="83" t="s">
        <v>6150</v>
      </c>
      <c r="B770" s="83" t="s">
        <v>5010</v>
      </c>
      <c r="C770" s="83" t="s">
        <v>6155</v>
      </c>
      <c r="D770" s="83" t="s">
        <v>6152</v>
      </c>
    </row>
    <row r="771" spans="1:4">
      <c r="A771" s="83" t="s">
        <v>6156</v>
      </c>
      <c r="B771" s="83" t="s">
        <v>5017</v>
      </c>
      <c r="C771" s="83" t="s">
        <v>6157</v>
      </c>
      <c r="D771" s="83" t="s">
        <v>6158</v>
      </c>
    </row>
    <row r="772" spans="1:4">
      <c r="A772" s="83" t="s">
        <v>6156</v>
      </c>
      <c r="B772" s="83" t="s">
        <v>5012</v>
      </c>
      <c r="C772" s="83" t="s">
        <v>6159</v>
      </c>
      <c r="D772" s="83" t="s">
        <v>6158</v>
      </c>
    </row>
    <row r="773" spans="1:4">
      <c r="A773" s="83" t="s">
        <v>6156</v>
      </c>
      <c r="B773" s="83" t="s">
        <v>5015</v>
      </c>
      <c r="C773" s="83" t="s">
        <v>6160</v>
      </c>
      <c r="D773" s="83" t="s">
        <v>6158</v>
      </c>
    </row>
    <row r="774" spans="1:4">
      <c r="A774" s="83" t="s">
        <v>6156</v>
      </c>
      <c r="B774" s="83" t="s">
        <v>5010</v>
      </c>
      <c r="C774" s="83" t="s">
        <v>6161</v>
      </c>
      <c r="D774" s="83" t="s">
        <v>6158</v>
      </c>
    </row>
    <row r="775" spans="1:4">
      <c r="A775" s="83" t="s">
        <v>6162</v>
      </c>
      <c r="B775" s="83" t="s">
        <v>5017</v>
      </c>
      <c r="C775" s="83" t="s">
        <v>6163</v>
      </c>
      <c r="D775" s="83" t="s">
        <v>6164</v>
      </c>
    </row>
    <row r="776" spans="1:4">
      <c r="A776" s="83" t="s">
        <v>6162</v>
      </c>
      <c r="B776" s="83" t="s">
        <v>5012</v>
      </c>
      <c r="C776" s="83" t="s">
        <v>6165</v>
      </c>
      <c r="D776" s="83" t="s">
        <v>6164</v>
      </c>
    </row>
    <row r="777" spans="1:4">
      <c r="A777" s="83" t="s">
        <v>6162</v>
      </c>
      <c r="B777" s="83" t="s">
        <v>5015</v>
      </c>
      <c r="C777" s="83" t="s">
        <v>6166</v>
      </c>
      <c r="D777" s="83" t="s">
        <v>6164</v>
      </c>
    </row>
    <row r="778" spans="1:4">
      <c r="A778" s="83" t="s">
        <v>6162</v>
      </c>
      <c r="B778" s="83" t="s">
        <v>5010</v>
      </c>
      <c r="C778" s="83" t="s">
        <v>6167</v>
      </c>
      <c r="D778" s="83" t="s">
        <v>6164</v>
      </c>
    </row>
    <row r="779" spans="1:4">
      <c r="A779" s="83" t="s">
        <v>6168</v>
      </c>
      <c r="B779" s="83" t="s">
        <v>5017</v>
      </c>
      <c r="C779" s="83" t="s">
        <v>6169</v>
      </c>
      <c r="D779" s="83" t="s">
        <v>6170</v>
      </c>
    </row>
    <row r="780" spans="1:4">
      <c r="A780" s="83" t="s">
        <v>6168</v>
      </c>
      <c r="B780" s="83" t="s">
        <v>5012</v>
      </c>
      <c r="C780" s="83" t="s">
        <v>6171</v>
      </c>
      <c r="D780" s="83" t="s">
        <v>6170</v>
      </c>
    </row>
    <row r="781" spans="1:4">
      <c r="A781" s="83" t="s">
        <v>6168</v>
      </c>
      <c r="B781" s="83" t="s">
        <v>5015</v>
      </c>
      <c r="C781" s="83" t="s">
        <v>6172</v>
      </c>
      <c r="D781" s="83" t="s">
        <v>6170</v>
      </c>
    </row>
    <row r="782" spans="1:4">
      <c r="A782" s="83" t="s">
        <v>6168</v>
      </c>
      <c r="B782" s="83" t="s">
        <v>5010</v>
      </c>
      <c r="C782" s="83" t="s">
        <v>6173</v>
      </c>
      <c r="D782" s="83" t="s">
        <v>6170</v>
      </c>
    </row>
    <row r="783" spans="1:4">
      <c r="A783" s="83" t="s">
        <v>6174</v>
      </c>
      <c r="B783" s="83" t="s">
        <v>5017</v>
      </c>
      <c r="C783" s="83" t="s">
        <v>6175</v>
      </c>
      <c r="D783" s="83" t="s">
        <v>6176</v>
      </c>
    </row>
    <row r="784" spans="1:4">
      <c r="A784" s="83" t="s">
        <v>6174</v>
      </c>
      <c r="B784" s="83" t="s">
        <v>5012</v>
      </c>
      <c r="C784" s="83" t="s">
        <v>6177</v>
      </c>
      <c r="D784" s="83" t="s">
        <v>6176</v>
      </c>
    </row>
    <row r="785" spans="1:4">
      <c r="A785" s="83" t="s">
        <v>6174</v>
      </c>
      <c r="B785" s="83" t="s">
        <v>5015</v>
      </c>
      <c r="C785" s="83" t="s">
        <v>6178</v>
      </c>
      <c r="D785" s="83" t="s">
        <v>6176</v>
      </c>
    </row>
    <row r="786" spans="1:4">
      <c r="A786" s="83" t="s">
        <v>6174</v>
      </c>
      <c r="B786" s="83" t="s">
        <v>5010</v>
      </c>
      <c r="C786" s="83" t="s">
        <v>6179</v>
      </c>
      <c r="D786" s="83" t="s">
        <v>6176</v>
      </c>
    </row>
    <row r="787" spans="1:4">
      <c r="A787" s="83" t="s">
        <v>6180</v>
      </c>
      <c r="B787" s="83" t="s">
        <v>5017</v>
      </c>
      <c r="C787" s="83" t="s">
        <v>6181</v>
      </c>
      <c r="D787" s="83" t="s">
        <v>6182</v>
      </c>
    </row>
    <row r="788" spans="1:4">
      <c r="A788" s="83" t="s">
        <v>6180</v>
      </c>
      <c r="B788" s="83" t="s">
        <v>5012</v>
      </c>
      <c r="C788" s="83" t="s">
        <v>6183</v>
      </c>
      <c r="D788" s="83" t="s">
        <v>6182</v>
      </c>
    </row>
    <row r="789" spans="1:4">
      <c r="A789" s="83" t="s">
        <v>6180</v>
      </c>
      <c r="B789" s="83" t="s">
        <v>5015</v>
      </c>
      <c r="C789" s="83" t="s">
        <v>6184</v>
      </c>
      <c r="D789" s="83" t="s">
        <v>6182</v>
      </c>
    </row>
    <row r="790" spans="1:4">
      <c r="A790" s="83" t="s">
        <v>6180</v>
      </c>
      <c r="B790" s="83" t="s">
        <v>5010</v>
      </c>
      <c r="C790" s="83" t="s">
        <v>6185</v>
      </c>
      <c r="D790" s="83" t="s">
        <v>6182</v>
      </c>
    </row>
    <row r="791" spans="1:4">
      <c r="A791" s="83" t="s">
        <v>6186</v>
      </c>
      <c r="B791" s="83" t="s">
        <v>5017</v>
      </c>
      <c r="C791" s="83" t="s">
        <v>6187</v>
      </c>
      <c r="D791" s="83" t="s">
        <v>6188</v>
      </c>
    </row>
    <row r="792" spans="1:4">
      <c r="A792" s="83" t="s">
        <v>6186</v>
      </c>
      <c r="B792" s="83" t="s">
        <v>5012</v>
      </c>
      <c r="C792" s="83" t="s">
        <v>6189</v>
      </c>
      <c r="D792" s="83" t="s">
        <v>6188</v>
      </c>
    </row>
    <row r="793" spans="1:4">
      <c r="A793" s="83" t="s">
        <v>6186</v>
      </c>
      <c r="B793" s="83" t="s">
        <v>5015</v>
      </c>
      <c r="C793" s="83" t="s">
        <v>6190</v>
      </c>
      <c r="D793" s="83" t="s">
        <v>6188</v>
      </c>
    </row>
    <row r="794" spans="1:4">
      <c r="A794" s="83" t="s">
        <v>6186</v>
      </c>
      <c r="B794" s="83" t="s">
        <v>5010</v>
      </c>
      <c r="C794" s="83" t="s">
        <v>6191</v>
      </c>
      <c r="D794" s="83" t="s">
        <v>6188</v>
      </c>
    </row>
    <row r="795" spans="1:4">
      <c r="A795" s="83" t="s">
        <v>6192</v>
      </c>
      <c r="B795" s="83" t="s">
        <v>5017</v>
      </c>
      <c r="C795" s="83" t="s">
        <v>6193</v>
      </c>
      <c r="D795" s="83" t="s">
        <v>6194</v>
      </c>
    </row>
    <row r="796" spans="1:4">
      <c r="A796" s="83" t="s">
        <v>6192</v>
      </c>
      <c r="B796" s="83" t="s">
        <v>5012</v>
      </c>
      <c r="C796" s="83" t="s">
        <v>6195</v>
      </c>
      <c r="D796" s="83" t="s">
        <v>6194</v>
      </c>
    </row>
    <row r="797" spans="1:4">
      <c r="A797" s="83" t="s">
        <v>6192</v>
      </c>
      <c r="B797" s="83" t="s">
        <v>5015</v>
      </c>
      <c r="C797" s="83" t="s">
        <v>6196</v>
      </c>
      <c r="D797" s="83" t="s">
        <v>6194</v>
      </c>
    </row>
    <row r="798" spans="1:4">
      <c r="A798" s="83" t="s">
        <v>6192</v>
      </c>
      <c r="B798" s="83" t="s">
        <v>5010</v>
      </c>
      <c r="C798" s="83" t="s">
        <v>6197</v>
      </c>
      <c r="D798" s="83" t="s">
        <v>6194</v>
      </c>
    </row>
    <row r="799" spans="1:4">
      <c r="A799" s="83" t="s">
        <v>6198</v>
      </c>
      <c r="B799" s="83" t="s">
        <v>5017</v>
      </c>
      <c r="C799" s="83" t="s">
        <v>6199</v>
      </c>
      <c r="D799" s="83" t="s">
        <v>6200</v>
      </c>
    </row>
    <row r="800" spans="1:4">
      <c r="A800" s="83" t="s">
        <v>6198</v>
      </c>
      <c r="B800" s="83" t="s">
        <v>5012</v>
      </c>
      <c r="C800" s="83" t="s">
        <v>6201</v>
      </c>
      <c r="D800" s="83" t="s">
        <v>6200</v>
      </c>
    </row>
    <row r="801" spans="1:4">
      <c r="A801" s="83" t="s">
        <v>6198</v>
      </c>
      <c r="B801" s="83" t="s">
        <v>5015</v>
      </c>
      <c r="C801" s="83" t="s">
        <v>6202</v>
      </c>
      <c r="D801" s="83" t="s">
        <v>6200</v>
      </c>
    </row>
    <row r="802" spans="1:4">
      <c r="A802" s="83" t="s">
        <v>6198</v>
      </c>
      <c r="B802" s="83" t="s">
        <v>5010</v>
      </c>
      <c r="C802" s="83" t="s">
        <v>6203</v>
      </c>
      <c r="D802" s="83" t="s">
        <v>6200</v>
      </c>
    </row>
    <row r="803" spans="1:4">
      <c r="A803" s="83" t="s">
        <v>6204</v>
      </c>
      <c r="B803" s="83" t="s">
        <v>5017</v>
      </c>
      <c r="C803" s="83" t="s">
        <v>6205</v>
      </c>
      <c r="D803" s="83" t="s">
        <v>6206</v>
      </c>
    </row>
    <row r="804" spans="1:4">
      <c r="A804" s="83" t="s">
        <v>6204</v>
      </c>
      <c r="B804" s="83" t="s">
        <v>5012</v>
      </c>
      <c r="C804" s="83" t="s">
        <v>6207</v>
      </c>
      <c r="D804" s="83" t="s">
        <v>6206</v>
      </c>
    </row>
    <row r="805" spans="1:4">
      <c r="A805" s="83" t="s">
        <v>6204</v>
      </c>
      <c r="B805" s="83" t="s">
        <v>5015</v>
      </c>
      <c r="C805" s="83" t="s">
        <v>6208</v>
      </c>
      <c r="D805" s="83" t="s">
        <v>6206</v>
      </c>
    </row>
    <row r="806" spans="1:4">
      <c r="A806" s="83" t="s">
        <v>6204</v>
      </c>
      <c r="B806" s="83" t="s">
        <v>5010</v>
      </c>
      <c r="C806" s="83" t="s">
        <v>6209</v>
      </c>
      <c r="D806" s="83" t="s">
        <v>6206</v>
      </c>
    </row>
    <row r="807" spans="1:4">
      <c r="A807" s="83" t="s">
        <v>6210</v>
      </c>
      <c r="B807" s="83" t="s">
        <v>5017</v>
      </c>
      <c r="C807" s="83" t="s">
        <v>6211</v>
      </c>
      <c r="D807" s="83" t="s">
        <v>6212</v>
      </c>
    </row>
    <row r="808" spans="1:4">
      <c r="A808" s="83" t="s">
        <v>6210</v>
      </c>
      <c r="B808" s="83" t="s">
        <v>5012</v>
      </c>
      <c r="C808" s="83" t="s">
        <v>6213</v>
      </c>
      <c r="D808" s="83" t="s">
        <v>6212</v>
      </c>
    </row>
    <row r="809" spans="1:4">
      <c r="A809" s="83" t="s">
        <v>6210</v>
      </c>
      <c r="B809" s="83" t="s">
        <v>5015</v>
      </c>
      <c r="C809" s="83" t="s">
        <v>6214</v>
      </c>
      <c r="D809" s="83" t="s">
        <v>6212</v>
      </c>
    </row>
    <row r="810" spans="1:4">
      <c r="A810" s="83" t="s">
        <v>6210</v>
      </c>
      <c r="B810" s="83" t="s">
        <v>5010</v>
      </c>
      <c r="C810" s="83" t="s">
        <v>6215</v>
      </c>
      <c r="D810" s="83" t="s">
        <v>6212</v>
      </c>
    </row>
    <row r="811" spans="1:4">
      <c r="A811" s="83" t="s">
        <v>6216</v>
      </c>
      <c r="B811" s="83" t="s">
        <v>5017</v>
      </c>
      <c r="C811" s="83" t="s">
        <v>6217</v>
      </c>
      <c r="D811" s="83" t="s">
        <v>6218</v>
      </c>
    </row>
    <row r="812" spans="1:4">
      <c r="A812" s="83" t="s">
        <v>6216</v>
      </c>
      <c r="B812" s="83" t="s">
        <v>5012</v>
      </c>
      <c r="C812" s="83" t="s">
        <v>6219</v>
      </c>
      <c r="D812" s="83" t="s">
        <v>6218</v>
      </c>
    </row>
    <row r="813" spans="1:4">
      <c r="A813" s="83" t="s">
        <v>6216</v>
      </c>
      <c r="B813" s="83" t="s">
        <v>5015</v>
      </c>
      <c r="C813" s="83" t="s">
        <v>6220</v>
      </c>
      <c r="D813" s="83" t="s">
        <v>6218</v>
      </c>
    </row>
    <row r="814" spans="1:4">
      <c r="A814" s="83" t="s">
        <v>6216</v>
      </c>
      <c r="B814" s="83" t="s">
        <v>5010</v>
      </c>
      <c r="C814" s="83" t="s">
        <v>6221</v>
      </c>
      <c r="D814" s="83" t="s">
        <v>6218</v>
      </c>
    </row>
    <row r="815" spans="1:4">
      <c r="A815" s="83" t="s">
        <v>6222</v>
      </c>
      <c r="B815" s="83" t="s">
        <v>5017</v>
      </c>
      <c r="C815" s="83" t="s">
        <v>6223</v>
      </c>
      <c r="D815" s="83" t="s">
        <v>6224</v>
      </c>
    </row>
    <row r="816" spans="1:4">
      <c r="A816" s="83" t="s">
        <v>6222</v>
      </c>
      <c r="B816" s="83" t="s">
        <v>5012</v>
      </c>
      <c r="C816" s="83" t="s">
        <v>6225</v>
      </c>
      <c r="D816" s="83" t="s">
        <v>6224</v>
      </c>
    </row>
    <row r="817" spans="1:4">
      <c r="A817" s="83" t="s">
        <v>6222</v>
      </c>
      <c r="B817" s="83" t="s">
        <v>5015</v>
      </c>
      <c r="C817" s="83" t="s">
        <v>6226</v>
      </c>
      <c r="D817" s="83" t="s">
        <v>6224</v>
      </c>
    </row>
    <row r="818" spans="1:4">
      <c r="A818" s="83" t="s">
        <v>6222</v>
      </c>
      <c r="B818" s="83" t="s">
        <v>5010</v>
      </c>
      <c r="C818" s="83" t="s">
        <v>6227</v>
      </c>
      <c r="D818" s="83" t="s">
        <v>6224</v>
      </c>
    </row>
    <row r="819" spans="1:4">
      <c r="A819" s="83" t="s">
        <v>6228</v>
      </c>
      <c r="B819" s="83" t="s">
        <v>5017</v>
      </c>
      <c r="C819" s="83" t="s">
        <v>6229</v>
      </c>
      <c r="D819" s="83" t="s">
        <v>6230</v>
      </c>
    </row>
    <row r="820" spans="1:4">
      <c r="A820" s="83" t="s">
        <v>6228</v>
      </c>
      <c r="B820" s="83" t="s">
        <v>5012</v>
      </c>
      <c r="C820" s="83" t="s">
        <v>6231</v>
      </c>
      <c r="D820" s="83" t="s">
        <v>6230</v>
      </c>
    </row>
    <row r="821" spans="1:4">
      <c r="A821" s="83" t="s">
        <v>6228</v>
      </c>
      <c r="B821" s="83" t="s">
        <v>5015</v>
      </c>
      <c r="C821" s="83" t="s">
        <v>6232</v>
      </c>
      <c r="D821" s="83" t="s">
        <v>6230</v>
      </c>
    </row>
    <row r="822" spans="1:4">
      <c r="A822" s="83" t="s">
        <v>6228</v>
      </c>
      <c r="B822" s="83" t="s">
        <v>5010</v>
      </c>
      <c r="C822" s="83" t="s">
        <v>6001</v>
      </c>
      <c r="D822" s="83" t="s">
        <v>6230</v>
      </c>
    </row>
    <row r="823" spans="1:4">
      <c r="A823" s="83" t="s">
        <v>6233</v>
      </c>
      <c r="B823" s="83" t="s">
        <v>5017</v>
      </c>
      <c r="C823" s="83" t="s">
        <v>6234</v>
      </c>
      <c r="D823" s="83" t="s">
        <v>6235</v>
      </c>
    </row>
    <row r="824" spans="1:4">
      <c r="A824" s="83" t="s">
        <v>6233</v>
      </c>
      <c r="B824" s="83" t="s">
        <v>5012</v>
      </c>
      <c r="C824" s="83" t="s">
        <v>6236</v>
      </c>
      <c r="D824" s="83" t="s">
        <v>6235</v>
      </c>
    </row>
    <row r="825" spans="1:4">
      <c r="A825" s="83" t="s">
        <v>6233</v>
      </c>
      <c r="B825" s="83" t="s">
        <v>5015</v>
      </c>
      <c r="C825" s="83" t="s">
        <v>6237</v>
      </c>
      <c r="D825" s="83" t="s">
        <v>6235</v>
      </c>
    </row>
    <row r="826" spans="1:4">
      <c r="A826" s="83" t="s">
        <v>6233</v>
      </c>
      <c r="B826" s="83" t="s">
        <v>5010</v>
      </c>
      <c r="C826" s="83" t="s">
        <v>6238</v>
      </c>
      <c r="D826" s="83" t="s">
        <v>6235</v>
      </c>
    </row>
    <row r="827" spans="1:4">
      <c r="A827" s="83" t="s">
        <v>6239</v>
      </c>
      <c r="B827" s="83" t="s">
        <v>5017</v>
      </c>
      <c r="C827" s="83" t="s">
        <v>6240</v>
      </c>
      <c r="D827" s="83" t="s">
        <v>6241</v>
      </c>
    </row>
    <row r="828" spans="1:4">
      <c r="A828" s="83" t="s">
        <v>6239</v>
      </c>
      <c r="B828" s="83" t="s">
        <v>5012</v>
      </c>
      <c r="C828" s="83" t="s">
        <v>6242</v>
      </c>
      <c r="D828" s="83" t="s">
        <v>6241</v>
      </c>
    </row>
    <row r="829" spans="1:4">
      <c r="A829" s="83" t="s">
        <v>6239</v>
      </c>
      <c r="B829" s="83" t="s">
        <v>5015</v>
      </c>
      <c r="C829" s="83" t="s">
        <v>6243</v>
      </c>
      <c r="D829" s="83" t="s">
        <v>6241</v>
      </c>
    </row>
    <row r="830" spans="1:4">
      <c r="A830" s="83" t="s">
        <v>6239</v>
      </c>
      <c r="B830" s="83" t="s">
        <v>5010</v>
      </c>
      <c r="C830" s="83" t="s">
        <v>6244</v>
      </c>
      <c r="D830" s="83" t="s">
        <v>6241</v>
      </c>
    </row>
    <row r="831" spans="1:4">
      <c r="A831" s="83" t="s">
        <v>6245</v>
      </c>
      <c r="B831" s="83" t="s">
        <v>5017</v>
      </c>
      <c r="C831" s="83" t="s">
        <v>6246</v>
      </c>
      <c r="D831" s="83" t="s">
        <v>6247</v>
      </c>
    </row>
    <row r="832" spans="1:4">
      <c r="A832" s="83" t="s">
        <v>6245</v>
      </c>
      <c r="B832" s="83" t="s">
        <v>5012</v>
      </c>
      <c r="C832" s="83" t="s">
        <v>6248</v>
      </c>
      <c r="D832" s="83" t="s">
        <v>6247</v>
      </c>
    </row>
    <row r="833" spans="1:4">
      <c r="A833" s="83" t="s">
        <v>6245</v>
      </c>
      <c r="B833" s="83" t="s">
        <v>5015</v>
      </c>
      <c r="C833" s="83" t="s">
        <v>6249</v>
      </c>
      <c r="D833" s="83" t="s">
        <v>6247</v>
      </c>
    </row>
    <row r="834" spans="1:4">
      <c r="A834" s="83" t="s">
        <v>6245</v>
      </c>
      <c r="B834" s="83" t="s">
        <v>5010</v>
      </c>
      <c r="C834" s="83" t="s">
        <v>6250</v>
      </c>
      <c r="D834" s="83" t="s">
        <v>6247</v>
      </c>
    </row>
    <row r="835" spans="1:4">
      <c r="A835" s="83" t="s">
        <v>6251</v>
      </c>
      <c r="B835" s="83" t="s">
        <v>5017</v>
      </c>
      <c r="C835" s="83" t="s">
        <v>6252</v>
      </c>
      <c r="D835" s="83" t="s">
        <v>6253</v>
      </c>
    </row>
    <row r="836" spans="1:4">
      <c r="A836" s="83" t="s">
        <v>6251</v>
      </c>
      <c r="B836" s="83" t="s">
        <v>5012</v>
      </c>
      <c r="C836" s="83" t="s">
        <v>6254</v>
      </c>
      <c r="D836" s="83" t="s">
        <v>6253</v>
      </c>
    </row>
    <row r="837" spans="1:4">
      <c r="A837" s="83" t="s">
        <v>6251</v>
      </c>
      <c r="B837" s="83" t="s">
        <v>5015</v>
      </c>
      <c r="C837" s="83" t="s">
        <v>6255</v>
      </c>
      <c r="D837" s="83" t="s">
        <v>6253</v>
      </c>
    </row>
    <row r="838" spans="1:4">
      <c r="A838" s="83" t="s">
        <v>6251</v>
      </c>
      <c r="B838" s="83" t="s">
        <v>5010</v>
      </c>
      <c r="C838" s="83" t="s">
        <v>6256</v>
      </c>
      <c r="D838" s="83" t="s">
        <v>6253</v>
      </c>
    </row>
    <row r="839" spans="1:4">
      <c r="A839" s="83" t="s">
        <v>6257</v>
      </c>
      <c r="B839" s="83" t="s">
        <v>5017</v>
      </c>
      <c r="C839" s="83" t="s">
        <v>6258</v>
      </c>
      <c r="D839" s="83" t="s">
        <v>6259</v>
      </c>
    </row>
    <row r="840" spans="1:4">
      <c r="A840" s="83" t="s">
        <v>6257</v>
      </c>
      <c r="B840" s="83" t="s">
        <v>5012</v>
      </c>
      <c r="C840" s="83" t="s">
        <v>6260</v>
      </c>
      <c r="D840" s="83" t="s">
        <v>6259</v>
      </c>
    </row>
    <row r="841" spans="1:4">
      <c r="A841" s="83" t="s">
        <v>6257</v>
      </c>
      <c r="B841" s="83" t="s">
        <v>5015</v>
      </c>
      <c r="C841" s="83" t="s">
        <v>6261</v>
      </c>
      <c r="D841" s="83" t="s">
        <v>6259</v>
      </c>
    </row>
    <row r="842" spans="1:4">
      <c r="A842" s="83" t="s">
        <v>6257</v>
      </c>
      <c r="B842" s="83" t="s">
        <v>5010</v>
      </c>
      <c r="C842" s="83" t="s">
        <v>6262</v>
      </c>
      <c r="D842" s="83" t="s">
        <v>6259</v>
      </c>
    </row>
    <row r="843" spans="1:4">
      <c r="A843" s="83" t="s">
        <v>6263</v>
      </c>
      <c r="B843" s="83" t="s">
        <v>5017</v>
      </c>
      <c r="C843" s="83" t="s">
        <v>6264</v>
      </c>
      <c r="D843" s="83" t="s">
        <v>6265</v>
      </c>
    </row>
    <row r="844" spans="1:4">
      <c r="A844" s="83" t="s">
        <v>6263</v>
      </c>
      <c r="B844" s="83" t="s">
        <v>5012</v>
      </c>
      <c r="C844" s="83" t="s">
        <v>6266</v>
      </c>
      <c r="D844" s="83" t="s">
        <v>6265</v>
      </c>
    </row>
    <row r="845" spans="1:4">
      <c r="A845" s="83" t="s">
        <v>6263</v>
      </c>
      <c r="B845" s="83" t="s">
        <v>5015</v>
      </c>
      <c r="C845" s="83" t="s">
        <v>6267</v>
      </c>
      <c r="D845" s="83" t="s">
        <v>6265</v>
      </c>
    </row>
    <row r="846" spans="1:4">
      <c r="A846" s="83" t="s">
        <v>6263</v>
      </c>
      <c r="B846" s="83" t="s">
        <v>5010</v>
      </c>
      <c r="C846" s="83" t="s">
        <v>6268</v>
      </c>
      <c r="D846" s="83" t="s">
        <v>6265</v>
      </c>
    </row>
    <row r="847" spans="1:4">
      <c r="A847" s="83" t="s">
        <v>6269</v>
      </c>
      <c r="B847" s="83" t="s">
        <v>5017</v>
      </c>
      <c r="C847" s="83" t="s">
        <v>6270</v>
      </c>
      <c r="D847" s="83" t="s">
        <v>6271</v>
      </c>
    </row>
    <row r="848" spans="1:4">
      <c r="A848" s="83" t="s">
        <v>6269</v>
      </c>
      <c r="B848" s="83" t="s">
        <v>5012</v>
      </c>
      <c r="C848" s="83" t="s">
        <v>6272</v>
      </c>
      <c r="D848" s="83" t="s">
        <v>6271</v>
      </c>
    </row>
    <row r="849" spans="1:4">
      <c r="A849" s="83" t="s">
        <v>6269</v>
      </c>
      <c r="B849" s="83" t="s">
        <v>5015</v>
      </c>
      <c r="C849" s="83" t="s">
        <v>6273</v>
      </c>
      <c r="D849" s="83" t="s">
        <v>6271</v>
      </c>
    </row>
    <row r="850" spans="1:4">
      <c r="A850" s="83" t="s">
        <v>6269</v>
      </c>
      <c r="B850" s="83" t="s">
        <v>5010</v>
      </c>
      <c r="C850" s="83" t="s">
        <v>6274</v>
      </c>
      <c r="D850" s="83" t="s">
        <v>6271</v>
      </c>
    </row>
    <row r="851" spans="1:4">
      <c r="A851" s="83" t="s">
        <v>6275</v>
      </c>
      <c r="B851" s="83" t="s">
        <v>5017</v>
      </c>
      <c r="C851" s="83" t="s">
        <v>6276</v>
      </c>
      <c r="D851" s="83" t="s">
        <v>6277</v>
      </c>
    </row>
    <row r="852" spans="1:4">
      <c r="A852" s="83" t="s">
        <v>6275</v>
      </c>
      <c r="B852" s="83" t="s">
        <v>5012</v>
      </c>
      <c r="C852" s="83" t="s">
        <v>6278</v>
      </c>
      <c r="D852" s="83" t="s">
        <v>6277</v>
      </c>
    </row>
    <row r="853" spans="1:4">
      <c r="A853" s="83" t="s">
        <v>6275</v>
      </c>
      <c r="B853" s="83" t="s">
        <v>5015</v>
      </c>
      <c r="C853" s="83" t="s">
        <v>6279</v>
      </c>
      <c r="D853" s="83" t="s">
        <v>6277</v>
      </c>
    </row>
    <row r="854" spans="1:4">
      <c r="A854" s="83" t="s">
        <v>6275</v>
      </c>
      <c r="B854" s="83" t="s">
        <v>5010</v>
      </c>
      <c r="C854" s="83" t="s">
        <v>6280</v>
      </c>
      <c r="D854" s="83" t="s">
        <v>6277</v>
      </c>
    </row>
    <row r="855" spans="1:4">
      <c r="A855" s="83" t="s">
        <v>6281</v>
      </c>
      <c r="B855" s="83" t="s">
        <v>5017</v>
      </c>
      <c r="C855" s="83" t="s">
        <v>6282</v>
      </c>
      <c r="D855" s="83" t="s">
        <v>6283</v>
      </c>
    </row>
    <row r="856" spans="1:4">
      <c r="A856" s="83" t="s">
        <v>6281</v>
      </c>
      <c r="B856" s="83" t="s">
        <v>5012</v>
      </c>
      <c r="C856" s="83" t="s">
        <v>6284</v>
      </c>
      <c r="D856" s="83" t="s">
        <v>6283</v>
      </c>
    </row>
    <row r="857" spans="1:4">
      <c r="A857" s="83" t="s">
        <v>6281</v>
      </c>
      <c r="B857" s="83" t="s">
        <v>5015</v>
      </c>
      <c r="C857" s="83" t="s">
        <v>6285</v>
      </c>
      <c r="D857" s="83" t="s">
        <v>6283</v>
      </c>
    </row>
    <row r="858" spans="1:4">
      <c r="A858" s="83" t="s">
        <v>6281</v>
      </c>
      <c r="B858" s="83" t="s">
        <v>5010</v>
      </c>
      <c r="C858" s="83" t="s">
        <v>6286</v>
      </c>
      <c r="D858" s="83" t="s">
        <v>6283</v>
      </c>
    </row>
    <row r="859" spans="1:4">
      <c r="A859" s="83" t="s">
        <v>6287</v>
      </c>
      <c r="B859" s="83" t="s">
        <v>5017</v>
      </c>
      <c r="C859" s="83" t="s">
        <v>6288</v>
      </c>
      <c r="D859" s="83" t="s">
        <v>6289</v>
      </c>
    </row>
    <row r="860" spans="1:4">
      <c r="A860" s="83" t="s">
        <v>6287</v>
      </c>
      <c r="B860" s="83" t="s">
        <v>5012</v>
      </c>
      <c r="C860" s="83" t="s">
        <v>6290</v>
      </c>
      <c r="D860" s="83" t="s">
        <v>6289</v>
      </c>
    </row>
    <row r="861" spans="1:4">
      <c r="A861" s="83" t="s">
        <v>6287</v>
      </c>
      <c r="B861" s="83" t="s">
        <v>5015</v>
      </c>
      <c r="C861" s="83" t="s">
        <v>6291</v>
      </c>
      <c r="D861" s="83" t="s">
        <v>6289</v>
      </c>
    </row>
    <row r="862" spans="1:4">
      <c r="A862" s="83" t="s">
        <v>6287</v>
      </c>
      <c r="B862" s="83" t="s">
        <v>5010</v>
      </c>
      <c r="C862" s="83" t="s">
        <v>6292</v>
      </c>
      <c r="D862" s="83" t="s">
        <v>6289</v>
      </c>
    </row>
    <row r="863" spans="1:4">
      <c r="A863" s="83" t="s">
        <v>6293</v>
      </c>
      <c r="B863" s="83" t="s">
        <v>5017</v>
      </c>
      <c r="C863" s="83" t="s">
        <v>6294</v>
      </c>
      <c r="D863" s="83" t="s">
        <v>6295</v>
      </c>
    </row>
    <row r="864" spans="1:4">
      <c r="A864" s="83" t="s">
        <v>6293</v>
      </c>
      <c r="B864" s="83" t="s">
        <v>5012</v>
      </c>
      <c r="C864" s="83" t="s">
        <v>6296</v>
      </c>
      <c r="D864" s="83" t="s">
        <v>6295</v>
      </c>
    </row>
    <row r="865" spans="1:4">
      <c r="A865" s="83" t="s">
        <v>6293</v>
      </c>
      <c r="B865" s="83" t="s">
        <v>5015</v>
      </c>
      <c r="C865" s="83" t="s">
        <v>6297</v>
      </c>
      <c r="D865" s="83" t="s">
        <v>6295</v>
      </c>
    </row>
    <row r="866" spans="1:4">
      <c r="A866" s="83" t="s">
        <v>6293</v>
      </c>
      <c r="B866" s="83" t="s">
        <v>5010</v>
      </c>
      <c r="C866" s="83" t="s">
        <v>6298</v>
      </c>
      <c r="D866" s="83" t="s">
        <v>6295</v>
      </c>
    </row>
    <row r="867" spans="1:4">
      <c r="A867" s="83" t="s">
        <v>6299</v>
      </c>
      <c r="B867" s="83" t="s">
        <v>5017</v>
      </c>
      <c r="C867" s="83" t="s">
        <v>6300</v>
      </c>
      <c r="D867" s="83" t="s">
        <v>6301</v>
      </c>
    </row>
    <row r="868" spans="1:4">
      <c r="A868" s="83" t="s">
        <v>6299</v>
      </c>
      <c r="B868" s="83" t="s">
        <v>5012</v>
      </c>
      <c r="C868" s="83" t="s">
        <v>6302</v>
      </c>
      <c r="D868" s="83" t="s">
        <v>6301</v>
      </c>
    </row>
    <row r="869" spans="1:4">
      <c r="A869" s="83" t="s">
        <v>6299</v>
      </c>
      <c r="B869" s="83" t="s">
        <v>5015</v>
      </c>
      <c r="C869" s="83" t="s">
        <v>6303</v>
      </c>
      <c r="D869" s="83" t="s">
        <v>6301</v>
      </c>
    </row>
    <row r="870" spans="1:4">
      <c r="A870" s="83" t="s">
        <v>6299</v>
      </c>
      <c r="B870" s="83" t="s">
        <v>5010</v>
      </c>
      <c r="C870" s="83" t="s">
        <v>6304</v>
      </c>
      <c r="D870" s="83" t="s">
        <v>6301</v>
      </c>
    </row>
    <row r="871" spans="1:4">
      <c r="A871" s="83" t="s">
        <v>6305</v>
      </c>
      <c r="B871" s="83" t="s">
        <v>5017</v>
      </c>
      <c r="C871" s="83" t="s">
        <v>6306</v>
      </c>
      <c r="D871" s="83" t="s">
        <v>6307</v>
      </c>
    </row>
    <row r="872" spans="1:4">
      <c r="A872" s="83" t="s">
        <v>6305</v>
      </c>
      <c r="B872" s="83" t="s">
        <v>5012</v>
      </c>
      <c r="C872" s="83" t="s">
        <v>6308</v>
      </c>
      <c r="D872" s="83" t="s">
        <v>6307</v>
      </c>
    </row>
    <row r="873" spans="1:4">
      <c r="A873" s="83" t="s">
        <v>6305</v>
      </c>
      <c r="B873" s="83" t="s">
        <v>5015</v>
      </c>
      <c r="C873" s="83" t="s">
        <v>6309</v>
      </c>
      <c r="D873" s="83" t="s">
        <v>6307</v>
      </c>
    </row>
    <row r="874" spans="1:4">
      <c r="A874" s="83" t="s">
        <v>6305</v>
      </c>
      <c r="B874" s="83" t="s">
        <v>5010</v>
      </c>
      <c r="C874" s="83" t="s">
        <v>6310</v>
      </c>
      <c r="D874" s="83" t="s">
        <v>6307</v>
      </c>
    </row>
    <row r="875" spans="1:4">
      <c r="A875" s="83" t="s">
        <v>6311</v>
      </c>
      <c r="B875" s="83" t="s">
        <v>5017</v>
      </c>
      <c r="C875" s="83" t="s">
        <v>6312</v>
      </c>
      <c r="D875" s="83" t="s">
        <v>6313</v>
      </c>
    </row>
    <row r="876" spans="1:4">
      <c r="A876" s="83" t="s">
        <v>6311</v>
      </c>
      <c r="B876" s="83" t="s">
        <v>5012</v>
      </c>
      <c r="C876" s="83" t="s">
        <v>6314</v>
      </c>
      <c r="D876" s="83" t="s">
        <v>6313</v>
      </c>
    </row>
    <row r="877" spans="1:4">
      <c r="A877" s="83" t="s">
        <v>6311</v>
      </c>
      <c r="B877" s="83" t="s">
        <v>5015</v>
      </c>
      <c r="C877" s="83" t="s">
        <v>6315</v>
      </c>
      <c r="D877" s="83" t="s">
        <v>6313</v>
      </c>
    </row>
    <row r="878" spans="1:4">
      <c r="A878" s="83" t="s">
        <v>6311</v>
      </c>
      <c r="B878" s="83" t="s">
        <v>5010</v>
      </c>
      <c r="C878" s="83" t="s">
        <v>6316</v>
      </c>
      <c r="D878" s="83" t="s">
        <v>6313</v>
      </c>
    </row>
    <row r="879" spans="1:4">
      <c r="A879" s="83" t="s">
        <v>6317</v>
      </c>
      <c r="B879" s="83" t="s">
        <v>5017</v>
      </c>
      <c r="C879" s="83" t="s">
        <v>6318</v>
      </c>
      <c r="D879" s="83" t="s">
        <v>6319</v>
      </c>
    </row>
    <row r="880" spans="1:4">
      <c r="A880" s="83" t="s">
        <v>6317</v>
      </c>
      <c r="B880" s="83" t="s">
        <v>5012</v>
      </c>
      <c r="C880" s="83" t="s">
        <v>6320</v>
      </c>
      <c r="D880" s="83" t="s">
        <v>6319</v>
      </c>
    </row>
    <row r="881" spans="1:4">
      <c r="A881" s="83" t="s">
        <v>6317</v>
      </c>
      <c r="B881" s="83" t="s">
        <v>5015</v>
      </c>
      <c r="C881" s="83" t="s">
        <v>6321</v>
      </c>
      <c r="D881" s="83" t="s">
        <v>6319</v>
      </c>
    </row>
    <row r="882" spans="1:4">
      <c r="A882" s="83" t="s">
        <v>6317</v>
      </c>
      <c r="B882" s="83" t="s">
        <v>5010</v>
      </c>
      <c r="C882" s="83" t="s">
        <v>6322</v>
      </c>
      <c r="D882" s="83" t="s">
        <v>6319</v>
      </c>
    </row>
    <row r="883" spans="1:4">
      <c r="A883" s="83" t="s">
        <v>6323</v>
      </c>
      <c r="B883" s="83" t="s">
        <v>5017</v>
      </c>
      <c r="C883" s="83" t="s">
        <v>6324</v>
      </c>
      <c r="D883" s="83" t="s">
        <v>6325</v>
      </c>
    </row>
    <row r="884" spans="1:4">
      <c r="A884" s="83" t="s">
        <v>6323</v>
      </c>
      <c r="B884" s="83" t="s">
        <v>5012</v>
      </c>
      <c r="C884" s="83" t="s">
        <v>6326</v>
      </c>
      <c r="D884" s="83" t="s">
        <v>6325</v>
      </c>
    </row>
    <row r="885" spans="1:4">
      <c r="A885" s="83" t="s">
        <v>6323</v>
      </c>
      <c r="B885" s="83" t="s">
        <v>5015</v>
      </c>
      <c r="C885" s="83" t="s">
        <v>6327</v>
      </c>
      <c r="D885" s="83" t="s">
        <v>6325</v>
      </c>
    </row>
    <row r="886" spans="1:4">
      <c r="A886" s="83" t="s">
        <v>6323</v>
      </c>
      <c r="B886" s="83" t="s">
        <v>5010</v>
      </c>
      <c r="C886" s="83" t="s">
        <v>6304</v>
      </c>
      <c r="D886" s="83" t="s">
        <v>6325</v>
      </c>
    </row>
    <row r="887" spans="1:4">
      <c r="A887" s="83" t="s">
        <v>6328</v>
      </c>
      <c r="B887" s="83" t="s">
        <v>5017</v>
      </c>
      <c r="C887" s="83" t="s">
        <v>6329</v>
      </c>
      <c r="D887" s="83" t="s">
        <v>6330</v>
      </c>
    </row>
    <row r="888" spans="1:4">
      <c r="A888" s="83" t="s">
        <v>6328</v>
      </c>
      <c r="B888" s="83" t="s">
        <v>5012</v>
      </c>
      <c r="C888" s="83" t="s">
        <v>6331</v>
      </c>
      <c r="D888" s="83" t="s">
        <v>6330</v>
      </c>
    </row>
    <row r="889" spans="1:4">
      <c r="A889" s="83" t="s">
        <v>6328</v>
      </c>
      <c r="B889" s="83" t="s">
        <v>5015</v>
      </c>
      <c r="C889" s="83" t="s">
        <v>6332</v>
      </c>
      <c r="D889" s="83" t="s">
        <v>6330</v>
      </c>
    </row>
    <row r="890" spans="1:4">
      <c r="A890" s="83" t="s">
        <v>6328</v>
      </c>
      <c r="B890" s="83" t="s">
        <v>5010</v>
      </c>
      <c r="C890" s="83" t="s">
        <v>6333</v>
      </c>
      <c r="D890" s="83" t="s">
        <v>6330</v>
      </c>
    </row>
    <row r="891" spans="1:4">
      <c r="A891" s="83" t="s">
        <v>6334</v>
      </c>
      <c r="B891" s="83" t="s">
        <v>5017</v>
      </c>
      <c r="C891" s="83" t="s">
        <v>6335</v>
      </c>
      <c r="D891" s="83" t="s">
        <v>6336</v>
      </c>
    </row>
    <row r="892" spans="1:4">
      <c r="A892" s="83" t="s">
        <v>6334</v>
      </c>
      <c r="B892" s="83" t="s">
        <v>5012</v>
      </c>
      <c r="C892" s="83" t="s">
        <v>6337</v>
      </c>
      <c r="D892" s="83" t="s">
        <v>6336</v>
      </c>
    </row>
    <row r="893" spans="1:4">
      <c r="A893" s="83" t="s">
        <v>6334</v>
      </c>
      <c r="B893" s="83" t="s">
        <v>5015</v>
      </c>
      <c r="C893" s="83" t="s">
        <v>6338</v>
      </c>
      <c r="D893" s="83" t="s">
        <v>6336</v>
      </c>
    </row>
    <row r="894" spans="1:4">
      <c r="A894" s="83" t="s">
        <v>6334</v>
      </c>
      <c r="B894" s="83" t="s">
        <v>5010</v>
      </c>
      <c r="C894" s="83" t="s">
        <v>6339</v>
      </c>
      <c r="D894" s="83" t="s">
        <v>6336</v>
      </c>
    </row>
    <row r="895" spans="1:4">
      <c r="A895" s="83" t="s">
        <v>6340</v>
      </c>
      <c r="B895" s="83" t="s">
        <v>5017</v>
      </c>
      <c r="C895" s="83" t="s">
        <v>6341</v>
      </c>
      <c r="D895" s="83" t="s">
        <v>6342</v>
      </c>
    </row>
    <row r="896" spans="1:4">
      <c r="A896" s="83" t="s">
        <v>6340</v>
      </c>
      <c r="B896" s="83" t="s">
        <v>5012</v>
      </c>
      <c r="C896" s="83" t="s">
        <v>6343</v>
      </c>
      <c r="D896" s="83" t="s">
        <v>6342</v>
      </c>
    </row>
    <row r="897" spans="1:4">
      <c r="A897" s="83" t="s">
        <v>6340</v>
      </c>
      <c r="B897" s="83" t="s">
        <v>5015</v>
      </c>
      <c r="C897" s="83" t="s">
        <v>6344</v>
      </c>
      <c r="D897" s="83" t="s">
        <v>6342</v>
      </c>
    </row>
    <row r="898" spans="1:4">
      <c r="A898" s="83" t="s">
        <v>6340</v>
      </c>
      <c r="B898" s="83" t="s">
        <v>5010</v>
      </c>
      <c r="C898" s="83" t="s">
        <v>6345</v>
      </c>
      <c r="D898" s="83" t="s">
        <v>6342</v>
      </c>
    </row>
    <row r="899" spans="1:4">
      <c r="A899" s="83" t="s">
        <v>6346</v>
      </c>
      <c r="B899" s="83" t="s">
        <v>5017</v>
      </c>
      <c r="C899" s="83" t="s">
        <v>6347</v>
      </c>
      <c r="D899" s="83" t="s">
        <v>6348</v>
      </c>
    </row>
    <row r="900" spans="1:4">
      <c r="A900" s="83" t="s">
        <v>6346</v>
      </c>
      <c r="B900" s="83" t="s">
        <v>5012</v>
      </c>
      <c r="C900" s="83" t="s">
        <v>6349</v>
      </c>
      <c r="D900" s="83" t="s">
        <v>6348</v>
      </c>
    </row>
    <row r="901" spans="1:4">
      <c r="A901" s="83" t="s">
        <v>6346</v>
      </c>
      <c r="B901" s="83" t="s">
        <v>5015</v>
      </c>
      <c r="C901" s="83" t="s">
        <v>6350</v>
      </c>
      <c r="D901" s="83" t="s">
        <v>6348</v>
      </c>
    </row>
    <row r="902" spans="1:4">
      <c r="A902" s="83" t="s">
        <v>6346</v>
      </c>
      <c r="B902" s="83" t="s">
        <v>5010</v>
      </c>
      <c r="C902" s="83" t="s">
        <v>6351</v>
      </c>
      <c r="D902" s="83" t="s">
        <v>6348</v>
      </c>
    </row>
    <row r="903" spans="1:4">
      <c r="A903" s="83" t="s">
        <v>6352</v>
      </c>
      <c r="B903" s="83" t="s">
        <v>5017</v>
      </c>
      <c r="C903" s="83" t="s">
        <v>6353</v>
      </c>
      <c r="D903" s="83" t="s">
        <v>6354</v>
      </c>
    </row>
    <row r="904" spans="1:4">
      <c r="A904" s="83" t="s">
        <v>6352</v>
      </c>
      <c r="B904" s="83" t="s">
        <v>5012</v>
      </c>
      <c r="C904" s="83" t="s">
        <v>6355</v>
      </c>
      <c r="D904" s="83" t="s">
        <v>6354</v>
      </c>
    </row>
    <row r="905" spans="1:4">
      <c r="A905" s="83" t="s">
        <v>6352</v>
      </c>
      <c r="B905" s="83" t="s">
        <v>5015</v>
      </c>
      <c r="C905" s="83" t="s">
        <v>6356</v>
      </c>
      <c r="D905" s="83" t="s">
        <v>6354</v>
      </c>
    </row>
    <row r="906" spans="1:4">
      <c r="A906" s="83" t="s">
        <v>6352</v>
      </c>
      <c r="B906" s="83" t="s">
        <v>5010</v>
      </c>
      <c r="C906" s="83" t="s">
        <v>6357</v>
      </c>
      <c r="D906" s="83" t="s">
        <v>6354</v>
      </c>
    </row>
    <row r="907" spans="1:4">
      <c r="A907" s="83" t="s">
        <v>6358</v>
      </c>
      <c r="B907" s="83" t="s">
        <v>5017</v>
      </c>
      <c r="C907" s="83" t="s">
        <v>6359</v>
      </c>
      <c r="D907" s="83" t="s">
        <v>6360</v>
      </c>
    </row>
    <row r="908" spans="1:4">
      <c r="A908" s="83" t="s">
        <v>6358</v>
      </c>
      <c r="B908" s="83" t="s">
        <v>5012</v>
      </c>
      <c r="C908" s="83" t="s">
        <v>6361</v>
      </c>
      <c r="D908" s="83" t="s">
        <v>6360</v>
      </c>
    </row>
    <row r="909" spans="1:4">
      <c r="A909" s="83" t="s">
        <v>6358</v>
      </c>
      <c r="B909" s="83" t="s">
        <v>5015</v>
      </c>
      <c r="C909" s="83" t="s">
        <v>6362</v>
      </c>
      <c r="D909" s="83" t="s">
        <v>6360</v>
      </c>
    </row>
    <row r="910" spans="1:4">
      <c r="A910" s="83" t="s">
        <v>6358</v>
      </c>
      <c r="B910" s="83" t="s">
        <v>5010</v>
      </c>
      <c r="C910" s="83" t="s">
        <v>6061</v>
      </c>
      <c r="D910" s="83" t="s">
        <v>6360</v>
      </c>
    </row>
    <row r="911" spans="1:4">
      <c r="A911" s="83" t="s">
        <v>6363</v>
      </c>
      <c r="B911" s="83" t="s">
        <v>5017</v>
      </c>
      <c r="C911" s="83" t="s">
        <v>6364</v>
      </c>
      <c r="D911" s="83" t="s">
        <v>6365</v>
      </c>
    </row>
    <row r="912" spans="1:4">
      <c r="A912" s="83" t="s">
        <v>6363</v>
      </c>
      <c r="B912" s="83" t="s">
        <v>5012</v>
      </c>
      <c r="C912" s="83" t="s">
        <v>6366</v>
      </c>
      <c r="D912" s="83" t="s">
        <v>6365</v>
      </c>
    </row>
    <row r="913" spans="1:4">
      <c r="A913" s="83" t="s">
        <v>6363</v>
      </c>
      <c r="B913" s="83" t="s">
        <v>5015</v>
      </c>
      <c r="C913" s="83" t="s">
        <v>6367</v>
      </c>
      <c r="D913" s="83" t="s">
        <v>6365</v>
      </c>
    </row>
    <row r="914" spans="1:4">
      <c r="A914" s="83" t="s">
        <v>6363</v>
      </c>
      <c r="B914" s="83" t="s">
        <v>5010</v>
      </c>
      <c r="C914" s="83" t="s">
        <v>6368</v>
      </c>
      <c r="D914" s="83" t="s">
        <v>6365</v>
      </c>
    </row>
    <row r="915" spans="1:4">
      <c r="A915" s="83" t="s">
        <v>6369</v>
      </c>
      <c r="B915" s="83" t="s">
        <v>5017</v>
      </c>
      <c r="C915" s="83" t="s">
        <v>6370</v>
      </c>
      <c r="D915" s="83" t="s">
        <v>6371</v>
      </c>
    </row>
    <row r="916" spans="1:4">
      <c r="A916" s="83" t="s">
        <v>6369</v>
      </c>
      <c r="B916" s="83" t="s">
        <v>5012</v>
      </c>
      <c r="C916" s="83" t="s">
        <v>6372</v>
      </c>
      <c r="D916" s="83" t="s">
        <v>6371</v>
      </c>
    </row>
    <row r="917" spans="1:4">
      <c r="A917" s="83" t="s">
        <v>6369</v>
      </c>
      <c r="B917" s="83" t="s">
        <v>5015</v>
      </c>
      <c r="C917" s="83" t="s">
        <v>6373</v>
      </c>
      <c r="D917" s="83" t="s">
        <v>6371</v>
      </c>
    </row>
    <row r="918" spans="1:4">
      <c r="A918" s="83" t="s">
        <v>6369</v>
      </c>
      <c r="B918" s="83" t="s">
        <v>5010</v>
      </c>
      <c r="C918" s="83" t="s">
        <v>6374</v>
      </c>
      <c r="D918" s="83" t="s">
        <v>6371</v>
      </c>
    </row>
    <row r="919" spans="1:4">
      <c r="A919" s="83" t="s">
        <v>6375</v>
      </c>
      <c r="B919" s="83" t="s">
        <v>5017</v>
      </c>
      <c r="C919" s="83" t="s">
        <v>6376</v>
      </c>
      <c r="D919" s="83" t="s">
        <v>6377</v>
      </c>
    </row>
    <row r="920" spans="1:4">
      <c r="A920" s="83" t="s">
        <v>6375</v>
      </c>
      <c r="B920" s="83" t="s">
        <v>5012</v>
      </c>
      <c r="C920" s="83" t="s">
        <v>6378</v>
      </c>
      <c r="D920" s="83" t="s">
        <v>6377</v>
      </c>
    </row>
    <row r="921" spans="1:4">
      <c r="A921" s="83" t="s">
        <v>6375</v>
      </c>
      <c r="B921" s="83" t="s">
        <v>5015</v>
      </c>
      <c r="C921" s="83" t="s">
        <v>6379</v>
      </c>
      <c r="D921" s="83" t="s">
        <v>6377</v>
      </c>
    </row>
    <row r="922" spans="1:4">
      <c r="A922" s="83" t="s">
        <v>6375</v>
      </c>
      <c r="B922" s="83" t="s">
        <v>5010</v>
      </c>
      <c r="C922" s="83" t="s">
        <v>6380</v>
      </c>
      <c r="D922" s="83" t="s">
        <v>6377</v>
      </c>
    </row>
    <row r="923" spans="1:4">
      <c r="A923" s="83" t="s">
        <v>6381</v>
      </c>
      <c r="B923" s="83" t="s">
        <v>5017</v>
      </c>
      <c r="C923" s="83" t="s">
        <v>6382</v>
      </c>
      <c r="D923" s="83" t="s">
        <v>6383</v>
      </c>
    </row>
    <row r="924" spans="1:4">
      <c r="A924" s="83" t="s">
        <v>6381</v>
      </c>
      <c r="B924" s="83" t="s">
        <v>5012</v>
      </c>
      <c r="C924" s="83" t="s">
        <v>6384</v>
      </c>
      <c r="D924" s="83" t="s">
        <v>6383</v>
      </c>
    </row>
    <row r="925" spans="1:4">
      <c r="A925" s="83" t="s">
        <v>6381</v>
      </c>
      <c r="B925" s="83" t="s">
        <v>5015</v>
      </c>
      <c r="C925" s="83" t="s">
        <v>6385</v>
      </c>
      <c r="D925" s="83" t="s">
        <v>6383</v>
      </c>
    </row>
    <row r="926" spans="1:4">
      <c r="A926" s="83" t="s">
        <v>6381</v>
      </c>
      <c r="B926" s="83" t="s">
        <v>5010</v>
      </c>
      <c r="C926" s="83" t="s">
        <v>6386</v>
      </c>
      <c r="D926" s="83" t="s">
        <v>6383</v>
      </c>
    </row>
    <row r="927" spans="1:4">
      <c r="A927" s="83" t="s">
        <v>6387</v>
      </c>
      <c r="B927" s="83" t="s">
        <v>5017</v>
      </c>
      <c r="C927" s="83" t="s">
        <v>6388</v>
      </c>
      <c r="D927" s="83" t="s">
        <v>6389</v>
      </c>
    </row>
    <row r="928" spans="1:4">
      <c r="A928" s="83" t="s">
        <v>6387</v>
      </c>
      <c r="B928" s="83" t="s">
        <v>5012</v>
      </c>
      <c r="C928" s="83" t="s">
        <v>6390</v>
      </c>
      <c r="D928" s="83" t="s">
        <v>6389</v>
      </c>
    </row>
    <row r="929" spans="1:4">
      <c r="A929" s="83" t="s">
        <v>6387</v>
      </c>
      <c r="B929" s="83" t="s">
        <v>5015</v>
      </c>
      <c r="C929" s="83" t="s">
        <v>6391</v>
      </c>
      <c r="D929" s="83" t="s">
        <v>6389</v>
      </c>
    </row>
    <row r="930" spans="1:4">
      <c r="A930" s="83" t="s">
        <v>6387</v>
      </c>
      <c r="B930" s="83" t="s">
        <v>5010</v>
      </c>
      <c r="C930" s="83" t="s">
        <v>6392</v>
      </c>
      <c r="D930" s="83" t="s">
        <v>6389</v>
      </c>
    </row>
    <row r="931" spans="1:4">
      <c r="A931" s="83" t="s">
        <v>6393</v>
      </c>
      <c r="B931" s="83" t="s">
        <v>5017</v>
      </c>
      <c r="C931" s="83" t="s">
        <v>6394</v>
      </c>
      <c r="D931" s="83" t="s">
        <v>6395</v>
      </c>
    </row>
    <row r="932" spans="1:4">
      <c r="A932" s="83" t="s">
        <v>6393</v>
      </c>
      <c r="B932" s="83" t="s">
        <v>5012</v>
      </c>
      <c r="C932" s="83" t="s">
        <v>6396</v>
      </c>
      <c r="D932" s="83" t="s">
        <v>6395</v>
      </c>
    </row>
    <row r="933" spans="1:4">
      <c r="A933" s="83" t="s">
        <v>6393</v>
      </c>
      <c r="B933" s="83" t="s">
        <v>5015</v>
      </c>
      <c r="C933" s="83" t="s">
        <v>6397</v>
      </c>
      <c r="D933" s="83" t="s">
        <v>6395</v>
      </c>
    </row>
    <row r="934" spans="1:4">
      <c r="A934" s="83" t="s">
        <v>6393</v>
      </c>
      <c r="B934" s="83" t="s">
        <v>5010</v>
      </c>
      <c r="C934" s="83" t="s">
        <v>6398</v>
      </c>
      <c r="D934" s="83" t="s">
        <v>6395</v>
      </c>
    </row>
    <row r="935" spans="1:4">
      <c r="A935" s="83" t="s">
        <v>6399</v>
      </c>
      <c r="B935" s="83" t="s">
        <v>5017</v>
      </c>
      <c r="C935" s="83" t="s">
        <v>6400</v>
      </c>
      <c r="D935" s="83" t="s">
        <v>6401</v>
      </c>
    </row>
    <row r="936" spans="1:4">
      <c r="A936" s="83" t="s">
        <v>6399</v>
      </c>
      <c r="B936" s="83" t="s">
        <v>5012</v>
      </c>
      <c r="C936" s="83" t="s">
        <v>6402</v>
      </c>
      <c r="D936" s="83" t="s">
        <v>6401</v>
      </c>
    </row>
    <row r="937" spans="1:4">
      <c r="A937" s="83" t="s">
        <v>6399</v>
      </c>
      <c r="B937" s="83" t="s">
        <v>5015</v>
      </c>
      <c r="C937" s="83" t="s">
        <v>6403</v>
      </c>
      <c r="D937" s="83" t="s">
        <v>6401</v>
      </c>
    </row>
    <row r="938" spans="1:4">
      <c r="A938" s="83" t="s">
        <v>6399</v>
      </c>
      <c r="B938" s="83" t="s">
        <v>5010</v>
      </c>
      <c r="C938" s="83" t="s">
        <v>6404</v>
      </c>
      <c r="D938" s="83" t="s">
        <v>6401</v>
      </c>
    </row>
    <row r="939" spans="1:4">
      <c r="A939" s="83" t="s">
        <v>6405</v>
      </c>
      <c r="B939" s="83" t="s">
        <v>5017</v>
      </c>
      <c r="C939" s="83" t="s">
        <v>6406</v>
      </c>
      <c r="D939" s="83" t="s">
        <v>6407</v>
      </c>
    </row>
    <row r="940" spans="1:4">
      <c r="A940" s="83" t="s">
        <v>6405</v>
      </c>
      <c r="B940" s="83" t="s">
        <v>5012</v>
      </c>
      <c r="C940" s="83" t="s">
        <v>6408</v>
      </c>
      <c r="D940" s="83" t="s">
        <v>6407</v>
      </c>
    </row>
    <row r="941" spans="1:4">
      <c r="A941" s="83" t="s">
        <v>6405</v>
      </c>
      <c r="B941" s="83" t="s">
        <v>5015</v>
      </c>
      <c r="C941" s="83" t="s">
        <v>6409</v>
      </c>
      <c r="D941" s="83" t="s">
        <v>6407</v>
      </c>
    </row>
    <row r="942" spans="1:4">
      <c r="A942" s="83" t="s">
        <v>6405</v>
      </c>
      <c r="B942" s="83" t="s">
        <v>5010</v>
      </c>
      <c r="C942" s="83" t="s">
        <v>6410</v>
      </c>
      <c r="D942" s="83" t="s">
        <v>6407</v>
      </c>
    </row>
    <row r="943" spans="1:4">
      <c r="A943" s="83" t="s">
        <v>6411</v>
      </c>
      <c r="B943" s="83" t="s">
        <v>5017</v>
      </c>
      <c r="C943" s="83" t="s">
        <v>6412</v>
      </c>
      <c r="D943" s="83" t="s">
        <v>6413</v>
      </c>
    </row>
    <row r="944" spans="1:4">
      <c r="A944" s="83" t="s">
        <v>6411</v>
      </c>
      <c r="B944" s="83" t="s">
        <v>5012</v>
      </c>
      <c r="C944" s="83" t="s">
        <v>6414</v>
      </c>
      <c r="D944" s="83" t="s">
        <v>6413</v>
      </c>
    </row>
    <row r="945" spans="1:4">
      <c r="A945" s="83" t="s">
        <v>6411</v>
      </c>
      <c r="B945" s="83" t="s">
        <v>5015</v>
      </c>
      <c r="C945" s="83" t="s">
        <v>6415</v>
      </c>
      <c r="D945" s="83" t="s">
        <v>6413</v>
      </c>
    </row>
    <row r="946" spans="1:4">
      <c r="A946" s="83" t="s">
        <v>6411</v>
      </c>
      <c r="B946" s="83" t="s">
        <v>5010</v>
      </c>
      <c r="C946" s="83" t="s">
        <v>6416</v>
      </c>
      <c r="D946" s="83" t="s">
        <v>6413</v>
      </c>
    </row>
    <row r="947" spans="1:4">
      <c r="A947" s="83" t="s">
        <v>6417</v>
      </c>
      <c r="B947" s="83" t="s">
        <v>5017</v>
      </c>
      <c r="C947" s="83" t="s">
        <v>6418</v>
      </c>
      <c r="D947" s="83" t="s">
        <v>6419</v>
      </c>
    </row>
    <row r="948" spans="1:4">
      <c r="A948" s="83" t="s">
        <v>6417</v>
      </c>
      <c r="B948" s="83" t="s">
        <v>5012</v>
      </c>
      <c r="C948" s="83" t="s">
        <v>6420</v>
      </c>
      <c r="D948" s="83" t="s">
        <v>6419</v>
      </c>
    </row>
    <row r="949" spans="1:4">
      <c r="A949" s="83" t="s">
        <v>6417</v>
      </c>
      <c r="B949" s="83" t="s">
        <v>5015</v>
      </c>
      <c r="C949" s="83" t="s">
        <v>6421</v>
      </c>
      <c r="D949" s="83" t="s">
        <v>6419</v>
      </c>
    </row>
    <row r="950" spans="1:4">
      <c r="A950" s="83" t="s">
        <v>6417</v>
      </c>
      <c r="B950" s="83" t="s">
        <v>5010</v>
      </c>
      <c r="C950" s="83" t="s">
        <v>6422</v>
      </c>
      <c r="D950" s="83" t="s">
        <v>6419</v>
      </c>
    </row>
    <row r="951" spans="1:4">
      <c r="A951" s="83" t="s">
        <v>6423</v>
      </c>
      <c r="B951" s="83" t="s">
        <v>5017</v>
      </c>
      <c r="C951" s="83" t="s">
        <v>6424</v>
      </c>
      <c r="D951" s="83" t="s">
        <v>6425</v>
      </c>
    </row>
    <row r="952" spans="1:4">
      <c r="A952" s="83" t="s">
        <v>6423</v>
      </c>
      <c r="B952" s="83" t="s">
        <v>5012</v>
      </c>
      <c r="C952" s="83" t="s">
        <v>6426</v>
      </c>
      <c r="D952" s="83" t="s">
        <v>6425</v>
      </c>
    </row>
    <row r="953" spans="1:4">
      <c r="A953" s="83" t="s">
        <v>6423</v>
      </c>
      <c r="B953" s="83" t="s">
        <v>5015</v>
      </c>
      <c r="C953" s="83" t="s">
        <v>6427</v>
      </c>
      <c r="D953" s="83" t="s">
        <v>6425</v>
      </c>
    </row>
    <row r="954" spans="1:4">
      <c r="A954" s="83" t="s">
        <v>6423</v>
      </c>
      <c r="B954" s="83" t="s">
        <v>5010</v>
      </c>
      <c r="C954" s="83" t="s">
        <v>6428</v>
      </c>
      <c r="D954" s="83" t="s">
        <v>6425</v>
      </c>
    </row>
    <row r="955" spans="1:4">
      <c r="A955" s="83" t="s">
        <v>6429</v>
      </c>
      <c r="B955" s="83" t="s">
        <v>5017</v>
      </c>
      <c r="C955" s="83" t="s">
        <v>6430</v>
      </c>
      <c r="D955" s="83" t="s">
        <v>6431</v>
      </c>
    </row>
    <row r="956" spans="1:4">
      <c r="A956" s="83" t="s">
        <v>6429</v>
      </c>
      <c r="B956" s="83" t="s">
        <v>5012</v>
      </c>
      <c r="C956" s="83" t="s">
        <v>6432</v>
      </c>
      <c r="D956" s="83" t="s">
        <v>6431</v>
      </c>
    </row>
    <row r="957" spans="1:4">
      <c r="A957" s="83" t="s">
        <v>6429</v>
      </c>
      <c r="B957" s="83" t="s">
        <v>5015</v>
      </c>
      <c r="C957" s="83" t="s">
        <v>6433</v>
      </c>
      <c r="D957" s="83" t="s">
        <v>6431</v>
      </c>
    </row>
    <row r="958" spans="1:4">
      <c r="A958" s="83" t="s">
        <v>6429</v>
      </c>
      <c r="B958" s="83" t="s">
        <v>5010</v>
      </c>
      <c r="C958" s="83" t="s">
        <v>6434</v>
      </c>
      <c r="D958" s="83" t="s">
        <v>6431</v>
      </c>
    </row>
    <row r="959" spans="1:4">
      <c r="A959" s="83" t="s">
        <v>6435</v>
      </c>
      <c r="B959" s="83" t="s">
        <v>5017</v>
      </c>
      <c r="C959" s="83" t="s">
        <v>6436</v>
      </c>
      <c r="D959" s="83" t="s">
        <v>6437</v>
      </c>
    </row>
    <row r="960" spans="1:4">
      <c r="A960" s="83" t="s">
        <v>6435</v>
      </c>
      <c r="B960" s="83" t="s">
        <v>5012</v>
      </c>
      <c r="C960" s="83" t="s">
        <v>6438</v>
      </c>
      <c r="D960" s="83" t="s">
        <v>6437</v>
      </c>
    </row>
    <row r="961" spans="1:4">
      <c r="A961" s="83" t="s">
        <v>6435</v>
      </c>
      <c r="B961" s="83" t="s">
        <v>5015</v>
      </c>
      <c r="C961" s="83" t="s">
        <v>6439</v>
      </c>
      <c r="D961" s="83" t="s">
        <v>6437</v>
      </c>
    </row>
    <row r="962" spans="1:4">
      <c r="A962" s="83" t="s">
        <v>6435</v>
      </c>
      <c r="B962" s="83" t="s">
        <v>5010</v>
      </c>
      <c r="C962" s="83" t="s">
        <v>6440</v>
      </c>
      <c r="D962" s="83" t="s">
        <v>6437</v>
      </c>
    </row>
    <row r="963" spans="1:4">
      <c r="A963" s="83" t="s">
        <v>6441</v>
      </c>
      <c r="B963" s="83" t="s">
        <v>5017</v>
      </c>
      <c r="C963" s="83" t="s">
        <v>6442</v>
      </c>
      <c r="D963" s="83" t="s">
        <v>6443</v>
      </c>
    </row>
    <row r="964" spans="1:4">
      <c r="A964" s="83" t="s">
        <v>6441</v>
      </c>
      <c r="B964" s="83" t="s">
        <v>5012</v>
      </c>
      <c r="C964" s="83" t="s">
        <v>6444</v>
      </c>
      <c r="D964" s="83" t="s">
        <v>6443</v>
      </c>
    </row>
    <row r="965" spans="1:4">
      <c r="A965" s="83" t="s">
        <v>6441</v>
      </c>
      <c r="B965" s="83" t="s">
        <v>5015</v>
      </c>
      <c r="C965" s="83" t="s">
        <v>6445</v>
      </c>
      <c r="D965" s="83" t="s">
        <v>6443</v>
      </c>
    </row>
    <row r="966" spans="1:4">
      <c r="A966" s="83" t="s">
        <v>6441</v>
      </c>
      <c r="B966" s="83" t="s">
        <v>5010</v>
      </c>
      <c r="C966" s="83" t="s">
        <v>6446</v>
      </c>
      <c r="D966" s="83" t="s">
        <v>6443</v>
      </c>
    </row>
    <row r="967" spans="1:4">
      <c r="A967" s="83" t="s">
        <v>6447</v>
      </c>
      <c r="B967" s="83" t="s">
        <v>5017</v>
      </c>
      <c r="C967" s="83" t="s">
        <v>6448</v>
      </c>
      <c r="D967" s="83" t="s">
        <v>6449</v>
      </c>
    </row>
    <row r="968" spans="1:4">
      <c r="A968" s="83" t="s">
        <v>6447</v>
      </c>
      <c r="B968" s="83" t="s">
        <v>5012</v>
      </c>
      <c r="C968" s="83" t="s">
        <v>6450</v>
      </c>
      <c r="D968" s="83" t="s">
        <v>6449</v>
      </c>
    </row>
    <row r="969" spans="1:4">
      <c r="A969" s="83" t="s">
        <v>6447</v>
      </c>
      <c r="B969" s="83" t="s">
        <v>5015</v>
      </c>
      <c r="C969" s="83" t="s">
        <v>6451</v>
      </c>
      <c r="D969" s="83" t="s">
        <v>6449</v>
      </c>
    </row>
    <row r="970" spans="1:4">
      <c r="A970" s="83" t="s">
        <v>6447</v>
      </c>
      <c r="B970" s="83" t="s">
        <v>5010</v>
      </c>
      <c r="C970" s="83" t="s">
        <v>6452</v>
      </c>
      <c r="D970" s="83" t="s">
        <v>6449</v>
      </c>
    </row>
    <row r="971" spans="1:4">
      <c r="A971" s="83" t="s">
        <v>6453</v>
      </c>
      <c r="B971" s="83" t="s">
        <v>5017</v>
      </c>
      <c r="C971" s="83" t="s">
        <v>6454</v>
      </c>
      <c r="D971" s="83" t="s">
        <v>6455</v>
      </c>
    </row>
    <row r="972" spans="1:4">
      <c r="A972" s="83" t="s">
        <v>6453</v>
      </c>
      <c r="B972" s="83" t="s">
        <v>5012</v>
      </c>
      <c r="C972" s="83" t="s">
        <v>6456</v>
      </c>
      <c r="D972" s="83" t="s">
        <v>6455</v>
      </c>
    </row>
    <row r="973" spans="1:4">
      <c r="A973" s="83" t="s">
        <v>6453</v>
      </c>
      <c r="B973" s="83" t="s">
        <v>5015</v>
      </c>
      <c r="C973" s="83" t="s">
        <v>6457</v>
      </c>
      <c r="D973" s="83" t="s">
        <v>6455</v>
      </c>
    </row>
    <row r="974" spans="1:4">
      <c r="A974" s="83" t="s">
        <v>6453</v>
      </c>
      <c r="B974" s="83" t="s">
        <v>5010</v>
      </c>
      <c r="C974" s="83" t="s">
        <v>6458</v>
      </c>
      <c r="D974" s="83" t="s">
        <v>6455</v>
      </c>
    </row>
    <row r="975" spans="1:4">
      <c r="A975" s="83" t="s">
        <v>6459</v>
      </c>
      <c r="B975" s="83" t="s">
        <v>5017</v>
      </c>
      <c r="C975" s="83" t="s">
        <v>6460</v>
      </c>
      <c r="D975" s="83" t="s">
        <v>6461</v>
      </c>
    </row>
    <row r="976" spans="1:4">
      <c r="A976" s="83" t="s">
        <v>6459</v>
      </c>
      <c r="B976" s="83" t="s">
        <v>5012</v>
      </c>
      <c r="C976" s="83" t="s">
        <v>6462</v>
      </c>
      <c r="D976" s="83" t="s">
        <v>6461</v>
      </c>
    </row>
    <row r="977" spans="1:4">
      <c r="A977" s="83" t="s">
        <v>6459</v>
      </c>
      <c r="B977" s="83" t="s">
        <v>5015</v>
      </c>
      <c r="C977" s="83" t="s">
        <v>6463</v>
      </c>
      <c r="D977" s="83" t="s">
        <v>6461</v>
      </c>
    </row>
    <row r="978" spans="1:4">
      <c r="A978" s="83" t="s">
        <v>6459</v>
      </c>
      <c r="B978" s="83" t="s">
        <v>5010</v>
      </c>
      <c r="C978" s="83" t="s">
        <v>6464</v>
      </c>
      <c r="D978" s="83" t="s">
        <v>6461</v>
      </c>
    </row>
    <row r="979" spans="1:4">
      <c r="A979" s="83" t="s">
        <v>6465</v>
      </c>
      <c r="B979" s="83" t="s">
        <v>5017</v>
      </c>
      <c r="C979" s="83" t="s">
        <v>6466</v>
      </c>
      <c r="D979" s="83" t="s">
        <v>6467</v>
      </c>
    </row>
    <row r="980" spans="1:4">
      <c r="A980" s="83" t="s">
        <v>6465</v>
      </c>
      <c r="B980" s="83" t="s">
        <v>5012</v>
      </c>
      <c r="C980" s="83" t="s">
        <v>6468</v>
      </c>
      <c r="D980" s="83" t="s">
        <v>6467</v>
      </c>
    </row>
    <row r="981" spans="1:4">
      <c r="A981" s="83" t="s">
        <v>6465</v>
      </c>
      <c r="B981" s="83" t="s">
        <v>5015</v>
      </c>
      <c r="C981" s="83" t="s">
        <v>6469</v>
      </c>
      <c r="D981" s="83" t="s">
        <v>6467</v>
      </c>
    </row>
    <row r="982" spans="1:4">
      <c r="A982" s="83" t="s">
        <v>6465</v>
      </c>
      <c r="B982" s="83" t="s">
        <v>5010</v>
      </c>
      <c r="C982" s="83" t="s">
        <v>6470</v>
      </c>
      <c r="D982" s="83" t="s">
        <v>6467</v>
      </c>
    </row>
    <row r="983" spans="1:4">
      <c r="A983" s="83" t="s">
        <v>6471</v>
      </c>
      <c r="B983" s="83" t="s">
        <v>5017</v>
      </c>
      <c r="C983" s="83" t="s">
        <v>6472</v>
      </c>
      <c r="D983" s="83" t="s">
        <v>6473</v>
      </c>
    </row>
    <row r="984" spans="1:4">
      <c r="A984" s="83" t="s">
        <v>6471</v>
      </c>
      <c r="B984" s="83" t="s">
        <v>5012</v>
      </c>
      <c r="C984" s="83" t="s">
        <v>6474</v>
      </c>
      <c r="D984" s="83" t="s">
        <v>6473</v>
      </c>
    </row>
    <row r="985" spans="1:4">
      <c r="A985" s="83" t="s">
        <v>6471</v>
      </c>
      <c r="B985" s="83" t="s">
        <v>5015</v>
      </c>
      <c r="C985" s="83" t="s">
        <v>6475</v>
      </c>
      <c r="D985" s="83" t="s">
        <v>6473</v>
      </c>
    </row>
    <row r="986" spans="1:4">
      <c r="A986" s="83" t="s">
        <v>6471</v>
      </c>
      <c r="B986" s="83" t="s">
        <v>5010</v>
      </c>
      <c r="C986" s="83" t="s">
        <v>6476</v>
      </c>
      <c r="D986" s="83" t="s">
        <v>6473</v>
      </c>
    </row>
    <row r="987" spans="1:4">
      <c r="A987" s="83" t="s">
        <v>6477</v>
      </c>
      <c r="B987" s="83" t="s">
        <v>5017</v>
      </c>
      <c r="C987" s="83" t="s">
        <v>6478</v>
      </c>
      <c r="D987" s="83" t="s">
        <v>6479</v>
      </c>
    </row>
    <row r="988" spans="1:4">
      <c r="A988" s="83" t="s">
        <v>6477</v>
      </c>
      <c r="B988" s="83" t="s">
        <v>5012</v>
      </c>
      <c r="C988" s="83" t="s">
        <v>6480</v>
      </c>
      <c r="D988" s="83" t="s">
        <v>6479</v>
      </c>
    </row>
    <row r="989" spans="1:4">
      <c r="A989" s="83" t="s">
        <v>6477</v>
      </c>
      <c r="B989" s="83" t="s">
        <v>5015</v>
      </c>
      <c r="C989" s="83" t="s">
        <v>6481</v>
      </c>
      <c r="D989" s="83" t="s">
        <v>6479</v>
      </c>
    </row>
    <row r="990" spans="1:4">
      <c r="A990" s="83" t="s">
        <v>6477</v>
      </c>
      <c r="B990" s="83" t="s">
        <v>5010</v>
      </c>
      <c r="C990" s="83" t="s">
        <v>6482</v>
      </c>
      <c r="D990" s="83" t="s">
        <v>6479</v>
      </c>
    </row>
    <row r="991" spans="1:4">
      <c r="A991" s="83" t="s">
        <v>6483</v>
      </c>
      <c r="B991" s="83" t="s">
        <v>5017</v>
      </c>
      <c r="C991" s="83" t="s">
        <v>6484</v>
      </c>
      <c r="D991" s="83" t="s">
        <v>6485</v>
      </c>
    </row>
    <row r="992" spans="1:4">
      <c r="A992" s="83" t="s">
        <v>6483</v>
      </c>
      <c r="B992" s="83" t="s">
        <v>5012</v>
      </c>
      <c r="C992" s="83" t="s">
        <v>6486</v>
      </c>
      <c r="D992" s="83" t="s">
        <v>6485</v>
      </c>
    </row>
    <row r="993" spans="1:4">
      <c r="A993" s="83" t="s">
        <v>6483</v>
      </c>
      <c r="B993" s="83" t="s">
        <v>5015</v>
      </c>
      <c r="C993" s="83" t="s">
        <v>6487</v>
      </c>
      <c r="D993" s="83" t="s">
        <v>6485</v>
      </c>
    </row>
    <row r="994" spans="1:4">
      <c r="A994" s="83" t="s">
        <v>6483</v>
      </c>
      <c r="B994" s="83" t="s">
        <v>5010</v>
      </c>
      <c r="C994" s="83" t="s">
        <v>6488</v>
      </c>
      <c r="D994" s="83" t="s">
        <v>6485</v>
      </c>
    </row>
    <row r="995" spans="1:4">
      <c r="A995" s="83" t="s">
        <v>6489</v>
      </c>
      <c r="B995" s="83" t="s">
        <v>5017</v>
      </c>
      <c r="C995" s="83" t="s">
        <v>6490</v>
      </c>
      <c r="D995" s="83" t="s">
        <v>6491</v>
      </c>
    </row>
    <row r="996" spans="1:4">
      <c r="A996" s="83" t="s">
        <v>6489</v>
      </c>
      <c r="B996" s="83" t="s">
        <v>5012</v>
      </c>
      <c r="C996" s="83" t="s">
        <v>6492</v>
      </c>
      <c r="D996" s="83" t="s">
        <v>6491</v>
      </c>
    </row>
    <row r="997" spans="1:4">
      <c r="A997" s="83" t="s">
        <v>6489</v>
      </c>
      <c r="B997" s="83" t="s">
        <v>5015</v>
      </c>
      <c r="C997" s="83" t="s">
        <v>6493</v>
      </c>
      <c r="D997" s="83" t="s">
        <v>6491</v>
      </c>
    </row>
    <row r="998" spans="1:4">
      <c r="A998" s="83" t="s">
        <v>6489</v>
      </c>
      <c r="B998" s="83" t="s">
        <v>5010</v>
      </c>
      <c r="C998" s="83" t="s">
        <v>6494</v>
      </c>
      <c r="D998" s="83" t="s">
        <v>6491</v>
      </c>
    </row>
    <row r="999" spans="1:4">
      <c r="A999" s="83" t="s">
        <v>6495</v>
      </c>
      <c r="B999" s="83" t="s">
        <v>5017</v>
      </c>
      <c r="C999" s="83" t="s">
        <v>6496</v>
      </c>
      <c r="D999" s="83" t="s">
        <v>6497</v>
      </c>
    </row>
    <row r="1000" spans="1:4">
      <c r="A1000" s="83" t="s">
        <v>6495</v>
      </c>
      <c r="B1000" s="83" t="s">
        <v>5012</v>
      </c>
      <c r="C1000" s="83" t="s">
        <v>6498</v>
      </c>
      <c r="D1000" s="83" t="s">
        <v>6497</v>
      </c>
    </row>
    <row r="1001" spans="1:4">
      <c r="A1001" s="83" t="s">
        <v>6495</v>
      </c>
      <c r="B1001" s="83" t="s">
        <v>5015</v>
      </c>
      <c r="C1001" s="83" t="s">
        <v>6499</v>
      </c>
      <c r="D1001" s="83" t="s">
        <v>6497</v>
      </c>
    </row>
    <row r="1002" spans="1:4">
      <c r="A1002" s="83" t="s">
        <v>6495</v>
      </c>
      <c r="B1002" s="83" t="s">
        <v>5010</v>
      </c>
      <c r="C1002" s="83" t="s">
        <v>6500</v>
      </c>
      <c r="D1002" s="83" t="s">
        <v>6497</v>
      </c>
    </row>
    <row r="1003" spans="1:4">
      <c r="A1003" s="83" t="s">
        <v>6501</v>
      </c>
      <c r="B1003" s="83" t="s">
        <v>5017</v>
      </c>
      <c r="C1003" s="83" t="s">
        <v>6502</v>
      </c>
      <c r="D1003" s="83" t="s">
        <v>6503</v>
      </c>
    </row>
    <row r="1004" spans="1:4">
      <c r="A1004" s="83" t="s">
        <v>6501</v>
      </c>
      <c r="B1004" s="83" t="s">
        <v>5012</v>
      </c>
      <c r="C1004" s="83" t="s">
        <v>6504</v>
      </c>
      <c r="D1004" s="83" t="s">
        <v>6503</v>
      </c>
    </row>
    <row r="1005" spans="1:4">
      <c r="A1005" s="83" t="s">
        <v>6501</v>
      </c>
      <c r="B1005" s="83" t="s">
        <v>5015</v>
      </c>
      <c r="C1005" s="83" t="s">
        <v>6505</v>
      </c>
      <c r="D1005" s="83" t="s">
        <v>6503</v>
      </c>
    </row>
    <row r="1006" spans="1:4">
      <c r="A1006" s="83" t="s">
        <v>6501</v>
      </c>
      <c r="B1006" s="83" t="s">
        <v>5010</v>
      </c>
      <c r="C1006" s="83" t="s">
        <v>6244</v>
      </c>
      <c r="D1006" s="83" t="s">
        <v>6503</v>
      </c>
    </row>
    <row r="1007" spans="1:4">
      <c r="A1007" s="83" t="s">
        <v>6506</v>
      </c>
      <c r="B1007" s="83" t="s">
        <v>5017</v>
      </c>
      <c r="C1007" s="83" t="s">
        <v>6507</v>
      </c>
      <c r="D1007" s="83" t="s">
        <v>6508</v>
      </c>
    </row>
    <row r="1008" spans="1:4">
      <c r="A1008" s="83" t="s">
        <v>6506</v>
      </c>
      <c r="B1008" s="83" t="s">
        <v>5012</v>
      </c>
      <c r="C1008" s="83" t="s">
        <v>6509</v>
      </c>
      <c r="D1008" s="83" t="s">
        <v>6508</v>
      </c>
    </row>
    <row r="1009" spans="1:4">
      <c r="A1009" s="83" t="s">
        <v>6506</v>
      </c>
      <c r="B1009" s="83" t="s">
        <v>5015</v>
      </c>
      <c r="C1009" s="83" t="s">
        <v>6510</v>
      </c>
      <c r="D1009" s="83" t="s">
        <v>6508</v>
      </c>
    </row>
    <row r="1010" spans="1:4">
      <c r="A1010" s="83" t="s">
        <v>6506</v>
      </c>
      <c r="B1010" s="83" t="s">
        <v>5010</v>
      </c>
      <c r="C1010" s="83" t="s">
        <v>6511</v>
      </c>
      <c r="D1010" s="83" t="s">
        <v>6508</v>
      </c>
    </row>
    <row r="1011" spans="1:4">
      <c r="A1011" s="83" t="s">
        <v>6512</v>
      </c>
      <c r="B1011" s="83" t="s">
        <v>5017</v>
      </c>
      <c r="C1011" s="83" t="s">
        <v>6513</v>
      </c>
      <c r="D1011" s="83" t="s">
        <v>6514</v>
      </c>
    </row>
    <row r="1012" spans="1:4">
      <c r="A1012" s="83" t="s">
        <v>6512</v>
      </c>
      <c r="B1012" s="83" t="s">
        <v>5012</v>
      </c>
      <c r="C1012" s="83" t="s">
        <v>6515</v>
      </c>
      <c r="D1012" s="83" t="s">
        <v>6514</v>
      </c>
    </row>
    <row r="1013" spans="1:4">
      <c r="A1013" s="83" t="s">
        <v>6512</v>
      </c>
      <c r="B1013" s="83" t="s">
        <v>5015</v>
      </c>
      <c r="C1013" s="83" t="s">
        <v>6516</v>
      </c>
      <c r="D1013" s="83" t="s">
        <v>6514</v>
      </c>
    </row>
    <row r="1014" spans="1:4">
      <c r="A1014" s="83" t="s">
        <v>6512</v>
      </c>
      <c r="B1014" s="83" t="s">
        <v>5010</v>
      </c>
      <c r="C1014" s="83" t="s">
        <v>6517</v>
      </c>
      <c r="D1014" s="83" t="s">
        <v>6514</v>
      </c>
    </row>
    <row r="1015" spans="1:4">
      <c r="A1015" s="83" t="s">
        <v>6518</v>
      </c>
      <c r="B1015" s="83" t="s">
        <v>5017</v>
      </c>
      <c r="C1015" s="83" t="s">
        <v>6519</v>
      </c>
      <c r="D1015" s="83" t="s">
        <v>6520</v>
      </c>
    </row>
    <row r="1016" spans="1:4">
      <c r="A1016" s="83" t="s">
        <v>6518</v>
      </c>
      <c r="B1016" s="83" t="s">
        <v>5012</v>
      </c>
      <c r="C1016" s="83" t="s">
        <v>6521</v>
      </c>
      <c r="D1016" s="83" t="s">
        <v>6520</v>
      </c>
    </row>
    <row r="1017" spans="1:4">
      <c r="A1017" s="83" t="s">
        <v>6518</v>
      </c>
      <c r="B1017" s="83" t="s">
        <v>5015</v>
      </c>
      <c r="C1017" s="83" t="s">
        <v>6522</v>
      </c>
      <c r="D1017" s="83" t="s">
        <v>6520</v>
      </c>
    </row>
    <row r="1018" spans="1:4">
      <c r="A1018" s="83" t="s">
        <v>6518</v>
      </c>
      <c r="B1018" s="83" t="s">
        <v>5010</v>
      </c>
      <c r="C1018" s="83" t="s">
        <v>6523</v>
      </c>
      <c r="D1018" s="83" t="s">
        <v>6520</v>
      </c>
    </row>
    <row r="1019" spans="1:4">
      <c r="A1019" s="83" t="s">
        <v>6524</v>
      </c>
      <c r="B1019" s="83" t="s">
        <v>5017</v>
      </c>
      <c r="C1019" s="83" t="s">
        <v>6525</v>
      </c>
      <c r="D1019" s="83" t="s">
        <v>6526</v>
      </c>
    </row>
    <row r="1020" spans="1:4">
      <c r="A1020" s="83" t="s">
        <v>6524</v>
      </c>
      <c r="B1020" s="83" t="s">
        <v>5012</v>
      </c>
      <c r="C1020" s="83" t="s">
        <v>6527</v>
      </c>
      <c r="D1020" s="83" t="s">
        <v>6526</v>
      </c>
    </row>
    <row r="1021" spans="1:4">
      <c r="A1021" s="83" t="s">
        <v>6524</v>
      </c>
      <c r="B1021" s="83" t="s">
        <v>5015</v>
      </c>
      <c r="C1021" s="83" t="s">
        <v>6528</v>
      </c>
      <c r="D1021" s="83" t="s">
        <v>6526</v>
      </c>
    </row>
    <row r="1022" spans="1:4">
      <c r="A1022" s="83" t="s">
        <v>6524</v>
      </c>
      <c r="B1022" s="83" t="s">
        <v>5010</v>
      </c>
      <c r="C1022" s="83" t="s">
        <v>6529</v>
      </c>
      <c r="D1022" s="83" t="s">
        <v>6526</v>
      </c>
    </row>
    <row r="1023" spans="1:4">
      <c r="A1023" s="83" t="s">
        <v>6530</v>
      </c>
      <c r="B1023" s="83" t="s">
        <v>5017</v>
      </c>
      <c r="C1023" s="83" t="s">
        <v>6531</v>
      </c>
      <c r="D1023" s="83" t="s">
        <v>6532</v>
      </c>
    </row>
    <row r="1024" spans="1:4">
      <c r="A1024" s="83" t="s">
        <v>6530</v>
      </c>
      <c r="B1024" s="83" t="s">
        <v>5012</v>
      </c>
      <c r="C1024" s="83" t="s">
        <v>6533</v>
      </c>
      <c r="D1024" s="83" t="s">
        <v>6532</v>
      </c>
    </row>
    <row r="1025" spans="1:4">
      <c r="A1025" s="83" t="s">
        <v>6530</v>
      </c>
      <c r="B1025" s="83" t="s">
        <v>5015</v>
      </c>
      <c r="C1025" s="83" t="s">
        <v>6534</v>
      </c>
      <c r="D1025" s="83" t="s">
        <v>6532</v>
      </c>
    </row>
    <row r="1026" spans="1:4">
      <c r="A1026" s="83" t="s">
        <v>6530</v>
      </c>
      <c r="B1026" s="83" t="s">
        <v>5010</v>
      </c>
      <c r="C1026" s="83" t="s">
        <v>6535</v>
      </c>
      <c r="D1026" s="83" t="s">
        <v>6532</v>
      </c>
    </row>
    <row r="1027" spans="1:4">
      <c r="A1027" s="83" t="s">
        <v>6536</v>
      </c>
      <c r="B1027" s="83" t="s">
        <v>5017</v>
      </c>
      <c r="C1027" s="83" t="s">
        <v>6537</v>
      </c>
      <c r="D1027" s="83" t="s">
        <v>6538</v>
      </c>
    </row>
    <row r="1028" spans="1:4">
      <c r="A1028" s="83" t="s">
        <v>6536</v>
      </c>
      <c r="B1028" s="83" t="s">
        <v>5012</v>
      </c>
      <c r="C1028" s="83" t="s">
        <v>6539</v>
      </c>
      <c r="D1028" s="83" t="s">
        <v>6538</v>
      </c>
    </row>
    <row r="1029" spans="1:4">
      <c r="A1029" s="83" t="s">
        <v>6536</v>
      </c>
      <c r="B1029" s="83" t="s">
        <v>5015</v>
      </c>
      <c r="C1029" s="83" t="s">
        <v>6540</v>
      </c>
      <c r="D1029" s="83" t="s">
        <v>6538</v>
      </c>
    </row>
    <row r="1030" spans="1:4">
      <c r="A1030" s="83" t="s">
        <v>6536</v>
      </c>
      <c r="B1030" s="83" t="s">
        <v>5010</v>
      </c>
      <c r="C1030" s="83" t="s">
        <v>6541</v>
      </c>
      <c r="D1030" s="83" t="s">
        <v>6538</v>
      </c>
    </row>
    <row r="1031" spans="1:4">
      <c r="A1031" s="83" t="s">
        <v>6542</v>
      </c>
      <c r="B1031" s="83" t="s">
        <v>5017</v>
      </c>
      <c r="C1031" s="83" t="s">
        <v>6543</v>
      </c>
      <c r="D1031" s="83" t="s">
        <v>6544</v>
      </c>
    </row>
    <row r="1032" spans="1:4">
      <c r="A1032" s="83" t="s">
        <v>6542</v>
      </c>
      <c r="B1032" s="83" t="s">
        <v>5012</v>
      </c>
      <c r="C1032" s="83" t="s">
        <v>6545</v>
      </c>
      <c r="D1032" s="83" t="s">
        <v>6544</v>
      </c>
    </row>
    <row r="1033" spans="1:4">
      <c r="A1033" s="83" t="s">
        <v>6542</v>
      </c>
      <c r="B1033" s="83" t="s">
        <v>5015</v>
      </c>
      <c r="C1033" s="83" t="s">
        <v>6546</v>
      </c>
      <c r="D1033" s="83" t="s">
        <v>6544</v>
      </c>
    </row>
    <row r="1034" spans="1:4">
      <c r="A1034" s="83" t="s">
        <v>6542</v>
      </c>
      <c r="B1034" s="83" t="s">
        <v>5010</v>
      </c>
      <c r="C1034" s="83" t="s">
        <v>6547</v>
      </c>
      <c r="D1034" s="83" t="s">
        <v>6544</v>
      </c>
    </row>
    <row r="1035" spans="1:4">
      <c r="A1035" s="83" t="s">
        <v>6548</v>
      </c>
      <c r="B1035" s="83" t="s">
        <v>5017</v>
      </c>
      <c r="C1035" s="83" t="s">
        <v>6549</v>
      </c>
      <c r="D1035" s="83" t="s">
        <v>6550</v>
      </c>
    </row>
    <row r="1036" spans="1:4">
      <c r="A1036" s="83" t="s">
        <v>6548</v>
      </c>
      <c r="B1036" s="83" t="s">
        <v>5012</v>
      </c>
      <c r="C1036" s="83" t="s">
        <v>6551</v>
      </c>
      <c r="D1036" s="83" t="s">
        <v>6550</v>
      </c>
    </row>
    <row r="1037" spans="1:4">
      <c r="A1037" s="83" t="s">
        <v>6548</v>
      </c>
      <c r="B1037" s="83" t="s">
        <v>5015</v>
      </c>
      <c r="C1037" s="83" t="s">
        <v>6552</v>
      </c>
      <c r="D1037" s="83" t="s">
        <v>6550</v>
      </c>
    </row>
    <row r="1038" spans="1:4">
      <c r="A1038" s="83" t="s">
        <v>6548</v>
      </c>
      <c r="B1038" s="83" t="s">
        <v>5010</v>
      </c>
      <c r="C1038" s="83" t="s">
        <v>6553</v>
      </c>
      <c r="D1038" s="83" t="s">
        <v>6550</v>
      </c>
    </row>
    <row r="1039" spans="1:4">
      <c r="A1039" s="83" t="s">
        <v>6554</v>
      </c>
      <c r="B1039" s="83" t="s">
        <v>5017</v>
      </c>
      <c r="C1039" s="83" t="s">
        <v>6555</v>
      </c>
      <c r="D1039" s="83" t="s">
        <v>6556</v>
      </c>
    </row>
    <row r="1040" spans="1:4">
      <c r="A1040" s="83" t="s">
        <v>6554</v>
      </c>
      <c r="B1040" s="83" t="s">
        <v>5012</v>
      </c>
      <c r="C1040" s="83" t="s">
        <v>6557</v>
      </c>
      <c r="D1040" s="83" t="s">
        <v>6556</v>
      </c>
    </row>
    <row r="1041" spans="1:4">
      <c r="A1041" s="83" t="s">
        <v>6554</v>
      </c>
      <c r="B1041" s="83" t="s">
        <v>5015</v>
      </c>
      <c r="C1041" s="83" t="s">
        <v>6558</v>
      </c>
      <c r="D1041" s="83" t="s">
        <v>6556</v>
      </c>
    </row>
    <row r="1042" spans="1:4">
      <c r="A1042" s="83" t="s">
        <v>6554</v>
      </c>
      <c r="B1042" s="83" t="s">
        <v>5010</v>
      </c>
      <c r="C1042" s="83" t="s">
        <v>6559</v>
      </c>
      <c r="D1042" s="83" t="s">
        <v>6556</v>
      </c>
    </row>
    <row r="1043" spans="1:4">
      <c r="A1043" s="83" t="s">
        <v>6560</v>
      </c>
      <c r="B1043" s="83" t="s">
        <v>5017</v>
      </c>
      <c r="C1043" s="83" t="s">
        <v>6561</v>
      </c>
      <c r="D1043" s="83" t="s">
        <v>6562</v>
      </c>
    </row>
    <row r="1044" spans="1:4">
      <c r="A1044" s="83" t="s">
        <v>6560</v>
      </c>
      <c r="B1044" s="83" t="s">
        <v>5012</v>
      </c>
      <c r="C1044" s="83" t="s">
        <v>6563</v>
      </c>
      <c r="D1044" s="83" t="s">
        <v>6562</v>
      </c>
    </row>
    <row r="1045" spans="1:4">
      <c r="A1045" s="83" t="s">
        <v>6560</v>
      </c>
      <c r="B1045" s="83" t="s">
        <v>5015</v>
      </c>
      <c r="C1045" s="83" t="s">
        <v>6564</v>
      </c>
      <c r="D1045" s="83" t="s">
        <v>6562</v>
      </c>
    </row>
    <row r="1046" spans="1:4">
      <c r="A1046" s="83" t="s">
        <v>6560</v>
      </c>
      <c r="B1046" s="83" t="s">
        <v>5010</v>
      </c>
      <c r="C1046" s="83" t="s">
        <v>6565</v>
      </c>
      <c r="D1046" s="83" t="s">
        <v>6562</v>
      </c>
    </row>
    <row r="1047" spans="1:4">
      <c r="A1047" s="83" t="s">
        <v>6566</v>
      </c>
      <c r="B1047" s="83" t="s">
        <v>5017</v>
      </c>
      <c r="C1047" s="83" t="s">
        <v>6567</v>
      </c>
      <c r="D1047" s="83" t="s">
        <v>6568</v>
      </c>
    </row>
    <row r="1048" spans="1:4">
      <c r="A1048" s="83" t="s">
        <v>6566</v>
      </c>
      <c r="B1048" s="83" t="s">
        <v>5012</v>
      </c>
      <c r="C1048" s="83" t="s">
        <v>6569</v>
      </c>
      <c r="D1048" s="83" t="s">
        <v>6568</v>
      </c>
    </row>
    <row r="1049" spans="1:4">
      <c r="A1049" s="83" t="s">
        <v>6566</v>
      </c>
      <c r="B1049" s="83" t="s">
        <v>5015</v>
      </c>
      <c r="C1049" s="83" t="s">
        <v>6570</v>
      </c>
      <c r="D1049" s="83" t="s">
        <v>6568</v>
      </c>
    </row>
    <row r="1050" spans="1:4">
      <c r="A1050" s="83" t="s">
        <v>6566</v>
      </c>
      <c r="B1050" s="83" t="s">
        <v>5010</v>
      </c>
      <c r="C1050" s="83" t="s">
        <v>6571</v>
      </c>
      <c r="D1050" s="83" t="s">
        <v>6568</v>
      </c>
    </row>
    <row r="1051" spans="1:4">
      <c r="A1051" s="83" t="s">
        <v>6572</v>
      </c>
      <c r="B1051" s="83" t="s">
        <v>5017</v>
      </c>
      <c r="C1051" s="83" t="s">
        <v>6087</v>
      </c>
      <c r="D1051" s="83" t="s">
        <v>6573</v>
      </c>
    </row>
    <row r="1052" spans="1:4">
      <c r="A1052" s="83" t="s">
        <v>6572</v>
      </c>
      <c r="B1052" s="83" t="s">
        <v>5012</v>
      </c>
      <c r="C1052" s="83" t="s">
        <v>6574</v>
      </c>
      <c r="D1052" s="83" t="s">
        <v>6573</v>
      </c>
    </row>
    <row r="1053" spans="1:4">
      <c r="A1053" s="83" t="s">
        <v>6572</v>
      </c>
      <c r="B1053" s="83" t="s">
        <v>5015</v>
      </c>
      <c r="C1053" s="83" t="s">
        <v>6575</v>
      </c>
      <c r="D1053" s="83" t="s">
        <v>6573</v>
      </c>
    </row>
    <row r="1054" spans="1:4">
      <c r="A1054" s="83" t="s">
        <v>6572</v>
      </c>
      <c r="B1054" s="83" t="s">
        <v>5010</v>
      </c>
      <c r="C1054" s="83" t="s">
        <v>6576</v>
      </c>
      <c r="D1054" s="83" t="s">
        <v>6573</v>
      </c>
    </row>
    <row r="1055" spans="1:4">
      <c r="A1055" s="83" t="s">
        <v>6577</v>
      </c>
      <c r="B1055" s="83" t="s">
        <v>5017</v>
      </c>
      <c r="C1055" s="83" t="s">
        <v>6578</v>
      </c>
      <c r="D1055" s="83" t="s">
        <v>6579</v>
      </c>
    </row>
    <row r="1056" spans="1:4">
      <c r="A1056" s="83" t="s">
        <v>6577</v>
      </c>
      <c r="B1056" s="83" t="s">
        <v>5012</v>
      </c>
      <c r="C1056" s="83" t="s">
        <v>6580</v>
      </c>
      <c r="D1056" s="83" t="s">
        <v>6579</v>
      </c>
    </row>
    <row r="1057" spans="1:4">
      <c r="A1057" s="83" t="s">
        <v>6577</v>
      </c>
      <c r="B1057" s="83" t="s">
        <v>5015</v>
      </c>
      <c r="C1057" s="83" t="s">
        <v>6581</v>
      </c>
      <c r="D1057" s="83" t="s">
        <v>6579</v>
      </c>
    </row>
    <row r="1058" spans="1:4">
      <c r="A1058" s="83" t="s">
        <v>6577</v>
      </c>
      <c r="B1058" s="83" t="s">
        <v>5010</v>
      </c>
      <c r="C1058" s="83" t="s">
        <v>6582</v>
      </c>
      <c r="D1058" s="83" t="s">
        <v>6579</v>
      </c>
    </row>
    <row r="1059" spans="1:4">
      <c r="A1059" s="83" t="s">
        <v>6583</v>
      </c>
      <c r="B1059" s="83" t="s">
        <v>5017</v>
      </c>
      <c r="C1059" s="83" t="s">
        <v>6584</v>
      </c>
      <c r="D1059" s="83" t="s">
        <v>6585</v>
      </c>
    </row>
    <row r="1060" spans="1:4">
      <c r="A1060" s="83" t="s">
        <v>6583</v>
      </c>
      <c r="B1060" s="83" t="s">
        <v>5012</v>
      </c>
      <c r="C1060" s="83" t="s">
        <v>6586</v>
      </c>
      <c r="D1060" s="83" t="s">
        <v>6585</v>
      </c>
    </row>
    <row r="1061" spans="1:4">
      <c r="A1061" s="83" t="s">
        <v>6583</v>
      </c>
      <c r="B1061" s="83" t="s">
        <v>5015</v>
      </c>
      <c r="C1061" s="83" t="s">
        <v>6587</v>
      </c>
      <c r="D1061" s="83" t="s">
        <v>6585</v>
      </c>
    </row>
    <row r="1062" spans="1:4">
      <c r="A1062" s="83" t="s">
        <v>6583</v>
      </c>
      <c r="B1062" s="83" t="s">
        <v>5010</v>
      </c>
      <c r="C1062" s="83" t="s">
        <v>6588</v>
      </c>
      <c r="D1062" s="83" t="s">
        <v>6585</v>
      </c>
    </row>
    <row r="1063" spans="1:4">
      <c r="A1063" s="83" t="s">
        <v>6589</v>
      </c>
      <c r="B1063" s="83" t="s">
        <v>5017</v>
      </c>
      <c r="C1063" s="83" t="s">
        <v>6590</v>
      </c>
      <c r="D1063" s="83" t="s">
        <v>6591</v>
      </c>
    </row>
    <row r="1064" spans="1:4">
      <c r="A1064" s="83" t="s">
        <v>6589</v>
      </c>
      <c r="B1064" s="83" t="s">
        <v>5012</v>
      </c>
      <c r="C1064" s="83" t="s">
        <v>6592</v>
      </c>
      <c r="D1064" s="83" t="s">
        <v>6591</v>
      </c>
    </row>
    <row r="1065" spans="1:4">
      <c r="A1065" s="83" t="s">
        <v>6589</v>
      </c>
      <c r="B1065" s="83" t="s">
        <v>5015</v>
      </c>
      <c r="C1065" s="83" t="s">
        <v>6593</v>
      </c>
      <c r="D1065" s="83" t="s">
        <v>6591</v>
      </c>
    </row>
    <row r="1066" spans="1:4">
      <c r="A1066" s="83" t="s">
        <v>6589</v>
      </c>
      <c r="B1066" s="83" t="s">
        <v>5010</v>
      </c>
      <c r="C1066" s="83" t="s">
        <v>6594</v>
      </c>
      <c r="D1066" s="83" t="s">
        <v>6591</v>
      </c>
    </row>
    <row r="1067" spans="1:4">
      <c r="A1067" s="83" t="s">
        <v>6595</v>
      </c>
      <c r="B1067" s="83" t="s">
        <v>5017</v>
      </c>
      <c r="C1067" s="83" t="s">
        <v>6596</v>
      </c>
      <c r="D1067" s="83" t="s">
        <v>6597</v>
      </c>
    </row>
    <row r="1068" spans="1:4">
      <c r="A1068" s="83" t="s">
        <v>6595</v>
      </c>
      <c r="B1068" s="83" t="s">
        <v>5012</v>
      </c>
      <c r="C1068" s="83" t="s">
        <v>6598</v>
      </c>
      <c r="D1068" s="83" t="s">
        <v>6597</v>
      </c>
    </row>
    <row r="1069" spans="1:4">
      <c r="A1069" s="83" t="s">
        <v>6595</v>
      </c>
      <c r="B1069" s="83" t="s">
        <v>5015</v>
      </c>
      <c r="C1069" s="83" t="s">
        <v>6599</v>
      </c>
      <c r="D1069" s="83" t="s">
        <v>6597</v>
      </c>
    </row>
    <row r="1070" spans="1:4">
      <c r="A1070" s="83" t="s">
        <v>6595</v>
      </c>
      <c r="B1070" s="83" t="s">
        <v>5010</v>
      </c>
      <c r="C1070" s="83" t="s">
        <v>6600</v>
      </c>
      <c r="D1070" s="83" t="s">
        <v>6597</v>
      </c>
    </row>
    <row r="1071" spans="1:4">
      <c r="A1071" s="83" t="s">
        <v>6601</v>
      </c>
      <c r="B1071" s="83" t="s">
        <v>5017</v>
      </c>
      <c r="C1071" s="83" t="s">
        <v>6602</v>
      </c>
      <c r="D1071" s="83" t="s">
        <v>6603</v>
      </c>
    </row>
    <row r="1072" spans="1:4">
      <c r="A1072" s="83" t="s">
        <v>6601</v>
      </c>
      <c r="B1072" s="83" t="s">
        <v>5012</v>
      </c>
      <c r="C1072" s="83" t="s">
        <v>6604</v>
      </c>
      <c r="D1072" s="83" t="s">
        <v>6603</v>
      </c>
    </row>
    <row r="1073" spans="1:4">
      <c r="A1073" s="83" t="s">
        <v>6601</v>
      </c>
      <c r="B1073" s="83" t="s">
        <v>5015</v>
      </c>
      <c r="C1073" s="83" t="s">
        <v>6605</v>
      </c>
      <c r="D1073" s="83" t="s">
        <v>6603</v>
      </c>
    </row>
    <row r="1074" spans="1:4">
      <c r="A1074" s="83" t="s">
        <v>6601</v>
      </c>
      <c r="B1074" s="83" t="s">
        <v>5010</v>
      </c>
      <c r="C1074" s="83" t="s">
        <v>6606</v>
      </c>
      <c r="D1074" s="83" t="s">
        <v>6603</v>
      </c>
    </row>
    <row r="1075" spans="1:4">
      <c r="A1075" s="83" t="s">
        <v>6607</v>
      </c>
      <c r="B1075" s="83" t="s">
        <v>5017</v>
      </c>
      <c r="C1075" s="83" t="s">
        <v>6608</v>
      </c>
      <c r="D1075" s="83" t="s">
        <v>6609</v>
      </c>
    </row>
    <row r="1076" spans="1:4">
      <c r="A1076" s="83" t="s">
        <v>6607</v>
      </c>
      <c r="B1076" s="83" t="s">
        <v>5012</v>
      </c>
      <c r="C1076" s="83" t="s">
        <v>6610</v>
      </c>
      <c r="D1076" s="83" t="s">
        <v>6609</v>
      </c>
    </row>
    <row r="1077" spans="1:4">
      <c r="A1077" s="83" t="s">
        <v>6607</v>
      </c>
      <c r="B1077" s="83" t="s">
        <v>5015</v>
      </c>
      <c r="C1077" s="83" t="s">
        <v>6611</v>
      </c>
      <c r="D1077" s="83" t="s">
        <v>6609</v>
      </c>
    </row>
    <row r="1078" spans="1:4">
      <c r="A1078" s="83" t="s">
        <v>6607</v>
      </c>
      <c r="B1078" s="83" t="s">
        <v>5010</v>
      </c>
      <c r="C1078" s="83" t="s">
        <v>5745</v>
      </c>
      <c r="D1078" s="83" t="s">
        <v>6609</v>
      </c>
    </row>
    <row r="1079" spans="1:4">
      <c r="A1079" s="83" t="s">
        <v>6612</v>
      </c>
      <c r="B1079" s="83" t="s">
        <v>5017</v>
      </c>
      <c r="C1079" s="83" t="s">
        <v>6613</v>
      </c>
      <c r="D1079" s="83" t="s">
        <v>6614</v>
      </c>
    </row>
    <row r="1080" spans="1:4">
      <c r="A1080" s="83" t="s">
        <v>6612</v>
      </c>
      <c r="B1080" s="83" t="s">
        <v>5012</v>
      </c>
      <c r="C1080" s="83" t="s">
        <v>6615</v>
      </c>
      <c r="D1080" s="83" t="s">
        <v>6614</v>
      </c>
    </row>
    <row r="1081" spans="1:4">
      <c r="A1081" s="83" t="s">
        <v>6612</v>
      </c>
      <c r="B1081" s="83" t="s">
        <v>5015</v>
      </c>
      <c r="C1081" s="83" t="s">
        <v>6616</v>
      </c>
      <c r="D1081" s="83" t="s">
        <v>6614</v>
      </c>
    </row>
    <row r="1082" spans="1:4">
      <c r="A1082" s="83" t="s">
        <v>6612</v>
      </c>
      <c r="B1082" s="83" t="s">
        <v>5010</v>
      </c>
      <c r="C1082" s="83" t="s">
        <v>6617</v>
      </c>
      <c r="D1082" s="83" t="s">
        <v>6614</v>
      </c>
    </row>
    <row r="1083" spans="1:4">
      <c r="A1083" s="83" t="s">
        <v>6618</v>
      </c>
      <c r="B1083" s="83" t="s">
        <v>5017</v>
      </c>
      <c r="C1083" s="83" t="s">
        <v>6619</v>
      </c>
      <c r="D1083" s="83" t="s">
        <v>6620</v>
      </c>
    </row>
    <row r="1084" spans="1:4">
      <c r="A1084" s="83" t="s">
        <v>6618</v>
      </c>
      <c r="B1084" s="83" t="s">
        <v>5012</v>
      </c>
      <c r="C1084" s="83" t="s">
        <v>6621</v>
      </c>
      <c r="D1084" s="83" t="s">
        <v>6620</v>
      </c>
    </row>
    <row r="1085" spans="1:4">
      <c r="A1085" s="83" t="s">
        <v>6618</v>
      </c>
      <c r="B1085" s="83" t="s">
        <v>5015</v>
      </c>
      <c r="C1085" s="83" t="s">
        <v>6622</v>
      </c>
      <c r="D1085" s="83" t="s">
        <v>6620</v>
      </c>
    </row>
    <row r="1086" spans="1:4">
      <c r="A1086" s="83" t="s">
        <v>6618</v>
      </c>
      <c r="B1086" s="83" t="s">
        <v>5010</v>
      </c>
      <c r="C1086" s="83" t="s">
        <v>6623</v>
      </c>
      <c r="D1086" s="83" t="s">
        <v>6620</v>
      </c>
    </row>
    <row r="1087" spans="1:4">
      <c r="A1087" s="83" t="s">
        <v>6624</v>
      </c>
      <c r="B1087" s="83" t="s">
        <v>5017</v>
      </c>
      <c r="C1087" s="83" t="s">
        <v>6625</v>
      </c>
      <c r="D1087" s="83" t="s">
        <v>6626</v>
      </c>
    </row>
    <row r="1088" spans="1:4">
      <c r="A1088" s="83" t="s">
        <v>6624</v>
      </c>
      <c r="B1088" s="83" t="s">
        <v>5012</v>
      </c>
      <c r="C1088" s="83" t="s">
        <v>6627</v>
      </c>
      <c r="D1088" s="83" t="s">
        <v>6626</v>
      </c>
    </row>
    <row r="1089" spans="1:4">
      <c r="A1089" s="83" t="s">
        <v>6624</v>
      </c>
      <c r="B1089" s="83" t="s">
        <v>5015</v>
      </c>
      <c r="C1089" s="83" t="s">
        <v>6628</v>
      </c>
      <c r="D1089" s="83" t="s">
        <v>6626</v>
      </c>
    </row>
    <row r="1090" spans="1:4">
      <c r="A1090" s="83" t="s">
        <v>6624</v>
      </c>
      <c r="B1090" s="83" t="s">
        <v>5010</v>
      </c>
      <c r="C1090" s="83" t="s">
        <v>6629</v>
      </c>
      <c r="D1090" s="83" t="s">
        <v>6626</v>
      </c>
    </row>
    <row r="1091" spans="1:4">
      <c r="A1091" s="83" t="s">
        <v>6630</v>
      </c>
      <c r="B1091" s="83" t="s">
        <v>5017</v>
      </c>
      <c r="C1091" s="83" t="s">
        <v>6631</v>
      </c>
      <c r="D1091" s="83" t="s">
        <v>6632</v>
      </c>
    </row>
    <row r="1092" spans="1:4">
      <c r="A1092" s="83" t="s">
        <v>6630</v>
      </c>
      <c r="B1092" s="83" t="s">
        <v>5012</v>
      </c>
      <c r="C1092" s="83" t="s">
        <v>6633</v>
      </c>
      <c r="D1092" s="83" t="s">
        <v>6632</v>
      </c>
    </row>
    <row r="1093" spans="1:4">
      <c r="A1093" s="83" t="s">
        <v>6630</v>
      </c>
      <c r="B1093" s="83" t="s">
        <v>5015</v>
      </c>
      <c r="C1093" s="83" t="s">
        <v>6634</v>
      </c>
      <c r="D1093" s="83" t="s">
        <v>6632</v>
      </c>
    </row>
    <row r="1094" spans="1:4">
      <c r="A1094" s="83" t="s">
        <v>6630</v>
      </c>
      <c r="B1094" s="83" t="s">
        <v>5010</v>
      </c>
      <c r="C1094" s="83" t="s">
        <v>6635</v>
      </c>
      <c r="D1094" s="83" t="s">
        <v>6632</v>
      </c>
    </row>
    <row r="1095" spans="1:4">
      <c r="A1095" s="83" t="s">
        <v>6636</v>
      </c>
      <c r="B1095" s="83" t="s">
        <v>5017</v>
      </c>
      <c r="C1095" s="83" t="s">
        <v>6637</v>
      </c>
      <c r="D1095" s="83" t="s">
        <v>6638</v>
      </c>
    </row>
    <row r="1096" spans="1:4">
      <c r="A1096" s="83" t="s">
        <v>6636</v>
      </c>
      <c r="B1096" s="83" t="s">
        <v>5012</v>
      </c>
      <c r="C1096" s="83" t="s">
        <v>6639</v>
      </c>
      <c r="D1096" s="83" t="s">
        <v>6638</v>
      </c>
    </row>
    <row r="1097" spans="1:4">
      <c r="A1097" s="83" t="s">
        <v>6636</v>
      </c>
      <c r="B1097" s="83" t="s">
        <v>5015</v>
      </c>
      <c r="C1097" s="83" t="s">
        <v>6640</v>
      </c>
      <c r="D1097" s="83" t="s">
        <v>6638</v>
      </c>
    </row>
    <row r="1098" spans="1:4">
      <c r="A1098" s="83" t="s">
        <v>6636</v>
      </c>
      <c r="B1098" s="83" t="s">
        <v>5010</v>
      </c>
      <c r="C1098" s="83" t="s">
        <v>6641</v>
      </c>
      <c r="D1098" s="83" t="s">
        <v>6638</v>
      </c>
    </row>
    <row r="1099" spans="1:4">
      <c r="A1099" s="83" t="s">
        <v>6642</v>
      </c>
      <c r="B1099" s="83" t="s">
        <v>5017</v>
      </c>
      <c r="C1099" s="83" t="s">
        <v>6643</v>
      </c>
      <c r="D1099" s="83" t="s">
        <v>6644</v>
      </c>
    </row>
    <row r="1100" spans="1:4">
      <c r="A1100" s="83" t="s">
        <v>6642</v>
      </c>
      <c r="B1100" s="83" t="s">
        <v>5012</v>
      </c>
      <c r="C1100" s="83" t="s">
        <v>6645</v>
      </c>
      <c r="D1100" s="83" t="s">
        <v>6644</v>
      </c>
    </row>
    <row r="1101" spans="1:4">
      <c r="A1101" s="83" t="s">
        <v>6642</v>
      </c>
      <c r="B1101" s="83" t="s">
        <v>5015</v>
      </c>
      <c r="C1101" s="83" t="s">
        <v>6646</v>
      </c>
      <c r="D1101" s="83" t="s">
        <v>6644</v>
      </c>
    </row>
    <row r="1102" spans="1:4">
      <c r="A1102" s="83" t="s">
        <v>6642</v>
      </c>
      <c r="B1102" s="83" t="s">
        <v>5010</v>
      </c>
      <c r="C1102" s="83" t="s">
        <v>6647</v>
      </c>
      <c r="D1102" s="83" t="s">
        <v>6644</v>
      </c>
    </row>
    <row r="1103" spans="1:4">
      <c r="A1103" s="83" t="s">
        <v>6648</v>
      </c>
      <c r="B1103" s="83" t="s">
        <v>5017</v>
      </c>
      <c r="C1103" s="83" t="s">
        <v>6649</v>
      </c>
      <c r="D1103" s="83" t="s">
        <v>6650</v>
      </c>
    </row>
    <row r="1104" spans="1:4">
      <c r="A1104" s="83" t="s">
        <v>6648</v>
      </c>
      <c r="B1104" s="83" t="s">
        <v>5012</v>
      </c>
      <c r="C1104" s="83" t="s">
        <v>6651</v>
      </c>
      <c r="D1104" s="83" t="s">
        <v>6650</v>
      </c>
    </row>
    <row r="1105" spans="1:4">
      <c r="A1105" s="83" t="s">
        <v>6648</v>
      </c>
      <c r="B1105" s="83" t="s">
        <v>5015</v>
      </c>
      <c r="C1105" s="83" t="s">
        <v>6652</v>
      </c>
      <c r="D1105" s="83" t="s">
        <v>6650</v>
      </c>
    </row>
    <row r="1106" spans="1:4">
      <c r="A1106" s="83" t="s">
        <v>6648</v>
      </c>
      <c r="B1106" s="83" t="s">
        <v>5010</v>
      </c>
      <c r="C1106" s="83" t="s">
        <v>6653</v>
      </c>
      <c r="D1106" s="83" t="s">
        <v>6650</v>
      </c>
    </row>
    <row r="1107" spans="1:4">
      <c r="A1107" s="83" t="s">
        <v>6654</v>
      </c>
      <c r="B1107" s="83" t="s">
        <v>5017</v>
      </c>
      <c r="C1107" s="83" t="s">
        <v>6655</v>
      </c>
      <c r="D1107" s="83" t="s">
        <v>6656</v>
      </c>
    </row>
    <row r="1108" spans="1:4">
      <c r="A1108" s="83" t="s">
        <v>6654</v>
      </c>
      <c r="B1108" s="83" t="s">
        <v>5012</v>
      </c>
      <c r="C1108" s="83" t="s">
        <v>6657</v>
      </c>
      <c r="D1108" s="83" t="s">
        <v>6656</v>
      </c>
    </row>
    <row r="1109" spans="1:4">
      <c r="A1109" s="83" t="s">
        <v>6654</v>
      </c>
      <c r="B1109" s="83" t="s">
        <v>5015</v>
      </c>
      <c r="C1109" s="83" t="s">
        <v>6658</v>
      </c>
      <c r="D1109" s="83" t="s">
        <v>6656</v>
      </c>
    </row>
    <row r="1110" spans="1:4">
      <c r="A1110" s="83" t="s">
        <v>6654</v>
      </c>
      <c r="B1110" s="83" t="s">
        <v>5010</v>
      </c>
      <c r="C1110" s="83" t="s">
        <v>6659</v>
      </c>
      <c r="D1110" s="83" t="s">
        <v>6656</v>
      </c>
    </row>
    <row r="1111" spans="1:4">
      <c r="A1111" s="83" t="s">
        <v>6660</v>
      </c>
      <c r="B1111" s="83" t="s">
        <v>5017</v>
      </c>
      <c r="C1111" s="83" t="s">
        <v>6661</v>
      </c>
      <c r="D1111" s="83" t="s">
        <v>6662</v>
      </c>
    </row>
    <row r="1112" spans="1:4">
      <c r="A1112" s="83" t="s">
        <v>6660</v>
      </c>
      <c r="B1112" s="83" t="s">
        <v>5012</v>
      </c>
      <c r="C1112" s="83" t="s">
        <v>6663</v>
      </c>
      <c r="D1112" s="83" t="s">
        <v>6662</v>
      </c>
    </row>
    <row r="1113" spans="1:4">
      <c r="A1113" s="83" t="s">
        <v>6660</v>
      </c>
      <c r="B1113" s="83" t="s">
        <v>5015</v>
      </c>
      <c r="C1113" s="83" t="s">
        <v>6664</v>
      </c>
      <c r="D1113" s="83" t="s">
        <v>6662</v>
      </c>
    </row>
    <row r="1114" spans="1:4">
      <c r="A1114" s="83" t="s">
        <v>6660</v>
      </c>
      <c r="B1114" s="83" t="s">
        <v>5010</v>
      </c>
      <c r="C1114" s="83" t="s">
        <v>6665</v>
      </c>
      <c r="D1114" s="83" t="s">
        <v>6662</v>
      </c>
    </row>
    <row r="1115" spans="1:4">
      <c r="A1115" s="83" t="s">
        <v>6666</v>
      </c>
      <c r="B1115" s="83" t="s">
        <v>5017</v>
      </c>
      <c r="C1115" s="83" t="s">
        <v>6667</v>
      </c>
      <c r="D1115" s="83" t="s">
        <v>6668</v>
      </c>
    </row>
    <row r="1116" spans="1:4">
      <c r="A1116" s="83" t="s">
        <v>6666</v>
      </c>
      <c r="B1116" s="83" t="s">
        <v>5012</v>
      </c>
      <c r="C1116" s="83" t="s">
        <v>6669</v>
      </c>
      <c r="D1116" s="83" t="s">
        <v>6668</v>
      </c>
    </row>
    <row r="1117" spans="1:4">
      <c r="A1117" s="83" t="s">
        <v>6666</v>
      </c>
      <c r="B1117" s="83" t="s">
        <v>5015</v>
      </c>
      <c r="C1117" s="83" t="s">
        <v>6670</v>
      </c>
      <c r="D1117" s="83" t="s">
        <v>6668</v>
      </c>
    </row>
    <row r="1118" spans="1:4">
      <c r="A1118" s="83" t="s">
        <v>6666</v>
      </c>
      <c r="B1118" s="83" t="s">
        <v>5010</v>
      </c>
      <c r="C1118" s="83" t="s">
        <v>6671</v>
      </c>
      <c r="D1118" s="83" t="s">
        <v>6668</v>
      </c>
    </row>
    <row r="1119" spans="1:4">
      <c r="A1119" s="83" t="s">
        <v>6672</v>
      </c>
      <c r="B1119" s="83" t="s">
        <v>5017</v>
      </c>
      <c r="C1119" s="83" t="s">
        <v>6673</v>
      </c>
      <c r="D1119" s="83" t="s">
        <v>6674</v>
      </c>
    </row>
    <row r="1120" spans="1:4">
      <c r="A1120" s="83" t="s">
        <v>6672</v>
      </c>
      <c r="B1120" s="83" t="s">
        <v>5012</v>
      </c>
      <c r="C1120" s="83" t="s">
        <v>6675</v>
      </c>
      <c r="D1120" s="83" t="s">
        <v>6674</v>
      </c>
    </row>
    <row r="1121" spans="1:4">
      <c r="A1121" s="83" t="s">
        <v>6672</v>
      </c>
      <c r="B1121" s="83" t="s">
        <v>5015</v>
      </c>
      <c r="C1121" s="83" t="s">
        <v>6676</v>
      </c>
      <c r="D1121" s="83" t="s">
        <v>6674</v>
      </c>
    </row>
    <row r="1122" spans="1:4">
      <c r="A1122" s="83" t="s">
        <v>6672</v>
      </c>
      <c r="B1122" s="83" t="s">
        <v>5010</v>
      </c>
      <c r="C1122" s="83" t="s">
        <v>6677</v>
      </c>
      <c r="D1122" s="83" t="s">
        <v>6674</v>
      </c>
    </row>
    <row r="1123" spans="1:4">
      <c r="A1123" s="83" t="s">
        <v>6678</v>
      </c>
      <c r="B1123" s="83" t="s">
        <v>5017</v>
      </c>
      <c r="C1123" s="83" t="s">
        <v>6679</v>
      </c>
      <c r="D1123" s="83" t="s">
        <v>6680</v>
      </c>
    </row>
    <row r="1124" spans="1:4">
      <c r="A1124" s="83" t="s">
        <v>6678</v>
      </c>
      <c r="B1124" s="83" t="s">
        <v>5012</v>
      </c>
      <c r="C1124" s="83" t="s">
        <v>6681</v>
      </c>
      <c r="D1124" s="83" t="s">
        <v>6680</v>
      </c>
    </row>
    <row r="1125" spans="1:4">
      <c r="A1125" s="83" t="s">
        <v>6678</v>
      </c>
      <c r="B1125" s="83" t="s">
        <v>5015</v>
      </c>
      <c r="C1125" s="83" t="s">
        <v>6682</v>
      </c>
      <c r="D1125" s="83" t="s">
        <v>6680</v>
      </c>
    </row>
    <row r="1126" spans="1:4">
      <c r="A1126" s="83" t="s">
        <v>6678</v>
      </c>
      <c r="B1126" s="83" t="s">
        <v>5010</v>
      </c>
      <c r="C1126" s="83" t="s">
        <v>6683</v>
      </c>
      <c r="D1126" s="83" t="s">
        <v>6680</v>
      </c>
    </row>
    <row r="1127" spans="1:4">
      <c r="A1127" s="83" t="s">
        <v>6684</v>
      </c>
      <c r="B1127" s="83" t="s">
        <v>5017</v>
      </c>
      <c r="C1127" s="83" t="s">
        <v>6685</v>
      </c>
      <c r="D1127" s="83" t="s">
        <v>6686</v>
      </c>
    </row>
    <row r="1128" spans="1:4">
      <c r="A1128" s="83" t="s">
        <v>6684</v>
      </c>
      <c r="B1128" s="83" t="s">
        <v>5012</v>
      </c>
      <c r="C1128" s="83" t="s">
        <v>6687</v>
      </c>
      <c r="D1128" s="83" t="s">
        <v>6686</v>
      </c>
    </row>
    <row r="1129" spans="1:4">
      <c r="A1129" s="83" t="s">
        <v>6684</v>
      </c>
      <c r="B1129" s="83" t="s">
        <v>5015</v>
      </c>
      <c r="C1129" s="83" t="s">
        <v>6688</v>
      </c>
      <c r="D1129" s="83" t="s">
        <v>6686</v>
      </c>
    </row>
    <row r="1130" spans="1:4">
      <c r="A1130" s="83" t="s">
        <v>6684</v>
      </c>
      <c r="B1130" s="83" t="s">
        <v>5010</v>
      </c>
      <c r="C1130" s="83" t="s">
        <v>6689</v>
      </c>
      <c r="D1130" s="83" t="s">
        <v>6686</v>
      </c>
    </row>
    <row r="1131" spans="1:4">
      <c r="A1131" s="83" t="s">
        <v>6690</v>
      </c>
      <c r="B1131" s="83" t="s">
        <v>5017</v>
      </c>
      <c r="C1131" s="83" t="s">
        <v>6691</v>
      </c>
      <c r="D1131" s="83" t="s">
        <v>6692</v>
      </c>
    </row>
    <row r="1132" spans="1:4">
      <c r="A1132" s="83" t="s">
        <v>6690</v>
      </c>
      <c r="B1132" s="83" t="s">
        <v>5012</v>
      </c>
      <c r="C1132" s="83" t="s">
        <v>6693</v>
      </c>
      <c r="D1132" s="83" t="s">
        <v>6692</v>
      </c>
    </row>
    <row r="1133" spans="1:4">
      <c r="A1133" s="83" t="s">
        <v>6690</v>
      </c>
      <c r="B1133" s="83" t="s">
        <v>5015</v>
      </c>
      <c r="C1133" s="83" t="s">
        <v>6694</v>
      </c>
      <c r="D1133" s="83" t="s">
        <v>6692</v>
      </c>
    </row>
    <row r="1134" spans="1:4">
      <c r="A1134" s="83" t="s">
        <v>6690</v>
      </c>
      <c r="B1134" s="83" t="s">
        <v>5010</v>
      </c>
      <c r="C1134" s="83" t="s">
        <v>6695</v>
      </c>
      <c r="D1134" s="83" t="s">
        <v>6692</v>
      </c>
    </row>
    <row r="1135" spans="1:4">
      <c r="A1135" s="83" t="s">
        <v>6696</v>
      </c>
      <c r="B1135" s="83" t="s">
        <v>5017</v>
      </c>
      <c r="C1135" s="83" t="s">
        <v>6697</v>
      </c>
      <c r="D1135" s="83" t="s">
        <v>6698</v>
      </c>
    </row>
    <row r="1136" spans="1:4">
      <c r="A1136" s="83" t="s">
        <v>6696</v>
      </c>
      <c r="B1136" s="83" t="s">
        <v>5012</v>
      </c>
      <c r="C1136" s="83" t="s">
        <v>6699</v>
      </c>
      <c r="D1136" s="83" t="s">
        <v>6698</v>
      </c>
    </row>
    <row r="1137" spans="1:4">
      <c r="A1137" s="83" t="s">
        <v>6696</v>
      </c>
      <c r="B1137" s="83" t="s">
        <v>5015</v>
      </c>
      <c r="C1137" s="83" t="s">
        <v>6700</v>
      </c>
      <c r="D1137" s="83" t="s">
        <v>6698</v>
      </c>
    </row>
    <row r="1138" spans="1:4">
      <c r="A1138" s="83" t="s">
        <v>6696</v>
      </c>
      <c r="B1138" s="83" t="s">
        <v>5010</v>
      </c>
      <c r="C1138" s="83" t="s">
        <v>6701</v>
      </c>
      <c r="D1138" s="83" t="s">
        <v>6698</v>
      </c>
    </row>
    <row r="1139" spans="1:4">
      <c r="A1139" s="83" t="s">
        <v>6702</v>
      </c>
      <c r="B1139" s="83" t="s">
        <v>5017</v>
      </c>
      <c r="C1139" s="83" t="s">
        <v>6703</v>
      </c>
      <c r="D1139" s="83" t="s">
        <v>6704</v>
      </c>
    </row>
    <row r="1140" spans="1:4">
      <c r="A1140" s="83" t="s">
        <v>6702</v>
      </c>
      <c r="B1140" s="83" t="s">
        <v>5012</v>
      </c>
      <c r="C1140" s="83" t="s">
        <v>6705</v>
      </c>
      <c r="D1140" s="83" t="s">
        <v>6704</v>
      </c>
    </row>
    <row r="1141" spans="1:4">
      <c r="A1141" s="83" t="s">
        <v>6702</v>
      </c>
      <c r="B1141" s="83" t="s">
        <v>5015</v>
      </c>
      <c r="C1141" s="83" t="s">
        <v>6706</v>
      </c>
      <c r="D1141" s="83" t="s">
        <v>6704</v>
      </c>
    </row>
    <row r="1142" spans="1:4">
      <c r="A1142" s="83" t="s">
        <v>6702</v>
      </c>
      <c r="B1142" s="83" t="s">
        <v>5010</v>
      </c>
      <c r="C1142" s="83" t="s">
        <v>6707</v>
      </c>
      <c r="D1142" s="83" t="s">
        <v>6704</v>
      </c>
    </row>
    <row r="1143" spans="1:4">
      <c r="A1143" s="83" t="s">
        <v>6708</v>
      </c>
      <c r="B1143" s="83" t="s">
        <v>5017</v>
      </c>
      <c r="C1143" s="83" t="s">
        <v>6709</v>
      </c>
      <c r="D1143" s="83" t="s">
        <v>6710</v>
      </c>
    </row>
    <row r="1144" spans="1:4">
      <c r="A1144" s="83" t="s">
        <v>6708</v>
      </c>
      <c r="B1144" s="83" t="s">
        <v>5012</v>
      </c>
      <c r="C1144" s="83" t="s">
        <v>6711</v>
      </c>
      <c r="D1144" s="83" t="s">
        <v>6710</v>
      </c>
    </row>
    <row r="1145" spans="1:4">
      <c r="A1145" s="83" t="s">
        <v>6708</v>
      </c>
      <c r="B1145" s="83" t="s">
        <v>5015</v>
      </c>
      <c r="C1145" s="83" t="s">
        <v>6712</v>
      </c>
      <c r="D1145" s="83" t="s">
        <v>6710</v>
      </c>
    </row>
    <row r="1146" spans="1:4">
      <c r="A1146" s="83" t="s">
        <v>6708</v>
      </c>
      <c r="B1146" s="83" t="s">
        <v>5010</v>
      </c>
      <c r="C1146" s="83" t="s">
        <v>6713</v>
      </c>
      <c r="D1146" s="83" t="s">
        <v>6710</v>
      </c>
    </row>
    <row r="1147" spans="1:4">
      <c r="A1147" s="83" t="s">
        <v>6714</v>
      </c>
      <c r="B1147" s="83" t="s">
        <v>5017</v>
      </c>
      <c r="C1147" s="83" t="s">
        <v>6715</v>
      </c>
      <c r="D1147" s="83" t="s">
        <v>6716</v>
      </c>
    </row>
    <row r="1148" spans="1:4">
      <c r="A1148" s="83" t="s">
        <v>6714</v>
      </c>
      <c r="B1148" s="83" t="s">
        <v>5012</v>
      </c>
      <c r="C1148" s="83" t="s">
        <v>6717</v>
      </c>
      <c r="D1148" s="83" t="s">
        <v>6716</v>
      </c>
    </row>
    <row r="1149" spans="1:4">
      <c r="A1149" s="83" t="s">
        <v>6714</v>
      </c>
      <c r="B1149" s="83" t="s">
        <v>5015</v>
      </c>
      <c r="C1149" s="83" t="s">
        <v>6718</v>
      </c>
      <c r="D1149" s="83" t="s">
        <v>6716</v>
      </c>
    </row>
    <row r="1150" spans="1:4">
      <c r="A1150" s="83" t="s">
        <v>6714</v>
      </c>
      <c r="B1150" s="83" t="s">
        <v>5010</v>
      </c>
      <c r="C1150" s="83" t="s">
        <v>6719</v>
      </c>
      <c r="D1150" s="83" t="s">
        <v>6716</v>
      </c>
    </row>
    <row r="1151" spans="1:4">
      <c r="A1151" s="83" t="s">
        <v>6720</v>
      </c>
      <c r="B1151" s="83" t="s">
        <v>5017</v>
      </c>
      <c r="C1151" s="83" t="s">
        <v>6721</v>
      </c>
      <c r="D1151" s="83" t="s">
        <v>6722</v>
      </c>
    </row>
    <row r="1152" spans="1:4">
      <c r="A1152" s="83" t="s">
        <v>6720</v>
      </c>
      <c r="B1152" s="83" t="s">
        <v>5012</v>
      </c>
      <c r="C1152" s="83" t="s">
        <v>6723</v>
      </c>
      <c r="D1152" s="83" t="s">
        <v>6722</v>
      </c>
    </row>
    <row r="1153" spans="1:4">
      <c r="A1153" s="83" t="s">
        <v>6720</v>
      </c>
      <c r="B1153" s="83" t="s">
        <v>5015</v>
      </c>
      <c r="C1153" s="83" t="s">
        <v>6724</v>
      </c>
      <c r="D1153" s="83" t="s">
        <v>6722</v>
      </c>
    </row>
    <row r="1154" spans="1:4">
      <c r="A1154" s="83" t="s">
        <v>6720</v>
      </c>
      <c r="B1154" s="83" t="s">
        <v>5010</v>
      </c>
      <c r="C1154" s="83" t="s">
        <v>6725</v>
      </c>
      <c r="D1154" s="83" t="s">
        <v>6722</v>
      </c>
    </row>
    <row r="1155" spans="1:4">
      <c r="A1155" s="83" t="s">
        <v>6726</v>
      </c>
      <c r="B1155" s="83" t="s">
        <v>5017</v>
      </c>
      <c r="C1155" s="83" t="s">
        <v>6727</v>
      </c>
      <c r="D1155" s="83" t="s">
        <v>6728</v>
      </c>
    </row>
    <row r="1156" spans="1:4">
      <c r="A1156" s="83" t="s">
        <v>6726</v>
      </c>
      <c r="B1156" s="83" t="s">
        <v>5012</v>
      </c>
      <c r="C1156" s="83" t="s">
        <v>6729</v>
      </c>
      <c r="D1156" s="83" t="s">
        <v>6728</v>
      </c>
    </row>
    <row r="1157" spans="1:4">
      <c r="A1157" s="83" t="s">
        <v>6726</v>
      </c>
      <c r="B1157" s="83" t="s">
        <v>5015</v>
      </c>
      <c r="C1157" s="83" t="s">
        <v>6730</v>
      </c>
      <c r="D1157" s="83" t="s">
        <v>6728</v>
      </c>
    </row>
    <row r="1158" spans="1:4">
      <c r="A1158" s="83" t="s">
        <v>6726</v>
      </c>
      <c r="B1158" s="83" t="s">
        <v>5010</v>
      </c>
      <c r="C1158" s="83" t="s">
        <v>6731</v>
      </c>
      <c r="D1158" s="83" t="s">
        <v>6728</v>
      </c>
    </row>
    <row r="1159" spans="1:4">
      <c r="A1159" s="83" t="s">
        <v>6732</v>
      </c>
      <c r="B1159" s="83" t="s">
        <v>5017</v>
      </c>
      <c r="C1159" s="83" t="s">
        <v>6733</v>
      </c>
      <c r="D1159" s="83" t="s">
        <v>6734</v>
      </c>
    </row>
    <row r="1160" spans="1:4">
      <c r="A1160" s="83" t="s">
        <v>6732</v>
      </c>
      <c r="B1160" s="83" t="s">
        <v>5012</v>
      </c>
      <c r="C1160" s="83" t="s">
        <v>6735</v>
      </c>
      <c r="D1160" s="83" t="s">
        <v>6734</v>
      </c>
    </row>
    <row r="1161" spans="1:4">
      <c r="A1161" s="83" t="s">
        <v>6732</v>
      </c>
      <c r="B1161" s="83" t="s">
        <v>5015</v>
      </c>
      <c r="C1161" s="83" t="s">
        <v>6736</v>
      </c>
      <c r="D1161" s="83" t="s">
        <v>6734</v>
      </c>
    </row>
    <row r="1162" spans="1:4">
      <c r="A1162" s="83" t="s">
        <v>6732</v>
      </c>
      <c r="B1162" s="83" t="s">
        <v>5010</v>
      </c>
      <c r="C1162" s="83" t="s">
        <v>5561</v>
      </c>
      <c r="D1162" s="83" t="s">
        <v>6734</v>
      </c>
    </row>
    <row r="1163" spans="1:4">
      <c r="A1163" s="83" t="s">
        <v>6737</v>
      </c>
      <c r="B1163" s="83" t="s">
        <v>5017</v>
      </c>
      <c r="C1163" s="83" t="s">
        <v>6738</v>
      </c>
      <c r="D1163" s="83" t="s">
        <v>6739</v>
      </c>
    </row>
    <row r="1164" spans="1:4">
      <c r="A1164" s="83" t="s">
        <v>6737</v>
      </c>
      <c r="B1164" s="83" t="s">
        <v>5012</v>
      </c>
      <c r="C1164" s="83" t="s">
        <v>6359</v>
      </c>
      <c r="D1164" s="83" t="s">
        <v>6739</v>
      </c>
    </row>
    <row r="1165" spans="1:4">
      <c r="A1165" s="83" t="s">
        <v>6737</v>
      </c>
      <c r="B1165" s="83" t="s">
        <v>5015</v>
      </c>
      <c r="C1165" s="83" t="s">
        <v>6740</v>
      </c>
      <c r="D1165" s="83" t="s">
        <v>6739</v>
      </c>
    </row>
    <row r="1166" spans="1:4">
      <c r="A1166" s="83" t="s">
        <v>6737</v>
      </c>
      <c r="B1166" s="83" t="s">
        <v>5010</v>
      </c>
      <c r="C1166" s="83" t="s">
        <v>6741</v>
      </c>
      <c r="D1166" s="83" t="s">
        <v>6739</v>
      </c>
    </row>
    <row r="1167" spans="1:4">
      <c r="A1167" s="83" t="s">
        <v>6742</v>
      </c>
      <c r="B1167" s="83" t="s">
        <v>5017</v>
      </c>
      <c r="C1167" s="83" t="s">
        <v>6743</v>
      </c>
      <c r="D1167" s="83" t="s">
        <v>6744</v>
      </c>
    </row>
    <row r="1168" spans="1:4">
      <c r="A1168" s="83" t="s">
        <v>6742</v>
      </c>
      <c r="B1168" s="83" t="s">
        <v>5012</v>
      </c>
      <c r="C1168" s="83" t="s">
        <v>6745</v>
      </c>
      <c r="D1168" s="83" t="s">
        <v>6744</v>
      </c>
    </row>
    <row r="1169" spans="1:4">
      <c r="A1169" s="83" t="s">
        <v>6742</v>
      </c>
      <c r="B1169" s="83" t="s">
        <v>5015</v>
      </c>
      <c r="C1169" s="83" t="s">
        <v>6746</v>
      </c>
      <c r="D1169" s="83" t="s">
        <v>6744</v>
      </c>
    </row>
    <row r="1170" spans="1:4">
      <c r="A1170" s="83" t="s">
        <v>6742</v>
      </c>
      <c r="B1170" s="83" t="s">
        <v>5010</v>
      </c>
      <c r="C1170" s="83" t="s">
        <v>6747</v>
      </c>
      <c r="D1170" s="83" t="s">
        <v>6744</v>
      </c>
    </row>
    <row r="1171" spans="1:4">
      <c r="A1171" s="83" t="s">
        <v>6748</v>
      </c>
      <c r="B1171" s="83" t="s">
        <v>5017</v>
      </c>
      <c r="C1171" s="83" t="s">
        <v>6749</v>
      </c>
      <c r="D1171" s="83" t="s">
        <v>6750</v>
      </c>
    </row>
    <row r="1172" spans="1:4">
      <c r="A1172" s="83" t="s">
        <v>6748</v>
      </c>
      <c r="B1172" s="83" t="s">
        <v>5012</v>
      </c>
      <c r="C1172" s="83" t="s">
        <v>6751</v>
      </c>
      <c r="D1172" s="83" t="s">
        <v>6750</v>
      </c>
    </row>
    <row r="1173" spans="1:4">
      <c r="A1173" s="83" t="s">
        <v>6748</v>
      </c>
      <c r="B1173" s="83" t="s">
        <v>5015</v>
      </c>
      <c r="C1173" s="83" t="s">
        <v>6752</v>
      </c>
      <c r="D1173" s="83" t="s">
        <v>6750</v>
      </c>
    </row>
    <row r="1174" spans="1:4">
      <c r="A1174" s="83" t="s">
        <v>6748</v>
      </c>
      <c r="B1174" s="83" t="s">
        <v>5010</v>
      </c>
      <c r="C1174" s="83" t="s">
        <v>6753</v>
      </c>
      <c r="D1174" s="83" t="s">
        <v>6750</v>
      </c>
    </row>
    <row r="1175" spans="1:4">
      <c r="A1175" s="83" t="s">
        <v>6754</v>
      </c>
      <c r="B1175" s="83" t="s">
        <v>5017</v>
      </c>
      <c r="C1175" s="83" t="s">
        <v>6755</v>
      </c>
      <c r="D1175" s="83" t="s">
        <v>6756</v>
      </c>
    </row>
    <row r="1176" spans="1:4">
      <c r="A1176" s="83" t="s">
        <v>6754</v>
      </c>
      <c r="B1176" s="83" t="s">
        <v>5012</v>
      </c>
      <c r="C1176" s="83" t="s">
        <v>6757</v>
      </c>
      <c r="D1176" s="83" t="s">
        <v>6756</v>
      </c>
    </row>
    <row r="1177" spans="1:4">
      <c r="A1177" s="83" t="s">
        <v>6754</v>
      </c>
      <c r="B1177" s="83" t="s">
        <v>5015</v>
      </c>
      <c r="C1177" s="83" t="s">
        <v>6758</v>
      </c>
      <c r="D1177" s="83" t="s">
        <v>6756</v>
      </c>
    </row>
    <row r="1178" spans="1:4">
      <c r="A1178" s="83" t="s">
        <v>6754</v>
      </c>
      <c r="B1178" s="83" t="s">
        <v>5010</v>
      </c>
      <c r="C1178" s="83" t="s">
        <v>6759</v>
      </c>
      <c r="D1178" s="83" t="s">
        <v>6756</v>
      </c>
    </row>
    <row r="1179" spans="1:4">
      <c r="A1179" s="83" t="s">
        <v>6760</v>
      </c>
      <c r="B1179" s="83" t="s">
        <v>5017</v>
      </c>
      <c r="C1179" s="83" t="s">
        <v>6761</v>
      </c>
      <c r="D1179" s="83" t="s">
        <v>6762</v>
      </c>
    </row>
    <row r="1180" spans="1:4">
      <c r="A1180" s="83" t="s">
        <v>6760</v>
      </c>
      <c r="B1180" s="83" t="s">
        <v>5012</v>
      </c>
      <c r="C1180" s="83" t="s">
        <v>6763</v>
      </c>
      <c r="D1180" s="83" t="s">
        <v>6762</v>
      </c>
    </row>
    <row r="1181" spans="1:4">
      <c r="A1181" s="83" t="s">
        <v>6760</v>
      </c>
      <c r="B1181" s="83" t="s">
        <v>5015</v>
      </c>
      <c r="C1181" s="83" t="s">
        <v>6764</v>
      </c>
      <c r="D1181" s="83" t="s">
        <v>6762</v>
      </c>
    </row>
    <row r="1182" spans="1:4">
      <c r="A1182" s="83" t="s">
        <v>6760</v>
      </c>
      <c r="B1182" s="83" t="s">
        <v>5010</v>
      </c>
      <c r="C1182" s="83" t="s">
        <v>6765</v>
      </c>
      <c r="D1182" s="83" t="s">
        <v>6762</v>
      </c>
    </row>
    <row r="1183" spans="1:4">
      <c r="A1183" s="83" t="s">
        <v>6766</v>
      </c>
      <c r="B1183" s="83" t="s">
        <v>5017</v>
      </c>
      <c r="C1183" s="83" t="s">
        <v>6767</v>
      </c>
      <c r="D1183" s="83" t="s">
        <v>6768</v>
      </c>
    </row>
    <row r="1184" spans="1:4">
      <c r="A1184" s="83" t="s">
        <v>6766</v>
      </c>
      <c r="B1184" s="83" t="s">
        <v>5012</v>
      </c>
      <c r="C1184" s="83" t="s">
        <v>6769</v>
      </c>
      <c r="D1184" s="83" t="s">
        <v>6768</v>
      </c>
    </row>
    <row r="1185" spans="1:4">
      <c r="A1185" s="83" t="s">
        <v>6766</v>
      </c>
      <c r="B1185" s="83" t="s">
        <v>5015</v>
      </c>
      <c r="C1185" s="83" t="s">
        <v>6770</v>
      </c>
      <c r="D1185" s="83" t="s">
        <v>6768</v>
      </c>
    </row>
    <row r="1186" spans="1:4">
      <c r="A1186" s="83" t="s">
        <v>6766</v>
      </c>
      <c r="B1186" s="83" t="s">
        <v>5010</v>
      </c>
      <c r="C1186" s="83" t="s">
        <v>6771</v>
      </c>
      <c r="D1186" s="83" t="s">
        <v>6768</v>
      </c>
    </row>
    <row r="1187" spans="1:4">
      <c r="A1187" s="83" t="s">
        <v>6772</v>
      </c>
      <c r="B1187" s="83" t="s">
        <v>5017</v>
      </c>
      <c r="C1187" s="83" t="s">
        <v>6773</v>
      </c>
      <c r="D1187" s="83" t="s">
        <v>6774</v>
      </c>
    </row>
    <row r="1188" spans="1:4">
      <c r="A1188" s="83" t="s">
        <v>6772</v>
      </c>
      <c r="B1188" s="83" t="s">
        <v>5012</v>
      </c>
      <c r="C1188" s="83" t="s">
        <v>6775</v>
      </c>
      <c r="D1188" s="83" t="s">
        <v>6774</v>
      </c>
    </row>
    <row r="1189" spans="1:4">
      <c r="A1189" s="83" t="s">
        <v>6772</v>
      </c>
      <c r="B1189" s="83" t="s">
        <v>5015</v>
      </c>
      <c r="C1189" s="83" t="s">
        <v>6776</v>
      </c>
      <c r="D1189" s="83" t="s">
        <v>6774</v>
      </c>
    </row>
    <row r="1190" spans="1:4">
      <c r="A1190" s="83" t="s">
        <v>6772</v>
      </c>
      <c r="B1190" s="83" t="s">
        <v>5010</v>
      </c>
      <c r="C1190" s="83" t="s">
        <v>6777</v>
      </c>
      <c r="D1190" s="83" t="s">
        <v>6774</v>
      </c>
    </row>
    <row r="1191" spans="1:4">
      <c r="A1191" s="83" t="s">
        <v>6778</v>
      </c>
      <c r="B1191" s="83" t="s">
        <v>5017</v>
      </c>
      <c r="C1191" s="83" t="s">
        <v>6779</v>
      </c>
      <c r="D1191" s="83" t="s">
        <v>6780</v>
      </c>
    </row>
    <row r="1192" spans="1:4">
      <c r="A1192" s="83" t="s">
        <v>6778</v>
      </c>
      <c r="B1192" s="83" t="s">
        <v>5012</v>
      </c>
      <c r="C1192" s="83" t="s">
        <v>6781</v>
      </c>
      <c r="D1192" s="83" t="s">
        <v>6780</v>
      </c>
    </row>
    <row r="1193" spans="1:4">
      <c r="A1193" s="83" t="s">
        <v>6778</v>
      </c>
      <c r="B1193" s="83" t="s">
        <v>5015</v>
      </c>
      <c r="C1193" s="83" t="s">
        <v>6782</v>
      </c>
      <c r="D1193" s="83" t="s">
        <v>6780</v>
      </c>
    </row>
    <row r="1194" spans="1:4">
      <c r="A1194" s="83" t="s">
        <v>6778</v>
      </c>
      <c r="B1194" s="83" t="s">
        <v>5010</v>
      </c>
      <c r="C1194" s="83" t="s">
        <v>6783</v>
      </c>
      <c r="D1194" s="83" t="s">
        <v>6780</v>
      </c>
    </row>
    <row r="1195" spans="1:4">
      <c r="A1195" s="83" t="s">
        <v>6784</v>
      </c>
      <c r="B1195" s="83" t="s">
        <v>5017</v>
      </c>
      <c r="C1195" s="83" t="s">
        <v>6785</v>
      </c>
      <c r="D1195" s="83" t="s">
        <v>6786</v>
      </c>
    </row>
    <row r="1196" spans="1:4">
      <c r="A1196" s="83" t="s">
        <v>6784</v>
      </c>
      <c r="B1196" s="83" t="s">
        <v>5012</v>
      </c>
      <c r="C1196" s="83" t="s">
        <v>5830</v>
      </c>
      <c r="D1196" s="83" t="s">
        <v>6786</v>
      </c>
    </row>
    <row r="1197" spans="1:4">
      <c r="A1197" s="83" t="s">
        <v>6784</v>
      </c>
      <c r="B1197" s="83" t="s">
        <v>5015</v>
      </c>
      <c r="C1197" s="83" t="s">
        <v>6787</v>
      </c>
      <c r="D1197" s="83" t="s">
        <v>6786</v>
      </c>
    </row>
    <row r="1198" spans="1:4">
      <c r="A1198" s="83" t="s">
        <v>6784</v>
      </c>
      <c r="B1198" s="83" t="s">
        <v>5010</v>
      </c>
      <c r="C1198" s="83" t="s">
        <v>6788</v>
      </c>
      <c r="D1198" s="83" t="s">
        <v>6786</v>
      </c>
    </row>
    <row r="1199" spans="1:4">
      <c r="A1199" s="83" t="s">
        <v>6789</v>
      </c>
      <c r="B1199" s="83" t="s">
        <v>5017</v>
      </c>
      <c r="C1199" s="83" t="s">
        <v>6790</v>
      </c>
      <c r="D1199" s="83" t="s">
        <v>6791</v>
      </c>
    </row>
    <row r="1200" spans="1:4">
      <c r="A1200" s="83" t="s">
        <v>6789</v>
      </c>
      <c r="B1200" s="83" t="s">
        <v>5012</v>
      </c>
      <c r="C1200" s="83" t="s">
        <v>6792</v>
      </c>
      <c r="D1200" s="83" t="s">
        <v>6791</v>
      </c>
    </row>
    <row r="1201" spans="1:4">
      <c r="A1201" s="83" t="s">
        <v>6789</v>
      </c>
      <c r="B1201" s="83" t="s">
        <v>5015</v>
      </c>
      <c r="C1201" s="83" t="s">
        <v>6793</v>
      </c>
      <c r="D1201" s="83" t="s">
        <v>6791</v>
      </c>
    </row>
    <row r="1202" spans="1:4">
      <c r="A1202" s="83" t="s">
        <v>6789</v>
      </c>
      <c r="B1202" s="83" t="s">
        <v>5010</v>
      </c>
      <c r="C1202" s="83" t="s">
        <v>6794</v>
      </c>
      <c r="D1202" s="83" t="s">
        <v>6791</v>
      </c>
    </row>
    <row r="1203" spans="1:4">
      <c r="A1203" s="83" t="s">
        <v>6795</v>
      </c>
      <c r="B1203" s="83" t="s">
        <v>5017</v>
      </c>
      <c r="C1203" s="83" t="s">
        <v>6796</v>
      </c>
      <c r="D1203" s="83" t="s">
        <v>6797</v>
      </c>
    </row>
    <row r="1204" spans="1:4">
      <c r="A1204" s="83" t="s">
        <v>6795</v>
      </c>
      <c r="B1204" s="83" t="s">
        <v>5012</v>
      </c>
      <c r="C1204" s="83" t="s">
        <v>6798</v>
      </c>
      <c r="D1204" s="83" t="s">
        <v>6797</v>
      </c>
    </row>
    <row r="1205" spans="1:4">
      <c r="A1205" s="83" t="s">
        <v>6795</v>
      </c>
      <c r="B1205" s="83" t="s">
        <v>5015</v>
      </c>
      <c r="C1205" s="83" t="s">
        <v>6799</v>
      </c>
      <c r="D1205" s="83" t="s">
        <v>6797</v>
      </c>
    </row>
    <row r="1206" spans="1:4">
      <c r="A1206" s="83" t="s">
        <v>6795</v>
      </c>
      <c r="B1206" s="83" t="s">
        <v>5010</v>
      </c>
      <c r="C1206" s="83" t="s">
        <v>6800</v>
      </c>
      <c r="D1206" s="83" t="s">
        <v>6797</v>
      </c>
    </row>
    <row r="1207" spans="1:4">
      <c r="A1207" s="83" t="s">
        <v>6801</v>
      </c>
      <c r="B1207" s="83" t="s">
        <v>5017</v>
      </c>
      <c r="C1207" s="83" t="s">
        <v>6802</v>
      </c>
      <c r="D1207" s="83" t="s">
        <v>6803</v>
      </c>
    </row>
    <row r="1208" spans="1:4">
      <c r="A1208" s="83" t="s">
        <v>6801</v>
      </c>
      <c r="B1208" s="83" t="s">
        <v>5012</v>
      </c>
      <c r="C1208" s="83" t="s">
        <v>6804</v>
      </c>
      <c r="D1208" s="83" t="s">
        <v>6803</v>
      </c>
    </row>
    <row r="1209" spans="1:4">
      <c r="A1209" s="83" t="s">
        <v>6801</v>
      </c>
      <c r="B1209" s="83" t="s">
        <v>5015</v>
      </c>
      <c r="C1209" s="83" t="s">
        <v>6805</v>
      </c>
      <c r="D1209" s="83" t="s">
        <v>6803</v>
      </c>
    </row>
    <row r="1210" spans="1:4">
      <c r="A1210" s="83" t="s">
        <v>6801</v>
      </c>
      <c r="B1210" s="83" t="s">
        <v>5010</v>
      </c>
      <c r="C1210" s="83" t="s">
        <v>6806</v>
      </c>
      <c r="D1210" s="83" t="s">
        <v>6803</v>
      </c>
    </row>
    <row r="1211" spans="1:4">
      <c r="A1211" s="83" t="s">
        <v>6807</v>
      </c>
      <c r="B1211" s="83" t="s">
        <v>5017</v>
      </c>
      <c r="C1211" s="83" t="s">
        <v>6808</v>
      </c>
      <c r="D1211" s="83" t="s">
        <v>6809</v>
      </c>
    </row>
    <row r="1212" spans="1:4">
      <c r="A1212" s="83" t="s">
        <v>6807</v>
      </c>
      <c r="B1212" s="83" t="s">
        <v>5012</v>
      </c>
      <c r="C1212" s="83" t="s">
        <v>6810</v>
      </c>
      <c r="D1212" s="83" t="s">
        <v>6809</v>
      </c>
    </row>
    <row r="1213" spans="1:4">
      <c r="A1213" s="83" t="s">
        <v>6807</v>
      </c>
      <c r="B1213" s="83" t="s">
        <v>5015</v>
      </c>
      <c r="C1213" s="83" t="s">
        <v>6811</v>
      </c>
      <c r="D1213" s="83" t="s">
        <v>6809</v>
      </c>
    </row>
    <row r="1214" spans="1:4">
      <c r="A1214" s="83" t="s">
        <v>6807</v>
      </c>
      <c r="B1214" s="83" t="s">
        <v>5010</v>
      </c>
      <c r="C1214" s="83" t="s">
        <v>6812</v>
      </c>
      <c r="D1214" s="83" t="s">
        <v>6809</v>
      </c>
    </row>
    <row r="1215" spans="1:4">
      <c r="A1215" s="83" t="s">
        <v>6813</v>
      </c>
      <c r="B1215" s="83" t="s">
        <v>5017</v>
      </c>
      <c r="C1215" s="83" t="s">
        <v>6814</v>
      </c>
      <c r="D1215" s="83" t="s">
        <v>6815</v>
      </c>
    </row>
    <row r="1216" spans="1:4">
      <c r="A1216" s="83" t="s">
        <v>6813</v>
      </c>
      <c r="B1216" s="83" t="s">
        <v>5012</v>
      </c>
      <c r="C1216" s="83" t="s">
        <v>6816</v>
      </c>
      <c r="D1216" s="83" t="s">
        <v>6815</v>
      </c>
    </row>
    <row r="1217" spans="1:4">
      <c r="A1217" s="83" t="s">
        <v>6813</v>
      </c>
      <c r="B1217" s="83" t="s">
        <v>5015</v>
      </c>
      <c r="C1217" s="83" t="s">
        <v>6817</v>
      </c>
      <c r="D1217" s="83" t="s">
        <v>6815</v>
      </c>
    </row>
    <row r="1218" spans="1:4">
      <c r="A1218" s="83" t="s">
        <v>6813</v>
      </c>
      <c r="B1218" s="83" t="s">
        <v>5010</v>
      </c>
      <c r="C1218" s="83" t="s">
        <v>6818</v>
      </c>
      <c r="D1218" s="83" t="s">
        <v>6815</v>
      </c>
    </row>
    <row r="1219" spans="1:4">
      <c r="A1219" s="83" t="s">
        <v>6819</v>
      </c>
      <c r="B1219" s="83" t="s">
        <v>5017</v>
      </c>
      <c r="C1219" s="83" t="s">
        <v>6820</v>
      </c>
      <c r="D1219" s="83" t="s">
        <v>6821</v>
      </c>
    </row>
    <row r="1220" spans="1:4">
      <c r="A1220" s="83" t="s">
        <v>6819</v>
      </c>
      <c r="B1220" s="83" t="s">
        <v>5012</v>
      </c>
      <c r="C1220" s="83" t="s">
        <v>6822</v>
      </c>
      <c r="D1220" s="83" t="s">
        <v>6821</v>
      </c>
    </row>
    <row r="1221" spans="1:4">
      <c r="A1221" s="83" t="s">
        <v>6819</v>
      </c>
      <c r="B1221" s="83" t="s">
        <v>5015</v>
      </c>
      <c r="C1221" s="83" t="s">
        <v>6823</v>
      </c>
      <c r="D1221" s="83" t="s">
        <v>6821</v>
      </c>
    </row>
    <row r="1222" spans="1:4">
      <c r="A1222" s="83" t="s">
        <v>6819</v>
      </c>
      <c r="B1222" s="83" t="s">
        <v>5010</v>
      </c>
      <c r="C1222" s="83" t="s">
        <v>6824</v>
      </c>
      <c r="D1222" s="83" t="s">
        <v>6821</v>
      </c>
    </row>
    <row r="1223" spans="1:4">
      <c r="A1223" s="83" t="s">
        <v>6825</v>
      </c>
      <c r="B1223" s="83" t="s">
        <v>5017</v>
      </c>
      <c r="C1223" s="83" t="s">
        <v>6826</v>
      </c>
      <c r="D1223" s="83" t="s">
        <v>6827</v>
      </c>
    </row>
    <row r="1224" spans="1:4">
      <c r="A1224" s="83" t="s">
        <v>6825</v>
      </c>
      <c r="B1224" s="83" t="s">
        <v>5012</v>
      </c>
      <c r="C1224" s="83" t="s">
        <v>6828</v>
      </c>
      <c r="D1224" s="83" t="s">
        <v>6827</v>
      </c>
    </row>
    <row r="1225" spans="1:4">
      <c r="A1225" s="83" t="s">
        <v>6825</v>
      </c>
      <c r="B1225" s="83" t="s">
        <v>5015</v>
      </c>
      <c r="C1225" s="83" t="s">
        <v>6829</v>
      </c>
      <c r="D1225" s="83" t="s">
        <v>6827</v>
      </c>
    </row>
    <row r="1226" spans="1:4">
      <c r="A1226" s="83" t="s">
        <v>6825</v>
      </c>
      <c r="B1226" s="83" t="s">
        <v>5010</v>
      </c>
      <c r="C1226" s="83" t="s">
        <v>6830</v>
      </c>
      <c r="D1226" s="83" t="s">
        <v>6827</v>
      </c>
    </row>
    <row r="1227" spans="1:4">
      <c r="A1227" s="83" t="s">
        <v>6831</v>
      </c>
      <c r="B1227" s="83" t="s">
        <v>5017</v>
      </c>
      <c r="C1227" s="83" t="s">
        <v>6832</v>
      </c>
      <c r="D1227" s="83" t="s">
        <v>6833</v>
      </c>
    </row>
    <row r="1228" spans="1:4">
      <c r="A1228" s="83" t="s">
        <v>6831</v>
      </c>
      <c r="B1228" s="83" t="s">
        <v>5012</v>
      </c>
      <c r="C1228" s="83" t="s">
        <v>5580</v>
      </c>
      <c r="D1228" s="83" t="s">
        <v>6833</v>
      </c>
    </row>
    <row r="1229" spans="1:4">
      <c r="A1229" s="83" t="s">
        <v>6831</v>
      </c>
      <c r="B1229" s="83" t="s">
        <v>5015</v>
      </c>
      <c r="C1229" s="83" t="s">
        <v>6834</v>
      </c>
      <c r="D1229" s="83" t="s">
        <v>6833</v>
      </c>
    </row>
    <row r="1230" spans="1:4">
      <c r="A1230" s="83" t="s">
        <v>6831</v>
      </c>
      <c r="B1230" s="83" t="s">
        <v>5010</v>
      </c>
      <c r="C1230" s="83" t="s">
        <v>6835</v>
      </c>
      <c r="D1230" s="83" t="s">
        <v>6833</v>
      </c>
    </row>
    <row r="1231" spans="1:4">
      <c r="A1231" s="83" t="s">
        <v>6836</v>
      </c>
      <c r="B1231" s="83" t="s">
        <v>5017</v>
      </c>
      <c r="C1231" s="83" t="s">
        <v>6837</v>
      </c>
      <c r="D1231" s="83" t="s">
        <v>6838</v>
      </c>
    </row>
    <row r="1232" spans="1:4">
      <c r="A1232" s="83" t="s">
        <v>6836</v>
      </c>
      <c r="B1232" s="83" t="s">
        <v>5012</v>
      </c>
      <c r="C1232" s="83" t="s">
        <v>6839</v>
      </c>
      <c r="D1232" s="83" t="s">
        <v>6838</v>
      </c>
    </row>
    <row r="1233" spans="1:4">
      <c r="A1233" s="83" t="s">
        <v>6836</v>
      </c>
      <c r="B1233" s="83" t="s">
        <v>5015</v>
      </c>
      <c r="C1233" s="83" t="s">
        <v>6840</v>
      </c>
      <c r="D1233" s="83" t="s">
        <v>6838</v>
      </c>
    </row>
    <row r="1234" spans="1:4">
      <c r="A1234" s="83" t="s">
        <v>6836</v>
      </c>
      <c r="B1234" s="83" t="s">
        <v>5010</v>
      </c>
      <c r="C1234" s="83" t="s">
        <v>6841</v>
      </c>
      <c r="D1234" s="83" t="s">
        <v>6838</v>
      </c>
    </row>
    <row r="1235" spans="1:4">
      <c r="A1235" s="83" t="s">
        <v>6842</v>
      </c>
      <c r="B1235" s="83" t="s">
        <v>5017</v>
      </c>
      <c r="C1235" s="83" t="s">
        <v>6843</v>
      </c>
      <c r="D1235" s="83" t="s">
        <v>6844</v>
      </c>
    </row>
    <row r="1236" spans="1:4">
      <c r="A1236" s="83" t="s">
        <v>6842</v>
      </c>
      <c r="B1236" s="83" t="s">
        <v>5012</v>
      </c>
      <c r="C1236" s="83" t="s">
        <v>6845</v>
      </c>
      <c r="D1236" s="83" t="s">
        <v>6844</v>
      </c>
    </row>
    <row r="1237" spans="1:4">
      <c r="A1237" s="83" t="s">
        <v>6842</v>
      </c>
      <c r="B1237" s="83" t="s">
        <v>5015</v>
      </c>
      <c r="C1237" s="83" t="s">
        <v>6846</v>
      </c>
      <c r="D1237" s="83" t="s">
        <v>6844</v>
      </c>
    </row>
    <row r="1238" spans="1:4">
      <c r="A1238" s="83" t="s">
        <v>6842</v>
      </c>
      <c r="B1238" s="83" t="s">
        <v>5010</v>
      </c>
      <c r="C1238" s="83" t="s">
        <v>6847</v>
      </c>
      <c r="D1238" s="83" t="s">
        <v>6844</v>
      </c>
    </row>
    <row r="1239" spans="1:4">
      <c r="A1239" s="83" t="s">
        <v>6848</v>
      </c>
      <c r="B1239" s="83" t="s">
        <v>5017</v>
      </c>
      <c r="C1239" s="83" t="s">
        <v>6849</v>
      </c>
      <c r="D1239" s="83" t="s">
        <v>6850</v>
      </c>
    </row>
    <row r="1240" spans="1:4">
      <c r="A1240" s="83" t="s">
        <v>6848</v>
      </c>
      <c r="B1240" s="83" t="s">
        <v>5012</v>
      </c>
      <c r="C1240" s="83" t="s">
        <v>6851</v>
      </c>
      <c r="D1240" s="83" t="s">
        <v>6850</v>
      </c>
    </row>
    <row r="1241" spans="1:4">
      <c r="A1241" s="83" t="s">
        <v>6848</v>
      </c>
      <c r="B1241" s="83" t="s">
        <v>5015</v>
      </c>
      <c r="C1241" s="83" t="s">
        <v>6852</v>
      </c>
      <c r="D1241" s="83" t="s">
        <v>6850</v>
      </c>
    </row>
    <row r="1242" spans="1:4">
      <c r="A1242" s="83" t="s">
        <v>6848</v>
      </c>
      <c r="B1242" s="83" t="s">
        <v>5010</v>
      </c>
      <c r="C1242" s="83" t="s">
        <v>6853</v>
      </c>
      <c r="D1242" s="83" t="s">
        <v>6850</v>
      </c>
    </row>
    <row r="1243" spans="1:4">
      <c r="A1243" s="83" t="s">
        <v>6854</v>
      </c>
      <c r="B1243" s="83" t="s">
        <v>5017</v>
      </c>
      <c r="C1243" s="83" t="s">
        <v>6855</v>
      </c>
      <c r="D1243" s="83" t="s">
        <v>6856</v>
      </c>
    </row>
    <row r="1244" spans="1:4">
      <c r="A1244" s="83" t="s">
        <v>6854</v>
      </c>
      <c r="B1244" s="83" t="s">
        <v>5012</v>
      </c>
      <c r="C1244" s="83" t="s">
        <v>6857</v>
      </c>
      <c r="D1244" s="83" t="s">
        <v>6856</v>
      </c>
    </row>
    <row r="1245" spans="1:4">
      <c r="A1245" s="83" t="s">
        <v>6854</v>
      </c>
      <c r="B1245" s="83" t="s">
        <v>5015</v>
      </c>
      <c r="C1245" s="83" t="s">
        <v>6858</v>
      </c>
      <c r="D1245" s="83" t="s">
        <v>6856</v>
      </c>
    </row>
    <row r="1246" spans="1:4">
      <c r="A1246" s="83" t="s">
        <v>6854</v>
      </c>
      <c r="B1246" s="83" t="s">
        <v>5010</v>
      </c>
      <c r="C1246" s="83" t="s">
        <v>6859</v>
      </c>
      <c r="D1246" s="83" t="s">
        <v>6856</v>
      </c>
    </row>
    <row r="1247" spans="1:4">
      <c r="A1247" s="83" t="s">
        <v>6860</v>
      </c>
      <c r="B1247" s="83" t="s">
        <v>5017</v>
      </c>
      <c r="C1247" s="83" t="s">
        <v>6861</v>
      </c>
      <c r="D1247" s="83" t="s">
        <v>6862</v>
      </c>
    </row>
    <row r="1248" spans="1:4">
      <c r="A1248" s="83" t="s">
        <v>6860</v>
      </c>
      <c r="B1248" s="83" t="s">
        <v>5012</v>
      </c>
      <c r="C1248" s="83" t="s">
        <v>6863</v>
      </c>
      <c r="D1248" s="83" t="s">
        <v>6862</v>
      </c>
    </row>
    <row r="1249" spans="1:4">
      <c r="A1249" s="83" t="s">
        <v>6860</v>
      </c>
      <c r="B1249" s="83" t="s">
        <v>5015</v>
      </c>
      <c r="C1249" s="83" t="s">
        <v>6864</v>
      </c>
      <c r="D1249" s="83" t="s">
        <v>6862</v>
      </c>
    </row>
    <row r="1250" spans="1:4">
      <c r="A1250" s="83" t="s">
        <v>6860</v>
      </c>
      <c r="B1250" s="83" t="s">
        <v>5010</v>
      </c>
      <c r="C1250" s="83" t="s">
        <v>6865</v>
      </c>
      <c r="D1250" s="83" t="s">
        <v>6862</v>
      </c>
    </row>
    <row r="1251" spans="1:4">
      <c r="A1251" s="83" t="s">
        <v>6866</v>
      </c>
      <c r="B1251" s="83" t="s">
        <v>5017</v>
      </c>
      <c r="C1251" s="83" t="s">
        <v>6867</v>
      </c>
      <c r="D1251" s="83" t="s">
        <v>6868</v>
      </c>
    </row>
    <row r="1252" spans="1:4">
      <c r="A1252" s="83" t="s">
        <v>6866</v>
      </c>
      <c r="B1252" s="83" t="s">
        <v>5012</v>
      </c>
      <c r="C1252" s="83" t="s">
        <v>6869</v>
      </c>
      <c r="D1252" s="83" t="s">
        <v>6868</v>
      </c>
    </row>
    <row r="1253" spans="1:4">
      <c r="A1253" s="83" t="s">
        <v>6866</v>
      </c>
      <c r="B1253" s="83" t="s">
        <v>5015</v>
      </c>
      <c r="C1253" s="83" t="s">
        <v>6870</v>
      </c>
      <c r="D1253" s="83" t="s">
        <v>6868</v>
      </c>
    </row>
    <row r="1254" spans="1:4">
      <c r="A1254" s="83" t="s">
        <v>6866</v>
      </c>
      <c r="B1254" s="83" t="s">
        <v>5010</v>
      </c>
      <c r="C1254" s="83" t="s">
        <v>6871</v>
      </c>
      <c r="D1254" s="83" t="s">
        <v>6868</v>
      </c>
    </row>
    <row r="1255" spans="1:4">
      <c r="A1255" s="83" t="s">
        <v>6872</v>
      </c>
      <c r="B1255" s="83" t="s">
        <v>5017</v>
      </c>
      <c r="C1255" s="83" t="s">
        <v>6873</v>
      </c>
      <c r="D1255" s="83" t="s">
        <v>6874</v>
      </c>
    </row>
    <row r="1256" spans="1:4">
      <c r="A1256" s="83" t="s">
        <v>6872</v>
      </c>
      <c r="B1256" s="83" t="s">
        <v>5012</v>
      </c>
      <c r="C1256" s="83" t="s">
        <v>6159</v>
      </c>
      <c r="D1256" s="83" t="s">
        <v>6874</v>
      </c>
    </row>
    <row r="1257" spans="1:4">
      <c r="A1257" s="83" t="s">
        <v>6872</v>
      </c>
      <c r="B1257" s="83" t="s">
        <v>5015</v>
      </c>
      <c r="C1257" s="83" t="s">
        <v>6875</v>
      </c>
      <c r="D1257" s="83" t="s">
        <v>6874</v>
      </c>
    </row>
    <row r="1258" spans="1:4">
      <c r="A1258" s="83" t="s">
        <v>6872</v>
      </c>
      <c r="B1258" s="83" t="s">
        <v>5010</v>
      </c>
      <c r="C1258" s="83" t="s">
        <v>6876</v>
      </c>
      <c r="D1258" s="83" t="s">
        <v>6874</v>
      </c>
    </row>
    <row r="1259" spans="1:4">
      <c r="A1259" s="83" t="s">
        <v>6877</v>
      </c>
      <c r="B1259" s="83" t="s">
        <v>5017</v>
      </c>
      <c r="C1259" s="83" t="s">
        <v>6878</v>
      </c>
      <c r="D1259" s="83" t="s">
        <v>6879</v>
      </c>
    </row>
    <row r="1260" spans="1:4">
      <c r="A1260" s="83" t="s">
        <v>6877</v>
      </c>
      <c r="B1260" s="83" t="s">
        <v>5012</v>
      </c>
      <c r="C1260" s="83" t="s">
        <v>6880</v>
      </c>
      <c r="D1260" s="83" t="s">
        <v>6879</v>
      </c>
    </row>
    <row r="1261" spans="1:4">
      <c r="A1261" s="83" t="s">
        <v>6877</v>
      </c>
      <c r="B1261" s="83" t="s">
        <v>5015</v>
      </c>
      <c r="C1261" s="83" t="s">
        <v>6881</v>
      </c>
      <c r="D1261" s="83" t="s">
        <v>6879</v>
      </c>
    </row>
    <row r="1262" spans="1:4">
      <c r="A1262" s="83" t="s">
        <v>6877</v>
      </c>
      <c r="B1262" s="83" t="s">
        <v>5010</v>
      </c>
      <c r="C1262" s="83" t="s">
        <v>6882</v>
      </c>
      <c r="D1262" s="83" t="s">
        <v>6879</v>
      </c>
    </row>
    <row r="1263" spans="1:4">
      <c r="A1263" s="83" t="s">
        <v>6883</v>
      </c>
      <c r="B1263" s="83" t="s">
        <v>5017</v>
      </c>
      <c r="C1263" s="83" t="s">
        <v>6884</v>
      </c>
      <c r="D1263" s="83" t="s">
        <v>6885</v>
      </c>
    </row>
    <row r="1264" spans="1:4">
      <c r="A1264" s="83" t="s">
        <v>6883</v>
      </c>
      <c r="B1264" s="83" t="s">
        <v>5012</v>
      </c>
      <c r="C1264" s="83" t="s">
        <v>6886</v>
      </c>
      <c r="D1264" s="83" t="s">
        <v>6885</v>
      </c>
    </row>
    <row r="1265" spans="1:4">
      <c r="A1265" s="83" t="s">
        <v>6883</v>
      </c>
      <c r="B1265" s="83" t="s">
        <v>5015</v>
      </c>
      <c r="C1265" s="83" t="s">
        <v>6887</v>
      </c>
      <c r="D1265" s="83" t="s">
        <v>6885</v>
      </c>
    </row>
    <row r="1266" spans="1:4">
      <c r="A1266" s="83" t="s">
        <v>6883</v>
      </c>
      <c r="B1266" s="83" t="s">
        <v>5010</v>
      </c>
      <c r="C1266" s="83" t="s">
        <v>6888</v>
      </c>
      <c r="D1266" s="83" t="s">
        <v>6885</v>
      </c>
    </row>
    <row r="1267" spans="1:4">
      <c r="A1267" s="83" t="s">
        <v>6889</v>
      </c>
      <c r="B1267" s="83" t="s">
        <v>5017</v>
      </c>
      <c r="C1267" s="83" t="s">
        <v>6884</v>
      </c>
      <c r="D1267" s="83" t="s">
        <v>6890</v>
      </c>
    </row>
    <row r="1268" spans="1:4">
      <c r="A1268" s="83" t="s">
        <v>6889</v>
      </c>
      <c r="B1268" s="83" t="s">
        <v>5012</v>
      </c>
      <c r="C1268" s="83" t="s">
        <v>6891</v>
      </c>
      <c r="D1268" s="83" t="s">
        <v>6890</v>
      </c>
    </row>
    <row r="1269" spans="1:4">
      <c r="A1269" s="83" t="s">
        <v>6889</v>
      </c>
      <c r="B1269" s="83" t="s">
        <v>5015</v>
      </c>
      <c r="C1269" s="83" t="s">
        <v>6892</v>
      </c>
      <c r="D1269" s="83" t="s">
        <v>6890</v>
      </c>
    </row>
    <row r="1270" spans="1:4">
      <c r="A1270" s="83" t="s">
        <v>6889</v>
      </c>
      <c r="B1270" s="83" t="s">
        <v>5010</v>
      </c>
      <c r="C1270" s="83" t="s">
        <v>6893</v>
      </c>
      <c r="D1270" s="83" t="s">
        <v>6890</v>
      </c>
    </row>
    <row r="1271" spans="1:4">
      <c r="A1271" s="83" t="s">
        <v>6894</v>
      </c>
      <c r="B1271" s="83" t="s">
        <v>5017</v>
      </c>
      <c r="C1271" s="83" t="s">
        <v>6895</v>
      </c>
      <c r="D1271" s="83" t="s">
        <v>6896</v>
      </c>
    </row>
    <row r="1272" spans="1:4">
      <c r="A1272" s="83" t="s">
        <v>6894</v>
      </c>
      <c r="B1272" s="83" t="s">
        <v>5012</v>
      </c>
      <c r="C1272" s="83" t="s">
        <v>6897</v>
      </c>
      <c r="D1272" s="83" t="s">
        <v>6896</v>
      </c>
    </row>
    <row r="1273" spans="1:4">
      <c r="A1273" s="83" t="s">
        <v>6894</v>
      </c>
      <c r="B1273" s="83" t="s">
        <v>5015</v>
      </c>
      <c r="C1273" s="83" t="s">
        <v>6898</v>
      </c>
      <c r="D1273" s="83" t="s">
        <v>6896</v>
      </c>
    </row>
    <row r="1274" spans="1:4">
      <c r="A1274" s="83" t="s">
        <v>6894</v>
      </c>
      <c r="B1274" s="83" t="s">
        <v>5010</v>
      </c>
      <c r="C1274" s="83" t="s">
        <v>6899</v>
      </c>
      <c r="D1274" s="83" t="s">
        <v>6896</v>
      </c>
    </row>
    <row r="1275" spans="1:4">
      <c r="A1275" s="83" t="s">
        <v>6900</v>
      </c>
      <c r="B1275" s="83" t="s">
        <v>5017</v>
      </c>
      <c r="C1275" s="83" t="s">
        <v>6901</v>
      </c>
      <c r="D1275" s="83" t="s">
        <v>6902</v>
      </c>
    </row>
    <row r="1276" spans="1:4">
      <c r="A1276" s="83" t="s">
        <v>6900</v>
      </c>
      <c r="B1276" s="83" t="s">
        <v>5012</v>
      </c>
      <c r="C1276" s="83" t="s">
        <v>6903</v>
      </c>
      <c r="D1276" s="83" t="s">
        <v>6902</v>
      </c>
    </row>
    <row r="1277" spans="1:4">
      <c r="A1277" s="83" t="s">
        <v>6900</v>
      </c>
      <c r="B1277" s="83" t="s">
        <v>5015</v>
      </c>
      <c r="C1277" s="83" t="s">
        <v>6904</v>
      </c>
      <c r="D1277" s="83" t="s">
        <v>6902</v>
      </c>
    </row>
    <row r="1278" spans="1:4">
      <c r="A1278" s="83" t="s">
        <v>6900</v>
      </c>
      <c r="B1278" s="83" t="s">
        <v>5010</v>
      </c>
      <c r="C1278" s="83" t="s">
        <v>6905</v>
      </c>
      <c r="D1278" s="83" t="s">
        <v>6902</v>
      </c>
    </row>
    <row r="1279" spans="1:4">
      <c r="A1279" s="83" t="s">
        <v>6906</v>
      </c>
      <c r="B1279" s="83" t="s">
        <v>5017</v>
      </c>
      <c r="C1279" s="83" t="s">
        <v>6907</v>
      </c>
      <c r="D1279" s="83" t="s">
        <v>6908</v>
      </c>
    </row>
    <row r="1280" spans="1:4">
      <c r="A1280" s="83" t="s">
        <v>6906</v>
      </c>
      <c r="B1280" s="83" t="s">
        <v>5012</v>
      </c>
      <c r="C1280" s="83" t="s">
        <v>6909</v>
      </c>
      <c r="D1280" s="83" t="s">
        <v>6908</v>
      </c>
    </row>
    <row r="1281" spans="1:4">
      <c r="A1281" s="83" t="s">
        <v>6906</v>
      </c>
      <c r="B1281" s="83" t="s">
        <v>5015</v>
      </c>
      <c r="C1281" s="83" t="s">
        <v>6910</v>
      </c>
      <c r="D1281" s="83" t="s">
        <v>6908</v>
      </c>
    </row>
    <row r="1282" spans="1:4">
      <c r="A1282" s="83" t="s">
        <v>6906</v>
      </c>
      <c r="B1282" s="83" t="s">
        <v>5010</v>
      </c>
      <c r="C1282" s="83" t="s">
        <v>6911</v>
      </c>
      <c r="D1282" s="83" t="s">
        <v>6908</v>
      </c>
    </row>
    <row r="1283" spans="1:4">
      <c r="A1283" s="83" t="s">
        <v>6912</v>
      </c>
      <c r="B1283" s="83" t="s">
        <v>5017</v>
      </c>
      <c r="C1283" s="83" t="s">
        <v>6913</v>
      </c>
      <c r="D1283" s="83" t="s">
        <v>6914</v>
      </c>
    </row>
    <row r="1284" spans="1:4">
      <c r="A1284" s="83" t="s">
        <v>6912</v>
      </c>
      <c r="B1284" s="83" t="s">
        <v>5012</v>
      </c>
      <c r="C1284" s="83" t="s">
        <v>6915</v>
      </c>
      <c r="D1284" s="83" t="s">
        <v>6914</v>
      </c>
    </row>
    <row r="1285" spans="1:4">
      <c r="A1285" s="83" t="s">
        <v>6912</v>
      </c>
      <c r="B1285" s="83" t="s">
        <v>5015</v>
      </c>
      <c r="C1285" s="83" t="s">
        <v>6916</v>
      </c>
      <c r="D1285" s="83" t="s">
        <v>6914</v>
      </c>
    </row>
    <row r="1286" spans="1:4">
      <c r="A1286" s="83" t="s">
        <v>6912</v>
      </c>
      <c r="B1286" s="83" t="s">
        <v>5010</v>
      </c>
      <c r="C1286" s="83" t="s">
        <v>6917</v>
      </c>
      <c r="D1286" s="83" t="s">
        <v>6914</v>
      </c>
    </row>
    <row r="1287" spans="1:4">
      <c r="A1287" s="83" t="s">
        <v>6918</v>
      </c>
      <c r="B1287" s="83" t="s">
        <v>5017</v>
      </c>
      <c r="C1287" s="83" t="s">
        <v>6919</v>
      </c>
      <c r="D1287" s="83" t="s">
        <v>6920</v>
      </c>
    </row>
    <row r="1288" spans="1:4">
      <c r="A1288" s="83" t="s">
        <v>6918</v>
      </c>
      <c r="B1288" s="83" t="s">
        <v>5012</v>
      </c>
      <c r="C1288" s="83" t="s">
        <v>6921</v>
      </c>
      <c r="D1288" s="83" t="s">
        <v>6920</v>
      </c>
    </row>
    <row r="1289" spans="1:4">
      <c r="A1289" s="83" t="s">
        <v>6918</v>
      </c>
      <c r="B1289" s="83" t="s">
        <v>5015</v>
      </c>
      <c r="C1289" s="83" t="s">
        <v>6922</v>
      </c>
      <c r="D1289" s="83" t="s">
        <v>6920</v>
      </c>
    </row>
    <row r="1290" spans="1:4">
      <c r="A1290" s="83" t="s">
        <v>6918</v>
      </c>
      <c r="B1290" s="83" t="s">
        <v>5010</v>
      </c>
      <c r="C1290" s="83" t="s">
        <v>6923</v>
      </c>
      <c r="D1290" s="83" t="s">
        <v>6920</v>
      </c>
    </row>
    <row r="1291" spans="1:4">
      <c r="A1291" s="83" t="s">
        <v>6924</v>
      </c>
      <c r="B1291" s="83" t="s">
        <v>5017</v>
      </c>
      <c r="C1291" s="83" t="s">
        <v>6925</v>
      </c>
      <c r="D1291" s="83" t="s">
        <v>6926</v>
      </c>
    </row>
    <row r="1292" spans="1:4">
      <c r="A1292" s="83" t="s">
        <v>6924</v>
      </c>
      <c r="B1292" s="83" t="s">
        <v>5012</v>
      </c>
      <c r="C1292" s="83" t="s">
        <v>6927</v>
      </c>
      <c r="D1292" s="83" t="s">
        <v>6926</v>
      </c>
    </row>
    <row r="1293" spans="1:4">
      <c r="A1293" s="83" t="s">
        <v>6924</v>
      </c>
      <c r="B1293" s="83" t="s">
        <v>5015</v>
      </c>
      <c r="C1293" s="83" t="s">
        <v>6928</v>
      </c>
      <c r="D1293" s="83" t="s">
        <v>6926</v>
      </c>
    </row>
    <row r="1294" spans="1:4">
      <c r="A1294" s="83" t="s">
        <v>6924</v>
      </c>
      <c r="B1294" s="83" t="s">
        <v>5010</v>
      </c>
      <c r="C1294" s="83" t="s">
        <v>6929</v>
      </c>
      <c r="D1294" s="83" t="s">
        <v>6926</v>
      </c>
    </row>
    <row r="1295" spans="1:4">
      <c r="A1295" s="83" t="s">
        <v>6930</v>
      </c>
      <c r="B1295" s="83" t="s">
        <v>5017</v>
      </c>
      <c r="C1295" s="83" t="s">
        <v>6931</v>
      </c>
      <c r="D1295" s="83" t="s">
        <v>6932</v>
      </c>
    </row>
    <row r="1296" spans="1:4">
      <c r="A1296" s="83" t="s">
        <v>6930</v>
      </c>
      <c r="B1296" s="83" t="s">
        <v>5012</v>
      </c>
      <c r="C1296" s="83" t="s">
        <v>6933</v>
      </c>
      <c r="D1296" s="83" t="s">
        <v>6932</v>
      </c>
    </row>
    <row r="1297" spans="1:4">
      <c r="A1297" s="83" t="s">
        <v>6930</v>
      </c>
      <c r="B1297" s="83" t="s">
        <v>5015</v>
      </c>
      <c r="C1297" s="83" t="s">
        <v>6934</v>
      </c>
      <c r="D1297" s="83" t="s">
        <v>6932</v>
      </c>
    </row>
    <row r="1298" spans="1:4">
      <c r="A1298" s="83" t="s">
        <v>6930</v>
      </c>
      <c r="B1298" s="83" t="s">
        <v>5010</v>
      </c>
      <c r="C1298" s="83" t="s">
        <v>6935</v>
      </c>
      <c r="D1298" s="83" t="s">
        <v>6932</v>
      </c>
    </row>
    <row r="1299" spans="1:4">
      <c r="A1299" s="83" t="s">
        <v>6936</v>
      </c>
      <c r="B1299" s="83" t="s">
        <v>5017</v>
      </c>
      <c r="C1299" s="83" t="s">
        <v>6937</v>
      </c>
      <c r="D1299" s="83" t="s">
        <v>6938</v>
      </c>
    </row>
    <row r="1300" spans="1:4">
      <c r="A1300" s="83" t="s">
        <v>6936</v>
      </c>
      <c r="B1300" s="83" t="s">
        <v>5012</v>
      </c>
      <c r="C1300" s="83" t="s">
        <v>6939</v>
      </c>
      <c r="D1300" s="83" t="s">
        <v>6938</v>
      </c>
    </row>
    <row r="1301" spans="1:4">
      <c r="A1301" s="83" t="s">
        <v>6936</v>
      </c>
      <c r="B1301" s="83" t="s">
        <v>5015</v>
      </c>
      <c r="C1301" s="83" t="s">
        <v>6940</v>
      </c>
      <c r="D1301" s="83" t="s">
        <v>6938</v>
      </c>
    </row>
    <row r="1302" spans="1:4">
      <c r="A1302" s="83" t="s">
        <v>6936</v>
      </c>
      <c r="B1302" s="83" t="s">
        <v>5010</v>
      </c>
      <c r="C1302" s="83" t="s">
        <v>6941</v>
      </c>
      <c r="D1302" s="83" t="s">
        <v>6938</v>
      </c>
    </row>
    <row r="1303" spans="1:4">
      <c r="A1303" s="83" t="s">
        <v>6942</v>
      </c>
      <c r="B1303" s="83" t="s">
        <v>5017</v>
      </c>
      <c r="C1303" s="83" t="s">
        <v>6943</v>
      </c>
      <c r="D1303" s="83" t="s">
        <v>6944</v>
      </c>
    </row>
    <row r="1304" spans="1:4">
      <c r="A1304" s="83" t="s">
        <v>6942</v>
      </c>
      <c r="B1304" s="83" t="s">
        <v>5012</v>
      </c>
      <c r="C1304" s="83" t="s">
        <v>6945</v>
      </c>
      <c r="D1304" s="83" t="s">
        <v>6944</v>
      </c>
    </row>
    <row r="1305" spans="1:4">
      <c r="A1305" s="83" t="s">
        <v>6942</v>
      </c>
      <c r="B1305" s="83" t="s">
        <v>5015</v>
      </c>
      <c r="C1305" s="83" t="s">
        <v>6946</v>
      </c>
      <c r="D1305" s="83" t="s">
        <v>6944</v>
      </c>
    </row>
    <row r="1306" spans="1:4">
      <c r="A1306" s="83" t="s">
        <v>6942</v>
      </c>
      <c r="B1306" s="83" t="s">
        <v>5010</v>
      </c>
      <c r="C1306" s="83" t="s">
        <v>6947</v>
      </c>
      <c r="D1306" s="83" t="s">
        <v>6944</v>
      </c>
    </row>
    <row r="1307" spans="1:4">
      <c r="A1307" s="83" t="s">
        <v>6948</v>
      </c>
      <c r="B1307" s="83" t="s">
        <v>5017</v>
      </c>
      <c r="C1307" s="83" t="s">
        <v>6949</v>
      </c>
      <c r="D1307" s="83" t="s">
        <v>6950</v>
      </c>
    </row>
    <row r="1308" spans="1:4">
      <c r="A1308" s="83" t="s">
        <v>6948</v>
      </c>
      <c r="B1308" s="83" t="s">
        <v>5012</v>
      </c>
      <c r="C1308" s="83" t="s">
        <v>6951</v>
      </c>
      <c r="D1308" s="83" t="s">
        <v>6950</v>
      </c>
    </row>
    <row r="1309" spans="1:4">
      <c r="A1309" s="83" t="s">
        <v>6948</v>
      </c>
      <c r="B1309" s="83" t="s">
        <v>5015</v>
      </c>
      <c r="C1309" s="83" t="s">
        <v>6952</v>
      </c>
      <c r="D1309" s="83" t="s">
        <v>6950</v>
      </c>
    </row>
    <row r="1310" spans="1:4">
      <c r="A1310" s="83" t="s">
        <v>6948</v>
      </c>
      <c r="B1310" s="83" t="s">
        <v>5010</v>
      </c>
      <c r="C1310" s="83" t="s">
        <v>6953</v>
      </c>
      <c r="D1310" s="83" t="s">
        <v>6950</v>
      </c>
    </row>
    <row r="1311" spans="1:4">
      <c r="A1311" s="83" t="s">
        <v>6954</v>
      </c>
      <c r="B1311" s="83" t="s">
        <v>5017</v>
      </c>
      <c r="C1311" s="83" t="s">
        <v>6955</v>
      </c>
      <c r="D1311" s="83" t="s">
        <v>6956</v>
      </c>
    </row>
    <row r="1312" spans="1:4">
      <c r="A1312" s="83" t="s">
        <v>6954</v>
      </c>
      <c r="B1312" s="83" t="s">
        <v>5012</v>
      </c>
      <c r="C1312" s="83" t="s">
        <v>6957</v>
      </c>
      <c r="D1312" s="83" t="s">
        <v>6956</v>
      </c>
    </row>
    <row r="1313" spans="1:4">
      <c r="A1313" s="83" t="s">
        <v>6954</v>
      </c>
      <c r="B1313" s="83" t="s">
        <v>5015</v>
      </c>
      <c r="C1313" s="83" t="s">
        <v>6958</v>
      </c>
      <c r="D1313" s="83" t="s">
        <v>6956</v>
      </c>
    </row>
    <row r="1314" spans="1:4">
      <c r="A1314" s="83" t="s">
        <v>6954</v>
      </c>
      <c r="B1314" s="83" t="s">
        <v>5010</v>
      </c>
      <c r="C1314" s="83" t="s">
        <v>6959</v>
      </c>
      <c r="D1314" s="83" t="s">
        <v>6956</v>
      </c>
    </row>
    <row r="1315" spans="1:4">
      <c r="A1315" s="83" t="s">
        <v>6960</v>
      </c>
      <c r="B1315" s="83" t="s">
        <v>5017</v>
      </c>
      <c r="C1315" s="83" t="s">
        <v>6961</v>
      </c>
      <c r="D1315" s="83" t="s">
        <v>6962</v>
      </c>
    </row>
    <row r="1316" spans="1:4">
      <c r="A1316" s="83" t="s">
        <v>6960</v>
      </c>
      <c r="B1316" s="83" t="s">
        <v>5012</v>
      </c>
      <c r="C1316" s="83" t="s">
        <v>6963</v>
      </c>
      <c r="D1316" s="83" t="s">
        <v>6962</v>
      </c>
    </row>
    <row r="1317" spans="1:4">
      <c r="A1317" s="83" t="s">
        <v>6960</v>
      </c>
      <c r="B1317" s="83" t="s">
        <v>5015</v>
      </c>
      <c r="C1317" s="83" t="s">
        <v>6964</v>
      </c>
      <c r="D1317" s="83" t="s">
        <v>6962</v>
      </c>
    </row>
    <row r="1318" spans="1:4">
      <c r="A1318" s="83" t="s">
        <v>6960</v>
      </c>
      <c r="B1318" s="83" t="s">
        <v>5010</v>
      </c>
      <c r="C1318" s="83" t="s">
        <v>6965</v>
      </c>
      <c r="D1318" s="83" t="s">
        <v>6962</v>
      </c>
    </row>
    <row r="1319" spans="1:4">
      <c r="A1319" s="83" t="s">
        <v>6966</v>
      </c>
      <c r="B1319" s="83" t="s">
        <v>5017</v>
      </c>
      <c r="C1319" s="83" t="s">
        <v>6967</v>
      </c>
      <c r="D1319" s="83" t="s">
        <v>6968</v>
      </c>
    </row>
    <row r="1320" spans="1:4">
      <c r="A1320" s="83" t="s">
        <v>6966</v>
      </c>
      <c r="B1320" s="83" t="s">
        <v>5012</v>
      </c>
      <c r="C1320" s="83" t="s">
        <v>6969</v>
      </c>
      <c r="D1320" s="83" t="s">
        <v>6968</v>
      </c>
    </row>
    <row r="1321" spans="1:4">
      <c r="A1321" s="83" t="s">
        <v>6966</v>
      </c>
      <c r="B1321" s="83" t="s">
        <v>5015</v>
      </c>
      <c r="C1321" s="83" t="s">
        <v>6970</v>
      </c>
      <c r="D1321" s="83" t="s">
        <v>6968</v>
      </c>
    </row>
    <row r="1322" spans="1:4">
      <c r="A1322" s="83" t="s">
        <v>6966</v>
      </c>
      <c r="B1322" s="83" t="s">
        <v>5010</v>
      </c>
      <c r="C1322" s="83" t="s">
        <v>6971</v>
      </c>
      <c r="D1322" s="83" t="s">
        <v>6968</v>
      </c>
    </row>
    <row r="1323" spans="1:4">
      <c r="A1323" s="83" t="s">
        <v>6972</v>
      </c>
      <c r="B1323" s="83" t="s">
        <v>5017</v>
      </c>
      <c r="C1323" s="83" t="s">
        <v>6973</v>
      </c>
      <c r="D1323" s="83" t="s">
        <v>6974</v>
      </c>
    </row>
    <row r="1324" spans="1:4">
      <c r="A1324" s="83" t="s">
        <v>6972</v>
      </c>
      <c r="B1324" s="83" t="s">
        <v>5012</v>
      </c>
      <c r="C1324" s="83" t="s">
        <v>6975</v>
      </c>
      <c r="D1324" s="83" t="s">
        <v>6974</v>
      </c>
    </row>
    <row r="1325" spans="1:4">
      <c r="A1325" s="83" t="s">
        <v>6972</v>
      </c>
      <c r="B1325" s="83" t="s">
        <v>5015</v>
      </c>
      <c r="C1325" s="83" t="s">
        <v>6976</v>
      </c>
      <c r="D1325" s="83" t="s">
        <v>6974</v>
      </c>
    </row>
    <row r="1326" spans="1:4">
      <c r="A1326" s="83" t="s">
        <v>6972</v>
      </c>
      <c r="B1326" s="83" t="s">
        <v>5010</v>
      </c>
      <c r="C1326" s="83" t="s">
        <v>6977</v>
      </c>
      <c r="D1326" s="83" t="s">
        <v>6974</v>
      </c>
    </row>
    <row r="1327" spans="1:4">
      <c r="A1327" s="83" t="s">
        <v>6978</v>
      </c>
      <c r="B1327" s="83" t="s">
        <v>5017</v>
      </c>
      <c r="C1327" s="83" t="s">
        <v>6979</v>
      </c>
      <c r="D1327" s="83" t="s">
        <v>6980</v>
      </c>
    </row>
    <row r="1328" spans="1:4">
      <c r="A1328" s="83" t="s">
        <v>6978</v>
      </c>
      <c r="B1328" s="83" t="s">
        <v>5012</v>
      </c>
      <c r="C1328" s="83" t="s">
        <v>6981</v>
      </c>
      <c r="D1328" s="83" t="s">
        <v>6980</v>
      </c>
    </row>
    <row r="1329" spans="1:4">
      <c r="A1329" s="83" t="s">
        <v>6978</v>
      </c>
      <c r="B1329" s="83" t="s">
        <v>5015</v>
      </c>
      <c r="C1329" s="83" t="s">
        <v>6982</v>
      </c>
      <c r="D1329" s="83" t="s">
        <v>6980</v>
      </c>
    </row>
    <row r="1330" spans="1:4">
      <c r="A1330" s="83" t="s">
        <v>6978</v>
      </c>
      <c r="B1330" s="83" t="s">
        <v>5010</v>
      </c>
      <c r="C1330" s="83" t="s">
        <v>6983</v>
      </c>
      <c r="D1330" s="83" t="s">
        <v>6980</v>
      </c>
    </row>
    <row r="1331" spans="1:4">
      <c r="A1331" s="83" t="s">
        <v>6984</v>
      </c>
      <c r="B1331" s="83" t="s">
        <v>5017</v>
      </c>
      <c r="C1331" s="83" t="s">
        <v>6985</v>
      </c>
      <c r="D1331" s="83" t="s">
        <v>6986</v>
      </c>
    </row>
    <row r="1332" spans="1:4">
      <c r="A1332" s="83" t="s">
        <v>6984</v>
      </c>
      <c r="B1332" s="83" t="s">
        <v>5012</v>
      </c>
      <c r="C1332" s="83" t="s">
        <v>6987</v>
      </c>
      <c r="D1332" s="83" t="s">
        <v>6986</v>
      </c>
    </row>
    <row r="1333" spans="1:4">
      <c r="A1333" s="83" t="s">
        <v>6984</v>
      </c>
      <c r="B1333" s="83" t="s">
        <v>5015</v>
      </c>
      <c r="C1333" s="83" t="s">
        <v>6988</v>
      </c>
      <c r="D1333" s="83" t="s">
        <v>6986</v>
      </c>
    </row>
    <row r="1334" spans="1:4">
      <c r="A1334" s="83" t="s">
        <v>6984</v>
      </c>
      <c r="B1334" s="83" t="s">
        <v>5010</v>
      </c>
      <c r="C1334" s="83" t="s">
        <v>6989</v>
      </c>
      <c r="D1334" s="83" t="s">
        <v>6986</v>
      </c>
    </row>
    <row r="1335" spans="1:4">
      <c r="A1335" s="83" t="s">
        <v>6990</v>
      </c>
      <c r="B1335" s="83" t="s">
        <v>5017</v>
      </c>
      <c r="C1335" s="83" t="s">
        <v>6991</v>
      </c>
      <c r="D1335" s="83" t="s">
        <v>6992</v>
      </c>
    </row>
    <row r="1336" spans="1:4">
      <c r="A1336" s="83" t="s">
        <v>6990</v>
      </c>
      <c r="B1336" s="83" t="s">
        <v>5012</v>
      </c>
      <c r="C1336" s="83" t="s">
        <v>6993</v>
      </c>
      <c r="D1336" s="83" t="s">
        <v>6992</v>
      </c>
    </row>
    <row r="1337" spans="1:4">
      <c r="A1337" s="83" t="s">
        <v>6990</v>
      </c>
      <c r="B1337" s="83" t="s">
        <v>5015</v>
      </c>
      <c r="C1337" s="83" t="s">
        <v>6994</v>
      </c>
      <c r="D1337" s="83" t="s">
        <v>6992</v>
      </c>
    </row>
    <row r="1338" spans="1:4">
      <c r="A1338" s="83" t="s">
        <v>6990</v>
      </c>
      <c r="B1338" s="83" t="s">
        <v>5010</v>
      </c>
      <c r="C1338" s="83" t="s">
        <v>6995</v>
      </c>
      <c r="D1338" s="83" t="s">
        <v>6992</v>
      </c>
    </row>
    <row r="1339" spans="1:4">
      <c r="A1339" s="83" t="s">
        <v>6996</v>
      </c>
      <c r="B1339" s="83" t="s">
        <v>5017</v>
      </c>
      <c r="C1339" s="83" t="s">
        <v>6997</v>
      </c>
      <c r="D1339" s="83" t="s">
        <v>6998</v>
      </c>
    </row>
    <row r="1340" spans="1:4">
      <c r="A1340" s="83" t="s">
        <v>6996</v>
      </c>
      <c r="B1340" s="83" t="s">
        <v>5012</v>
      </c>
      <c r="C1340" s="83" t="s">
        <v>6999</v>
      </c>
      <c r="D1340" s="83" t="s">
        <v>6998</v>
      </c>
    </row>
    <row r="1341" spans="1:4">
      <c r="A1341" s="83" t="s">
        <v>6996</v>
      </c>
      <c r="B1341" s="83" t="s">
        <v>5015</v>
      </c>
      <c r="C1341" s="83" t="s">
        <v>7000</v>
      </c>
      <c r="D1341" s="83" t="s">
        <v>6998</v>
      </c>
    </row>
    <row r="1342" spans="1:4">
      <c r="A1342" s="83" t="s">
        <v>6996</v>
      </c>
      <c r="B1342" s="83" t="s">
        <v>5010</v>
      </c>
      <c r="C1342" s="83" t="s">
        <v>7001</v>
      </c>
      <c r="D1342" s="83" t="s">
        <v>6998</v>
      </c>
    </row>
    <row r="1343" spans="1:4">
      <c r="A1343" s="83" t="s">
        <v>7002</v>
      </c>
      <c r="B1343" s="83" t="s">
        <v>5017</v>
      </c>
      <c r="C1343" s="83" t="s">
        <v>7003</v>
      </c>
      <c r="D1343" s="83" t="s">
        <v>7004</v>
      </c>
    </row>
    <row r="1344" spans="1:4">
      <c r="A1344" s="83" t="s">
        <v>7002</v>
      </c>
      <c r="B1344" s="83" t="s">
        <v>5012</v>
      </c>
      <c r="C1344" s="83" t="s">
        <v>7005</v>
      </c>
      <c r="D1344" s="83" t="s">
        <v>7004</v>
      </c>
    </row>
    <row r="1345" spans="1:4">
      <c r="A1345" s="83" t="s">
        <v>7002</v>
      </c>
      <c r="B1345" s="83" t="s">
        <v>5015</v>
      </c>
      <c r="C1345" s="83" t="s">
        <v>7006</v>
      </c>
      <c r="D1345" s="83" t="s">
        <v>7004</v>
      </c>
    </row>
    <row r="1346" spans="1:4">
      <c r="A1346" s="83" t="s">
        <v>7002</v>
      </c>
      <c r="B1346" s="83" t="s">
        <v>5010</v>
      </c>
      <c r="C1346" s="83" t="s">
        <v>7007</v>
      </c>
      <c r="D1346" s="83" t="s">
        <v>7004</v>
      </c>
    </row>
    <row r="1347" spans="1:4">
      <c r="A1347" s="83" t="s">
        <v>7008</v>
      </c>
      <c r="B1347" s="83" t="s">
        <v>5017</v>
      </c>
      <c r="C1347" s="83" t="s">
        <v>7009</v>
      </c>
      <c r="D1347" s="83" t="s">
        <v>7010</v>
      </c>
    </row>
    <row r="1348" spans="1:4">
      <c r="A1348" s="83" t="s">
        <v>7008</v>
      </c>
      <c r="B1348" s="83" t="s">
        <v>5012</v>
      </c>
      <c r="C1348" s="83" t="s">
        <v>7011</v>
      </c>
      <c r="D1348" s="83" t="s">
        <v>7010</v>
      </c>
    </row>
    <row r="1349" spans="1:4">
      <c r="A1349" s="83" t="s">
        <v>7008</v>
      </c>
      <c r="B1349" s="83" t="s">
        <v>5015</v>
      </c>
      <c r="C1349" s="83" t="s">
        <v>7012</v>
      </c>
      <c r="D1349" s="83" t="s">
        <v>7010</v>
      </c>
    </row>
    <row r="1350" spans="1:4">
      <c r="A1350" s="83" t="s">
        <v>7008</v>
      </c>
      <c r="B1350" s="83" t="s">
        <v>5010</v>
      </c>
      <c r="C1350" s="83" t="s">
        <v>7013</v>
      </c>
      <c r="D1350" s="83" t="s">
        <v>7010</v>
      </c>
    </row>
    <row r="1351" spans="1:4">
      <c r="A1351" s="83" t="s">
        <v>7014</v>
      </c>
      <c r="B1351" s="83" t="s">
        <v>5017</v>
      </c>
      <c r="C1351" s="83" t="s">
        <v>7015</v>
      </c>
      <c r="D1351" s="83" t="s">
        <v>7016</v>
      </c>
    </row>
    <row r="1352" spans="1:4">
      <c r="A1352" s="83" t="s">
        <v>7014</v>
      </c>
      <c r="B1352" s="83" t="s">
        <v>5012</v>
      </c>
      <c r="C1352" s="83" t="s">
        <v>7017</v>
      </c>
      <c r="D1352" s="83" t="s">
        <v>7016</v>
      </c>
    </row>
    <row r="1353" spans="1:4">
      <c r="A1353" s="83" t="s">
        <v>7014</v>
      </c>
      <c r="B1353" s="83" t="s">
        <v>5015</v>
      </c>
      <c r="C1353" s="83" t="s">
        <v>7018</v>
      </c>
      <c r="D1353" s="83" t="s">
        <v>7016</v>
      </c>
    </row>
    <row r="1354" spans="1:4">
      <c r="A1354" s="83" t="s">
        <v>7014</v>
      </c>
      <c r="B1354" s="83" t="s">
        <v>5010</v>
      </c>
      <c r="C1354" s="83" t="s">
        <v>7019</v>
      </c>
      <c r="D1354" s="83" t="s">
        <v>7016</v>
      </c>
    </row>
    <row r="1355" spans="1:4">
      <c r="A1355" s="83" t="s">
        <v>7020</v>
      </c>
      <c r="B1355" s="83" t="s">
        <v>5017</v>
      </c>
      <c r="C1355" s="83" t="s">
        <v>7021</v>
      </c>
      <c r="D1355" s="83" t="s">
        <v>7022</v>
      </c>
    </row>
    <row r="1356" spans="1:4">
      <c r="A1356" s="83" t="s">
        <v>7020</v>
      </c>
      <c r="B1356" s="83" t="s">
        <v>5012</v>
      </c>
      <c r="C1356" s="83" t="s">
        <v>7023</v>
      </c>
      <c r="D1356" s="83" t="s">
        <v>7022</v>
      </c>
    </row>
    <row r="1357" spans="1:4">
      <c r="A1357" s="83" t="s">
        <v>7020</v>
      </c>
      <c r="B1357" s="83" t="s">
        <v>5015</v>
      </c>
      <c r="C1357" s="83" t="s">
        <v>7024</v>
      </c>
      <c r="D1357" s="83" t="s">
        <v>7022</v>
      </c>
    </row>
    <row r="1358" spans="1:4">
      <c r="A1358" s="83" t="s">
        <v>7020</v>
      </c>
      <c r="B1358" s="83" t="s">
        <v>5010</v>
      </c>
      <c r="C1358" s="83" t="s">
        <v>7025</v>
      </c>
      <c r="D1358" s="83" t="s">
        <v>7022</v>
      </c>
    </row>
    <row r="1359" spans="1:4">
      <c r="A1359" s="83" t="s">
        <v>7026</v>
      </c>
      <c r="B1359" s="83" t="s">
        <v>5017</v>
      </c>
      <c r="C1359" s="83" t="s">
        <v>7027</v>
      </c>
      <c r="D1359" s="83" t="s">
        <v>7028</v>
      </c>
    </row>
    <row r="1360" spans="1:4">
      <c r="A1360" s="83" t="s">
        <v>7026</v>
      </c>
      <c r="B1360" s="83" t="s">
        <v>5012</v>
      </c>
      <c r="C1360" s="83" t="s">
        <v>7029</v>
      </c>
      <c r="D1360" s="83" t="s">
        <v>7028</v>
      </c>
    </row>
    <row r="1361" spans="1:4">
      <c r="A1361" s="83" t="s">
        <v>7026</v>
      </c>
      <c r="B1361" s="83" t="s">
        <v>5015</v>
      </c>
      <c r="C1361" s="83" t="s">
        <v>7030</v>
      </c>
      <c r="D1361" s="83" t="s">
        <v>7028</v>
      </c>
    </row>
    <row r="1362" spans="1:4">
      <c r="A1362" s="83" t="s">
        <v>7026</v>
      </c>
      <c r="B1362" s="83" t="s">
        <v>5010</v>
      </c>
      <c r="C1362" s="83" t="s">
        <v>7031</v>
      </c>
      <c r="D1362" s="83" t="s">
        <v>7028</v>
      </c>
    </row>
    <row r="1363" spans="1:4">
      <c r="A1363" s="83" t="s">
        <v>7032</v>
      </c>
      <c r="B1363" s="83" t="s">
        <v>5017</v>
      </c>
      <c r="C1363" s="83" t="s">
        <v>7033</v>
      </c>
      <c r="D1363" s="83" t="s">
        <v>7034</v>
      </c>
    </row>
    <row r="1364" spans="1:4">
      <c r="A1364" s="83" t="s">
        <v>7032</v>
      </c>
      <c r="B1364" s="83" t="s">
        <v>5012</v>
      </c>
      <c r="C1364" s="83" t="s">
        <v>7035</v>
      </c>
      <c r="D1364" s="83" t="s">
        <v>7034</v>
      </c>
    </row>
    <row r="1365" spans="1:4">
      <c r="A1365" s="83" t="s">
        <v>7032</v>
      </c>
      <c r="B1365" s="83" t="s">
        <v>5015</v>
      </c>
      <c r="C1365" s="83" t="s">
        <v>7036</v>
      </c>
      <c r="D1365" s="83" t="s">
        <v>7034</v>
      </c>
    </row>
    <row r="1366" spans="1:4">
      <c r="A1366" s="83" t="s">
        <v>7032</v>
      </c>
      <c r="B1366" s="83" t="s">
        <v>5010</v>
      </c>
      <c r="C1366" s="83" t="s">
        <v>7037</v>
      </c>
      <c r="D1366" s="83" t="s">
        <v>7034</v>
      </c>
    </row>
    <row r="1367" spans="1:4">
      <c r="A1367" s="83" t="s">
        <v>7038</v>
      </c>
      <c r="B1367" s="83" t="s">
        <v>5017</v>
      </c>
      <c r="C1367" s="83" t="s">
        <v>7039</v>
      </c>
      <c r="D1367" s="83" t="s">
        <v>7040</v>
      </c>
    </row>
    <row r="1368" spans="1:4">
      <c r="A1368" s="83" t="s">
        <v>7038</v>
      </c>
      <c r="B1368" s="83" t="s">
        <v>5012</v>
      </c>
      <c r="C1368" s="83" t="s">
        <v>7041</v>
      </c>
      <c r="D1368" s="83" t="s">
        <v>7040</v>
      </c>
    </row>
    <row r="1369" spans="1:4">
      <c r="A1369" s="83" t="s">
        <v>7038</v>
      </c>
      <c r="B1369" s="83" t="s">
        <v>5015</v>
      </c>
      <c r="C1369" s="83" t="s">
        <v>7042</v>
      </c>
      <c r="D1369" s="83" t="s">
        <v>7040</v>
      </c>
    </row>
    <row r="1370" spans="1:4">
      <c r="A1370" s="83" t="s">
        <v>7038</v>
      </c>
      <c r="B1370" s="83" t="s">
        <v>5010</v>
      </c>
      <c r="C1370" s="83" t="s">
        <v>7043</v>
      </c>
      <c r="D1370" s="83" t="s">
        <v>7040</v>
      </c>
    </row>
    <row r="1371" spans="1:4">
      <c r="A1371" s="83" t="s">
        <v>7044</v>
      </c>
      <c r="B1371" s="83" t="s">
        <v>5017</v>
      </c>
      <c r="C1371" s="83" t="s">
        <v>7045</v>
      </c>
      <c r="D1371" s="83" t="s">
        <v>7046</v>
      </c>
    </row>
    <row r="1372" spans="1:4">
      <c r="A1372" s="83" t="s">
        <v>7044</v>
      </c>
      <c r="B1372" s="83" t="s">
        <v>5012</v>
      </c>
      <c r="C1372" s="83" t="s">
        <v>7047</v>
      </c>
      <c r="D1372" s="83" t="s">
        <v>7046</v>
      </c>
    </row>
    <row r="1373" spans="1:4">
      <c r="A1373" s="83" t="s">
        <v>7044</v>
      </c>
      <c r="B1373" s="83" t="s">
        <v>5015</v>
      </c>
      <c r="C1373" s="83" t="s">
        <v>7048</v>
      </c>
      <c r="D1373" s="83" t="s">
        <v>7046</v>
      </c>
    </row>
    <row r="1374" spans="1:4">
      <c r="A1374" s="83" t="s">
        <v>7044</v>
      </c>
      <c r="B1374" s="83" t="s">
        <v>5010</v>
      </c>
      <c r="C1374" s="83" t="s">
        <v>7049</v>
      </c>
      <c r="D1374" s="83" t="s">
        <v>7046</v>
      </c>
    </row>
    <row r="1375" spans="1:4">
      <c r="A1375" s="83" t="s">
        <v>7050</v>
      </c>
      <c r="B1375" s="83" t="s">
        <v>5017</v>
      </c>
      <c r="C1375" s="83" t="s">
        <v>7051</v>
      </c>
      <c r="D1375" s="83" t="s">
        <v>7052</v>
      </c>
    </row>
    <row r="1376" spans="1:4">
      <c r="A1376" s="83" t="s">
        <v>7050</v>
      </c>
      <c r="B1376" s="83" t="s">
        <v>5012</v>
      </c>
      <c r="C1376" s="83" t="s">
        <v>7053</v>
      </c>
      <c r="D1376" s="83" t="s">
        <v>7052</v>
      </c>
    </row>
    <row r="1377" spans="1:4">
      <c r="A1377" s="83" t="s">
        <v>7050</v>
      </c>
      <c r="B1377" s="83" t="s">
        <v>5015</v>
      </c>
      <c r="C1377" s="83" t="s">
        <v>7054</v>
      </c>
      <c r="D1377" s="83" t="s">
        <v>7052</v>
      </c>
    </row>
    <row r="1378" spans="1:4">
      <c r="A1378" s="83" t="s">
        <v>7050</v>
      </c>
      <c r="B1378" s="83" t="s">
        <v>5010</v>
      </c>
      <c r="C1378" s="83" t="s">
        <v>7043</v>
      </c>
      <c r="D1378" s="83" t="s">
        <v>7052</v>
      </c>
    </row>
    <row r="1379" spans="1:4">
      <c r="A1379" s="83" t="s">
        <v>7055</v>
      </c>
      <c r="B1379" s="83" t="s">
        <v>5017</v>
      </c>
      <c r="C1379" s="83" t="s">
        <v>7056</v>
      </c>
      <c r="D1379" s="83" t="s">
        <v>7057</v>
      </c>
    </row>
    <row r="1380" spans="1:4">
      <c r="A1380" s="83" t="s">
        <v>7055</v>
      </c>
      <c r="B1380" s="83" t="s">
        <v>5012</v>
      </c>
      <c r="C1380" s="83" t="s">
        <v>7058</v>
      </c>
      <c r="D1380" s="83" t="s">
        <v>7057</v>
      </c>
    </row>
    <row r="1381" spans="1:4">
      <c r="A1381" s="83" t="s">
        <v>7055</v>
      </c>
      <c r="B1381" s="83" t="s">
        <v>5015</v>
      </c>
      <c r="C1381" s="83" t="s">
        <v>7059</v>
      </c>
      <c r="D1381" s="83" t="s">
        <v>7057</v>
      </c>
    </row>
    <row r="1382" spans="1:4">
      <c r="A1382" s="83" t="s">
        <v>7055</v>
      </c>
      <c r="B1382" s="83" t="s">
        <v>5010</v>
      </c>
      <c r="C1382" s="83" t="s">
        <v>7060</v>
      </c>
      <c r="D1382" s="83" t="s">
        <v>7057</v>
      </c>
    </row>
    <row r="1383" spans="1:4">
      <c r="A1383" s="83" t="s">
        <v>7061</v>
      </c>
      <c r="B1383" s="83" t="s">
        <v>5017</v>
      </c>
      <c r="C1383" s="83" t="s">
        <v>7062</v>
      </c>
      <c r="D1383" s="83" t="s">
        <v>7063</v>
      </c>
    </row>
    <row r="1384" spans="1:4">
      <c r="A1384" s="83" t="s">
        <v>7061</v>
      </c>
      <c r="B1384" s="83" t="s">
        <v>5012</v>
      </c>
      <c r="C1384" s="83" t="s">
        <v>7064</v>
      </c>
      <c r="D1384" s="83" t="s">
        <v>7063</v>
      </c>
    </row>
    <row r="1385" spans="1:4">
      <c r="A1385" s="83" t="s">
        <v>7061</v>
      </c>
      <c r="B1385" s="83" t="s">
        <v>5015</v>
      </c>
      <c r="C1385" s="83" t="s">
        <v>7065</v>
      </c>
      <c r="D1385" s="83" t="s">
        <v>7063</v>
      </c>
    </row>
    <row r="1386" spans="1:4">
      <c r="A1386" s="83" t="s">
        <v>7061</v>
      </c>
      <c r="B1386" s="83" t="s">
        <v>5010</v>
      </c>
      <c r="C1386" s="83" t="s">
        <v>7066</v>
      </c>
      <c r="D1386" s="83" t="s">
        <v>7063</v>
      </c>
    </row>
    <row r="1387" spans="1:4">
      <c r="A1387" s="83" t="s">
        <v>7067</v>
      </c>
      <c r="B1387" s="83" t="s">
        <v>5017</v>
      </c>
      <c r="C1387" s="83" t="s">
        <v>7068</v>
      </c>
      <c r="D1387" s="83" t="s">
        <v>7069</v>
      </c>
    </row>
    <row r="1388" spans="1:4">
      <c r="A1388" s="83" t="s">
        <v>7067</v>
      </c>
      <c r="B1388" s="83" t="s">
        <v>5012</v>
      </c>
      <c r="C1388" s="83" t="s">
        <v>7070</v>
      </c>
      <c r="D1388" s="83" t="s">
        <v>7069</v>
      </c>
    </row>
    <row r="1389" spans="1:4">
      <c r="A1389" s="83" t="s">
        <v>7067</v>
      </c>
      <c r="B1389" s="83" t="s">
        <v>5015</v>
      </c>
      <c r="C1389" s="83" t="s">
        <v>7071</v>
      </c>
      <c r="D1389" s="83" t="s">
        <v>7069</v>
      </c>
    </row>
    <row r="1390" spans="1:4">
      <c r="A1390" s="83" t="s">
        <v>7067</v>
      </c>
      <c r="B1390" s="83" t="s">
        <v>5010</v>
      </c>
      <c r="C1390" s="83" t="s">
        <v>7072</v>
      </c>
      <c r="D1390" s="83" t="s">
        <v>7069</v>
      </c>
    </row>
    <row r="1391" spans="1:4">
      <c r="A1391" s="83" t="s">
        <v>7073</v>
      </c>
      <c r="B1391" s="83" t="s">
        <v>5017</v>
      </c>
      <c r="C1391" s="83" t="s">
        <v>7074</v>
      </c>
      <c r="D1391" s="83" t="s">
        <v>7075</v>
      </c>
    </row>
    <row r="1392" spans="1:4">
      <c r="A1392" s="83" t="s">
        <v>7073</v>
      </c>
      <c r="B1392" s="83" t="s">
        <v>5012</v>
      </c>
      <c r="C1392" s="83" t="s">
        <v>7076</v>
      </c>
      <c r="D1392" s="83" t="s">
        <v>7075</v>
      </c>
    </row>
    <row r="1393" spans="1:4">
      <c r="A1393" s="83" t="s">
        <v>7073</v>
      </c>
      <c r="B1393" s="83" t="s">
        <v>5015</v>
      </c>
      <c r="C1393" s="83" t="s">
        <v>7077</v>
      </c>
      <c r="D1393" s="83" t="s">
        <v>7075</v>
      </c>
    </row>
    <row r="1394" spans="1:4">
      <c r="A1394" s="83" t="s">
        <v>7073</v>
      </c>
      <c r="B1394" s="83" t="s">
        <v>5010</v>
      </c>
      <c r="C1394" s="83" t="s">
        <v>7078</v>
      </c>
      <c r="D1394" s="83" t="s">
        <v>7075</v>
      </c>
    </row>
    <row r="1395" spans="1:4">
      <c r="A1395" s="83" t="s">
        <v>7079</v>
      </c>
      <c r="B1395" s="83" t="s">
        <v>5017</v>
      </c>
      <c r="C1395" s="83" t="s">
        <v>7080</v>
      </c>
      <c r="D1395" s="83" t="s">
        <v>7081</v>
      </c>
    </row>
    <row r="1396" spans="1:4">
      <c r="A1396" s="83" t="s">
        <v>7079</v>
      </c>
      <c r="B1396" s="83" t="s">
        <v>5012</v>
      </c>
      <c r="C1396" s="83" t="s">
        <v>7082</v>
      </c>
      <c r="D1396" s="83" t="s">
        <v>7081</v>
      </c>
    </row>
    <row r="1397" spans="1:4">
      <c r="A1397" s="83" t="s">
        <v>7079</v>
      </c>
      <c r="B1397" s="83" t="s">
        <v>5015</v>
      </c>
      <c r="C1397" s="83" t="s">
        <v>7083</v>
      </c>
      <c r="D1397" s="83" t="s">
        <v>7081</v>
      </c>
    </row>
    <row r="1398" spans="1:4">
      <c r="A1398" s="83" t="s">
        <v>7079</v>
      </c>
      <c r="B1398" s="83" t="s">
        <v>5010</v>
      </c>
      <c r="C1398" s="83" t="s">
        <v>7084</v>
      </c>
      <c r="D1398" s="83" t="s">
        <v>7081</v>
      </c>
    </row>
    <row r="1399" spans="1:4">
      <c r="A1399" s="83" t="s">
        <v>7085</v>
      </c>
      <c r="B1399" s="83" t="s">
        <v>5017</v>
      </c>
      <c r="C1399" s="83" t="s">
        <v>7086</v>
      </c>
      <c r="D1399" s="83" t="s">
        <v>7087</v>
      </c>
    </row>
    <row r="1400" spans="1:4">
      <c r="A1400" s="83" t="s">
        <v>7085</v>
      </c>
      <c r="B1400" s="83" t="s">
        <v>5012</v>
      </c>
      <c r="C1400" s="83" t="s">
        <v>7088</v>
      </c>
      <c r="D1400" s="83" t="s">
        <v>7087</v>
      </c>
    </row>
    <row r="1401" spans="1:4">
      <c r="A1401" s="83" t="s">
        <v>7085</v>
      </c>
      <c r="B1401" s="83" t="s">
        <v>5015</v>
      </c>
      <c r="C1401" s="83" t="s">
        <v>7089</v>
      </c>
      <c r="D1401" s="83" t="s">
        <v>7087</v>
      </c>
    </row>
    <row r="1402" spans="1:4">
      <c r="A1402" s="83" t="s">
        <v>7085</v>
      </c>
      <c r="B1402" s="83" t="s">
        <v>5010</v>
      </c>
      <c r="C1402" s="83" t="s">
        <v>7090</v>
      </c>
      <c r="D1402" s="83" t="s">
        <v>7087</v>
      </c>
    </row>
    <row r="1403" spans="1:4">
      <c r="A1403" s="83" t="s">
        <v>7091</v>
      </c>
      <c r="B1403" s="83" t="s">
        <v>5017</v>
      </c>
      <c r="C1403" s="83" t="s">
        <v>7092</v>
      </c>
      <c r="D1403" s="83" t="s">
        <v>7093</v>
      </c>
    </row>
    <row r="1404" spans="1:4">
      <c r="A1404" s="83" t="s">
        <v>7091</v>
      </c>
      <c r="B1404" s="83" t="s">
        <v>5012</v>
      </c>
      <c r="C1404" s="83" t="s">
        <v>7094</v>
      </c>
      <c r="D1404" s="83" t="s">
        <v>7093</v>
      </c>
    </row>
    <row r="1405" spans="1:4">
      <c r="A1405" s="83" t="s">
        <v>7091</v>
      </c>
      <c r="B1405" s="83" t="s">
        <v>5015</v>
      </c>
      <c r="C1405" s="83" t="s">
        <v>7095</v>
      </c>
      <c r="D1405" s="83" t="s">
        <v>7093</v>
      </c>
    </row>
    <row r="1406" spans="1:4">
      <c r="A1406" s="83" t="s">
        <v>7091</v>
      </c>
      <c r="B1406" s="83" t="s">
        <v>5010</v>
      </c>
      <c r="C1406" s="83" t="s">
        <v>7096</v>
      </c>
      <c r="D1406" s="83" t="s">
        <v>7093</v>
      </c>
    </row>
    <row r="1407" spans="1:4">
      <c r="A1407" s="83" t="s">
        <v>7097</v>
      </c>
      <c r="B1407" s="83" t="s">
        <v>5017</v>
      </c>
      <c r="C1407" s="83" t="s">
        <v>7098</v>
      </c>
      <c r="D1407" s="83" t="s">
        <v>7099</v>
      </c>
    </row>
    <row r="1408" spans="1:4">
      <c r="A1408" s="83" t="s">
        <v>7097</v>
      </c>
      <c r="B1408" s="83" t="s">
        <v>5012</v>
      </c>
      <c r="C1408" s="83" t="s">
        <v>7100</v>
      </c>
      <c r="D1408" s="83" t="s">
        <v>7099</v>
      </c>
    </row>
    <row r="1409" spans="1:4">
      <c r="A1409" s="83" t="s">
        <v>7097</v>
      </c>
      <c r="B1409" s="83" t="s">
        <v>5015</v>
      </c>
      <c r="C1409" s="83" t="s">
        <v>7101</v>
      </c>
      <c r="D1409" s="83" t="s">
        <v>7099</v>
      </c>
    </row>
    <row r="1410" spans="1:4">
      <c r="A1410" s="83" t="s">
        <v>7097</v>
      </c>
      <c r="B1410" s="83" t="s">
        <v>5010</v>
      </c>
      <c r="C1410" s="83" t="s">
        <v>7102</v>
      </c>
      <c r="D1410" s="83" t="s">
        <v>7099</v>
      </c>
    </row>
    <row r="1411" spans="1:4">
      <c r="A1411" s="83" t="s">
        <v>7103</v>
      </c>
      <c r="B1411" s="83" t="s">
        <v>5017</v>
      </c>
      <c r="C1411" s="83" t="s">
        <v>7104</v>
      </c>
      <c r="D1411" s="83" t="s">
        <v>7105</v>
      </c>
    </row>
    <row r="1412" spans="1:4">
      <c r="A1412" s="83" t="s">
        <v>7103</v>
      </c>
      <c r="B1412" s="83" t="s">
        <v>5012</v>
      </c>
      <c r="C1412" s="83" t="s">
        <v>7106</v>
      </c>
      <c r="D1412" s="83" t="s">
        <v>7105</v>
      </c>
    </row>
    <row r="1413" spans="1:4">
      <c r="A1413" s="83" t="s">
        <v>7103</v>
      </c>
      <c r="B1413" s="83" t="s">
        <v>5015</v>
      </c>
      <c r="C1413" s="83" t="s">
        <v>7107</v>
      </c>
      <c r="D1413" s="83" t="s">
        <v>7105</v>
      </c>
    </row>
    <row r="1414" spans="1:4">
      <c r="A1414" s="83" t="s">
        <v>7103</v>
      </c>
      <c r="B1414" s="83" t="s">
        <v>5010</v>
      </c>
      <c r="C1414" s="83" t="s">
        <v>7108</v>
      </c>
      <c r="D1414" s="83" t="s">
        <v>7105</v>
      </c>
    </row>
    <row r="1415" spans="1:4">
      <c r="A1415" s="83" t="s">
        <v>7109</v>
      </c>
      <c r="B1415" s="83" t="s">
        <v>5017</v>
      </c>
      <c r="C1415" s="83" t="s">
        <v>7110</v>
      </c>
      <c r="D1415" s="83" t="s">
        <v>7111</v>
      </c>
    </row>
    <row r="1416" spans="1:4">
      <c r="A1416" s="83" t="s">
        <v>7109</v>
      </c>
      <c r="B1416" s="83" t="s">
        <v>5012</v>
      </c>
      <c r="C1416" s="83" t="s">
        <v>7112</v>
      </c>
      <c r="D1416" s="83" t="s">
        <v>7111</v>
      </c>
    </row>
    <row r="1417" spans="1:4">
      <c r="A1417" s="83" t="s">
        <v>7109</v>
      </c>
      <c r="B1417" s="83" t="s">
        <v>5015</v>
      </c>
      <c r="C1417" s="83" t="s">
        <v>7113</v>
      </c>
      <c r="D1417" s="83" t="s">
        <v>7111</v>
      </c>
    </row>
    <row r="1418" spans="1:4">
      <c r="A1418" s="83" t="s">
        <v>7109</v>
      </c>
      <c r="B1418" s="83" t="s">
        <v>5010</v>
      </c>
      <c r="C1418" s="83" t="s">
        <v>7114</v>
      </c>
      <c r="D1418" s="83" t="s">
        <v>7111</v>
      </c>
    </row>
    <row r="1419" spans="1:4">
      <c r="A1419" s="83" t="s">
        <v>7115</v>
      </c>
      <c r="B1419" s="83" t="s">
        <v>5017</v>
      </c>
      <c r="C1419" s="83" t="s">
        <v>7116</v>
      </c>
      <c r="D1419" s="83" t="s">
        <v>7117</v>
      </c>
    </row>
    <row r="1420" spans="1:4">
      <c r="A1420" s="83" t="s">
        <v>7115</v>
      </c>
      <c r="B1420" s="83" t="s">
        <v>5012</v>
      </c>
      <c r="C1420" s="83" t="s">
        <v>7118</v>
      </c>
      <c r="D1420" s="83" t="s">
        <v>7117</v>
      </c>
    </row>
    <row r="1421" spans="1:4">
      <c r="A1421" s="83" t="s">
        <v>7115</v>
      </c>
      <c r="B1421" s="83" t="s">
        <v>5015</v>
      </c>
      <c r="C1421" s="83" t="s">
        <v>7119</v>
      </c>
      <c r="D1421" s="83" t="s">
        <v>7117</v>
      </c>
    </row>
    <row r="1422" spans="1:4">
      <c r="A1422" s="83" t="s">
        <v>7115</v>
      </c>
      <c r="B1422" s="83" t="s">
        <v>5010</v>
      </c>
      <c r="C1422" s="83" t="s">
        <v>7120</v>
      </c>
      <c r="D1422" s="83" t="s">
        <v>7117</v>
      </c>
    </row>
    <row r="1423" spans="1:4">
      <c r="A1423" s="83" t="s">
        <v>7121</v>
      </c>
      <c r="B1423" s="83" t="s">
        <v>5017</v>
      </c>
      <c r="C1423" s="83" t="s">
        <v>7122</v>
      </c>
      <c r="D1423" s="83" t="s">
        <v>7123</v>
      </c>
    </row>
    <row r="1424" spans="1:4">
      <c r="A1424" s="83" t="s">
        <v>7121</v>
      </c>
      <c r="B1424" s="83" t="s">
        <v>5012</v>
      </c>
      <c r="C1424" s="83" t="s">
        <v>7124</v>
      </c>
      <c r="D1424" s="83" t="s">
        <v>7123</v>
      </c>
    </row>
    <row r="1425" spans="1:4">
      <c r="A1425" s="83" t="s">
        <v>7121</v>
      </c>
      <c r="B1425" s="83" t="s">
        <v>5015</v>
      </c>
      <c r="C1425" s="83" t="s">
        <v>7125</v>
      </c>
      <c r="D1425" s="83" t="s">
        <v>7123</v>
      </c>
    </row>
    <row r="1426" spans="1:4">
      <c r="A1426" s="83" t="s">
        <v>7121</v>
      </c>
      <c r="B1426" s="83" t="s">
        <v>5010</v>
      </c>
      <c r="C1426" s="83" t="s">
        <v>7126</v>
      </c>
      <c r="D1426" s="83" t="s">
        <v>7123</v>
      </c>
    </row>
    <row r="1427" spans="1:4">
      <c r="A1427" s="83" t="s">
        <v>7127</v>
      </c>
      <c r="B1427" s="83" t="s">
        <v>5017</v>
      </c>
      <c r="C1427" s="83" t="s">
        <v>7128</v>
      </c>
      <c r="D1427" s="83" t="s">
        <v>7129</v>
      </c>
    </row>
    <row r="1428" spans="1:4">
      <c r="A1428" s="83" t="s">
        <v>7127</v>
      </c>
      <c r="B1428" s="83" t="s">
        <v>5012</v>
      </c>
      <c r="C1428" s="83" t="s">
        <v>7130</v>
      </c>
      <c r="D1428" s="83" t="s">
        <v>7129</v>
      </c>
    </row>
    <row r="1429" spans="1:4">
      <c r="A1429" s="83" t="s">
        <v>7127</v>
      </c>
      <c r="B1429" s="83" t="s">
        <v>5015</v>
      </c>
      <c r="C1429" s="83" t="s">
        <v>7131</v>
      </c>
      <c r="D1429" s="83" t="s">
        <v>7129</v>
      </c>
    </row>
    <row r="1430" spans="1:4">
      <c r="A1430" s="83" t="s">
        <v>7127</v>
      </c>
      <c r="B1430" s="83" t="s">
        <v>5010</v>
      </c>
      <c r="C1430" s="83" t="s">
        <v>7132</v>
      </c>
      <c r="D1430" s="83" t="s">
        <v>7129</v>
      </c>
    </row>
    <row r="1431" spans="1:4">
      <c r="A1431" s="83" t="s">
        <v>7133</v>
      </c>
      <c r="B1431" s="83" t="s">
        <v>5017</v>
      </c>
      <c r="C1431" s="83" t="s">
        <v>7134</v>
      </c>
      <c r="D1431" s="83" t="s">
        <v>7135</v>
      </c>
    </row>
    <row r="1432" spans="1:4">
      <c r="A1432" s="83" t="s">
        <v>7133</v>
      </c>
      <c r="B1432" s="83" t="s">
        <v>5012</v>
      </c>
      <c r="C1432" s="83" t="s">
        <v>7136</v>
      </c>
      <c r="D1432" s="83" t="s">
        <v>7135</v>
      </c>
    </row>
    <row r="1433" spans="1:4">
      <c r="A1433" s="83" t="s">
        <v>7133</v>
      </c>
      <c r="B1433" s="83" t="s">
        <v>5015</v>
      </c>
      <c r="C1433" s="83" t="s">
        <v>7137</v>
      </c>
      <c r="D1433" s="83" t="s">
        <v>7135</v>
      </c>
    </row>
    <row r="1434" spans="1:4">
      <c r="A1434" s="83" t="s">
        <v>7133</v>
      </c>
      <c r="B1434" s="83" t="s">
        <v>5010</v>
      </c>
      <c r="C1434" s="83" t="s">
        <v>7138</v>
      </c>
      <c r="D1434" s="83" t="s">
        <v>7135</v>
      </c>
    </row>
    <row r="1435" spans="1:4">
      <c r="A1435" s="83" t="s">
        <v>7139</v>
      </c>
      <c r="B1435" s="83" t="s">
        <v>5017</v>
      </c>
      <c r="C1435" s="83" t="s">
        <v>7140</v>
      </c>
      <c r="D1435" s="83" t="s">
        <v>7141</v>
      </c>
    </row>
    <row r="1436" spans="1:4">
      <c r="A1436" s="83" t="s">
        <v>7139</v>
      </c>
      <c r="B1436" s="83" t="s">
        <v>5012</v>
      </c>
      <c r="C1436" s="83" t="s">
        <v>7142</v>
      </c>
      <c r="D1436" s="83" t="s">
        <v>7141</v>
      </c>
    </row>
    <row r="1437" spans="1:4">
      <c r="A1437" s="83" t="s">
        <v>7139</v>
      </c>
      <c r="B1437" s="83" t="s">
        <v>5015</v>
      </c>
      <c r="C1437" s="83" t="s">
        <v>7143</v>
      </c>
      <c r="D1437" s="83" t="s">
        <v>7141</v>
      </c>
    </row>
    <row r="1438" spans="1:4">
      <c r="A1438" s="83" t="s">
        <v>7139</v>
      </c>
      <c r="B1438" s="83" t="s">
        <v>5010</v>
      </c>
      <c r="C1438" s="83" t="s">
        <v>7144</v>
      </c>
      <c r="D1438" s="83" t="s">
        <v>7141</v>
      </c>
    </row>
    <row r="1439" spans="1:4">
      <c r="A1439" s="83" t="s">
        <v>7145</v>
      </c>
      <c r="B1439" s="83" t="s">
        <v>5017</v>
      </c>
      <c r="C1439" s="83" t="s">
        <v>7146</v>
      </c>
      <c r="D1439" s="83" t="s">
        <v>7147</v>
      </c>
    </row>
    <row r="1440" spans="1:4">
      <c r="A1440" s="83" t="s">
        <v>7145</v>
      </c>
      <c r="B1440" s="83" t="s">
        <v>5012</v>
      </c>
      <c r="C1440" s="83" t="s">
        <v>7148</v>
      </c>
      <c r="D1440" s="83" t="s">
        <v>7147</v>
      </c>
    </row>
    <row r="1441" spans="1:4">
      <c r="A1441" s="83" t="s">
        <v>7145</v>
      </c>
      <c r="B1441" s="83" t="s">
        <v>5015</v>
      </c>
      <c r="C1441" s="83" t="s">
        <v>7149</v>
      </c>
      <c r="D1441" s="83" t="s">
        <v>7147</v>
      </c>
    </row>
    <row r="1442" spans="1:4">
      <c r="A1442" s="83" t="s">
        <v>7145</v>
      </c>
      <c r="B1442" s="83" t="s">
        <v>5010</v>
      </c>
      <c r="C1442" s="83" t="s">
        <v>7150</v>
      </c>
      <c r="D1442" s="83" t="s">
        <v>7147</v>
      </c>
    </row>
    <row r="1443" spans="1:4">
      <c r="A1443" s="83" t="s">
        <v>7151</v>
      </c>
      <c r="B1443" s="83" t="s">
        <v>5017</v>
      </c>
      <c r="C1443" s="83" t="s">
        <v>7152</v>
      </c>
      <c r="D1443" s="83" t="s">
        <v>7153</v>
      </c>
    </row>
    <row r="1444" spans="1:4">
      <c r="A1444" s="83" t="s">
        <v>7151</v>
      </c>
      <c r="B1444" s="83" t="s">
        <v>5012</v>
      </c>
      <c r="C1444" s="83" t="s">
        <v>7154</v>
      </c>
      <c r="D1444" s="83" t="s">
        <v>7153</v>
      </c>
    </row>
    <row r="1445" spans="1:4">
      <c r="A1445" s="83" t="s">
        <v>7151</v>
      </c>
      <c r="B1445" s="83" t="s">
        <v>5015</v>
      </c>
      <c r="C1445" s="83" t="s">
        <v>7155</v>
      </c>
      <c r="D1445" s="83" t="s">
        <v>7153</v>
      </c>
    </row>
    <row r="1446" spans="1:4">
      <c r="A1446" s="83" t="s">
        <v>7151</v>
      </c>
      <c r="B1446" s="83" t="s">
        <v>5010</v>
      </c>
      <c r="C1446" s="83" t="s">
        <v>7156</v>
      </c>
      <c r="D1446" s="83" t="s">
        <v>7153</v>
      </c>
    </row>
    <row r="1447" spans="1:4">
      <c r="A1447" s="83" t="s">
        <v>7157</v>
      </c>
      <c r="B1447" s="83" t="s">
        <v>5017</v>
      </c>
      <c r="C1447" s="83" t="s">
        <v>7158</v>
      </c>
      <c r="D1447" s="83" t="s">
        <v>7159</v>
      </c>
    </row>
    <row r="1448" spans="1:4">
      <c r="A1448" s="83" t="s">
        <v>7157</v>
      </c>
      <c r="B1448" s="83" t="s">
        <v>5012</v>
      </c>
      <c r="C1448" s="83" t="s">
        <v>7160</v>
      </c>
      <c r="D1448" s="83" t="s">
        <v>7159</v>
      </c>
    </row>
    <row r="1449" spans="1:4">
      <c r="A1449" s="83" t="s">
        <v>7157</v>
      </c>
      <c r="B1449" s="83" t="s">
        <v>5015</v>
      </c>
      <c r="C1449" s="83" t="s">
        <v>7161</v>
      </c>
      <c r="D1449" s="83" t="s">
        <v>7159</v>
      </c>
    </row>
    <row r="1450" spans="1:4">
      <c r="A1450" s="83" t="s">
        <v>7157</v>
      </c>
      <c r="B1450" s="83" t="s">
        <v>5010</v>
      </c>
      <c r="C1450" s="83" t="s">
        <v>7162</v>
      </c>
      <c r="D1450" s="83" t="s">
        <v>7159</v>
      </c>
    </row>
    <row r="1451" spans="1:4">
      <c r="A1451" s="83" t="s">
        <v>7163</v>
      </c>
      <c r="B1451" s="83" t="s">
        <v>5017</v>
      </c>
      <c r="C1451" s="83" t="s">
        <v>7164</v>
      </c>
      <c r="D1451" s="83" t="s">
        <v>7165</v>
      </c>
    </row>
    <row r="1452" spans="1:4">
      <c r="A1452" s="83" t="s">
        <v>7163</v>
      </c>
      <c r="B1452" s="83" t="s">
        <v>5012</v>
      </c>
      <c r="C1452" s="83" t="s">
        <v>7166</v>
      </c>
      <c r="D1452" s="83" t="s">
        <v>7165</v>
      </c>
    </row>
    <row r="1453" spans="1:4">
      <c r="A1453" s="83" t="s">
        <v>7163</v>
      </c>
      <c r="B1453" s="83" t="s">
        <v>5015</v>
      </c>
      <c r="C1453" s="83" t="s">
        <v>7167</v>
      </c>
      <c r="D1453" s="83" t="s">
        <v>7165</v>
      </c>
    </row>
    <row r="1454" spans="1:4">
      <c r="A1454" s="83" t="s">
        <v>7163</v>
      </c>
      <c r="B1454" s="83" t="s">
        <v>5010</v>
      </c>
      <c r="C1454" s="83" t="s">
        <v>7168</v>
      </c>
      <c r="D1454" s="83" t="s">
        <v>7165</v>
      </c>
    </row>
    <row r="1455" spans="1:4">
      <c r="A1455" s="83" t="s">
        <v>7169</v>
      </c>
      <c r="B1455" s="83" t="s">
        <v>5017</v>
      </c>
      <c r="C1455" s="83" t="s">
        <v>7170</v>
      </c>
      <c r="D1455" s="83" t="s">
        <v>7171</v>
      </c>
    </row>
    <row r="1456" spans="1:4">
      <c r="A1456" s="83" t="s">
        <v>7169</v>
      </c>
      <c r="B1456" s="83" t="s">
        <v>5012</v>
      </c>
      <c r="C1456" s="83" t="s">
        <v>7172</v>
      </c>
      <c r="D1456" s="83" t="s">
        <v>7171</v>
      </c>
    </row>
    <row r="1457" spans="1:4">
      <c r="A1457" s="83" t="s">
        <v>7169</v>
      </c>
      <c r="B1457" s="83" t="s">
        <v>5015</v>
      </c>
      <c r="C1457" s="83" t="s">
        <v>7173</v>
      </c>
      <c r="D1457" s="83" t="s">
        <v>7171</v>
      </c>
    </row>
    <row r="1458" spans="1:4">
      <c r="A1458" s="83" t="s">
        <v>7169</v>
      </c>
      <c r="B1458" s="83" t="s">
        <v>5010</v>
      </c>
      <c r="C1458" s="83" t="s">
        <v>7174</v>
      </c>
      <c r="D1458" s="83" t="s">
        <v>7171</v>
      </c>
    </row>
    <row r="1459" spans="1:4">
      <c r="A1459" s="83" t="s">
        <v>7175</v>
      </c>
      <c r="B1459" s="83" t="s">
        <v>5017</v>
      </c>
      <c r="C1459" s="83" t="s">
        <v>7176</v>
      </c>
      <c r="D1459" s="83" t="s">
        <v>7177</v>
      </c>
    </row>
    <row r="1460" spans="1:4">
      <c r="A1460" s="83" t="s">
        <v>7175</v>
      </c>
      <c r="B1460" s="83" t="s">
        <v>5012</v>
      </c>
      <c r="C1460" s="83" t="s">
        <v>7178</v>
      </c>
      <c r="D1460" s="83" t="s">
        <v>7177</v>
      </c>
    </row>
    <row r="1461" spans="1:4">
      <c r="A1461" s="83" t="s">
        <v>7175</v>
      </c>
      <c r="B1461" s="83" t="s">
        <v>5015</v>
      </c>
      <c r="C1461" s="83" t="s">
        <v>7179</v>
      </c>
      <c r="D1461" s="83" t="s">
        <v>7177</v>
      </c>
    </row>
    <row r="1462" spans="1:4">
      <c r="A1462" s="83" t="s">
        <v>7175</v>
      </c>
      <c r="B1462" s="83" t="s">
        <v>5010</v>
      </c>
      <c r="C1462" s="83" t="s">
        <v>7180</v>
      </c>
      <c r="D1462" s="83" t="s">
        <v>7177</v>
      </c>
    </row>
    <row r="1463" spans="1:4">
      <c r="A1463" s="83" t="s">
        <v>7181</v>
      </c>
      <c r="B1463" s="83" t="s">
        <v>5017</v>
      </c>
      <c r="C1463" s="83" t="s">
        <v>7182</v>
      </c>
      <c r="D1463" s="83" t="s">
        <v>7183</v>
      </c>
    </row>
    <row r="1464" spans="1:4">
      <c r="A1464" s="83" t="s">
        <v>7181</v>
      </c>
      <c r="B1464" s="83" t="s">
        <v>5012</v>
      </c>
      <c r="C1464" s="83" t="s">
        <v>7184</v>
      </c>
      <c r="D1464" s="83" t="s">
        <v>7183</v>
      </c>
    </row>
    <row r="1465" spans="1:4">
      <c r="A1465" s="83" t="s">
        <v>7181</v>
      </c>
      <c r="B1465" s="83" t="s">
        <v>5015</v>
      </c>
      <c r="C1465" s="83" t="s">
        <v>7185</v>
      </c>
      <c r="D1465" s="83" t="s">
        <v>7183</v>
      </c>
    </row>
    <row r="1466" spans="1:4">
      <c r="A1466" s="83" t="s">
        <v>7181</v>
      </c>
      <c r="B1466" s="83" t="s">
        <v>5010</v>
      </c>
      <c r="C1466" s="83" t="s">
        <v>7186</v>
      </c>
      <c r="D1466" s="83" t="s">
        <v>7183</v>
      </c>
    </row>
    <row r="1467" spans="1:4">
      <c r="A1467" s="83" t="s">
        <v>7187</v>
      </c>
      <c r="B1467" s="83" t="s">
        <v>5017</v>
      </c>
      <c r="C1467" s="83" t="s">
        <v>7188</v>
      </c>
      <c r="D1467" s="83" t="s">
        <v>7189</v>
      </c>
    </row>
    <row r="1468" spans="1:4">
      <c r="A1468" s="83" t="s">
        <v>7187</v>
      </c>
      <c r="B1468" s="83" t="s">
        <v>5012</v>
      </c>
      <c r="C1468" s="83" t="s">
        <v>7190</v>
      </c>
      <c r="D1468" s="83" t="s">
        <v>7189</v>
      </c>
    </row>
    <row r="1469" spans="1:4">
      <c r="A1469" s="83" t="s">
        <v>7187</v>
      </c>
      <c r="B1469" s="83" t="s">
        <v>5015</v>
      </c>
      <c r="C1469" s="83" t="s">
        <v>7191</v>
      </c>
      <c r="D1469" s="83" t="s">
        <v>7189</v>
      </c>
    </row>
    <row r="1470" spans="1:4">
      <c r="A1470" s="83" t="s">
        <v>7187</v>
      </c>
      <c r="B1470" s="83" t="s">
        <v>5010</v>
      </c>
      <c r="C1470" s="83" t="s">
        <v>7192</v>
      </c>
      <c r="D1470" s="83" t="s">
        <v>7189</v>
      </c>
    </row>
    <row r="1471" spans="1:4">
      <c r="A1471" s="83" t="s">
        <v>7193</v>
      </c>
      <c r="B1471" s="83" t="s">
        <v>5017</v>
      </c>
      <c r="C1471" s="83" t="s">
        <v>7194</v>
      </c>
      <c r="D1471" s="83" t="s">
        <v>7195</v>
      </c>
    </row>
    <row r="1472" spans="1:4">
      <c r="A1472" s="83" t="s">
        <v>7193</v>
      </c>
      <c r="B1472" s="83" t="s">
        <v>5012</v>
      </c>
      <c r="C1472" s="83" t="s">
        <v>7196</v>
      </c>
      <c r="D1472" s="83" t="s">
        <v>7195</v>
      </c>
    </row>
    <row r="1473" spans="1:4">
      <c r="A1473" s="83" t="s">
        <v>7193</v>
      </c>
      <c r="B1473" s="83" t="s">
        <v>5015</v>
      </c>
      <c r="C1473" s="83" t="s">
        <v>7197</v>
      </c>
      <c r="D1473" s="83" t="s">
        <v>7195</v>
      </c>
    </row>
    <row r="1474" spans="1:4">
      <c r="A1474" s="83" t="s">
        <v>7193</v>
      </c>
      <c r="B1474" s="83" t="s">
        <v>5010</v>
      </c>
      <c r="C1474" s="83" t="s">
        <v>7198</v>
      </c>
      <c r="D1474" s="83" t="s">
        <v>7195</v>
      </c>
    </row>
    <row r="1475" spans="1:4">
      <c r="A1475" s="83" t="s">
        <v>7199</v>
      </c>
      <c r="B1475" s="83" t="s">
        <v>5017</v>
      </c>
      <c r="C1475" s="83" t="s">
        <v>7200</v>
      </c>
      <c r="D1475" s="83" t="s">
        <v>7201</v>
      </c>
    </row>
    <row r="1476" spans="1:4">
      <c r="A1476" s="83" t="s">
        <v>7199</v>
      </c>
      <c r="B1476" s="83" t="s">
        <v>5012</v>
      </c>
      <c r="C1476" s="83" t="s">
        <v>7202</v>
      </c>
      <c r="D1476" s="83" t="s">
        <v>7201</v>
      </c>
    </row>
    <row r="1477" spans="1:4">
      <c r="A1477" s="83" t="s">
        <v>7199</v>
      </c>
      <c r="B1477" s="83" t="s">
        <v>5015</v>
      </c>
      <c r="C1477" s="83" t="s">
        <v>7203</v>
      </c>
      <c r="D1477" s="83" t="s">
        <v>7201</v>
      </c>
    </row>
    <row r="1478" spans="1:4">
      <c r="A1478" s="83" t="s">
        <v>7199</v>
      </c>
      <c r="B1478" s="83" t="s">
        <v>5010</v>
      </c>
      <c r="C1478" s="83" t="s">
        <v>7204</v>
      </c>
      <c r="D1478" s="83" t="s">
        <v>7201</v>
      </c>
    </row>
    <row r="1479" spans="1:4">
      <c r="A1479" s="83" t="s">
        <v>7205</v>
      </c>
      <c r="B1479" s="83" t="s">
        <v>5017</v>
      </c>
      <c r="C1479" s="83" t="s">
        <v>7206</v>
      </c>
      <c r="D1479" s="83" t="s">
        <v>7207</v>
      </c>
    </row>
    <row r="1480" spans="1:4">
      <c r="A1480" s="83" t="s">
        <v>7205</v>
      </c>
      <c r="B1480" s="83" t="s">
        <v>5012</v>
      </c>
      <c r="C1480" s="83" t="s">
        <v>7208</v>
      </c>
      <c r="D1480" s="83" t="s">
        <v>7207</v>
      </c>
    </row>
    <row r="1481" spans="1:4">
      <c r="A1481" s="83" t="s">
        <v>7205</v>
      </c>
      <c r="B1481" s="83" t="s">
        <v>5015</v>
      </c>
      <c r="C1481" s="83" t="s">
        <v>7209</v>
      </c>
      <c r="D1481" s="83" t="s">
        <v>7207</v>
      </c>
    </row>
    <row r="1482" spans="1:4">
      <c r="A1482" s="83" t="s">
        <v>7205</v>
      </c>
      <c r="B1482" s="83" t="s">
        <v>5010</v>
      </c>
      <c r="C1482" s="83" t="s">
        <v>7210</v>
      </c>
      <c r="D1482" s="83" t="s">
        <v>7207</v>
      </c>
    </row>
    <row r="1483" spans="1:4">
      <c r="A1483" s="83" t="s">
        <v>7211</v>
      </c>
      <c r="B1483" s="83" t="s">
        <v>5017</v>
      </c>
      <c r="C1483" s="83" t="s">
        <v>7212</v>
      </c>
      <c r="D1483" s="83" t="s">
        <v>7213</v>
      </c>
    </row>
    <row r="1484" spans="1:4">
      <c r="A1484" s="83" t="s">
        <v>7211</v>
      </c>
      <c r="B1484" s="83" t="s">
        <v>5012</v>
      </c>
      <c r="C1484" s="83" t="s">
        <v>7214</v>
      </c>
      <c r="D1484" s="83" t="s">
        <v>7213</v>
      </c>
    </row>
    <row r="1485" spans="1:4">
      <c r="A1485" s="83" t="s">
        <v>7211</v>
      </c>
      <c r="B1485" s="83" t="s">
        <v>5015</v>
      </c>
      <c r="C1485" s="83" t="s">
        <v>7215</v>
      </c>
      <c r="D1485" s="83" t="s">
        <v>7213</v>
      </c>
    </row>
    <row r="1486" spans="1:4">
      <c r="A1486" s="83" t="s">
        <v>7211</v>
      </c>
      <c r="B1486" s="83" t="s">
        <v>5010</v>
      </c>
      <c r="C1486" s="83" t="s">
        <v>7216</v>
      </c>
      <c r="D1486" s="83" t="s">
        <v>7213</v>
      </c>
    </row>
    <row r="1487" spans="1:4">
      <c r="A1487" s="83" t="s">
        <v>7217</v>
      </c>
      <c r="B1487" s="83" t="s">
        <v>5017</v>
      </c>
      <c r="C1487" s="83" t="s">
        <v>7218</v>
      </c>
      <c r="D1487" s="83" t="s">
        <v>7219</v>
      </c>
    </row>
    <row r="1488" spans="1:4">
      <c r="A1488" s="83" t="s">
        <v>7217</v>
      </c>
      <c r="B1488" s="83" t="s">
        <v>5012</v>
      </c>
      <c r="C1488" s="83" t="s">
        <v>7220</v>
      </c>
      <c r="D1488" s="83" t="s">
        <v>7219</v>
      </c>
    </row>
    <row r="1489" spans="1:4">
      <c r="A1489" s="83" t="s">
        <v>7217</v>
      </c>
      <c r="B1489" s="83" t="s">
        <v>5015</v>
      </c>
      <c r="C1489" s="83" t="s">
        <v>7221</v>
      </c>
      <c r="D1489" s="83" t="s">
        <v>7219</v>
      </c>
    </row>
    <row r="1490" spans="1:4">
      <c r="A1490" s="83" t="s">
        <v>7217</v>
      </c>
      <c r="B1490" s="83" t="s">
        <v>5010</v>
      </c>
      <c r="C1490" s="83" t="s">
        <v>7222</v>
      </c>
      <c r="D1490" s="83" t="s">
        <v>7219</v>
      </c>
    </row>
    <row r="1491" spans="1:4">
      <c r="A1491" s="83" t="s">
        <v>7223</v>
      </c>
      <c r="B1491" s="83" t="s">
        <v>5017</v>
      </c>
      <c r="C1491" s="83" t="s">
        <v>7224</v>
      </c>
      <c r="D1491" s="83" t="s">
        <v>7225</v>
      </c>
    </row>
    <row r="1492" spans="1:4">
      <c r="A1492" s="83" t="s">
        <v>7223</v>
      </c>
      <c r="B1492" s="83" t="s">
        <v>5012</v>
      </c>
      <c r="C1492" s="83" t="s">
        <v>7226</v>
      </c>
      <c r="D1492" s="83" t="s">
        <v>7225</v>
      </c>
    </row>
    <row r="1493" spans="1:4">
      <c r="A1493" s="83" t="s">
        <v>7223</v>
      </c>
      <c r="B1493" s="83" t="s">
        <v>5015</v>
      </c>
      <c r="C1493" s="83" t="s">
        <v>7227</v>
      </c>
      <c r="D1493" s="83" t="s">
        <v>7225</v>
      </c>
    </row>
    <row r="1494" spans="1:4">
      <c r="A1494" s="83" t="s">
        <v>7223</v>
      </c>
      <c r="B1494" s="83" t="s">
        <v>5010</v>
      </c>
      <c r="C1494" s="83" t="s">
        <v>7228</v>
      </c>
      <c r="D1494" s="83" t="s">
        <v>7225</v>
      </c>
    </row>
    <row r="1495" spans="1:4">
      <c r="A1495" s="83" t="s">
        <v>7229</v>
      </c>
      <c r="B1495" s="83" t="s">
        <v>5017</v>
      </c>
      <c r="C1495" s="83" t="s">
        <v>7230</v>
      </c>
      <c r="D1495" s="83" t="s">
        <v>7231</v>
      </c>
    </row>
    <row r="1496" spans="1:4">
      <c r="A1496" s="83" t="s">
        <v>7229</v>
      </c>
      <c r="B1496" s="83" t="s">
        <v>5012</v>
      </c>
      <c r="C1496" s="83" t="s">
        <v>7232</v>
      </c>
      <c r="D1496" s="83" t="s">
        <v>7231</v>
      </c>
    </row>
    <row r="1497" spans="1:4">
      <c r="A1497" s="83" t="s">
        <v>7229</v>
      </c>
      <c r="B1497" s="83" t="s">
        <v>5015</v>
      </c>
      <c r="C1497" s="83" t="s">
        <v>7233</v>
      </c>
      <c r="D1497" s="83" t="s">
        <v>7231</v>
      </c>
    </row>
    <row r="1498" spans="1:4">
      <c r="A1498" s="83" t="s">
        <v>7229</v>
      </c>
      <c r="B1498" s="83" t="s">
        <v>5010</v>
      </c>
      <c r="C1498" s="83" t="s">
        <v>7234</v>
      </c>
      <c r="D1498" s="83" t="s">
        <v>7231</v>
      </c>
    </row>
    <row r="1499" spans="1:4">
      <c r="A1499" s="83" t="s">
        <v>7235</v>
      </c>
      <c r="B1499" s="83" t="s">
        <v>5017</v>
      </c>
      <c r="C1499" s="83" t="s">
        <v>7236</v>
      </c>
      <c r="D1499" s="83" t="s">
        <v>7237</v>
      </c>
    </row>
    <row r="1500" spans="1:4">
      <c r="A1500" s="83" t="s">
        <v>7235</v>
      </c>
      <c r="B1500" s="83" t="s">
        <v>5012</v>
      </c>
      <c r="C1500" s="83" t="s">
        <v>7238</v>
      </c>
      <c r="D1500" s="83" t="s">
        <v>7237</v>
      </c>
    </row>
    <row r="1501" spans="1:4">
      <c r="A1501" s="83" t="s">
        <v>7235</v>
      </c>
      <c r="B1501" s="83" t="s">
        <v>5015</v>
      </c>
      <c r="C1501" s="83" t="s">
        <v>7239</v>
      </c>
      <c r="D1501" s="83" t="s">
        <v>7237</v>
      </c>
    </row>
    <row r="1502" spans="1:4">
      <c r="A1502" s="83" t="s">
        <v>7235</v>
      </c>
      <c r="B1502" s="83" t="s">
        <v>5010</v>
      </c>
      <c r="C1502" s="83" t="s">
        <v>7240</v>
      </c>
      <c r="D1502" s="83" t="s">
        <v>7237</v>
      </c>
    </row>
    <row r="1503" spans="1:4">
      <c r="A1503" s="83" t="s">
        <v>7241</v>
      </c>
      <c r="B1503" s="83" t="s">
        <v>5017</v>
      </c>
      <c r="C1503" s="83" t="s">
        <v>7242</v>
      </c>
      <c r="D1503" s="83" t="s">
        <v>7243</v>
      </c>
    </row>
    <row r="1504" spans="1:4">
      <c r="A1504" s="83" t="s">
        <v>7241</v>
      </c>
      <c r="B1504" s="83" t="s">
        <v>5012</v>
      </c>
      <c r="C1504" s="83" t="s">
        <v>7244</v>
      </c>
      <c r="D1504" s="83" t="s">
        <v>7243</v>
      </c>
    </row>
    <row r="1505" spans="1:4">
      <c r="A1505" s="83" t="s">
        <v>7241</v>
      </c>
      <c r="B1505" s="83" t="s">
        <v>5015</v>
      </c>
      <c r="C1505" s="83" t="s">
        <v>7245</v>
      </c>
      <c r="D1505" s="83" t="s">
        <v>7243</v>
      </c>
    </row>
    <row r="1506" spans="1:4">
      <c r="A1506" s="83" t="s">
        <v>7241</v>
      </c>
      <c r="B1506" s="83" t="s">
        <v>5010</v>
      </c>
      <c r="C1506" s="83" t="s">
        <v>7246</v>
      </c>
      <c r="D1506" s="83" t="s">
        <v>7243</v>
      </c>
    </row>
    <row r="1507" spans="1:4">
      <c r="A1507" s="83" t="s">
        <v>7247</v>
      </c>
      <c r="B1507" s="83" t="s">
        <v>5017</v>
      </c>
      <c r="C1507" s="83" t="s">
        <v>7248</v>
      </c>
      <c r="D1507" s="83" t="s">
        <v>7249</v>
      </c>
    </row>
    <row r="1508" spans="1:4">
      <c r="A1508" s="83" t="s">
        <v>7247</v>
      </c>
      <c r="B1508" s="83" t="s">
        <v>5012</v>
      </c>
      <c r="C1508" s="83" t="s">
        <v>7250</v>
      </c>
      <c r="D1508" s="83" t="s">
        <v>7249</v>
      </c>
    </row>
    <row r="1509" spans="1:4">
      <c r="A1509" s="83" t="s">
        <v>7247</v>
      </c>
      <c r="B1509" s="83" t="s">
        <v>5015</v>
      </c>
      <c r="C1509" s="83" t="s">
        <v>7251</v>
      </c>
      <c r="D1509" s="83" t="s">
        <v>7249</v>
      </c>
    </row>
    <row r="1510" spans="1:4">
      <c r="A1510" s="83" t="s">
        <v>7247</v>
      </c>
      <c r="B1510" s="83" t="s">
        <v>5010</v>
      </c>
      <c r="C1510" s="83" t="s">
        <v>7252</v>
      </c>
      <c r="D1510" s="83" t="s">
        <v>7249</v>
      </c>
    </row>
    <row r="1511" spans="1:4">
      <c r="A1511" s="83" t="s">
        <v>7253</v>
      </c>
      <c r="B1511" s="83" t="s">
        <v>5017</v>
      </c>
      <c r="C1511" s="83" t="s">
        <v>7254</v>
      </c>
      <c r="D1511" s="83" t="s">
        <v>7255</v>
      </c>
    </row>
    <row r="1512" spans="1:4">
      <c r="A1512" s="83" t="s">
        <v>7253</v>
      </c>
      <c r="B1512" s="83" t="s">
        <v>5012</v>
      </c>
      <c r="C1512" s="83" t="s">
        <v>7256</v>
      </c>
      <c r="D1512" s="83" t="s">
        <v>7255</v>
      </c>
    </row>
    <row r="1513" spans="1:4">
      <c r="A1513" s="83" t="s">
        <v>7253</v>
      </c>
      <c r="B1513" s="83" t="s">
        <v>5015</v>
      </c>
      <c r="C1513" s="83" t="s">
        <v>7257</v>
      </c>
      <c r="D1513" s="83" t="s">
        <v>7255</v>
      </c>
    </row>
    <row r="1514" spans="1:4">
      <c r="A1514" s="83" t="s">
        <v>7253</v>
      </c>
      <c r="B1514" s="83" t="s">
        <v>5010</v>
      </c>
      <c r="C1514" s="83" t="s">
        <v>7258</v>
      </c>
      <c r="D1514" s="83" t="s">
        <v>7255</v>
      </c>
    </row>
    <row r="1515" spans="1:4">
      <c r="A1515" s="83" t="s">
        <v>7259</v>
      </c>
      <c r="B1515" s="83" t="s">
        <v>5017</v>
      </c>
      <c r="C1515" s="83" t="s">
        <v>7260</v>
      </c>
      <c r="D1515" s="83" t="s">
        <v>7261</v>
      </c>
    </row>
    <row r="1516" spans="1:4">
      <c r="A1516" s="83" t="s">
        <v>7259</v>
      </c>
      <c r="B1516" s="83" t="s">
        <v>5012</v>
      </c>
      <c r="C1516" s="83" t="s">
        <v>7262</v>
      </c>
      <c r="D1516" s="83" t="s">
        <v>7261</v>
      </c>
    </row>
    <row r="1517" spans="1:4">
      <c r="A1517" s="83" t="s">
        <v>7259</v>
      </c>
      <c r="B1517" s="83" t="s">
        <v>5015</v>
      </c>
      <c r="C1517" s="83" t="s">
        <v>7263</v>
      </c>
      <c r="D1517" s="83" t="s">
        <v>7261</v>
      </c>
    </row>
    <row r="1518" spans="1:4">
      <c r="A1518" s="83" t="s">
        <v>7259</v>
      </c>
      <c r="B1518" s="83" t="s">
        <v>5010</v>
      </c>
      <c r="C1518" s="83" t="s">
        <v>7264</v>
      </c>
      <c r="D1518" s="83" t="s">
        <v>7261</v>
      </c>
    </row>
    <row r="1519" spans="1:4">
      <c r="A1519" s="83" t="s">
        <v>7265</v>
      </c>
      <c r="B1519" s="83" t="s">
        <v>5017</v>
      </c>
      <c r="C1519" s="83" t="s">
        <v>7266</v>
      </c>
      <c r="D1519" s="83" t="s">
        <v>7267</v>
      </c>
    </row>
    <row r="1520" spans="1:4">
      <c r="A1520" s="83" t="s">
        <v>7265</v>
      </c>
      <c r="B1520" s="83" t="s">
        <v>5012</v>
      </c>
      <c r="C1520" s="83" t="s">
        <v>7268</v>
      </c>
      <c r="D1520" s="83" t="s">
        <v>7267</v>
      </c>
    </row>
    <row r="1521" spans="1:4">
      <c r="A1521" s="83" t="s">
        <v>7265</v>
      </c>
      <c r="B1521" s="83" t="s">
        <v>5015</v>
      </c>
      <c r="C1521" s="83" t="s">
        <v>7269</v>
      </c>
      <c r="D1521" s="83" t="s">
        <v>7267</v>
      </c>
    </row>
    <row r="1522" spans="1:4">
      <c r="A1522" s="83" t="s">
        <v>7265</v>
      </c>
      <c r="B1522" s="83" t="s">
        <v>5010</v>
      </c>
      <c r="C1522" s="83" t="s">
        <v>7270</v>
      </c>
      <c r="D1522" s="83" t="s">
        <v>7267</v>
      </c>
    </row>
    <row r="1523" spans="1:4">
      <c r="A1523" s="83" t="s">
        <v>7271</v>
      </c>
      <c r="B1523" s="83" t="s">
        <v>5017</v>
      </c>
      <c r="C1523" s="83" t="s">
        <v>7272</v>
      </c>
      <c r="D1523" s="83" t="s">
        <v>7273</v>
      </c>
    </row>
    <row r="1524" spans="1:4">
      <c r="A1524" s="83" t="s">
        <v>7271</v>
      </c>
      <c r="B1524" s="83" t="s">
        <v>5012</v>
      </c>
      <c r="C1524" s="83" t="s">
        <v>7274</v>
      </c>
      <c r="D1524" s="83" t="s">
        <v>7273</v>
      </c>
    </row>
    <row r="1525" spans="1:4">
      <c r="A1525" s="83" t="s">
        <v>7271</v>
      </c>
      <c r="B1525" s="83" t="s">
        <v>5015</v>
      </c>
      <c r="C1525" s="83" t="s">
        <v>7275</v>
      </c>
      <c r="D1525" s="83" t="s">
        <v>7273</v>
      </c>
    </row>
    <row r="1526" spans="1:4">
      <c r="A1526" s="83" t="s">
        <v>7271</v>
      </c>
      <c r="B1526" s="83" t="s">
        <v>5010</v>
      </c>
      <c r="C1526" s="83" t="s">
        <v>7276</v>
      </c>
      <c r="D1526" s="83" t="s">
        <v>7273</v>
      </c>
    </row>
    <row r="1527" spans="1:4">
      <c r="A1527" s="83" t="s">
        <v>7277</v>
      </c>
      <c r="B1527" s="83" t="s">
        <v>5017</v>
      </c>
      <c r="C1527" s="83" t="s">
        <v>7278</v>
      </c>
      <c r="D1527" s="83" t="s">
        <v>7279</v>
      </c>
    </row>
    <row r="1528" spans="1:4">
      <c r="A1528" s="83" t="s">
        <v>7277</v>
      </c>
      <c r="B1528" s="83" t="s">
        <v>5012</v>
      </c>
      <c r="C1528" s="83" t="s">
        <v>7280</v>
      </c>
      <c r="D1528" s="83" t="s">
        <v>7279</v>
      </c>
    </row>
    <row r="1529" spans="1:4">
      <c r="A1529" s="83" t="s">
        <v>7277</v>
      </c>
      <c r="B1529" s="83" t="s">
        <v>5015</v>
      </c>
      <c r="C1529" s="83" t="s">
        <v>7281</v>
      </c>
      <c r="D1529" s="83" t="s">
        <v>7279</v>
      </c>
    </row>
    <row r="1530" spans="1:4">
      <c r="A1530" s="83" t="s">
        <v>7277</v>
      </c>
      <c r="B1530" s="83" t="s">
        <v>5010</v>
      </c>
      <c r="C1530" s="83" t="s">
        <v>7282</v>
      </c>
      <c r="D1530" s="83" t="s">
        <v>7279</v>
      </c>
    </row>
    <row r="1531" spans="1:4">
      <c r="A1531" s="83" t="s">
        <v>7283</v>
      </c>
      <c r="B1531" s="83" t="s">
        <v>5017</v>
      </c>
      <c r="C1531" s="83" t="s">
        <v>7284</v>
      </c>
      <c r="D1531" s="83" t="s">
        <v>7285</v>
      </c>
    </row>
    <row r="1532" spans="1:4">
      <c r="A1532" s="83" t="s">
        <v>7283</v>
      </c>
      <c r="B1532" s="83" t="s">
        <v>5012</v>
      </c>
      <c r="C1532" s="83" t="s">
        <v>7286</v>
      </c>
      <c r="D1532" s="83" t="s">
        <v>7285</v>
      </c>
    </row>
    <row r="1533" spans="1:4">
      <c r="A1533" s="83" t="s">
        <v>7283</v>
      </c>
      <c r="B1533" s="83" t="s">
        <v>5015</v>
      </c>
      <c r="C1533" s="83" t="s">
        <v>7287</v>
      </c>
      <c r="D1533" s="83" t="s">
        <v>7285</v>
      </c>
    </row>
    <row r="1534" spans="1:4">
      <c r="A1534" s="83" t="s">
        <v>7283</v>
      </c>
      <c r="B1534" s="83" t="s">
        <v>5010</v>
      </c>
      <c r="C1534" s="83" t="s">
        <v>7288</v>
      </c>
      <c r="D1534" s="83" t="s">
        <v>7285</v>
      </c>
    </row>
    <row r="1535" spans="1:4">
      <c r="A1535" s="83" t="s">
        <v>7289</v>
      </c>
      <c r="B1535" s="83" t="s">
        <v>5017</v>
      </c>
      <c r="C1535" s="83" t="s">
        <v>7290</v>
      </c>
      <c r="D1535" s="83" t="s">
        <v>7291</v>
      </c>
    </row>
    <row r="1536" spans="1:4">
      <c r="A1536" s="83" t="s">
        <v>7289</v>
      </c>
      <c r="B1536" s="83" t="s">
        <v>5012</v>
      </c>
      <c r="C1536" s="83" t="s">
        <v>7292</v>
      </c>
      <c r="D1536" s="83" t="s">
        <v>7291</v>
      </c>
    </row>
    <row r="1537" spans="1:4">
      <c r="A1537" s="83" t="s">
        <v>7289</v>
      </c>
      <c r="B1537" s="83" t="s">
        <v>5015</v>
      </c>
      <c r="C1537" s="83" t="s">
        <v>7293</v>
      </c>
      <c r="D1537" s="83" t="s">
        <v>7291</v>
      </c>
    </row>
    <row r="1538" spans="1:4">
      <c r="A1538" s="83" t="s">
        <v>7289</v>
      </c>
      <c r="B1538" s="83" t="s">
        <v>5010</v>
      </c>
      <c r="C1538" s="83" t="s">
        <v>7294</v>
      </c>
      <c r="D1538" s="83" t="s">
        <v>7291</v>
      </c>
    </row>
    <row r="1539" spans="1:4">
      <c r="A1539" s="83" t="s">
        <v>7295</v>
      </c>
      <c r="B1539" s="83" t="s">
        <v>5017</v>
      </c>
      <c r="C1539" s="83" t="s">
        <v>7296</v>
      </c>
      <c r="D1539" s="83" t="s">
        <v>7297</v>
      </c>
    </row>
    <row r="1540" spans="1:4">
      <c r="A1540" s="83" t="s">
        <v>7295</v>
      </c>
      <c r="B1540" s="83" t="s">
        <v>5012</v>
      </c>
      <c r="C1540" s="83" t="s">
        <v>7298</v>
      </c>
      <c r="D1540" s="83" t="s">
        <v>7297</v>
      </c>
    </row>
    <row r="1541" spans="1:4">
      <c r="A1541" s="83" t="s">
        <v>7295</v>
      </c>
      <c r="B1541" s="83" t="s">
        <v>5015</v>
      </c>
      <c r="C1541" s="83" t="s">
        <v>7299</v>
      </c>
      <c r="D1541" s="83" t="s">
        <v>7297</v>
      </c>
    </row>
    <row r="1542" spans="1:4">
      <c r="A1542" s="83" t="s">
        <v>7295</v>
      </c>
      <c r="B1542" s="83" t="s">
        <v>5010</v>
      </c>
      <c r="C1542" s="83" t="s">
        <v>7300</v>
      </c>
      <c r="D1542" s="83" t="s">
        <v>7297</v>
      </c>
    </row>
    <row r="1543" spans="1:4">
      <c r="A1543" s="83" t="s">
        <v>7301</v>
      </c>
      <c r="B1543" s="83" t="s">
        <v>5017</v>
      </c>
      <c r="C1543" s="83" t="s">
        <v>7302</v>
      </c>
      <c r="D1543" s="83" t="s">
        <v>7303</v>
      </c>
    </row>
    <row r="1544" spans="1:4">
      <c r="A1544" s="83" t="s">
        <v>7301</v>
      </c>
      <c r="B1544" s="83" t="s">
        <v>5012</v>
      </c>
      <c r="C1544" s="83" t="s">
        <v>7304</v>
      </c>
      <c r="D1544" s="83" t="s">
        <v>7303</v>
      </c>
    </row>
    <row r="1545" spans="1:4">
      <c r="A1545" s="83" t="s">
        <v>7301</v>
      </c>
      <c r="B1545" s="83" t="s">
        <v>5015</v>
      </c>
      <c r="C1545" s="83" t="s">
        <v>7305</v>
      </c>
      <c r="D1545" s="83" t="s">
        <v>7303</v>
      </c>
    </row>
    <row r="1546" spans="1:4">
      <c r="A1546" s="83" t="s">
        <v>7301</v>
      </c>
      <c r="B1546" s="83" t="s">
        <v>5010</v>
      </c>
      <c r="C1546" s="83" t="s">
        <v>7306</v>
      </c>
      <c r="D1546" s="83" t="s">
        <v>7303</v>
      </c>
    </row>
    <row r="1547" spans="1:4">
      <c r="A1547" s="83" t="s">
        <v>7307</v>
      </c>
      <c r="B1547" s="83" t="s">
        <v>5017</v>
      </c>
      <c r="C1547" s="83" t="s">
        <v>7308</v>
      </c>
      <c r="D1547" s="83" t="s">
        <v>7309</v>
      </c>
    </row>
    <row r="1548" spans="1:4">
      <c r="A1548" s="83" t="s">
        <v>7307</v>
      </c>
      <c r="B1548" s="83" t="s">
        <v>5012</v>
      </c>
      <c r="C1548" s="83" t="s">
        <v>7310</v>
      </c>
      <c r="D1548" s="83" t="s">
        <v>7309</v>
      </c>
    </row>
    <row r="1549" spans="1:4">
      <c r="A1549" s="83" t="s">
        <v>7307</v>
      </c>
      <c r="B1549" s="83" t="s">
        <v>5015</v>
      </c>
      <c r="C1549" s="83" t="s">
        <v>7311</v>
      </c>
      <c r="D1549" s="83" t="s">
        <v>7309</v>
      </c>
    </row>
    <row r="1550" spans="1:4">
      <c r="A1550" s="83" t="s">
        <v>7307</v>
      </c>
      <c r="B1550" s="83" t="s">
        <v>5010</v>
      </c>
      <c r="C1550" s="83" t="s">
        <v>7312</v>
      </c>
      <c r="D1550" s="83" t="s">
        <v>7309</v>
      </c>
    </row>
    <row r="1551" spans="1:4">
      <c r="A1551" s="83" t="s">
        <v>7313</v>
      </c>
      <c r="B1551" s="83" t="s">
        <v>5017</v>
      </c>
      <c r="C1551" s="83" t="s">
        <v>7314</v>
      </c>
      <c r="D1551" s="83" t="s">
        <v>7315</v>
      </c>
    </row>
    <row r="1552" spans="1:4">
      <c r="A1552" s="83" t="s">
        <v>7313</v>
      </c>
      <c r="B1552" s="83" t="s">
        <v>5012</v>
      </c>
      <c r="C1552" s="83" t="s">
        <v>7316</v>
      </c>
      <c r="D1552" s="83" t="s">
        <v>7315</v>
      </c>
    </row>
    <row r="1553" spans="1:4">
      <c r="A1553" s="83" t="s">
        <v>7313</v>
      </c>
      <c r="B1553" s="83" t="s">
        <v>5015</v>
      </c>
      <c r="C1553" s="83" t="s">
        <v>7317</v>
      </c>
      <c r="D1553" s="83" t="s">
        <v>7315</v>
      </c>
    </row>
    <row r="1554" spans="1:4">
      <c r="A1554" s="83" t="s">
        <v>7313</v>
      </c>
      <c r="B1554" s="83" t="s">
        <v>5010</v>
      </c>
      <c r="C1554" s="83" t="s">
        <v>7318</v>
      </c>
      <c r="D1554" s="83" t="s">
        <v>7315</v>
      </c>
    </row>
    <row r="1555" spans="1:4">
      <c r="A1555" s="83" t="s">
        <v>7319</v>
      </c>
      <c r="B1555" s="83" t="s">
        <v>5017</v>
      </c>
      <c r="C1555" s="83" t="s">
        <v>7320</v>
      </c>
      <c r="D1555" s="83" t="s">
        <v>7321</v>
      </c>
    </row>
    <row r="1556" spans="1:4">
      <c r="A1556" s="83" t="s">
        <v>7319</v>
      </c>
      <c r="B1556" s="83" t="s">
        <v>5012</v>
      </c>
      <c r="C1556" s="83" t="s">
        <v>7322</v>
      </c>
      <c r="D1556" s="83" t="s">
        <v>7321</v>
      </c>
    </row>
    <row r="1557" spans="1:4">
      <c r="A1557" s="83" t="s">
        <v>7319</v>
      </c>
      <c r="B1557" s="83" t="s">
        <v>5015</v>
      </c>
      <c r="C1557" s="83" t="s">
        <v>7323</v>
      </c>
      <c r="D1557" s="83" t="s">
        <v>7321</v>
      </c>
    </row>
    <row r="1558" spans="1:4">
      <c r="A1558" s="83" t="s">
        <v>7319</v>
      </c>
      <c r="B1558" s="83" t="s">
        <v>5010</v>
      </c>
      <c r="C1558" s="83" t="s">
        <v>7324</v>
      </c>
      <c r="D1558" s="83" t="s">
        <v>7321</v>
      </c>
    </row>
    <row r="1559" spans="1:4">
      <c r="A1559" s="83" t="s">
        <v>7325</v>
      </c>
      <c r="B1559" s="83" t="s">
        <v>5017</v>
      </c>
      <c r="C1559" s="83" t="s">
        <v>7326</v>
      </c>
      <c r="D1559" s="83" t="s">
        <v>7327</v>
      </c>
    </row>
    <row r="1560" spans="1:4">
      <c r="A1560" s="83" t="s">
        <v>7325</v>
      </c>
      <c r="B1560" s="83" t="s">
        <v>5012</v>
      </c>
      <c r="C1560" s="83" t="s">
        <v>7328</v>
      </c>
      <c r="D1560" s="83" t="s">
        <v>7327</v>
      </c>
    </row>
    <row r="1561" spans="1:4">
      <c r="A1561" s="83" t="s">
        <v>7325</v>
      </c>
      <c r="B1561" s="83" t="s">
        <v>5015</v>
      </c>
      <c r="C1561" s="83" t="s">
        <v>7329</v>
      </c>
      <c r="D1561" s="83" t="s">
        <v>7327</v>
      </c>
    </row>
    <row r="1562" spans="1:4">
      <c r="A1562" s="83" t="s">
        <v>7325</v>
      </c>
      <c r="B1562" s="83" t="s">
        <v>5010</v>
      </c>
      <c r="C1562" s="83" t="s">
        <v>7330</v>
      </c>
      <c r="D1562" s="83" t="s">
        <v>7327</v>
      </c>
    </row>
    <row r="1563" spans="1:4">
      <c r="A1563" s="83" t="s">
        <v>7331</v>
      </c>
      <c r="B1563" s="83" t="s">
        <v>5017</v>
      </c>
      <c r="C1563" s="83" t="s">
        <v>7332</v>
      </c>
      <c r="D1563" s="83" t="s">
        <v>7333</v>
      </c>
    </row>
    <row r="1564" spans="1:4">
      <c r="A1564" s="83" t="s">
        <v>7331</v>
      </c>
      <c r="B1564" s="83" t="s">
        <v>5012</v>
      </c>
      <c r="C1564" s="83" t="s">
        <v>7334</v>
      </c>
      <c r="D1564" s="83" t="s">
        <v>7333</v>
      </c>
    </row>
    <row r="1565" spans="1:4">
      <c r="A1565" s="83" t="s">
        <v>7331</v>
      </c>
      <c r="B1565" s="83" t="s">
        <v>5015</v>
      </c>
      <c r="C1565" s="83" t="s">
        <v>7335</v>
      </c>
      <c r="D1565" s="83" t="s">
        <v>7333</v>
      </c>
    </row>
    <row r="1566" spans="1:4">
      <c r="A1566" s="83" t="s">
        <v>7331</v>
      </c>
      <c r="B1566" s="83" t="s">
        <v>5010</v>
      </c>
      <c r="C1566" s="83" t="s">
        <v>7336</v>
      </c>
      <c r="D1566" s="83" t="s">
        <v>7333</v>
      </c>
    </row>
    <row r="1567" spans="1:4">
      <c r="A1567" s="83" t="s">
        <v>7337</v>
      </c>
      <c r="B1567" s="83" t="s">
        <v>5017</v>
      </c>
      <c r="C1567" s="83" t="s">
        <v>7338</v>
      </c>
      <c r="D1567" s="83" t="s">
        <v>7339</v>
      </c>
    </row>
    <row r="1568" spans="1:4">
      <c r="A1568" s="83" t="s">
        <v>7337</v>
      </c>
      <c r="B1568" s="83" t="s">
        <v>5012</v>
      </c>
      <c r="C1568" s="83" t="s">
        <v>7292</v>
      </c>
      <c r="D1568" s="83" t="s">
        <v>7339</v>
      </c>
    </row>
    <row r="1569" spans="1:4">
      <c r="A1569" s="83" t="s">
        <v>7337</v>
      </c>
      <c r="B1569" s="83" t="s">
        <v>5015</v>
      </c>
      <c r="C1569" s="83" t="s">
        <v>7340</v>
      </c>
      <c r="D1569" s="83" t="s">
        <v>7339</v>
      </c>
    </row>
    <row r="1570" spans="1:4">
      <c r="A1570" s="83" t="s">
        <v>7337</v>
      </c>
      <c r="B1570" s="83" t="s">
        <v>5010</v>
      </c>
      <c r="C1570" s="83" t="s">
        <v>7341</v>
      </c>
      <c r="D1570" s="83" t="s">
        <v>7339</v>
      </c>
    </row>
    <row r="1571" spans="1:4">
      <c r="A1571" s="83" t="s">
        <v>7342</v>
      </c>
      <c r="B1571" s="83" t="s">
        <v>5017</v>
      </c>
      <c r="C1571" s="83" t="s">
        <v>7343</v>
      </c>
      <c r="D1571" s="83" t="s">
        <v>7344</v>
      </c>
    </row>
    <row r="1572" spans="1:4">
      <c r="A1572" s="83" t="s">
        <v>7342</v>
      </c>
      <c r="B1572" s="83" t="s">
        <v>5012</v>
      </c>
      <c r="C1572" s="83" t="s">
        <v>7345</v>
      </c>
      <c r="D1572" s="83" t="s">
        <v>7344</v>
      </c>
    </row>
    <row r="1573" spans="1:4">
      <c r="A1573" s="83" t="s">
        <v>7342</v>
      </c>
      <c r="B1573" s="83" t="s">
        <v>5015</v>
      </c>
      <c r="C1573" s="83" t="s">
        <v>7346</v>
      </c>
      <c r="D1573" s="83" t="s">
        <v>7344</v>
      </c>
    </row>
    <row r="1574" spans="1:4">
      <c r="A1574" s="83" t="s">
        <v>7342</v>
      </c>
      <c r="B1574" s="83" t="s">
        <v>5010</v>
      </c>
      <c r="C1574" s="83" t="s">
        <v>7347</v>
      </c>
      <c r="D1574" s="83" t="s">
        <v>7344</v>
      </c>
    </row>
    <row r="1575" spans="1:4">
      <c r="A1575" s="83" t="s">
        <v>7348</v>
      </c>
      <c r="B1575" s="83" t="s">
        <v>5017</v>
      </c>
      <c r="C1575" s="83" t="s">
        <v>7349</v>
      </c>
      <c r="D1575" s="83" t="s">
        <v>7350</v>
      </c>
    </row>
    <row r="1576" spans="1:4">
      <c r="A1576" s="83" t="s">
        <v>7348</v>
      </c>
      <c r="B1576" s="83" t="s">
        <v>5012</v>
      </c>
      <c r="C1576" s="83" t="s">
        <v>7351</v>
      </c>
      <c r="D1576" s="83" t="s">
        <v>7350</v>
      </c>
    </row>
    <row r="1577" spans="1:4">
      <c r="A1577" s="83" t="s">
        <v>7348</v>
      </c>
      <c r="B1577" s="83" t="s">
        <v>5015</v>
      </c>
      <c r="C1577" s="83" t="s">
        <v>7352</v>
      </c>
      <c r="D1577" s="83" t="s">
        <v>7350</v>
      </c>
    </row>
    <row r="1578" spans="1:4">
      <c r="A1578" s="83" t="s">
        <v>7348</v>
      </c>
      <c r="B1578" s="83" t="s">
        <v>5010</v>
      </c>
      <c r="C1578" s="83" t="s">
        <v>7353</v>
      </c>
      <c r="D1578" s="83" t="s">
        <v>7350</v>
      </c>
    </row>
    <row r="1579" spans="1:4">
      <c r="A1579" s="83" t="s">
        <v>7354</v>
      </c>
      <c r="B1579" s="83" t="s">
        <v>5017</v>
      </c>
      <c r="C1579" s="83" t="s">
        <v>7355</v>
      </c>
      <c r="D1579" s="83" t="s">
        <v>7356</v>
      </c>
    </row>
    <row r="1580" spans="1:4">
      <c r="A1580" s="83" t="s">
        <v>7354</v>
      </c>
      <c r="B1580" s="83" t="s">
        <v>5012</v>
      </c>
      <c r="C1580" s="83" t="s">
        <v>7357</v>
      </c>
      <c r="D1580" s="83" t="s">
        <v>7356</v>
      </c>
    </row>
    <row r="1581" spans="1:4">
      <c r="A1581" s="83" t="s">
        <v>7354</v>
      </c>
      <c r="B1581" s="83" t="s">
        <v>5015</v>
      </c>
      <c r="C1581" s="83" t="s">
        <v>7358</v>
      </c>
      <c r="D1581" s="83" t="s">
        <v>7356</v>
      </c>
    </row>
    <row r="1582" spans="1:4">
      <c r="A1582" s="83" t="s">
        <v>7354</v>
      </c>
      <c r="B1582" s="83" t="s">
        <v>5010</v>
      </c>
      <c r="C1582" s="83" t="s">
        <v>7359</v>
      </c>
      <c r="D1582" s="83" t="s">
        <v>7356</v>
      </c>
    </row>
    <row r="1583" spans="1:4">
      <c r="A1583" s="83" t="s">
        <v>7360</v>
      </c>
      <c r="B1583" s="83" t="s">
        <v>5017</v>
      </c>
      <c r="C1583" s="83" t="s">
        <v>7361</v>
      </c>
      <c r="D1583" s="83" t="s">
        <v>7362</v>
      </c>
    </row>
    <row r="1584" spans="1:4">
      <c r="A1584" s="83" t="s">
        <v>7360</v>
      </c>
      <c r="B1584" s="83" t="s">
        <v>5012</v>
      </c>
      <c r="C1584" s="83" t="s">
        <v>7363</v>
      </c>
      <c r="D1584" s="83" t="s">
        <v>7362</v>
      </c>
    </row>
    <row r="1585" spans="1:4">
      <c r="A1585" s="83" t="s">
        <v>7360</v>
      </c>
      <c r="B1585" s="83" t="s">
        <v>5015</v>
      </c>
      <c r="C1585" s="83" t="s">
        <v>7364</v>
      </c>
      <c r="D1585" s="83" t="s">
        <v>7362</v>
      </c>
    </row>
    <row r="1586" spans="1:4">
      <c r="A1586" s="83" t="s">
        <v>7360</v>
      </c>
      <c r="B1586" s="83" t="s">
        <v>5010</v>
      </c>
      <c r="C1586" s="83" t="s">
        <v>7365</v>
      </c>
      <c r="D1586" s="83" t="s">
        <v>7362</v>
      </c>
    </row>
    <row r="1587" spans="1:4">
      <c r="A1587" s="83" t="s">
        <v>7366</v>
      </c>
      <c r="B1587" s="83" t="s">
        <v>5017</v>
      </c>
      <c r="C1587" s="83" t="s">
        <v>7367</v>
      </c>
      <c r="D1587" s="83" t="s">
        <v>7368</v>
      </c>
    </row>
    <row r="1588" spans="1:4">
      <c r="A1588" s="83" t="s">
        <v>7366</v>
      </c>
      <c r="B1588" s="83" t="s">
        <v>5012</v>
      </c>
      <c r="C1588" s="83" t="s">
        <v>7369</v>
      </c>
      <c r="D1588" s="83" t="s">
        <v>7368</v>
      </c>
    </row>
    <row r="1589" spans="1:4">
      <c r="A1589" s="83" t="s">
        <v>7366</v>
      </c>
      <c r="B1589" s="83" t="s">
        <v>5015</v>
      </c>
      <c r="C1589" s="83" t="s">
        <v>7370</v>
      </c>
      <c r="D1589" s="83" t="s">
        <v>7368</v>
      </c>
    </row>
    <row r="1590" spans="1:4">
      <c r="A1590" s="83" t="s">
        <v>7366</v>
      </c>
      <c r="B1590" s="83" t="s">
        <v>5010</v>
      </c>
      <c r="C1590" s="83" t="s">
        <v>7371</v>
      </c>
      <c r="D1590" s="83" t="s">
        <v>7368</v>
      </c>
    </row>
    <row r="1591" spans="1:4">
      <c r="A1591" s="83" t="s">
        <v>7372</v>
      </c>
      <c r="B1591" s="83" t="s">
        <v>5017</v>
      </c>
      <c r="C1591" s="83" t="s">
        <v>7373</v>
      </c>
      <c r="D1591" s="83" t="s">
        <v>7374</v>
      </c>
    </row>
    <row r="1592" spans="1:4">
      <c r="A1592" s="83" t="s">
        <v>7372</v>
      </c>
      <c r="B1592" s="83" t="s">
        <v>5012</v>
      </c>
      <c r="C1592" s="83" t="s">
        <v>7375</v>
      </c>
      <c r="D1592" s="83" t="s">
        <v>7374</v>
      </c>
    </row>
    <row r="1593" spans="1:4">
      <c r="A1593" s="83" t="s">
        <v>7372</v>
      </c>
      <c r="B1593" s="83" t="s">
        <v>5015</v>
      </c>
      <c r="C1593" s="83" t="s">
        <v>7376</v>
      </c>
      <c r="D1593" s="83" t="s">
        <v>7374</v>
      </c>
    </row>
    <row r="1594" spans="1:4">
      <c r="A1594" s="83" t="s">
        <v>7372</v>
      </c>
      <c r="B1594" s="83" t="s">
        <v>5010</v>
      </c>
      <c r="C1594" s="83" t="s">
        <v>7377</v>
      </c>
      <c r="D1594" s="83" t="s">
        <v>7374</v>
      </c>
    </row>
    <row r="1595" spans="1:4">
      <c r="A1595" s="83" t="s">
        <v>7378</v>
      </c>
      <c r="B1595" s="83" t="s">
        <v>5017</v>
      </c>
      <c r="C1595" s="83" t="s">
        <v>7379</v>
      </c>
      <c r="D1595" s="83" t="s">
        <v>7380</v>
      </c>
    </row>
    <row r="1596" spans="1:4">
      <c r="A1596" s="83" t="s">
        <v>7378</v>
      </c>
      <c r="B1596" s="83" t="s">
        <v>5012</v>
      </c>
      <c r="C1596" s="83" t="s">
        <v>7381</v>
      </c>
      <c r="D1596" s="83" t="s">
        <v>7380</v>
      </c>
    </row>
    <row r="1597" spans="1:4">
      <c r="A1597" s="83" t="s">
        <v>7378</v>
      </c>
      <c r="B1597" s="83" t="s">
        <v>5015</v>
      </c>
      <c r="C1597" s="83" t="s">
        <v>7382</v>
      </c>
      <c r="D1597" s="83" t="s">
        <v>7380</v>
      </c>
    </row>
    <row r="1598" spans="1:4">
      <c r="A1598" s="83" t="s">
        <v>7378</v>
      </c>
      <c r="B1598" s="83" t="s">
        <v>5010</v>
      </c>
      <c r="C1598" s="83" t="s">
        <v>7383</v>
      </c>
      <c r="D1598" s="83" t="s">
        <v>7380</v>
      </c>
    </row>
    <row r="1599" spans="1:4">
      <c r="A1599" s="83" t="s">
        <v>7384</v>
      </c>
      <c r="B1599" s="83" t="s">
        <v>5017</v>
      </c>
      <c r="C1599" s="83" t="s">
        <v>7385</v>
      </c>
      <c r="D1599" s="83" t="s">
        <v>7386</v>
      </c>
    </row>
    <row r="1600" spans="1:4">
      <c r="A1600" s="83" t="s">
        <v>7384</v>
      </c>
      <c r="B1600" s="83" t="s">
        <v>5012</v>
      </c>
      <c r="C1600" s="83" t="s">
        <v>7387</v>
      </c>
      <c r="D1600" s="83" t="s">
        <v>7386</v>
      </c>
    </row>
    <row r="1601" spans="1:4">
      <c r="A1601" s="83" t="s">
        <v>7384</v>
      </c>
      <c r="B1601" s="83" t="s">
        <v>5015</v>
      </c>
      <c r="C1601" s="83" t="s">
        <v>7388</v>
      </c>
      <c r="D1601" s="83" t="s">
        <v>7386</v>
      </c>
    </row>
    <row r="1602" spans="1:4">
      <c r="A1602" s="83" t="s">
        <v>7384</v>
      </c>
      <c r="B1602" s="83" t="s">
        <v>5010</v>
      </c>
      <c r="C1602" s="83" t="s">
        <v>7389</v>
      </c>
      <c r="D1602" s="83" t="s">
        <v>7386</v>
      </c>
    </row>
    <row r="1603" spans="1:4">
      <c r="A1603" s="83" t="s">
        <v>7390</v>
      </c>
      <c r="B1603" s="83" t="s">
        <v>5017</v>
      </c>
      <c r="C1603" s="83" t="s">
        <v>7391</v>
      </c>
      <c r="D1603" s="83" t="s">
        <v>7392</v>
      </c>
    </row>
    <row r="1604" spans="1:4">
      <c r="A1604" s="83" t="s">
        <v>7390</v>
      </c>
      <c r="B1604" s="83" t="s">
        <v>5012</v>
      </c>
      <c r="C1604" s="83" t="s">
        <v>7393</v>
      </c>
      <c r="D1604" s="83" t="s">
        <v>7392</v>
      </c>
    </row>
    <row r="1605" spans="1:4">
      <c r="A1605" s="83" t="s">
        <v>7390</v>
      </c>
      <c r="B1605" s="83" t="s">
        <v>5015</v>
      </c>
      <c r="C1605" s="83" t="s">
        <v>7394</v>
      </c>
      <c r="D1605" s="83" t="s">
        <v>7392</v>
      </c>
    </row>
    <row r="1606" spans="1:4">
      <c r="A1606" s="83" t="s">
        <v>7390</v>
      </c>
      <c r="B1606" s="83" t="s">
        <v>5010</v>
      </c>
      <c r="C1606" s="83" t="s">
        <v>7395</v>
      </c>
      <c r="D1606" s="83" t="s">
        <v>7392</v>
      </c>
    </row>
    <row r="1607" spans="1:4">
      <c r="A1607" s="83" t="s">
        <v>7396</v>
      </c>
      <c r="B1607" s="83" t="s">
        <v>5017</v>
      </c>
      <c r="C1607" s="83" t="s">
        <v>7397</v>
      </c>
      <c r="D1607" s="83" t="s">
        <v>7398</v>
      </c>
    </row>
    <row r="1608" spans="1:4">
      <c r="A1608" s="83" t="s">
        <v>7396</v>
      </c>
      <c r="B1608" s="83" t="s">
        <v>5012</v>
      </c>
      <c r="C1608" s="83" t="s">
        <v>7399</v>
      </c>
      <c r="D1608" s="83" t="s">
        <v>7398</v>
      </c>
    </row>
    <row r="1609" spans="1:4">
      <c r="A1609" s="83" t="s">
        <v>7396</v>
      </c>
      <c r="B1609" s="83" t="s">
        <v>5015</v>
      </c>
      <c r="C1609" s="83" t="s">
        <v>7400</v>
      </c>
      <c r="D1609" s="83" t="s">
        <v>7398</v>
      </c>
    </row>
    <row r="1610" spans="1:4">
      <c r="A1610" s="83" t="s">
        <v>7396</v>
      </c>
      <c r="B1610" s="83" t="s">
        <v>5010</v>
      </c>
      <c r="C1610" s="83" t="s">
        <v>7401</v>
      </c>
      <c r="D1610" s="83" t="s">
        <v>7398</v>
      </c>
    </row>
    <row r="1611" spans="1:4">
      <c r="A1611" s="83" t="s">
        <v>7402</v>
      </c>
      <c r="B1611" s="83" t="s">
        <v>5017</v>
      </c>
      <c r="C1611" s="83" t="s">
        <v>7403</v>
      </c>
      <c r="D1611" s="83" t="s">
        <v>7404</v>
      </c>
    </row>
    <row r="1612" spans="1:4">
      <c r="A1612" s="83" t="s">
        <v>7402</v>
      </c>
      <c r="B1612" s="83" t="s">
        <v>5012</v>
      </c>
      <c r="C1612" s="83" t="s">
        <v>7405</v>
      </c>
      <c r="D1612" s="83" t="s">
        <v>7404</v>
      </c>
    </row>
    <row r="1613" spans="1:4">
      <c r="A1613" s="83" t="s">
        <v>7402</v>
      </c>
      <c r="B1613" s="83" t="s">
        <v>5015</v>
      </c>
      <c r="C1613" s="83" t="s">
        <v>7406</v>
      </c>
      <c r="D1613" s="83" t="s">
        <v>7404</v>
      </c>
    </row>
    <row r="1614" spans="1:4">
      <c r="A1614" s="83" t="s">
        <v>7402</v>
      </c>
      <c r="B1614" s="83" t="s">
        <v>5010</v>
      </c>
      <c r="C1614" s="83" t="s">
        <v>7407</v>
      </c>
      <c r="D1614" s="83" t="s">
        <v>7404</v>
      </c>
    </row>
    <row r="1615" spans="1:4">
      <c r="A1615" s="83" t="s">
        <v>7408</v>
      </c>
      <c r="B1615" s="83" t="s">
        <v>5017</v>
      </c>
      <c r="C1615" s="83" t="s">
        <v>7409</v>
      </c>
      <c r="D1615" s="83" t="s">
        <v>7410</v>
      </c>
    </row>
    <row r="1616" spans="1:4">
      <c r="A1616" s="83" t="s">
        <v>7408</v>
      </c>
      <c r="B1616" s="83" t="s">
        <v>5012</v>
      </c>
      <c r="C1616" s="83" t="s">
        <v>7411</v>
      </c>
      <c r="D1616" s="83" t="s">
        <v>7410</v>
      </c>
    </row>
    <row r="1617" spans="1:4">
      <c r="A1617" s="83" t="s">
        <v>7408</v>
      </c>
      <c r="B1617" s="83" t="s">
        <v>5015</v>
      </c>
      <c r="C1617" s="83" t="s">
        <v>7412</v>
      </c>
      <c r="D1617" s="83" t="s">
        <v>7410</v>
      </c>
    </row>
    <row r="1618" spans="1:4">
      <c r="A1618" s="83" t="s">
        <v>7408</v>
      </c>
      <c r="B1618" s="83" t="s">
        <v>5010</v>
      </c>
      <c r="C1618" s="83" t="s">
        <v>7413</v>
      </c>
      <c r="D1618" s="83" t="s">
        <v>7410</v>
      </c>
    </row>
    <row r="1619" spans="1:4">
      <c r="A1619" s="83" t="s">
        <v>7414</v>
      </c>
      <c r="B1619" s="83" t="s">
        <v>5017</v>
      </c>
      <c r="C1619" s="83" t="s">
        <v>7415</v>
      </c>
      <c r="D1619" s="83" t="s">
        <v>7416</v>
      </c>
    </row>
    <row r="1620" spans="1:4">
      <c r="A1620" s="83" t="s">
        <v>7414</v>
      </c>
      <c r="B1620" s="83" t="s">
        <v>5012</v>
      </c>
      <c r="C1620" s="83" t="s">
        <v>7417</v>
      </c>
      <c r="D1620" s="83" t="s">
        <v>7416</v>
      </c>
    </row>
    <row r="1621" spans="1:4">
      <c r="A1621" s="83" t="s">
        <v>7414</v>
      </c>
      <c r="B1621" s="83" t="s">
        <v>5015</v>
      </c>
      <c r="C1621" s="83" t="s">
        <v>7418</v>
      </c>
      <c r="D1621" s="83" t="s">
        <v>7416</v>
      </c>
    </row>
    <row r="1622" spans="1:4">
      <c r="A1622" s="83" t="s">
        <v>7414</v>
      </c>
      <c r="B1622" s="83" t="s">
        <v>5010</v>
      </c>
      <c r="C1622" s="83" t="s">
        <v>7419</v>
      </c>
      <c r="D1622" s="83" t="s">
        <v>7416</v>
      </c>
    </row>
    <row r="1623" spans="1:4">
      <c r="A1623" s="83" t="s">
        <v>7420</v>
      </c>
      <c r="B1623" s="83" t="s">
        <v>5017</v>
      </c>
      <c r="C1623" s="83" t="s">
        <v>7421</v>
      </c>
      <c r="D1623" s="83" t="s">
        <v>7422</v>
      </c>
    </row>
    <row r="1624" spans="1:4">
      <c r="A1624" s="83" t="s">
        <v>7420</v>
      </c>
      <c r="B1624" s="83" t="s">
        <v>5012</v>
      </c>
      <c r="C1624" s="83" t="s">
        <v>7423</v>
      </c>
      <c r="D1624" s="83" t="s">
        <v>7422</v>
      </c>
    </row>
    <row r="1625" spans="1:4">
      <c r="A1625" s="83" t="s">
        <v>7420</v>
      </c>
      <c r="B1625" s="83" t="s">
        <v>5015</v>
      </c>
      <c r="C1625" s="83" t="s">
        <v>7424</v>
      </c>
      <c r="D1625" s="83" t="s">
        <v>7422</v>
      </c>
    </row>
    <row r="1626" spans="1:4">
      <c r="A1626" s="83" t="s">
        <v>7420</v>
      </c>
      <c r="B1626" s="83" t="s">
        <v>5010</v>
      </c>
      <c r="C1626" s="83" t="s">
        <v>7425</v>
      </c>
      <c r="D1626" s="83" t="s">
        <v>7422</v>
      </c>
    </row>
    <row r="1627" spans="1:4">
      <c r="A1627" s="83" t="s">
        <v>7426</v>
      </c>
      <c r="B1627" s="83" t="s">
        <v>5017</v>
      </c>
      <c r="C1627" s="83" t="s">
        <v>7427</v>
      </c>
      <c r="D1627" s="83" t="s">
        <v>7428</v>
      </c>
    </row>
    <row r="1628" spans="1:4">
      <c r="A1628" s="83" t="s">
        <v>7426</v>
      </c>
      <c r="B1628" s="83" t="s">
        <v>5012</v>
      </c>
      <c r="C1628" s="83" t="s">
        <v>7429</v>
      </c>
      <c r="D1628" s="83" t="s">
        <v>7428</v>
      </c>
    </row>
    <row r="1629" spans="1:4">
      <c r="A1629" s="83" t="s">
        <v>7426</v>
      </c>
      <c r="B1629" s="83" t="s">
        <v>5015</v>
      </c>
      <c r="C1629" s="83" t="s">
        <v>7430</v>
      </c>
      <c r="D1629" s="83" t="s">
        <v>7428</v>
      </c>
    </row>
    <row r="1630" spans="1:4">
      <c r="A1630" s="83" t="s">
        <v>7426</v>
      </c>
      <c r="B1630" s="83" t="s">
        <v>5010</v>
      </c>
      <c r="C1630" s="83" t="s">
        <v>7431</v>
      </c>
      <c r="D1630" s="83" t="s">
        <v>7428</v>
      </c>
    </row>
    <row r="1631" spans="1:4">
      <c r="A1631" s="83" t="s">
        <v>7432</v>
      </c>
      <c r="B1631" s="83" t="s">
        <v>5017</v>
      </c>
      <c r="C1631" s="83" t="s">
        <v>7433</v>
      </c>
      <c r="D1631" s="83" t="s">
        <v>7434</v>
      </c>
    </row>
    <row r="1632" spans="1:4">
      <c r="A1632" s="83" t="s">
        <v>7432</v>
      </c>
      <c r="B1632" s="83" t="s">
        <v>5012</v>
      </c>
      <c r="C1632" s="83" t="s">
        <v>7435</v>
      </c>
      <c r="D1632" s="83" t="s">
        <v>7434</v>
      </c>
    </row>
    <row r="1633" spans="1:4">
      <c r="A1633" s="83" t="s">
        <v>7432</v>
      </c>
      <c r="B1633" s="83" t="s">
        <v>5015</v>
      </c>
      <c r="C1633" s="83" t="s">
        <v>7436</v>
      </c>
      <c r="D1633" s="83" t="s">
        <v>7434</v>
      </c>
    </row>
    <row r="1634" spans="1:4">
      <c r="A1634" s="83" t="s">
        <v>7432</v>
      </c>
      <c r="B1634" s="83" t="s">
        <v>5010</v>
      </c>
      <c r="C1634" s="83" t="s">
        <v>7437</v>
      </c>
      <c r="D1634" s="83" t="s">
        <v>7434</v>
      </c>
    </row>
    <row r="1635" spans="1:4">
      <c r="A1635" s="83" t="s">
        <v>7438</v>
      </c>
      <c r="B1635" s="83" t="s">
        <v>5017</v>
      </c>
      <c r="C1635" s="83" t="s">
        <v>7439</v>
      </c>
      <c r="D1635" s="83" t="s">
        <v>7440</v>
      </c>
    </row>
    <row r="1636" spans="1:4">
      <c r="A1636" s="83" t="s">
        <v>7438</v>
      </c>
      <c r="B1636" s="83" t="s">
        <v>5012</v>
      </c>
      <c r="C1636" s="83" t="s">
        <v>7441</v>
      </c>
      <c r="D1636" s="83" t="s">
        <v>7440</v>
      </c>
    </row>
    <row r="1637" spans="1:4">
      <c r="A1637" s="83" t="s">
        <v>7438</v>
      </c>
      <c r="B1637" s="83" t="s">
        <v>5015</v>
      </c>
      <c r="C1637" s="83" t="s">
        <v>7442</v>
      </c>
      <c r="D1637" s="83" t="s">
        <v>7440</v>
      </c>
    </row>
    <row r="1638" spans="1:4">
      <c r="A1638" s="83" t="s">
        <v>7438</v>
      </c>
      <c r="B1638" s="83" t="s">
        <v>5010</v>
      </c>
      <c r="C1638" s="83" t="s">
        <v>7443</v>
      </c>
      <c r="D1638" s="83" t="s">
        <v>7440</v>
      </c>
    </row>
    <row r="1639" spans="1:4">
      <c r="A1639" s="83" t="s">
        <v>7444</v>
      </c>
      <c r="B1639" s="83" t="s">
        <v>5017</v>
      </c>
      <c r="C1639" s="83" t="s">
        <v>7445</v>
      </c>
      <c r="D1639" s="83" t="s">
        <v>7446</v>
      </c>
    </row>
    <row r="1640" spans="1:4">
      <c r="A1640" s="83" t="s">
        <v>7444</v>
      </c>
      <c r="B1640" s="83" t="s">
        <v>5012</v>
      </c>
      <c r="C1640" s="83" t="s">
        <v>7447</v>
      </c>
      <c r="D1640" s="83" t="s">
        <v>7446</v>
      </c>
    </row>
    <row r="1641" spans="1:4">
      <c r="A1641" s="83" t="s">
        <v>7444</v>
      </c>
      <c r="B1641" s="83" t="s">
        <v>5015</v>
      </c>
      <c r="C1641" s="83" t="s">
        <v>7448</v>
      </c>
      <c r="D1641" s="83" t="s">
        <v>7446</v>
      </c>
    </row>
    <row r="1642" spans="1:4">
      <c r="A1642" s="83" t="s">
        <v>7444</v>
      </c>
      <c r="B1642" s="83" t="s">
        <v>5010</v>
      </c>
      <c r="C1642" s="83" t="s">
        <v>7449</v>
      </c>
      <c r="D1642" s="83" t="s">
        <v>7446</v>
      </c>
    </row>
    <row r="1643" spans="1:4">
      <c r="A1643" s="83" t="s">
        <v>7450</v>
      </c>
      <c r="B1643" s="83" t="s">
        <v>5017</v>
      </c>
      <c r="C1643" s="83" t="s">
        <v>7451</v>
      </c>
      <c r="D1643" s="83" t="s">
        <v>7452</v>
      </c>
    </row>
    <row r="1644" spans="1:4">
      <c r="A1644" s="83" t="s">
        <v>7450</v>
      </c>
      <c r="B1644" s="83" t="s">
        <v>5012</v>
      </c>
      <c r="C1644" s="83" t="s">
        <v>7453</v>
      </c>
      <c r="D1644" s="83" t="s">
        <v>7452</v>
      </c>
    </row>
    <row r="1645" spans="1:4">
      <c r="A1645" s="83" t="s">
        <v>7450</v>
      </c>
      <c r="B1645" s="83" t="s">
        <v>5015</v>
      </c>
      <c r="C1645" s="83" t="s">
        <v>7454</v>
      </c>
      <c r="D1645" s="83" t="s">
        <v>7452</v>
      </c>
    </row>
    <row r="1646" spans="1:4">
      <c r="A1646" s="83" t="s">
        <v>7450</v>
      </c>
      <c r="B1646" s="83" t="s">
        <v>5010</v>
      </c>
      <c r="C1646" s="83" t="s">
        <v>7455</v>
      </c>
      <c r="D1646" s="83" t="s">
        <v>7452</v>
      </c>
    </row>
    <row r="1647" spans="1:4">
      <c r="A1647" s="83" t="s">
        <v>7456</v>
      </c>
      <c r="B1647" s="83" t="s">
        <v>5017</v>
      </c>
      <c r="C1647" s="83" t="s">
        <v>7457</v>
      </c>
      <c r="D1647" s="83" t="s">
        <v>7458</v>
      </c>
    </row>
    <row r="1648" spans="1:4">
      <c r="A1648" s="83" t="s">
        <v>7456</v>
      </c>
      <c r="B1648" s="83" t="s">
        <v>5012</v>
      </c>
      <c r="C1648" s="83" t="s">
        <v>7459</v>
      </c>
      <c r="D1648" s="83" t="s">
        <v>7458</v>
      </c>
    </row>
    <row r="1649" spans="1:4">
      <c r="A1649" s="83" t="s">
        <v>7456</v>
      </c>
      <c r="B1649" s="83" t="s">
        <v>5015</v>
      </c>
      <c r="C1649" s="83" t="s">
        <v>7460</v>
      </c>
      <c r="D1649" s="83" t="s">
        <v>7458</v>
      </c>
    </row>
    <row r="1650" spans="1:4">
      <c r="A1650" s="83" t="s">
        <v>7456</v>
      </c>
      <c r="B1650" s="83" t="s">
        <v>5010</v>
      </c>
      <c r="C1650" s="83" t="s">
        <v>7461</v>
      </c>
      <c r="D1650" s="83" t="s">
        <v>7458</v>
      </c>
    </row>
    <row r="1651" spans="1:4">
      <c r="A1651" s="83" t="s">
        <v>7462</v>
      </c>
      <c r="B1651" s="83" t="s">
        <v>5017</v>
      </c>
      <c r="C1651" s="83" t="s">
        <v>7463</v>
      </c>
      <c r="D1651" s="83" t="s">
        <v>7464</v>
      </c>
    </row>
    <row r="1652" spans="1:4">
      <c r="A1652" s="83" t="s">
        <v>7462</v>
      </c>
      <c r="B1652" s="83" t="s">
        <v>5012</v>
      </c>
      <c r="C1652" s="83" t="s">
        <v>7465</v>
      </c>
      <c r="D1652" s="83" t="s">
        <v>7464</v>
      </c>
    </row>
    <row r="1653" spans="1:4">
      <c r="A1653" s="83" t="s">
        <v>7462</v>
      </c>
      <c r="B1653" s="83" t="s">
        <v>5015</v>
      </c>
      <c r="C1653" s="83" t="s">
        <v>7466</v>
      </c>
      <c r="D1653" s="83" t="s">
        <v>7464</v>
      </c>
    </row>
    <row r="1654" spans="1:4">
      <c r="A1654" s="83" t="s">
        <v>7462</v>
      </c>
      <c r="B1654" s="83" t="s">
        <v>5010</v>
      </c>
      <c r="C1654" s="83" t="s">
        <v>7467</v>
      </c>
      <c r="D1654" s="83" t="s">
        <v>7464</v>
      </c>
    </row>
    <row r="1655" spans="1:4">
      <c r="A1655" s="83" t="s">
        <v>7468</v>
      </c>
      <c r="B1655" s="83" t="s">
        <v>5017</v>
      </c>
      <c r="C1655" s="83" t="s">
        <v>7469</v>
      </c>
      <c r="D1655" s="83" t="s">
        <v>7470</v>
      </c>
    </row>
    <row r="1656" spans="1:4">
      <c r="A1656" s="83" t="s">
        <v>7468</v>
      </c>
      <c r="B1656" s="83" t="s">
        <v>5012</v>
      </c>
      <c r="C1656" s="83" t="s">
        <v>7471</v>
      </c>
      <c r="D1656" s="83" t="s">
        <v>7470</v>
      </c>
    </row>
    <row r="1657" spans="1:4">
      <c r="A1657" s="83" t="s">
        <v>7468</v>
      </c>
      <c r="B1657" s="83" t="s">
        <v>5015</v>
      </c>
      <c r="C1657" s="83" t="s">
        <v>7472</v>
      </c>
      <c r="D1657" s="83" t="s">
        <v>7470</v>
      </c>
    </row>
    <row r="1658" spans="1:4">
      <c r="A1658" s="83" t="s">
        <v>7468</v>
      </c>
      <c r="B1658" s="83" t="s">
        <v>5010</v>
      </c>
      <c r="C1658" s="83" t="s">
        <v>7473</v>
      </c>
      <c r="D1658" s="83" t="s">
        <v>7470</v>
      </c>
    </row>
    <row r="1659" spans="1:4">
      <c r="A1659" s="83" t="s">
        <v>7474</v>
      </c>
      <c r="B1659" s="83" t="s">
        <v>5017</v>
      </c>
      <c r="C1659" s="83" t="s">
        <v>7475</v>
      </c>
      <c r="D1659" s="83" t="s">
        <v>7476</v>
      </c>
    </row>
    <row r="1660" spans="1:4">
      <c r="A1660" s="83" t="s">
        <v>7474</v>
      </c>
      <c r="B1660" s="83" t="s">
        <v>5012</v>
      </c>
      <c r="C1660" s="83" t="s">
        <v>7477</v>
      </c>
      <c r="D1660" s="83" t="s">
        <v>7476</v>
      </c>
    </row>
    <row r="1661" spans="1:4">
      <c r="A1661" s="83" t="s">
        <v>7474</v>
      </c>
      <c r="B1661" s="83" t="s">
        <v>5015</v>
      </c>
      <c r="C1661" s="83" t="s">
        <v>7478</v>
      </c>
      <c r="D1661" s="83" t="s">
        <v>7476</v>
      </c>
    </row>
    <row r="1662" spans="1:4">
      <c r="A1662" s="83" t="s">
        <v>7474</v>
      </c>
      <c r="B1662" s="83" t="s">
        <v>5010</v>
      </c>
      <c r="C1662" s="83" t="s">
        <v>7479</v>
      </c>
      <c r="D1662" s="83" t="s">
        <v>7476</v>
      </c>
    </row>
    <row r="1663" spans="1:4">
      <c r="A1663" s="83" t="s">
        <v>7480</v>
      </c>
      <c r="B1663" s="83" t="s">
        <v>5017</v>
      </c>
      <c r="C1663" s="83" t="s">
        <v>7481</v>
      </c>
      <c r="D1663" s="83" t="s">
        <v>7482</v>
      </c>
    </row>
    <row r="1664" spans="1:4">
      <c r="A1664" s="83" t="s">
        <v>7480</v>
      </c>
      <c r="B1664" s="83" t="s">
        <v>5012</v>
      </c>
      <c r="C1664" s="83" t="s">
        <v>7483</v>
      </c>
      <c r="D1664" s="83" t="s">
        <v>7482</v>
      </c>
    </row>
    <row r="1665" spans="1:4">
      <c r="A1665" s="83" t="s">
        <v>7480</v>
      </c>
      <c r="B1665" s="83" t="s">
        <v>5015</v>
      </c>
      <c r="C1665" s="83" t="s">
        <v>7484</v>
      </c>
      <c r="D1665" s="83" t="s">
        <v>7482</v>
      </c>
    </row>
    <row r="1666" spans="1:4">
      <c r="A1666" s="83" t="s">
        <v>7480</v>
      </c>
      <c r="B1666" s="83" t="s">
        <v>5010</v>
      </c>
      <c r="C1666" s="83" t="s">
        <v>7485</v>
      </c>
      <c r="D1666" s="83" t="s">
        <v>7482</v>
      </c>
    </row>
    <row r="1667" spans="1:4">
      <c r="A1667" s="83" t="s">
        <v>7486</v>
      </c>
      <c r="B1667" s="83" t="s">
        <v>5017</v>
      </c>
      <c r="C1667" s="83" t="s">
        <v>7487</v>
      </c>
      <c r="D1667" s="83" t="s">
        <v>7488</v>
      </c>
    </row>
    <row r="1668" spans="1:4">
      <c r="A1668" s="83" t="s">
        <v>7486</v>
      </c>
      <c r="B1668" s="83" t="s">
        <v>5012</v>
      </c>
      <c r="C1668" s="83" t="s">
        <v>7489</v>
      </c>
      <c r="D1668" s="83" t="s">
        <v>7488</v>
      </c>
    </row>
    <row r="1669" spans="1:4">
      <c r="A1669" s="83" t="s">
        <v>7486</v>
      </c>
      <c r="B1669" s="83" t="s">
        <v>5015</v>
      </c>
      <c r="C1669" s="83" t="s">
        <v>7490</v>
      </c>
      <c r="D1669" s="83" t="s">
        <v>7488</v>
      </c>
    </row>
    <row r="1670" spans="1:4">
      <c r="A1670" s="83" t="s">
        <v>7486</v>
      </c>
      <c r="B1670" s="83" t="s">
        <v>5010</v>
      </c>
      <c r="C1670" s="83" t="s">
        <v>7491</v>
      </c>
      <c r="D1670" s="83" t="s">
        <v>7488</v>
      </c>
    </row>
    <row r="1671" spans="1:4">
      <c r="A1671" s="83" t="s">
        <v>7492</v>
      </c>
      <c r="B1671" s="83" t="s">
        <v>5017</v>
      </c>
      <c r="C1671" s="83" t="s">
        <v>6586</v>
      </c>
      <c r="D1671" s="83" t="s">
        <v>7493</v>
      </c>
    </row>
    <row r="1672" spans="1:4">
      <c r="A1672" s="83" t="s">
        <v>7492</v>
      </c>
      <c r="B1672" s="83" t="s">
        <v>5012</v>
      </c>
      <c r="C1672" s="83" t="s">
        <v>7494</v>
      </c>
      <c r="D1672" s="83" t="s">
        <v>7493</v>
      </c>
    </row>
    <row r="1673" spans="1:4">
      <c r="A1673" s="83" t="s">
        <v>7492</v>
      </c>
      <c r="B1673" s="83" t="s">
        <v>5015</v>
      </c>
      <c r="C1673" s="83" t="s">
        <v>7495</v>
      </c>
      <c r="D1673" s="83" t="s">
        <v>7493</v>
      </c>
    </row>
    <row r="1674" spans="1:4">
      <c r="A1674" s="83" t="s">
        <v>7492</v>
      </c>
      <c r="B1674" s="83" t="s">
        <v>5010</v>
      </c>
      <c r="C1674" s="83" t="s">
        <v>7496</v>
      </c>
      <c r="D1674" s="83" t="s">
        <v>7493</v>
      </c>
    </row>
    <row r="1675" spans="1:4">
      <c r="A1675" s="83" t="s">
        <v>7497</v>
      </c>
      <c r="B1675" s="83" t="s">
        <v>5017</v>
      </c>
      <c r="C1675" s="83" t="s">
        <v>7498</v>
      </c>
      <c r="D1675" s="83" t="s">
        <v>7499</v>
      </c>
    </row>
    <row r="1676" spans="1:4">
      <c r="A1676" s="83" t="s">
        <v>7497</v>
      </c>
      <c r="B1676" s="83" t="s">
        <v>5012</v>
      </c>
      <c r="C1676" s="83" t="s">
        <v>7500</v>
      </c>
      <c r="D1676" s="83" t="s">
        <v>7499</v>
      </c>
    </row>
    <row r="1677" spans="1:4">
      <c r="A1677" s="83" t="s">
        <v>7497</v>
      </c>
      <c r="B1677" s="83" t="s">
        <v>5015</v>
      </c>
      <c r="C1677" s="83" t="s">
        <v>7501</v>
      </c>
      <c r="D1677" s="83" t="s">
        <v>7499</v>
      </c>
    </row>
    <row r="1678" spans="1:4">
      <c r="A1678" s="83" t="s">
        <v>7497</v>
      </c>
      <c r="B1678" s="83" t="s">
        <v>5010</v>
      </c>
      <c r="C1678" s="83" t="s">
        <v>7502</v>
      </c>
      <c r="D1678" s="83" t="s">
        <v>7499</v>
      </c>
    </row>
    <row r="1679" spans="1:4">
      <c r="A1679" s="83" t="s">
        <v>7503</v>
      </c>
      <c r="B1679" s="83" t="s">
        <v>5017</v>
      </c>
      <c r="C1679" s="83" t="s">
        <v>7504</v>
      </c>
      <c r="D1679" s="83" t="s">
        <v>7505</v>
      </c>
    </row>
    <row r="1680" spans="1:4">
      <c r="A1680" s="83" t="s">
        <v>7503</v>
      </c>
      <c r="B1680" s="83" t="s">
        <v>5012</v>
      </c>
      <c r="C1680" s="83" t="s">
        <v>7506</v>
      </c>
      <c r="D1680" s="83" t="s">
        <v>7505</v>
      </c>
    </row>
    <row r="1681" spans="1:4">
      <c r="A1681" s="83" t="s">
        <v>7503</v>
      </c>
      <c r="B1681" s="83" t="s">
        <v>5015</v>
      </c>
      <c r="C1681" s="83" t="s">
        <v>7507</v>
      </c>
      <c r="D1681" s="83" t="s">
        <v>7505</v>
      </c>
    </row>
    <row r="1682" spans="1:4">
      <c r="A1682" s="83" t="s">
        <v>7503</v>
      </c>
      <c r="B1682" s="83" t="s">
        <v>5010</v>
      </c>
      <c r="C1682" s="83" t="s">
        <v>7508</v>
      </c>
      <c r="D1682" s="83" t="s">
        <v>7505</v>
      </c>
    </row>
    <row r="1683" spans="1:4">
      <c r="A1683" s="83" t="s">
        <v>7509</v>
      </c>
      <c r="B1683" s="83" t="s">
        <v>5017</v>
      </c>
      <c r="C1683" s="83" t="s">
        <v>7510</v>
      </c>
      <c r="D1683" s="83" t="s">
        <v>7511</v>
      </c>
    </row>
    <row r="1684" spans="1:4">
      <c r="A1684" s="83" t="s">
        <v>7509</v>
      </c>
      <c r="B1684" s="83" t="s">
        <v>5012</v>
      </c>
      <c r="C1684" s="83" t="s">
        <v>7512</v>
      </c>
      <c r="D1684" s="83" t="s">
        <v>7511</v>
      </c>
    </row>
    <row r="1685" spans="1:4">
      <c r="A1685" s="83" t="s">
        <v>7509</v>
      </c>
      <c r="B1685" s="83" t="s">
        <v>5015</v>
      </c>
      <c r="C1685" s="83" t="s">
        <v>7513</v>
      </c>
      <c r="D1685" s="83" t="s">
        <v>7511</v>
      </c>
    </row>
    <row r="1686" spans="1:4">
      <c r="A1686" s="83" t="s">
        <v>7509</v>
      </c>
      <c r="B1686" s="83" t="s">
        <v>5010</v>
      </c>
      <c r="C1686" s="83" t="s">
        <v>7514</v>
      </c>
      <c r="D1686" s="83" t="s">
        <v>7511</v>
      </c>
    </row>
    <row r="1687" spans="1:4">
      <c r="A1687" s="83" t="s">
        <v>7515</v>
      </c>
      <c r="B1687" s="83" t="s">
        <v>5017</v>
      </c>
      <c r="C1687" s="83" t="s">
        <v>7516</v>
      </c>
      <c r="D1687" s="83" t="s">
        <v>7517</v>
      </c>
    </row>
    <row r="1688" spans="1:4">
      <c r="A1688" s="83" t="s">
        <v>7515</v>
      </c>
      <c r="B1688" s="83" t="s">
        <v>5012</v>
      </c>
      <c r="C1688" s="83" t="s">
        <v>7518</v>
      </c>
      <c r="D1688" s="83" t="s">
        <v>7517</v>
      </c>
    </row>
    <row r="1689" spans="1:4">
      <c r="A1689" s="83" t="s">
        <v>7515</v>
      </c>
      <c r="B1689" s="83" t="s">
        <v>5015</v>
      </c>
      <c r="C1689" s="83" t="s">
        <v>7519</v>
      </c>
      <c r="D1689" s="83" t="s">
        <v>7517</v>
      </c>
    </row>
    <row r="1690" spans="1:4">
      <c r="A1690" s="83" t="s">
        <v>7515</v>
      </c>
      <c r="B1690" s="83" t="s">
        <v>5010</v>
      </c>
      <c r="C1690" s="83" t="s">
        <v>7520</v>
      </c>
      <c r="D1690" s="83" t="s">
        <v>7517</v>
      </c>
    </row>
    <row r="1691" spans="1:4">
      <c r="A1691" s="83" t="s">
        <v>7521</v>
      </c>
      <c r="B1691" s="83" t="s">
        <v>5017</v>
      </c>
      <c r="C1691" s="83" t="s">
        <v>7522</v>
      </c>
      <c r="D1691" s="83" t="s">
        <v>7523</v>
      </c>
    </row>
    <row r="1692" spans="1:4">
      <c r="A1692" s="83" t="s">
        <v>7521</v>
      </c>
      <c r="B1692" s="83" t="s">
        <v>5012</v>
      </c>
      <c r="C1692" s="83" t="s">
        <v>7524</v>
      </c>
      <c r="D1692" s="83" t="s">
        <v>7523</v>
      </c>
    </row>
    <row r="1693" spans="1:4">
      <c r="A1693" s="83" t="s">
        <v>7521</v>
      </c>
      <c r="B1693" s="83" t="s">
        <v>5015</v>
      </c>
      <c r="C1693" s="83" t="s">
        <v>7525</v>
      </c>
      <c r="D1693" s="83" t="s">
        <v>7523</v>
      </c>
    </row>
    <row r="1694" spans="1:4">
      <c r="A1694" s="83" t="s">
        <v>7521</v>
      </c>
      <c r="B1694" s="83" t="s">
        <v>5010</v>
      </c>
      <c r="C1694" s="83" t="s">
        <v>7526</v>
      </c>
      <c r="D1694" s="83" t="s">
        <v>7523</v>
      </c>
    </row>
    <row r="1695" spans="1:4">
      <c r="A1695" s="83" t="s">
        <v>7527</v>
      </c>
      <c r="B1695" s="83" t="s">
        <v>5017</v>
      </c>
      <c r="C1695" s="83" t="s">
        <v>7528</v>
      </c>
      <c r="D1695" s="83" t="s">
        <v>7529</v>
      </c>
    </row>
    <row r="1696" spans="1:4">
      <c r="A1696" s="83" t="s">
        <v>7527</v>
      </c>
      <c r="B1696" s="83" t="s">
        <v>5012</v>
      </c>
      <c r="C1696" s="83" t="s">
        <v>7530</v>
      </c>
      <c r="D1696" s="83" t="s">
        <v>7529</v>
      </c>
    </row>
    <row r="1697" spans="1:4">
      <c r="A1697" s="83" t="s">
        <v>7527</v>
      </c>
      <c r="B1697" s="83" t="s">
        <v>5015</v>
      </c>
      <c r="C1697" s="83" t="s">
        <v>7531</v>
      </c>
      <c r="D1697" s="83" t="s">
        <v>7529</v>
      </c>
    </row>
    <row r="1698" spans="1:4">
      <c r="A1698" s="83" t="s">
        <v>7527</v>
      </c>
      <c r="B1698" s="83" t="s">
        <v>5010</v>
      </c>
      <c r="C1698" s="83" t="s">
        <v>7532</v>
      </c>
      <c r="D1698" s="83" t="s">
        <v>7529</v>
      </c>
    </row>
    <row r="1699" spans="1:4">
      <c r="A1699" s="83" t="s">
        <v>7533</v>
      </c>
      <c r="B1699" s="83" t="s">
        <v>5017</v>
      </c>
      <c r="C1699" s="83" t="s">
        <v>7534</v>
      </c>
      <c r="D1699" s="83" t="s">
        <v>7535</v>
      </c>
    </row>
    <row r="1700" spans="1:4">
      <c r="A1700" s="83" t="s">
        <v>7533</v>
      </c>
      <c r="B1700" s="83" t="s">
        <v>5012</v>
      </c>
      <c r="C1700" s="83" t="s">
        <v>7536</v>
      </c>
      <c r="D1700" s="83" t="s">
        <v>7535</v>
      </c>
    </row>
    <row r="1701" spans="1:4">
      <c r="A1701" s="83" t="s">
        <v>7533</v>
      </c>
      <c r="B1701" s="83" t="s">
        <v>5015</v>
      </c>
      <c r="C1701" s="83" t="s">
        <v>7537</v>
      </c>
      <c r="D1701" s="83" t="s">
        <v>7535</v>
      </c>
    </row>
    <row r="1702" spans="1:4">
      <c r="A1702" s="83" t="s">
        <v>7533</v>
      </c>
      <c r="B1702" s="83" t="s">
        <v>5010</v>
      </c>
      <c r="C1702" s="83" t="s">
        <v>7538</v>
      </c>
      <c r="D1702" s="83" t="s">
        <v>7535</v>
      </c>
    </row>
    <row r="1703" spans="1:4">
      <c r="A1703" s="83" t="s">
        <v>7539</v>
      </c>
      <c r="B1703" s="83" t="s">
        <v>5017</v>
      </c>
      <c r="C1703" s="83" t="s">
        <v>7540</v>
      </c>
      <c r="D1703" s="83" t="s">
        <v>7541</v>
      </c>
    </row>
    <row r="1704" spans="1:4">
      <c r="A1704" s="83" t="s">
        <v>7539</v>
      </c>
      <c r="B1704" s="83" t="s">
        <v>5012</v>
      </c>
      <c r="C1704" s="83" t="s">
        <v>7542</v>
      </c>
      <c r="D1704" s="83" t="s">
        <v>7541</v>
      </c>
    </row>
    <row r="1705" spans="1:4">
      <c r="A1705" s="83" t="s">
        <v>7539</v>
      </c>
      <c r="B1705" s="83" t="s">
        <v>5015</v>
      </c>
      <c r="C1705" s="83" t="s">
        <v>7543</v>
      </c>
      <c r="D1705" s="83" t="s">
        <v>7541</v>
      </c>
    </row>
    <row r="1706" spans="1:4">
      <c r="A1706" s="83" t="s">
        <v>7539</v>
      </c>
      <c r="B1706" s="83" t="s">
        <v>5010</v>
      </c>
      <c r="C1706" s="83" t="s">
        <v>7544</v>
      </c>
      <c r="D1706" s="83" t="s">
        <v>7541</v>
      </c>
    </row>
    <row r="1707" spans="1:4">
      <c r="A1707" s="83" t="s">
        <v>7545</v>
      </c>
      <c r="B1707" s="83" t="s">
        <v>5017</v>
      </c>
      <c r="C1707" s="83" t="s">
        <v>7522</v>
      </c>
      <c r="D1707" s="83" t="s">
        <v>7546</v>
      </c>
    </row>
    <row r="1708" spans="1:4">
      <c r="A1708" s="83" t="s">
        <v>7545</v>
      </c>
      <c r="B1708" s="83" t="s">
        <v>5012</v>
      </c>
      <c r="C1708" s="83" t="s">
        <v>7547</v>
      </c>
      <c r="D1708" s="83" t="s">
        <v>7546</v>
      </c>
    </row>
    <row r="1709" spans="1:4">
      <c r="A1709" s="83" t="s">
        <v>7545</v>
      </c>
      <c r="B1709" s="83" t="s">
        <v>5015</v>
      </c>
      <c r="C1709" s="83" t="s">
        <v>7548</v>
      </c>
      <c r="D1709" s="83" t="s">
        <v>7546</v>
      </c>
    </row>
    <row r="1710" spans="1:4">
      <c r="A1710" s="83" t="s">
        <v>7545</v>
      </c>
      <c r="B1710" s="83" t="s">
        <v>5010</v>
      </c>
      <c r="C1710" s="83" t="s">
        <v>7549</v>
      </c>
      <c r="D1710" s="83" t="s">
        <v>7546</v>
      </c>
    </row>
    <row r="1711" spans="1:4">
      <c r="A1711" s="83" t="s">
        <v>7550</v>
      </c>
      <c r="B1711" s="83" t="s">
        <v>5017</v>
      </c>
      <c r="C1711" s="83" t="s">
        <v>7551</v>
      </c>
      <c r="D1711" s="83" t="s">
        <v>7552</v>
      </c>
    </row>
    <row r="1712" spans="1:4">
      <c r="A1712" s="83" t="s">
        <v>7550</v>
      </c>
      <c r="B1712" s="83" t="s">
        <v>5012</v>
      </c>
      <c r="C1712" s="83" t="s">
        <v>7553</v>
      </c>
      <c r="D1712" s="83" t="s">
        <v>7552</v>
      </c>
    </row>
    <row r="1713" spans="1:4">
      <c r="A1713" s="83" t="s">
        <v>7550</v>
      </c>
      <c r="B1713" s="83" t="s">
        <v>5015</v>
      </c>
      <c r="C1713" s="83" t="s">
        <v>7554</v>
      </c>
      <c r="D1713" s="83" t="s">
        <v>7552</v>
      </c>
    </row>
    <row r="1714" spans="1:4">
      <c r="A1714" s="83" t="s">
        <v>7550</v>
      </c>
      <c r="B1714" s="83" t="s">
        <v>5010</v>
      </c>
      <c r="C1714" s="83" t="s">
        <v>7555</v>
      </c>
      <c r="D1714" s="83" t="s">
        <v>7552</v>
      </c>
    </row>
    <row r="1715" spans="1:4">
      <c r="A1715" s="83" t="s">
        <v>7556</v>
      </c>
      <c r="B1715" s="83" t="s">
        <v>5017</v>
      </c>
      <c r="C1715" s="83" t="s">
        <v>7557</v>
      </c>
      <c r="D1715" s="83" t="s">
        <v>7558</v>
      </c>
    </row>
    <row r="1716" spans="1:4">
      <c r="A1716" s="83" t="s">
        <v>7556</v>
      </c>
      <c r="B1716" s="83" t="s">
        <v>5012</v>
      </c>
      <c r="C1716" s="83" t="s">
        <v>7559</v>
      </c>
      <c r="D1716" s="83" t="s">
        <v>7558</v>
      </c>
    </row>
    <row r="1717" spans="1:4">
      <c r="A1717" s="83" t="s">
        <v>7556</v>
      </c>
      <c r="B1717" s="83" t="s">
        <v>5015</v>
      </c>
      <c r="C1717" s="83" t="s">
        <v>7560</v>
      </c>
      <c r="D1717" s="83" t="s">
        <v>7558</v>
      </c>
    </row>
    <row r="1718" spans="1:4">
      <c r="A1718" s="83" t="s">
        <v>7556</v>
      </c>
      <c r="B1718" s="83" t="s">
        <v>5010</v>
      </c>
      <c r="C1718" s="83" t="s">
        <v>7561</v>
      </c>
      <c r="D1718" s="83" t="s">
        <v>7558</v>
      </c>
    </row>
    <row r="1719" spans="1:4">
      <c r="A1719" s="83" t="s">
        <v>7562</v>
      </c>
      <c r="B1719" s="83" t="s">
        <v>5017</v>
      </c>
      <c r="C1719" s="83" t="s">
        <v>7563</v>
      </c>
      <c r="D1719" s="83" t="s">
        <v>7564</v>
      </c>
    </row>
    <row r="1720" spans="1:4">
      <c r="A1720" s="83" t="s">
        <v>7562</v>
      </c>
      <c r="B1720" s="83" t="s">
        <v>5012</v>
      </c>
      <c r="C1720" s="83" t="s">
        <v>7565</v>
      </c>
      <c r="D1720" s="83" t="s">
        <v>7564</v>
      </c>
    </row>
    <row r="1721" spans="1:4">
      <c r="A1721" s="83" t="s">
        <v>7562</v>
      </c>
      <c r="B1721" s="83" t="s">
        <v>5015</v>
      </c>
      <c r="C1721" s="83" t="s">
        <v>7566</v>
      </c>
      <c r="D1721" s="83" t="s">
        <v>7564</v>
      </c>
    </row>
    <row r="1722" spans="1:4">
      <c r="A1722" s="83" t="s">
        <v>7562</v>
      </c>
      <c r="B1722" s="83" t="s">
        <v>5010</v>
      </c>
      <c r="C1722" s="83" t="s">
        <v>7567</v>
      </c>
      <c r="D1722" s="83" t="s">
        <v>7564</v>
      </c>
    </row>
    <row r="1723" spans="1:4">
      <c r="A1723" s="83" t="s">
        <v>7568</v>
      </c>
      <c r="B1723" s="83" t="s">
        <v>5017</v>
      </c>
      <c r="C1723" s="83" t="s">
        <v>7569</v>
      </c>
      <c r="D1723" s="83" t="s">
        <v>7570</v>
      </c>
    </row>
    <row r="1724" spans="1:4">
      <c r="A1724" s="83" t="s">
        <v>7568</v>
      </c>
      <c r="B1724" s="83" t="s">
        <v>5012</v>
      </c>
      <c r="C1724" s="83" t="s">
        <v>7571</v>
      </c>
      <c r="D1724" s="83" t="s">
        <v>7570</v>
      </c>
    </row>
    <row r="1725" spans="1:4">
      <c r="A1725" s="83" t="s">
        <v>7568</v>
      </c>
      <c r="B1725" s="83" t="s">
        <v>5015</v>
      </c>
      <c r="C1725" s="83" t="s">
        <v>7572</v>
      </c>
      <c r="D1725" s="83" t="s">
        <v>7570</v>
      </c>
    </row>
    <row r="1726" spans="1:4">
      <c r="A1726" s="83" t="s">
        <v>7568</v>
      </c>
      <c r="B1726" s="83" t="s">
        <v>5010</v>
      </c>
      <c r="C1726" s="83" t="s">
        <v>7573</v>
      </c>
      <c r="D1726" s="83" t="s">
        <v>7570</v>
      </c>
    </row>
    <row r="1727" spans="1:4">
      <c r="A1727" s="83" t="s">
        <v>7574</v>
      </c>
      <c r="B1727" s="83" t="s">
        <v>5017</v>
      </c>
      <c r="C1727" s="83" t="s">
        <v>7575</v>
      </c>
      <c r="D1727" s="83" t="s">
        <v>7576</v>
      </c>
    </row>
    <row r="1728" spans="1:4">
      <c r="A1728" s="83" t="s">
        <v>7574</v>
      </c>
      <c r="B1728" s="83" t="s">
        <v>5012</v>
      </c>
      <c r="C1728" s="83" t="s">
        <v>7577</v>
      </c>
      <c r="D1728" s="83" t="s">
        <v>7576</v>
      </c>
    </row>
    <row r="1729" spans="1:4">
      <c r="A1729" s="83" t="s">
        <v>7574</v>
      </c>
      <c r="B1729" s="83" t="s">
        <v>5015</v>
      </c>
      <c r="C1729" s="83" t="s">
        <v>7578</v>
      </c>
      <c r="D1729" s="83" t="s">
        <v>7576</v>
      </c>
    </row>
    <row r="1730" spans="1:4">
      <c r="A1730" s="83" t="s">
        <v>7574</v>
      </c>
      <c r="B1730" s="83" t="s">
        <v>5010</v>
      </c>
      <c r="C1730" s="83" t="s">
        <v>7579</v>
      </c>
      <c r="D1730" s="83" t="s">
        <v>7576</v>
      </c>
    </row>
    <row r="1731" spans="1:4">
      <c r="A1731" s="83" t="s">
        <v>7580</v>
      </c>
      <c r="B1731" s="83" t="s">
        <v>5017</v>
      </c>
      <c r="C1731" s="83" t="s">
        <v>7581</v>
      </c>
      <c r="D1731" s="83" t="s">
        <v>7582</v>
      </c>
    </row>
    <row r="1732" spans="1:4">
      <c r="A1732" s="83" t="s">
        <v>7580</v>
      </c>
      <c r="B1732" s="83" t="s">
        <v>5012</v>
      </c>
      <c r="C1732" s="83" t="s">
        <v>7583</v>
      </c>
      <c r="D1732" s="83" t="s">
        <v>7582</v>
      </c>
    </row>
    <row r="1733" spans="1:4">
      <c r="A1733" s="83" t="s">
        <v>7580</v>
      </c>
      <c r="B1733" s="83" t="s">
        <v>5015</v>
      </c>
      <c r="C1733" s="83" t="s">
        <v>7584</v>
      </c>
      <c r="D1733" s="83" t="s">
        <v>7582</v>
      </c>
    </row>
    <row r="1734" spans="1:4">
      <c r="A1734" s="83" t="s">
        <v>7580</v>
      </c>
      <c r="B1734" s="83" t="s">
        <v>5010</v>
      </c>
      <c r="C1734" s="83" t="s">
        <v>7585</v>
      </c>
      <c r="D1734" s="83" t="s">
        <v>7582</v>
      </c>
    </row>
    <row r="1735" spans="1:4">
      <c r="A1735" s="83" t="s">
        <v>7586</v>
      </c>
      <c r="B1735" s="83" t="s">
        <v>5017</v>
      </c>
      <c r="C1735" s="83" t="s">
        <v>7587</v>
      </c>
      <c r="D1735" s="83" t="s">
        <v>7588</v>
      </c>
    </row>
    <row r="1736" spans="1:4">
      <c r="A1736" s="83" t="s">
        <v>7586</v>
      </c>
      <c r="B1736" s="83" t="s">
        <v>5012</v>
      </c>
      <c r="C1736" s="83" t="s">
        <v>7589</v>
      </c>
      <c r="D1736" s="83" t="s">
        <v>7588</v>
      </c>
    </row>
    <row r="1737" spans="1:4">
      <c r="A1737" s="83" t="s">
        <v>7586</v>
      </c>
      <c r="B1737" s="83" t="s">
        <v>5015</v>
      </c>
      <c r="C1737" s="83" t="s">
        <v>7590</v>
      </c>
      <c r="D1737" s="83" t="s">
        <v>7588</v>
      </c>
    </row>
    <row r="1738" spans="1:4">
      <c r="A1738" s="83" t="s">
        <v>7586</v>
      </c>
      <c r="B1738" s="83" t="s">
        <v>5010</v>
      </c>
      <c r="C1738" s="83" t="s">
        <v>7591</v>
      </c>
      <c r="D1738" s="83" t="s">
        <v>7588</v>
      </c>
    </row>
    <row r="1739" spans="1:4">
      <c r="A1739" s="83" t="s">
        <v>7592</v>
      </c>
      <c r="B1739" s="83" t="s">
        <v>5017</v>
      </c>
      <c r="C1739" s="83" t="s">
        <v>7593</v>
      </c>
      <c r="D1739" s="83" t="s">
        <v>7594</v>
      </c>
    </row>
    <row r="1740" spans="1:4">
      <c r="A1740" s="83" t="s">
        <v>7592</v>
      </c>
      <c r="B1740" s="83" t="s">
        <v>5012</v>
      </c>
      <c r="C1740" s="83" t="s">
        <v>7595</v>
      </c>
      <c r="D1740" s="83" t="s">
        <v>7594</v>
      </c>
    </row>
    <row r="1741" spans="1:4">
      <c r="A1741" s="83" t="s">
        <v>7592</v>
      </c>
      <c r="B1741" s="83" t="s">
        <v>5015</v>
      </c>
      <c r="C1741" s="83" t="s">
        <v>7596</v>
      </c>
      <c r="D1741" s="83" t="s">
        <v>7594</v>
      </c>
    </row>
    <row r="1742" spans="1:4">
      <c r="A1742" s="83" t="s">
        <v>7592</v>
      </c>
      <c r="B1742" s="83" t="s">
        <v>5010</v>
      </c>
      <c r="C1742" s="83" t="s">
        <v>7597</v>
      </c>
      <c r="D1742" s="83" t="s">
        <v>7594</v>
      </c>
    </row>
    <row r="1743" spans="1:4">
      <c r="A1743" s="83" t="s">
        <v>7598</v>
      </c>
      <c r="B1743" s="83" t="s">
        <v>5017</v>
      </c>
      <c r="C1743" s="83" t="s">
        <v>7599</v>
      </c>
      <c r="D1743" s="83" t="s">
        <v>7600</v>
      </c>
    </row>
    <row r="1744" spans="1:4">
      <c r="A1744" s="83" t="s">
        <v>7598</v>
      </c>
      <c r="B1744" s="83" t="s">
        <v>5012</v>
      </c>
      <c r="C1744" s="83" t="s">
        <v>7601</v>
      </c>
      <c r="D1744" s="83" t="s">
        <v>7600</v>
      </c>
    </row>
    <row r="1745" spans="1:4">
      <c r="A1745" s="83" t="s">
        <v>7598</v>
      </c>
      <c r="B1745" s="83" t="s">
        <v>5015</v>
      </c>
      <c r="C1745" s="83" t="s">
        <v>7602</v>
      </c>
      <c r="D1745" s="83" t="s">
        <v>7600</v>
      </c>
    </row>
    <row r="1746" spans="1:4">
      <c r="A1746" s="83" t="s">
        <v>7598</v>
      </c>
      <c r="B1746" s="83" t="s">
        <v>5010</v>
      </c>
      <c r="C1746" s="83" t="s">
        <v>7603</v>
      </c>
      <c r="D1746" s="83" t="s">
        <v>7600</v>
      </c>
    </row>
    <row r="1747" spans="1:4">
      <c r="A1747" s="83" t="s">
        <v>7604</v>
      </c>
      <c r="B1747" s="83" t="s">
        <v>5017</v>
      </c>
      <c r="C1747" s="83" t="s">
        <v>7605</v>
      </c>
      <c r="D1747" s="83" t="s">
        <v>7606</v>
      </c>
    </row>
    <row r="1748" spans="1:4">
      <c r="A1748" s="83" t="s">
        <v>7604</v>
      </c>
      <c r="B1748" s="83" t="s">
        <v>5012</v>
      </c>
      <c r="C1748" s="83" t="s">
        <v>7607</v>
      </c>
      <c r="D1748" s="83" t="s">
        <v>7606</v>
      </c>
    </row>
    <row r="1749" spans="1:4">
      <c r="A1749" s="83" t="s">
        <v>7604</v>
      </c>
      <c r="B1749" s="83" t="s">
        <v>5015</v>
      </c>
      <c r="C1749" s="83" t="s">
        <v>7608</v>
      </c>
      <c r="D1749" s="83" t="s">
        <v>7606</v>
      </c>
    </row>
    <row r="1750" spans="1:4">
      <c r="A1750" s="83" t="s">
        <v>7604</v>
      </c>
      <c r="B1750" s="83" t="s">
        <v>5010</v>
      </c>
      <c r="C1750" s="83" t="s">
        <v>7609</v>
      </c>
      <c r="D1750" s="83" t="s">
        <v>7606</v>
      </c>
    </row>
    <row r="1751" spans="1:4">
      <c r="A1751" s="83" t="s">
        <v>7610</v>
      </c>
      <c r="B1751" s="83" t="s">
        <v>5017</v>
      </c>
      <c r="C1751" s="83" t="s">
        <v>7611</v>
      </c>
      <c r="D1751" s="83" t="s">
        <v>7612</v>
      </c>
    </row>
    <row r="1752" spans="1:4">
      <c r="A1752" s="83" t="s">
        <v>7610</v>
      </c>
      <c r="B1752" s="83" t="s">
        <v>5012</v>
      </c>
      <c r="C1752" s="83" t="s">
        <v>7613</v>
      </c>
      <c r="D1752" s="83" t="s">
        <v>7612</v>
      </c>
    </row>
    <row r="1753" spans="1:4">
      <c r="A1753" s="83" t="s">
        <v>7610</v>
      </c>
      <c r="B1753" s="83" t="s">
        <v>5015</v>
      </c>
      <c r="C1753" s="83" t="s">
        <v>7614</v>
      </c>
      <c r="D1753" s="83" t="s">
        <v>7612</v>
      </c>
    </row>
    <row r="1754" spans="1:4">
      <c r="A1754" s="83" t="s">
        <v>7610</v>
      </c>
      <c r="B1754" s="83" t="s">
        <v>5010</v>
      </c>
      <c r="C1754" s="83" t="s">
        <v>5711</v>
      </c>
      <c r="D1754" s="83" t="s">
        <v>7612</v>
      </c>
    </row>
    <row r="1755" spans="1:4">
      <c r="A1755" s="83" t="s">
        <v>7615</v>
      </c>
      <c r="B1755" s="83" t="s">
        <v>5017</v>
      </c>
      <c r="C1755" s="83" t="s">
        <v>7616</v>
      </c>
      <c r="D1755" s="83" t="s">
        <v>7617</v>
      </c>
    </row>
    <row r="1756" spans="1:4">
      <c r="A1756" s="83" t="s">
        <v>7615</v>
      </c>
      <c r="B1756" s="83" t="s">
        <v>5012</v>
      </c>
      <c r="C1756" s="83" t="s">
        <v>7618</v>
      </c>
      <c r="D1756" s="83" t="s">
        <v>7617</v>
      </c>
    </row>
    <row r="1757" spans="1:4">
      <c r="A1757" s="83" t="s">
        <v>7615</v>
      </c>
      <c r="B1757" s="83" t="s">
        <v>5015</v>
      </c>
      <c r="C1757" s="83" t="s">
        <v>7619</v>
      </c>
      <c r="D1757" s="83" t="s">
        <v>7617</v>
      </c>
    </row>
    <row r="1758" spans="1:4">
      <c r="A1758" s="83" t="s">
        <v>7615</v>
      </c>
      <c r="B1758" s="83" t="s">
        <v>5010</v>
      </c>
      <c r="C1758" s="83" t="s">
        <v>7620</v>
      </c>
      <c r="D1758" s="83" t="s">
        <v>7617</v>
      </c>
    </row>
    <row r="1759" spans="1:4">
      <c r="A1759" s="83" t="s">
        <v>7621</v>
      </c>
      <c r="B1759" s="83" t="s">
        <v>5017</v>
      </c>
      <c r="C1759" s="83" t="s">
        <v>7622</v>
      </c>
      <c r="D1759" s="83" t="s">
        <v>7623</v>
      </c>
    </row>
    <row r="1760" spans="1:4">
      <c r="A1760" s="83" t="s">
        <v>7621</v>
      </c>
      <c r="B1760" s="83" t="s">
        <v>5012</v>
      </c>
      <c r="C1760" s="83" t="s">
        <v>7624</v>
      </c>
      <c r="D1760" s="83" t="s">
        <v>7623</v>
      </c>
    </row>
    <row r="1761" spans="1:4">
      <c r="A1761" s="83" t="s">
        <v>7621</v>
      </c>
      <c r="B1761" s="83" t="s">
        <v>5015</v>
      </c>
      <c r="C1761" s="83" t="s">
        <v>7625</v>
      </c>
      <c r="D1761" s="83" t="s">
        <v>7623</v>
      </c>
    </row>
    <row r="1762" spans="1:4">
      <c r="A1762" s="83" t="s">
        <v>7621</v>
      </c>
      <c r="B1762" s="83" t="s">
        <v>5010</v>
      </c>
      <c r="C1762" s="83" t="s">
        <v>7626</v>
      </c>
      <c r="D1762" s="83" t="s">
        <v>7623</v>
      </c>
    </row>
    <row r="1763" spans="1:4">
      <c r="A1763" s="83" t="s">
        <v>7627</v>
      </c>
      <c r="B1763" s="83" t="s">
        <v>5017</v>
      </c>
      <c r="C1763" s="83" t="s">
        <v>7628</v>
      </c>
      <c r="D1763" s="83" t="s">
        <v>7629</v>
      </c>
    </row>
    <row r="1764" spans="1:4">
      <c r="A1764" s="83" t="s">
        <v>7627</v>
      </c>
      <c r="B1764" s="83" t="s">
        <v>5012</v>
      </c>
      <c r="C1764" s="83" t="s">
        <v>7630</v>
      </c>
      <c r="D1764" s="83" t="s">
        <v>7629</v>
      </c>
    </row>
    <row r="1765" spans="1:4">
      <c r="A1765" s="83" t="s">
        <v>7627</v>
      </c>
      <c r="B1765" s="83" t="s">
        <v>5015</v>
      </c>
      <c r="C1765" s="83" t="s">
        <v>7631</v>
      </c>
      <c r="D1765" s="83" t="s">
        <v>7629</v>
      </c>
    </row>
    <row r="1766" spans="1:4">
      <c r="A1766" s="83" t="s">
        <v>7627</v>
      </c>
      <c r="B1766" s="83" t="s">
        <v>5010</v>
      </c>
      <c r="C1766" s="83" t="s">
        <v>7632</v>
      </c>
      <c r="D1766" s="83" t="s">
        <v>7629</v>
      </c>
    </row>
    <row r="1767" spans="1:4">
      <c r="A1767" s="83" t="s">
        <v>7633</v>
      </c>
      <c r="B1767" s="83" t="s">
        <v>5017</v>
      </c>
      <c r="C1767" s="83" t="s">
        <v>7634</v>
      </c>
      <c r="D1767" s="83" t="s">
        <v>7635</v>
      </c>
    </row>
    <row r="1768" spans="1:4">
      <c r="A1768" s="83" t="s">
        <v>7633</v>
      </c>
      <c r="B1768" s="83" t="s">
        <v>5012</v>
      </c>
      <c r="C1768" s="83" t="s">
        <v>7636</v>
      </c>
      <c r="D1768" s="83" t="s">
        <v>7635</v>
      </c>
    </row>
    <row r="1769" spans="1:4">
      <c r="A1769" s="83" t="s">
        <v>7633</v>
      </c>
      <c r="B1769" s="83" t="s">
        <v>5015</v>
      </c>
      <c r="C1769" s="83" t="s">
        <v>7637</v>
      </c>
      <c r="D1769" s="83" t="s">
        <v>7635</v>
      </c>
    </row>
    <row r="1770" spans="1:4">
      <c r="A1770" s="83" t="s">
        <v>7633</v>
      </c>
      <c r="B1770" s="83" t="s">
        <v>5010</v>
      </c>
      <c r="C1770" s="83" t="s">
        <v>7638</v>
      </c>
      <c r="D1770" s="83" t="s">
        <v>7635</v>
      </c>
    </row>
    <row r="1771" spans="1:4">
      <c r="A1771" s="83" t="s">
        <v>7639</v>
      </c>
      <c r="B1771" s="83" t="s">
        <v>5017</v>
      </c>
      <c r="C1771" s="83" t="s">
        <v>7640</v>
      </c>
      <c r="D1771" s="83" t="s">
        <v>7641</v>
      </c>
    </row>
    <row r="1772" spans="1:4">
      <c r="A1772" s="83" t="s">
        <v>7639</v>
      </c>
      <c r="B1772" s="83" t="s">
        <v>5012</v>
      </c>
      <c r="C1772" s="83" t="s">
        <v>7642</v>
      </c>
      <c r="D1772" s="83" t="s">
        <v>7641</v>
      </c>
    </row>
    <row r="1773" spans="1:4">
      <c r="A1773" s="83" t="s">
        <v>7639</v>
      </c>
      <c r="B1773" s="83" t="s">
        <v>5015</v>
      </c>
      <c r="C1773" s="83" t="s">
        <v>7643</v>
      </c>
      <c r="D1773" s="83" t="s">
        <v>7641</v>
      </c>
    </row>
    <row r="1774" spans="1:4">
      <c r="A1774" s="83" t="s">
        <v>7639</v>
      </c>
      <c r="B1774" s="83" t="s">
        <v>5010</v>
      </c>
      <c r="C1774" s="83" t="s">
        <v>7644</v>
      </c>
      <c r="D1774" s="83" t="s">
        <v>7641</v>
      </c>
    </row>
    <row r="1775" spans="1:4">
      <c r="A1775" s="83" t="s">
        <v>7645</v>
      </c>
      <c r="B1775" s="83" t="s">
        <v>5017</v>
      </c>
      <c r="C1775" s="83" t="s">
        <v>7646</v>
      </c>
      <c r="D1775" s="83" t="s">
        <v>7647</v>
      </c>
    </row>
    <row r="1776" spans="1:4">
      <c r="A1776" s="83" t="s">
        <v>7645</v>
      </c>
      <c r="B1776" s="83" t="s">
        <v>5012</v>
      </c>
      <c r="C1776" s="83" t="s">
        <v>7648</v>
      </c>
      <c r="D1776" s="83" t="s">
        <v>7647</v>
      </c>
    </row>
    <row r="1777" spans="1:4">
      <c r="A1777" s="83" t="s">
        <v>7645</v>
      </c>
      <c r="B1777" s="83" t="s">
        <v>5015</v>
      </c>
      <c r="C1777" s="83" t="s">
        <v>7649</v>
      </c>
      <c r="D1777" s="83" t="s">
        <v>7647</v>
      </c>
    </row>
    <row r="1778" spans="1:4">
      <c r="A1778" s="83" t="s">
        <v>7645</v>
      </c>
      <c r="B1778" s="83" t="s">
        <v>5010</v>
      </c>
      <c r="C1778" s="83" t="s">
        <v>7650</v>
      </c>
      <c r="D1778" s="83" t="s">
        <v>7647</v>
      </c>
    </row>
    <row r="1779" spans="1:4">
      <c r="A1779" s="83" t="s">
        <v>7651</v>
      </c>
      <c r="B1779" s="83" t="s">
        <v>5017</v>
      </c>
      <c r="C1779" s="83" t="s">
        <v>7652</v>
      </c>
      <c r="D1779" s="83" t="s">
        <v>7653</v>
      </c>
    </row>
    <row r="1780" spans="1:4">
      <c r="A1780" s="83" t="s">
        <v>7651</v>
      </c>
      <c r="B1780" s="83" t="s">
        <v>5012</v>
      </c>
      <c r="C1780" s="83" t="s">
        <v>7654</v>
      </c>
      <c r="D1780" s="83" t="s">
        <v>7653</v>
      </c>
    </row>
    <row r="1781" spans="1:4">
      <c r="A1781" s="83" t="s">
        <v>7651</v>
      </c>
      <c r="B1781" s="83" t="s">
        <v>5015</v>
      </c>
      <c r="C1781" s="83" t="s">
        <v>7655</v>
      </c>
      <c r="D1781" s="83" t="s">
        <v>7653</v>
      </c>
    </row>
    <row r="1782" spans="1:4">
      <c r="A1782" s="83" t="s">
        <v>7651</v>
      </c>
      <c r="B1782" s="83" t="s">
        <v>5010</v>
      </c>
      <c r="C1782" s="83" t="s">
        <v>7656</v>
      </c>
      <c r="D1782" s="83" t="s">
        <v>7653</v>
      </c>
    </row>
    <row r="1783" spans="1:4">
      <c r="A1783" s="83" t="s">
        <v>7657</v>
      </c>
      <c r="B1783" s="83" t="s">
        <v>5017</v>
      </c>
      <c r="C1783" s="83" t="s">
        <v>7658</v>
      </c>
      <c r="D1783" s="83" t="s">
        <v>7659</v>
      </c>
    </row>
    <row r="1784" spans="1:4">
      <c r="A1784" s="83" t="s">
        <v>7657</v>
      </c>
      <c r="B1784" s="83" t="s">
        <v>5012</v>
      </c>
      <c r="C1784" s="83" t="s">
        <v>7660</v>
      </c>
      <c r="D1784" s="83" t="s">
        <v>7659</v>
      </c>
    </row>
    <row r="1785" spans="1:4">
      <c r="A1785" s="83" t="s">
        <v>7657</v>
      </c>
      <c r="B1785" s="83" t="s">
        <v>5015</v>
      </c>
      <c r="C1785" s="83" t="s">
        <v>7661</v>
      </c>
      <c r="D1785" s="83" t="s">
        <v>7659</v>
      </c>
    </row>
    <row r="1786" spans="1:4">
      <c r="A1786" s="83" t="s">
        <v>7657</v>
      </c>
      <c r="B1786" s="83" t="s">
        <v>5010</v>
      </c>
      <c r="C1786" s="83" t="s">
        <v>7662</v>
      </c>
      <c r="D1786" s="83" t="s">
        <v>7659</v>
      </c>
    </row>
    <row r="1787" spans="1:4">
      <c r="A1787" s="83" t="s">
        <v>7663</v>
      </c>
      <c r="B1787" s="83" t="s">
        <v>5017</v>
      </c>
      <c r="C1787" s="83" t="s">
        <v>7664</v>
      </c>
      <c r="D1787" s="83" t="s">
        <v>7665</v>
      </c>
    </row>
    <row r="1788" spans="1:4">
      <c r="A1788" s="83" t="s">
        <v>7663</v>
      </c>
      <c r="B1788" s="83" t="s">
        <v>5012</v>
      </c>
      <c r="C1788" s="83" t="s">
        <v>7666</v>
      </c>
      <c r="D1788" s="83" t="s">
        <v>7665</v>
      </c>
    </row>
    <row r="1789" spans="1:4">
      <c r="A1789" s="83" t="s">
        <v>7663</v>
      </c>
      <c r="B1789" s="83" t="s">
        <v>5015</v>
      </c>
      <c r="C1789" s="83" t="s">
        <v>7436</v>
      </c>
      <c r="D1789" s="83" t="s">
        <v>7665</v>
      </c>
    </row>
    <row r="1790" spans="1:4">
      <c r="A1790" s="83" t="s">
        <v>7663</v>
      </c>
      <c r="B1790" s="83" t="s">
        <v>5010</v>
      </c>
      <c r="C1790" s="83" t="s">
        <v>7667</v>
      </c>
      <c r="D1790" s="83" t="s">
        <v>7665</v>
      </c>
    </row>
    <row r="1791" spans="1:4">
      <c r="A1791" s="83" t="s">
        <v>7668</v>
      </c>
      <c r="B1791" s="83" t="s">
        <v>5017</v>
      </c>
      <c r="C1791" s="83" t="s">
        <v>7669</v>
      </c>
      <c r="D1791" s="83" t="s">
        <v>7670</v>
      </c>
    </row>
    <row r="1792" spans="1:4">
      <c r="A1792" s="83" t="s">
        <v>7668</v>
      </c>
      <c r="B1792" s="83" t="s">
        <v>5012</v>
      </c>
      <c r="C1792" s="83" t="s">
        <v>7671</v>
      </c>
      <c r="D1792" s="83" t="s">
        <v>7670</v>
      </c>
    </row>
    <row r="1793" spans="1:4">
      <c r="A1793" s="83" t="s">
        <v>7668</v>
      </c>
      <c r="B1793" s="83" t="s">
        <v>5015</v>
      </c>
      <c r="C1793" s="83" t="s">
        <v>7672</v>
      </c>
      <c r="D1793" s="83" t="s">
        <v>7670</v>
      </c>
    </row>
    <row r="1794" spans="1:4">
      <c r="A1794" s="83" t="s">
        <v>7668</v>
      </c>
      <c r="B1794" s="83" t="s">
        <v>5010</v>
      </c>
      <c r="C1794" s="83" t="s">
        <v>7673</v>
      </c>
      <c r="D1794" s="83" t="s">
        <v>7670</v>
      </c>
    </row>
    <row r="1795" spans="1:4">
      <c r="A1795" s="83" t="s">
        <v>7674</v>
      </c>
      <c r="B1795" s="83" t="s">
        <v>5017</v>
      </c>
      <c r="C1795" s="83" t="s">
        <v>7675</v>
      </c>
      <c r="D1795" s="83" t="s">
        <v>7676</v>
      </c>
    </row>
    <row r="1796" spans="1:4">
      <c r="A1796" s="83" t="s">
        <v>7674</v>
      </c>
      <c r="B1796" s="83" t="s">
        <v>5012</v>
      </c>
      <c r="C1796" s="83" t="s">
        <v>7677</v>
      </c>
      <c r="D1796" s="83" t="s">
        <v>7676</v>
      </c>
    </row>
    <row r="1797" spans="1:4">
      <c r="A1797" s="83" t="s">
        <v>7674</v>
      </c>
      <c r="B1797" s="83" t="s">
        <v>5015</v>
      </c>
      <c r="C1797" s="83" t="s">
        <v>7678</v>
      </c>
      <c r="D1797" s="83" t="s">
        <v>7676</v>
      </c>
    </row>
    <row r="1798" spans="1:4">
      <c r="A1798" s="83" t="s">
        <v>7674</v>
      </c>
      <c r="B1798" s="83" t="s">
        <v>5010</v>
      </c>
      <c r="C1798" s="83" t="s">
        <v>7679</v>
      </c>
      <c r="D1798" s="83" t="s">
        <v>7676</v>
      </c>
    </row>
    <row r="1799" spans="1:4">
      <c r="A1799" s="83" t="s">
        <v>7680</v>
      </c>
      <c r="B1799" s="83" t="s">
        <v>5017</v>
      </c>
      <c r="C1799" s="83" t="s">
        <v>7681</v>
      </c>
      <c r="D1799" s="83" t="s">
        <v>7682</v>
      </c>
    </row>
    <row r="1800" spans="1:4">
      <c r="A1800" s="83" t="s">
        <v>7680</v>
      </c>
      <c r="B1800" s="83" t="s">
        <v>5012</v>
      </c>
      <c r="C1800" s="83" t="s">
        <v>7683</v>
      </c>
      <c r="D1800" s="83" t="s">
        <v>7682</v>
      </c>
    </row>
    <row r="1801" spans="1:4">
      <c r="A1801" s="83" t="s">
        <v>7680</v>
      </c>
      <c r="B1801" s="83" t="s">
        <v>5015</v>
      </c>
      <c r="C1801" s="83" t="s">
        <v>7684</v>
      </c>
      <c r="D1801" s="83" t="s">
        <v>7682</v>
      </c>
    </row>
    <row r="1802" spans="1:4">
      <c r="A1802" s="83" t="s">
        <v>7680</v>
      </c>
      <c r="B1802" s="83" t="s">
        <v>5010</v>
      </c>
      <c r="C1802" s="83" t="s">
        <v>7685</v>
      </c>
      <c r="D1802" s="83" t="s">
        <v>7682</v>
      </c>
    </row>
    <row r="1803" spans="1:4">
      <c r="A1803" s="83" t="s">
        <v>7686</v>
      </c>
      <c r="B1803" s="83" t="s">
        <v>5017</v>
      </c>
      <c r="C1803" s="83" t="s">
        <v>7687</v>
      </c>
      <c r="D1803" s="83" t="s">
        <v>7688</v>
      </c>
    </row>
    <row r="1804" spans="1:4">
      <c r="A1804" s="83" t="s">
        <v>7686</v>
      </c>
      <c r="B1804" s="83" t="s">
        <v>5012</v>
      </c>
      <c r="C1804" s="83" t="s">
        <v>7689</v>
      </c>
      <c r="D1804" s="83" t="s">
        <v>7688</v>
      </c>
    </row>
    <row r="1805" spans="1:4">
      <c r="A1805" s="83" t="s">
        <v>7686</v>
      </c>
      <c r="B1805" s="83" t="s">
        <v>5015</v>
      </c>
      <c r="C1805" s="83" t="s">
        <v>7690</v>
      </c>
      <c r="D1805" s="83" t="s">
        <v>7688</v>
      </c>
    </row>
    <row r="1806" spans="1:4">
      <c r="A1806" s="83" t="s">
        <v>7686</v>
      </c>
      <c r="B1806" s="83" t="s">
        <v>5010</v>
      </c>
      <c r="C1806" s="83" t="s">
        <v>7691</v>
      </c>
      <c r="D1806" s="83" t="s">
        <v>7688</v>
      </c>
    </row>
    <row r="1807" spans="1:4">
      <c r="A1807" s="83" t="s">
        <v>7692</v>
      </c>
      <c r="B1807" s="83" t="s">
        <v>5017</v>
      </c>
      <c r="C1807" s="83" t="s">
        <v>7693</v>
      </c>
      <c r="D1807" s="83" t="s">
        <v>7694</v>
      </c>
    </row>
    <row r="1808" spans="1:4">
      <c r="A1808" s="83" t="s">
        <v>7692</v>
      </c>
      <c r="B1808" s="83" t="s">
        <v>5012</v>
      </c>
      <c r="C1808" s="83" t="s">
        <v>7695</v>
      </c>
      <c r="D1808" s="83" t="s">
        <v>7694</v>
      </c>
    </row>
    <row r="1809" spans="1:4">
      <c r="A1809" s="83" t="s">
        <v>7692</v>
      </c>
      <c r="B1809" s="83" t="s">
        <v>5015</v>
      </c>
      <c r="C1809" s="83" t="s">
        <v>7696</v>
      </c>
      <c r="D1809" s="83" t="s">
        <v>7694</v>
      </c>
    </row>
    <row r="1810" spans="1:4">
      <c r="A1810" s="83" t="s">
        <v>7692</v>
      </c>
      <c r="B1810" s="83" t="s">
        <v>5010</v>
      </c>
      <c r="C1810" s="83" t="s">
        <v>7697</v>
      </c>
      <c r="D1810" s="83" t="s">
        <v>7694</v>
      </c>
    </row>
    <row r="1811" spans="1:4">
      <c r="A1811" s="83" t="s">
        <v>7698</v>
      </c>
      <c r="B1811" s="83" t="s">
        <v>5017</v>
      </c>
      <c r="C1811" s="83" t="s">
        <v>7699</v>
      </c>
      <c r="D1811" s="83" t="s">
        <v>7700</v>
      </c>
    </row>
    <row r="1812" spans="1:4">
      <c r="A1812" s="83" t="s">
        <v>7698</v>
      </c>
      <c r="B1812" s="83" t="s">
        <v>5012</v>
      </c>
      <c r="C1812" s="83" t="s">
        <v>7701</v>
      </c>
      <c r="D1812" s="83" t="s">
        <v>7700</v>
      </c>
    </row>
    <row r="1813" spans="1:4">
      <c r="A1813" s="83" t="s">
        <v>7698</v>
      </c>
      <c r="B1813" s="83" t="s">
        <v>5015</v>
      </c>
      <c r="C1813" s="83" t="s">
        <v>7702</v>
      </c>
      <c r="D1813" s="83" t="s">
        <v>7700</v>
      </c>
    </row>
    <row r="1814" spans="1:4">
      <c r="A1814" s="83" t="s">
        <v>7698</v>
      </c>
      <c r="B1814" s="83" t="s">
        <v>5010</v>
      </c>
      <c r="C1814" s="83" t="s">
        <v>7703</v>
      </c>
      <c r="D1814" s="83" t="s">
        <v>7700</v>
      </c>
    </row>
    <row r="1815" spans="1:4">
      <c r="A1815" s="83" t="s">
        <v>7704</v>
      </c>
      <c r="B1815" s="83" t="s">
        <v>5017</v>
      </c>
      <c r="C1815" s="83" t="s">
        <v>7705</v>
      </c>
      <c r="D1815" s="83" t="s">
        <v>7706</v>
      </c>
    </row>
    <row r="1816" spans="1:4">
      <c r="A1816" s="83" t="s">
        <v>7704</v>
      </c>
      <c r="B1816" s="83" t="s">
        <v>5012</v>
      </c>
      <c r="C1816" s="83" t="s">
        <v>7707</v>
      </c>
      <c r="D1816" s="83" t="s">
        <v>7706</v>
      </c>
    </row>
    <row r="1817" spans="1:4">
      <c r="A1817" s="83" t="s">
        <v>7704</v>
      </c>
      <c r="B1817" s="83" t="s">
        <v>5015</v>
      </c>
      <c r="C1817" s="83" t="s">
        <v>7708</v>
      </c>
      <c r="D1817" s="83" t="s">
        <v>7706</v>
      </c>
    </row>
    <row r="1818" spans="1:4">
      <c r="A1818" s="83" t="s">
        <v>7704</v>
      </c>
      <c r="B1818" s="83" t="s">
        <v>5010</v>
      </c>
      <c r="C1818" s="83" t="s">
        <v>7709</v>
      </c>
      <c r="D1818" s="83" t="s">
        <v>7706</v>
      </c>
    </row>
    <row r="1819" spans="1:4">
      <c r="A1819" s="83" t="s">
        <v>7710</v>
      </c>
      <c r="B1819" s="83" t="s">
        <v>5017</v>
      </c>
      <c r="C1819" s="83" t="s">
        <v>7711</v>
      </c>
      <c r="D1819" s="83" t="s">
        <v>7712</v>
      </c>
    </row>
    <row r="1820" spans="1:4">
      <c r="A1820" s="83" t="s">
        <v>7710</v>
      </c>
      <c r="B1820" s="83" t="s">
        <v>5012</v>
      </c>
      <c r="C1820" s="83" t="s">
        <v>7713</v>
      </c>
      <c r="D1820" s="83" t="s">
        <v>7712</v>
      </c>
    </row>
    <row r="1821" spans="1:4">
      <c r="A1821" s="83" t="s">
        <v>7710</v>
      </c>
      <c r="B1821" s="83" t="s">
        <v>5015</v>
      </c>
      <c r="C1821" s="83" t="s">
        <v>7714</v>
      </c>
      <c r="D1821" s="83" t="s">
        <v>7712</v>
      </c>
    </row>
    <row r="1822" spans="1:4">
      <c r="A1822" s="83" t="s">
        <v>7710</v>
      </c>
      <c r="B1822" s="83" t="s">
        <v>5010</v>
      </c>
      <c r="C1822" s="83" t="s">
        <v>7715</v>
      </c>
      <c r="D1822" s="83" t="s">
        <v>7712</v>
      </c>
    </row>
    <row r="1823" spans="1:4">
      <c r="A1823" s="83" t="s">
        <v>7716</v>
      </c>
      <c r="B1823" s="83" t="s">
        <v>5017</v>
      </c>
      <c r="C1823" s="83" t="s">
        <v>7717</v>
      </c>
      <c r="D1823" s="83" t="s">
        <v>7718</v>
      </c>
    </row>
    <row r="1824" spans="1:4">
      <c r="A1824" s="83" t="s">
        <v>7716</v>
      </c>
      <c r="B1824" s="83" t="s">
        <v>5012</v>
      </c>
      <c r="C1824" s="83" t="s">
        <v>7719</v>
      </c>
      <c r="D1824" s="83" t="s">
        <v>7718</v>
      </c>
    </row>
    <row r="1825" spans="1:4">
      <c r="A1825" s="83" t="s">
        <v>7716</v>
      </c>
      <c r="B1825" s="83" t="s">
        <v>5015</v>
      </c>
      <c r="C1825" s="83" t="s">
        <v>7720</v>
      </c>
      <c r="D1825" s="83" t="s">
        <v>7718</v>
      </c>
    </row>
    <row r="1826" spans="1:4">
      <c r="A1826" s="83" t="s">
        <v>7716</v>
      </c>
      <c r="B1826" s="83" t="s">
        <v>5010</v>
      </c>
      <c r="C1826" s="83" t="s">
        <v>7721</v>
      </c>
      <c r="D1826" s="83" t="s">
        <v>7718</v>
      </c>
    </row>
    <row r="1827" spans="1:4">
      <c r="A1827" s="83" t="s">
        <v>7722</v>
      </c>
      <c r="B1827" s="83" t="s">
        <v>5017</v>
      </c>
      <c r="C1827" s="83" t="s">
        <v>7723</v>
      </c>
      <c r="D1827" s="83" t="s">
        <v>7724</v>
      </c>
    </row>
    <row r="1828" spans="1:4">
      <c r="A1828" s="83" t="s">
        <v>7722</v>
      </c>
      <c r="B1828" s="83" t="s">
        <v>5012</v>
      </c>
      <c r="C1828" s="83" t="s">
        <v>7725</v>
      </c>
      <c r="D1828" s="83" t="s">
        <v>7724</v>
      </c>
    </row>
    <row r="1829" spans="1:4">
      <c r="A1829" s="83" t="s">
        <v>7722</v>
      </c>
      <c r="B1829" s="83" t="s">
        <v>5015</v>
      </c>
      <c r="C1829" s="83" t="s">
        <v>7726</v>
      </c>
      <c r="D1829" s="83" t="s">
        <v>7724</v>
      </c>
    </row>
    <row r="1830" spans="1:4">
      <c r="A1830" s="83" t="s">
        <v>7722</v>
      </c>
      <c r="B1830" s="83" t="s">
        <v>5010</v>
      </c>
      <c r="C1830" s="83" t="s">
        <v>7727</v>
      </c>
      <c r="D1830" s="83" t="s">
        <v>7724</v>
      </c>
    </row>
    <row r="1831" spans="1:4">
      <c r="A1831" s="83" t="s">
        <v>7728</v>
      </c>
      <c r="B1831" s="83" t="s">
        <v>5017</v>
      </c>
      <c r="C1831" s="83" t="s">
        <v>7729</v>
      </c>
      <c r="D1831" s="83" t="s">
        <v>7730</v>
      </c>
    </row>
    <row r="1832" spans="1:4">
      <c r="A1832" s="83" t="s">
        <v>7728</v>
      </c>
      <c r="B1832" s="83" t="s">
        <v>5012</v>
      </c>
      <c r="C1832" s="83" t="s">
        <v>7731</v>
      </c>
      <c r="D1832" s="83" t="s">
        <v>7730</v>
      </c>
    </row>
    <row r="1833" spans="1:4">
      <c r="A1833" s="83" t="s">
        <v>7728</v>
      </c>
      <c r="B1833" s="83" t="s">
        <v>5015</v>
      </c>
      <c r="C1833" s="83" t="s">
        <v>7732</v>
      </c>
      <c r="D1833" s="83" t="s">
        <v>7730</v>
      </c>
    </row>
    <row r="1834" spans="1:4">
      <c r="A1834" s="83" t="s">
        <v>7728</v>
      </c>
      <c r="B1834" s="83" t="s">
        <v>5010</v>
      </c>
      <c r="C1834" s="83" t="s">
        <v>7733</v>
      </c>
      <c r="D1834" s="83" t="s">
        <v>7730</v>
      </c>
    </row>
    <row r="1835" spans="1:4">
      <c r="A1835" s="83" t="s">
        <v>7734</v>
      </c>
      <c r="B1835" s="83" t="s">
        <v>5017</v>
      </c>
      <c r="C1835" s="83" t="s">
        <v>7735</v>
      </c>
      <c r="D1835" s="83" t="s">
        <v>7736</v>
      </c>
    </row>
    <row r="1836" spans="1:4">
      <c r="A1836" s="83" t="s">
        <v>7734</v>
      </c>
      <c r="B1836" s="83" t="s">
        <v>5012</v>
      </c>
      <c r="C1836" s="83" t="s">
        <v>7387</v>
      </c>
      <c r="D1836" s="83" t="s">
        <v>7736</v>
      </c>
    </row>
    <row r="1837" spans="1:4">
      <c r="A1837" s="83" t="s">
        <v>7734</v>
      </c>
      <c r="B1837" s="83" t="s">
        <v>5015</v>
      </c>
      <c r="C1837" s="83" t="s">
        <v>7737</v>
      </c>
      <c r="D1837" s="83" t="s">
        <v>7736</v>
      </c>
    </row>
    <row r="1838" spans="1:4">
      <c r="A1838" s="83" t="s">
        <v>7734</v>
      </c>
      <c r="B1838" s="83" t="s">
        <v>5010</v>
      </c>
      <c r="C1838" s="83" t="s">
        <v>7738</v>
      </c>
      <c r="D1838" s="83" t="s">
        <v>7736</v>
      </c>
    </row>
    <row r="1839" spans="1:4">
      <c r="A1839" s="83" t="s">
        <v>7739</v>
      </c>
      <c r="B1839" s="83" t="s">
        <v>5017</v>
      </c>
      <c r="C1839" s="83" t="s">
        <v>7740</v>
      </c>
      <c r="D1839" s="83" t="s">
        <v>7741</v>
      </c>
    </row>
    <row r="1840" spans="1:4">
      <c r="A1840" s="83" t="s">
        <v>7739</v>
      </c>
      <c r="B1840" s="83" t="s">
        <v>5012</v>
      </c>
      <c r="C1840" s="83" t="s">
        <v>7742</v>
      </c>
      <c r="D1840" s="83" t="s">
        <v>7741</v>
      </c>
    </row>
    <row r="1841" spans="1:4">
      <c r="A1841" s="83" t="s">
        <v>7739</v>
      </c>
      <c r="B1841" s="83" t="s">
        <v>5015</v>
      </c>
      <c r="C1841" s="83" t="s">
        <v>7743</v>
      </c>
      <c r="D1841" s="83" t="s">
        <v>7741</v>
      </c>
    </row>
    <row r="1842" spans="1:4">
      <c r="A1842" s="83" t="s">
        <v>7739</v>
      </c>
      <c r="B1842" s="83" t="s">
        <v>5010</v>
      </c>
      <c r="C1842" s="83" t="s">
        <v>7744</v>
      </c>
      <c r="D1842" s="83" t="s">
        <v>7741</v>
      </c>
    </row>
    <row r="1843" spans="1:4">
      <c r="A1843" s="83" t="s">
        <v>7745</v>
      </c>
      <c r="B1843" s="83" t="s">
        <v>5017</v>
      </c>
      <c r="C1843" s="83" t="s">
        <v>7746</v>
      </c>
      <c r="D1843" s="83" t="s">
        <v>7747</v>
      </c>
    </row>
    <row r="1844" spans="1:4">
      <c r="A1844" s="83" t="s">
        <v>7745</v>
      </c>
      <c r="B1844" s="83" t="s">
        <v>5012</v>
      </c>
      <c r="C1844" s="83" t="s">
        <v>7748</v>
      </c>
      <c r="D1844" s="83" t="s">
        <v>7747</v>
      </c>
    </row>
    <row r="1845" spans="1:4">
      <c r="A1845" s="83" t="s">
        <v>7745</v>
      </c>
      <c r="B1845" s="83" t="s">
        <v>5015</v>
      </c>
      <c r="C1845" s="83" t="s">
        <v>7749</v>
      </c>
      <c r="D1845" s="83" t="s">
        <v>7747</v>
      </c>
    </row>
    <row r="1846" spans="1:4">
      <c r="A1846" s="83" t="s">
        <v>7745</v>
      </c>
      <c r="B1846" s="83" t="s">
        <v>5010</v>
      </c>
      <c r="C1846" s="83" t="s">
        <v>7750</v>
      </c>
      <c r="D1846" s="83" t="s">
        <v>7747</v>
      </c>
    </row>
    <row r="1847" spans="1:4">
      <c r="A1847" s="83" t="s">
        <v>7751</v>
      </c>
      <c r="B1847" s="83" t="s">
        <v>5017</v>
      </c>
      <c r="C1847" s="83" t="s">
        <v>7752</v>
      </c>
      <c r="D1847" s="83" t="s">
        <v>7753</v>
      </c>
    </row>
    <row r="1848" spans="1:4">
      <c r="A1848" s="83" t="s">
        <v>7751</v>
      </c>
      <c r="B1848" s="83" t="s">
        <v>5012</v>
      </c>
      <c r="C1848" s="83" t="s">
        <v>7754</v>
      </c>
      <c r="D1848" s="83" t="s">
        <v>7753</v>
      </c>
    </row>
    <row r="1849" spans="1:4">
      <c r="A1849" s="83" t="s">
        <v>7751</v>
      </c>
      <c r="B1849" s="83" t="s">
        <v>5015</v>
      </c>
      <c r="C1849" s="83" t="s">
        <v>7755</v>
      </c>
      <c r="D1849" s="83" t="s">
        <v>7753</v>
      </c>
    </row>
    <row r="1850" spans="1:4">
      <c r="A1850" s="83" t="s">
        <v>7751</v>
      </c>
      <c r="B1850" s="83" t="s">
        <v>5010</v>
      </c>
      <c r="C1850" s="83" t="s">
        <v>7756</v>
      </c>
      <c r="D1850" s="83" t="s">
        <v>7753</v>
      </c>
    </row>
    <row r="1851" spans="1:4">
      <c r="A1851" s="83" t="s">
        <v>7757</v>
      </c>
      <c r="B1851" s="83" t="s">
        <v>5017</v>
      </c>
      <c r="C1851" s="83" t="s">
        <v>7758</v>
      </c>
      <c r="D1851" s="83" t="s">
        <v>7759</v>
      </c>
    </row>
    <row r="1852" spans="1:4">
      <c r="A1852" s="83" t="s">
        <v>7757</v>
      </c>
      <c r="B1852" s="83" t="s">
        <v>5012</v>
      </c>
      <c r="C1852" s="83" t="s">
        <v>7760</v>
      </c>
      <c r="D1852" s="83" t="s">
        <v>7759</v>
      </c>
    </row>
    <row r="1853" spans="1:4">
      <c r="A1853" s="83" t="s">
        <v>7757</v>
      </c>
      <c r="B1853" s="83" t="s">
        <v>5015</v>
      </c>
      <c r="C1853" s="83" t="s">
        <v>7761</v>
      </c>
      <c r="D1853" s="83" t="s">
        <v>7759</v>
      </c>
    </row>
    <row r="1854" spans="1:4">
      <c r="A1854" s="83" t="s">
        <v>7757</v>
      </c>
      <c r="B1854" s="83" t="s">
        <v>5010</v>
      </c>
      <c r="C1854" s="83" t="s">
        <v>7762</v>
      </c>
      <c r="D1854" s="83" t="s">
        <v>7759</v>
      </c>
    </row>
    <row r="1855" spans="1:4">
      <c r="A1855" s="83" t="s">
        <v>7763</v>
      </c>
      <c r="B1855" s="83" t="s">
        <v>5017</v>
      </c>
      <c r="C1855" s="83" t="s">
        <v>7764</v>
      </c>
      <c r="D1855" s="83" t="s">
        <v>7765</v>
      </c>
    </row>
    <row r="1856" spans="1:4">
      <c r="A1856" s="83" t="s">
        <v>7763</v>
      </c>
      <c r="B1856" s="83" t="s">
        <v>5012</v>
      </c>
      <c r="C1856" s="83" t="s">
        <v>7766</v>
      </c>
      <c r="D1856" s="83" t="s">
        <v>7765</v>
      </c>
    </row>
    <row r="1857" spans="1:4">
      <c r="A1857" s="83" t="s">
        <v>7763</v>
      </c>
      <c r="B1857" s="83" t="s">
        <v>5015</v>
      </c>
      <c r="C1857" s="83" t="s">
        <v>7767</v>
      </c>
      <c r="D1857" s="83" t="s">
        <v>7765</v>
      </c>
    </row>
    <row r="1858" spans="1:4">
      <c r="A1858" s="83" t="s">
        <v>7763</v>
      </c>
      <c r="B1858" s="83" t="s">
        <v>5010</v>
      </c>
      <c r="C1858" s="83" t="s">
        <v>7768</v>
      </c>
      <c r="D1858" s="83" t="s">
        <v>7765</v>
      </c>
    </row>
    <row r="1859" spans="1:4">
      <c r="A1859" s="83" t="s">
        <v>7769</v>
      </c>
      <c r="B1859" s="83" t="s">
        <v>5017</v>
      </c>
      <c r="C1859" s="83" t="s">
        <v>7613</v>
      </c>
      <c r="D1859" s="83" t="s">
        <v>7770</v>
      </c>
    </row>
    <row r="1860" spans="1:4">
      <c r="A1860" s="83" t="s">
        <v>7769</v>
      </c>
      <c r="B1860" s="83" t="s">
        <v>5012</v>
      </c>
      <c r="C1860" s="83" t="s">
        <v>7771</v>
      </c>
      <c r="D1860" s="83" t="s">
        <v>7770</v>
      </c>
    </row>
    <row r="1861" spans="1:4">
      <c r="A1861" s="83" t="s">
        <v>7769</v>
      </c>
      <c r="B1861" s="83" t="s">
        <v>5015</v>
      </c>
      <c r="C1861" s="83" t="s">
        <v>7772</v>
      </c>
      <c r="D1861" s="83" t="s">
        <v>7770</v>
      </c>
    </row>
    <row r="1862" spans="1:4">
      <c r="A1862" s="83" t="s">
        <v>7769</v>
      </c>
      <c r="B1862" s="83" t="s">
        <v>5010</v>
      </c>
      <c r="C1862" s="83" t="s">
        <v>7773</v>
      </c>
      <c r="D1862" s="83" t="s">
        <v>7770</v>
      </c>
    </row>
    <row r="1863" spans="1:4">
      <c r="A1863" s="83" t="s">
        <v>7774</v>
      </c>
      <c r="B1863" s="83" t="s">
        <v>5017</v>
      </c>
      <c r="C1863" s="83" t="s">
        <v>7775</v>
      </c>
      <c r="D1863" s="83" t="s">
        <v>7776</v>
      </c>
    </row>
    <row r="1864" spans="1:4">
      <c r="A1864" s="83" t="s">
        <v>7774</v>
      </c>
      <c r="B1864" s="83" t="s">
        <v>5012</v>
      </c>
      <c r="C1864" s="83" t="s">
        <v>7777</v>
      </c>
      <c r="D1864" s="83" t="s">
        <v>7776</v>
      </c>
    </row>
    <row r="1865" spans="1:4">
      <c r="A1865" s="83" t="s">
        <v>7774</v>
      </c>
      <c r="B1865" s="83" t="s">
        <v>5015</v>
      </c>
      <c r="C1865" s="83" t="s">
        <v>7778</v>
      </c>
      <c r="D1865" s="83" t="s">
        <v>7776</v>
      </c>
    </row>
    <row r="1866" spans="1:4">
      <c r="A1866" s="83" t="s">
        <v>7774</v>
      </c>
      <c r="B1866" s="83" t="s">
        <v>5010</v>
      </c>
      <c r="C1866" s="83" t="s">
        <v>6388</v>
      </c>
      <c r="D1866" s="83" t="s">
        <v>7776</v>
      </c>
    </row>
    <row r="1867" spans="1:4">
      <c r="A1867" s="83" t="s">
        <v>7779</v>
      </c>
      <c r="B1867" s="83" t="s">
        <v>5017</v>
      </c>
      <c r="C1867" s="83" t="s">
        <v>7780</v>
      </c>
      <c r="D1867" s="83" t="s">
        <v>7781</v>
      </c>
    </row>
    <row r="1868" spans="1:4">
      <c r="A1868" s="83" t="s">
        <v>7779</v>
      </c>
      <c r="B1868" s="83" t="s">
        <v>5012</v>
      </c>
      <c r="C1868" s="83" t="s">
        <v>7782</v>
      </c>
      <c r="D1868" s="83" t="s">
        <v>7781</v>
      </c>
    </row>
    <row r="1869" spans="1:4">
      <c r="A1869" s="83" t="s">
        <v>7779</v>
      </c>
      <c r="B1869" s="83" t="s">
        <v>5015</v>
      </c>
      <c r="C1869" s="83" t="s">
        <v>7783</v>
      </c>
      <c r="D1869" s="83" t="s">
        <v>7781</v>
      </c>
    </row>
    <row r="1870" spans="1:4">
      <c r="A1870" s="83" t="s">
        <v>7779</v>
      </c>
      <c r="B1870" s="83" t="s">
        <v>5010</v>
      </c>
      <c r="C1870" s="83" t="s">
        <v>7784</v>
      </c>
      <c r="D1870" s="83" t="s">
        <v>7781</v>
      </c>
    </row>
    <row r="1871" spans="1:4">
      <c r="A1871" s="83" t="s">
        <v>7785</v>
      </c>
      <c r="B1871" s="83" t="s">
        <v>5017</v>
      </c>
      <c r="C1871" s="83" t="s">
        <v>7786</v>
      </c>
      <c r="D1871" s="83" t="s">
        <v>7787</v>
      </c>
    </row>
    <row r="1872" spans="1:4">
      <c r="A1872" s="83" t="s">
        <v>7785</v>
      </c>
      <c r="B1872" s="83" t="s">
        <v>5012</v>
      </c>
      <c r="C1872" s="83" t="s">
        <v>7788</v>
      </c>
      <c r="D1872" s="83" t="s">
        <v>7787</v>
      </c>
    </row>
    <row r="1873" spans="1:4">
      <c r="A1873" s="83" t="s">
        <v>7785</v>
      </c>
      <c r="B1873" s="83" t="s">
        <v>5015</v>
      </c>
      <c r="C1873" s="83" t="s">
        <v>7789</v>
      </c>
      <c r="D1873" s="83" t="s">
        <v>7787</v>
      </c>
    </row>
    <row r="1874" spans="1:4">
      <c r="A1874" s="83" t="s">
        <v>7785</v>
      </c>
      <c r="B1874" s="83" t="s">
        <v>5010</v>
      </c>
      <c r="C1874" s="83" t="s">
        <v>7790</v>
      </c>
      <c r="D1874" s="83" t="s">
        <v>7787</v>
      </c>
    </row>
    <row r="1875" spans="1:4">
      <c r="A1875" s="83" t="s">
        <v>7791</v>
      </c>
      <c r="B1875" s="83" t="s">
        <v>5017</v>
      </c>
      <c r="C1875" s="83" t="s">
        <v>7792</v>
      </c>
      <c r="D1875" s="83" t="s">
        <v>7793</v>
      </c>
    </row>
    <row r="1876" spans="1:4">
      <c r="A1876" s="83" t="s">
        <v>7791</v>
      </c>
      <c r="B1876" s="83" t="s">
        <v>5012</v>
      </c>
      <c r="C1876" s="83" t="s">
        <v>7794</v>
      </c>
      <c r="D1876" s="83" t="s">
        <v>7793</v>
      </c>
    </row>
    <row r="1877" spans="1:4">
      <c r="A1877" s="83" t="s">
        <v>7791</v>
      </c>
      <c r="B1877" s="83" t="s">
        <v>5015</v>
      </c>
      <c r="C1877" s="83" t="s">
        <v>7795</v>
      </c>
      <c r="D1877" s="83" t="s">
        <v>7793</v>
      </c>
    </row>
    <row r="1878" spans="1:4">
      <c r="A1878" s="83" t="s">
        <v>7791</v>
      </c>
      <c r="B1878" s="83" t="s">
        <v>5010</v>
      </c>
      <c r="C1878" s="83" t="s">
        <v>7796</v>
      </c>
      <c r="D1878" s="83" t="s">
        <v>7793</v>
      </c>
    </row>
    <row r="1879" spans="1:4">
      <c r="A1879" s="83" t="s">
        <v>7797</v>
      </c>
      <c r="B1879" s="83" t="s">
        <v>5017</v>
      </c>
      <c r="C1879" s="83" t="s">
        <v>7798</v>
      </c>
      <c r="D1879" s="83" t="s">
        <v>7799</v>
      </c>
    </row>
    <row r="1880" spans="1:4">
      <c r="A1880" s="83" t="s">
        <v>7797</v>
      </c>
      <c r="B1880" s="83" t="s">
        <v>5012</v>
      </c>
      <c r="C1880" s="83" t="s">
        <v>7800</v>
      </c>
      <c r="D1880" s="83" t="s">
        <v>7799</v>
      </c>
    </row>
    <row r="1881" spans="1:4">
      <c r="A1881" s="83" t="s">
        <v>7797</v>
      </c>
      <c r="B1881" s="83" t="s">
        <v>5015</v>
      </c>
      <c r="C1881" s="83" t="s">
        <v>7801</v>
      </c>
      <c r="D1881" s="83" t="s">
        <v>7799</v>
      </c>
    </row>
    <row r="1882" spans="1:4">
      <c r="A1882" s="83" t="s">
        <v>7797</v>
      </c>
      <c r="B1882" s="83" t="s">
        <v>5010</v>
      </c>
      <c r="C1882" s="83" t="s">
        <v>7802</v>
      </c>
      <c r="D1882" s="83" t="s">
        <v>7799</v>
      </c>
    </row>
    <row r="1883" spans="1:4">
      <c r="A1883" s="83" t="s">
        <v>7803</v>
      </c>
      <c r="B1883" s="83" t="s">
        <v>5017</v>
      </c>
      <c r="C1883" s="83" t="s">
        <v>7804</v>
      </c>
      <c r="D1883" s="83" t="s">
        <v>7805</v>
      </c>
    </row>
    <row r="1884" spans="1:4">
      <c r="A1884" s="83" t="s">
        <v>7803</v>
      </c>
      <c r="B1884" s="83" t="s">
        <v>5012</v>
      </c>
      <c r="C1884" s="83" t="s">
        <v>7806</v>
      </c>
      <c r="D1884" s="83" t="s">
        <v>7805</v>
      </c>
    </row>
    <row r="1885" spans="1:4">
      <c r="A1885" s="83" t="s">
        <v>7803</v>
      </c>
      <c r="B1885" s="83" t="s">
        <v>5015</v>
      </c>
      <c r="C1885" s="83" t="s">
        <v>7807</v>
      </c>
      <c r="D1885" s="83" t="s">
        <v>7805</v>
      </c>
    </row>
    <row r="1886" spans="1:4">
      <c r="A1886" s="83" t="s">
        <v>7803</v>
      </c>
      <c r="B1886" s="83" t="s">
        <v>5010</v>
      </c>
      <c r="C1886" s="83" t="s">
        <v>6208</v>
      </c>
      <c r="D1886" s="83" t="s">
        <v>7805</v>
      </c>
    </row>
    <row r="1887" spans="1:4">
      <c r="A1887" s="83" t="s">
        <v>7808</v>
      </c>
      <c r="B1887" s="83" t="s">
        <v>5017</v>
      </c>
      <c r="C1887" s="83" t="s">
        <v>7809</v>
      </c>
      <c r="D1887" s="83" t="s">
        <v>7810</v>
      </c>
    </row>
    <row r="1888" spans="1:4">
      <c r="A1888" s="83" t="s">
        <v>7808</v>
      </c>
      <c r="B1888" s="83" t="s">
        <v>5012</v>
      </c>
      <c r="C1888" s="83" t="s">
        <v>7811</v>
      </c>
      <c r="D1888" s="83" t="s">
        <v>7810</v>
      </c>
    </row>
    <row r="1889" spans="1:4">
      <c r="A1889" s="83" t="s">
        <v>7808</v>
      </c>
      <c r="B1889" s="83" t="s">
        <v>5015</v>
      </c>
      <c r="C1889" s="83" t="s">
        <v>7812</v>
      </c>
      <c r="D1889" s="83" t="s">
        <v>7810</v>
      </c>
    </row>
    <row r="1890" spans="1:4">
      <c r="A1890" s="83" t="s">
        <v>7808</v>
      </c>
      <c r="B1890" s="83" t="s">
        <v>5010</v>
      </c>
      <c r="C1890" s="83" t="s">
        <v>7813</v>
      </c>
      <c r="D1890" s="83" t="s">
        <v>7810</v>
      </c>
    </row>
    <row r="1891" spans="1:4">
      <c r="A1891" s="83" t="s">
        <v>7814</v>
      </c>
      <c r="B1891" s="83" t="s">
        <v>5017</v>
      </c>
      <c r="C1891" s="83" t="s">
        <v>7815</v>
      </c>
      <c r="D1891" s="83" t="s">
        <v>7816</v>
      </c>
    </row>
    <row r="1892" spans="1:4">
      <c r="A1892" s="83" t="s">
        <v>7814</v>
      </c>
      <c r="B1892" s="83" t="s">
        <v>5012</v>
      </c>
      <c r="C1892" s="83" t="s">
        <v>7817</v>
      </c>
      <c r="D1892" s="83" t="s">
        <v>7816</v>
      </c>
    </row>
    <row r="1893" spans="1:4">
      <c r="A1893" s="83" t="s">
        <v>7814</v>
      </c>
      <c r="B1893" s="83" t="s">
        <v>5015</v>
      </c>
      <c r="C1893" s="83" t="s">
        <v>7818</v>
      </c>
      <c r="D1893" s="83" t="s">
        <v>7816</v>
      </c>
    </row>
    <row r="1894" spans="1:4">
      <c r="A1894" s="83" t="s">
        <v>7814</v>
      </c>
      <c r="B1894" s="83" t="s">
        <v>5010</v>
      </c>
      <c r="C1894" s="83" t="s">
        <v>7819</v>
      </c>
      <c r="D1894" s="83" t="s">
        <v>7816</v>
      </c>
    </row>
    <row r="1895" spans="1:4">
      <c r="A1895" s="83" t="s">
        <v>7820</v>
      </c>
      <c r="B1895" s="83" t="s">
        <v>5017</v>
      </c>
      <c r="C1895" s="83" t="s">
        <v>7821</v>
      </c>
      <c r="D1895" s="83" t="s">
        <v>7822</v>
      </c>
    </row>
    <row r="1896" spans="1:4">
      <c r="A1896" s="83" t="s">
        <v>7820</v>
      </c>
      <c r="B1896" s="83" t="s">
        <v>5012</v>
      </c>
      <c r="C1896" s="83" t="s">
        <v>7823</v>
      </c>
      <c r="D1896" s="83" t="s">
        <v>7822</v>
      </c>
    </row>
    <row r="1897" spans="1:4">
      <c r="A1897" s="83" t="s">
        <v>7820</v>
      </c>
      <c r="B1897" s="83" t="s">
        <v>5015</v>
      </c>
      <c r="C1897" s="83" t="s">
        <v>7824</v>
      </c>
      <c r="D1897" s="83" t="s">
        <v>7822</v>
      </c>
    </row>
    <row r="1898" spans="1:4">
      <c r="A1898" s="83" t="s">
        <v>7820</v>
      </c>
      <c r="B1898" s="83" t="s">
        <v>5010</v>
      </c>
      <c r="C1898" s="83" t="s">
        <v>7825</v>
      </c>
      <c r="D1898" s="83" t="s">
        <v>7822</v>
      </c>
    </row>
    <row r="1899" spans="1:4">
      <c r="A1899" s="83" t="s">
        <v>7826</v>
      </c>
      <c r="B1899" s="83" t="s">
        <v>5017</v>
      </c>
      <c r="C1899" s="83" t="s">
        <v>7827</v>
      </c>
      <c r="D1899" s="83" t="s">
        <v>7828</v>
      </c>
    </row>
    <row r="1900" spans="1:4">
      <c r="A1900" s="83" t="s">
        <v>7826</v>
      </c>
      <c r="B1900" s="83" t="s">
        <v>5012</v>
      </c>
      <c r="C1900" s="83" t="s">
        <v>7829</v>
      </c>
      <c r="D1900" s="83" t="s">
        <v>7828</v>
      </c>
    </row>
    <row r="1901" spans="1:4">
      <c r="A1901" s="83" t="s">
        <v>7826</v>
      </c>
      <c r="B1901" s="83" t="s">
        <v>5015</v>
      </c>
      <c r="C1901" s="83" t="s">
        <v>7830</v>
      </c>
      <c r="D1901" s="83" t="s">
        <v>7828</v>
      </c>
    </row>
    <row r="1902" spans="1:4">
      <c r="A1902" s="83" t="s">
        <v>7826</v>
      </c>
      <c r="B1902" s="83" t="s">
        <v>5010</v>
      </c>
      <c r="C1902" s="83" t="s">
        <v>7831</v>
      </c>
      <c r="D1902" s="83" t="s">
        <v>7828</v>
      </c>
    </row>
    <row r="1903" spans="1:4">
      <c r="A1903" s="83" t="s">
        <v>7832</v>
      </c>
      <c r="B1903" s="83" t="s">
        <v>5017</v>
      </c>
      <c r="C1903" s="83" t="s">
        <v>7833</v>
      </c>
      <c r="D1903" s="83" t="s">
        <v>7834</v>
      </c>
    </row>
    <row r="1904" spans="1:4">
      <c r="A1904" s="83" t="s">
        <v>7832</v>
      </c>
      <c r="B1904" s="83" t="s">
        <v>5012</v>
      </c>
      <c r="C1904" s="83" t="s">
        <v>7835</v>
      </c>
      <c r="D1904" s="83" t="s">
        <v>7834</v>
      </c>
    </row>
    <row r="1905" spans="1:4">
      <c r="A1905" s="83" t="s">
        <v>7832</v>
      </c>
      <c r="B1905" s="83" t="s">
        <v>5015</v>
      </c>
      <c r="C1905" s="83" t="s">
        <v>7836</v>
      </c>
      <c r="D1905" s="83" t="s">
        <v>7834</v>
      </c>
    </row>
    <row r="1906" spans="1:4">
      <c r="A1906" s="83" t="s">
        <v>7832</v>
      </c>
      <c r="B1906" s="83" t="s">
        <v>5010</v>
      </c>
      <c r="C1906" s="83" t="s">
        <v>7837</v>
      </c>
      <c r="D1906" s="83" t="s">
        <v>7834</v>
      </c>
    </row>
    <row r="1907" spans="1:4">
      <c r="A1907" s="83" t="s">
        <v>7838</v>
      </c>
      <c r="B1907" s="83" t="s">
        <v>5017</v>
      </c>
      <c r="C1907" s="83" t="s">
        <v>7839</v>
      </c>
      <c r="D1907" s="83" t="s">
        <v>7840</v>
      </c>
    </row>
    <row r="1908" spans="1:4">
      <c r="A1908" s="83" t="s">
        <v>7838</v>
      </c>
      <c r="B1908" s="83" t="s">
        <v>5012</v>
      </c>
      <c r="C1908" s="83" t="s">
        <v>7841</v>
      </c>
      <c r="D1908" s="83" t="s">
        <v>7840</v>
      </c>
    </row>
    <row r="1909" spans="1:4">
      <c r="A1909" s="83" t="s">
        <v>7838</v>
      </c>
      <c r="B1909" s="83" t="s">
        <v>5015</v>
      </c>
      <c r="C1909" s="83" t="s">
        <v>7842</v>
      </c>
      <c r="D1909" s="83" t="s">
        <v>7840</v>
      </c>
    </row>
    <row r="1910" spans="1:4">
      <c r="A1910" s="83" t="s">
        <v>7838</v>
      </c>
      <c r="B1910" s="83" t="s">
        <v>5010</v>
      </c>
      <c r="C1910" s="83" t="s">
        <v>7843</v>
      </c>
      <c r="D1910" s="83" t="s">
        <v>7840</v>
      </c>
    </row>
    <row r="1911" spans="1:4">
      <c r="A1911" s="83" t="s">
        <v>7844</v>
      </c>
      <c r="B1911" s="83" t="s">
        <v>5017</v>
      </c>
      <c r="C1911" s="83" t="s">
        <v>7845</v>
      </c>
      <c r="D1911" s="83" t="s">
        <v>7846</v>
      </c>
    </row>
    <row r="1912" spans="1:4">
      <c r="A1912" s="83" t="s">
        <v>7844</v>
      </c>
      <c r="B1912" s="83" t="s">
        <v>5012</v>
      </c>
      <c r="C1912" s="83" t="s">
        <v>7847</v>
      </c>
      <c r="D1912" s="83" t="s">
        <v>7846</v>
      </c>
    </row>
    <row r="1913" spans="1:4">
      <c r="A1913" s="83" t="s">
        <v>7844</v>
      </c>
      <c r="B1913" s="83" t="s">
        <v>5015</v>
      </c>
      <c r="C1913" s="83" t="s">
        <v>7848</v>
      </c>
      <c r="D1913" s="83" t="s">
        <v>7846</v>
      </c>
    </row>
    <row r="1914" spans="1:4">
      <c r="A1914" s="83" t="s">
        <v>7844</v>
      </c>
      <c r="B1914" s="83" t="s">
        <v>5010</v>
      </c>
      <c r="C1914" s="83" t="s">
        <v>7849</v>
      </c>
      <c r="D1914" s="83" t="s">
        <v>7846</v>
      </c>
    </row>
    <row r="1915" spans="1:4">
      <c r="A1915" s="83" t="s">
        <v>7850</v>
      </c>
      <c r="B1915" s="83" t="s">
        <v>5017</v>
      </c>
      <c r="C1915" s="83" t="s">
        <v>7851</v>
      </c>
      <c r="D1915" s="83" t="s">
        <v>7852</v>
      </c>
    </row>
    <row r="1916" spans="1:4">
      <c r="A1916" s="83" t="s">
        <v>7850</v>
      </c>
      <c r="B1916" s="83" t="s">
        <v>5012</v>
      </c>
      <c r="C1916" s="83" t="s">
        <v>7853</v>
      </c>
      <c r="D1916" s="83" t="s">
        <v>7852</v>
      </c>
    </row>
    <row r="1917" spans="1:4">
      <c r="A1917" s="83" t="s">
        <v>7850</v>
      </c>
      <c r="B1917" s="83" t="s">
        <v>5015</v>
      </c>
      <c r="C1917" s="83" t="s">
        <v>7854</v>
      </c>
      <c r="D1917" s="83" t="s">
        <v>7852</v>
      </c>
    </row>
    <row r="1918" spans="1:4">
      <c r="A1918" s="83" t="s">
        <v>7850</v>
      </c>
      <c r="B1918" s="83" t="s">
        <v>5010</v>
      </c>
      <c r="C1918" s="83" t="s">
        <v>7855</v>
      </c>
      <c r="D1918" s="83" t="s">
        <v>7852</v>
      </c>
    </row>
    <row r="1919" spans="1:4">
      <c r="A1919" s="83" t="s">
        <v>7856</v>
      </c>
      <c r="B1919" s="83" t="s">
        <v>5017</v>
      </c>
      <c r="C1919" s="83" t="s">
        <v>7857</v>
      </c>
      <c r="D1919" s="83" t="s">
        <v>7858</v>
      </c>
    </row>
    <row r="1920" spans="1:4">
      <c r="A1920" s="83" t="s">
        <v>7856</v>
      </c>
      <c r="B1920" s="83" t="s">
        <v>5012</v>
      </c>
      <c r="C1920" s="83" t="s">
        <v>7859</v>
      </c>
      <c r="D1920" s="83" t="s">
        <v>7858</v>
      </c>
    </row>
    <row r="1921" spans="1:4">
      <c r="A1921" s="83" t="s">
        <v>7856</v>
      </c>
      <c r="B1921" s="83" t="s">
        <v>5015</v>
      </c>
      <c r="C1921" s="83" t="s">
        <v>7860</v>
      </c>
      <c r="D1921" s="83" t="s">
        <v>7858</v>
      </c>
    </row>
    <row r="1922" spans="1:4">
      <c r="A1922" s="83" t="s">
        <v>7856</v>
      </c>
      <c r="B1922" s="83" t="s">
        <v>5010</v>
      </c>
      <c r="C1922" s="83" t="s">
        <v>7861</v>
      </c>
      <c r="D1922" s="83" t="s">
        <v>7858</v>
      </c>
    </row>
    <row r="1923" spans="1:4">
      <c r="A1923" s="83" t="s">
        <v>7862</v>
      </c>
      <c r="B1923" s="83" t="s">
        <v>5017</v>
      </c>
      <c r="C1923" s="83" t="s">
        <v>7863</v>
      </c>
      <c r="D1923" s="83" t="s">
        <v>7864</v>
      </c>
    </row>
    <row r="1924" spans="1:4">
      <c r="A1924" s="83" t="s">
        <v>7862</v>
      </c>
      <c r="B1924" s="83" t="s">
        <v>5012</v>
      </c>
      <c r="C1924" s="83" t="s">
        <v>7865</v>
      </c>
      <c r="D1924" s="83" t="s">
        <v>7864</v>
      </c>
    </row>
    <row r="1925" spans="1:4">
      <c r="A1925" s="83" t="s">
        <v>7862</v>
      </c>
      <c r="B1925" s="83" t="s">
        <v>5015</v>
      </c>
      <c r="C1925" s="83" t="s">
        <v>7866</v>
      </c>
      <c r="D1925" s="83" t="s">
        <v>7864</v>
      </c>
    </row>
    <row r="1926" spans="1:4">
      <c r="A1926" s="83" t="s">
        <v>7862</v>
      </c>
      <c r="B1926" s="83" t="s">
        <v>5010</v>
      </c>
      <c r="C1926" s="83" t="s">
        <v>7867</v>
      </c>
      <c r="D1926" s="83" t="s">
        <v>7864</v>
      </c>
    </row>
    <row r="1927" spans="1:4">
      <c r="A1927" s="83" t="s">
        <v>7868</v>
      </c>
      <c r="B1927" s="83" t="s">
        <v>5017</v>
      </c>
      <c r="C1927" s="83" t="s">
        <v>7869</v>
      </c>
      <c r="D1927" s="83" t="s">
        <v>7870</v>
      </c>
    </row>
    <row r="1928" spans="1:4">
      <c r="A1928" s="83" t="s">
        <v>7868</v>
      </c>
      <c r="B1928" s="83" t="s">
        <v>5012</v>
      </c>
      <c r="C1928" s="83" t="s">
        <v>7871</v>
      </c>
      <c r="D1928" s="83" t="s">
        <v>7870</v>
      </c>
    </row>
    <row r="1929" spans="1:4">
      <c r="A1929" s="83" t="s">
        <v>7868</v>
      </c>
      <c r="B1929" s="83" t="s">
        <v>5015</v>
      </c>
      <c r="C1929" s="83" t="s">
        <v>7872</v>
      </c>
      <c r="D1929" s="83" t="s">
        <v>7870</v>
      </c>
    </row>
    <row r="1930" spans="1:4">
      <c r="A1930" s="83" t="s">
        <v>7868</v>
      </c>
      <c r="B1930" s="83" t="s">
        <v>5010</v>
      </c>
      <c r="C1930" s="83" t="s">
        <v>7873</v>
      </c>
      <c r="D1930" s="83" t="s">
        <v>7870</v>
      </c>
    </row>
    <row r="1931" spans="1:4">
      <c r="A1931" s="83" t="s">
        <v>7874</v>
      </c>
      <c r="B1931" s="83" t="s">
        <v>5017</v>
      </c>
      <c r="C1931" s="83" t="s">
        <v>7875</v>
      </c>
      <c r="D1931" s="83" t="s">
        <v>7876</v>
      </c>
    </row>
    <row r="1932" spans="1:4">
      <c r="A1932" s="83" t="s">
        <v>7874</v>
      </c>
      <c r="B1932" s="83" t="s">
        <v>5012</v>
      </c>
      <c r="C1932" s="83" t="s">
        <v>7877</v>
      </c>
      <c r="D1932" s="83" t="s">
        <v>7876</v>
      </c>
    </row>
    <row r="1933" spans="1:4">
      <c r="A1933" s="83" t="s">
        <v>7874</v>
      </c>
      <c r="B1933" s="83" t="s">
        <v>5015</v>
      </c>
      <c r="C1933" s="83" t="s">
        <v>7878</v>
      </c>
      <c r="D1933" s="83" t="s">
        <v>7876</v>
      </c>
    </row>
    <row r="1934" spans="1:4">
      <c r="A1934" s="83" t="s">
        <v>7874</v>
      </c>
      <c r="B1934" s="83" t="s">
        <v>5010</v>
      </c>
      <c r="C1934" s="83" t="s">
        <v>7879</v>
      </c>
      <c r="D1934" s="83" t="s">
        <v>7876</v>
      </c>
    </row>
    <row r="1935" spans="1:4">
      <c r="A1935" s="83" t="s">
        <v>7880</v>
      </c>
      <c r="B1935" s="83" t="s">
        <v>5017</v>
      </c>
      <c r="C1935" s="83" t="s">
        <v>7881</v>
      </c>
      <c r="D1935" s="83" t="s">
        <v>7882</v>
      </c>
    </row>
    <row r="1936" spans="1:4">
      <c r="A1936" s="83" t="s">
        <v>7880</v>
      </c>
      <c r="B1936" s="83" t="s">
        <v>5012</v>
      </c>
      <c r="C1936" s="83" t="s">
        <v>7883</v>
      </c>
      <c r="D1936" s="83" t="s">
        <v>7882</v>
      </c>
    </row>
    <row r="1937" spans="1:4">
      <c r="A1937" s="83" t="s">
        <v>7880</v>
      </c>
      <c r="B1937" s="83" t="s">
        <v>5015</v>
      </c>
      <c r="C1937" s="83" t="s">
        <v>7884</v>
      </c>
      <c r="D1937" s="83" t="s">
        <v>7882</v>
      </c>
    </row>
    <row r="1938" spans="1:4">
      <c r="A1938" s="83" t="s">
        <v>7880</v>
      </c>
      <c r="B1938" s="83" t="s">
        <v>5010</v>
      </c>
      <c r="C1938" s="83" t="s">
        <v>7885</v>
      </c>
      <c r="D1938" s="83" t="s">
        <v>7882</v>
      </c>
    </row>
    <row r="1939" spans="1:4">
      <c r="A1939" s="83" t="s">
        <v>7886</v>
      </c>
      <c r="B1939" s="83" t="s">
        <v>5017</v>
      </c>
      <c r="C1939" s="83" t="s">
        <v>7887</v>
      </c>
      <c r="D1939" s="83" t="s">
        <v>7888</v>
      </c>
    </row>
    <row r="1940" spans="1:4">
      <c r="A1940" s="83" t="s">
        <v>7886</v>
      </c>
      <c r="B1940" s="83" t="s">
        <v>5012</v>
      </c>
      <c r="C1940" s="83" t="s">
        <v>7889</v>
      </c>
      <c r="D1940" s="83" t="s">
        <v>7888</v>
      </c>
    </row>
    <row r="1941" spans="1:4">
      <c r="A1941" s="83" t="s">
        <v>7886</v>
      </c>
      <c r="B1941" s="83" t="s">
        <v>5015</v>
      </c>
      <c r="C1941" s="83" t="s">
        <v>7890</v>
      </c>
      <c r="D1941" s="83" t="s">
        <v>7888</v>
      </c>
    </row>
    <row r="1942" spans="1:4">
      <c r="A1942" s="83" t="s">
        <v>7886</v>
      </c>
      <c r="B1942" s="83" t="s">
        <v>5010</v>
      </c>
      <c r="C1942" s="83" t="s">
        <v>7891</v>
      </c>
      <c r="D1942" s="83" t="s">
        <v>7888</v>
      </c>
    </row>
    <row r="1943" spans="1:4">
      <c r="A1943" s="83" t="s">
        <v>7892</v>
      </c>
      <c r="B1943" s="83" t="s">
        <v>5017</v>
      </c>
      <c r="C1943" s="83" t="s">
        <v>7893</v>
      </c>
      <c r="D1943" s="83" t="s">
        <v>7894</v>
      </c>
    </row>
    <row r="1944" spans="1:4">
      <c r="A1944" s="83" t="s">
        <v>7892</v>
      </c>
      <c r="B1944" s="83" t="s">
        <v>5012</v>
      </c>
      <c r="C1944" s="83" t="s">
        <v>7895</v>
      </c>
      <c r="D1944" s="83" t="s">
        <v>7894</v>
      </c>
    </row>
    <row r="1945" spans="1:4">
      <c r="A1945" s="83" t="s">
        <v>7892</v>
      </c>
      <c r="B1945" s="83" t="s">
        <v>5015</v>
      </c>
      <c r="C1945" s="83" t="s">
        <v>7896</v>
      </c>
      <c r="D1945" s="83" t="s">
        <v>7894</v>
      </c>
    </row>
    <row r="1946" spans="1:4">
      <c r="A1946" s="83" t="s">
        <v>7892</v>
      </c>
      <c r="B1946" s="83" t="s">
        <v>5010</v>
      </c>
      <c r="C1946" s="83" t="s">
        <v>7897</v>
      </c>
      <c r="D1946" s="83" t="s">
        <v>7894</v>
      </c>
    </row>
    <row r="1947" spans="1:4">
      <c r="A1947" s="83" t="s">
        <v>7898</v>
      </c>
      <c r="B1947" s="83" t="s">
        <v>5017</v>
      </c>
      <c r="C1947" s="83" t="s">
        <v>7899</v>
      </c>
      <c r="D1947" s="83" t="s">
        <v>7900</v>
      </c>
    </row>
    <row r="1948" spans="1:4">
      <c r="A1948" s="83" t="s">
        <v>7898</v>
      </c>
      <c r="B1948" s="83" t="s">
        <v>5012</v>
      </c>
      <c r="C1948" s="83" t="s">
        <v>7901</v>
      </c>
      <c r="D1948" s="83" t="s">
        <v>7900</v>
      </c>
    </row>
    <row r="1949" spans="1:4">
      <c r="A1949" s="83" t="s">
        <v>7898</v>
      </c>
      <c r="B1949" s="83" t="s">
        <v>5015</v>
      </c>
      <c r="C1949" s="83" t="s">
        <v>7902</v>
      </c>
      <c r="D1949" s="83" t="s">
        <v>7900</v>
      </c>
    </row>
    <row r="1950" spans="1:4">
      <c r="A1950" s="83" t="s">
        <v>7898</v>
      </c>
      <c r="B1950" s="83" t="s">
        <v>5010</v>
      </c>
      <c r="C1950" s="83" t="s">
        <v>7903</v>
      </c>
      <c r="D1950" s="83" t="s">
        <v>7900</v>
      </c>
    </row>
    <row r="1951" spans="1:4">
      <c r="A1951" s="83" t="s">
        <v>7904</v>
      </c>
      <c r="B1951" s="83" t="s">
        <v>5017</v>
      </c>
      <c r="C1951" s="83" t="s">
        <v>7905</v>
      </c>
      <c r="D1951" s="83" t="s">
        <v>7906</v>
      </c>
    </row>
    <row r="1952" spans="1:4">
      <c r="A1952" s="83" t="s">
        <v>7904</v>
      </c>
      <c r="B1952" s="83" t="s">
        <v>5012</v>
      </c>
      <c r="C1952" s="83" t="s">
        <v>7907</v>
      </c>
      <c r="D1952" s="83" t="s">
        <v>7906</v>
      </c>
    </row>
    <row r="1953" spans="1:4">
      <c r="A1953" s="83" t="s">
        <v>7904</v>
      </c>
      <c r="B1953" s="83" t="s">
        <v>5015</v>
      </c>
      <c r="C1953" s="83" t="s">
        <v>7908</v>
      </c>
      <c r="D1953" s="83" t="s">
        <v>7906</v>
      </c>
    </row>
    <row r="1954" spans="1:4">
      <c r="A1954" s="83" t="s">
        <v>7904</v>
      </c>
      <c r="B1954" s="83" t="s">
        <v>5010</v>
      </c>
      <c r="C1954" s="83" t="s">
        <v>7909</v>
      </c>
      <c r="D1954" s="83" t="s">
        <v>7906</v>
      </c>
    </row>
    <row r="1955" spans="1:4">
      <c r="A1955" s="83" t="s">
        <v>7910</v>
      </c>
      <c r="B1955" s="83" t="s">
        <v>5017</v>
      </c>
      <c r="C1955" s="83" t="s">
        <v>7911</v>
      </c>
      <c r="D1955" s="83" t="s">
        <v>7912</v>
      </c>
    </row>
    <row r="1956" spans="1:4">
      <c r="A1956" s="83" t="s">
        <v>7910</v>
      </c>
      <c r="B1956" s="83" t="s">
        <v>5012</v>
      </c>
      <c r="C1956" s="83" t="s">
        <v>7913</v>
      </c>
      <c r="D1956" s="83" t="s">
        <v>7912</v>
      </c>
    </row>
    <row r="1957" spans="1:4">
      <c r="A1957" s="83" t="s">
        <v>7910</v>
      </c>
      <c r="B1957" s="83" t="s">
        <v>5015</v>
      </c>
      <c r="C1957" s="83" t="s">
        <v>7914</v>
      </c>
      <c r="D1957" s="83" t="s">
        <v>7912</v>
      </c>
    </row>
    <row r="1958" spans="1:4">
      <c r="A1958" s="83" t="s">
        <v>7910</v>
      </c>
      <c r="B1958" s="83" t="s">
        <v>5010</v>
      </c>
      <c r="C1958" s="83" t="s">
        <v>7915</v>
      </c>
      <c r="D1958" s="83" t="s">
        <v>7912</v>
      </c>
    </row>
    <row r="1959" spans="1:4">
      <c r="A1959" s="83" t="s">
        <v>7916</v>
      </c>
      <c r="B1959" s="83" t="s">
        <v>5017</v>
      </c>
      <c r="C1959" s="83" t="s">
        <v>7917</v>
      </c>
      <c r="D1959" s="83" t="s">
        <v>7918</v>
      </c>
    </row>
    <row r="1960" spans="1:4">
      <c r="A1960" s="83" t="s">
        <v>7916</v>
      </c>
      <c r="B1960" s="83" t="s">
        <v>5012</v>
      </c>
      <c r="C1960" s="83" t="s">
        <v>7919</v>
      </c>
      <c r="D1960" s="83" t="s">
        <v>7918</v>
      </c>
    </row>
    <row r="1961" spans="1:4">
      <c r="A1961" s="83" t="s">
        <v>7916</v>
      </c>
      <c r="B1961" s="83" t="s">
        <v>5015</v>
      </c>
      <c r="C1961" s="83" t="s">
        <v>7920</v>
      </c>
      <c r="D1961" s="83" t="s">
        <v>7918</v>
      </c>
    </row>
    <row r="1962" spans="1:4">
      <c r="A1962" s="83" t="s">
        <v>7916</v>
      </c>
      <c r="B1962" s="83" t="s">
        <v>5010</v>
      </c>
      <c r="C1962" s="83" t="s">
        <v>7921</v>
      </c>
      <c r="D1962" s="83" t="s">
        <v>7918</v>
      </c>
    </row>
    <row r="1963" spans="1:4">
      <c r="A1963" s="83" t="s">
        <v>7922</v>
      </c>
      <c r="B1963" s="83" t="s">
        <v>5017</v>
      </c>
      <c r="C1963" s="83" t="s">
        <v>7923</v>
      </c>
      <c r="D1963" s="83" t="s">
        <v>7924</v>
      </c>
    </row>
    <row r="1964" spans="1:4">
      <c r="A1964" s="83" t="s">
        <v>7922</v>
      </c>
      <c r="B1964" s="83" t="s">
        <v>5012</v>
      </c>
      <c r="C1964" s="83" t="s">
        <v>7925</v>
      </c>
      <c r="D1964" s="83" t="s">
        <v>7924</v>
      </c>
    </row>
    <row r="1965" spans="1:4">
      <c r="A1965" s="83" t="s">
        <v>7922</v>
      </c>
      <c r="B1965" s="83" t="s">
        <v>5015</v>
      </c>
      <c r="C1965" s="83" t="s">
        <v>7926</v>
      </c>
      <c r="D1965" s="83" t="s">
        <v>7924</v>
      </c>
    </row>
    <row r="1966" spans="1:4">
      <c r="A1966" s="83" t="s">
        <v>7922</v>
      </c>
      <c r="B1966" s="83" t="s">
        <v>5010</v>
      </c>
      <c r="C1966" s="83" t="s">
        <v>7927</v>
      </c>
      <c r="D1966" s="83" t="s">
        <v>7924</v>
      </c>
    </row>
    <row r="1967" spans="1:4">
      <c r="A1967" s="83" t="s">
        <v>7928</v>
      </c>
      <c r="B1967" s="83" t="s">
        <v>5017</v>
      </c>
      <c r="C1967" s="83" t="s">
        <v>7929</v>
      </c>
      <c r="D1967" s="83" t="s">
        <v>7930</v>
      </c>
    </row>
    <row r="1968" spans="1:4">
      <c r="A1968" s="83" t="s">
        <v>7928</v>
      </c>
      <c r="B1968" s="83" t="s">
        <v>5012</v>
      </c>
      <c r="C1968" s="83" t="s">
        <v>7931</v>
      </c>
      <c r="D1968" s="83" t="s">
        <v>7930</v>
      </c>
    </row>
    <row r="1969" spans="1:4">
      <c r="A1969" s="83" t="s">
        <v>7928</v>
      </c>
      <c r="B1969" s="83" t="s">
        <v>5015</v>
      </c>
      <c r="C1969" s="83" t="s">
        <v>7932</v>
      </c>
      <c r="D1969" s="83" t="s">
        <v>7930</v>
      </c>
    </row>
    <row r="1970" spans="1:4">
      <c r="A1970" s="83" t="s">
        <v>7928</v>
      </c>
      <c r="B1970" s="83" t="s">
        <v>5010</v>
      </c>
      <c r="C1970" s="83" t="s">
        <v>7911</v>
      </c>
      <c r="D1970" s="83" t="s">
        <v>7930</v>
      </c>
    </row>
    <row r="1971" spans="1:4">
      <c r="A1971" s="83" t="s">
        <v>7933</v>
      </c>
      <c r="B1971" s="83" t="s">
        <v>5017</v>
      </c>
      <c r="C1971" s="83" t="s">
        <v>7934</v>
      </c>
      <c r="D1971" s="83" t="s">
        <v>7935</v>
      </c>
    </row>
    <row r="1972" spans="1:4">
      <c r="A1972" s="83" t="s">
        <v>7933</v>
      </c>
      <c r="B1972" s="83" t="s">
        <v>5012</v>
      </c>
      <c r="C1972" s="83" t="s">
        <v>7936</v>
      </c>
      <c r="D1972" s="83" t="s">
        <v>7935</v>
      </c>
    </row>
    <row r="1973" spans="1:4">
      <c r="A1973" s="83" t="s">
        <v>7933</v>
      </c>
      <c r="B1973" s="83" t="s">
        <v>5015</v>
      </c>
      <c r="C1973" s="83" t="s">
        <v>7937</v>
      </c>
      <c r="D1973" s="83" t="s">
        <v>7935</v>
      </c>
    </row>
    <row r="1974" spans="1:4">
      <c r="A1974" s="83" t="s">
        <v>7933</v>
      </c>
      <c r="B1974" s="83" t="s">
        <v>5010</v>
      </c>
      <c r="C1974" s="83" t="s">
        <v>7938</v>
      </c>
      <c r="D1974" s="83" t="s">
        <v>7935</v>
      </c>
    </row>
    <row r="1975" spans="1:4">
      <c r="A1975" s="83" t="s">
        <v>7939</v>
      </c>
      <c r="B1975" s="83" t="s">
        <v>5017</v>
      </c>
      <c r="C1975" s="83" t="s">
        <v>7940</v>
      </c>
      <c r="D1975" s="83" t="s">
        <v>7941</v>
      </c>
    </row>
    <row r="1976" spans="1:4">
      <c r="A1976" s="83" t="s">
        <v>7939</v>
      </c>
      <c r="B1976" s="83" t="s">
        <v>5012</v>
      </c>
      <c r="C1976" s="83" t="s">
        <v>7942</v>
      </c>
      <c r="D1976" s="83" t="s">
        <v>7941</v>
      </c>
    </row>
    <row r="1977" spans="1:4">
      <c r="A1977" s="83" t="s">
        <v>7939</v>
      </c>
      <c r="B1977" s="83" t="s">
        <v>5015</v>
      </c>
      <c r="C1977" s="83" t="s">
        <v>7943</v>
      </c>
      <c r="D1977" s="83" t="s">
        <v>7941</v>
      </c>
    </row>
    <row r="1978" spans="1:4">
      <c r="A1978" s="83" t="s">
        <v>7939</v>
      </c>
      <c r="B1978" s="83" t="s">
        <v>5010</v>
      </c>
      <c r="C1978" s="83" t="s">
        <v>7944</v>
      </c>
      <c r="D1978" s="83" t="s">
        <v>7941</v>
      </c>
    </row>
    <row r="1979" spans="1:4">
      <c r="A1979" s="83" t="s">
        <v>7945</v>
      </c>
      <c r="B1979" s="83" t="s">
        <v>5017</v>
      </c>
      <c r="C1979" s="83" t="s">
        <v>7946</v>
      </c>
      <c r="D1979" s="83" t="s">
        <v>7947</v>
      </c>
    </row>
    <row r="1980" spans="1:4">
      <c r="A1980" s="83" t="s">
        <v>7945</v>
      </c>
      <c r="B1980" s="83" t="s">
        <v>5012</v>
      </c>
      <c r="C1980" s="83" t="s">
        <v>7948</v>
      </c>
      <c r="D1980" s="83" t="s">
        <v>7947</v>
      </c>
    </row>
    <row r="1981" spans="1:4">
      <c r="A1981" s="83" t="s">
        <v>7945</v>
      </c>
      <c r="B1981" s="83" t="s">
        <v>5015</v>
      </c>
      <c r="C1981" s="83" t="s">
        <v>7949</v>
      </c>
      <c r="D1981" s="83" t="s">
        <v>7947</v>
      </c>
    </row>
    <row r="1982" spans="1:4">
      <c r="A1982" s="83" t="s">
        <v>7945</v>
      </c>
      <c r="B1982" s="83" t="s">
        <v>5010</v>
      </c>
      <c r="C1982" s="83" t="s">
        <v>7950</v>
      </c>
      <c r="D1982" s="83" t="s">
        <v>7947</v>
      </c>
    </row>
    <row r="1983" spans="1:4">
      <c r="A1983" s="83" t="s">
        <v>7951</v>
      </c>
      <c r="B1983" s="83" t="s">
        <v>5017</v>
      </c>
      <c r="C1983" s="83" t="s">
        <v>7952</v>
      </c>
      <c r="D1983" s="83" t="s">
        <v>7953</v>
      </c>
    </row>
    <row r="1984" spans="1:4">
      <c r="A1984" s="83" t="s">
        <v>7951</v>
      </c>
      <c r="B1984" s="83" t="s">
        <v>5012</v>
      </c>
      <c r="C1984" s="83" t="s">
        <v>7954</v>
      </c>
      <c r="D1984" s="83" t="s">
        <v>7953</v>
      </c>
    </row>
    <row r="1985" spans="1:4">
      <c r="A1985" s="83" t="s">
        <v>7951</v>
      </c>
      <c r="B1985" s="83" t="s">
        <v>5015</v>
      </c>
      <c r="C1985" s="83" t="s">
        <v>7955</v>
      </c>
      <c r="D1985" s="83" t="s">
        <v>7953</v>
      </c>
    </row>
    <row r="1986" spans="1:4">
      <c r="A1986" s="83" t="s">
        <v>7951</v>
      </c>
      <c r="B1986" s="83" t="s">
        <v>5010</v>
      </c>
      <c r="C1986" s="83" t="s">
        <v>7956</v>
      </c>
      <c r="D1986" s="83" t="s">
        <v>7953</v>
      </c>
    </row>
    <row r="1987" spans="1:4">
      <c r="A1987" s="83" t="s">
        <v>7957</v>
      </c>
      <c r="B1987" s="83" t="s">
        <v>5017</v>
      </c>
      <c r="C1987" s="83" t="s">
        <v>7958</v>
      </c>
      <c r="D1987" s="83" t="s">
        <v>7959</v>
      </c>
    </row>
    <row r="1988" spans="1:4">
      <c r="A1988" s="83" t="s">
        <v>7957</v>
      </c>
      <c r="B1988" s="83" t="s">
        <v>5012</v>
      </c>
      <c r="C1988" s="83" t="s">
        <v>7960</v>
      </c>
      <c r="D1988" s="83" t="s">
        <v>7959</v>
      </c>
    </row>
    <row r="1989" spans="1:4">
      <c r="A1989" s="83" t="s">
        <v>7957</v>
      </c>
      <c r="B1989" s="83" t="s">
        <v>5015</v>
      </c>
      <c r="C1989" s="83" t="s">
        <v>7961</v>
      </c>
      <c r="D1989" s="83" t="s">
        <v>7959</v>
      </c>
    </row>
    <row r="1990" spans="1:4">
      <c r="A1990" s="83" t="s">
        <v>7957</v>
      </c>
      <c r="B1990" s="83" t="s">
        <v>5010</v>
      </c>
      <c r="C1990" s="83" t="s">
        <v>7962</v>
      </c>
      <c r="D1990" s="83" t="s">
        <v>7959</v>
      </c>
    </row>
    <row r="1991" spans="1:4">
      <c r="A1991" s="83" t="s">
        <v>7963</v>
      </c>
      <c r="B1991" s="83" t="s">
        <v>5017</v>
      </c>
      <c r="C1991" s="83" t="s">
        <v>7964</v>
      </c>
      <c r="D1991" s="83" t="s">
        <v>7965</v>
      </c>
    </row>
    <row r="1992" spans="1:4">
      <c r="A1992" s="83" t="s">
        <v>7963</v>
      </c>
      <c r="B1992" s="83" t="s">
        <v>5012</v>
      </c>
      <c r="C1992" s="83" t="s">
        <v>7966</v>
      </c>
      <c r="D1992" s="83" t="s">
        <v>7965</v>
      </c>
    </row>
    <row r="1993" spans="1:4">
      <c r="A1993" s="83" t="s">
        <v>7963</v>
      </c>
      <c r="B1993" s="83" t="s">
        <v>5015</v>
      </c>
      <c r="C1993" s="83" t="s">
        <v>7967</v>
      </c>
      <c r="D1993" s="83" t="s">
        <v>7965</v>
      </c>
    </row>
    <row r="1994" spans="1:4">
      <c r="A1994" s="83" t="s">
        <v>7963</v>
      </c>
      <c r="B1994" s="83" t="s">
        <v>5010</v>
      </c>
      <c r="C1994" s="83" t="s">
        <v>7968</v>
      </c>
      <c r="D1994" s="83" t="s">
        <v>7965</v>
      </c>
    </row>
    <row r="1995" spans="1:4">
      <c r="A1995" s="83" t="s">
        <v>7969</v>
      </c>
      <c r="B1995" s="83" t="s">
        <v>5017</v>
      </c>
      <c r="C1995" s="83" t="s">
        <v>7970</v>
      </c>
      <c r="D1995" s="83" t="s">
        <v>7971</v>
      </c>
    </row>
    <row r="1996" spans="1:4">
      <c r="A1996" s="83" t="s">
        <v>7969</v>
      </c>
      <c r="B1996" s="83" t="s">
        <v>5012</v>
      </c>
      <c r="C1996" s="83" t="s">
        <v>7972</v>
      </c>
      <c r="D1996" s="83" t="s">
        <v>7971</v>
      </c>
    </row>
    <row r="1997" spans="1:4">
      <c r="A1997" s="83" t="s">
        <v>7969</v>
      </c>
      <c r="B1997" s="83" t="s">
        <v>5015</v>
      </c>
      <c r="C1997" s="83" t="s">
        <v>7973</v>
      </c>
      <c r="D1997" s="83" t="s">
        <v>7971</v>
      </c>
    </row>
    <row r="1998" spans="1:4">
      <c r="A1998" s="83" t="s">
        <v>7969</v>
      </c>
      <c r="B1998" s="83" t="s">
        <v>5010</v>
      </c>
      <c r="C1998" s="83" t="s">
        <v>7974</v>
      </c>
      <c r="D1998" s="83" t="s">
        <v>7971</v>
      </c>
    </row>
    <row r="1999" spans="1:4">
      <c r="A1999" s="83" t="s">
        <v>7975</v>
      </c>
      <c r="B1999" s="83" t="s">
        <v>5017</v>
      </c>
      <c r="C1999" s="83" t="s">
        <v>7976</v>
      </c>
      <c r="D1999" s="83" t="s">
        <v>7977</v>
      </c>
    </row>
    <row r="2000" spans="1:4">
      <c r="A2000" s="83" t="s">
        <v>7975</v>
      </c>
      <c r="B2000" s="83" t="s">
        <v>5012</v>
      </c>
      <c r="C2000" s="83" t="s">
        <v>7978</v>
      </c>
      <c r="D2000" s="83" t="s">
        <v>7977</v>
      </c>
    </row>
    <row r="2001" spans="1:4">
      <c r="A2001" s="83" t="s">
        <v>7975</v>
      </c>
      <c r="B2001" s="83" t="s">
        <v>5015</v>
      </c>
      <c r="C2001" s="83" t="s">
        <v>7979</v>
      </c>
      <c r="D2001" s="83" t="s">
        <v>7977</v>
      </c>
    </row>
    <row r="2002" spans="1:4">
      <c r="A2002" s="83" t="s">
        <v>7975</v>
      </c>
      <c r="B2002" s="83" t="s">
        <v>5010</v>
      </c>
      <c r="C2002" s="83" t="s">
        <v>7980</v>
      </c>
      <c r="D2002" s="83" t="s">
        <v>7977</v>
      </c>
    </row>
    <row r="2003" spans="1:4">
      <c r="A2003" s="83" t="s">
        <v>7981</v>
      </c>
      <c r="B2003" s="83" t="s">
        <v>5017</v>
      </c>
      <c r="C2003" s="83" t="s">
        <v>7982</v>
      </c>
      <c r="D2003" s="83" t="s">
        <v>7983</v>
      </c>
    </row>
    <row r="2004" spans="1:4">
      <c r="A2004" s="83" t="s">
        <v>7981</v>
      </c>
      <c r="B2004" s="83" t="s">
        <v>5012</v>
      </c>
      <c r="C2004" s="83" t="s">
        <v>7984</v>
      </c>
      <c r="D2004" s="83" t="s">
        <v>7983</v>
      </c>
    </row>
    <row r="2005" spans="1:4">
      <c r="A2005" s="83" t="s">
        <v>7981</v>
      </c>
      <c r="B2005" s="83" t="s">
        <v>5015</v>
      </c>
      <c r="C2005" s="83" t="s">
        <v>7985</v>
      </c>
      <c r="D2005" s="83" t="s">
        <v>7983</v>
      </c>
    </row>
    <row r="2006" spans="1:4">
      <c r="A2006" s="83" t="s">
        <v>7981</v>
      </c>
      <c r="B2006" s="83" t="s">
        <v>5010</v>
      </c>
      <c r="C2006" s="83" t="s">
        <v>7986</v>
      </c>
      <c r="D2006" s="83" t="s">
        <v>7983</v>
      </c>
    </row>
    <row r="2007" spans="1:4">
      <c r="A2007" s="83" t="s">
        <v>7987</v>
      </c>
      <c r="B2007" s="83" t="s">
        <v>5017</v>
      </c>
      <c r="C2007" s="83" t="s">
        <v>7988</v>
      </c>
      <c r="D2007" s="83" t="s">
        <v>7989</v>
      </c>
    </row>
    <row r="2008" spans="1:4">
      <c r="A2008" s="83" t="s">
        <v>7987</v>
      </c>
      <c r="B2008" s="83" t="s">
        <v>5012</v>
      </c>
      <c r="C2008" s="83" t="s">
        <v>7990</v>
      </c>
      <c r="D2008" s="83" t="s">
        <v>7989</v>
      </c>
    </row>
    <row r="2009" spans="1:4">
      <c r="A2009" s="83" t="s">
        <v>7987</v>
      </c>
      <c r="B2009" s="83" t="s">
        <v>5015</v>
      </c>
      <c r="C2009" s="83" t="s">
        <v>7991</v>
      </c>
      <c r="D2009" s="83" t="s">
        <v>7989</v>
      </c>
    </row>
    <row r="2010" spans="1:4">
      <c r="A2010" s="83" t="s">
        <v>7987</v>
      </c>
      <c r="B2010" s="83" t="s">
        <v>5010</v>
      </c>
      <c r="C2010" s="83" t="s">
        <v>7992</v>
      </c>
      <c r="D2010" s="83" t="s">
        <v>7989</v>
      </c>
    </row>
    <row r="2011" spans="1:4">
      <c r="A2011" s="83" t="s">
        <v>7993</v>
      </c>
      <c r="B2011" s="83" t="s">
        <v>5017</v>
      </c>
      <c r="C2011" s="83" t="s">
        <v>7994</v>
      </c>
      <c r="D2011" s="83" t="s">
        <v>7995</v>
      </c>
    </row>
    <row r="2012" spans="1:4">
      <c r="A2012" s="83" t="s">
        <v>7993</v>
      </c>
      <c r="B2012" s="83" t="s">
        <v>5012</v>
      </c>
      <c r="C2012" s="83" t="s">
        <v>7996</v>
      </c>
      <c r="D2012" s="83" t="s">
        <v>7995</v>
      </c>
    </row>
    <row r="2013" spans="1:4">
      <c r="A2013" s="83" t="s">
        <v>7993</v>
      </c>
      <c r="B2013" s="83" t="s">
        <v>5015</v>
      </c>
      <c r="C2013" s="83" t="s">
        <v>7997</v>
      </c>
      <c r="D2013" s="83" t="s">
        <v>7995</v>
      </c>
    </row>
    <row r="2014" spans="1:4">
      <c r="A2014" s="83" t="s">
        <v>7993</v>
      </c>
      <c r="B2014" s="83" t="s">
        <v>5010</v>
      </c>
      <c r="C2014" s="83" t="s">
        <v>7998</v>
      </c>
      <c r="D2014" s="83" t="s">
        <v>7995</v>
      </c>
    </row>
    <row r="2015" spans="1:4">
      <c r="A2015" s="83" t="s">
        <v>7999</v>
      </c>
      <c r="B2015" s="83" t="s">
        <v>5017</v>
      </c>
      <c r="C2015" s="83" t="s">
        <v>8000</v>
      </c>
      <c r="D2015" s="83" t="s">
        <v>8001</v>
      </c>
    </row>
    <row r="2016" spans="1:4">
      <c r="A2016" s="83" t="s">
        <v>7999</v>
      </c>
      <c r="B2016" s="83" t="s">
        <v>5012</v>
      </c>
      <c r="C2016" s="83" t="s">
        <v>8002</v>
      </c>
      <c r="D2016" s="83" t="s">
        <v>8001</v>
      </c>
    </row>
    <row r="2017" spans="1:4">
      <c r="A2017" s="83" t="s">
        <v>7999</v>
      </c>
      <c r="B2017" s="83" t="s">
        <v>5015</v>
      </c>
      <c r="C2017" s="83" t="s">
        <v>8003</v>
      </c>
      <c r="D2017" s="83" t="s">
        <v>8001</v>
      </c>
    </row>
    <row r="2018" spans="1:4">
      <c r="A2018" s="83" t="s">
        <v>7999</v>
      </c>
      <c r="B2018" s="83" t="s">
        <v>5010</v>
      </c>
      <c r="C2018" s="83" t="s">
        <v>8004</v>
      </c>
      <c r="D2018" s="83" t="s">
        <v>8001</v>
      </c>
    </row>
    <row r="2019" spans="1:4">
      <c r="A2019" s="83" t="s">
        <v>8005</v>
      </c>
      <c r="B2019" s="83" t="s">
        <v>5017</v>
      </c>
      <c r="C2019" s="83" t="s">
        <v>8006</v>
      </c>
      <c r="D2019" s="83" t="s">
        <v>8007</v>
      </c>
    </row>
    <row r="2020" spans="1:4">
      <c r="A2020" s="83" t="s">
        <v>8005</v>
      </c>
      <c r="B2020" s="83" t="s">
        <v>5012</v>
      </c>
      <c r="C2020" s="83" t="s">
        <v>8008</v>
      </c>
      <c r="D2020" s="83" t="s">
        <v>8007</v>
      </c>
    </row>
    <row r="2021" spans="1:4">
      <c r="A2021" s="83" t="s">
        <v>8005</v>
      </c>
      <c r="B2021" s="83" t="s">
        <v>5015</v>
      </c>
      <c r="C2021" s="83" t="s">
        <v>8009</v>
      </c>
      <c r="D2021" s="83" t="s">
        <v>8007</v>
      </c>
    </row>
    <row r="2022" spans="1:4">
      <c r="A2022" s="83" t="s">
        <v>8005</v>
      </c>
      <c r="B2022" s="83" t="s">
        <v>5010</v>
      </c>
      <c r="C2022" s="83" t="s">
        <v>8010</v>
      </c>
      <c r="D2022" s="83" t="s">
        <v>8007</v>
      </c>
    </row>
    <row r="2023" spans="1:4">
      <c r="A2023" s="83" t="s">
        <v>8011</v>
      </c>
      <c r="B2023" s="83" t="s">
        <v>5017</v>
      </c>
      <c r="C2023" s="83" t="s">
        <v>8012</v>
      </c>
      <c r="D2023" s="83" t="s">
        <v>8013</v>
      </c>
    </row>
    <row r="2024" spans="1:4">
      <c r="A2024" s="83" t="s">
        <v>8011</v>
      </c>
      <c r="B2024" s="83" t="s">
        <v>5012</v>
      </c>
      <c r="C2024" s="83" t="s">
        <v>8014</v>
      </c>
      <c r="D2024" s="83" t="s">
        <v>8013</v>
      </c>
    </row>
    <row r="2025" spans="1:4">
      <c r="A2025" s="83" t="s">
        <v>8011</v>
      </c>
      <c r="B2025" s="83" t="s">
        <v>5015</v>
      </c>
      <c r="C2025" s="83" t="s">
        <v>8015</v>
      </c>
      <c r="D2025" s="83" t="s">
        <v>8013</v>
      </c>
    </row>
    <row r="2026" spans="1:4">
      <c r="A2026" s="83" t="s">
        <v>8011</v>
      </c>
      <c r="B2026" s="83" t="s">
        <v>5010</v>
      </c>
      <c r="C2026" s="83" t="s">
        <v>8016</v>
      </c>
      <c r="D2026" s="83" t="s">
        <v>8013</v>
      </c>
    </row>
    <row r="2027" spans="1:4">
      <c r="A2027" s="83" t="s">
        <v>8017</v>
      </c>
      <c r="B2027" s="83" t="s">
        <v>5017</v>
      </c>
      <c r="C2027" s="83" t="s">
        <v>8018</v>
      </c>
      <c r="D2027" s="83" t="s">
        <v>8019</v>
      </c>
    </row>
    <row r="2028" spans="1:4">
      <c r="A2028" s="83" t="s">
        <v>8017</v>
      </c>
      <c r="B2028" s="83" t="s">
        <v>5012</v>
      </c>
      <c r="C2028" s="83" t="s">
        <v>8020</v>
      </c>
      <c r="D2028" s="83" t="s">
        <v>8019</v>
      </c>
    </row>
    <row r="2029" spans="1:4">
      <c r="A2029" s="83" t="s">
        <v>8017</v>
      </c>
      <c r="B2029" s="83" t="s">
        <v>5015</v>
      </c>
      <c r="C2029" s="83" t="s">
        <v>8021</v>
      </c>
      <c r="D2029" s="83" t="s">
        <v>8019</v>
      </c>
    </row>
    <row r="2030" spans="1:4">
      <c r="A2030" s="83" t="s">
        <v>8017</v>
      </c>
      <c r="B2030" s="83" t="s">
        <v>5010</v>
      </c>
      <c r="C2030" s="83" t="s">
        <v>8022</v>
      </c>
      <c r="D2030" s="83" t="s">
        <v>8019</v>
      </c>
    </row>
    <row r="2031" spans="1:4">
      <c r="A2031" s="83" t="s">
        <v>8023</v>
      </c>
      <c r="B2031" s="83" t="s">
        <v>5017</v>
      </c>
      <c r="C2031" s="83" t="s">
        <v>8024</v>
      </c>
      <c r="D2031" s="83" t="s">
        <v>8025</v>
      </c>
    </row>
    <row r="2032" spans="1:4">
      <c r="A2032" s="83" t="s">
        <v>8023</v>
      </c>
      <c r="B2032" s="83" t="s">
        <v>5012</v>
      </c>
      <c r="C2032" s="83" t="s">
        <v>8026</v>
      </c>
      <c r="D2032" s="83" t="s">
        <v>8025</v>
      </c>
    </row>
    <row r="2033" spans="1:4">
      <c r="A2033" s="83" t="s">
        <v>8023</v>
      </c>
      <c r="B2033" s="83" t="s">
        <v>5015</v>
      </c>
      <c r="C2033" s="83" t="s">
        <v>8027</v>
      </c>
      <c r="D2033" s="83" t="s">
        <v>8025</v>
      </c>
    </row>
    <row r="2034" spans="1:4">
      <c r="A2034" s="83" t="s">
        <v>8023</v>
      </c>
      <c r="B2034" s="83" t="s">
        <v>5010</v>
      </c>
      <c r="C2034" s="83" t="s">
        <v>8028</v>
      </c>
      <c r="D2034" s="83" t="s">
        <v>8025</v>
      </c>
    </row>
    <row r="2035" spans="1:4">
      <c r="A2035" s="83" t="s">
        <v>8029</v>
      </c>
      <c r="B2035" s="83" t="s">
        <v>5017</v>
      </c>
      <c r="C2035" s="83" t="s">
        <v>8030</v>
      </c>
      <c r="D2035" s="83" t="s">
        <v>8031</v>
      </c>
    </row>
    <row r="2036" spans="1:4">
      <c r="A2036" s="83" t="s">
        <v>8029</v>
      </c>
      <c r="B2036" s="83" t="s">
        <v>5012</v>
      </c>
      <c r="C2036" s="83" t="s">
        <v>8032</v>
      </c>
      <c r="D2036" s="83" t="s">
        <v>8031</v>
      </c>
    </row>
    <row r="2037" spans="1:4">
      <c r="A2037" s="83" t="s">
        <v>8029</v>
      </c>
      <c r="B2037" s="83" t="s">
        <v>5015</v>
      </c>
      <c r="C2037" s="83" t="s">
        <v>8033</v>
      </c>
      <c r="D2037" s="83" t="s">
        <v>8031</v>
      </c>
    </row>
    <row r="2038" spans="1:4">
      <c r="A2038" s="83" t="s">
        <v>8029</v>
      </c>
      <c r="B2038" s="83" t="s">
        <v>5010</v>
      </c>
      <c r="C2038" s="83" t="s">
        <v>8034</v>
      </c>
      <c r="D2038" s="83" t="s">
        <v>8031</v>
      </c>
    </row>
    <row r="2039" spans="1:4">
      <c r="A2039" s="83" t="s">
        <v>8035</v>
      </c>
      <c r="B2039" s="83" t="s">
        <v>5017</v>
      </c>
      <c r="C2039" s="83" t="s">
        <v>8036</v>
      </c>
      <c r="D2039" s="83" t="s">
        <v>8037</v>
      </c>
    </row>
    <row r="2040" spans="1:4">
      <c r="A2040" s="83" t="s">
        <v>8035</v>
      </c>
      <c r="B2040" s="83" t="s">
        <v>5012</v>
      </c>
      <c r="C2040" s="83" t="s">
        <v>8038</v>
      </c>
      <c r="D2040" s="83" t="s">
        <v>8037</v>
      </c>
    </row>
    <row r="2041" spans="1:4">
      <c r="A2041" s="83" t="s">
        <v>8035</v>
      </c>
      <c r="B2041" s="83" t="s">
        <v>5015</v>
      </c>
      <c r="C2041" s="83" t="s">
        <v>8039</v>
      </c>
      <c r="D2041" s="83" t="s">
        <v>8037</v>
      </c>
    </row>
    <row r="2042" spans="1:4">
      <c r="A2042" s="83" t="s">
        <v>8035</v>
      </c>
      <c r="B2042" s="83" t="s">
        <v>5010</v>
      </c>
      <c r="C2042" s="83" t="s">
        <v>8040</v>
      </c>
      <c r="D2042" s="83" t="s">
        <v>8037</v>
      </c>
    </row>
    <row r="2043" spans="1:4">
      <c r="A2043" s="83" t="s">
        <v>8041</v>
      </c>
      <c r="B2043" s="83" t="s">
        <v>5017</v>
      </c>
      <c r="C2043" s="83" t="s">
        <v>8042</v>
      </c>
      <c r="D2043" s="83" t="s">
        <v>8043</v>
      </c>
    </row>
    <row r="2044" spans="1:4">
      <c r="A2044" s="83" t="s">
        <v>8041</v>
      </c>
      <c r="B2044" s="83" t="s">
        <v>5012</v>
      </c>
      <c r="C2044" s="83" t="s">
        <v>8044</v>
      </c>
      <c r="D2044" s="83" t="s">
        <v>8043</v>
      </c>
    </row>
    <row r="2045" spans="1:4">
      <c r="A2045" s="83" t="s">
        <v>8041</v>
      </c>
      <c r="B2045" s="83" t="s">
        <v>5015</v>
      </c>
      <c r="C2045" s="83" t="s">
        <v>8045</v>
      </c>
      <c r="D2045" s="83" t="s">
        <v>8043</v>
      </c>
    </row>
    <row r="2046" spans="1:4">
      <c r="A2046" s="83" t="s">
        <v>8041</v>
      </c>
      <c r="B2046" s="83" t="s">
        <v>5010</v>
      </c>
      <c r="C2046" s="83" t="s">
        <v>8046</v>
      </c>
      <c r="D2046" s="83" t="s">
        <v>8043</v>
      </c>
    </row>
    <row r="2047" spans="1:4">
      <c r="A2047" s="83" t="s">
        <v>8047</v>
      </c>
      <c r="B2047" s="83" t="s">
        <v>5017</v>
      </c>
      <c r="C2047" s="83" t="s">
        <v>8048</v>
      </c>
      <c r="D2047" s="83" t="s">
        <v>8049</v>
      </c>
    </row>
    <row r="2048" spans="1:4">
      <c r="A2048" s="83" t="s">
        <v>8047</v>
      </c>
      <c r="B2048" s="83" t="s">
        <v>5012</v>
      </c>
      <c r="C2048" s="83" t="s">
        <v>8050</v>
      </c>
      <c r="D2048" s="83" t="s">
        <v>8049</v>
      </c>
    </row>
    <row r="2049" spans="1:4">
      <c r="A2049" s="83" t="s">
        <v>8047</v>
      </c>
      <c r="B2049" s="83" t="s">
        <v>5015</v>
      </c>
      <c r="C2049" s="83" t="s">
        <v>8051</v>
      </c>
      <c r="D2049" s="83" t="s">
        <v>8049</v>
      </c>
    </row>
    <row r="2050" spans="1:4">
      <c r="A2050" s="83" t="s">
        <v>8047</v>
      </c>
      <c r="B2050" s="83" t="s">
        <v>5010</v>
      </c>
      <c r="C2050" s="83" t="s">
        <v>8052</v>
      </c>
      <c r="D2050" s="83" t="s">
        <v>8049</v>
      </c>
    </row>
    <row r="2051" spans="1:4">
      <c r="A2051" s="83" t="s">
        <v>8053</v>
      </c>
      <c r="B2051" s="83" t="s">
        <v>5017</v>
      </c>
      <c r="C2051" s="83" t="s">
        <v>8054</v>
      </c>
      <c r="D2051" s="83" t="s">
        <v>8055</v>
      </c>
    </row>
    <row r="2052" spans="1:4">
      <c r="A2052" s="83" t="s">
        <v>8053</v>
      </c>
      <c r="B2052" s="83" t="s">
        <v>5012</v>
      </c>
      <c r="C2052" s="83" t="s">
        <v>8056</v>
      </c>
      <c r="D2052" s="83" t="s">
        <v>8055</v>
      </c>
    </row>
    <row r="2053" spans="1:4">
      <c r="A2053" s="83" t="s">
        <v>8053</v>
      </c>
      <c r="B2053" s="83" t="s">
        <v>5015</v>
      </c>
      <c r="C2053" s="83" t="s">
        <v>8057</v>
      </c>
      <c r="D2053" s="83" t="s">
        <v>8055</v>
      </c>
    </row>
    <row r="2054" spans="1:4">
      <c r="A2054" s="83" t="s">
        <v>8053</v>
      </c>
      <c r="B2054" s="83" t="s">
        <v>5010</v>
      </c>
      <c r="C2054" s="83" t="s">
        <v>8058</v>
      </c>
      <c r="D2054" s="83" t="s">
        <v>8055</v>
      </c>
    </row>
    <row r="2055" spans="1:4">
      <c r="A2055" s="83" t="s">
        <v>8059</v>
      </c>
      <c r="B2055" s="83" t="s">
        <v>5017</v>
      </c>
      <c r="C2055" s="83" t="s">
        <v>8060</v>
      </c>
      <c r="D2055" s="83" t="s">
        <v>8061</v>
      </c>
    </row>
    <row r="2056" spans="1:4">
      <c r="A2056" s="83" t="s">
        <v>8059</v>
      </c>
      <c r="B2056" s="83" t="s">
        <v>5012</v>
      </c>
      <c r="C2056" s="83" t="s">
        <v>8062</v>
      </c>
      <c r="D2056" s="83" t="s">
        <v>8061</v>
      </c>
    </row>
    <row r="2057" spans="1:4">
      <c r="A2057" s="83" t="s">
        <v>8059</v>
      </c>
      <c r="B2057" s="83" t="s">
        <v>5015</v>
      </c>
      <c r="C2057" s="83" t="s">
        <v>8063</v>
      </c>
      <c r="D2057" s="83" t="s">
        <v>8061</v>
      </c>
    </row>
    <row r="2058" spans="1:4">
      <c r="A2058" s="83" t="s">
        <v>8059</v>
      </c>
      <c r="B2058" s="83" t="s">
        <v>5010</v>
      </c>
      <c r="C2058" s="83" t="s">
        <v>8064</v>
      </c>
      <c r="D2058" s="83" t="s">
        <v>8061</v>
      </c>
    </row>
    <row r="2059" spans="1:4">
      <c r="A2059" s="83" t="s">
        <v>8065</v>
      </c>
      <c r="B2059" s="83" t="s">
        <v>5017</v>
      </c>
      <c r="C2059" s="83" t="s">
        <v>8066</v>
      </c>
      <c r="D2059" s="83" t="s">
        <v>8067</v>
      </c>
    </row>
    <row r="2060" spans="1:4">
      <c r="A2060" s="83" t="s">
        <v>8065</v>
      </c>
      <c r="B2060" s="83" t="s">
        <v>5012</v>
      </c>
      <c r="C2060" s="83" t="s">
        <v>8068</v>
      </c>
      <c r="D2060" s="83" t="s">
        <v>8067</v>
      </c>
    </row>
    <row r="2061" spans="1:4">
      <c r="A2061" s="83" t="s">
        <v>8065</v>
      </c>
      <c r="B2061" s="83" t="s">
        <v>5015</v>
      </c>
      <c r="C2061" s="83" t="s">
        <v>8069</v>
      </c>
      <c r="D2061" s="83" t="s">
        <v>8067</v>
      </c>
    </row>
    <row r="2062" spans="1:4">
      <c r="A2062" s="83" t="s">
        <v>8065</v>
      </c>
      <c r="B2062" s="83" t="s">
        <v>5010</v>
      </c>
      <c r="C2062" s="83" t="s">
        <v>8070</v>
      </c>
      <c r="D2062" s="83" t="s">
        <v>8067</v>
      </c>
    </row>
    <row r="2063" spans="1:4">
      <c r="A2063" s="83" t="s">
        <v>8071</v>
      </c>
      <c r="B2063" s="83" t="s">
        <v>5017</v>
      </c>
      <c r="C2063" s="83" t="s">
        <v>8072</v>
      </c>
      <c r="D2063" s="83" t="s">
        <v>8073</v>
      </c>
    </row>
    <row r="2064" spans="1:4">
      <c r="A2064" s="83" t="s">
        <v>8071</v>
      </c>
      <c r="B2064" s="83" t="s">
        <v>5012</v>
      </c>
      <c r="C2064" s="83" t="s">
        <v>8074</v>
      </c>
      <c r="D2064" s="83" t="s">
        <v>8073</v>
      </c>
    </row>
    <row r="2065" spans="1:4">
      <c r="A2065" s="83" t="s">
        <v>8071</v>
      </c>
      <c r="B2065" s="83" t="s">
        <v>5015</v>
      </c>
      <c r="C2065" s="83" t="s">
        <v>8075</v>
      </c>
      <c r="D2065" s="83" t="s">
        <v>8073</v>
      </c>
    </row>
    <row r="2066" spans="1:4">
      <c r="A2066" s="83" t="s">
        <v>8071</v>
      </c>
      <c r="B2066" s="83" t="s">
        <v>5010</v>
      </c>
      <c r="C2066" s="83" t="s">
        <v>8076</v>
      </c>
      <c r="D2066" s="83" t="s">
        <v>8073</v>
      </c>
    </row>
    <row r="2067" spans="1:4">
      <c r="A2067" s="83" t="s">
        <v>8077</v>
      </c>
      <c r="B2067" s="83" t="s">
        <v>5017</v>
      </c>
      <c r="C2067" s="83" t="s">
        <v>8078</v>
      </c>
      <c r="D2067" s="83" t="s">
        <v>8079</v>
      </c>
    </row>
    <row r="2068" spans="1:4">
      <c r="A2068" s="83" t="s">
        <v>8077</v>
      </c>
      <c r="B2068" s="83" t="s">
        <v>5012</v>
      </c>
      <c r="C2068" s="83" t="s">
        <v>8080</v>
      </c>
      <c r="D2068" s="83" t="s">
        <v>8079</v>
      </c>
    </row>
    <row r="2069" spans="1:4">
      <c r="A2069" s="83" t="s">
        <v>8077</v>
      </c>
      <c r="B2069" s="83" t="s">
        <v>5015</v>
      </c>
      <c r="C2069" s="83" t="s">
        <v>8081</v>
      </c>
      <c r="D2069" s="83" t="s">
        <v>8079</v>
      </c>
    </row>
    <row r="2070" spans="1:4">
      <c r="A2070" s="83" t="s">
        <v>8077</v>
      </c>
      <c r="B2070" s="83" t="s">
        <v>5010</v>
      </c>
      <c r="C2070" s="83" t="s">
        <v>8082</v>
      </c>
      <c r="D2070" s="83" t="s">
        <v>8079</v>
      </c>
    </row>
    <row r="2071" spans="1:4">
      <c r="A2071" s="83" t="s">
        <v>8083</v>
      </c>
      <c r="B2071" s="83" t="s">
        <v>5017</v>
      </c>
      <c r="C2071" s="83" t="s">
        <v>8084</v>
      </c>
      <c r="D2071" s="83" t="s">
        <v>8085</v>
      </c>
    </row>
    <row r="2072" spans="1:4">
      <c r="A2072" s="83" t="s">
        <v>8083</v>
      </c>
      <c r="B2072" s="83" t="s">
        <v>5012</v>
      </c>
      <c r="C2072" s="83" t="s">
        <v>8086</v>
      </c>
      <c r="D2072" s="83" t="s">
        <v>8085</v>
      </c>
    </row>
    <row r="2073" spans="1:4">
      <c r="A2073" s="83" t="s">
        <v>8083</v>
      </c>
      <c r="B2073" s="83" t="s">
        <v>5015</v>
      </c>
      <c r="C2073" s="83" t="s">
        <v>8087</v>
      </c>
      <c r="D2073" s="83" t="s">
        <v>8085</v>
      </c>
    </row>
    <row r="2074" spans="1:4">
      <c r="A2074" s="83" t="s">
        <v>8083</v>
      </c>
      <c r="B2074" s="83" t="s">
        <v>5010</v>
      </c>
      <c r="C2074" s="83" t="s">
        <v>8088</v>
      </c>
      <c r="D2074" s="83" t="s">
        <v>8085</v>
      </c>
    </row>
    <row r="2075" spans="1:4">
      <c r="A2075" s="83" t="s">
        <v>8089</v>
      </c>
      <c r="B2075" s="83" t="s">
        <v>5017</v>
      </c>
      <c r="C2075" s="83" t="s">
        <v>8090</v>
      </c>
      <c r="D2075" s="83" t="s">
        <v>8091</v>
      </c>
    </row>
    <row r="2076" spans="1:4">
      <c r="A2076" s="83" t="s">
        <v>8089</v>
      </c>
      <c r="B2076" s="83" t="s">
        <v>5012</v>
      </c>
      <c r="C2076" s="83" t="s">
        <v>8092</v>
      </c>
      <c r="D2076" s="83" t="s">
        <v>8091</v>
      </c>
    </row>
    <row r="2077" spans="1:4">
      <c r="A2077" s="83" t="s">
        <v>8089</v>
      </c>
      <c r="B2077" s="83" t="s">
        <v>5015</v>
      </c>
      <c r="C2077" s="83" t="s">
        <v>8093</v>
      </c>
      <c r="D2077" s="83" t="s">
        <v>8091</v>
      </c>
    </row>
    <row r="2078" spans="1:4">
      <c r="A2078" s="83" t="s">
        <v>8089</v>
      </c>
      <c r="B2078" s="83" t="s">
        <v>5010</v>
      </c>
      <c r="C2078" s="83" t="s">
        <v>8094</v>
      </c>
      <c r="D2078" s="83" t="s">
        <v>8091</v>
      </c>
    </row>
    <row r="2079" spans="1:4">
      <c r="A2079" s="83" t="s">
        <v>8095</v>
      </c>
      <c r="B2079" s="83" t="s">
        <v>5017</v>
      </c>
      <c r="C2079" s="83" t="s">
        <v>8096</v>
      </c>
      <c r="D2079" s="83" t="s">
        <v>8097</v>
      </c>
    </row>
    <row r="2080" spans="1:4">
      <c r="A2080" s="83" t="s">
        <v>8095</v>
      </c>
      <c r="B2080" s="83" t="s">
        <v>5012</v>
      </c>
      <c r="C2080" s="83" t="s">
        <v>8098</v>
      </c>
      <c r="D2080" s="83" t="s">
        <v>8097</v>
      </c>
    </row>
    <row r="2081" spans="1:4">
      <c r="A2081" s="83" t="s">
        <v>8095</v>
      </c>
      <c r="B2081" s="83" t="s">
        <v>5015</v>
      </c>
      <c r="C2081" s="83" t="s">
        <v>8099</v>
      </c>
      <c r="D2081" s="83" t="s">
        <v>8097</v>
      </c>
    </row>
    <row r="2082" spans="1:4">
      <c r="A2082" s="83" t="s">
        <v>8095</v>
      </c>
      <c r="B2082" s="83" t="s">
        <v>5010</v>
      </c>
      <c r="C2082" s="83" t="s">
        <v>8100</v>
      </c>
      <c r="D2082" s="83" t="s">
        <v>8097</v>
      </c>
    </row>
    <row r="2083" spans="1:4">
      <c r="A2083" s="83" t="s">
        <v>8101</v>
      </c>
      <c r="B2083" s="83" t="s">
        <v>5017</v>
      </c>
      <c r="C2083" s="83" t="s">
        <v>8102</v>
      </c>
      <c r="D2083" s="83" t="s">
        <v>8103</v>
      </c>
    </row>
    <row r="2084" spans="1:4">
      <c r="A2084" s="83" t="s">
        <v>8101</v>
      </c>
      <c r="B2084" s="83" t="s">
        <v>5012</v>
      </c>
      <c r="C2084" s="83" t="s">
        <v>8104</v>
      </c>
      <c r="D2084" s="83" t="s">
        <v>8103</v>
      </c>
    </row>
    <row r="2085" spans="1:4">
      <c r="A2085" s="83" t="s">
        <v>8101</v>
      </c>
      <c r="B2085" s="83" t="s">
        <v>5015</v>
      </c>
      <c r="C2085" s="83" t="s">
        <v>8105</v>
      </c>
      <c r="D2085" s="83" t="s">
        <v>8103</v>
      </c>
    </row>
    <row r="2086" spans="1:4">
      <c r="A2086" s="83" t="s">
        <v>8101</v>
      </c>
      <c r="B2086" s="83" t="s">
        <v>5010</v>
      </c>
      <c r="C2086" s="83" t="s">
        <v>8106</v>
      </c>
      <c r="D2086" s="83" t="s">
        <v>8103</v>
      </c>
    </row>
    <row r="2087" spans="1:4">
      <c r="A2087" s="83" t="s">
        <v>8107</v>
      </c>
      <c r="B2087" s="83" t="s">
        <v>5017</v>
      </c>
      <c r="C2087" s="83" t="s">
        <v>8108</v>
      </c>
      <c r="D2087" s="83" t="s">
        <v>8109</v>
      </c>
    </row>
    <row r="2088" spans="1:4">
      <c r="A2088" s="83" t="s">
        <v>8107</v>
      </c>
      <c r="B2088" s="83" t="s">
        <v>5012</v>
      </c>
      <c r="C2088" s="83" t="s">
        <v>8110</v>
      </c>
      <c r="D2088" s="83" t="s">
        <v>8109</v>
      </c>
    </row>
    <row r="2089" spans="1:4">
      <c r="A2089" s="83" t="s">
        <v>8107</v>
      </c>
      <c r="B2089" s="83" t="s">
        <v>5015</v>
      </c>
      <c r="C2089" s="83" t="s">
        <v>8111</v>
      </c>
      <c r="D2089" s="83" t="s">
        <v>8109</v>
      </c>
    </row>
    <row r="2090" spans="1:4">
      <c r="A2090" s="83" t="s">
        <v>8107</v>
      </c>
      <c r="B2090" s="83" t="s">
        <v>5010</v>
      </c>
      <c r="C2090" s="83" t="s">
        <v>8112</v>
      </c>
      <c r="D2090" s="83" t="s">
        <v>8109</v>
      </c>
    </row>
    <row r="2091" spans="1:4">
      <c r="A2091" s="83" t="s">
        <v>8113</v>
      </c>
      <c r="B2091" s="83" t="s">
        <v>5017</v>
      </c>
      <c r="C2091" s="83" t="s">
        <v>8114</v>
      </c>
      <c r="D2091" s="83" t="s">
        <v>8115</v>
      </c>
    </row>
    <row r="2092" spans="1:4">
      <c r="A2092" s="83" t="s">
        <v>8113</v>
      </c>
      <c r="B2092" s="83" t="s">
        <v>5012</v>
      </c>
      <c r="C2092" s="83" t="s">
        <v>8116</v>
      </c>
      <c r="D2092" s="83" t="s">
        <v>8115</v>
      </c>
    </row>
    <row r="2093" spans="1:4">
      <c r="A2093" s="83" t="s">
        <v>8113</v>
      </c>
      <c r="B2093" s="83" t="s">
        <v>5015</v>
      </c>
      <c r="C2093" s="83" t="s">
        <v>8117</v>
      </c>
      <c r="D2093" s="83" t="s">
        <v>8115</v>
      </c>
    </row>
    <row r="2094" spans="1:4">
      <c r="A2094" s="83" t="s">
        <v>8113</v>
      </c>
      <c r="B2094" s="83" t="s">
        <v>5010</v>
      </c>
      <c r="C2094" s="83" t="s">
        <v>8118</v>
      </c>
      <c r="D2094" s="83" t="s">
        <v>8115</v>
      </c>
    </row>
    <row r="2095" spans="1:4">
      <c r="A2095" s="83" t="s">
        <v>8119</v>
      </c>
      <c r="B2095" s="83" t="s">
        <v>5017</v>
      </c>
      <c r="C2095" s="83" t="s">
        <v>8120</v>
      </c>
      <c r="D2095" s="83" t="s">
        <v>8121</v>
      </c>
    </row>
    <row r="2096" spans="1:4">
      <c r="A2096" s="83" t="s">
        <v>8119</v>
      </c>
      <c r="B2096" s="83" t="s">
        <v>5012</v>
      </c>
      <c r="C2096" s="83" t="s">
        <v>8122</v>
      </c>
      <c r="D2096" s="83" t="s">
        <v>8121</v>
      </c>
    </row>
    <row r="2097" spans="1:4">
      <c r="A2097" s="83" t="s">
        <v>8119</v>
      </c>
      <c r="B2097" s="83" t="s">
        <v>5015</v>
      </c>
      <c r="C2097" s="83" t="s">
        <v>8123</v>
      </c>
      <c r="D2097" s="83" t="s">
        <v>8121</v>
      </c>
    </row>
    <row r="2098" spans="1:4">
      <c r="A2098" s="83" t="s">
        <v>8119</v>
      </c>
      <c r="B2098" s="83" t="s">
        <v>5010</v>
      </c>
      <c r="C2098" s="83" t="s">
        <v>8124</v>
      </c>
      <c r="D2098" s="83" t="s">
        <v>8121</v>
      </c>
    </row>
    <row r="2099" spans="1:4">
      <c r="A2099" s="83" t="s">
        <v>8125</v>
      </c>
      <c r="B2099" s="83" t="s">
        <v>5017</v>
      </c>
      <c r="C2099" s="83" t="s">
        <v>8126</v>
      </c>
      <c r="D2099" s="83" t="s">
        <v>8127</v>
      </c>
    </row>
    <row r="2100" spans="1:4">
      <c r="A2100" s="83" t="s">
        <v>8125</v>
      </c>
      <c r="B2100" s="83" t="s">
        <v>5012</v>
      </c>
      <c r="C2100" s="83" t="s">
        <v>8128</v>
      </c>
      <c r="D2100" s="83" t="s">
        <v>8127</v>
      </c>
    </row>
    <row r="2101" spans="1:4">
      <c r="A2101" s="83" t="s">
        <v>8125</v>
      </c>
      <c r="B2101" s="83" t="s">
        <v>5015</v>
      </c>
      <c r="C2101" s="83" t="s">
        <v>8129</v>
      </c>
      <c r="D2101" s="83" t="s">
        <v>8127</v>
      </c>
    </row>
    <row r="2102" spans="1:4">
      <c r="A2102" s="83" t="s">
        <v>8125</v>
      </c>
      <c r="B2102" s="83" t="s">
        <v>5010</v>
      </c>
      <c r="C2102" s="83" t="s">
        <v>8130</v>
      </c>
      <c r="D2102" s="83" t="s">
        <v>8127</v>
      </c>
    </row>
    <row r="2103" spans="1:4">
      <c r="A2103" s="83" t="s">
        <v>8131</v>
      </c>
      <c r="B2103" s="83" t="s">
        <v>5017</v>
      </c>
      <c r="C2103" s="83" t="s">
        <v>8132</v>
      </c>
      <c r="D2103" s="83" t="s">
        <v>8133</v>
      </c>
    </row>
    <row r="2104" spans="1:4">
      <c r="A2104" s="83" t="s">
        <v>8131</v>
      </c>
      <c r="B2104" s="83" t="s">
        <v>5012</v>
      </c>
      <c r="C2104" s="83" t="s">
        <v>8134</v>
      </c>
      <c r="D2104" s="83" t="s">
        <v>8133</v>
      </c>
    </row>
    <row r="2105" spans="1:4">
      <c r="A2105" s="83" t="s">
        <v>8131</v>
      </c>
      <c r="B2105" s="83" t="s">
        <v>5015</v>
      </c>
      <c r="C2105" s="83" t="s">
        <v>8135</v>
      </c>
      <c r="D2105" s="83" t="s">
        <v>8133</v>
      </c>
    </row>
    <row r="2106" spans="1:4">
      <c r="A2106" s="83" t="s">
        <v>8131</v>
      </c>
      <c r="B2106" s="83" t="s">
        <v>5010</v>
      </c>
      <c r="C2106" s="83" t="s">
        <v>8136</v>
      </c>
      <c r="D2106" s="83" t="s">
        <v>8133</v>
      </c>
    </row>
    <row r="2107" spans="1:4">
      <c r="A2107" s="83" t="s">
        <v>8137</v>
      </c>
      <c r="B2107" s="83" t="s">
        <v>5017</v>
      </c>
      <c r="C2107" s="83" t="s">
        <v>8138</v>
      </c>
      <c r="D2107" s="83" t="s">
        <v>8139</v>
      </c>
    </row>
    <row r="2108" spans="1:4">
      <c r="A2108" s="83" t="s">
        <v>8137</v>
      </c>
      <c r="B2108" s="83" t="s">
        <v>5012</v>
      </c>
      <c r="C2108" s="83" t="s">
        <v>8140</v>
      </c>
      <c r="D2108" s="83" t="s">
        <v>8139</v>
      </c>
    </row>
    <row r="2109" spans="1:4">
      <c r="A2109" s="83" t="s">
        <v>8137</v>
      </c>
      <c r="B2109" s="83" t="s">
        <v>5015</v>
      </c>
      <c r="C2109" s="83" t="s">
        <v>8141</v>
      </c>
      <c r="D2109" s="83" t="s">
        <v>8139</v>
      </c>
    </row>
    <row r="2110" spans="1:4">
      <c r="A2110" s="83" t="s">
        <v>8137</v>
      </c>
      <c r="B2110" s="83" t="s">
        <v>5010</v>
      </c>
      <c r="C2110" s="83" t="s">
        <v>8142</v>
      </c>
      <c r="D2110" s="83" t="s">
        <v>8139</v>
      </c>
    </row>
    <row r="2111" spans="1:4">
      <c r="A2111" s="83" t="s">
        <v>8143</v>
      </c>
      <c r="B2111" s="83" t="s">
        <v>5017</v>
      </c>
      <c r="C2111" s="83" t="s">
        <v>8144</v>
      </c>
      <c r="D2111" s="83" t="s">
        <v>8145</v>
      </c>
    </row>
    <row r="2112" spans="1:4">
      <c r="A2112" s="83" t="s">
        <v>8143</v>
      </c>
      <c r="B2112" s="83" t="s">
        <v>5012</v>
      </c>
      <c r="C2112" s="83" t="s">
        <v>8146</v>
      </c>
      <c r="D2112" s="83" t="s">
        <v>8145</v>
      </c>
    </row>
    <row r="2113" spans="1:4">
      <c r="A2113" s="83" t="s">
        <v>8143</v>
      </c>
      <c r="B2113" s="83" t="s">
        <v>5015</v>
      </c>
      <c r="C2113" s="83" t="s">
        <v>8147</v>
      </c>
      <c r="D2113" s="83" t="s">
        <v>8145</v>
      </c>
    </row>
    <row r="2114" spans="1:4">
      <c r="A2114" s="83" t="s">
        <v>8143</v>
      </c>
      <c r="B2114" s="83" t="s">
        <v>5010</v>
      </c>
      <c r="C2114" s="83" t="s">
        <v>8148</v>
      </c>
      <c r="D2114" s="83" t="s">
        <v>8145</v>
      </c>
    </row>
    <row r="2115" spans="1:4">
      <c r="A2115" s="83" t="s">
        <v>8149</v>
      </c>
      <c r="B2115" s="83" t="s">
        <v>5017</v>
      </c>
      <c r="C2115" s="83" t="s">
        <v>8150</v>
      </c>
      <c r="D2115" s="83" t="s">
        <v>8151</v>
      </c>
    </row>
    <row r="2116" spans="1:4">
      <c r="A2116" s="83" t="s">
        <v>8149</v>
      </c>
      <c r="B2116" s="83" t="s">
        <v>5012</v>
      </c>
      <c r="C2116" s="83" t="s">
        <v>8152</v>
      </c>
      <c r="D2116" s="83" t="s">
        <v>8151</v>
      </c>
    </row>
    <row r="2117" spans="1:4">
      <c r="A2117" s="83" t="s">
        <v>8149</v>
      </c>
      <c r="B2117" s="83" t="s">
        <v>5015</v>
      </c>
      <c r="C2117" s="83" t="s">
        <v>8153</v>
      </c>
      <c r="D2117" s="83" t="s">
        <v>8151</v>
      </c>
    </row>
    <row r="2118" spans="1:4">
      <c r="A2118" s="83" t="s">
        <v>8149</v>
      </c>
      <c r="B2118" s="83" t="s">
        <v>5010</v>
      </c>
      <c r="C2118" s="83" t="s">
        <v>8154</v>
      </c>
      <c r="D2118" s="83" t="s">
        <v>8151</v>
      </c>
    </row>
    <row r="2119" spans="1:4">
      <c r="A2119" s="83" t="s">
        <v>8155</v>
      </c>
      <c r="B2119" s="83" t="s">
        <v>5017</v>
      </c>
      <c r="C2119" s="83" t="s">
        <v>8156</v>
      </c>
      <c r="D2119" s="83" t="s">
        <v>8157</v>
      </c>
    </row>
    <row r="2120" spans="1:4">
      <c r="A2120" s="83" t="s">
        <v>8155</v>
      </c>
      <c r="B2120" s="83" t="s">
        <v>5012</v>
      </c>
      <c r="C2120" s="83" t="s">
        <v>8158</v>
      </c>
      <c r="D2120" s="83" t="s">
        <v>8157</v>
      </c>
    </row>
    <row r="2121" spans="1:4">
      <c r="A2121" s="83" t="s">
        <v>8155</v>
      </c>
      <c r="B2121" s="83" t="s">
        <v>5015</v>
      </c>
      <c r="C2121" s="83" t="s">
        <v>8159</v>
      </c>
      <c r="D2121" s="83" t="s">
        <v>8157</v>
      </c>
    </row>
    <row r="2122" spans="1:4">
      <c r="A2122" s="83" t="s">
        <v>8155</v>
      </c>
      <c r="B2122" s="83" t="s">
        <v>5010</v>
      </c>
      <c r="C2122" s="83" t="s">
        <v>8160</v>
      </c>
      <c r="D2122" s="83" t="s">
        <v>8157</v>
      </c>
    </row>
    <row r="2123" spans="1:4">
      <c r="A2123" s="83" t="s">
        <v>8161</v>
      </c>
      <c r="B2123" s="83" t="s">
        <v>5017</v>
      </c>
      <c r="C2123" s="83" t="s">
        <v>8162</v>
      </c>
      <c r="D2123" s="83" t="s">
        <v>8163</v>
      </c>
    </row>
    <row r="2124" spans="1:4">
      <c r="A2124" s="83" t="s">
        <v>8161</v>
      </c>
      <c r="B2124" s="83" t="s">
        <v>5012</v>
      </c>
      <c r="C2124" s="83" t="s">
        <v>8164</v>
      </c>
      <c r="D2124" s="83" t="s">
        <v>8163</v>
      </c>
    </row>
    <row r="2125" spans="1:4">
      <c r="A2125" s="83" t="s">
        <v>8161</v>
      </c>
      <c r="B2125" s="83" t="s">
        <v>5015</v>
      </c>
      <c r="C2125" s="83" t="s">
        <v>8165</v>
      </c>
      <c r="D2125" s="83" t="s">
        <v>8163</v>
      </c>
    </row>
    <row r="2126" spans="1:4">
      <c r="A2126" s="83" t="s">
        <v>8161</v>
      </c>
      <c r="B2126" s="83" t="s">
        <v>5010</v>
      </c>
      <c r="C2126" s="83" t="s">
        <v>8166</v>
      </c>
      <c r="D2126" s="83" t="s">
        <v>8163</v>
      </c>
    </row>
    <row r="2127" spans="1:4">
      <c r="A2127" s="83" t="s">
        <v>8167</v>
      </c>
      <c r="B2127" s="83" t="s">
        <v>5017</v>
      </c>
      <c r="C2127" s="83" t="s">
        <v>8168</v>
      </c>
      <c r="D2127" s="83" t="s">
        <v>8169</v>
      </c>
    </row>
    <row r="2128" spans="1:4">
      <c r="A2128" s="83" t="s">
        <v>8167</v>
      </c>
      <c r="B2128" s="83" t="s">
        <v>5012</v>
      </c>
      <c r="C2128" s="83" t="s">
        <v>8170</v>
      </c>
      <c r="D2128" s="83" t="s">
        <v>8169</v>
      </c>
    </row>
    <row r="2129" spans="1:4">
      <c r="A2129" s="83" t="s">
        <v>8167</v>
      </c>
      <c r="B2129" s="83" t="s">
        <v>5015</v>
      </c>
      <c r="C2129" s="83" t="s">
        <v>8171</v>
      </c>
      <c r="D2129" s="83" t="s">
        <v>8169</v>
      </c>
    </row>
    <row r="2130" spans="1:4">
      <c r="A2130" s="83" t="s">
        <v>8167</v>
      </c>
      <c r="B2130" s="83" t="s">
        <v>5010</v>
      </c>
      <c r="C2130" s="83" t="s">
        <v>8042</v>
      </c>
      <c r="D2130" s="83" t="s">
        <v>8169</v>
      </c>
    </row>
    <row r="2131" spans="1:4">
      <c r="A2131" s="83" t="s">
        <v>8172</v>
      </c>
      <c r="B2131" s="83" t="s">
        <v>5017</v>
      </c>
      <c r="C2131" s="83" t="s">
        <v>8173</v>
      </c>
      <c r="D2131" s="83" t="s">
        <v>8174</v>
      </c>
    </row>
    <row r="2132" spans="1:4">
      <c r="A2132" s="83" t="s">
        <v>8172</v>
      </c>
      <c r="B2132" s="83" t="s">
        <v>5012</v>
      </c>
      <c r="C2132" s="83" t="s">
        <v>8175</v>
      </c>
      <c r="D2132" s="83" t="s">
        <v>8174</v>
      </c>
    </row>
    <row r="2133" spans="1:4">
      <c r="A2133" s="83" t="s">
        <v>8172</v>
      </c>
      <c r="B2133" s="83" t="s">
        <v>5015</v>
      </c>
      <c r="C2133" s="83" t="s">
        <v>8176</v>
      </c>
      <c r="D2133" s="83" t="s">
        <v>8174</v>
      </c>
    </row>
    <row r="2134" spans="1:4">
      <c r="A2134" s="83" t="s">
        <v>8172</v>
      </c>
      <c r="B2134" s="83" t="s">
        <v>5010</v>
      </c>
      <c r="C2134" s="83" t="s">
        <v>8177</v>
      </c>
      <c r="D2134" s="83" t="s">
        <v>8174</v>
      </c>
    </row>
    <row r="2135" spans="1:4">
      <c r="A2135" s="83" t="s">
        <v>8178</v>
      </c>
      <c r="B2135" s="83" t="s">
        <v>5017</v>
      </c>
      <c r="C2135" s="83" t="s">
        <v>8179</v>
      </c>
      <c r="D2135" s="83" t="s">
        <v>8180</v>
      </c>
    </row>
    <row r="2136" spans="1:4">
      <c r="A2136" s="83" t="s">
        <v>8178</v>
      </c>
      <c r="B2136" s="83" t="s">
        <v>5012</v>
      </c>
      <c r="C2136" s="83" t="s">
        <v>8181</v>
      </c>
      <c r="D2136" s="83" t="s">
        <v>8180</v>
      </c>
    </row>
    <row r="2137" spans="1:4">
      <c r="A2137" s="83" t="s">
        <v>8178</v>
      </c>
      <c r="B2137" s="83" t="s">
        <v>5015</v>
      </c>
      <c r="C2137" s="83" t="s">
        <v>8182</v>
      </c>
      <c r="D2137" s="83" t="s">
        <v>8180</v>
      </c>
    </row>
    <row r="2138" spans="1:4">
      <c r="A2138" s="83" t="s">
        <v>8178</v>
      </c>
      <c r="B2138" s="83" t="s">
        <v>5010</v>
      </c>
      <c r="C2138" s="83" t="s">
        <v>8183</v>
      </c>
      <c r="D2138" s="83" t="s">
        <v>8180</v>
      </c>
    </row>
    <row r="2139" spans="1:4">
      <c r="A2139" s="83" t="s">
        <v>8184</v>
      </c>
      <c r="B2139" s="83" t="s">
        <v>5017</v>
      </c>
      <c r="C2139" s="83" t="s">
        <v>8185</v>
      </c>
      <c r="D2139" s="83" t="s">
        <v>8186</v>
      </c>
    </row>
    <row r="2140" spans="1:4">
      <c r="A2140" s="83" t="s">
        <v>8184</v>
      </c>
      <c r="B2140" s="83" t="s">
        <v>5012</v>
      </c>
      <c r="C2140" s="83" t="s">
        <v>8187</v>
      </c>
      <c r="D2140" s="83" t="s">
        <v>8186</v>
      </c>
    </row>
    <row r="2141" spans="1:4">
      <c r="A2141" s="83" t="s">
        <v>8184</v>
      </c>
      <c r="B2141" s="83" t="s">
        <v>5015</v>
      </c>
      <c r="C2141" s="83" t="s">
        <v>8188</v>
      </c>
      <c r="D2141" s="83" t="s">
        <v>8186</v>
      </c>
    </row>
    <row r="2142" spans="1:4">
      <c r="A2142" s="83" t="s">
        <v>8184</v>
      </c>
      <c r="B2142" s="83" t="s">
        <v>5010</v>
      </c>
      <c r="C2142" s="83" t="s">
        <v>8189</v>
      </c>
      <c r="D2142" s="83" t="s">
        <v>8186</v>
      </c>
    </row>
    <row r="2143" spans="1:4">
      <c r="A2143" s="83" t="s">
        <v>8190</v>
      </c>
      <c r="B2143" s="83" t="s">
        <v>5017</v>
      </c>
      <c r="C2143" s="83" t="s">
        <v>8191</v>
      </c>
      <c r="D2143" s="83" t="s">
        <v>8192</v>
      </c>
    </row>
    <row r="2144" spans="1:4">
      <c r="A2144" s="83" t="s">
        <v>8190</v>
      </c>
      <c r="B2144" s="83" t="s">
        <v>5012</v>
      </c>
      <c r="C2144" s="83" t="s">
        <v>8193</v>
      </c>
      <c r="D2144" s="83" t="s">
        <v>8192</v>
      </c>
    </row>
    <row r="2145" spans="1:4">
      <c r="A2145" s="83" t="s">
        <v>8190</v>
      </c>
      <c r="B2145" s="83" t="s">
        <v>5015</v>
      </c>
      <c r="C2145" s="83" t="s">
        <v>8194</v>
      </c>
      <c r="D2145" s="83" t="s">
        <v>8192</v>
      </c>
    </row>
    <row r="2146" spans="1:4">
      <c r="A2146" s="83" t="s">
        <v>8190</v>
      </c>
      <c r="B2146" s="83" t="s">
        <v>5010</v>
      </c>
      <c r="C2146" s="83" t="s">
        <v>8195</v>
      </c>
      <c r="D2146" s="83" t="s">
        <v>8192</v>
      </c>
    </row>
    <row r="2147" spans="1:4">
      <c r="A2147" s="83" t="s">
        <v>8196</v>
      </c>
      <c r="B2147" s="83" t="s">
        <v>5017</v>
      </c>
      <c r="C2147" s="83" t="s">
        <v>8197</v>
      </c>
      <c r="D2147" s="83" t="s">
        <v>8198</v>
      </c>
    </row>
    <row r="2148" spans="1:4">
      <c r="A2148" s="83" t="s">
        <v>8196</v>
      </c>
      <c r="B2148" s="83" t="s">
        <v>5012</v>
      </c>
      <c r="C2148" s="83" t="s">
        <v>8199</v>
      </c>
      <c r="D2148" s="83" t="s">
        <v>8198</v>
      </c>
    </row>
    <row r="2149" spans="1:4">
      <c r="A2149" s="83" t="s">
        <v>8196</v>
      </c>
      <c r="B2149" s="83" t="s">
        <v>5015</v>
      </c>
      <c r="C2149" s="83" t="s">
        <v>8200</v>
      </c>
      <c r="D2149" s="83" t="s">
        <v>8198</v>
      </c>
    </row>
    <row r="2150" spans="1:4">
      <c r="A2150" s="83" t="s">
        <v>8196</v>
      </c>
      <c r="B2150" s="83" t="s">
        <v>5010</v>
      </c>
      <c r="C2150" s="83" t="s">
        <v>8201</v>
      </c>
      <c r="D2150" s="83" t="s">
        <v>8198</v>
      </c>
    </row>
    <row r="2151" spans="1:4">
      <c r="A2151" s="83" t="s">
        <v>8202</v>
      </c>
      <c r="B2151" s="83" t="s">
        <v>5017</v>
      </c>
      <c r="C2151" s="83" t="s">
        <v>8203</v>
      </c>
      <c r="D2151" s="83" t="s">
        <v>8204</v>
      </c>
    </row>
    <row r="2152" spans="1:4">
      <c r="A2152" s="83" t="s">
        <v>8202</v>
      </c>
      <c r="B2152" s="83" t="s">
        <v>5012</v>
      </c>
      <c r="C2152" s="83" t="s">
        <v>8205</v>
      </c>
      <c r="D2152" s="83" t="s">
        <v>8204</v>
      </c>
    </row>
    <row r="2153" spans="1:4">
      <c r="A2153" s="83" t="s">
        <v>8202</v>
      </c>
      <c r="B2153" s="83" t="s">
        <v>5015</v>
      </c>
      <c r="C2153" s="83" t="s">
        <v>8206</v>
      </c>
      <c r="D2153" s="83" t="s">
        <v>8204</v>
      </c>
    </row>
    <row r="2154" spans="1:4">
      <c r="A2154" s="83" t="s">
        <v>8202</v>
      </c>
      <c r="B2154" s="83" t="s">
        <v>5010</v>
      </c>
      <c r="C2154" s="83" t="s">
        <v>8207</v>
      </c>
      <c r="D2154" s="83" t="s">
        <v>8204</v>
      </c>
    </row>
    <row r="2155" spans="1:4">
      <c r="A2155" s="83" t="s">
        <v>8208</v>
      </c>
      <c r="B2155" s="83" t="s">
        <v>5017</v>
      </c>
      <c r="C2155" s="83" t="s">
        <v>8209</v>
      </c>
      <c r="D2155" s="83" t="s">
        <v>8210</v>
      </c>
    </row>
    <row r="2156" spans="1:4">
      <c r="A2156" s="83" t="s">
        <v>8208</v>
      </c>
      <c r="B2156" s="83" t="s">
        <v>5012</v>
      </c>
      <c r="C2156" s="83" t="s">
        <v>8211</v>
      </c>
      <c r="D2156" s="83" t="s">
        <v>8210</v>
      </c>
    </row>
    <row r="2157" spans="1:4">
      <c r="A2157" s="83" t="s">
        <v>8208</v>
      </c>
      <c r="B2157" s="83" t="s">
        <v>5015</v>
      </c>
      <c r="C2157" s="83" t="s">
        <v>8212</v>
      </c>
      <c r="D2157" s="83" t="s">
        <v>8210</v>
      </c>
    </row>
    <row r="2158" spans="1:4">
      <c r="A2158" s="83" t="s">
        <v>8208</v>
      </c>
      <c r="B2158" s="83" t="s">
        <v>5010</v>
      </c>
      <c r="C2158" s="83" t="s">
        <v>8213</v>
      </c>
      <c r="D2158" s="83" t="s">
        <v>8210</v>
      </c>
    </row>
    <row r="2159" spans="1:4">
      <c r="A2159" s="83" t="s">
        <v>8214</v>
      </c>
      <c r="B2159" s="83" t="s">
        <v>5017</v>
      </c>
      <c r="C2159" s="83" t="s">
        <v>8215</v>
      </c>
      <c r="D2159" s="83" t="s">
        <v>8216</v>
      </c>
    </row>
    <row r="2160" spans="1:4">
      <c r="A2160" s="83" t="s">
        <v>8214</v>
      </c>
      <c r="B2160" s="83" t="s">
        <v>5012</v>
      </c>
      <c r="C2160" s="83" t="s">
        <v>8217</v>
      </c>
      <c r="D2160" s="83" t="s">
        <v>8216</v>
      </c>
    </row>
    <row r="2161" spans="1:4">
      <c r="A2161" s="83" t="s">
        <v>8214</v>
      </c>
      <c r="B2161" s="83" t="s">
        <v>5015</v>
      </c>
      <c r="C2161" s="83" t="s">
        <v>8218</v>
      </c>
      <c r="D2161" s="83" t="s">
        <v>8216</v>
      </c>
    </row>
    <row r="2162" spans="1:4">
      <c r="A2162" s="83" t="s">
        <v>8214</v>
      </c>
      <c r="B2162" s="83" t="s">
        <v>5010</v>
      </c>
      <c r="C2162" s="83" t="s">
        <v>8219</v>
      </c>
      <c r="D2162" s="83" t="s">
        <v>8216</v>
      </c>
    </row>
    <row r="2163" spans="1:4">
      <c r="A2163" s="83" t="s">
        <v>8220</v>
      </c>
      <c r="B2163" s="83" t="s">
        <v>5017</v>
      </c>
      <c r="C2163" s="83" t="s">
        <v>8221</v>
      </c>
      <c r="D2163" s="83" t="s">
        <v>8222</v>
      </c>
    </row>
    <row r="2164" spans="1:4">
      <c r="A2164" s="83" t="s">
        <v>8220</v>
      </c>
      <c r="B2164" s="83" t="s">
        <v>5012</v>
      </c>
      <c r="C2164" s="83" t="s">
        <v>8223</v>
      </c>
      <c r="D2164" s="83" t="s">
        <v>8222</v>
      </c>
    </row>
    <row r="2165" spans="1:4">
      <c r="A2165" s="83" t="s">
        <v>8220</v>
      </c>
      <c r="B2165" s="83" t="s">
        <v>5015</v>
      </c>
      <c r="C2165" s="83" t="s">
        <v>8224</v>
      </c>
      <c r="D2165" s="83" t="s">
        <v>8222</v>
      </c>
    </row>
    <row r="2166" spans="1:4">
      <c r="A2166" s="83" t="s">
        <v>8220</v>
      </c>
      <c r="B2166" s="83" t="s">
        <v>5010</v>
      </c>
      <c r="C2166" s="83" t="s">
        <v>8225</v>
      </c>
      <c r="D2166" s="83" t="s">
        <v>8222</v>
      </c>
    </row>
    <row r="2167" spans="1:4">
      <c r="A2167" s="83" t="s">
        <v>8226</v>
      </c>
      <c r="B2167" s="83" t="s">
        <v>5017</v>
      </c>
      <c r="C2167" s="83" t="s">
        <v>8227</v>
      </c>
      <c r="D2167" s="83" t="s">
        <v>8228</v>
      </c>
    </row>
    <row r="2168" spans="1:4">
      <c r="A2168" s="83" t="s">
        <v>8226</v>
      </c>
      <c r="B2168" s="83" t="s">
        <v>5012</v>
      </c>
      <c r="C2168" s="83" t="s">
        <v>8229</v>
      </c>
      <c r="D2168" s="83" t="s">
        <v>8228</v>
      </c>
    </row>
    <row r="2169" spans="1:4">
      <c r="A2169" s="83" t="s">
        <v>8226</v>
      </c>
      <c r="B2169" s="83" t="s">
        <v>5015</v>
      </c>
      <c r="C2169" s="83" t="s">
        <v>8230</v>
      </c>
      <c r="D2169" s="83" t="s">
        <v>8228</v>
      </c>
    </row>
    <row r="2170" spans="1:4">
      <c r="A2170" s="83" t="s">
        <v>8226</v>
      </c>
      <c r="B2170" s="83" t="s">
        <v>5010</v>
      </c>
      <c r="C2170" s="83" t="s">
        <v>8231</v>
      </c>
      <c r="D2170" s="83" t="s">
        <v>8228</v>
      </c>
    </row>
    <row r="2171" spans="1:4">
      <c r="A2171" s="83" t="s">
        <v>8232</v>
      </c>
      <c r="B2171" s="83" t="s">
        <v>5017</v>
      </c>
      <c r="C2171" s="83" t="s">
        <v>8233</v>
      </c>
      <c r="D2171" s="83" t="s">
        <v>8234</v>
      </c>
    </row>
    <row r="2172" spans="1:4">
      <c r="A2172" s="83" t="s">
        <v>8232</v>
      </c>
      <c r="B2172" s="83" t="s">
        <v>5012</v>
      </c>
      <c r="C2172" s="83" t="s">
        <v>8235</v>
      </c>
      <c r="D2172" s="83" t="s">
        <v>8234</v>
      </c>
    </row>
    <row r="2173" spans="1:4">
      <c r="A2173" s="83" t="s">
        <v>8232</v>
      </c>
      <c r="B2173" s="83" t="s">
        <v>5015</v>
      </c>
      <c r="C2173" s="83" t="s">
        <v>8236</v>
      </c>
      <c r="D2173" s="83" t="s">
        <v>8234</v>
      </c>
    </row>
    <row r="2174" spans="1:4">
      <c r="A2174" s="83" t="s">
        <v>8232</v>
      </c>
      <c r="B2174" s="83" t="s">
        <v>5010</v>
      </c>
      <c r="C2174" s="83" t="s">
        <v>8237</v>
      </c>
      <c r="D2174" s="83" t="s">
        <v>8234</v>
      </c>
    </row>
    <row r="2175" spans="1:4">
      <c r="A2175" s="83" t="s">
        <v>8238</v>
      </c>
      <c r="B2175" s="83" t="s">
        <v>5017</v>
      </c>
      <c r="C2175" s="83" t="s">
        <v>8239</v>
      </c>
      <c r="D2175" s="83" t="s">
        <v>8240</v>
      </c>
    </row>
    <row r="2176" spans="1:4">
      <c r="A2176" s="83" t="s">
        <v>8238</v>
      </c>
      <c r="B2176" s="83" t="s">
        <v>5012</v>
      </c>
      <c r="C2176" s="83" t="s">
        <v>8241</v>
      </c>
      <c r="D2176" s="83" t="s">
        <v>8240</v>
      </c>
    </row>
    <row r="2177" spans="1:4">
      <c r="A2177" s="83" t="s">
        <v>8238</v>
      </c>
      <c r="B2177" s="83" t="s">
        <v>5015</v>
      </c>
      <c r="C2177" s="83" t="s">
        <v>8242</v>
      </c>
      <c r="D2177" s="83" t="s">
        <v>8240</v>
      </c>
    </row>
    <row r="2178" spans="1:4">
      <c r="A2178" s="83" t="s">
        <v>8238</v>
      </c>
      <c r="B2178" s="83" t="s">
        <v>5010</v>
      </c>
      <c r="C2178" s="83" t="s">
        <v>8243</v>
      </c>
      <c r="D2178" s="83" t="s">
        <v>8240</v>
      </c>
    </row>
    <row r="2179" spans="1:4">
      <c r="A2179" s="83" t="s">
        <v>8244</v>
      </c>
      <c r="B2179" s="83" t="s">
        <v>5017</v>
      </c>
      <c r="C2179" s="83" t="s">
        <v>8245</v>
      </c>
      <c r="D2179" s="83" t="s">
        <v>8246</v>
      </c>
    </row>
    <row r="2180" spans="1:4">
      <c r="A2180" s="83" t="s">
        <v>8244</v>
      </c>
      <c r="B2180" s="83" t="s">
        <v>5012</v>
      </c>
      <c r="C2180" s="83" t="s">
        <v>8247</v>
      </c>
      <c r="D2180" s="83" t="s">
        <v>8246</v>
      </c>
    </row>
    <row r="2181" spans="1:4">
      <c r="A2181" s="83" t="s">
        <v>8244</v>
      </c>
      <c r="B2181" s="83" t="s">
        <v>5015</v>
      </c>
      <c r="C2181" s="83" t="s">
        <v>8248</v>
      </c>
      <c r="D2181" s="83" t="s">
        <v>8246</v>
      </c>
    </row>
    <row r="2182" spans="1:4">
      <c r="A2182" s="83" t="s">
        <v>8244</v>
      </c>
      <c r="B2182" s="83" t="s">
        <v>5010</v>
      </c>
      <c r="C2182" s="83" t="s">
        <v>8249</v>
      </c>
      <c r="D2182" s="83" t="s">
        <v>8246</v>
      </c>
    </row>
    <row r="2183" spans="1:4">
      <c r="A2183" s="83" t="s">
        <v>8250</v>
      </c>
      <c r="B2183" s="83" t="s">
        <v>5017</v>
      </c>
      <c r="C2183" s="83" t="s">
        <v>8251</v>
      </c>
      <c r="D2183" s="83" t="s">
        <v>8252</v>
      </c>
    </row>
    <row r="2184" spans="1:4">
      <c r="A2184" s="83" t="s">
        <v>8250</v>
      </c>
      <c r="B2184" s="83" t="s">
        <v>5012</v>
      </c>
      <c r="C2184" s="83" t="s">
        <v>8253</v>
      </c>
      <c r="D2184" s="83" t="s">
        <v>8252</v>
      </c>
    </row>
    <row r="2185" spans="1:4">
      <c r="A2185" s="83" t="s">
        <v>8250</v>
      </c>
      <c r="B2185" s="83" t="s">
        <v>5015</v>
      </c>
      <c r="C2185" s="83" t="s">
        <v>8254</v>
      </c>
      <c r="D2185" s="83" t="s">
        <v>8252</v>
      </c>
    </row>
    <row r="2186" spans="1:4">
      <c r="A2186" s="83" t="s">
        <v>8250</v>
      </c>
      <c r="B2186" s="83" t="s">
        <v>5010</v>
      </c>
      <c r="C2186" s="83" t="s">
        <v>8255</v>
      </c>
      <c r="D2186" s="83" t="s">
        <v>8252</v>
      </c>
    </row>
    <row r="2187" spans="1:4">
      <c r="A2187" s="83" t="s">
        <v>8256</v>
      </c>
      <c r="B2187" s="83" t="s">
        <v>5017</v>
      </c>
      <c r="C2187" s="83" t="s">
        <v>8257</v>
      </c>
      <c r="D2187" s="83" t="s">
        <v>8258</v>
      </c>
    </row>
    <row r="2188" spans="1:4">
      <c r="A2188" s="83" t="s">
        <v>8256</v>
      </c>
      <c r="B2188" s="83" t="s">
        <v>5012</v>
      </c>
      <c r="C2188" s="83" t="s">
        <v>8259</v>
      </c>
      <c r="D2188" s="83" t="s">
        <v>8258</v>
      </c>
    </row>
    <row r="2189" spans="1:4">
      <c r="A2189" s="83" t="s">
        <v>8256</v>
      </c>
      <c r="B2189" s="83" t="s">
        <v>5015</v>
      </c>
      <c r="C2189" s="83" t="s">
        <v>8260</v>
      </c>
      <c r="D2189" s="83" t="s">
        <v>8258</v>
      </c>
    </row>
    <row r="2190" spans="1:4">
      <c r="A2190" s="83" t="s">
        <v>8256</v>
      </c>
      <c r="B2190" s="83" t="s">
        <v>5010</v>
      </c>
      <c r="C2190" s="83" t="s">
        <v>8261</v>
      </c>
      <c r="D2190" s="83" t="s">
        <v>8258</v>
      </c>
    </row>
    <row r="2191" spans="1:4">
      <c r="A2191" s="83" t="s">
        <v>8262</v>
      </c>
      <c r="B2191" s="83" t="s">
        <v>5017</v>
      </c>
      <c r="C2191" s="83" t="s">
        <v>8263</v>
      </c>
      <c r="D2191" s="83" t="s">
        <v>8264</v>
      </c>
    </row>
    <row r="2192" spans="1:4">
      <c r="A2192" s="83" t="s">
        <v>8262</v>
      </c>
      <c r="B2192" s="83" t="s">
        <v>5012</v>
      </c>
      <c r="C2192" s="83" t="s">
        <v>8265</v>
      </c>
      <c r="D2192" s="83" t="s">
        <v>8264</v>
      </c>
    </row>
    <row r="2193" spans="1:4">
      <c r="A2193" s="83" t="s">
        <v>8262</v>
      </c>
      <c r="B2193" s="83" t="s">
        <v>5015</v>
      </c>
      <c r="C2193" s="83" t="s">
        <v>8266</v>
      </c>
      <c r="D2193" s="83" t="s">
        <v>8264</v>
      </c>
    </row>
    <row r="2194" spans="1:4">
      <c r="A2194" s="83" t="s">
        <v>8262</v>
      </c>
      <c r="B2194" s="83" t="s">
        <v>5010</v>
      </c>
      <c r="C2194" s="83" t="s">
        <v>8267</v>
      </c>
      <c r="D2194" s="83" t="s">
        <v>8264</v>
      </c>
    </row>
    <row r="2195" spans="1:4">
      <c r="A2195" s="83" t="s">
        <v>8268</v>
      </c>
      <c r="B2195" s="83" t="s">
        <v>5017</v>
      </c>
      <c r="C2195" s="83" t="s">
        <v>8269</v>
      </c>
      <c r="D2195" s="83" t="s">
        <v>8270</v>
      </c>
    </row>
    <row r="2196" spans="1:4">
      <c r="A2196" s="83" t="s">
        <v>8268</v>
      </c>
      <c r="B2196" s="83" t="s">
        <v>5012</v>
      </c>
      <c r="C2196" s="83" t="s">
        <v>8271</v>
      </c>
      <c r="D2196" s="83" t="s">
        <v>8270</v>
      </c>
    </row>
    <row r="2197" spans="1:4">
      <c r="A2197" s="83" t="s">
        <v>8268</v>
      </c>
      <c r="B2197" s="83" t="s">
        <v>5015</v>
      </c>
      <c r="C2197" s="83" t="s">
        <v>8272</v>
      </c>
      <c r="D2197" s="83" t="s">
        <v>8270</v>
      </c>
    </row>
    <row r="2198" spans="1:4">
      <c r="A2198" s="83" t="s">
        <v>8268</v>
      </c>
      <c r="B2198" s="83" t="s">
        <v>5010</v>
      </c>
      <c r="C2198" s="83" t="s">
        <v>8273</v>
      </c>
      <c r="D2198" s="83" t="s">
        <v>8270</v>
      </c>
    </row>
    <row r="2199" spans="1:4">
      <c r="A2199" s="83" t="s">
        <v>8274</v>
      </c>
      <c r="B2199" s="83" t="s">
        <v>5017</v>
      </c>
      <c r="C2199" s="83" t="s">
        <v>8275</v>
      </c>
      <c r="D2199" s="83" t="s">
        <v>8276</v>
      </c>
    </row>
    <row r="2200" spans="1:4">
      <c r="A2200" s="83" t="s">
        <v>8274</v>
      </c>
      <c r="B2200" s="83" t="s">
        <v>5012</v>
      </c>
      <c r="C2200" s="83" t="s">
        <v>8277</v>
      </c>
      <c r="D2200" s="83" t="s">
        <v>8276</v>
      </c>
    </row>
    <row r="2201" spans="1:4">
      <c r="A2201" s="83" t="s">
        <v>8274</v>
      </c>
      <c r="B2201" s="83" t="s">
        <v>5015</v>
      </c>
      <c r="C2201" s="83" t="s">
        <v>8278</v>
      </c>
      <c r="D2201" s="83" t="s">
        <v>8276</v>
      </c>
    </row>
    <row r="2202" spans="1:4">
      <c r="A2202" s="83" t="s">
        <v>8274</v>
      </c>
      <c r="B2202" s="83" t="s">
        <v>5010</v>
      </c>
      <c r="C2202" s="83" t="s">
        <v>8279</v>
      </c>
      <c r="D2202" s="83" t="s">
        <v>8276</v>
      </c>
    </row>
    <row r="2203" spans="1:4">
      <c r="A2203" s="83" t="s">
        <v>8280</v>
      </c>
      <c r="B2203" s="83" t="s">
        <v>5017</v>
      </c>
      <c r="C2203" s="83" t="s">
        <v>8281</v>
      </c>
      <c r="D2203" s="83" t="s">
        <v>8282</v>
      </c>
    </row>
    <row r="2204" spans="1:4">
      <c r="A2204" s="83" t="s">
        <v>8280</v>
      </c>
      <c r="B2204" s="83" t="s">
        <v>5012</v>
      </c>
      <c r="C2204" s="83" t="s">
        <v>8283</v>
      </c>
      <c r="D2204" s="83" t="s">
        <v>8282</v>
      </c>
    </row>
    <row r="2205" spans="1:4">
      <c r="A2205" s="83" t="s">
        <v>8280</v>
      </c>
      <c r="B2205" s="83" t="s">
        <v>5015</v>
      </c>
      <c r="C2205" s="83" t="s">
        <v>8284</v>
      </c>
      <c r="D2205" s="83" t="s">
        <v>8282</v>
      </c>
    </row>
    <row r="2206" spans="1:4">
      <c r="A2206" s="83" t="s">
        <v>8280</v>
      </c>
      <c r="B2206" s="83" t="s">
        <v>5010</v>
      </c>
      <c r="C2206" s="83" t="s">
        <v>8285</v>
      </c>
      <c r="D2206" s="83" t="s">
        <v>8282</v>
      </c>
    </row>
    <row r="2207" spans="1:4">
      <c r="A2207" s="83" t="s">
        <v>8286</v>
      </c>
      <c r="B2207" s="83" t="s">
        <v>5017</v>
      </c>
      <c r="C2207" s="83" t="s">
        <v>8287</v>
      </c>
      <c r="D2207" s="83" t="s">
        <v>8288</v>
      </c>
    </row>
    <row r="2208" spans="1:4">
      <c r="A2208" s="83" t="s">
        <v>8286</v>
      </c>
      <c r="B2208" s="83" t="s">
        <v>5012</v>
      </c>
      <c r="C2208" s="83" t="s">
        <v>8289</v>
      </c>
      <c r="D2208" s="83" t="s">
        <v>8288</v>
      </c>
    </row>
    <row r="2209" spans="1:4">
      <c r="A2209" s="83" t="s">
        <v>8286</v>
      </c>
      <c r="B2209" s="83" t="s">
        <v>5015</v>
      </c>
      <c r="C2209" s="83" t="s">
        <v>8290</v>
      </c>
      <c r="D2209" s="83" t="s">
        <v>8288</v>
      </c>
    </row>
    <row r="2210" spans="1:4">
      <c r="A2210" s="83" t="s">
        <v>8286</v>
      </c>
      <c r="B2210" s="83" t="s">
        <v>5010</v>
      </c>
      <c r="C2210" s="83" t="s">
        <v>8291</v>
      </c>
      <c r="D2210" s="83" t="s">
        <v>8288</v>
      </c>
    </row>
    <row r="2211" spans="1:4">
      <c r="A2211" s="83" t="s">
        <v>8292</v>
      </c>
      <c r="B2211" s="83" t="s">
        <v>5017</v>
      </c>
      <c r="C2211" s="83" t="s">
        <v>8293</v>
      </c>
      <c r="D2211" s="83" t="s">
        <v>8294</v>
      </c>
    </row>
    <row r="2212" spans="1:4">
      <c r="A2212" s="83" t="s">
        <v>8292</v>
      </c>
      <c r="B2212" s="83" t="s">
        <v>5012</v>
      </c>
      <c r="C2212" s="83" t="s">
        <v>8295</v>
      </c>
      <c r="D2212" s="83" t="s">
        <v>8294</v>
      </c>
    </row>
    <row r="2213" spans="1:4">
      <c r="A2213" s="83" t="s">
        <v>8292</v>
      </c>
      <c r="B2213" s="83" t="s">
        <v>5015</v>
      </c>
      <c r="C2213" s="83" t="s">
        <v>8296</v>
      </c>
      <c r="D2213" s="83" t="s">
        <v>8294</v>
      </c>
    </row>
    <row r="2214" spans="1:4">
      <c r="A2214" s="83" t="s">
        <v>8292</v>
      </c>
      <c r="B2214" s="83" t="s">
        <v>5010</v>
      </c>
      <c r="C2214" s="83" t="s">
        <v>8297</v>
      </c>
      <c r="D2214" s="83" t="s">
        <v>8294</v>
      </c>
    </row>
    <row r="2215" spans="1:4">
      <c r="A2215" s="83" t="s">
        <v>8298</v>
      </c>
      <c r="B2215" s="83" t="s">
        <v>5017</v>
      </c>
      <c r="C2215" s="83" t="s">
        <v>8299</v>
      </c>
      <c r="D2215" s="83" t="s">
        <v>8300</v>
      </c>
    </row>
    <row r="2216" spans="1:4">
      <c r="A2216" s="83" t="s">
        <v>8298</v>
      </c>
      <c r="B2216" s="83" t="s">
        <v>5012</v>
      </c>
      <c r="C2216" s="83" t="s">
        <v>8301</v>
      </c>
      <c r="D2216" s="83" t="s">
        <v>8300</v>
      </c>
    </row>
    <row r="2217" spans="1:4">
      <c r="A2217" s="83" t="s">
        <v>8298</v>
      </c>
      <c r="B2217" s="83" t="s">
        <v>5015</v>
      </c>
      <c r="C2217" s="83" t="s">
        <v>8302</v>
      </c>
      <c r="D2217" s="83" t="s">
        <v>8300</v>
      </c>
    </row>
    <row r="2218" spans="1:4">
      <c r="A2218" s="83" t="s">
        <v>8298</v>
      </c>
      <c r="B2218" s="83" t="s">
        <v>5010</v>
      </c>
      <c r="C2218" s="83" t="s">
        <v>8303</v>
      </c>
      <c r="D2218" s="83" t="s">
        <v>8300</v>
      </c>
    </row>
    <row r="2219" spans="1:4">
      <c r="A2219" s="83" t="s">
        <v>8304</v>
      </c>
      <c r="B2219" s="83" t="s">
        <v>5017</v>
      </c>
      <c r="C2219" s="83" t="s">
        <v>8305</v>
      </c>
      <c r="D2219" s="83" t="s">
        <v>8306</v>
      </c>
    </row>
    <row r="2220" spans="1:4">
      <c r="A2220" s="83" t="s">
        <v>8304</v>
      </c>
      <c r="B2220" s="83" t="s">
        <v>5012</v>
      </c>
      <c r="C2220" s="83" t="s">
        <v>8307</v>
      </c>
      <c r="D2220" s="83" t="s">
        <v>8306</v>
      </c>
    </row>
    <row r="2221" spans="1:4">
      <c r="A2221" s="83" t="s">
        <v>8304</v>
      </c>
      <c r="B2221" s="83" t="s">
        <v>5015</v>
      </c>
      <c r="C2221" s="83" t="s">
        <v>8308</v>
      </c>
      <c r="D2221" s="83" t="s">
        <v>8306</v>
      </c>
    </row>
    <row r="2222" spans="1:4">
      <c r="A2222" s="83" t="s">
        <v>8304</v>
      </c>
      <c r="B2222" s="83" t="s">
        <v>5010</v>
      </c>
      <c r="C2222" s="83" t="s">
        <v>8309</v>
      </c>
      <c r="D2222" s="83" t="s">
        <v>8306</v>
      </c>
    </row>
    <row r="2223" spans="1:4">
      <c r="A2223" s="83" t="s">
        <v>8310</v>
      </c>
      <c r="B2223" s="83" t="s">
        <v>5017</v>
      </c>
      <c r="C2223" s="83" t="s">
        <v>8311</v>
      </c>
      <c r="D2223" s="83" t="s">
        <v>8312</v>
      </c>
    </row>
    <row r="2224" spans="1:4">
      <c r="A2224" s="83" t="s">
        <v>8310</v>
      </c>
      <c r="B2224" s="83" t="s">
        <v>5012</v>
      </c>
      <c r="C2224" s="83" t="s">
        <v>8313</v>
      </c>
      <c r="D2224" s="83" t="s">
        <v>8312</v>
      </c>
    </row>
    <row r="2225" spans="1:4">
      <c r="A2225" s="83" t="s">
        <v>8310</v>
      </c>
      <c r="B2225" s="83" t="s">
        <v>5015</v>
      </c>
      <c r="C2225" s="83" t="s">
        <v>8314</v>
      </c>
      <c r="D2225" s="83" t="s">
        <v>8312</v>
      </c>
    </row>
    <row r="2226" spans="1:4">
      <c r="A2226" s="83" t="s">
        <v>8310</v>
      </c>
      <c r="B2226" s="83" t="s">
        <v>5010</v>
      </c>
      <c r="C2226" s="83" t="s">
        <v>8315</v>
      </c>
      <c r="D2226" s="83" t="s">
        <v>8312</v>
      </c>
    </row>
    <row r="2227" spans="1:4">
      <c r="A2227" s="83" t="s">
        <v>8316</v>
      </c>
      <c r="B2227" s="83" t="s">
        <v>5017</v>
      </c>
      <c r="C2227" s="83" t="s">
        <v>8317</v>
      </c>
      <c r="D2227" s="83" t="s">
        <v>8318</v>
      </c>
    </row>
    <row r="2228" spans="1:4">
      <c r="A2228" s="83" t="s">
        <v>8316</v>
      </c>
      <c r="B2228" s="83" t="s">
        <v>5012</v>
      </c>
      <c r="C2228" s="83" t="s">
        <v>8319</v>
      </c>
      <c r="D2228" s="83" t="s">
        <v>8318</v>
      </c>
    </row>
    <row r="2229" spans="1:4">
      <c r="A2229" s="83" t="s">
        <v>8316</v>
      </c>
      <c r="B2229" s="83" t="s">
        <v>5015</v>
      </c>
      <c r="C2229" s="83" t="s">
        <v>8320</v>
      </c>
      <c r="D2229" s="83" t="s">
        <v>8318</v>
      </c>
    </row>
    <row r="2230" spans="1:4">
      <c r="A2230" s="83" t="s">
        <v>8316</v>
      </c>
      <c r="B2230" s="83" t="s">
        <v>5010</v>
      </c>
      <c r="C2230" s="83" t="s">
        <v>8321</v>
      </c>
      <c r="D2230" s="83" t="s">
        <v>8318</v>
      </c>
    </row>
    <row r="2231" spans="1:4">
      <c r="A2231" s="83" t="s">
        <v>8322</v>
      </c>
      <c r="B2231" s="83" t="s">
        <v>5017</v>
      </c>
      <c r="C2231" s="83" t="s">
        <v>8323</v>
      </c>
      <c r="D2231" s="83" t="s">
        <v>8324</v>
      </c>
    </row>
    <row r="2232" spans="1:4">
      <c r="A2232" s="83" t="s">
        <v>8322</v>
      </c>
      <c r="B2232" s="83" t="s">
        <v>5012</v>
      </c>
      <c r="C2232" s="83" t="s">
        <v>8325</v>
      </c>
      <c r="D2232" s="83" t="s">
        <v>8324</v>
      </c>
    </row>
    <row r="2233" spans="1:4">
      <c r="A2233" s="83" t="s">
        <v>8322</v>
      </c>
      <c r="B2233" s="83" t="s">
        <v>5015</v>
      </c>
      <c r="C2233" s="83" t="s">
        <v>8326</v>
      </c>
      <c r="D2233" s="83" t="s">
        <v>8324</v>
      </c>
    </row>
    <row r="2234" spans="1:4">
      <c r="A2234" s="83" t="s">
        <v>8322</v>
      </c>
      <c r="B2234" s="83" t="s">
        <v>5010</v>
      </c>
      <c r="C2234" s="83" t="s">
        <v>8327</v>
      </c>
      <c r="D2234" s="83" t="s">
        <v>8324</v>
      </c>
    </row>
    <row r="2235" spans="1:4">
      <c r="A2235" s="83" t="s">
        <v>8328</v>
      </c>
      <c r="B2235" s="83" t="s">
        <v>5017</v>
      </c>
      <c r="C2235" s="83" t="s">
        <v>8329</v>
      </c>
      <c r="D2235" s="83" t="s">
        <v>8330</v>
      </c>
    </row>
    <row r="2236" spans="1:4">
      <c r="A2236" s="83" t="s">
        <v>8328</v>
      </c>
      <c r="B2236" s="83" t="s">
        <v>5012</v>
      </c>
      <c r="C2236" s="83" t="s">
        <v>8331</v>
      </c>
      <c r="D2236" s="83" t="s">
        <v>8330</v>
      </c>
    </row>
    <row r="2237" spans="1:4">
      <c r="A2237" s="83" t="s">
        <v>8328</v>
      </c>
      <c r="B2237" s="83" t="s">
        <v>5015</v>
      </c>
      <c r="C2237" s="83" t="s">
        <v>8332</v>
      </c>
      <c r="D2237" s="83" t="s">
        <v>8330</v>
      </c>
    </row>
    <row r="2238" spans="1:4">
      <c r="A2238" s="83" t="s">
        <v>8328</v>
      </c>
      <c r="B2238" s="83" t="s">
        <v>5010</v>
      </c>
      <c r="C2238" s="83" t="s">
        <v>8333</v>
      </c>
      <c r="D2238" s="83" t="s">
        <v>8330</v>
      </c>
    </row>
    <row r="2239" spans="1:4">
      <c r="A2239" s="83" t="s">
        <v>8334</v>
      </c>
      <c r="B2239" s="83" t="s">
        <v>5017</v>
      </c>
      <c r="C2239" s="83" t="s">
        <v>8335</v>
      </c>
      <c r="D2239" s="83" t="s">
        <v>8336</v>
      </c>
    </row>
    <row r="2240" spans="1:4">
      <c r="A2240" s="83" t="s">
        <v>8334</v>
      </c>
      <c r="B2240" s="83" t="s">
        <v>5012</v>
      </c>
      <c r="C2240" s="83" t="s">
        <v>8337</v>
      </c>
      <c r="D2240" s="83" t="s">
        <v>8336</v>
      </c>
    </row>
    <row r="2241" spans="1:4">
      <c r="A2241" s="83" t="s">
        <v>8334</v>
      </c>
      <c r="B2241" s="83" t="s">
        <v>5015</v>
      </c>
      <c r="C2241" s="83" t="s">
        <v>8338</v>
      </c>
      <c r="D2241" s="83" t="s">
        <v>8336</v>
      </c>
    </row>
    <row r="2242" spans="1:4">
      <c r="A2242" s="83" t="s">
        <v>8334</v>
      </c>
      <c r="B2242" s="83" t="s">
        <v>5010</v>
      </c>
      <c r="C2242" s="83" t="s">
        <v>8339</v>
      </c>
      <c r="D2242" s="83" t="s">
        <v>8336</v>
      </c>
    </row>
    <row r="2243" spans="1:4">
      <c r="A2243" s="83" t="s">
        <v>8340</v>
      </c>
      <c r="B2243" s="83" t="s">
        <v>5017</v>
      </c>
      <c r="C2243" s="83" t="s">
        <v>8341</v>
      </c>
      <c r="D2243" s="83" t="s">
        <v>8342</v>
      </c>
    </row>
    <row r="2244" spans="1:4">
      <c r="A2244" s="83" t="s">
        <v>8340</v>
      </c>
      <c r="B2244" s="83" t="s">
        <v>5012</v>
      </c>
      <c r="C2244" s="83" t="s">
        <v>8343</v>
      </c>
      <c r="D2244" s="83" t="s">
        <v>8342</v>
      </c>
    </row>
    <row r="2245" spans="1:4">
      <c r="A2245" s="83" t="s">
        <v>8340</v>
      </c>
      <c r="B2245" s="83" t="s">
        <v>5015</v>
      </c>
      <c r="C2245" s="83" t="s">
        <v>8344</v>
      </c>
      <c r="D2245" s="83" t="s">
        <v>8342</v>
      </c>
    </row>
    <row r="2246" spans="1:4">
      <c r="A2246" s="83" t="s">
        <v>8340</v>
      </c>
      <c r="B2246" s="83" t="s">
        <v>5010</v>
      </c>
      <c r="C2246" s="83" t="s">
        <v>8345</v>
      </c>
      <c r="D2246" s="83" t="s">
        <v>8342</v>
      </c>
    </row>
    <row r="2247" spans="1:4">
      <c r="A2247" s="83" t="s">
        <v>8346</v>
      </c>
      <c r="B2247" s="83" t="s">
        <v>5017</v>
      </c>
      <c r="C2247" s="83" t="s">
        <v>8347</v>
      </c>
      <c r="D2247" s="83" t="s">
        <v>8348</v>
      </c>
    </row>
    <row r="2248" spans="1:4">
      <c r="A2248" s="83" t="s">
        <v>8346</v>
      </c>
      <c r="B2248" s="83" t="s">
        <v>5012</v>
      </c>
      <c r="C2248" s="83" t="s">
        <v>8349</v>
      </c>
      <c r="D2248" s="83" t="s">
        <v>8348</v>
      </c>
    </row>
    <row r="2249" spans="1:4">
      <c r="A2249" s="83" t="s">
        <v>8346</v>
      </c>
      <c r="B2249" s="83" t="s">
        <v>5015</v>
      </c>
      <c r="C2249" s="83" t="s">
        <v>8350</v>
      </c>
      <c r="D2249" s="83" t="s">
        <v>8348</v>
      </c>
    </row>
    <row r="2250" spans="1:4">
      <c r="A2250" s="83" t="s">
        <v>8346</v>
      </c>
      <c r="B2250" s="83" t="s">
        <v>5010</v>
      </c>
      <c r="C2250" s="83" t="s">
        <v>8351</v>
      </c>
      <c r="D2250" s="83" t="s">
        <v>8348</v>
      </c>
    </row>
    <row r="2251" spans="1:4">
      <c r="A2251" s="83" t="s">
        <v>8352</v>
      </c>
      <c r="B2251" s="83" t="s">
        <v>5017</v>
      </c>
      <c r="C2251" s="83" t="s">
        <v>8353</v>
      </c>
      <c r="D2251" s="83" t="s">
        <v>8354</v>
      </c>
    </row>
    <row r="2252" spans="1:4">
      <c r="A2252" s="83" t="s">
        <v>8352</v>
      </c>
      <c r="B2252" s="83" t="s">
        <v>5012</v>
      </c>
      <c r="C2252" s="83" t="s">
        <v>8355</v>
      </c>
      <c r="D2252" s="83" t="s">
        <v>8354</v>
      </c>
    </row>
    <row r="2253" spans="1:4">
      <c r="A2253" s="83" t="s">
        <v>8352</v>
      </c>
      <c r="B2253" s="83" t="s">
        <v>5015</v>
      </c>
      <c r="C2253" s="83" t="s">
        <v>8356</v>
      </c>
      <c r="D2253" s="83" t="s">
        <v>8354</v>
      </c>
    </row>
    <row r="2254" spans="1:4">
      <c r="A2254" s="83" t="s">
        <v>8352</v>
      </c>
      <c r="B2254" s="83" t="s">
        <v>5010</v>
      </c>
      <c r="C2254" s="83" t="s">
        <v>8357</v>
      </c>
      <c r="D2254" s="83" t="s">
        <v>8354</v>
      </c>
    </row>
    <row r="2255" spans="1:4">
      <c r="A2255" s="83" t="s">
        <v>8358</v>
      </c>
      <c r="B2255" s="83" t="s">
        <v>5017</v>
      </c>
      <c r="C2255" s="83" t="s">
        <v>8359</v>
      </c>
      <c r="D2255" s="83" t="s">
        <v>8360</v>
      </c>
    </row>
    <row r="2256" spans="1:4">
      <c r="A2256" s="83" t="s">
        <v>8358</v>
      </c>
      <c r="B2256" s="83" t="s">
        <v>5012</v>
      </c>
      <c r="C2256" s="83" t="s">
        <v>8361</v>
      </c>
      <c r="D2256" s="83" t="s">
        <v>8360</v>
      </c>
    </row>
    <row r="2257" spans="1:4">
      <c r="A2257" s="83" t="s">
        <v>8358</v>
      </c>
      <c r="B2257" s="83" t="s">
        <v>5015</v>
      </c>
      <c r="C2257" s="83" t="s">
        <v>8362</v>
      </c>
      <c r="D2257" s="83" t="s">
        <v>8360</v>
      </c>
    </row>
    <row r="2258" spans="1:4">
      <c r="A2258" s="83" t="s">
        <v>8358</v>
      </c>
      <c r="B2258" s="83" t="s">
        <v>5010</v>
      </c>
      <c r="C2258" s="83" t="s">
        <v>8363</v>
      </c>
      <c r="D2258" s="83" t="s">
        <v>8360</v>
      </c>
    </row>
    <row r="2259" spans="1:4">
      <c r="A2259" s="83" t="s">
        <v>8364</v>
      </c>
      <c r="B2259" s="83" t="s">
        <v>5017</v>
      </c>
      <c r="C2259" s="83" t="s">
        <v>8365</v>
      </c>
      <c r="D2259" s="83" t="s">
        <v>8366</v>
      </c>
    </row>
    <row r="2260" spans="1:4">
      <c r="A2260" s="83" t="s">
        <v>8364</v>
      </c>
      <c r="B2260" s="83" t="s">
        <v>5012</v>
      </c>
      <c r="C2260" s="83" t="s">
        <v>8367</v>
      </c>
      <c r="D2260" s="83" t="s">
        <v>8366</v>
      </c>
    </row>
    <row r="2261" spans="1:4">
      <c r="A2261" s="83" t="s">
        <v>8364</v>
      </c>
      <c r="B2261" s="83" t="s">
        <v>5015</v>
      </c>
      <c r="C2261" s="83" t="s">
        <v>8368</v>
      </c>
      <c r="D2261" s="83" t="s">
        <v>8366</v>
      </c>
    </row>
    <row r="2262" spans="1:4">
      <c r="A2262" s="83" t="s">
        <v>8364</v>
      </c>
      <c r="B2262" s="83" t="s">
        <v>5010</v>
      </c>
      <c r="C2262" s="83" t="s">
        <v>8369</v>
      </c>
      <c r="D2262" s="83" t="s">
        <v>8366</v>
      </c>
    </row>
    <row r="2263" spans="1:4">
      <c r="A2263" s="83" t="s">
        <v>8370</v>
      </c>
      <c r="B2263" s="83" t="s">
        <v>5017</v>
      </c>
      <c r="C2263" s="83" t="s">
        <v>8371</v>
      </c>
      <c r="D2263" s="83" t="s">
        <v>8372</v>
      </c>
    </row>
    <row r="2264" spans="1:4">
      <c r="A2264" s="83" t="s">
        <v>8370</v>
      </c>
      <c r="B2264" s="83" t="s">
        <v>5012</v>
      </c>
      <c r="C2264" s="83" t="s">
        <v>8373</v>
      </c>
      <c r="D2264" s="83" t="s">
        <v>8372</v>
      </c>
    </row>
    <row r="2265" spans="1:4">
      <c r="A2265" s="83" t="s">
        <v>8370</v>
      </c>
      <c r="B2265" s="83" t="s">
        <v>5015</v>
      </c>
      <c r="C2265" s="83" t="s">
        <v>8374</v>
      </c>
      <c r="D2265" s="83" t="s">
        <v>8372</v>
      </c>
    </row>
    <row r="2266" spans="1:4">
      <c r="A2266" s="83" t="s">
        <v>8370</v>
      </c>
      <c r="B2266" s="83" t="s">
        <v>5010</v>
      </c>
      <c r="C2266" s="83" t="s">
        <v>8375</v>
      </c>
      <c r="D2266" s="83" t="s">
        <v>8372</v>
      </c>
    </row>
    <row r="2267" spans="1:4">
      <c r="A2267" s="83" t="s">
        <v>8376</v>
      </c>
      <c r="B2267" s="83" t="s">
        <v>5017</v>
      </c>
      <c r="C2267" s="83" t="s">
        <v>8377</v>
      </c>
      <c r="D2267" s="83" t="s">
        <v>8378</v>
      </c>
    </row>
    <row r="2268" spans="1:4">
      <c r="A2268" s="83" t="s">
        <v>8376</v>
      </c>
      <c r="B2268" s="83" t="s">
        <v>5012</v>
      </c>
      <c r="C2268" s="83" t="s">
        <v>8379</v>
      </c>
      <c r="D2268" s="83" t="s">
        <v>8378</v>
      </c>
    </row>
    <row r="2269" spans="1:4">
      <c r="A2269" s="83" t="s">
        <v>8376</v>
      </c>
      <c r="B2269" s="83" t="s">
        <v>5015</v>
      </c>
      <c r="C2269" s="83" t="s">
        <v>8380</v>
      </c>
      <c r="D2269" s="83" t="s">
        <v>8378</v>
      </c>
    </row>
    <row r="2270" spans="1:4">
      <c r="A2270" s="83" t="s">
        <v>8376</v>
      </c>
      <c r="B2270" s="83" t="s">
        <v>5010</v>
      </c>
      <c r="C2270" s="83" t="s">
        <v>8381</v>
      </c>
      <c r="D2270" s="83" t="s">
        <v>8378</v>
      </c>
    </row>
    <row r="2271" spans="1:4">
      <c r="A2271" s="83" t="s">
        <v>8382</v>
      </c>
      <c r="B2271" s="83" t="s">
        <v>5017</v>
      </c>
      <c r="C2271" s="83" t="s">
        <v>8383</v>
      </c>
      <c r="D2271" s="83" t="s">
        <v>8384</v>
      </c>
    </row>
    <row r="2272" spans="1:4">
      <c r="A2272" s="83" t="s">
        <v>8382</v>
      </c>
      <c r="B2272" s="83" t="s">
        <v>5012</v>
      </c>
      <c r="C2272" s="83" t="s">
        <v>8385</v>
      </c>
      <c r="D2272" s="83" t="s">
        <v>8384</v>
      </c>
    </row>
    <row r="2273" spans="1:4">
      <c r="A2273" s="83" t="s">
        <v>8382</v>
      </c>
      <c r="B2273" s="83" t="s">
        <v>5015</v>
      </c>
      <c r="C2273" s="83" t="s">
        <v>8386</v>
      </c>
      <c r="D2273" s="83" t="s">
        <v>8384</v>
      </c>
    </row>
    <row r="2274" spans="1:4">
      <c r="A2274" s="83" t="s">
        <v>8382</v>
      </c>
      <c r="B2274" s="83" t="s">
        <v>5010</v>
      </c>
      <c r="C2274" s="83" t="s">
        <v>8387</v>
      </c>
      <c r="D2274" s="83" t="s">
        <v>8384</v>
      </c>
    </row>
    <row r="2275" spans="1:4">
      <c r="A2275" s="83" t="s">
        <v>8388</v>
      </c>
      <c r="B2275" s="83" t="s">
        <v>5017</v>
      </c>
      <c r="C2275" s="83" t="s">
        <v>8389</v>
      </c>
      <c r="D2275" s="83" t="s">
        <v>8390</v>
      </c>
    </row>
    <row r="2276" spans="1:4">
      <c r="A2276" s="83" t="s">
        <v>8388</v>
      </c>
      <c r="B2276" s="83" t="s">
        <v>5012</v>
      </c>
      <c r="C2276" s="83" t="s">
        <v>8391</v>
      </c>
      <c r="D2276" s="83" t="s">
        <v>8390</v>
      </c>
    </row>
    <row r="2277" spans="1:4">
      <c r="A2277" s="83" t="s">
        <v>8388</v>
      </c>
      <c r="B2277" s="83" t="s">
        <v>5015</v>
      </c>
      <c r="C2277" s="83" t="s">
        <v>8392</v>
      </c>
      <c r="D2277" s="83" t="s">
        <v>8390</v>
      </c>
    </row>
    <row r="2278" spans="1:4">
      <c r="A2278" s="83" t="s">
        <v>8388</v>
      </c>
      <c r="B2278" s="83" t="s">
        <v>5010</v>
      </c>
      <c r="C2278" s="83" t="s">
        <v>8393</v>
      </c>
      <c r="D2278" s="83" t="s">
        <v>8390</v>
      </c>
    </row>
    <row r="2279" spans="1:4">
      <c r="A2279" s="83" t="s">
        <v>8394</v>
      </c>
      <c r="B2279" s="83" t="s">
        <v>5017</v>
      </c>
      <c r="C2279" s="83" t="s">
        <v>8395</v>
      </c>
      <c r="D2279" s="83" t="s">
        <v>8396</v>
      </c>
    </row>
    <row r="2280" spans="1:4">
      <c r="A2280" s="83" t="s">
        <v>8394</v>
      </c>
      <c r="B2280" s="83" t="s">
        <v>5012</v>
      </c>
      <c r="C2280" s="83" t="s">
        <v>8397</v>
      </c>
      <c r="D2280" s="83" t="s">
        <v>8396</v>
      </c>
    </row>
    <row r="2281" spans="1:4">
      <c r="A2281" s="83" t="s">
        <v>8394</v>
      </c>
      <c r="B2281" s="83" t="s">
        <v>5015</v>
      </c>
      <c r="C2281" s="83" t="s">
        <v>8398</v>
      </c>
      <c r="D2281" s="83" t="s">
        <v>8396</v>
      </c>
    </row>
    <row r="2282" spans="1:4">
      <c r="A2282" s="83" t="s">
        <v>8394</v>
      </c>
      <c r="B2282" s="83" t="s">
        <v>5010</v>
      </c>
      <c r="C2282" s="83" t="s">
        <v>8399</v>
      </c>
      <c r="D2282" s="83" t="s">
        <v>8396</v>
      </c>
    </row>
    <row r="2283" spans="1:4">
      <c r="A2283" s="83" t="s">
        <v>8400</v>
      </c>
      <c r="B2283" s="83" t="s">
        <v>5017</v>
      </c>
      <c r="C2283" s="83" t="s">
        <v>8401</v>
      </c>
      <c r="D2283" s="83" t="s">
        <v>8402</v>
      </c>
    </row>
    <row r="2284" spans="1:4">
      <c r="A2284" s="83" t="s">
        <v>8400</v>
      </c>
      <c r="B2284" s="83" t="s">
        <v>5012</v>
      </c>
      <c r="C2284" s="83" t="s">
        <v>8403</v>
      </c>
      <c r="D2284" s="83" t="s">
        <v>8402</v>
      </c>
    </row>
    <row r="2285" spans="1:4">
      <c r="A2285" s="83" t="s">
        <v>8400</v>
      </c>
      <c r="B2285" s="83" t="s">
        <v>5015</v>
      </c>
      <c r="C2285" s="83" t="s">
        <v>8404</v>
      </c>
      <c r="D2285" s="83" t="s">
        <v>8402</v>
      </c>
    </row>
    <row r="2286" spans="1:4">
      <c r="A2286" s="83" t="s">
        <v>8400</v>
      </c>
      <c r="B2286" s="83" t="s">
        <v>5010</v>
      </c>
      <c r="C2286" s="83" t="s">
        <v>8405</v>
      </c>
      <c r="D2286" s="83" t="s">
        <v>8402</v>
      </c>
    </row>
    <row r="2287" spans="1:4">
      <c r="A2287" s="83" t="s">
        <v>8406</v>
      </c>
      <c r="B2287" s="83" t="s">
        <v>5017</v>
      </c>
      <c r="C2287" s="83" t="s">
        <v>8407</v>
      </c>
      <c r="D2287" s="83" t="s">
        <v>8408</v>
      </c>
    </row>
    <row r="2288" spans="1:4">
      <c r="A2288" s="83" t="s">
        <v>8406</v>
      </c>
      <c r="B2288" s="83" t="s">
        <v>5012</v>
      </c>
      <c r="C2288" s="83" t="s">
        <v>8409</v>
      </c>
      <c r="D2288" s="83" t="s">
        <v>8408</v>
      </c>
    </row>
    <row r="2289" spans="1:4">
      <c r="A2289" s="83" t="s">
        <v>8406</v>
      </c>
      <c r="B2289" s="83" t="s">
        <v>5015</v>
      </c>
      <c r="C2289" s="83" t="s">
        <v>8410</v>
      </c>
      <c r="D2289" s="83" t="s">
        <v>8408</v>
      </c>
    </row>
    <row r="2290" spans="1:4">
      <c r="A2290" s="83" t="s">
        <v>8406</v>
      </c>
      <c r="B2290" s="83" t="s">
        <v>5010</v>
      </c>
      <c r="C2290" s="83" t="s">
        <v>8411</v>
      </c>
      <c r="D2290" s="83" t="s">
        <v>8408</v>
      </c>
    </row>
    <row r="2291" spans="1:4">
      <c r="A2291" s="83" t="s">
        <v>8412</v>
      </c>
      <c r="B2291" s="83" t="s">
        <v>5017</v>
      </c>
      <c r="C2291" s="83" t="s">
        <v>8413</v>
      </c>
      <c r="D2291" s="83" t="s">
        <v>8414</v>
      </c>
    </row>
    <row r="2292" spans="1:4">
      <c r="A2292" s="83" t="s">
        <v>8412</v>
      </c>
      <c r="B2292" s="83" t="s">
        <v>5012</v>
      </c>
      <c r="C2292" s="83" t="s">
        <v>8415</v>
      </c>
      <c r="D2292" s="83" t="s">
        <v>8414</v>
      </c>
    </row>
    <row r="2293" spans="1:4">
      <c r="A2293" s="83" t="s">
        <v>8412</v>
      </c>
      <c r="B2293" s="83" t="s">
        <v>5015</v>
      </c>
      <c r="C2293" s="83" t="s">
        <v>8416</v>
      </c>
      <c r="D2293" s="83" t="s">
        <v>8414</v>
      </c>
    </row>
    <row r="2294" spans="1:4">
      <c r="A2294" s="83" t="s">
        <v>8412</v>
      </c>
      <c r="B2294" s="83" t="s">
        <v>5010</v>
      </c>
      <c r="C2294" s="83" t="s">
        <v>8417</v>
      </c>
      <c r="D2294" s="83" t="s">
        <v>8414</v>
      </c>
    </row>
    <row r="2295" spans="1:4">
      <c r="A2295" s="83" t="s">
        <v>8418</v>
      </c>
      <c r="B2295" s="83" t="s">
        <v>5017</v>
      </c>
      <c r="C2295" s="83" t="s">
        <v>8419</v>
      </c>
      <c r="D2295" s="83" t="s">
        <v>8420</v>
      </c>
    </row>
    <row r="2296" spans="1:4">
      <c r="A2296" s="83" t="s">
        <v>8418</v>
      </c>
      <c r="B2296" s="83" t="s">
        <v>5012</v>
      </c>
      <c r="C2296" s="83" t="s">
        <v>8421</v>
      </c>
      <c r="D2296" s="83" t="s">
        <v>8420</v>
      </c>
    </row>
    <row r="2297" spans="1:4">
      <c r="A2297" s="83" t="s">
        <v>8418</v>
      </c>
      <c r="B2297" s="83" t="s">
        <v>5015</v>
      </c>
      <c r="C2297" s="83" t="s">
        <v>8422</v>
      </c>
      <c r="D2297" s="83" t="s">
        <v>8420</v>
      </c>
    </row>
    <row r="2298" spans="1:4">
      <c r="A2298" s="83" t="s">
        <v>8418</v>
      </c>
      <c r="B2298" s="83" t="s">
        <v>5010</v>
      </c>
      <c r="C2298" s="83" t="s">
        <v>8423</v>
      </c>
      <c r="D2298" s="83" t="s">
        <v>8420</v>
      </c>
    </row>
    <row r="2299" spans="1:4">
      <c r="A2299" s="83" t="s">
        <v>8424</v>
      </c>
      <c r="B2299" s="83" t="s">
        <v>5017</v>
      </c>
      <c r="C2299" s="83" t="s">
        <v>8425</v>
      </c>
      <c r="D2299" s="83" t="s">
        <v>8426</v>
      </c>
    </row>
    <row r="2300" spans="1:4">
      <c r="A2300" s="83" t="s">
        <v>8424</v>
      </c>
      <c r="B2300" s="83" t="s">
        <v>5012</v>
      </c>
      <c r="C2300" s="83" t="s">
        <v>8427</v>
      </c>
      <c r="D2300" s="83" t="s">
        <v>8426</v>
      </c>
    </row>
    <row r="2301" spans="1:4">
      <c r="A2301" s="83" t="s">
        <v>8424</v>
      </c>
      <c r="B2301" s="83" t="s">
        <v>5015</v>
      </c>
      <c r="C2301" s="83" t="s">
        <v>8428</v>
      </c>
      <c r="D2301" s="83" t="s">
        <v>8426</v>
      </c>
    </row>
    <row r="2302" spans="1:4">
      <c r="A2302" s="83" t="s">
        <v>8424</v>
      </c>
      <c r="B2302" s="83" t="s">
        <v>5010</v>
      </c>
      <c r="C2302" s="83" t="s">
        <v>8429</v>
      </c>
      <c r="D2302" s="83" t="s">
        <v>8426</v>
      </c>
    </row>
    <row r="2303" spans="1:4">
      <c r="A2303" s="83" t="s">
        <v>8430</v>
      </c>
      <c r="B2303" s="83" t="s">
        <v>5017</v>
      </c>
      <c r="C2303" s="83" t="s">
        <v>8431</v>
      </c>
      <c r="D2303" s="83" t="s">
        <v>8432</v>
      </c>
    </row>
    <row r="2304" spans="1:4">
      <c r="A2304" s="83" t="s">
        <v>8430</v>
      </c>
      <c r="B2304" s="83" t="s">
        <v>5012</v>
      </c>
      <c r="C2304" s="83" t="s">
        <v>8433</v>
      </c>
      <c r="D2304" s="83" t="s">
        <v>8432</v>
      </c>
    </row>
    <row r="2305" spans="1:4">
      <c r="A2305" s="83" t="s">
        <v>8430</v>
      </c>
      <c r="B2305" s="83" t="s">
        <v>5015</v>
      </c>
      <c r="C2305" s="83" t="s">
        <v>8434</v>
      </c>
      <c r="D2305" s="83" t="s">
        <v>8432</v>
      </c>
    </row>
    <row r="2306" spans="1:4">
      <c r="A2306" s="83" t="s">
        <v>8430</v>
      </c>
      <c r="B2306" s="83" t="s">
        <v>5010</v>
      </c>
      <c r="C2306" s="83" t="s">
        <v>8435</v>
      </c>
      <c r="D2306" s="83" t="s">
        <v>8432</v>
      </c>
    </row>
    <row r="2307" spans="1:4">
      <c r="A2307" s="83" t="s">
        <v>8436</v>
      </c>
      <c r="B2307" s="83" t="s">
        <v>5017</v>
      </c>
      <c r="C2307" s="83" t="s">
        <v>8437</v>
      </c>
      <c r="D2307" s="83" t="s">
        <v>8438</v>
      </c>
    </row>
    <row r="2308" spans="1:4">
      <c r="A2308" s="83" t="s">
        <v>8436</v>
      </c>
      <c r="B2308" s="83" t="s">
        <v>5012</v>
      </c>
      <c r="C2308" s="83" t="s">
        <v>8439</v>
      </c>
      <c r="D2308" s="83" t="s">
        <v>8438</v>
      </c>
    </row>
    <row r="2309" spans="1:4">
      <c r="A2309" s="83" t="s">
        <v>8436</v>
      </c>
      <c r="B2309" s="83" t="s">
        <v>5015</v>
      </c>
      <c r="C2309" s="83" t="s">
        <v>8440</v>
      </c>
      <c r="D2309" s="83" t="s">
        <v>8438</v>
      </c>
    </row>
    <row r="2310" spans="1:4">
      <c r="A2310" s="83" t="s">
        <v>8436</v>
      </c>
      <c r="B2310" s="83" t="s">
        <v>5010</v>
      </c>
      <c r="C2310" s="83" t="s">
        <v>8441</v>
      </c>
      <c r="D2310" s="83" t="s">
        <v>8438</v>
      </c>
    </row>
    <row r="2311" spans="1:4">
      <c r="A2311" s="83" t="s">
        <v>8442</v>
      </c>
      <c r="B2311" s="83" t="s">
        <v>5017</v>
      </c>
      <c r="C2311" s="83" t="s">
        <v>8443</v>
      </c>
      <c r="D2311" s="83" t="s">
        <v>8444</v>
      </c>
    </row>
    <row r="2312" spans="1:4">
      <c r="A2312" s="83" t="s">
        <v>8442</v>
      </c>
      <c r="B2312" s="83" t="s">
        <v>5012</v>
      </c>
      <c r="C2312" s="83" t="s">
        <v>8445</v>
      </c>
      <c r="D2312" s="83" t="s">
        <v>8444</v>
      </c>
    </row>
    <row r="2313" spans="1:4">
      <c r="A2313" s="83" t="s">
        <v>8442</v>
      </c>
      <c r="B2313" s="83" t="s">
        <v>5015</v>
      </c>
      <c r="C2313" s="83" t="s">
        <v>8446</v>
      </c>
      <c r="D2313" s="83" t="s">
        <v>8444</v>
      </c>
    </row>
    <row r="2314" spans="1:4">
      <c r="A2314" s="83" t="s">
        <v>8442</v>
      </c>
      <c r="B2314" s="83" t="s">
        <v>5010</v>
      </c>
      <c r="C2314" s="83" t="s">
        <v>8447</v>
      </c>
      <c r="D2314" s="83" t="s">
        <v>8444</v>
      </c>
    </row>
    <row r="2315" spans="1:4">
      <c r="A2315" s="83" t="s">
        <v>8448</v>
      </c>
      <c r="B2315" s="83" t="s">
        <v>5017</v>
      </c>
      <c r="C2315" s="83" t="s">
        <v>8449</v>
      </c>
      <c r="D2315" s="83" t="s">
        <v>8450</v>
      </c>
    </row>
    <row r="2316" spans="1:4">
      <c r="A2316" s="83" t="s">
        <v>8448</v>
      </c>
      <c r="B2316" s="83" t="s">
        <v>5012</v>
      </c>
      <c r="C2316" s="83" t="s">
        <v>8451</v>
      </c>
      <c r="D2316" s="83" t="s">
        <v>8450</v>
      </c>
    </row>
    <row r="2317" spans="1:4">
      <c r="A2317" s="83" t="s">
        <v>8448</v>
      </c>
      <c r="B2317" s="83" t="s">
        <v>5015</v>
      </c>
      <c r="C2317" s="83" t="s">
        <v>8452</v>
      </c>
      <c r="D2317" s="83" t="s">
        <v>8450</v>
      </c>
    </row>
    <row r="2318" spans="1:4">
      <c r="A2318" s="83" t="s">
        <v>8448</v>
      </c>
      <c r="B2318" s="83" t="s">
        <v>5010</v>
      </c>
      <c r="C2318" s="83" t="s">
        <v>8453</v>
      </c>
      <c r="D2318" s="83" t="s">
        <v>8450</v>
      </c>
    </row>
    <row r="2319" spans="1:4">
      <c r="A2319" s="83" t="s">
        <v>8454</v>
      </c>
      <c r="B2319" s="83" t="s">
        <v>5017</v>
      </c>
      <c r="C2319" s="83" t="s">
        <v>8455</v>
      </c>
      <c r="D2319" s="83" t="s">
        <v>8456</v>
      </c>
    </row>
    <row r="2320" spans="1:4">
      <c r="A2320" s="83" t="s">
        <v>8454</v>
      </c>
      <c r="B2320" s="83" t="s">
        <v>5012</v>
      </c>
      <c r="C2320" s="83" t="s">
        <v>8457</v>
      </c>
      <c r="D2320" s="83" t="s">
        <v>8456</v>
      </c>
    </row>
    <row r="2321" spans="1:4">
      <c r="A2321" s="83" t="s">
        <v>8454</v>
      </c>
      <c r="B2321" s="83" t="s">
        <v>5015</v>
      </c>
      <c r="C2321" s="83" t="s">
        <v>8458</v>
      </c>
      <c r="D2321" s="83" t="s">
        <v>8456</v>
      </c>
    </row>
    <row r="2322" spans="1:4">
      <c r="A2322" s="83" t="s">
        <v>8454</v>
      </c>
      <c r="B2322" s="83" t="s">
        <v>5010</v>
      </c>
      <c r="C2322" s="83" t="s">
        <v>8459</v>
      </c>
      <c r="D2322" s="83" t="s">
        <v>8456</v>
      </c>
    </row>
    <row r="2323" spans="1:4">
      <c r="A2323" s="83" t="s">
        <v>8460</v>
      </c>
      <c r="B2323" s="83" t="s">
        <v>5017</v>
      </c>
      <c r="C2323" s="83" t="s">
        <v>8461</v>
      </c>
      <c r="D2323" s="83" t="s">
        <v>8462</v>
      </c>
    </row>
    <row r="2324" spans="1:4">
      <c r="A2324" s="83" t="s">
        <v>8460</v>
      </c>
      <c r="B2324" s="83" t="s">
        <v>5012</v>
      </c>
      <c r="C2324" s="83" t="s">
        <v>8463</v>
      </c>
      <c r="D2324" s="83" t="s">
        <v>8462</v>
      </c>
    </row>
    <row r="2325" spans="1:4">
      <c r="A2325" s="83" t="s">
        <v>8460</v>
      </c>
      <c r="B2325" s="83" t="s">
        <v>5015</v>
      </c>
      <c r="C2325" s="83" t="s">
        <v>8464</v>
      </c>
      <c r="D2325" s="83" t="s">
        <v>8462</v>
      </c>
    </row>
    <row r="2326" spans="1:4">
      <c r="A2326" s="83" t="s">
        <v>8460</v>
      </c>
      <c r="B2326" s="83" t="s">
        <v>5010</v>
      </c>
      <c r="C2326" s="83" t="s">
        <v>8465</v>
      </c>
      <c r="D2326" s="83" t="s">
        <v>8462</v>
      </c>
    </row>
    <row r="2327" spans="1:4">
      <c r="A2327" s="83" t="s">
        <v>8466</v>
      </c>
      <c r="B2327" s="83" t="s">
        <v>5017</v>
      </c>
      <c r="C2327" s="83" t="s">
        <v>8467</v>
      </c>
      <c r="D2327" s="83" t="s">
        <v>8468</v>
      </c>
    </row>
    <row r="2328" spans="1:4">
      <c r="A2328" s="83" t="s">
        <v>8466</v>
      </c>
      <c r="B2328" s="83" t="s">
        <v>5012</v>
      </c>
      <c r="C2328" s="83" t="s">
        <v>8469</v>
      </c>
      <c r="D2328" s="83" t="s">
        <v>8468</v>
      </c>
    </row>
    <row r="2329" spans="1:4">
      <c r="A2329" s="83" t="s">
        <v>8466</v>
      </c>
      <c r="B2329" s="83" t="s">
        <v>5015</v>
      </c>
      <c r="C2329" s="83" t="s">
        <v>8470</v>
      </c>
      <c r="D2329" s="83" t="s">
        <v>8468</v>
      </c>
    </row>
    <row r="2330" spans="1:4">
      <c r="A2330" s="83" t="s">
        <v>8466</v>
      </c>
      <c r="B2330" s="83" t="s">
        <v>5010</v>
      </c>
      <c r="C2330" s="83" t="s">
        <v>8471</v>
      </c>
      <c r="D2330" s="83" t="s">
        <v>8468</v>
      </c>
    </row>
    <row r="2331" spans="1:4">
      <c r="A2331" s="83" t="s">
        <v>8472</v>
      </c>
      <c r="B2331" s="83" t="s">
        <v>5017</v>
      </c>
      <c r="C2331" s="83" t="s">
        <v>8473</v>
      </c>
      <c r="D2331" s="83" t="s">
        <v>8474</v>
      </c>
    </row>
    <row r="2332" spans="1:4">
      <c r="A2332" s="83" t="s">
        <v>8472</v>
      </c>
      <c r="B2332" s="83" t="s">
        <v>5012</v>
      </c>
      <c r="C2332" s="83" t="s">
        <v>8475</v>
      </c>
      <c r="D2332" s="83" t="s">
        <v>8474</v>
      </c>
    </row>
    <row r="2333" spans="1:4">
      <c r="A2333" s="83" t="s">
        <v>8472</v>
      </c>
      <c r="B2333" s="83" t="s">
        <v>5015</v>
      </c>
      <c r="C2333" s="83" t="s">
        <v>8476</v>
      </c>
      <c r="D2333" s="83" t="s">
        <v>8474</v>
      </c>
    </row>
    <row r="2334" spans="1:4">
      <c r="A2334" s="83" t="s">
        <v>8472</v>
      </c>
      <c r="B2334" s="83" t="s">
        <v>5010</v>
      </c>
      <c r="C2334" s="83" t="s">
        <v>8477</v>
      </c>
      <c r="D2334" s="83" t="s">
        <v>8474</v>
      </c>
    </row>
    <row r="2335" spans="1:4">
      <c r="A2335" s="83" t="s">
        <v>8478</v>
      </c>
      <c r="B2335" s="83" t="s">
        <v>5017</v>
      </c>
      <c r="C2335" s="83" t="s">
        <v>8479</v>
      </c>
      <c r="D2335" s="83" t="s">
        <v>8480</v>
      </c>
    </row>
    <row r="2336" spans="1:4">
      <c r="A2336" s="83" t="s">
        <v>8478</v>
      </c>
      <c r="B2336" s="83" t="s">
        <v>5012</v>
      </c>
      <c r="C2336" s="83" t="s">
        <v>8481</v>
      </c>
      <c r="D2336" s="83" t="s">
        <v>8480</v>
      </c>
    </row>
    <row r="2337" spans="1:4">
      <c r="A2337" s="83" t="s">
        <v>8478</v>
      </c>
      <c r="B2337" s="83" t="s">
        <v>5015</v>
      </c>
      <c r="C2337" s="83" t="s">
        <v>8482</v>
      </c>
      <c r="D2337" s="83" t="s">
        <v>8480</v>
      </c>
    </row>
    <row r="2338" spans="1:4">
      <c r="A2338" s="83" t="s">
        <v>8478</v>
      </c>
      <c r="B2338" s="83" t="s">
        <v>5010</v>
      </c>
      <c r="C2338" s="83" t="s">
        <v>8483</v>
      </c>
      <c r="D2338" s="83" t="s">
        <v>8480</v>
      </c>
    </row>
    <row r="2339" spans="1:4">
      <c r="A2339" s="83" t="s">
        <v>8484</v>
      </c>
      <c r="B2339" s="83" t="s">
        <v>5017</v>
      </c>
      <c r="C2339" s="83" t="s">
        <v>8485</v>
      </c>
      <c r="D2339" s="83" t="s">
        <v>8486</v>
      </c>
    </row>
    <row r="2340" spans="1:4">
      <c r="A2340" s="83" t="s">
        <v>8484</v>
      </c>
      <c r="B2340" s="83" t="s">
        <v>5012</v>
      </c>
      <c r="C2340" s="83" t="s">
        <v>8487</v>
      </c>
      <c r="D2340" s="83" t="s">
        <v>8486</v>
      </c>
    </row>
    <row r="2341" spans="1:4">
      <c r="A2341" s="83" t="s">
        <v>8484</v>
      </c>
      <c r="B2341" s="83" t="s">
        <v>5015</v>
      </c>
      <c r="C2341" s="83" t="s">
        <v>8488</v>
      </c>
      <c r="D2341" s="83" t="s">
        <v>8486</v>
      </c>
    </row>
    <row r="2342" spans="1:4">
      <c r="A2342" s="83" t="s">
        <v>8484</v>
      </c>
      <c r="B2342" s="83" t="s">
        <v>5010</v>
      </c>
      <c r="C2342" s="83" t="s">
        <v>8489</v>
      </c>
      <c r="D2342" s="83" t="s">
        <v>8486</v>
      </c>
    </row>
    <row r="2343" spans="1:4">
      <c r="A2343" s="83" t="s">
        <v>8490</v>
      </c>
      <c r="B2343" s="83" t="s">
        <v>5017</v>
      </c>
      <c r="C2343" s="83" t="s">
        <v>8491</v>
      </c>
      <c r="D2343" s="83" t="s">
        <v>8492</v>
      </c>
    </row>
    <row r="2344" spans="1:4">
      <c r="A2344" s="83" t="s">
        <v>8490</v>
      </c>
      <c r="B2344" s="83" t="s">
        <v>5012</v>
      </c>
      <c r="C2344" s="83" t="s">
        <v>8493</v>
      </c>
      <c r="D2344" s="83" t="s">
        <v>8492</v>
      </c>
    </row>
    <row r="2345" spans="1:4">
      <c r="A2345" s="83" t="s">
        <v>8490</v>
      </c>
      <c r="B2345" s="83" t="s">
        <v>5015</v>
      </c>
      <c r="C2345" s="83" t="s">
        <v>8494</v>
      </c>
      <c r="D2345" s="83" t="s">
        <v>8492</v>
      </c>
    </row>
    <row r="2346" spans="1:4">
      <c r="A2346" s="83" t="s">
        <v>8490</v>
      </c>
      <c r="B2346" s="83" t="s">
        <v>5010</v>
      </c>
      <c r="C2346" s="83" t="s">
        <v>8495</v>
      </c>
      <c r="D2346" s="83" t="s">
        <v>8492</v>
      </c>
    </row>
    <row r="2347" spans="1:4">
      <c r="A2347" s="83" t="s">
        <v>8496</v>
      </c>
      <c r="B2347" s="83" t="s">
        <v>5017</v>
      </c>
      <c r="C2347" s="83" t="s">
        <v>8497</v>
      </c>
      <c r="D2347" s="83" t="s">
        <v>8498</v>
      </c>
    </row>
    <row r="2348" spans="1:4">
      <c r="A2348" s="83" t="s">
        <v>8496</v>
      </c>
      <c r="B2348" s="83" t="s">
        <v>5012</v>
      </c>
      <c r="C2348" s="83" t="s">
        <v>8499</v>
      </c>
      <c r="D2348" s="83" t="s">
        <v>8498</v>
      </c>
    </row>
    <row r="2349" spans="1:4">
      <c r="A2349" s="83" t="s">
        <v>8496</v>
      </c>
      <c r="B2349" s="83" t="s">
        <v>5015</v>
      </c>
      <c r="C2349" s="83" t="s">
        <v>8500</v>
      </c>
      <c r="D2349" s="83" t="s">
        <v>8498</v>
      </c>
    </row>
    <row r="2350" spans="1:4">
      <c r="A2350" s="83" t="s">
        <v>8496</v>
      </c>
      <c r="B2350" s="83" t="s">
        <v>5010</v>
      </c>
      <c r="C2350" s="83" t="s">
        <v>8501</v>
      </c>
      <c r="D2350" s="83" t="s">
        <v>8498</v>
      </c>
    </row>
    <row r="2351" spans="1:4">
      <c r="A2351" s="83" t="s">
        <v>8502</v>
      </c>
      <c r="B2351" s="83" t="s">
        <v>5017</v>
      </c>
      <c r="C2351" s="83" t="s">
        <v>8503</v>
      </c>
      <c r="D2351" s="83" t="s">
        <v>8504</v>
      </c>
    </row>
    <row r="2352" spans="1:4">
      <c r="A2352" s="83" t="s">
        <v>8502</v>
      </c>
      <c r="B2352" s="83" t="s">
        <v>5012</v>
      </c>
      <c r="C2352" s="83" t="s">
        <v>8505</v>
      </c>
      <c r="D2352" s="83" t="s">
        <v>8504</v>
      </c>
    </row>
    <row r="2353" spans="1:4">
      <c r="A2353" s="83" t="s">
        <v>8502</v>
      </c>
      <c r="B2353" s="83" t="s">
        <v>5015</v>
      </c>
      <c r="C2353" s="83" t="s">
        <v>8506</v>
      </c>
      <c r="D2353" s="83" t="s">
        <v>8504</v>
      </c>
    </row>
    <row r="2354" spans="1:4">
      <c r="A2354" s="83" t="s">
        <v>8502</v>
      </c>
      <c r="B2354" s="83" t="s">
        <v>5010</v>
      </c>
      <c r="C2354" s="83" t="s">
        <v>8507</v>
      </c>
      <c r="D2354" s="83" t="s">
        <v>8504</v>
      </c>
    </row>
    <row r="2355" spans="1:4">
      <c r="A2355" s="83" t="s">
        <v>8508</v>
      </c>
      <c r="B2355" s="83" t="s">
        <v>5017</v>
      </c>
      <c r="C2355" s="83" t="s">
        <v>8509</v>
      </c>
      <c r="D2355" s="83" t="s">
        <v>8510</v>
      </c>
    </row>
    <row r="2356" spans="1:4">
      <c r="A2356" s="83" t="s">
        <v>8508</v>
      </c>
      <c r="B2356" s="83" t="s">
        <v>5012</v>
      </c>
      <c r="C2356" s="83" t="s">
        <v>8511</v>
      </c>
      <c r="D2356" s="83" t="s">
        <v>8510</v>
      </c>
    </row>
    <row r="2357" spans="1:4">
      <c r="A2357" s="83" t="s">
        <v>8508</v>
      </c>
      <c r="B2357" s="83" t="s">
        <v>5015</v>
      </c>
      <c r="C2357" s="83" t="s">
        <v>8512</v>
      </c>
      <c r="D2357" s="83" t="s">
        <v>8510</v>
      </c>
    </row>
    <row r="2358" spans="1:4">
      <c r="A2358" s="83" t="s">
        <v>8508</v>
      </c>
      <c r="B2358" s="83" t="s">
        <v>5010</v>
      </c>
      <c r="C2358" s="83" t="s">
        <v>8513</v>
      </c>
      <c r="D2358" s="83" t="s">
        <v>8510</v>
      </c>
    </row>
    <row r="2359" spans="1:4">
      <c r="A2359" s="83" t="s">
        <v>8514</v>
      </c>
      <c r="B2359" s="83" t="s">
        <v>5017</v>
      </c>
      <c r="C2359" s="83" t="s">
        <v>8515</v>
      </c>
      <c r="D2359" s="83" t="s">
        <v>8516</v>
      </c>
    </row>
    <row r="2360" spans="1:4">
      <c r="A2360" s="83" t="s">
        <v>8514</v>
      </c>
      <c r="B2360" s="83" t="s">
        <v>5012</v>
      </c>
      <c r="C2360" s="83" t="s">
        <v>8517</v>
      </c>
      <c r="D2360" s="83" t="s">
        <v>8516</v>
      </c>
    </row>
    <row r="2361" spans="1:4">
      <c r="A2361" s="83" t="s">
        <v>8514</v>
      </c>
      <c r="B2361" s="83" t="s">
        <v>5015</v>
      </c>
      <c r="C2361" s="83" t="s">
        <v>8518</v>
      </c>
      <c r="D2361" s="83" t="s">
        <v>8516</v>
      </c>
    </row>
    <row r="2362" spans="1:4">
      <c r="A2362" s="83" t="s">
        <v>8514</v>
      </c>
      <c r="B2362" s="83" t="s">
        <v>5010</v>
      </c>
      <c r="C2362" s="83" t="s">
        <v>8519</v>
      </c>
      <c r="D2362" s="83" t="s">
        <v>8516</v>
      </c>
    </row>
    <row r="2363" spans="1:4">
      <c r="A2363" s="83" t="s">
        <v>8520</v>
      </c>
      <c r="B2363" s="83" t="s">
        <v>5017</v>
      </c>
      <c r="C2363" s="83" t="s">
        <v>8521</v>
      </c>
      <c r="D2363" s="83" t="s">
        <v>8522</v>
      </c>
    </row>
    <row r="2364" spans="1:4">
      <c r="A2364" s="83" t="s">
        <v>8520</v>
      </c>
      <c r="B2364" s="83" t="s">
        <v>5012</v>
      </c>
      <c r="C2364" s="83" t="s">
        <v>8523</v>
      </c>
      <c r="D2364" s="83" t="s">
        <v>8522</v>
      </c>
    </row>
    <row r="2365" spans="1:4">
      <c r="A2365" s="83" t="s">
        <v>8520</v>
      </c>
      <c r="B2365" s="83" t="s">
        <v>5015</v>
      </c>
      <c r="C2365" s="83" t="s">
        <v>8524</v>
      </c>
      <c r="D2365" s="83" t="s">
        <v>8522</v>
      </c>
    </row>
    <row r="2366" spans="1:4">
      <c r="A2366" s="83" t="s">
        <v>8520</v>
      </c>
      <c r="B2366" s="83" t="s">
        <v>5010</v>
      </c>
      <c r="C2366" s="83" t="s">
        <v>8525</v>
      </c>
      <c r="D2366" s="83" t="s">
        <v>8522</v>
      </c>
    </row>
    <row r="2367" spans="1:4">
      <c r="A2367" s="83" t="s">
        <v>8526</v>
      </c>
      <c r="B2367" s="83" t="s">
        <v>5017</v>
      </c>
      <c r="C2367" s="83" t="s">
        <v>8527</v>
      </c>
      <c r="D2367" s="83" t="s">
        <v>8528</v>
      </c>
    </row>
    <row r="2368" spans="1:4">
      <c r="A2368" s="83" t="s">
        <v>8526</v>
      </c>
      <c r="B2368" s="83" t="s">
        <v>5012</v>
      </c>
      <c r="C2368" s="83" t="s">
        <v>8529</v>
      </c>
      <c r="D2368" s="83" t="s">
        <v>8528</v>
      </c>
    </row>
    <row r="2369" spans="1:4">
      <c r="A2369" s="83" t="s">
        <v>8526</v>
      </c>
      <c r="B2369" s="83" t="s">
        <v>5015</v>
      </c>
      <c r="C2369" s="83" t="s">
        <v>8530</v>
      </c>
      <c r="D2369" s="83" t="s">
        <v>8528</v>
      </c>
    </row>
    <row r="2370" spans="1:4">
      <c r="A2370" s="83" t="s">
        <v>8526</v>
      </c>
      <c r="B2370" s="83" t="s">
        <v>5010</v>
      </c>
      <c r="C2370" s="83" t="s">
        <v>8531</v>
      </c>
      <c r="D2370" s="83" t="s">
        <v>8528</v>
      </c>
    </row>
    <row r="2371" spans="1:4">
      <c r="A2371" s="83" t="s">
        <v>8532</v>
      </c>
      <c r="B2371" s="83" t="s">
        <v>5017</v>
      </c>
      <c r="C2371" s="83" t="s">
        <v>8533</v>
      </c>
      <c r="D2371" s="83" t="s">
        <v>8534</v>
      </c>
    </row>
    <row r="2372" spans="1:4">
      <c r="A2372" s="83" t="s">
        <v>8532</v>
      </c>
      <c r="B2372" s="83" t="s">
        <v>5012</v>
      </c>
      <c r="C2372" s="83" t="s">
        <v>8535</v>
      </c>
      <c r="D2372" s="83" t="s">
        <v>8534</v>
      </c>
    </row>
    <row r="2373" spans="1:4">
      <c r="A2373" s="83" t="s">
        <v>8532</v>
      </c>
      <c r="B2373" s="83" t="s">
        <v>5015</v>
      </c>
      <c r="C2373" s="83" t="s">
        <v>8536</v>
      </c>
      <c r="D2373" s="83" t="s">
        <v>8534</v>
      </c>
    </row>
    <row r="2374" spans="1:4">
      <c r="A2374" s="83" t="s">
        <v>8532</v>
      </c>
      <c r="B2374" s="83" t="s">
        <v>5010</v>
      </c>
      <c r="C2374" s="83" t="s">
        <v>8537</v>
      </c>
      <c r="D2374" s="83" t="s">
        <v>8534</v>
      </c>
    </row>
    <row r="2375" spans="1:4">
      <c r="A2375" s="83" t="s">
        <v>8538</v>
      </c>
      <c r="B2375" s="83" t="s">
        <v>5017</v>
      </c>
      <c r="C2375" s="83" t="s">
        <v>8539</v>
      </c>
      <c r="D2375" s="83" t="s">
        <v>8540</v>
      </c>
    </row>
    <row r="2376" spans="1:4">
      <c r="A2376" s="83" t="s">
        <v>8538</v>
      </c>
      <c r="B2376" s="83" t="s">
        <v>5012</v>
      </c>
      <c r="C2376" s="83" t="s">
        <v>8541</v>
      </c>
      <c r="D2376" s="83" t="s">
        <v>8540</v>
      </c>
    </row>
    <row r="2377" spans="1:4">
      <c r="A2377" s="83" t="s">
        <v>8538</v>
      </c>
      <c r="B2377" s="83" t="s">
        <v>5015</v>
      </c>
      <c r="C2377" s="83" t="s">
        <v>8542</v>
      </c>
      <c r="D2377" s="83" t="s">
        <v>8540</v>
      </c>
    </row>
    <row r="2378" spans="1:4">
      <c r="A2378" s="83" t="s">
        <v>8538</v>
      </c>
      <c r="B2378" s="83" t="s">
        <v>5010</v>
      </c>
      <c r="C2378" s="83" t="s">
        <v>8543</v>
      </c>
      <c r="D2378" s="83" t="s">
        <v>8540</v>
      </c>
    </row>
    <row r="2379" spans="1:4">
      <c r="A2379" s="83" t="s">
        <v>8544</v>
      </c>
      <c r="B2379" s="83" t="s">
        <v>5017</v>
      </c>
      <c r="C2379" s="83" t="s">
        <v>8545</v>
      </c>
      <c r="D2379" s="83" t="s">
        <v>8546</v>
      </c>
    </row>
    <row r="2380" spans="1:4">
      <c r="A2380" s="83" t="s">
        <v>8544</v>
      </c>
      <c r="B2380" s="83" t="s">
        <v>5012</v>
      </c>
      <c r="C2380" s="83" t="s">
        <v>8547</v>
      </c>
      <c r="D2380" s="83" t="s">
        <v>8546</v>
      </c>
    </row>
    <row r="2381" spans="1:4">
      <c r="A2381" s="83" t="s">
        <v>8544</v>
      </c>
      <c r="B2381" s="83" t="s">
        <v>5015</v>
      </c>
      <c r="C2381" s="83" t="s">
        <v>8548</v>
      </c>
      <c r="D2381" s="83" t="s">
        <v>8546</v>
      </c>
    </row>
    <row r="2382" spans="1:4">
      <c r="A2382" s="83" t="s">
        <v>8544</v>
      </c>
      <c r="B2382" s="83" t="s">
        <v>5010</v>
      </c>
      <c r="C2382" s="83" t="s">
        <v>8549</v>
      </c>
      <c r="D2382" s="83" t="s">
        <v>8546</v>
      </c>
    </row>
    <row r="2383" spans="1:4">
      <c r="A2383" s="83" t="s">
        <v>8550</v>
      </c>
      <c r="B2383" s="83" t="s">
        <v>5017</v>
      </c>
      <c r="C2383" s="83" t="s">
        <v>8551</v>
      </c>
      <c r="D2383" s="83" t="s">
        <v>8552</v>
      </c>
    </row>
    <row r="2384" spans="1:4">
      <c r="A2384" s="83" t="s">
        <v>8550</v>
      </c>
      <c r="B2384" s="83" t="s">
        <v>5012</v>
      </c>
      <c r="C2384" s="83" t="s">
        <v>8553</v>
      </c>
      <c r="D2384" s="83" t="s">
        <v>8552</v>
      </c>
    </row>
    <row r="2385" spans="1:4">
      <c r="A2385" s="83" t="s">
        <v>8550</v>
      </c>
      <c r="B2385" s="83" t="s">
        <v>5015</v>
      </c>
      <c r="C2385" s="83" t="s">
        <v>8554</v>
      </c>
      <c r="D2385" s="83" t="s">
        <v>8552</v>
      </c>
    </row>
    <row r="2386" spans="1:4">
      <c r="A2386" s="83" t="s">
        <v>8550</v>
      </c>
      <c r="B2386" s="83" t="s">
        <v>5010</v>
      </c>
      <c r="C2386" s="83" t="s">
        <v>8555</v>
      </c>
      <c r="D2386" s="83" t="s">
        <v>8552</v>
      </c>
    </row>
    <row r="2387" spans="1:4">
      <c r="A2387" s="83" t="s">
        <v>8556</v>
      </c>
      <c r="B2387" s="83" t="s">
        <v>5017</v>
      </c>
      <c r="C2387" s="83" t="s">
        <v>8557</v>
      </c>
      <c r="D2387" s="83" t="s">
        <v>8558</v>
      </c>
    </row>
    <row r="2388" spans="1:4">
      <c r="A2388" s="83" t="s">
        <v>8556</v>
      </c>
      <c r="B2388" s="83" t="s">
        <v>5012</v>
      </c>
      <c r="C2388" s="83" t="s">
        <v>8559</v>
      </c>
      <c r="D2388" s="83" t="s">
        <v>8558</v>
      </c>
    </row>
    <row r="2389" spans="1:4">
      <c r="A2389" s="83" t="s">
        <v>8556</v>
      </c>
      <c r="B2389" s="83" t="s">
        <v>5015</v>
      </c>
      <c r="C2389" s="83" t="s">
        <v>8560</v>
      </c>
      <c r="D2389" s="83" t="s">
        <v>8558</v>
      </c>
    </row>
    <row r="2390" spans="1:4">
      <c r="A2390" s="83" t="s">
        <v>8556</v>
      </c>
      <c r="B2390" s="83" t="s">
        <v>5010</v>
      </c>
      <c r="C2390" s="83" t="s">
        <v>8561</v>
      </c>
      <c r="D2390" s="83" t="s">
        <v>8558</v>
      </c>
    </row>
    <row r="2391" spans="1:4">
      <c r="A2391" s="83" t="s">
        <v>8562</v>
      </c>
      <c r="B2391" s="83" t="s">
        <v>5017</v>
      </c>
      <c r="C2391" s="83" t="s">
        <v>8563</v>
      </c>
      <c r="D2391" s="83" t="s">
        <v>8564</v>
      </c>
    </row>
    <row r="2392" spans="1:4">
      <c r="A2392" s="83" t="s">
        <v>8562</v>
      </c>
      <c r="B2392" s="83" t="s">
        <v>5012</v>
      </c>
      <c r="C2392" s="83" t="s">
        <v>8565</v>
      </c>
      <c r="D2392" s="83" t="s">
        <v>8564</v>
      </c>
    </row>
    <row r="2393" spans="1:4">
      <c r="A2393" s="83" t="s">
        <v>8562</v>
      </c>
      <c r="B2393" s="83" t="s">
        <v>5015</v>
      </c>
      <c r="C2393" s="83" t="s">
        <v>8566</v>
      </c>
      <c r="D2393" s="83" t="s">
        <v>8564</v>
      </c>
    </row>
    <row r="2394" spans="1:4">
      <c r="A2394" s="83" t="s">
        <v>8562</v>
      </c>
      <c r="B2394" s="83" t="s">
        <v>5010</v>
      </c>
      <c r="C2394" s="83" t="s">
        <v>8567</v>
      </c>
      <c r="D2394" s="83" t="s">
        <v>8564</v>
      </c>
    </row>
    <row r="2395" spans="1:4">
      <c r="A2395" s="83" t="s">
        <v>8568</v>
      </c>
      <c r="B2395" s="83" t="s">
        <v>5017</v>
      </c>
      <c r="C2395" s="83" t="s">
        <v>8569</v>
      </c>
      <c r="D2395" s="83" t="s">
        <v>8570</v>
      </c>
    </row>
    <row r="2396" spans="1:4">
      <c r="A2396" s="83" t="s">
        <v>8568</v>
      </c>
      <c r="B2396" s="83" t="s">
        <v>5012</v>
      </c>
      <c r="C2396" s="83" t="s">
        <v>8571</v>
      </c>
      <c r="D2396" s="83" t="s">
        <v>8570</v>
      </c>
    </row>
    <row r="2397" spans="1:4">
      <c r="A2397" s="83" t="s">
        <v>8568</v>
      </c>
      <c r="B2397" s="83" t="s">
        <v>5015</v>
      </c>
      <c r="C2397" s="83" t="s">
        <v>8572</v>
      </c>
      <c r="D2397" s="83" t="s">
        <v>8570</v>
      </c>
    </row>
    <row r="2398" spans="1:4">
      <c r="A2398" s="83" t="s">
        <v>8568</v>
      </c>
      <c r="B2398" s="83" t="s">
        <v>5010</v>
      </c>
      <c r="C2398" s="83" t="s">
        <v>8573</v>
      </c>
      <c r="D2398" s="83" t="s">
        <v>8570</v>
      </c>
    </row>
    <row r="2399" spans="1:4">
      <c r="A2399" s="83" t="s">
        <v>8574</v>
      </c>
      <c r="B2399" s="83" t="s">
        <v>5017</v>
      </c>
      <c r="C2399" s="83" t="s">
        <v>8575</v>
      </c>
      <c r="D2399" s="83" t="s">
        <v>8576</v>
      </c>
    </row>
    <row r="2400" spans="1:4">
      <c r="A2400" s="83" t="s">
        <v>8574</v>
      </c>
      <c r="B2400" s="83" t="s">
        <v>5012</v>
      </c>
      <c r="C2400" s="83" t="s">
        <v>8577</v>
      </c>
      <c r="D2400" s="83" t="s">
        <v>8576</v>
      </c>
    </row>
    <row r="2401" spans="1:4">
      <c r="A2401" s="83" t="s">
        <v>8574</v>
      </c>
      <c r="B2401" s="83" t="s">
        <v>5015</v>
      </c>
      <c r="C2401" s="83" t="s">
        <v>8578</v>
      </c>
      <c r="D2401" s="83" t="s">
        <v>8576</v>
      </c>
    </row>
    <row r="2402" spans="1:4">
      <c r="A2402" s="83" t="s">
        <v>8574</v>
      </c>
      <c r="B2402" s="83" t="s">
        <v>5010</v>
      </c>
      <c r="C2402" s="83" t="s">
        <v>8579</v>
      </c>
      <c r="D2402" s="83" t="s">
        <v>8576</v>
      </c>
    </row>
    <row r="2403" spans="1:4">
      <c r="A2403" s="83" t="s">
        <v>8580</v>
      </c>
      <c r="B2403" s="83" t="s">
        <v>5017</v>
      </c>
      <c r="C2403" s="83" t="s">
        <v>8581</v>
      </c>
      <c r="D2403" s="83" t="s">
        <v>8582</v>
      </c>
    </row>
    <row r="2404" spans="1:4">
      <c r="A2404" s="83" t="s">
        <v>8580</v>
      </c>
      <c r="B2404" s="83" t="s">
        <v>5012</v>
      </c>
      <c r="C2404" s="83" t="s">
        <v>8583</v>
      </c>
      <c r="D2404" s="83" t="s">
        <v>8582</v>
      </c>
    </row>
    <row r="2405" spans="1:4">
      <c r="A2405" s="83" t="s">
        <v>8580</v>
      </c>
      <c r="B2405" s="83" t="s">
        <v>5015</v>
      </c>
      <c r="C2405" s="83" t="s">
        <v>8584</v>
      </c>
      <c r="D2405" s="83" t="s">
        <v>8582</v>
      </c>
    </row>
    <row r="2406" spans="1:4">
      <c r="A2406" s="83" t="s">
        <v>8580</v>
      </c>
      <c r="B2406" s="83" t="s">
        <v>5010</v>
      </c>
      <c r="C2406" s="83" t="s">
        <v>8585</v>
      </c>
      <c r="D2406" s="83" t="s">
        <v>8582</v>
      </c>
    </row>
    <row r="2407" spans="1:4">
      <c r="A2407" s="83" t="s">
        <v>8586</v>
      </c>
      <c r="B2407" s="83" t="s">
        <v>5017</v>
      </c>
      <c r="C2407" s="83" t="s">
        <v>8587</v>
      </c>
      <c r="D2407" s="83" t="s">
        <v>8588</v>
      </c>
    </row>
    <row r="2408" spans="1:4">
      <c r="A2408" s="83" t="s">
        <v>8586</v>
      </c>
      <c r="B2408" s="83" t="s">
        <v>5012</v>
      </c>
      <c r="C2408" s="83" t="s">
        <v>8589</v>
      </c>
      <c r="D2408" s="83" t="s">
        <v>8588</v>
      </c>
    </row>
    <row r="2409" spans="1:4">
      <c r="A2409" s="83" t="s">
        <v>8586</v>
      </c>
      <c r="B2409" s="83" t="s">
        <v>5015</v>
      </c>
      <c r="C2409" s="83" t="s">
        <v>8590</v>
      </c>
      <c r="D2409" s="83" t="s">
        <v>8588</v>
      </c>
    </row>
    <row r="2410" spans="1:4">
      <c r="A2410" s="83" t="s">
        <v>8586</v>
      </c>
      <c r="B2410" s="83" t="s">
        <v>5010</v>
      </c>
      <c r="C2410" s="83" t="s">
        <v>8591</v>
      </c>
      <c r="D2410" s="83" t="s">
        <v>8588</v>
      </c>
    </row>
    <row r="2411" spans="1:4">
      <c r="A2411" s="83" t="s">
        <v>8592</v>
      </c>
      <c r="B2411" s="83" t="s">
        <v>5017</v>
      </c>
      <c r="C2411" s="83" t="s">
        <v>8593</v>
      </c>
      <c r="D2411" s="83" t="s">
        <v>8594</v>
      </c>
    </row>
    <row r="2412" spans="1:4">
      <c r="A2412" s="83" t="s">
        <v>8592</v>
      </c>
      <c r="B2412" s="83" t="s">
        <v>5012</v>
      </c>
      <c r="C2412" s="83" t="s">
        <v>8595</v>
      </c>
      <c r="D2412" s="83" t="s">
        <v>8594</v>
      </c>
    </row>
    <row r="2413" spans="1:4">
      <c r="A2413" s="83" t="s">
        <v>8592</v>
      </c>
      <c r="B2413" s="83" t="s">
        <v>5015</v>
      </c>
      <c r="C2413" s="83" t="s">
        <v>8596</v>
      </c>
      <c r="D2413" s="83" t="s">
        <v>8594</v>
      </c>
    </row>
    <row r="2414" spans="1:4">
      <c r="A2414" s="83" t="s">
        <v>8592</v>
      </c>
      <c r="B2414" s="83" t="s">
        <v>5010</v>
      </c>
      <c r="C2414" s="83" t="s">
        <v>8597</v>
      </c>
      <c r="D2414" s="83" t="s">
        <v>8594</v>
      </c>
    </row>
    <row r="2415" spans="1:4">
      <c r="A2415" s="83" t="s">
        <v>8598</v>
      </c>
      <c r="B2415" s="83" t="s">
        <v>5017</v>
      </c>
      <c r="C2415" s="83" t="s">
        <v>8599</v>
      </c>
      <c r="D2415" s="83" t="s">
        <v>8600</v>
      </c>
    </row>
    <row r="2416" spans="1:4">
      <c r="A2416" s="83" t="s">
        <v>8598</v>
      </c>
      <c r="B2416" s="83" t="s">
        <v>5012</v>
      </c>
      <c r="C2416" s="83" t="s">
        <v>8601</v>
      </c>
      <c r="D2416" s="83" t="s">
        <v>8600</v>
      </c>
    </row>
    <row r="2417" spans="1:4">
      <c r="A2417" s="83" t="s">
        <v>8598</v>
      </c>
      <c r="B2417" s="83" t="s">
        <v>5015</v>
      </c>
      <c r="C2417" s="83" t="s">
        <v>8602</v>
      </c>
      <c r="D2417" s="83" t="s">
        <v>8600</v>
      </c>
    </row>
    <row r="2418" spans="1:4">
      <c r="A2418" s="83" t="s">
        <v>8598</v>
      </c>
      <c r="B2418" s="83" t="s">
        <v>5010</v>
      </c>
      <c r="C2418" s="83" t="s">
        <v>8603</v>
      </c>
      <c r="D2418" s="83" t="s">
        <v>8600</v>
      </c>
    </row>
    <row r="2419" spans="1:4">
      <c r="A2419" s="83" t="s">
        <v>8604</v>
      </c>
      <c r="B2419" s="83" t="s">
        <v>5017</v>
      </c>
      <c r="C2419" s="83" t="s">
        <v>8605</v>
      </c>
      <c r="D2419" s="83" t="s">
        <v>8606</v>
      </c>
    </row>
    <row r="2420" spans="1:4">
      <c r="A2420" s="83" t="s">
        <v>8604</v>
      </c>
      <c r="B2420" s="83" t="s">
        <v>5012</v>
      </c>
      <c r="C2420" s="83" t="s">
        <v>8607</v>
      </c>
      <c r="D2420" s="83" t="s">
        <v>8606</v>
      </c>
    </row>
    <row r="2421" spans="1:4">
      <c r="A2421" s="83" t="s">
        <v>8604</v>
      </c>
      <c r="B2421" s="83" t="s">
        <v>5015</v>
      </c>
      <c r="C2421" s="83" t="s">
        <v>8608</v>
      </c>
      <c r="D2421" s="83" t="s">
        <v>8606</v>
      </c>
    </row>
    <row r="2422" spans="1:4">
      <c r="A2422" s="83" t="s">
        <v>8604</v>
      </c>
      <c r="B2422" s="83" t="s">
        <v>5010</v>
      </c>
      <c r="C2422" s="83" t="s">
        <v>8609</v>
      </c>
      <c r="D2422" s="83" t="s">
        <v>8606</v>
      </c>
    </row>
    <row r="2423" spans="1:4">
      <c r="A2423" s="83" t="s">
        <v>8610</v>
      </c>
      <c r="B2423" s="83" t="s">
        <v>5017</v>
      </c>
      <c r="C2423" s="83" t="s">
        <v>8611</v>
      </c>
      <c r="D2423" s="83" t="s">
        <v>8612</v>
      </c>
    </row>
    <row r="2424" spans="1:4">
      <c r="A2424" s="83" t="s">
        <v>8610</v>
      </c>
      <c r="B2424" s="83" t="s">
        <v>5012</v>
      </c>
      <c r="C2424" s="83" t="s">
        <v>8613</v>
      </c>
      <c r="D2424" s="83" t="s">
        <v>8612</v>
      </c>
    </row>
    <row r="2425" spans="1:4">
      <c r="A2425" s="83" t="s">
        <v>8610</v>
      </c>
      <c r="B2425" s="83" t="s">
        <v>5015</v>
      </c>
      <c r="C2425" s="83" t="s">
        <v>8614</v>
      </c>
      <c r="D2425" s="83" t="s">
        <v>8612</v>
      </c>
    </row>
    <row r="2426" spans="1:4">
      <c r="A2426" s="83" t="s">
        <v>8610</v>
      </c>
      <c r="B2426" s="83" t="s">
        <v>5010</v>
      </c>
      <c r="C2426" s="83" t="s">
        <v>8615</v>
      </c>
      <c r="D2426" s="83" t="s">
        <v>8612</v>
      </c>
    </row>
    <row r="2427" spans="1:4">
      <c r="A2427" s="83" t="s">
        <v>8616</v>
      </c>
      <c r="B2427" s="83" t="s">
        <v>5017</v>
      </c>
      <c r="C2427" s="83" t="s">
        <v>8617</v>
      </c>
      <c r="D2427" s="83" t="s">
        <v>8618</v>
      </c>
    </row>
    <row r="2428" spans="1:4">
      <c r="A2428" s="83" t="s">
        <v>8616</v>
      </c>
      <c r="B2428" s="83" t="s">
        <v>5012</v>
      </c>
      <c r="C2428" s="83" t="s">
        <v>8619</v>
      </c>
      <c r="D2428" s="83" t="s">
        <v>8618</v>
      </c>
    </row>
    <row r="2429" spans="1:4">
      <c r="A2429" s="83" t="s">
        <v>8616</v>
      </c>
      <c r="B2429" s="83" t="s">
        <v>5015</v>
      </c>
      <c r="C2429" s="83" t="s">
        <v>8620</v>
      </c>
      <c r="D2429" s="83" t="s">
        <v>8618</v>
      </c>
    </row>
    <row r="2430" spans="1:4">
      <c r="A2430" s="83" t="s">
        <v>8616</v>
      </c>
      <c r="B2430" s="83" t="s">
        <v>5010</v>
      </c>
      <c r="C2430" s="83" t="s">
        <v>8621</v>
      </c>
      <c r="D2430" s="83" t="s">
        <v>8618</v>
      </c>
    </row>
    <row r="2431" spans="1:4">
      <c r="A2431" s="83" t="s">
        <v>8622</v>
      </c>
      <c r="B2431" s="83" t="s">
        <v>5017</v>
      </c>
      <c r="C2431" s="83" t="s">
        <v>8623</v>
      </c>
      <c r="D2431" s="83" t="s">
        <v>8624</v>
      </c>
    </row>
    <row r="2432" spans="1:4">
      <c r="A2432" s="83" t="s">
        <v>8622</v>
      </c>
      <c r="B2432" s="83" t="s">
        <v>5012</v>
      </c>
      <c r="C2432" s="83" t="s">
        <v>8625</v>
      </c>
      <c r="D2432" s="83" t="s">
        <v>8624</v>
      </c>
    </row>
    <row r="2433" spans="1:4">
      <c r="A2433" s="83" t="s">
        <v>8622</v>
      </c>
      <c r="B2433" s="83" t="s">
        <v>5015</v>
      </c>
      <c r="C2433" s="83" t="s">
        <v>8626</v>
      </c>
      <c r="D2433" s="83" t="s">
        <v>8624</v>
      </c>
    </row>
    <row r="2434" spans="1:4">
      <c r="A2434" s="83" t="s">
        <v>8622</v>
      </c>
      <c r="B2434" s="83" t="s">
        <v>5010</v>
      </c>
      <c r="C2434" s="83" t="s">
        <v>8627</v>
      </c>
      <c r="D2434" s="83" t="s">
        <v>8624</v>
      </c>
    </row>
    <row r="2435" spans="1:4">
      <c r="A2435" s="83" t="s">
        <v>8628</v>
      </c>
      <c r="B2435" s="83" t="s">
        <v>5017</v>
      </c>
      <c r="C2435" s="83" t="s">
        <v>8629</v>
      </c>
      <c r="D2435" s="83" t="s">
        <v>8630</v>
      </c>
    </row>
    <row r="2436" spans="1:4">
      <c r="A2436" s="83" t="s">
        <v>8628</v>
      </c>
      <c r="B2436" s="83" t="s">
        <v>5012</v>
      </c>
      <c r="C2436" s="83" t="s">
        <v>8631</v>
      </c>
      <c r="D2436" s="83" t="s">
        <v>8630</v>
      </c>
    </row>
    <row r="2437" spans="1:4">
      <c r="A2437" s="83" t="s">
        <v>8628</v>
      </c>
      <c r="B2437" s="83" t="s">
        <v>5015</v>
      </c>
      <c r="C2437" s="83" t="s">
        <v>8632</v>
      </c>
      <c r="D2437" s="83" t="s">
        <v>8630</v>
      </c>
    </row>
    <row r="2438" spans="1:4">
      <c r="A2438" s="83" t="s">
        <v>8628</v>
      </c>
      <c r="B2438" s="83" t="s">
        <v>5010</v>
      </c>
      <c r="C2438" s="83" t="s">
        <v>8633</v>
      </c>
      <c r="D2438" s="83" t="s">
        <v>8630</v>
      </c>
    </row>
    <row r="2439" spans="1:4">
      <c r="A2439" s="83" t="s">
        <v>8634</v>
      </c>
      <c r="B2439" s="83" t="s">
        <v>5017</v>
      </c>
      <c r="C2439" s="83" t="s">
        <v>8635</v>
      </c>
      <c r="D2439" s="83" t="s">
        <v>8636</v>
      </c>
    </row>
    <row r="2440" spans="1:4">
      <c r="A2440" s="83" t="s">
        <v>8634</v>
      </c>
      <c r="B2440" s="83" t="s">
        <v>5012</v>
      </c>
      <c r="C2440" s="83" t="s">
        <v>8637</v>
      </c>
      <c r="D2440" s="83" t="s">
        <v>8636</v>
      </c>
    </row>
    <row r="2441" spans="1:4">
      <c r="A2441" s="83" t="s">
        <v>8634</v>
      </c>
      <c r="B2441" s="83" t="s">
        <v>5015</v>
      </c>
      <c r="C2441" s="83" t="s">
        <v>8638</v>
      </c>
      <c r="D2441" s="83" t="s">
        <v>8636</v>
      </c>
    </row>
    <row r="2442" spans="1:4">
      <c r="A2442" s="83" t="s">
        <v>8634</v>
      </c>
      <c r="B2442" s="83" t="s">
        <v>5010</v>
      </c>
      <c r="C2442" s="83" t="s">
        <v>8639</v>
      </c>
      <c r="D2442" s="83" t="s">
        <v>8636</v>
      </c>
    </row>
    <row r="2443" spans="1:4">
      <c r="A2443" s="83" t="s">
        <v>8640</v>
      </c>
      <c r="B2443" s="83" t="s">
        <v>5017</v>
      </c>
      <c r="C2443" s="83" t="s">
        <v>8641</v>
      </c>
      <c r="D2443" s="83" t="s">
        <v>8642</v>
      </c>
    </row>
    <row r="2444" spans="1:4">
      <c r="A2444" s="83" t="s">
        <v>8640</v>
      </c>
      <c r="B2444" s="83" t="s">
        <v>5012</v>
      </c>
      <c r="C2444" s="83" t="s">
        <v>8643</v>
      </c>
      <c r="D2444" s="83" t="s">
        <v>8642</v>
      </c>
    </row>
    <row r="2445" spans="1:4">
      <c r="A2445" s="83" t="s">
        <v>8640</v>
      </c>
      <c r="B2445" s="83" t="s">
        <v>5015</v>
      </c>
      <c r="C2445" s="83" t="s">
        <v>8644</v>
      </c>
      <c r="D2445" s="83" t="s">
        <v>8642</v>
      </c>
    </row>
    <row r="2446" spans="1:4">
      <c r="A2446" s="83" t="s">
        <v>8640</v>
      </c>
      <c r="B2446" s="83" t="s">
        <v>5010</v>
      </c>
      <c r="C2446" s="83" t="s">
        <v>8645</v>
      </c>
      <c r="D2446" s="83" t="s">
        <v>8642</v>
      </c>
    </row>
    <row r="2447" spans="1:4">
      <c r="A2447" s="83" t="s">
        <v>8646</v>
      </c>
      <c r="B2447" s="83" t="s">
        <v>5017</v>
      </c>
      <c r="C2447" s="83" t="s">
        <v>8647</v>
      </c>
      <c r="D2447" s="83" t="s">
        <v>8648</v>
      </c>
    </row>
    <row r="2448" spans="1:4">
      <c r="A2448" s="83" t="s">
        <v>8646</v>
      </c>
      <c r="B2448" s="83" t="s">
        <v>5012</v>
      </c>
      <c r="C2448" s="83" t="s">
        <v>8649</v>
      </c>
      <c r="D2448" s="83" t="s">
        <v>8648</v>
      </c>
    </row>
    <row r="2449" spans="1:4">
      <c r="A2449" s="83" t="s">
        <v>8646</v>
      </c>
      <c r="B2449" s="83" t="s">
        <v>5015</v>
      </c>
      <c r="C2449" s="83" t="s">
        <v>8650</v>
      </c>
      <c r="D2449" s="83" t="s">
        <v>8648</v>
      </c>
    </row>
    <row r="2450" spans="1:4">
      <c r="A2450" s="83" t="s">
        <v>8646</v>
      </c>
      <c r="B2450" s="83" t="s">
        <v>5010</v>
      </c>
      <c r="C2450" s="83" t="s">
        <v>8651</v>
      </c>
      <c r="D2450" s="83" t="s">
        <v>8648</v>
      </c>
    </row>
    <row r="2451" spans="1:4">
      <c r="A2451" s="83" t="s">
        <v>8652</v>
      </c>
      <c r="B2451" s="83" t="s">
        <v>5017</v>
      </c>
      <c r="C2451" s="83" t="s">
        <v>8653</v>
      </c>
      <c r="D2451" s="83" t="s">
        <v>8654</v>
      </c>
    </row>
    <row r="2452" spans="1:4">
      <c r="A2452" s="83" t="s">
        <v>8652</v>
      </c>
      <c r="B2452" s="83" t="s">
        <v>5012</v>
      </c>
      <c r="C2452" s="83" t="s">
        <v>8655</v>
      </c>
      <c r="D2452" s="83" t="s">
        <v>8654</v>
      </c>
    </row>
    <row r="2453" spans="1:4">
      <c r="A2453" s="83" t="s">
        <v>8652</v>
      </c>
      <c r="B2453" s="83" t="s">
        <v>5015</v>
      </c>
      <c r="C2453" s="83" t="s">
        <v>8656</v>
      </c>
      <c r="D2453" s="83" t="s">
        <v>8654</v>
      </c>
    </row>
    <row r="2454" spans="1:4">
      <c r="A2454" s="83" t="s">
        <v>8652</v>
      </c>
      <c r="B2454" s="83" t="s">
        <v>5010</v>
      </c>
      <c r="C2454" s="83" t="s">
        <v>8657</v>
      </c>
      <c r="D2454" s="83" t="s">
        <v>8654</v>
      </c>
    </row>
    <row r="2455" spans="1:4">
      <c r="A2455" s="83" t="s">
        <v>8658</v>
      </c>
      <c r="B2455" s="83" t="s">
        <v>5017</v>
      </c>
      <c r="C2455" s="83" t="s">
        <v>8659</v>
      </c>
      <c r="D2455" s="83" t="s">
        <v>8660</v>
      </c>
    </row>
    <row r="2456" spans="1:4">
      <c r="A2456" s="83" t="s">
        <v>8658</v>
      </c>
      <c r="B2456" s="83" t="s">
        <v>5012</v>
      </c>
      <c r="C2456" s="83" t="s">
        <v>8661</v>
      </c>
      <c r="D2456" s="83" t="s">
        <v>8660</v>
      </c>
    </row>
    <row r="2457" spans="1:4">
      <c r="A2457" s="83" t="s">
        <v>8658</v>
      </c>
      <c r="B2457" s="83" t="s">
        <v>5015</v>
      </c>
      <c r="C2457" s="83" t="s">
        <v>8662</v>
      </c>
      <c r="D2457" s="83" t="s">
        <v>8660</v>
      </c>
    </row>
    <row r="2458" spans="1:4">
      <c r="A2458" s="83" t="s">
        <v>8658</v>
      </c>
      <c r="B2458" s="83" t="s">
        <v>5010</v>
      </c>
      <c r="C2458" s="83" t="s">
        <v>8663</v>
      </c>
      <c r="D2458" s="83" t="s">
        <v>8660</v>
      </c>
    </row>
    <row r="2459" spans="1:4">
      <c r="A2459" s="83" t="s">
        <v>8664</v>
      </c>
      <c r="B2459" s="83" t="s">
        <v>5017</v>
      </c>
      <c r="C2459" s="83" t="s">
        <v>8665</v>
      </c>
      <c r="D2459" s="83" t="s">
        <v>8666</v>
      </c>
    </row>
    <row r="2460" spans="1:4">
      <c r="A2460" s="83" t="s">
        <v>8664</v>
      </c>
      <c r="B2460" s="83" t="s">
        <v>5012</v>
      </c>
      <c r="C2460" s="83" t="s">
        <v>8667</v>
      </c>
      <c r="D2460" s="83" t="s">
        <v>8666</v>
      </c>
    </row>
    <row r="2461" spans="1:4">
      <c r="A2461" s="83" t="s">
        <v>8664</v>
      </c>
      <c r="B2461" s="83" t="s">
        <v>5015</v>
      </c>
      <c r="C2461" s="83" t="s">
        <v>8668</v>
      </c>
      <c r="D2461" s="83" t="s">
        <v>8666</v>
      </c>
    </row>
    <row r="2462" spans="1:4">
      <c r="A2462" s="83" t="s">
        <v>8664</v>
      </c>
      <c r="B2462" s="83" t="s">
        <v>5010</v>
      </c>
      <c r="C2462" s="83" t="s">
        <v>8669</v>
      </c>
      <c r="D2462" s="83" t="s">
        <v>8666</v>
      </c>
    </row>
    <row r="2463" spans="1:4">
      <c r="A2463" s="83" t="s">
        <v>8670</v>
      </c>
      <c r="B2463" s="83" t="s">
        <v>5017</v>
      </c>
      <c r="C2463" s="83" t="s">
        <v>8671</v>
      </c>
      <c r="D2463" s="83" t="s">
        <v>8672</v>
      </c>
    </row>
    <row r="2464" spans="1:4">
      <c r="A2464" s="83" t="s">
        <v>8670</v>
      </c>
      <c r="B2464" s="83" t="s">
        <v>5012</v>
      </c>
      <c r="C2464" s="83" t="s">
        <v>8673</v>
      </c>
      <c r="D2464" s="83" t="s">
        <v>8672</v>
      </c>
    </row>
    <row r="2465" spans="1:4">
      <c r="A2465" s="83" t="s">
        <v>8670</v>
      </c>
      <c r="B2465" s="83" t="s">
        <v>5015</v>
      </c>
      <c r="C2465" s="83" t="s">
        <v>8674</v>
      </c>
      <c r="D2465" s="83" t="s">
        <v>8672</v>
      </c>
    </row>
    <row r="2466" spans="1:4">
      <c r="A2466" s="83" t="s">
        <v>8670</v>
      </c>
      <c r="B2466" s="83" t="s">
        <v>5010</v>
      </c>
      <c r="C2466" s="83" t="s">
        <v>8675</v>
      </c>
      <c r="D2466" s="83" t="s">
        <v>8672</v>
      </c>
    </row>
    <row r="2467" spans="1:4">
      <c r="A2467" s="83" t="s">
        <v>8676</v>
      </c>
      <c r="B2467" s="83" t="s">
        <v>5017</v>
      </c>
      <c r="C2467" s="83" t="s">
        <v>8677</v>
      </c>
      <c r="D2467" s="83" t="s">
        <v>8678</v>
      </c>
    </row>
    <row r="2468" spans="1:4">
      <c r="A2468" s="83" t="s">
        <v>8676</v>
      </c>
      <c r="B2468" s="83" t="s">
        <v>5012</v>
      </c>
      <c r="C2468" s="83" t="s">
        <v>8679</v>
      </c>
      <c r="D2468" s="83" t="s">
        <v>8678</v>
      </c>
    </row>
    <row r="2469" spans="1:4">
      <c r="A2469" s="83" t="s">
        <v>8676</v>
      </c>
      <c r="B2469" s="83" t="s">
        <v>5015</v>
      </c>
      <c r="C2469" s="83" t="s">
        <v>8680</v>
      </c>
      <c r="D2469" s="83" t="s">
        <v>8678</v>
      </c>
    </row>
    <row r="2470" spans="1:4">
      <c r="A2470" s="83" t="s">
        <v>8676</v>
      </c>
      <c r="B2470" s="83" t="s">
        <v>5010</v>
      </c>
      <c r="C2470" s="83" t="s">
        <v>8681</v>
      </c>
      <c r="D2470" s="83" t="s">
        <v>8678</v>
      </c>
    </row>
    <row r="2471" spans="1:4">
      <c r="A2471" s="83" t="s">
        <v>8682</v>
      </c>
      <c r="B2471" s="83" t="s">
        <v>5017</v>
      </c>
      <c r="C2471" s="83" t="s">
        <v>8683</v>
      </c>
      <c r="D2471" s="83" t="s">
        <v>8684</v>
      </c>
    </row>
    <row r="2472" spans="1:4">
      <c r="A2472" s="83" t="s">
        <v>8682</v>
      </c>
      <c r="B2472" s="83" t="s">
        <v>5012</v>
      </c>
      <c r="C2472" s="83" t="s">
        <v>8685</v>
      </c>
      <c r="D2472" s="83" t="s">
        <v>8684</v>
      </c>
    </row>
    <row r="2473" spans="1:4">
      <c r="A2473" s="83" t="s">
        <v>8682</v>
      </c>
      <c r="B2473" s="83" t="s">
        <v>5015</v>
      </c>
      <c r="C2473" s="83" t="s">
        <v>8686</v>
      </c>
      <c r="D2473" s="83" t="s">
        <v>8684</v>
      </c>
    </row>
    <row r="2474" spans="1:4">
      <c r="A2474" s="83" t="s">
        <v>8682</v>
      </c>
      <c r="B2474" s="83" t="s">
        <v>5010</v>
      </c>
      <c r="C2474" s="83" t="s">
        <v>8687</v>
      </c>
      <c r="D2474" s="83" t="s">
        <v>8684</v>
      </c>
    </row>
    <row r="2475" spans="1:4">
      <c r="A2475" s="83" t="s">
        <v>8688</v>
      </c>
      <c r="B2475" s="83" t="s">
        <v>5017</v>
      </c>
      <c r="C2475" s="83" t="s">
        <v>8689</v>
      </c>
      <c r="D2475" s="83" t="s">
        <v>8690</v>
      </c>
    </row>
    <row r="2476" spans="1:4">
      <c r="A2476" s="83" t="s">
        <v>8688</v>
      </c>
      <c r="B2476" s="83" t="s">
        <v>5012</v>
      </c>
      <c r="C2476" s="83" t="s">
        <v>8691</v>
      </c>
      <c r="D2476" s="83" t="s">
        <v>8690</v>
      </c>
    </row>
    <row r="2477" spans="1:4">
      <c r="A2477" s="83" t="s">
        <v>8688</v>
      </c>
      <c r="B2477" s="83" t="s">
        <v>5015</v>
      </c>
      <c r="C2477" s="83" t="s">
        <v>8692</v>
      </c>
      <c r="D2477" s="83" t="s">
        <v>8690</v>
      </c>
    </row>
    <row r="2478" spans="1:4">
      <c r="A2478" s="83" t="s">
        <v>8688</v>
      </c>
      <c r="B2478" s="83" t="s">
        <v>5010</v>
      </c>
      <c r="C2478" s="83" t="s">
        <v>8693</v>
      </c>
      <c r="D2478" s="83" t="s">
        <v>8690</v>
      </c>
    </row>
    <row r="2479" spans="1:4">
      <c r="A2479" s="83" t="s">
        <v>8694</v>
      </c>
      <c r="B2479" s="83" t="s">
        <v>5017</v>
      </c>
      <c r="C2479" s="83" t="s">
        <v>8695</v>
      </c>
      <c r="D2479" s="83" t="s">
        <v>8696</v>
      </c>
    </row>
    <row r="2480" spans="1:4">
      <c r="A2480" s="83" t="s">
        <v>8694</v>
      </c>
      <c r="B2480" s="83" t="s">
        <v>5012</v>
      </c>
      <c r="C2480" s="83" t="s">
        <v>8697</v>
      </c>
      <c r="D2480" s="83" t="s">
        <v>8696</v>
      </c>
    </row>
    <row r="2481" spans="1:4">
      <c r="A2481" s="83" t="s">
        <v>8694</v>
      </c>
      <c r="B2481" s="83" t="s">
        <v>5015</v>
      </c>
      <c r="C2481" s="83" t="s">
        <v>8698</v>
      </c>
      <c r="D2481" s="83" t="s">
        <v>8696</v>
      </c>
    </row>
    <row r="2482" spans="1:4">
      <c r="A2482" s="83" t="s">
        <v>8694</v>
      </c>
      <c r="B2482" s="83" t="s">
        <v>5010</v>
      </c>
      <c r="C2482" s="83" t="s">
        <v>8699</v>
      </c>
      <c r="D2482" s="83" t="s">
        <v>8696</v>
      </c>
    </row>
    <row r="2483" spans="1:4">
      <c r="A2483" s="83" t="s">
        <v>8700</v>
      </c>
      <c r="B2483" s="83" t="s">
        <v>5017</v>
      </c>
      <c r="C2483" s="83" t="s">
        <v>8701</v>
      </c>
      <c r="D2483" s="83" t="s">
        <v>8702</v>
      </c>
    </row>
    <row r="2484" spans="1:4">
      <c r="A2484" s="83" t="s">
        <v>8700</v>
      </c>
      <c r="B2484" s="83" t="s">
        <v>5012</v>
      </c>
      <c r="C2484" s="83" t="s">
        <v>8703</v>
      </c>
      <c r="D2484" s="83" t="s">
        <v>8702</v>
      </c>
    </row>
    <row r="2485" spans="1:4">
      <c r="A2485" s="83" t="s">
        <v>8700</v>
      </c>
      <c r="B2485" s="83" t="s">
        <v>5015</v>
      </c>
      <c r="C2485" s="83" t="s">
        <v>8704</v>
      </c>
      <c r="D2485" s="83" t="s">
        <v>8702</v>
      </c>
    </row>
    <row r="2486" spans="1:4">
      <c r="A2486" s="83" t="s">
        <v>8700</v>
      </c>
      <c r="B2486" s="83" t="s">
        <v>5010</v>
      </c>
      <c r="C2486" s="83" t="s">
        <v>8705</v>
      </c>
      <c r="D2486" s="83" t="s">
        <v>8702</v>
      </c>
    </row>
    <row r="2487" spans="1:4">
      <c r="A2487" s="83" t="s">
        <v>8706</v>
      </c>
      <c r="B2487" s="83" t="s">
        <v>5017</v>
      </c>
      <c r="C2487" s="83" t="s">
        <v>8707</v>
      </c>
      <c r="D2487" s="83" t="s">
        <v>8708</v>
      </c>
    </row>
    <row r="2488" spans="1:4">
      <c r="A2488" s="83" t="s">
        <v>8706</v>
      </c>
      <c r="B2488" s="83" t="s">
        <v>5012</v>
      </c>
      <c r="C2488" s="83" t="s">
        <v>8709</v>
      </c>
      <c r="D2488" s="83" t="s">
        <v>8708</v>
      </c>
    </row>
    <row r="2489" spans="1:4">
      <c r="A2489" s="83" t="s">
        <v>8706</v>
      </c>
      <c r="B2489" s="83" t="s">
        <v>5015</v>
      </c>
      <c r="C2489" s="83" t="s">
        <v>8710</v>
      </c>
      <c r="D2489" s="83" t="s">
        <v>8708</v>
      </c>
    </row>
    <row r="2490" spans="1:4">
      <c r="A2490" s="83" t="s">
        <v>8706</v>
      </c>
      <c r="B2490" s="83" t="s">
        <v>5010</v>
      </c>
      <c r="C2490" s="83" t="s">
        <v>8711</v>
      </c>
      <c r="D2490" s="83" t="s">
        <v>8708</v>
      </c>
    </row>
    <row r="2491" spans="1:4">
      <c r="A2491" s="83" t="s">
        <v>8712</v>
      </c>
      <c r="B2491" s="83" t="s">
        <v>5017</v>
      </c>
      <c r="C2491" s="83" t="s">
        <v>8713</v>
      </c>
      <c r="D2491" s="83" t="s">
        <v>8714</v>
      </c>
    </row>
    <row r="2492" spans="1:4">
      <c r="A2492" s="83" t="s">
        <v>8712</v>
      </c>
      <c r="B2492" s="83" t="s">
        <v>5012</v>
      </c>
      <c r="C2492" s="83" t="s">
        <v>8715</v>
      </c>
      <c r="D2492" s="83" t="s">
        <v>8714</v>
      </c>
    </row>
    <row r="2493" spans="1:4">
      <c r="A2493" s="83" t="s">
        <v>8712</v>
      </c>
      <c r="B2493" s="83" t="s">
        <v>5015</v>
      </c>
      <c r="C2493" s="83" t="s">
        <v>8716</v>
      </c>
      <c r="D2493" s="83" t="s">
        <v>8714</v>
      </c>
    </row>
    <row r="2494" spans="1:4">
      <c r="A2494" s="83" t="s">
        <v>8712</v>
      </c>
      <c r="B2494" s="83" t="s">
        <v>5010</v>
      </c>
      <c r="C2494" s="83" t="s">
        <v>8717</v>
      </c>
      <c r="D2494" s="83" t="s">
        <v>8714</v>
      </c>
    </row>
    <row r="2495" spans="1:4">
      <c r="A2495" s="83" t="s">
        <v>8718</v>
      </c>
      <c r="B2495" s="83" t="s">
        <v>5017</v>
      </c>
      <c r="C2495" s="83" t="s">
        <v>8719</v>
      </c>
      <c r="D2495" s="83" t="s">
        <v>8720</v>
      </c>
    </row>
    <row r="2496" spans="1:4">
      <c r="A2496" s="83" t="s">
        <v>8718</v>
      </c>
      <c r="B2496" s="83" t="s">
        <v>5012</v>
      </c>
      <c r="C2496" s="83" t="s">
        <v>8721</v>
      </c>
      <c r="D2496" s="83" t="s">
        <v>8720</v>
      </c>
    </row>
    <row r="2497" spans="1:4">
      <c r="A2497" s="83" t="s">
        <v>8718</v>
      </c>
      <c r="B2497" s="83" t="s">
        <v>5015</v>
      </c>
      <c r="C2497" s="83" t="s">
        <v>8722</v>
      </c>
      <c r="D2497" s="83" t="s">
        <v>8720</v>
      </c>
    </row>
    <row r="2498" spans="1:4">
      <c r="A2498" s="83" t="s">
        <v>8718</v>
      </c>
      <c r="B2498" s="83" t="s">
        <v>5010</v>
      </c>
      <c r="C2498" s="83" t="s">
        <v>8723</v>
      </c>
      <c r="D2498" s="83" t="s">
        <v>8720</v>
      </c>
    </row>
    <row r="2499" spans="1:4">
      <c r="A2499" s="83" t="s">
        <v>8724</v>
      </c>
      <c r="B2499" s="83" t="s">
        <v>5017</v>
      </c>
      <c r="C2499" s="83" t="s">
        <v>8725</v>
      </c>
      <c r="D2499" s="83" t="s">
        <v>8726</v>
      </c>
    </row>
    <row r="2500" spans="1:4">
      <c r="A2500" s="83" t="s">
        <v>8724</v>
      </c>
      <c r="B2500" s="83" t="s">
        <v>5012</v>
      </c>
      <c r="C2500" s="83" t="s">
        <v>8727</v>
      </c>
      <c r="D2500" s="83" t="s">
        <v>8726</v>
      </c>
    </row>
    <row r="2501" spans="1:4">
      <c r="A2501" s="83" t="s">
        <v>8724</v>
      </c>
      <c r="B2501" s="83" t="s">
        <v>5015</v>
      </c>
      <c r="C2501" s="83" t="s">
        <v>8728</v>
      </c>
      <c r="D2501" s="83" t="s">
        <v>8726</v>
      </c>
    </row>
    <row r="2502" spans="1:4">
      <c r="A2502" s="83" t="s">
        <v>8724</v>
      </c>
      <c r="B2502" s="83" t="s">
        <v>5010</v>
      </c>
      <c r="C2502" s="83" t="s">
        <v>8729</v>
      </c>
      <c r="D2502" s="83" t="s">
        <v>8726</v>
      </c>
    </row>
    <row r="2503" spans="1:4">
      <c r="A2503" s="83" t="s">
        <v>8730</v>
      </c>
      <c r="B2503" s="83" t="s">
        <v>5017</v>
      </c>
      <c r="C2503" s="83" t="s">
        <v>8731</v>
      </c>
      <c r="D2503" s="83" t="s">
        <v>8732</v>
      </c>
    </row>
    <row r="2504" spans="1:4">
      <c r="A2504" s="83" t="s">
        <v>8730</v>
      </c>
      <c r="B2504" s="83" t="s">
        <v>5012</v>
      </c>
      <c r="C2504" s="83" t="s">
        <v>8733</v>
      </c>
      <c r="D2504" s="83" t="s">
        <v>8732</v>
      </c>
    </row>
    <row r="2505" spans="1:4">
      <c r="A2505" s="83" t="s">
        <v>8730</v>
      </c>
      <c r="B2505" s="83" t="s">
        <v>5015</v>
      </c>
      <c r="C2505" s="83" t="s">
        <v>8734</v>
      </c>
      <c r="D2505" s="83" t="s">
        <v>8732</v>
      </c>
    </row>
    <row r="2506" spans="1:4">
      <c r="A2506" s="83" t="s">
        <v>8730</v>
      </c>
      <c r="B2506" s="83" t="s">
        <v>5010</v>
      </c>
      <c r="C2506" s="83" t="s">
        <v>8735</v>
      </c>
      <c r="D2506" s="83" t="s">
        <v>8732</v>
      </c>
    </row>
    <row r="2507" spans="1:4">
      <c r="A2507" s="83" t="s">
        <v>8736</v>
      </c>
      <c r="B2507" s="83" t="s">
        <v>5017</v>
      </c>
      <c r="C2507" s="83" t="s">
        <v>8737</v>
      </c>
      <c r="D2507" s="83" t="s">
        <v>8738</v>
      </c>
    </row>
    <row r="2508" spans="1:4">
      <c r="A2508" s="83" t="s">
        <v>8736</v>
      </c>
      <c r="B2508" s="83" t="s">
        <v>5012</v>
      </c>
      <c r="C2508" s="83" t="s">
        <v>8739</v>
      </c>
      <c r="D2508" s="83" t="s">
        <v>8738</v>
      </c>
    </row>
    <row r="2509" spans="1:4">
      <c r="A2509" s="83" t="s">
        <v>8736</v>
      </c>
      <c r="B2509" s="83" t="s">
        <v>5015</v>
      </c>
      <c r="C2509" s="83" t="s">
        <v>8740</v>
      </c>
      <c r="D2509" s="83" t="s">
        <v>8738</v>
      </c>
    </row>
    <row r="2510" spans="1:4">
      <c r="A2510" s="83" t="s">
        <v>8736</v>
      </c>
      <c r="B2510" s="83" t="s">
        <v>5010</v>
      </c>
      <c r="C2510" s="83" t="s">
        <v>8741</v>
      </c>
      <c r="D2510" s="83" t="s">
        <v>8738</v>
      </c>
    </row>
    <row r="2511" spans="1:4">
      <c r="A2511" s="83" t="s">
        <v>8742</v>
      </c>
      <c r="B2511" s="83" t="s">
        <v>5017</v>
      </c>
      <c r="C2511" s="83" t="s">
        <v>8743</v>
      </c>
      <c r="D2511" s="83" t="s">
        <v>8744</v>
      </c>
    </row>
    <row r="2512" spans="1:4">
      <c r="A2512" s="83" t="s">
        <v>8742</v>
      </c>
      <c r="B2512" s="83" t="s">
        <v>5012</v>
      </c>
      <c r="C2512" s="83" t="s">
        <v>8745</v>
      </c>
      <c r="D2512" s="83" t="s">
        <v>8744</v>
      </c>
    </row>
    <row r="2513" spans="1:4">
      <c r="A2513" s="83" t="s">
        <v>8742</v>
      </c>
      <c r="B2513" s="83" t="s">
        <v>5015</v>
      </c>
      <c r="C2513" s="83" t="s">
        <v>8746</v>
      </c>
      <c r="D2513" s="83" t="s">
        <v>8744</v>
      </c>
    </row>
    <row r="2514" spans="1:4">
      <c r="A2514" s="83" t="s">
        <v>8742</v>
      </c>
      <c r="B2514" s="83" t="s">
        <v>5010</v>
      </c>
      <c r="C2514" s="83" t="s">
        <v>8747</v>
      </c>
      <c r="D2514" s="83" t="s">
        <v>8744</v>
      </c>
    </row>
    <row r="2515" spans="1:4">
      <c r="A2515" s="83" t="s">
        <v>8748</v>
      </c>
      <c r="B2515" s="83" t="s">
        <v>5017</v>
      </c>
      <c r="C2515" s="83" t="s">
        <v>8749</v>
      </c>
      <c r="D2515" s="83" t="s">
        <v>8750</v>
      </c>
    </row>
    <row r="2516" spans="1:4">
      <c r="A2516" s="83" t="s">
        <v>8748</v>
      </c>
      <c r="B2516" s="83" t="s">
        <v>5012</v>
      </c>
      <c r="C2516" s="83" t="s">
        <v>8751</v>
      </c>
      <c r="D2516" s="83" t="s">
        <v>8750</v>
      </c>
    </row>
    <row r="2517" spans="1:4">
      <c r="A2517" s="83" t="s">
        <v>8748</v>
      </c>
      <c r="B2517" s="83" t="s">
        <v>5015</v>
      </c>
      <c r="C2517" s="83" t="s">
        <v>8752</v>
      </c>
      <c r="D2517" s="83" t="s">
        <v>8750</v>
      </c>
    </row>
    <row r="2518" spans="1:4">
      <c r="A2518" s="83" t="s">
        <v>8748</v>
      </c>
      <c r="B2518" s="83" t="s">
        <v>5010</v>
      </c>
      <c r="C2518" s="83" t="s">
        <v>8753</v>
      </c>
      <c r="D2518" s="83" t="s">
        <v>8750</v>
      </c>
    </row>
    <row r="2519" spans="1:4">
      <c r="A2519" s="83" t="s">
        <v>8754</v>
      </c>
      <c r="B2519" s="83" t="s">
        <v>5017</v>
      </c>
      <c r="C2519" s="83" t="s">
        <v>8755</v>
      </c>
      <c r="D2519" s="83" t="s">
        <v>8756</v>
      </c>
    </row>
    <row r="2520" spans="1:4">
      <c r="A2520" s="83" t="s">
        <v>8754</v>
      </c>
      <c r="B2520" s="83" t="s">
        <v>5012</v>
      </c>
      <c r="C2520" s="83" t="s">
        <v>8757</v>
      </c>
      <c r="D2520" s="83" t="s">
        <v>8756</v>
      </c>
    </row>
    <row r="2521" spans="1:4">
      <c r="A2521" s="83" t="s">
        <v>8754</v>
      </c>
      <c r="B2521" s="83" t="s">
        <v>5015</v>
      </c>
      <c r="C2521" s="83" t="s">
        <v>8758</v>
      </c>
      <c r="D2521" s="83" t="s">
        <v>8756</v>
      </c>
    </row>
    <row r="2522" spans="1:4">
      <c r="A2522" s="83" t="s">
        <v>8754</v>
      </c>
      <c r="B2522" s="83" t="s">
        <v>5010</v>
      </c>
      <c r="C2522" s="83" t="s">
        <v>8759</v>
      </c>
      <c r="D2522" s="83" t="s">
        <v>8756</v>
      </c>
    </row>
    <row r="2523" spans="1:4">
      <c r="A2523" s="83" t="s">
        <v>8760</v>
      </c>
      <c r="B2523" s="83" t="s">
        <v>5017</v>
      </c>
      <c r="C2523" s="83" t="s">
        <v>8761</v>
      </c>
      <c r="D2523" s="83" t="s">
        <v>8762</v>
      </c>
    </row>
    <row r="2524" spans="1:4">
      <c r="A2524" s="83" t="s">
        <v>8760</v>
      </c>
      <c r="B2524" s="83" t="s">
        <v>5012</v>
      </c>
      <c r="C2524" s="83" t="s">
        <v>8763</v>
      </c>
      <c r="D2524" s="83" t="s">
        <v>8762</v>
      </c>
    </row>
    <row r="2525" spans="1:4">
      <c r="A2525" s="83" t="s">
        <v>8760</v>
      </c>
      <c r="B2525" s="83" t="s">
        <v>5015</v>
      </c>
      <c r="C2525" s="83" t="s">
        <v>8764</v>
      </c>
      <c r="D2525" s="83" t="s">
        <v>8762</v>
      </c>
    </row>
    <row r="2526" spans="1:4">
      <c r="A2526" s="83" t="s">
        <v>8760</v>
      </c>
      <c r="B2526" s="83" t="s">
        <v>5010</v>
      </c>
      <c r="C2526" s="83" t="s">
        <v>8765</v>
      </c>
      <c r="D2526" s="83" t="s">
        <v>8762</v>
      </c>
    </row>
    <row r="2527" spans="1:4">
      <c r="A2527" s="83" t="s">
        <v>8766</v>
      </c>
      <c r="B2527" s="83" t="s">
        <v>5017</v>
      </c>
      <c r="C2527" s="83" t="s">
        <v>8767</v>
      </c>
      <c r="D2527" s="83" t="s">
        <v>8768</v>
      </c>
    </row>
    <row r="2528" spans="1:4">
      <c r="A2528" s="83" t="s">
        <v>8766</v>
      </c>
      <c r="B2528" s="83" t="s">
        <v>5012</v>
      </c>
      <c r="C2528" s="83" t="s">
        <v>8769</v>
      </c>
      <c r="D2528" s="83" t="s">
        <v>8768</v>
      </c>
    </row>
    <row r="2529" spans="1:4">
      <c r="A2529" s="83" t="s">
        <v>8766</v>
      </c>
      <c r="B2529" s="83" t="s">
        <v>5015</v>
      </c>
      <c r="C2529" s="83" t="s">
        <v>8770</v>
      </c>
      <c r="D2529" s="83" t="s">
        <v>8768</v>
      </c>
    </row>
    <row r="2530" spans="1:4">
      <c r="A2530" s="83" t="s">
        <v>8766</v>
      </c>
      <c r="B2530" s="83" t="s">
        <v>5010</v>
      </c>
      <c r="C2530" s="83" t="s">
        <v>8771</v>
      </c>
      <c r="D2530" s="83" t="s">
        <v>8768</v>
      </c>
    </row>
    <row r="2531" spans="1:4">
      <c r="A2531" s="83" t="s">
        <v>8772</v>
      </c>
      <c r="B2531" s="83" t="s">
        <v>5017</v>
      </c>
      <c r="C2531" s="83" t="s">
        <v>8773</v>
      </c>
      <c r="D2531" s="83" t="s">
        <v>8774</v>
      </c>
    </row>
    <row r="2532" spans="1:4">
      <c r="A2532" s="83" t="s">
        <v>8772</v>
      </c>
      <c r="B2532" s="83" t="s">
        <v>5012</v>
      </c>
      <c r="C2532" s="83" t="s">
        <v>8775</v>
      </c>
      <c r="D2532" s="83" t="s">
        <v>8774</v>
      </c>
    </row>
    <row r="2533" spans="1:4">
      <c r="A2533" s="83" t="s">
        <v>8772</v>
      </c>
      <c r="B2533" s="83" t="s">
        <v>5015</v>
      </c>
      <c r="C2533" s="83" t="s">
        <v>8776</v>
      </c>
      <c r="D2533" s="83" t="s">
        <v>8774</v>
      </c>
    </row>
    <row r="2534" spans="1:4">
      <c r="A2534" s="83" t="s">
        <v>8772</v>
      </c>
      <c r="B2534" s="83" t="s">
        <v>5010</v>
      </c>
      <c r="C2534" s="83" t="s">
        <v>8777</v>
      </c>
      <c r="D2534" s="83" t="s">
        <v>8774</v>
      </c>
    </row>
    <row r="2535" spans="1:4">
      <c r="A2535" s="83" t="s">
        <v>8778</v>
      </c>
      <c r="B2535" s="83" t="s">
        <v>5017</v>
      </c>
      <c r="C2535" s="83" t="s">
        <v>8779</v>
      </c>
      <c r="D2535" s="83" t="s">
        <v>8780</v>
      </c>
    </row>
    <row r="2536" spans="1:4">
      <c r="A2536" s="83" t="s">
        <v>8778</v>
      </c>
      <c r="B2536" s="83" t="s">
        <v>5012</v>
      </c>
      <c r="C2536" s="83" t="s">
        <v>8781</v>
      </c>
      <c r="D2536" s="83" t="s">
        <v>8780</v>
      </c>
    </row>
    <row r="2537" spans="1:4">
      <c r="A2537" s="83" t="s">
        <v>8778</v>
      </c>
      <c r="B2537" s="83" t="s">
        <v>5015</v>
      </c>
      <c r="C2537" s="83" t="s">
        <v>8782</v>
      </c>
      <c r="D2537" s="83" t="s">
        <v>8780</v>
      </c>
    </row>
    <row r="2538" spans="1:4">
      <c r="A2538" s="83" t="s">
        <v>8778</v>
      </c>
      <c r="B2538" s="83" t="s">
        <v>5010</v>
      </c>
      <c r="C2538" s="83" t="s">
        <v>8783</v>
      </c>
      <c r="D2538" s="83" t="s">
        <v>8780</v>
      </c>
    </row>
    <row r="2539" spans="1:4">
      <c r="A2539" s="83" t="s">
        <v>8784</v>
      </c>
      <c r="B2539" s="83" t="s">
        <v>5017</v>
      </c>
      <c r="C2539" s="83" t="s">
        <v>8785</v>
      </c>
      <c r="D2539" s="83" t="s">
        <v>8786</v>
      </c>
    </row>
    <row r="2540" spans="1:4">
      <c r="A2540" s="83" t="s">
        <v>8784</v>
      </c>
      <c r="B2540" s="83" t="s">
        <v>5012</v>
      </c>
      <c r="C2540" s="83" t="s">
        <v>8787</v>
      </c>
      <c r="D2540" s="83" t="s">
        <v>8786</v>
      </c>
    </row>
    <row r="2541" spans="1:4">
      <c r="A2541" s="83" t="s">
        <v>8784</v>
      </c>
      <c r="B2541" s="83" t="s">
        <v>5015</v>
      </c>
      <c r="C2541" s="83" t="s">
        <v>8788</v>
      </c>
      <c r="D2541" s="83" t="s">
        <v>8786</v>
      </c>
    </row>
    <row r="2542" spans="1:4">
      <c r="A2542" s="83" t="s">
        <v>8784</v>
      </c>
      <c r="B2542" s="83" t="s">
        <v>5010</v>
      </c>
      <c r="C2542" s="83" t="s">
        <v>8789</v>
      </c>
      <c r="D2542" s="83" t="s">
        <v>8786</v>
      </c>
    </row>
    <row r="2543" spans="1:4">
      <c r="A2543" s="83" t="s">
        <v>8790</v>
      </c>
      <c r="B2543" s="83" t="s">
        <v>5017</v>
      </c>
      <c r="C2543" s="83" t="s">
        <v>8791</v>
      </c>
      <c r="D2543" s="83" t="s">
        <v>8792</v>
      </c>
    </row>
    <row r="2544" spans="1:4">
      <c r="A2544" s="83" t="s">
        <v>8790</v>
      </c>
      <c r="B2544" s="83" t="s">
        <v>5012</v>
      </c>
      <c r="C2544" s="83" t="s">
        <v>8793</v>
      </c>
      <c r="D2544" s="83" t="s">
        <v>8792</v>
      </c>
    </row>
    <row r="2545" spans="1:4">
      <c r="A2545" s="83" t="s">
        <v>8790</v>
      </c>
      <c r="B2545" s="83" t="s">
        <v>5015</v>
      </c>
      <c r="C2545" s="83" t="s">
        <v>8794</v>
      </c>
      <c r="D2545" s="83" t="s">
        <v>8792</v>
      </c>
    </row>
    <row r="2546" spans="1:4">
      <c r="A2546" s="83" t="s">
        <v>8790</v>
      </c>
      <c r="B2546" s="83" t="s">
        <v>5010</v>
      </c>
      <c r="C2546" s="83" t="s">
        <v>8795</v>
      </c>
      <c r="D2546" s="83" t="s">
        <v>8792</v>
      </c>
    </row>
    <row r="2547" spans="1:4">
      <c r="A2547" s="83" t="s">
        <v>8796</v>
      </c>
      <c r="B2547" s="83" t="s">
        <v>5017</v>
      </c>
      <c r="C2547" s="83" t="s">
        <v>8797</v>
      </c>
      <c r="D2547" s="83" t="s">
        <v>8798</v>
      </c>
    </row>
    <row r="2548" spans="1:4">
      <c r="A2548" s="83" t="s">
        <v>8796</v>
      </c>
      <c r="B2548" s="83" t="s">
        <v>5012</v>
      </c>
      <c r="C2548" s="83" t="s">
        <v>8799</v>
      </c>
      <c r="D2548" s="83" t="s">
        <v>8798</v>
      </c>
    </row>
    <row r="2549" spans="1:4">
      <c r="A2549" s="83" t="s">
        <v>8796</v>
      </c>
      <c r="B2549" s="83" t="s">
        <v>5015</v>
      </c>
      <c r="C2549" s="83" t="s">
        <v>8800</v>
      </c>
      <c r="D2549" s="83" t="s">
        <v>8798</v>
      </c>
    </row>
    <row r="2550" spans="1:4">
      <c r="A2550" s="83" t="s">
        <v>8796</v>
      </c>
      <c r="B2550" s="83" t="s">
        <v>5010</v>
      </c>
      <c r="C2550" s="83" t="s">
        <v>8801</v>
      </c>
      <c r="D2550" s="83" t="s">
        <v>8798</v>
      </c>
    </row>
    <row r="2551" spans="1:4">
      <c r="A2551" s="83" t="s">
        <v>8802</v>
      </c>
      <c r="B2551" s="83" t="s">
        <v>5017</v>
      </c>
      <c r="C2551" s="83" t="s">
        <v>8803</v>
      </c>
      <c r="D2551" s="83" t="s">
        <v>8804</v>
      </c>
    </row>
    <row r="2552" spans="1:4">
      <c r="A2552" s="83" t="s">
        <v>8802</v>
      </c>
      <c r="B2552" s="83" t="s">
        <v>5012</v>
      </c>
      <c r="C2552" s="83" t="s">
        <v>8805</v>
      </c>
      <c r="D2552" s="83" t="s">
        <v>8804</v>
      </c>
    </row>
    <row r="2553" spans="1:4">
      <c r="A2553" s="83" t="s">
        <v>8802</v>
      </c>
      <c r="B2553" s="83" t="s">
        <v>5015</v>
      </c>
      <c r="C2553" s="83" t="s">
        <v>8806</v>
      </c>
      <c r="D2553" s="83" t="s">
        <v>8804</v>
      </c>
    </row>
    <row r="2554" spans="1:4">
      <c r="A2554" s="83" t="s">
        <v>8802</v>
      </c>
      <c r="B2554" s="83" t="s">
        <v>5010</v>
      </c>
      <c r="C2554" s="83" t="s">
        <v>8807</v>
      </c>
      <c r="D2554" s="83" t="s">
        <v>8804</v>
      </c>
    </row>
    <row r="2555" spans="1:4">
      <c r="A2555" s="83" t="s">
        <v>8808</v>
      </c>
      <c r="B2555" s="83" t="s">
        <v>5017</v>
      </c>
      <c r="C2555" s="83" t="s">
        <v>8809</v>
      </c>
      <c r="D2555" s="83" t="s">
        <v>8810</v>
      </c>
    </row>
    <row r="2556" spans="1:4">
      <c r="A2556" s="83" t="s">
        <v>8808</v>
      </c>
      <c r="B2556" s="83" t="s">
        <v>5012</v>
      </c>
      <c r="C2556" s="83" t="s">
        <v>8811</v>
      </c>
      <c r="D2556" s="83" t="s">
        <v>8810</v>
      </c>
    </row>
    <row r="2557" spans="1:4">
      <c r="A2557" s="83" t="s">
        <v>8808</v>
      </c>
      <c r="B2557" s="83" t="s">
        <v>5015</v>
      </c>
      <c r="C2557" s="83" t="s">
        <v>8812</v>
      </c>
      <c r="D2557" s="83" t="s">
        <v>8810</v>
      </c>
    </row>
    <row r="2558" spans="1:4">
      <c r="A2558" s="83" t="s">
        <v>8808</v>
      </c>
      <c r="B2558" s="83" t="s">
        <v>5010</v>
      </c>
      <c r="C2558" s="83" t="s">
        <v>8813</v>
      </c>
      <c r="D2558" s="83" t="s">
        <v>8810</v>
      </c>
    </row>
    <row r="2559" spans="1:4">
      <c r="A2559" s="83" t="s">
        <v>8814</v>
      </c>
      <c r="B2559" s="83" t="s">
        <v>5017</v>
      </c>
      <c r="C2559" s="83" t="s">
        <v>8815</v>
      </c>
      <c r="D2559" s="83" t="s">
        <v>8816</v>
      </c>
    </row>
    <row r="2560" spans="1:4">
      <c r="A2560" s="83" t="s">
        <v>8814</v>
      </c>
      <c r="B2560" s="83" t="s">
        <v>5012</v>
      </c>
      <c r="C2560" s="83" t="s">
        <v>8817</v>
      </c>
      <c r="D2560" s="83" t="s">
        <v>8816</v>
      </c>
    </row>
    <row r="2561" spans="1:4">
      <c r="A2561" s="83" t="s">
        <v>8814</v>
      </c>
      <c r="B2561" s="83" t="s">
        <v>5015</v>
      </c>
      <c r="C2561" s="83" t="s">
        <v>8818</v>
      </c>
      <c r="D2561" s="83" t="s">
        <v>8816</v>
      </c>
    </row>
    <row r="2562" spans="1:4">
      <c r="A2562" s="83" t="s">
        <v>8814</v>
      </c>
      <c r="B2562" s="83" t="s">
        <v>5010</v>
      </c>
      <c r="C2562" s="83" t="s">
        <v>8819</v>
      </c>
      <c r="D2562" s="83" t="s">
        <v>8816</v>
      </c>
    </row>
    <row r="2563" spans="1:4">
      <c r="A2563" s="83" t="s">
        <v>8820</v>
      </c>
      <c r="B2563" s="83" t="s">
        <v>5017</v>
      </c>
      <c r="C2563" s="83" t="s">
        <v>8821</v>
      </c>
      <c r="D2563" s="83" t="s">
        <v>8822</v>
      </c>
    </row>
    <row r="2564" spans="1:4">
      <c r="A2564" s="83" t="s">
        <v>8820</v>
      </c>
      <c r="B2564" s="83" t="s">
        <v>5012</v>
      </c>
      <c r="C2564" s="83" t="s">
        <v>8823</v>
      </c>
      <c r="D2564" s="83" t="s">
        <v>8822</v>
      </c>
    </row>
    <row r="2565" spans="1:4">
      <c r="A2565" s="83" t="s">
        <v>8820</v>
      </c>
      <c r="B2565" s="83" t="s">
        <v>5015</v>
      </c>
      <c r="C2565" s="83" t="s">
        <v>8824</v>
      </c>
      <c r="D2565" s="83" t="s">
        <v>8822</v>
      </c>
    </row>
    <row r="2566" spans="1:4">
      <c r="A2566" s="83" t="s">
        <v>8820</v>
      </c>
      <c r="B2566" s="83" t="s">
        <v>5010</v>
      </c>
      <c r="C2566" s="83" t="s">
        <v>8825</v>
      </c>
      <c r="D2566" s="83" t="s">
        <v>8822</v>
      </c>
    </row>
    <row r="2567" spans="1:4">
      <c r="A2567" s="83" t="s">
        <v>8826</v>
      </c>
      <c r="B2567" s="83" t="s">
        <v>5017</v>
      </c>
      <c r="C2567" s="83" t="s">
        <v>8827</v>
      </c>
      <c r="D2567" s="83" t="s">
        <v>8828</v>
      </c>
    </row>
    <row r="2568" spans="1:4">
      <c r="A2568" s="83" t="s">
        <v>8826</v>
      </c>
      <c r="B2568" s="83" t="s">
        <v>5012</v>
      </c>
      <c r="C2568" s="83" t="s">
        <v>8829</v>
      </c>
      <c r="D2568" s="83" t="s">
        <v>8828</v>
      </c>
    </row>
    <row r="2569" spans="1:4">
      <c r="A2569" s="83" t="s">
        <v>8826</v>
      </c>
      <c r="B2569" s="83" t="s">
        <v>5015</v>
      </c>
      <c r="C2569" s="83" t="s">
        <v>8830</v>
      </c>
      <c r="D2569" s="83" t="s">
        <v>8828</v>
      </c>
    </row>
    <row r="2570" spans="1:4">
      <c r="A2570" s="83" t="s">
        <v>8826</v>
      </c>
      <c r="B2570" s="83" t="s">
        <v>5010</v>
      </c>
      <c r="C2570" s="83" t="s">
        <v>8831</v>
      </c>
      <c r="D2570" s="83" t="s">
        <v>8828</v>
      </c>
    </row>
    <row r="2571" spans="1:4">
      <c r="A2571" s="83" t="s">
        <v>8832</v>
      </c>
      <c r="B2571" s="83" t="s">
        <v>5017</v>
      </c>
      <c r="C2571" s="83" t="s">
        <v>8833</v>
      </c>
      <c r="D2571" s="83" t="s">
        <v>8834</v>
      </c>
    </row>
    <row r="2572" spans="1:4">
      <c r="A2572" s="83" t="s">
        <v>8832</v>
      </c>
      <c r="B2572" s="83" t="s">
        <v>5012</v>
      </c>
      <c r="C2572" s="83" t="s">
        <v>8835</v>
      </c>
      <c r="D2572" s="83" t="s">
        <v>8834</v>
      </c>
    </row>
    <row r="2573" spans="1:4">
      <c r="A2573" s="83" t="s">
        <v>8832</v>
      </c>
      <c r="B2573" s="83" t="s">
        <v>5015</v>
      </c>
      <c r="C2573" s="83" t="s">
        <v>8836</v>
      </c>
      <c r="D2573" s="83" t="s">
        <v>8834</v>
      </c>
    </row>
    <row r="2574" spans="1:4">
      <c r="A2574" s="83" t="s">
        <v>8832</v>
      </c>
      <c r="B2574" s="83" t="s">
        <v>5010</v>
      </c>
      <c r="C2574" s="83" t="s">
        <v>8837</v>
      </c>
      <c r="D2574" s="83" t="s">
        <v>8834</v>
      </c>
    </row>
    <row r="2575" spans="1:4">
      <c r="A2575" s="83" t="s">
        <v>8838</v>
      </c>
      <c r="B2575" s="83" t="s">
        <v>5017</v>
      </c>
      <c r="C2575" s="83" t="s">
        <v>8839</v>
      </c>
      <c r="D2575" s="83" t="s">
        <v>8840</v>
      </c>
    </row>
    <row r="2576" spans="1:4">
      <c r="A2576" s="83" t="s">
        <v>8838</v>
      </c>
      <c r="B2576" s="83" t="s">
        <v>5012</v>
      </c>
      <c r="C2576" s="83" t="s">
        <v>8841</v>
      </c>
      <c r="D2576" s="83" t="s">
        <v>8840</v>
      </c>
    </row>
    <row r="2577" spans="1:4">
      <c r="A2577" s="83" t="s">
        <v>8838</v>
      </c>
      <c r="B2577" s="83" t="s">
        <v>5015</v>
      </c>
      <c r="C2577" s="83" t="s">
        <v>8842</v>
      </c>
      <c r="D2577" s="83" t="s">
        <v>8840</v>
      </c>
    </row>
    <row r="2578" spans="1:4">
      <c r="A2578" s="83" t="s">
        <v>8838</v>
      </c>
      <c r="B2578" s="83" t="s">
        <v>5010</v>
      </c>
      <c r="C2578" s="83" t="s">
        <v>8843</v>
      </c>
      <c r="D2578" s="83" t="s">
        <v>8840</v>
      </c>
    </row>
    <row r="2579" spans="1:4">
      <c r="A2579" s="83" t="s">
        <v>8844</v>
      </c>
      <c r="B2579" s="83" t="s">
        <v>5017</v>
      </c>
      <c r="C2579" s="83" t="s">
        <v>8845</v>
      </c>
      <c r="D2579" s="83" t="s">
        <v>8846</v>
      </c>
    </row>
    <row r="2580" spans="1:4">
      <c r="A2580" s="83" t="s">
        <v>8844</v>
      </c>
      <c r="B2580" s="83" t="s">
        <v>5012</v>
      </c>
      <c r="C2580" s="83" t="s">
        <v>8847</v>
      </c>
      <c r="D2580" s="83" t="s">
        <v>8846</v>
      </c>
    </row>
    <row r="2581" spans="1:4">
      <c r="A2581" s="83" t="s">
        <v>8844</v>
      </c>
      <c r="B2581" s="83" t="s">
        <v>5015</v>
      </c>
      <c r="C2581" s="83" t="s">
        <v>8848</v>
      </c>
      <c r="D2581" s="83" t="s">
        <v>8846</v>
      </c>
    </row>
    <row r="2582" spans="1:4">
      <c r="A2582" s="83" t="s">
        <v>8844</v>
      </c>
      <c r="B2582" s="83" t="s">
        <v>5010</v>
      </c>
      <c r="C2582" s="83" t="s">
        <v>8849</v>
      </c>
      <c r="D2582" s="83" t="s">
        <v>8846</v>
      </c>
    </row>
    <row r="2583" spans="1:4">
      <c r="A2583" s="83" t="s">
        <v>8850</v>
      </c>
      <c r="B2583" s="83" t="s">
        <v>5017</v>
      </c>
      <c r="C2583" s="83" t="s">
        <v>8851</v>
      </c>
      <c r="D2583" s="83" t="s">
        <v>8852</v>
      </c>
    </row>
    <row r="2584" spans="1:4">
      <c r="A2584" s="83" t="s">
        <v>8850</v>
      </c>
      <c r="B2584" s="83" t="s">
        <v>5012</v>
      </c>
      <c r="C2584" s="83" t="s">
        <v>8853</v>
      </c>
      <c r="D2584" s="83" t="s">
        <v>8852</v>
      </c>
    </row>
    <row r="2585" spans="1:4">
      <c r="A2585" s="83" t="s">
        <v>8850</v>
      </c>
      <c r="B2585" s="83" t="s">
        <v>5015</v>
      </c>
      <c r="C2585" s="83" t="s">
        <v>8854</v>
      </c>
      <c r="D2585" s="83" t="s">
        <v>8852</v>
      </c>
    </row>
    <row r="2586" spans="1:4">
      <c r="A2586" s="83" t="s">
        <v>8850</v>
      </c>
      <c r="B2586" s="83" t="s">
        <v>5010</v>
      </c>
      <c r="C2586" s="83" t="s">
        <v>8855</v>
      </c>
      <c r="D2586" s="83" t="s">
        <v>8852</v>
      </c>
    </row>
    <row r="2587" spans="1:4">
      <c r="A2587" s="83" t="s">
        <v>8856</v>
      </c>
      <c r="B2587" s="83" t="s">
        <v>5017</v>
      </c>
      <c r="C2587" s="83" t="s">
        <v>8857</v>
      </c>
      <c r="D2587" s="83" t="s">
        <v>8858</v>
      </c>
    </row>
    <row r="2588" spans="1:4">
      <c r="A2588" s="83" t="s">
        <v>8856</v>
      </c>
      <c r="B2588" s="83" t="s">
        <v>5012</v>
      </c>
      <c r="C2588" s="83" t="s">
        <v>8859</v>
      </c>
      <c r="D2588" s="83" t="s">
        <v>8858</v>
      </c>
    </row>
    <row r="2589" spans="1:4">
      <c r="A2589" s="83" t="s">
        <v>8856</v>
      </c>
      <c r="B2589" s="83" t="s">
        <v>5015</v>
      </c>
      <c r="C2589" s="83" t="s">
        <v>8860</v>
      </c>
      <c r="D2589" s="83" t="s">
        <v>8858</v>
      </c>
    </row>
    <row r="2590" spans="1:4">
      <c r="A2590" s="83" t="s">
        <v>8856</v>
      </c>
      <c r="B2590" s="83" t="s">
        <v>5010</v>
      </c>
      <c r="C2590" s="83" t="s">
        <v>8861</v>
      </c>
      <c r="D2590" s="83" t="s">
        <v>8858</v>
      </c>
    </row>
    <row r="2591" spans="1:4">
      <c r="A2591" s="83" t="s">
        <v>8862</v>
      </c>
      <c r="B2591" s="83" t="s">
        <v>5017</v>
      </c>
      <c r="C2591" s="83" t="s">
        <v>8863</v>
      </c>
      <c r="D2591" s="83" t="s">
        <v>8864</v>
      </c>
    </row>
    <row r="2592" spans="1:4">
      <c r="A2592" s="83" t="s">
        <v>8862</v>
      </c>
      <c r="B2592" s="83" t="s">
        <v>5012</v>
      </c>
      <c r="C2592" s="83" t="s">
        <v>8865</v>
      </c>
      <c r="D2592" s="83" t="s">
        <v>8864</v>
      </c>
    </row>
    <row r="2593" spans="1:4">
      <c r="A2593" s="83" t="s">
        <v>8862</v>
      </c>
      <c r="B2593" s="83" t="s">
        <v>5015</v>
      </c>
      <c r="C2593" s="83" t="s">
        <v>8866</v>
      </c>
      <c r="D2593" s="83" t="s">
        <v>8864</v>
      </c>
    </row>
    <row r="2594" spans="1:4">
      <c r="A2594" s="83" t="s">
        <v>8862</v>
      </c>
      <c r="B2594" s="83" t="s">
        <v>5010</v>
      </c>
      <c r="C2594" s="83" t="s">
        <v>8867</v>
      </c>
      <c r="D2594" s="83" t="s">
        <v>8864</v>
      </c>
    </row>
    <row r="2595" spans="1:4">
      <c r="A2595" s="83" t="s">
        <v>8868</v>
      </c>
      <c r="B2595" s="83" t="s">
        <v>5017</v>
      </c>
      <c r="C2595" s="83" t="s">
        <v>8869</v>
      </c>
      <c r="D2595" s="83" t="s">
        <v>8870</v>
      </c>
    </row>
    <row r="2596" spans="1:4">
      <c r="A2596" s="83" t="s">
        <v>8868</v>
      </c>
      <c r="B2596" s="83" t="s">
        <v>5012</v>
      </c>
      <c r="C2596" s="83" t="s">
        <v>8871</v>
      </c>
      <c r="D2596" s="83" t="s">
        <v>8870</v>
      </c>
    </row>
    <row r="2597" spans="1:4">
      <c r="A2597" s="83" t="s">
        <v>8868</v>
      </c>
      <c r="B2597" s="83" t="s">
        <v>5015</v>
      </c>
      <c r="C2597" s="83" t="s">
        <v>8872</v>
      </c>
      <c r="D2597" s="83" t="s">
        <v>8870</v>
      </c>
    </row>
    <row r="2598" spans="1:4">
      <c r="A2598" s="83" t="s">
        <v>8868</v>
      </c>
      <c r="B2598" s="83" t="s">
        <v>5010</v>
      </c>
      <c r="C2598" s="83" t="s">
        <v>8873</v>
      </c>
      <c r="D2598" s="83" t="s">
        <v>8870</v>
      </c>
    </row>
    <row r="2599" spans="1:4">
      <c r="A2599" s="83" t="s">
        <v>8874</v>
      </c>
      <c r="B2599" s="83" t="s">
        <v>5017</v>
      </c>
      <c r="C2599" s="83" t="s">
        <v>8875</v>
      </c>
      <c r="D2599" s="83" t="s">
        <v>8876</v>
      </c>
    </row>
    <row r="2600" spans="1:4">
      <c r="A2600" s="83" t="s">
        <v>8874</v>
      </c>
      <c r="B2600" s="83" t="s">
        <v>5012</v>
      </c>
      <c r="C2600" s="83" t="s">
        <v>8877</v>
      </c>
      <c r="D2600" s="83" t="s">
        <v>8876</v>
      </c>
    </row>
    <row r="2601" spans="1:4">
      <c r="A2601" s="83" t="s">
        <v>8874</v>
      </c>
      <c r="B2601" s="83" t="s">
        <v>5015</v>
      </c>
      <c r="C2601" s="83" t="s">
        <v>8878</v>
      </c>
      <c r="D2601" s="83" t="s">
        <v>8876</v>
      </c>
    </row>
    <row r="2602" spans="1:4">
      <c r="A2602" s="83" t="s">
        <v>8874</v>
      </c>
      <c r="B2602" s="83" t="s">
        <v>5010</v>
      </c>
      <c r="C2602" s="83" t="s">
        <v>8879</v>
      </c>
      <c r="D2602" s="83" t="s">
        <v>8876</v>
      </c>
    </row>
    <row r="2603" spans="1:4">
      <c r="A2603" s="83" t="s">
        <v>8880</v>
      </c>
      <c r="B2603" s="83" t="s">
        <v>5017</v>
      </c>
      <c r="C2603" s="83" t="s">
        <v>8881</v>
      </c>
      <c r="D2603" s="83" t="s">
        <v>8882</v>
      </c>
    </row>
    <row r="2604" spans="1:4">
      <c r="A2604" s="83" t="s">
        <v>8880</v>
      </c>
      <c r="B2604" s="83" t="s">
        <v>5012</v>
      </c>
      <c r="C2604" s="83" t="s">
        <v>8883</v>
      </c>
      <c r="D2604" s="83" t="s">
        <v>8882</v>
      </c>
    </row>
    <row r="2605" spans="1:4">
      <c r="A2605" s="83" t="s">
        <v>8880</v>
      </c>
      <c r="B2605" s="83" t="s">
        <v>5015</v>
      </c>
      <c r="C2605" s="83" t="s">
        <v>8884</v>
      </c>
      <c r="D2605" s="83" t="s">
        <v>8882</v>
      </c>
    </row>
    <row r="2606" spans="1:4">
      <c r="A2606" s="83" t="s">
        <v>8880</v>
      </c>
      <c r="B2606" s="83" t="s">
        <v>5010</v>
      </c>
      <c r="C2606" s="83" t="s">
        <v>8885</v>
      </c>
      <c r="D2606" s="83" t="s">
        <v>8882</v>
      </c>
    </row>
    <row r="2607" spans="1:4">
      <c r="A2607" s="83" t="s">
        <v>8886</v>
      </c>
      <c r="B2607" s="83" t="s">
        <v>5017</v>
      </c>
      <c r="C2607" s="83" t="s">
        <v>8887</v>
      </c>
      <c r="D2607" s="83" t="s">
        <v>8888</v>
      </c>
    </row>
    <row r="2608" spans="1:4">
      <c r="A2608" s="83" t="s">
        <v>8886</v>
      </c>
      <c r="B2608" s="83" t="s">
        <v>5012</v>
      </c>
      <c r="C2608" s="83" t="s">
        <v>8889</v>
      </c>
      <c r="D2608" s="83" t="s">
        <v>8888</v>
      </c>
    </row>
    <row r="2609" spans="1:4">
      <c r="A2609" s="83" t="s">
        <v>8886</v>
      </c>
      <c r="B2609" s="83" t="s">
        <v>5015</v>
      </c>
      <c r="C2609" s="83" t="s">
        <v>8890</v>
      </c>
      <c r="D2609" s="83" t="s">
        <v>8888</v>
      </c>
    </row>
    <row r="2610" spans="1:4">
      <c r="A2610" s="83" t="s">
        <v>8886</v>
      </c>
      <c r="B2610" s="83" t="s">
        <v>5010</v>
      </c>
      <c r="C2610" s="83" t="s">
        <v>8891</v>
      </c>
      <c r="D2610" s="83" t="s">
        <v>8888</v>
      </c>
    </row>
    <row r="2611" spans="1:4">
      <c r="A2611" s="83" t="s">
        <v>8892</v>
      </c>
      <c r="B2611" s="83" t="s">
        <v>5017</v>
      </c>
      <c r="C2611" s="83" t="s">
        <v>8893</v>
      </c>
      <c r="D2611" s="83" t="s">
        <v>8894</v>
      </c>
    </row>
    <row r="2612" spans="1:4">
      <c r="A2612" s="83" t="s">
        <v>8892</v>
      </c>
      <c r="B2612" s="83" t="s">
        <v>5012</v>
      </c>
      <c r="C2612" s="83" t="s">
        <v>8895</v>
      </c>
      <c r="D2612" s="83" t="s">
        <v>8894</v>
      </c>
    </row>
    <row r="2613" spans="1:4">
      <c r="A2613" s="83" t="s">
        <v>8892</v>
      </c>
      <c r="B2613" s="83" t="s">
        <v>5015</v>
      </c>
      <c r="C2613" s="83" t="s">
        <v>8896</v>
      </c>
      <c r="D2613" s="83" t="s">
        <v>8894</v>
      </c>
    </row>
    <row r="2614" spans="1:4">
      <c r="A2614" s="83" t="s">
        <v>8892</v>
      </c>
      <c r="B2614" s="83" t="s">
        <v>5010</v>
      </c>
      <c r="C2614" s="83" t="s">
        <v>8897</v>
      </c>
      <c r="D2614" s="83" t="s">
        <v>8894</v>
      </c>
    </row>
    <row r="2615" spans="1:4">
      <c r="A2615" s="83" t="s">
        <v>8898</v>
      </c>
      <c r="B2615" s="83" t="s">
        <v>5017</v>
      </c>
      <c r="C2615" s="83" t="s">
        <v>8899</v>
      </c>
      <c r="D2615" s="83" t="s">
        <v>8900</v>
      </c>
    </row>
    <row r="2616" spans="1:4">
      <c r="A2616" s="83" t="s">
        <v>8898</v>
      </c>
      <c r="B2616" s="83" t="s">
        <v>5012</v>
      </c>
      <c r="C2616" s="83" t="s">
        <v>8901</v>
      </c>
      <c r="D2616" s="83" t="s">
        <v>8900</v>
      </c>
    </row>
    <row r="2617" spans="1:4">
      <c r="A2617" s="83" t="s">
        <v>8898</v>
      </c>
      <c r="B2617" s="83" t="s">
        <v>5015</v>
      </c>
      <c r="C2617" s="83" t="s">
        <v>8902</v>
      </c>
      <c r="D2617" s="83" t="s">
        <v>8900</v>
      </c>
    </row>
    <row r="2618" spans="1:4">
      <c r="A2618" s="83" t="s">
        <v>8898</v>
      </c>
      <c r="B2618" s="83" t="s">
        <v>5010</v>
      </c>
      <c r="C2618" s="83" t="s">
        <v>8903</v>
      </c>
      <c r="D2618" s="83" t="s">
        <v>8900</v>
      </c>
    </row>
    <row r="2619" spans="1:4">
      <c r="A2619" s="83" t="s">
        <v>8904</v>
      </c>
      <c r="B2619" s="83" t="s">
        <v>5017</v>
      </c>
      <c r="C2619" s="83" t="s">
        <v>8905</v>
      </c>
      <c r="D2619" s="83" t="s">
        <v>8906</v>
      </c>
    </row>
    <row r="2620" spans="1:4">
      <c r="A2620" s="83" t="s">
        <v>8904</v>
      </c>
      <c r="B2620" s="83" t="s">
        <v>5012</v>
      </c>
      <c r="C2620" s="83" t="s">
        <v>8907</v>
      </c>
      <c r="D2620" s="83" t="s">
        <v>8906</v>
      </c>
    </row>
    <row r="2621" spans="1:4">
      <c r="A2621" s="83" t="s">
        <v>8904</v>
      </c>
      <c r="B2621" s="83" t="s">
        <v>5015</v>
      </c>
      <c r="C2621" s="83" t="s">
        <v>8908</v>
      </c>
      <c r="D2621" s="83" t="s">
        <v>8906</v>
      </c>
    </row>
    <row r="2622" spans="1:4">
      <c r="A2622" s="83" t="s">
        <v>8904</v>
      </c>
      <c r="B2622" s="83" t="s">
        <v>5010</v>
      </c>
      <c r="C2622" s="83" t="s">
        <v>8909</v>
      </c>
      <c r="D2622" s="83" t="s">
        <v>8906</v>
      </c>
    </row>
    <row r="2623" spans="1:4">
      <c r="A2623" s="83" t="s">
        <v>8910</v>
      </c>
      <c r="B2623" s="83" t="s">
        <v>5017</v>
      </c>
      <c r="C2623" s="83" t="s">
        <v>8911</v>
      </c>
      <c r="D2623" s="83" t="s">
        <v>8912</v>
      </c>
    </row>
    <row r="2624" spans="1:4">
      <c r="A2624" s="83" t="s">
        <v>8910</v>
      </c>
      <c r="B2624" s="83" t="s">
        <v>5012</v>
      </c>
      <c r="C2624" s="83" t="s">
        <v>8913</v>
      </c>
      <c r="D2624" s="83" t="s">
        <v>8912</v>
      </c>
    </row>
    <row r="2625" spans="1:4">
      <c r="A2625" s="83" t="s">
        <v>8910</v>
      </c>
      <c r="B2625" s="83" t="s">
        <v>5015</v>
      </c>
      <c r="C2625" s="83" t="s">
        <v>8914</v>
      </c>
      <c r="D2625" s="83" t="s">
        <v>8912</v>
      </c>
    </row>
    <row r="2626" spans="1:4">
      <c r="A2626" s="83" t="s">
        <v>8910</v>
      </c>
      <c r="B2626" s="83" t="s">
        <v>5010</v>
      </c>
      <c r="C2626" s="83" t="s">
        <v>8915</v>
      </c>
      <c r="D2626" s="83" t="s">
        <v>8912</v>
      </c>
    </row>
    <row r="2627" spans="1:4">
      <c r="A2627" s="83" t="s">
        <v>8916</v>
      </c>
      <c r="B2627" s="83" t="s">
        <v>5017</v>
      </c>
      <c r="C2627" s="83" t="s">
        <v>8917</v>
      </c>
      <c r="D2627" s="83" t="s">
        <v>8918</v>
      </c>
    </row>
    <row r="2628" spans="1:4">
      <c r="A2628" s="83" t="s">
        <v>8916</v>
      </c>
      <c r="B2628" s="83" t="s">
        <v>5012</v>
      </c>
      <c r="C2628" s="83" t="s">
        <v>8919</v>
      </c>
      <c r="D2628" s="83" t="s">
        <v>8918</v>
      </c>
    </row>
    <row r="2629" spans="1:4">
      <c r="A2629" s="83" t="s">
        <v>8916</v>
      </c>
      <c r="B2629" s="83" t="s">
        <v>5015</v>
      </c>
      <c r="C2629" s="83" t="s">
        <v>8920</v>
      </c>
      <c r="D2629" s="83" t="s">
        <v>8918</v>
      </c>
    </row>
    <row r="2630" spans="1:4">
      <c r="A2630" s="83" t="s">
        <v>8916</v>
      </c>
      <c r="B2630" s="83" t="s">
        <v>5010</v>
      </c>
      <c r="C2630" s="83" t="s">
        <v>8921</v>
      </c>
      <c r="D2630" s="83" t="s">
        <v>8918</v>
      </c>
    </row>
    <row r="2631" spans="1:4">
      <c r="A2631" s="83" t="s">
        <v>8922</v>
      </c>
      <c r="B2631" s="83" t="s">
        <v>5017</v>
      </c>
      <c r="C2631" s="83" t="s">
        <v>8923</v>
      </c>
      <c r="D2631" s="83" t="s">
        <v>8924</v>
      </c>
    </row>
    <row r="2632" spans="1:4">
      <c r="A2632" s="83" t="s">
        <v>8922</v>
      </c>
      <c r="B2632" s="83" t="s">
        <v>5012</v>
      </c>
      <c r="C2632" s="83" t="s">
        <v>8925</v>
      </c>
      <c r="D2632" s="83" t="s">
        <v>8924</v>
      </c>
    </row>
    <row r="2633" spans="1:4">
      <c r="A2633" s="83" t="s">
        <v>8922</v>
      </c>
      <c r="B2633" s="83" t="s">
        <v>5015</v>
      </c>
      <c r="C2633" s="83" t="s">
        <v>8926</v>
      </c>
      <c r="D2633" s="83" t="s">
        <v>8924</v>
      </c>
    </row>
    <row r="2634" spans="1:4">
      <c r="A2634" s="83" t="s">
        <v>8922</v>
      </c>
      <c r="B2634" s="83" t="s">
        <v>5010</v>
      </c>
      <c r="C2634" s="83" t="s">
        <v>8927</v>
      </c>
      <c r="D2634" s="83" t="s">
        <v>8924</v>
      </c>
    </row>
    <row r="2635" spans="1:4">
      <c r="A2635" s="83" t="s">
        <v>8928</v>
      </c>
      <c r="B2635" s="83" t="s">
        <v>5017</v>
      </c>
      <c r="C2635" s="83" t="s">
        <v>8929</v>
      </c>
      <c r="D2635" s="83" t="s">
        <v>8930</v>
      </c>
    </row>
    <row r="2636" spans="1:4">
      <c r="A2636" s="83" t="s">
        <v>8928</v>
      </c>
      <c r="B2636" s="83" t="s">
        <v>5012</v>
      </c>
      <c r="C2636" s="83" t="s">
        <v>8931</v>
      </c>
      <c r="D2636" s="83" t="s">
        <v>8930</v>
      </c>
    </row>
    <row r="2637" spans="1:4">
      <c r="A2637" s="83" t="s">
        <v>8928</v>
      </c>
      <c r="B2637" s="83" t="s">
        <v>5015</v>
      </c>
      <c r="C2637" s="83" t="s">
        <v>8932</v>
      </c>
      <c r="D2637" s="83" t="s">
        <v>8930</v>
      </c>
    </row>
    <row r="2638" spans="1:4">
      <c r="A2638" s="83" t="s">
        <v>8928</v>
      </c>
      <c r="B2638" s="83" t="s">
        <v>5010</v>
      </c>
      <c r="C2638" s="83" t="s">
        <v>8933</v>
      </c>
      <c r="D2638" s="83" t="s">
        <v>8930</v>
      </c>
    </row>
    <row r="2639" spans="1:4">
      <c r="A2639" s="83" t="s">
        <v>8934</v>
      </c>
      <c r="B2639" s="83" t="s">
        <v>5017</v>
      </c>
      <c r="C2639" s="83" t="s">
        <v>8935</v>
      </c>
      <c r="D2639" s="83" t="s">
        <v>8936</v>
      </c>
    </row>
    <row r="2640" spans="1:4">
      <c r="A2640" s="83" t="s">
        <v>8934</v>
      </c>
      <c r="B2640" s="83" t="s">
        <v>5012</v>
      </c>
      <c r="C2640" s="83" t="s">
        <v>8937</v>
      </c>
      <c r="D2640" s="83" t="s">
        <v>8936</v>
      </c>
    </row>
    <row r="2641" spans="1:4">
      <c r="A2641" s="83" t="s">
        <v>8934</v>
      </c>
      <c r="B2641" s="83" t="s">
        <v>5015</v>
      </c>
      <c r="C2641" s="83" t="s">
        <v>8938</v>
      </c>
      <c r="D2641" s="83" t="s">
        <v>8936</v>
      </c>
    </row>
    <row r="2642" spans="1:4">
      <c r="A2642" s="83" t="s">
        <v>8934</v>
      </c>
      <c r="B2642" s="83" t="s">
        <v>5010</v>
      </c>
      <c r="C2642" s="83" t="s">
        <v>8939</v>
      </c>
      <c r="D2642" s="83" t="s">
        <v>8936</v>
      </c>
    </row>
    <row r="2643" spans="1:4">
      <c r="A2643" s="83" t="s">
        <v>8940</v>
      </c>
      <c r="B2643" s="83" t="s">
        <v>5017</v>
      </c>
      <c r="C2643" s="83" t="s">
        <v>8941</v>
      </c>
      <c r="D2643" s="83" t="s">
        <v>8942</v>
      </c>
    </row>
    <row r="2644" spans="1:4">
      <c r="A2644" s="83" t="s">
        <v>8940</v>
      </c>
      <c r="B2644" s="83" t="s">
        <v>5012</v>
      </c>
      <c r="C2644" s="83" t="s">
        <v>8943</v>
      </c>
      <c r="D2644" s="83" t="s">
        <v>8942</v>
      </c>
    </row>
    <row r="2645" spans="1:4">
      <c r="A2645" s="83" t="s">
        <v>8940</v>
      </c>
      <c r="B2645" s="83" t="s">
        <v>5015</v>
      </c>
      <c r="C2645" s="83" t="s">
        <v>8944</v>
      </c>
      <c r="D2645" s="83" t="s">
        <v>8942</v>
      </c>
    </row>
    <row r="2646" spans="1:4">
      <c r="A2646" s="83" t="s">
        <v>8940</v>
      </c>
      <c r="B2646" s="83" t="s">
        <v>5010</v>
      </c>
      <c r="C2646" s="83" t="s">
        <v>8945</v>
      </c>
      <c r="D2646" s="83" t="s">
        <v>8942</v>
      </c>
    </row>
    <row r="2647" spans="1:4">
      <c r="A2647" s="83" t="s">
        <v>8946</v>
      </c>
      <c r="B2647" s="83" t="s">
        <v>5017</v>
      </c>
      <c r="C2647" s="83" t="s">
        <v>8947</v>
      </c>
      <c r="D2647" s="83" t="s">
        <v>8948</v>
      </c>
    </row>
    <row r="2648" spans="1:4">
      <c r="A2648" s="83" t="s">
        <v>8946</v>
      </c>
      <c r="B2648" s="83" t="s">
        <v>5012</v>
      </c>
      <c r="C2648" s="83" t="s">
        <v>8949</v>
      </c>
      <c r="D2648" s="83" t="s">
        <v>8948</v>
      </c>
    </row>
    <row r="2649" spans="1:4">
      <c r="A2649" s="83" t="s">
        <v>8946</v>
      </c>
      <c r="B2649" s="83" t="s">
        <v>5015</v>
      </c>
      <c r="C2649" s="83" t="s">
        <v>8950</v>
      </c>
      <c r="D2649" s="83" t="s">
        <v>8948</v>
      </c>
    </row>
    <row r="2650" spans="1:4">
      <c r="A2650" s="83" t="s">
        <v>8946</v>
      </c>
      <c r="B2650" s="83" t="s">
        <v>5010</v>
      </c>
      <c r="C2650" s="83" t="s">
        <v>8951</v>
      </c>
      <c r="D2650" s="83" t="s">
        <v>8948</v>
      </c>
    </row>
    <row r="2651" spans="1:4">
      <c r="A2651" s="83" t="s">
        <v>8952</v>
      </c>
      <c r="B2651" s="83" t="s">
        <v>5017</v>
      </c>
      <c r="C2651" s="83" t="s">
        <v>8953</v>
      </c>
      <c r="D2651" s="83" t="s">
        <v>8954</v>
      </c>
    </row>
    <row r="2652" spans="1:4">
      <c r="A2652" s="83" t="s">
        <v>8952</v>
      </c>
      <c r="B2652" s="83" t="s">
        <v>5012</v>
      </c>
      <c r="C2652" s="83" t="s">
        <v>8955</v>
      </c>
      <c r="D2652" s="83" t="s">
        <v>8954</v>
      </c>
    </row>
    <row r="2653" spans="1:4">
      <c r="A2653" s="83" t="s">
        <v>8952</v>
      </c>
      <c r="B2653" s="83" t="s">
        <v>5015</v>
      </c>
      <c r="C2653" s="83" t="s">
        <v>8956</v>
      </c>
      <c r="D2653" s="83" t="s">
        <v>8954</v>
      </c>
    </row>
    <row r="2654" spans="1:4">
      <c r="A2654" s="83" t="s">
        <v>8952</v>
      </c>
      <c r="B2654" s="83" t="s">
        <v>5010</v>
      </c>
      <c r="C2654" s="83" t="s">
        <v>8957</v>
      </c>
      <c r="D2654" s="83" t="s">
        <v>8954</v>
      </c>
    </row>
    <row r="2655" spans="1:4">
      <c r="A2655" s="83" t="s">
        <v>8958</v>
      </c>
      <c r="B2655" s="83" t="s">
        <v>5017</v>
      </c>
      <c r="C2655" s="83" t="s">
        <v>8959</v>
      </c>
      <c r="D2655" s="83" t="s">
        <v>8960</v>
      </c>
    </row>
    <row r="2656" spans="1:4">
      <c r="A2656" s="83" t="s">
        <v>8958</v>
      </c>
      <c r="B2656" s="83" t="s">
        <v>5012</v>
      </c>
      <c r="C2656" s="83" t="s">
        <v>8961</v>
      </c>
      <c r="D2656" s="83" t="s">
        <v>8960</v>
      </c>
    </row>
    <row r="2657" spans="1:4">
      <c r="A2657" s="83" t="s">
        <v>8958</v>
      </c>
      <c r="B2657" s="83" t="s">
        <v>5015</v>
      </c>
      <c r="C2657" s="83" t="s">
        <v>8962</v>
      </c>
      <c r="D2657" s="83" t="s">
        <v>8960</v>
      </c>
    </row>
    <row r="2658" spans="1:4">
      <c r="A2658" s="83" t="s">
        <v>8958</v>
      </c>
      <c r="B2658" s="83" t="s">
        <v>5010</v>
      </c>
      <c r="C2658" s="83" t="s">
        <v>8963</v>
      </c>
      <c r="D2658" s="83" t="s">
        <v>8960</v>
      </c>
    </row>
    <row r="2659" spans="1:4">
      <c r="A2659" s="83" t="s">
        <v>8964</v>
      </c>
      <c r="B2659" s="83" t="s">
        <v>5017</v>
      </c>
      <c r="C2659" s="83" t="s">
        <v>8965</v>
      </c>
      <c r="D2659" s="83" t="s">
        <v>8966</v>
      </c>
    </row>
    <row r="2660" spans="1:4">
      <c r="A2660" s="83" t="s">
        <v>8964</v>
      </c>
      <c r="B2660" s="83" t="s">
        <v>5012</v>
      </c>
      <c r="C2660" s="83" t="s">
        <v>8967</v>
      </c>
      <c r="D2660" s="83" t="s">
        <v>8966</v>
      </c>
    </row>
    <row r="2661" spans="1:4">
      <c r="A2661" s="83" t="s">
        <v>8964</v>
      </c>
      <c r="B2661" s="83" t="s">
        <v>5015</v>
      </c>
      <c r="C2661" s="83" t="s">
        <v>8968</v>
      </c>
      <c r="D2661" s="83" t="s">
        <v>8966</v>
      </c>
    </row>
    <row r="2662" spans="1:4">
      <c r="A2662" s="83" t="s">
        <v>8964</v>
      </c>
      <c r="B2662" s="83" t="s">
        <v>5010</v>
      </c>
      <c r="C2662" s="83" t="s">
        <v>8969</v>
      </c>
      <c r="D2662" s="83" t="s">
        <v>8966</v>
      </c>
    </row>
    <row r="2663" spans="1:4">
      <c r="A2663" s="83" t="s">
        <v>8970</v>
      </c>
      <c r="B2663" s="83" t="s">
        <v>5017</v>
      </c>
      <c r="C2663" s="83" t="s">
        <v>8971</v>
      </c>
      <c r="D2663" s="83" t="s">
        <v>8972</v>
      </c>
    </row>
    <row r="2664" spans="1:4">
      <c r="A2664" s="83" t="s">
        <v>8970</v>
      </c>
      <c r="B2664" s="83" t="s">
        <v>5012</v>
      </c>
      <c r="C2664" s="83" t="s">
        <v>8973</v>
      </c>
      <c r="D2664" s="83" t="s">
        <v>8972</v>
      </c>
    </row>
    <row r="2665" spans="1:4">
      <c r="A2665" s="83" t="s">
        <v>8970</v>
      </c>
      <c r="B2665" s="83" t="s">
        <v>5015</v>
      </c>
      <c r="C2665" s="83" t="s">
        <v>8974</v>
      </c>
      <c r="D2665" s="83" t="s">
        <v>8972</v>
      </c>
    </row>
    <row r="2666" spans="1:4">
      <c r="A2666" s="83" t="s">
        <v>8970</v>
      </c>
      <c r="B2666" s="83" t="s">
        <v>5010</v>
      </c>
      <c r="C2666" s="83" t="s">
        <v>8975</v>
      </c>
      <c r="D2666" s="83" t="s">
        <v>8972</v>
      </c>
    </row>
    <row r="2667" spans="1:4">
      <c r="A2667" s="83" t="s">
        <v>8976</v>
      </c>
      <c r="B2667" s="83" t="s">
        <v>5017</v>
      </c>
      <c r="C2667" s="83" t="s">
        <v>8977</v>
      </c>
      <c r="D2667" s="83" t="s">
        <v>8978</v>
      </c>
    </row>
    <row r="2668" spans="1:4">
      <c r="A2668" s="83" t="s">
        <v>8976</v>
      </c>
      <c r="B2668" s="83" t="s">
        <v>5012</v>
      </c>
      <c r="C2668" s="83" t="s">
        <v>8979</v>
      </c>
      <c r="D2668" s="83" t="s">
        <v>8978</v>
      </c>
    </row>
    <row r="2669" spans="1:4">
      <c r="A2669" s="83" t="s">
        <v>8976</v>
      </c>
      <c r="B2669" s="83" t="s">
        <v>5015</v>
      </c>
      <c r="C2669" s="83" t="s">
        <v>8980</v>
      </c>
      <c r="D2669" s="83" t="s">
        <v>8978</v>
      </c>
    </row>
    <row r="2670" spans="1:4">
      <c r="A2670" s="83" t="s">
        <v>8976</v>
      </c>
      <c r="B2670" s="83" t="s">
        <v>5010</v>
      </c>
      <c r="C2670" s="83" t="s">
        <v>8981</v>
      </c>
      <c r="D2670" s="83" t="s">
        <v>8978</v>
      </c>
    </row>
    <row r="2671" spans="1:4">
      <c r="A2671" s="83" t="s">
        <v>8982</v>
      </c>
      <c r="B2671" s="83" t="s">
        <v>5017</v>
      </c>
      <c r="C2671" s="83" t="s">
        <v>8983</v>
      </c>
      <c r="D2671" s="83" t="s">
        <v>8984</v>
      </c>
    </row>
    <row r="2672" spans="1:4">
      <c r="A2672" s="83" t="s">
        <v>8982</v>
      </c>
      <c r="B2672" s="83" t="s">
        <v>5012</v>
      </c>
      <c r="C2672" s="83" t="s">
        <v>8985</v>
      </c>
      <c r="D2672" s="83" t="s">
        <v>8984</v>
      </c>
    </row>
    <row r="2673" spans="1:4">
      <c r="A2673" s="83" t="s">
        <v>8982</v>
      </c>
      <c r="B2673" s="83" t="s">
        <v>5015</v>
      </c>
      <c r="C2673" s="83" t="s">
        <v>8986</v>
      </c>
      <c r="D2673" s="83" t="s">
        <v>8984</v>
      </c>
    </row>
    <row r="2674" spans="1:4">
      <c r="A2674" s="83" t="s">
        <v>8982</v>
      </c>
      <c r="B2674" s="83" t="s">
        <v>5010</v>
      </c>
      <c r="C2674" s="83" t="s">
        <v>8987</v>
      </c>
      <c r="D2674" s="83" t="s">
        <v>8984</v>
      </c>
    </row>
    <row r="2675" spans="1:4">
      <c r="A2675" s="83" t="s">
        <v>8988</v>
      </c>
      <c r="B2675" s="83" t="s">
        <v>5017</v>
      </c>
      <c r="C2675" s="83" t="s">
        <v>8548</v>
      </c>
      <c r="D2675" s="83" t="s">
        <v>8989</v>
      </c>
    </row>
    <row r="2676" spans="1:4">
      <c r="A2676" s="83" t="s">
        <v>8988</v>
      </c>
      <c r="B2676" s="83" t="s">
        <v>5012</v>
      </c>
      <c r="C2676" s="83" t="s">
        <v>8990</v>
      </c>
      <c r="D2676" s="83" t="s">
        <v>8989</v>
      </c>
    </row>
    <row r="2677" spans="1:4">
      <c r="A2677" s="83" t="s">
        <v>8988</v>
      </c>
      <c r="B2677" s="83" t="s">
        <v>5015</v>
      </c>
      <c r="C2677" s="83" t="s">
        <v>8991</v>
      </c>
      <c r="D2677" s="83" t="s">
        <v>8989</v>
      </c>
    </row>
    <row r="2678" spans="1:4">
      <c r="A2678" s="83" t="s">
        <v>8988</v>
      </c>
      <c r="B2678" s="83" t="s">
        <v>5010</v>
      </c>
      <c r="C2678" s="83" t="s">
        <v>8992</v>
      </c>
      <c r="D2678" s="83" t="s">
        <v>8989</v>
      </c>
    </row>
    <row r="2679" spans="1:4">
      <c r="A2679" s="83" t="s">
        <v>8993</v>
      </c>
      <c r="B2679" s="83" t="s">
        <v>5017</v>
      </c>
      <c r="C2679" s="83" t="s">
        <v>8994</v>
      </c>
      <c r="D2679" s="83" t="s">
        <v>8995</v>
      </c>
    </row>
    <row r="2680" spans="1:4">
      <c r="A2680" s="83" t="s">
        <v>8993</v>
      </c>
      <c r="B2680" s="83" t="s">
        <v>5012</v>
      </c>
      <c r="C2680" s="83" t="s">
        <v>8996</v>
      </c>
      <c r="D2680" s="83" t="s">
        <v>8995</v>
      </c>
    </row>
    <row r="2681" spans="1:4">
      <c r="A2681" s="83" t="s">
        <v>8993</v>
      </c>
      <c r="B2681" s="83" t="s">
        <v>5015</v>
      </c>
      <c r="C2681" s="83" t="s">
        <v>8997</v>
      </c>
      <c r="D2681" s="83" t="s">
        <v>8995</v>
      </c>
    </row>
    <row r="2682" spans="1:4">
      <c r="A2682" s="83" t="s">
        <v>8993</v>
      </c>
      <c r="B2682" s="83" t="s">
        <v>5010</v>
      </c>
      <c r="C2682" s="83" t="s">
        <v>8998</v>
      </c>
      <c r="D2682" s="83" t="s">
        <v>8995</v>
      </c>
    </row>
    <row r="2683" spans="1:4">
      <c r="A2683" s="83" t="s">
        <v>8999</v>
      </c>
      <c r="B2683" s="83" t="s">
        <v>5017</v>
      </c>
      <c r="C2683" s="83" t="s">
        <v>9000</v>
      </c>
      <c r="D2683" s="83" t="s">
        <v>9001</v>
      </c>
    </row>
    <row r="2684" spans="1:4">
      <c r="A2684" s="83" t="s">
        <v>8999</v>
      </c>
      <c r="B2684" s="83" t="s">
        <v>5012</v>
      </c>
      <c r="C2684" s="83" t="s">
        <v>9002</v>
      </c>
      <c r="D2684" s="83" t="s">
        <v>9001</v>
      </c>
    </row>
    <row r="2685" spans="1:4">
      <c r="A2685" s="83" t="s">
        <v>8999</v>
      </c>
      <c r="B2685" s="83" t="s">
        <v>5015</v>
      </c>
      <c r="C2685" s="83" t="s">
        <v>9003</v>
      </c>
      <c r="D2685" s="83" t="s">
        <v>9001</v>
      </c>
    </row>
    <row r="2686" spans="1:4">
      <c r="A2686" s="83" t="s">
        <v>8999</v>
      </c>
      <c r="B2686" s="83" t="s">
        <v>5010</v>
      </c>
      <c r="C2686" s="83" t="s">
        <v>9004</v>
      </c>
      <c r="D2686" s="83" t="s">
        <v>9001</v>
      </c>
    </row>
    <row r="2687" spans="1:4">
      <c r="A2687" s="83" t="s">
        <v>9005</v>
      </c>
      <c r="B2687" s="83" t="s">
        <v>5017</v>
      </c>
      <c r="C2687" s="83" t="s">
        <v>9006</v>
      </c>
      <c r="D2687" s="83" t="s">
        <v>9007</v>
      </c>
    </row>
    <row r="2688" spans="1:4">
      <c r="A2688" s="83" t="s">
        <v>9005</v>
      </c>
      <c r="B2688" s="83" t="s">
        <v>5012</v>
      </c>
      <c r="C2688" s="83" t="s">
        <v>9008</v>
      </c>
      <c r="D2688" s="83" t="s">
        <v>9007</v>
      </c>
    </row>
    <row r="2689" spans="1:4">
      <c r="A2689" s="83" t="s">
        <v>9005</v>
      </c>
      <c r="B2689" s="83" t="s">
        <v>5015</v>
      </c>
      <c r="C2689" s="83" t="s">
        <v>9009</v>
      </c>
      <c r="D2689" s="83" t="s">
        <v>9007</v>
      </c>
    </row>
    <row r="2690" spans="1:4">
      <c r="A2690" s="83" t="s">
        <v>9005</v>
      </c>
      <c r="B2690" s="83" t="s">
        <v>5010</v>
      </c>
      <c r="C2690" s="83" t="s">
        <v>9010</v>
      </c>
      <c r="D2690" s="83" t="s">
        <v>9007</v>
      </c>
    </row>
    <row r="2691" spans="1:4">
      <c r="A2691" s="83" t="s">
        <v>9011</v>
      </c>
      <c r="B2691" s="83" t="s">
        <v>5017</v>
      </c>
      <c r="C2691" s="83" t="s">
        <v>9012</v>
      </c>
      <c r="D2691" s="83" t="s">
        <v>9013</v>
      </c>
    </row>
    <row r="2692" spans="1:4">
      <c r="A2692" s="83" t="s">
        <v>9011</v>
      </c>
      <c r="B2692" s="83" t="s">
        <v>5012</v>
      </c>
      <c r="C2692" s="83" t="s">
        <v>9014</v>
      </c>
      <c r="D2692" s="83" t="s">
        <v>9013</v>
      </c>
    </row>
    <row r="2693" spans="1:4">
      <c r="A2693" s="83" t="s">
        <v>9011</v>
      </c>
      <c r="B2693" s="83" t="s">
        <v>5015</v>
      </c>
      <c r="C2693" s="83" t="s">
        <v>9015</v>
      </c>
      <c r="D2693" s="83" t="s">
        <v>9013</v>
      </c>
    </row>
    <row r="2694" spans="1:4">
      <c r="A2694" s="83" t="s">
        <v>9011</v>
      </c>
      <c r="B2694" s="83" t="s">
        <v>5010</v>
      </c>
      <c r="C2694" s="83" t="s">
        <v>9004</v>
      </c>
      <c r="D2694" s="83" t="s">
        <v>9013</v>
      </c>
    </row>
    <row r="2695" spans="1:4">
      <c r="A2695" s="83" t="s">
        <v>9016</v>
      </c>
      <c r="B2695" s="83" t="s">
        <v>5017</v>
      </c>
      <c r="C2695" s="83" t="s">
        <v>9017</v>
      </c>
      <c r="D2695" s="83" t="s">
        <v>9018</v>
      </c>
    </row>
    <row r="2696" spans="1:4">
      <c r="A2696" s="83" t="s">
        <v>9016</v>
      </c>
      <c r="B2696" s="83" t="s">
        <v>5012</v>
      </c>
      <c r="C2696" s="83" t="s">
        <v>9019</v>
      </c>
      <c r="D2696" s="83" t="s">
        <v>9018</v>
      </c>
    </row>
    <row r="2697" spans="1:4">
      <c r="A2697" s="83" t="s">
        <v>9016</v>
      </c>
      <c r="B2697" s="83" t="s">
        <v>5015</v>
      </c>
      <c r="C2697" s="83" t="s">
        <v>9020</v>
      </c>
      <c r="D2697" s="83" t="s">
        <v>9018</v>
      </c>
    </row>
    <row r="2698" spans="1:4">
      <c r="A2698" s="83" t="s">
        <v>9016</v>
      </c>
      <c r="B2698" s="83" t="s">
        <v>5010</v>
      </c>
      <c r="C2698" s="83" t="s">
        <v>9021</v>
      </c>
      <c r="D2698" s="83" t="s">
        <v>9018</v>
      </c>
    </row>
    <row r="2699" spans="1:4">
      <c r="A2699" s="83" t="s">
        <v>9022</v>
      </c>
      <c r="B2699" s="83" t="s">
        <v>5017</v>
      </c>
      <c r="C2699" s="83" t="s">
        <v>9023</v>
      </c>
      <c r="D2699" s="83" t="s">
        <v>9024</v>
      </c>
    </row>
    <row r="2700" spans="1:4">
      <c r="A2700" s="83" t="s">
        <v>9022</v>
      </c>
      <c r="B2700" s="83" t="s">
        <v>5012</v>
      </c>
      <c r="C2700" s="83" t="s">
        <v>9025</v>
      </c>
      <c r="D2700" s="83" t="s">
        <v>9024</v>
      </c>
    </row>
    <row r="2701" spans="1:4">
      <c r="A2701" s="83" t="s">
        <v>9022</v>
      </c>
      <c r="B2701" s="83" t="s">
        <v>5015</v>
      </c>
      <c r="C2701" s="83" t="s">
        <v>9026</v>
      </c>
      <c r="D2701" s="83" t="s">
        <v>9024</v>
      </c>
    </row>
    <row r="2702" spans="1:4">
      <c r="A2702" s="83" t="s">
        <v>9022</v>
      </c>
      <c r="B2702" s="83" t="s">
        <v>5010</v>
      </c>
      <c r="C2702" s="83" t="s">
        <v>9027</v>
      </c>
      <c r="D2702" s="83" t="s">
        <v>9024</v>
      </c>
    </row>
    <row r="2703" spans="1:4">
      <c r="A2703" s="83" t="s">
        <v>9028</v>
      </c>
      <c r="B2703" s="83" t="s">
        <v>5017</v>
      </c>
      <c r="C2703" s="83" t="s">
        <v>9029</v>
      </c>
      <c r="D2703" s="83" t="s">
        <v>9030</v>
      </c>
    </row>
    <row r="2704" spans="1:4">
      <c r="A2704" s="83" t="s">
        <v>9028</v>
      </c>
      <c r="B2704" s="83" t="s">
        <v>5012</v>
      </c>
      <c r="C2704" s="83" t="s">
        <v>9031</v>
      </c>
      <c r="D2704" s="83" t="s">
        <v>9030</v>
      </c>
    </row>
    <row r="2705" spans="1:4">
      <c r="A2705" s="83" t="s">
        <v>9028</v>
      </c>
      <c r="B2705" s="83" t="s">
        <v>5015</v>
      </c>
      <c r="C2705" s="83" t="s">
        <v>9032</v>
      </c>
      <c r="D2705" s="83" t="s">
        <v>9030</v>
      </c>
    </row>
    <row r="2706" spans="1:4">
      <c r="A2706" s="83" t="s">
        <v>9028</v>
      </c>
      <c r="B2706" s="83" t="s">
        <v>5010</v>
      </c>
      <c r="C2706" s="83" t="s">
        <v>9033</v>
      </c>
      <c r="D2706" s="83" t="s">
        <v>9030</v>
      </c>
    </row>
    <row r="2707" spans="1:4">
      <c r="A2707" s="83" t="s">
        <v>9034</v>
      </c>
      <c r="B2707" s="83" t="s">
        <v>5017</v>
      </c>
      <c r="C2707" s="83" t="s">
        <v>9035</v>
      </c>
      <c r="D2707" s="83" t="s">
        <v>9036</v>
      </c>
    </row>
    <row r="2708" spans="1:4">
      <c r="A2708" s="83" t="s">
        <v>9034</v>
      </c>
      <c r="B2708" s="83" t="s">
        <v>5012</v>
      </c>
      <c r="C2708" s="83" t="s">
        <v>9037</v>
      </c>
      <c r="D2708" s="83" t="s">
        <v>9036</v>
      </c>
    </row>
    <row r="2709" spans="1:4">
      <c r="A2709" s="83" t="s">
        <v>9034</v>
      </c>
      <c r="B2709" s="83" t="s">
        <v>5015</v>
      </c>
      <c r="C2709" s="83" t="s">
        <v>9038</v>
      </c>
      <c r="D2709" s="83" t="s">
        <v>9036</v>
      </c>
    </row>
    <row r="2710" spans="1:4">
      <c r="A2710" s="83" t="s">
        <v>9034</v>
      </c>
      <c r="B2710" s="83" t="s">
        <v>5010</v>
      </c>
      <c r="C2710" s="83" t="s">
        <v>9039</v>
      </c>
      <c r="D2710" s="83" t="s">
        <v>9036</v>
      </c>
    </row>
    <row r="2711" spans="1:4">
      <c r="A2711" s="83" t="s">
        <v>9040</v>
      </c>
      <c r="B2711" s="83" t="s">
        <v>5017</v>
      </c>
      <c r="C2711" s="83" t="s">
        <v>9041</v>
      </c>
      <c r="D2711" s="83" t="s">
        <v>9042</v>
      </c>
    </row>
    <row r="2712" spans="1:4">
      <c r="A2712" s="83" t="s">
        <v>9040</v>
      </c>
      <c r="B2712" s="83" t="s">
        <v>5012</v>
      </c>
      <c r="C2712" s="83" t="s">
        <v>9043</v>
      </c>
      <c r="D2712" s="83" t="s">
        <v>9042</v>
      </c>
    </row>
    <row r="2713" spans="1:4">
      <c r="A2713" s="83" t="s">
        <v>9040</v>
      </c>
      <c r="B2713" s="83" t="s">
        <v>5015</v>
      </c>
      <c r="C2713" s="83" t="s">
        <v>9044</v>
      </c>
      <c r="D2713" s="83" t="s">
        <v>9042</v>
      </c>
    </row>
    <row r="2714" spans="1:4">
      <c r="A2714" s="83" t="s">
        <v>9040</v>
      </c>
      <c r="B2714" s="83" t="s">
        <v>5010</v>
      </c>
      <c r="C2714" s="83" t="s">
        <v>9045</v>
      </c>
      <c r="D2714" s="83" t="s">
        <v>9042</v>
      </c>
    </row>
    <row r="2715" spans="1:4">
      <c r="A2715" s="83" t="s">
        <v>9046</v>
      </c>
      <c r="B2715" s="83" t="s">
        <v>5017</v>
      </c>
      <c r="C2715" s="83" t="s">
        <v>9047</v>
      </c>
      <c r="D2715" s="83" t="s">
        <v>9048</v>
      </c>
    </row>
    <row r="2716" spans="1:4">
      <c r="A2716" s="83" t="s">
        <v>9046</v>
      </c>
      <c r="B2716" s="83" t="s">
        <v>5012</v>
      </c>
      <c r="C2716" s="83" t="s">
        <v>9049</v>
      </c>
      <c r="D2716" s="83" t="s">
        <v>9048</v>
      </c>
    </row>
    <row r="2717" spans="1:4">
      <c r="A2717" s="83" t="s">
        <v>9046</v>
      </c>
      <c r="B2717" s="83" t="s">
        <v>5015</v>
      </c>
      <c r="C2717" s="83" t="s">
        <v>9050</v>
      </c>
      <c r="D2717" s="83" t="s">
        <v>9048</v>
      </c>
    </row>
    <row r="2718" spans="1:4">
      <c r="A2718" s="83" t="s">
        <v>9046</v>
      </c>
      <c r="B2718" s="83" t="s">
        <v>5010</v>
      </c>
      <c r="C2718" s="83" t="s">
        <v>9051</v>
      </c>
      <c r="D2718" s="83" t="s">
        <v>9048</v>
      </c>
    </row>
    <row r="2719" spans="1:4">
      <c r="A2719" s="83" t="s">
        <v>9052</v>
      </c>
      <c r="B2719" s="83" t="s">
        <v>5017</v>
      </c>
      <c r="C2719" s="83" t="s">
        <v>9053</v>
      </c>
      <c r="D2719" s="83" t="s">
        <v>9054</v>
      </c>
    </row>
    <row r="2720" spans="1:4">
      <c r="A2720" s="83" t="s">
        <v>9052</v>
      </c>
      <c r="B2720" s="83" t="s">
        <v>5012</v>
      </c>
      <c r="C2720" s="83" t="s">
        <v>9055</v>
      </c>
      <c r="D2720" s="83" t="s">
        <v>9054</v>
      </c>
    </row>
    <row r="2721" spans="1:4">
      <c r="A2721" s="83" t="s">
        <v>9052</v>
      </c>
      <c r="B2721" s="83" t="s">
        <v>5015</v>
      </c>
      <c r="C2721" s="83" t="s">
        <v>9056</v>
      </c>
      <c r="D2721" s="83" t="s">
        <v>9054</v>
      </c>
    </row>
    <row r="2722" spans="1:4">
      <c r="A2722" s="83" t="s">
        <v>9052</v>
      </c>
      <c r="B2722" s="83" t="s">
        <v>5010</v>
      </c>
      <c r="C2722" s="83" t="s">
        <v>9057</v>
      </c>
      <c r="D2722" s="83" t="s">
        <v>9054</v>
      </c>
    </row>
    <row r="2723" spans="1:4">
      <c r="A2723" s="83" t="s">
        <v>9058</v>
      </c>
      <c r="B2723" s="83" t="s">
        <v>5017</v>
      </c>
      <c r="C2723" s="83" t="s">
        <v>9059</v>
      </c>
      <c r="D2723" s="83" t="s">
        <v>9060</v>
      </c>
    </row>
    <row r="2724" spans="1:4">
      <c r="A2724" s="83" t="s">
        <v>9058</v>
      </c>
      <c r="B2724" s="83" t="s">
        <v>5012</v>
      </c>
      <c r="C2724" s="83" t="s">
        <v>9061</v>
      </c>
      <c r="D2724" s="83" t="s">
        <v>9060</v>
      </c>
    </row>
    <row r="2725" spans="1:4">
      <c r="A2725" s="83" t="s">
        <v>9058</v>
      </c>
      <c r="B2725" s="83" t="s">
        <v>5015</v>
      </c>
      <c r="C2725" s="83" t="s">
        <v>9062</v>
      </c>
      <c r="D2725" s="83" t="s">
        <v>9060</v>
      </c>
    </row>
    <row r="2726" spans="1:4">
      <c r="A2726" s="83" t="s">
        <v>9058</v>
      </c>
      <c r="B2726" s="83" t="s">
        <v>5010</v>
      </c>
      <c r="C2726" s="83" t="s">
        <v>9063</v>
      </c>
      <c r="D2726" s="83" t="s">
        <v>9060</v>
      </c>
    </row>
    <row r="2727" spans="1:4">
      <c r="A2727" s="83" t="s">
        <v>9064</v>
      </c>
      <c r="B2727" s="83" t="s">
        <v>5017</v>
      </c>
      <c r="C2727" s="83" t="s">
        <v>9065</v>
      </c>
      <c r="D2727" s="83" t="s">
        <v>9066</v>
      </c>
    </row>
    <row r="2728" spans="1:4">
      <c r="A2728" s="83" t="s">
        <v>9064</v>
      </c>
      <c r="B2728" s="83" t="s">
        <v>5012</v>
      </c>
      <c r="C2728" s="83" t="s">
        <v>8176</v>
      </c>
      <c r="D2728" s="83" t="s">
        <v>9066</v>
      </c>
    </row>
    <row r="2729" spans="1:4">
      <c r="A2729" s="83" t="s">
        <v>9064</v>
      </c>
      <c r="B2729" s="83" t="s">
        <v>5015</v>
      </c>
      <c r="C2729" s="83" t="s">
        <v>9067</v>
      </c>
      <c r="D2729" s="83" t="s">
        <v>9066</v>
      </c>
    </row>
    <row r="2730" spans="1:4">
      <c r="A2730" s="83" t="s">
        <v>9064</v>
      </c>
      <c r="B2730" s="83" t="s">
        <v>5010</v>
      </c>
      <c r="C2730" s="83" t="s">
        <v>9068</v>
      </c>
      <c r="D2730" s="83" t="s">
        <v>9066</v>
      </c>
    </row>
    <row r="2731" spans="1:4">
      <c r="A2731" s="83" t="s">
        <v>9069</v>
      </c>
      <c r="B2731" s="83" t="s">
        <v>5017</v>
      </c>
      <c r="C2731" s="83" t="s">
        <v>9070</v>
      </c>
      <c r="D2731" s="83" t="s">
        <v>9071</v>
      </c>
    </row>
    <row r="2732" spans="1:4">
      <c r="A2732" s="83" t="s">
        <v>9069</v>
      </c>
      <c r="B2732" s="83" t="s">
        <v>5012</v>
      </c>
      <c r="C2732" s="83" t="s">
        <v>9072</v>
      </c>
      <c r="D2732" s="83" t="s">
        <v>9071</v>
      </c>
    </row>
    <row r="2733" spans="1:4">
      <c r="A2733" s="83" t="s">
        <v>9069</v>
      </c>
      <c r="B2733" s="83" t="s">
        <v>5015</v>
      </c>
      <c r="C2733" s="83" t="s">
        <v>9073</v>
      </c>
      <c r="D2733" s="83" t="s">
        <v>9071</v>
      </c>
    </row>
    <row r="2734" spans="1:4">
      <c r="A2734" s="83" t="s">
        <v>9069</v>
      </c>
      <c r="B2734" s="83" t="s">
        <v>5010</v>
      </c>
      <c r="C2734" s="83" t="s">
        <v>9074</v>
      </c>
      <c r="D2734" s="83" t="s">
        <v>9071</v>
      </c>
    </row>
    <row r="2735" spans="1:4">
      <c r="A2735" s="83" t="s">
        <v>9075</v>
      </c>
      <c r="B2735" s="83" t="s">
        <v>5017</v>
      </c>
      <c r="C2735" s="83" t="s">
        <v>9076</v>
      </c>
      <c r="D2735" s="83" t="s">
        <v>9077</v>
      </c>
    </row>
    <row r="2736" spans="1:4">
      <c r="A2736" s="83" t="s">
        <v>9075</v>
      </c>
      <c r="B2736" s="83" t="s">
        <v>5012</v>
      </c>
      <c r="C2736" s="83" t="s">
        <v>9078</v>
      </c>
      <c r="D2736" s="83" t="s">
        <v>9077</v>
      </c>
    </row>
    <row r="2737" spans="1:4">
      <c r="A2737" s="83" t="s">
        <v>9075</v>
      </c>
      <c r="B2737" s="83" t="s">
        <v>5015</v>
      </c>
      <c r="C2737" s="83" t="s">
        <v>9079</v>
      </c>
      <c r="D2737" s="83" t="s">
        <v>9077</v>
      </c>
    </row>
    <row r="2738" spans="1:4">
      <c r="A2738" s="83" t="s">
        <v>9075</v>
      </c>
      <c r="B2738" s="83" t="s">
        <v>5010</v>
      </c>
      <c r="C2738" s="83" t="s">
        <v>9080</v>
      </c>
      <c r="D2738" s="83" t="s">
        <v>9077</v>
      </c>
    </row>
    <row r="2739" spans="1:4">
      <c r="A2739" s="83" t="s">
        <v>9081</v>
      </c>
      <c r="B2739" s="83" t="s">
        <v>5017</v>
      </c>
      <c r="C2739" s="83" t="s">
        <v>9082</v>
      </c>
      <c r="D2739" s="83" t="s">
        <v>9083</v>
      </c>
    </row>
    <row r="2740" spans="1:4">
      <c r="A2740" s="83" t="s">
        <v>9081</v>
      </c>
      <c r="B2740" s="83" t="s">
        <v>5012</v>
      </c>
      <c r="C2740" s="83" t="s">
        <v>9084</v>
      </c>
      <c r="D2740" s="83" t="s">
        <v>9083</v>
      </c>
    </row>
    <row r="2741" spans="1:4">
      <c r="A2741" s="83" t="s">
        <v>9081</v>
      </c>
      <c r="B2741" s="83" t="s">
        <v>5015</v>
      </c>
      <c r="C2741" s="83" t="s">
        <v>9085</v>
      </c>
      <c r="D2741" s="83" t="s">
        <v>9083</v>
      </c>
    </row>
    <row r="2742" spans="1:4">
      <c r="A2742" s="83" t="s">
        <v>9081</v>
      </c>
      <c r="B2742" s="83" t="s">
        <v>5010</v>
      </c>
      <c r="C2742" s="83" t="s">
        <v>9086</v>
      </c>
      <c r="D2742" s="83" t="s">
        <v>9083</v>
      </c>
    </row>
    <row r="2743" spans="1:4">
      <c r="A2743" s="83" t="s">
        <v>9087</v>
      </c>
      <c r="B2743" s="83" t="s">
        <v>5017</v>
      </c>
      <c r="C2743" s="83" t="s">
        <v>9088</v>
      </c>
      <c r="D2743" s="83" t="s">
        <v>9089</v>
      </c>
    </row>
    <row r="2744" spans="1:4">
      <c r="A2744" s="83" t="s">
        <v>9087</v>
      </c>
      <c r="B2744" s="83" t="s">
        <v>5012</v>
      </c>
      <c r="C2744" s="83" t="s">
        <v>9090</v>
      </c>
      <c r="D2744" s="83" t="s">
        <v>9089</v>
      </c>
    </row>
    <row r="2745" spans="1:4">
      <c r="A2745" s="83" t="s">
        <v>9087</v>
      </c>
      <c r="B2745" s="83" t="s">
        <v>5015</v>
      </c>
      <c r="C2745" s="83" t="s">
        <v>9091</v>
      </c>
      <c r="D2745" s="83" t="s">
        <v>9089</v>
      </c>
    </row>
    <row r="2746" spans="1:4">
      <c r="A2746" s="83" t="s">
        <v>9087</v>
      </c>
      <c r="B2746" s="83" t="s">
        <v>5010</v>
      </c>
      <c r="C2746" s="83" t="s">
        <v>9092</v>
      </c>
      <c r="D2746" s="83" t="s">
        <v>9089</v>
      </c>
    </row>
    <row r="2747" spans="1:4">
      <c r="A2747" s="83" t="s">
        <v>9093</v>
      </c>
      <c r="B2747" s="83" t="s">
        <v>5017</v>
      </c>
      <c r="C2747" s="83" t="s">
        <v>9094</v>
      </c>
      <c r="D2747" s="83" t="s">
        <v>9095</v>
      </c>
    </row>
    <row r="2748" spans="1:4">
      <c r="A2748" s="83" t="s">
        <v>9093</v>
      </c>
      <c r="B2748" s="83" t="s">
        <v>5012</v>
      </c>
      <c r="C2748" s="83" t="s">
        <v>9096</v>
      </c>
      <c r="D2748" s="83" t="s">
        <v>9095</v>
      </c>
    </row>
    <row r="2749" spans="1:4">
      <c r="A2749" s="83" t="s">
        <v>9093</v>
      </c>
      <c r="B2749" s="83" t="s">
        <v>5015</v>
      </c>
      <c r="C2749" s="83" t="s">
        <v>9097</v>
      </c>
      <c r="D2749" s="83" t="s">
        <v>9095</v>
      </c>
    </row>
    <row r="2750" spans="1:4">
      <c r="A2750" s="83" t="s">
        <v>9093</v>
      </c>
      <c r="B2750" s="83" t="s">
        <v>5010</v>
      </c>
      <c r="C2750" s="83" t="s">
        <v>9098</v>
      </c>
      <c r="D2750" s="83" t="s">
        <v>9095</v>
      </c>
    </row>
    <row r="2751" spans="1:4">
      <c r="A2751" s="83" t="s">
        <v>9099</v>
      </c>
      <c r="B2751" s="83" t="s">
        <v>5017</v>
      </c>
      <c r="C2751" s="83" t="s">
        <v>9100</v>
      </c>
      <c r="D2751" s="83" t="s">
        <v>9101</v>
      </c>
    </row>
    <row r="2752" spans="1:4">
      <c r="A2752" s="83" t="s">
        <v>9099</v>
      </c>
      <c r="B2752" s="83" t="s">
        <v>5012</v>
      </c>
      <c r="C2752" s="83" t="s">
        <v>9102</v>
      </c>
      <c r="D2752" s="83" t="s">
        <v>9101</v>
      </c>
    </row>
    <row r="2753" spans="1:4">
      <c r="A2753" s="83" t="s">
        <v>9099</v>
      </c>
      <c r="B2753" s="83" t="s">
        <v>5015</v>
      </c>
      <c r="C2753" s="83" t="s">
        <v>9103</v>
      </c>
      <c r="D2753" s="83" t="s">
        <v>9101</v>
      </c>
    </row>
    <row r="2754" spans="1:4">
      <c r="A2754" s="83" t="s">
        <v>9099</v>
      </c>
      <c r="B2754" s="83" t="s">
        <v>5010</v>
      </c>
      <c r="C2754" s="83" t="s">
        <v>9104</v>
      </c>
      <c r="D2754" s="83" t="s">
        <v>9101</v>
      </c>
    </row>
    <row r="2755" spans="1:4">
      <c r="A2755" s="83" t="s">
        <v>9105</v>
      </c>
      <c r="B2755" s="83" t="s">
        <v>5017</v>
      </c>
      <c r="C2755" s="83" t="s">
        <v>9106</v>
      </c>
      <c r="D2755" s="83" t="s">
        <v>9107</v>
      </c>
    </row>
    <row r="2756" spans="1:4">
      <c r="A2756" s="83" t="s">
        <v>9105</v>
      </c>
      <c r="B2756" s="83" t="s">
        <v>5012</v>
      </c>
      <c r="C2756" s="83" t="s">
        <v>9108</v>
      </c>
      <c r="D2756" s="83" t="s">
        <v>9107</v>
      </c>
    </row>
    <row r="2757" spans="1:4">
      <c r="A2757" s="83" t="s">
        <v>9105</v>
      </c>
      <c r="B2757" s="83" t="s">
        <v>5015</v>
      </c>
      <c r="C2757" s="83" t="s">
        <v>9109</v>
      </c>
      <c r="D2757" s="83" t="s">
        <v>9107</v>
      </c>
    </row>
    <row r="2758" spans="1:4">
      <c r="A2758" s="83" t="s">
        <v>9105</v>
      </c>
      <c r="B2758" s="83" t="s">
        <v>5010</v>
      </c>
      <c r="C2758" s="83" t="s">
        <v>9110</v>
      </c>
      <c r="D2758" s="83" t="s">
        <v>9107</v>
      </c>
    </row>
    <row r="2759" spans="1:4">
      <c r="A2759" s="83" t="s">
        <v>9111</v>
      </c>
      <c r="B2759" s="83" t="s">
        <v>5017</v>
      </c>
      <c r="C2759" s="83" t="s">
        <v>9112</v>
      </c>
      <c r="D2759" s="83" t="s">
        <v>9113</v>
      </c>
    </row>
    <row r="2760" spans="1:4">
      <c r="A2760" s="83" t="s">
        <v>9111</v>
      </c>
      <c r="B2760" s="83" t="s">
        <v>5012</v>
      </c>
      <c r="C2760" s="83" t="s">
        <v>9114</v>
      </c>
      <c r="D2760" s="83" t="s">
        <v>9113</v>
      </c>
    </row>
    <row r="2761" spans="1:4">
      <c r="A2761" s="83" t="s">
        <v>9111</v>
      </c>
      <c r="B2761" s="83" t="s">
        <v>5015</v>
      </c>
      <c r="C2761" s="83" t="s">
        <v>9115</v>
      </c>
      <c r="D2761" s="83" t="s">
        <v>9113</v>
      </c>
    </row>
    <row r="2762" spans="1:4">
      <c r="A2762" s="83" t="s">
        <v>9111</v>
      </c>
      <c r="B2762" s="83" t="s">
        <v>5010</v>
      </c>
      <c r="C2762" s="83" t="s">
        <v>9116</v>
      </c>
      <c r="D2762" s="83" t="s">
        <v>9113</v>
      </c>
    </row>
    <row r="2763" spans="1:4">
      <c r="A2763" s="83" t="s">
        <v>9117</v>
      </c>
      <c r="B2763" s="83" t="s">
        <v>5017</v>
      </c>
      <c r="C2763" s="83" t="s">
        <v>9118</v>
      </c>
      <c r="D2763" s="83" t="s">
        <v>9119</v>
      </c>
    </row>
    <row r="2764" spans="1:4">
      <c r="A2764" s="83" t="s">
        <v>9117</v>
      </c>
      <c r="B2764" s="83" t="s">
        <v>5012</v>
      </c>
      <c r="C2764" s="83" t="s">
        <v>9120</v>
      </c>
      <c r="D2764" s="83" t="s">
        <v>9119</v>
      </c>
    </row>
    <row r="2765" spans="1:4">
      <c r="A2765" s="83" t="s">
        <v>9117</v>
      </c>
      <c r="B2765" s="83" t="s">
        <v>5015</v>
      </c>
      <c r="C2765" s="83" t="s">
        <v>9121</v>
      </c>
      <c r="D2765" s="83" t="s">
        <v>9119</v>
      </c>
    </row>
    <row r="2766" spans="1:4">
      <c r="A2766" s="83" t="s">
        <v>9117</v>
      </c>
      <c r="B2766" s="83" t="s">
        <v>5010</v>
      </c>
      <c r="C2766" s="83" t="s">
        <v>9122</v>
      </c>
      <c r="D2766" s="83" t="s">
        <v>9119</v>
      </c>
    </row>
    <row r="2767" spans="1:4">
      <c r="A2767" s="83" t="s">
        <v>9123</v>
      </c>
      <c r="B2767" s="83" t="s">
        <v>5017</v>
      </c>
      <c r="C2767" s="83" t="s">
        <v>9124</v>
      </c>
      <c r="D2767" s="83" t="s">
        <v>9125</v>
      </c>
    </row>
    <row r="2768" spans="1:4">
      <c r="A2768" s="83" t="s">
        <v>9123</v>
      </c>
      <c r="B2768" s="83" t="s">
        <v>5012</v>
      </c>
      <c r="C2768" s="83" t="s">
        <v>9126</v>
      </c>
      <c r="D2768" s="83" t="s">
        <v>9125</v>
      </c>
    </row>
    <row r="2769" spans="1:4">
      <c r="A2769" s="83" t="s">
        <v>9123</v>
      </c>
      <c r="B2769" s="83" t="s">
        <v>5015</v>
      </c>
      <c r="C2769" s="83" t="s">
        <v>9127</v>
      </c>
      <c r="D2769" s="83" t="s">
        <v>9125</v>
      </c>
    </row>
    <row r="2770" spans="1:4">
      <c r="A2770" s="83" t="s">
        <v>9123</v>
      </c>
      <c r="B2770" s="83" t="s">
        <v>5010</v>
      </c>
      <c r="C2770" s="83" t="s">
        <v>9128</v>
      </c>
      <c r="D2770" s="83" t="s">
        <v>9125</v>
      </c>
    </row>
    <row r="2771" spans="1:4">
      <c r="A2771" s="83" t="s">
        <v>9129</v>
      </c>
      <c r="B2771" s="83" t="s">
        <v>5017</v>
      </c>
      <c r="C2771" s="83" t="s">
        <v>9130</v>
      </c>
      <c r="D2771" s="83" t="s">
        <v>9131</v>
      </c>
    </row>
    <row r="2772" spans="1:4">
      <c r="A2772" s="83" t="s">
        <v>9129</v>
      </c>
      <c r="B2772" s="83" t="s">
        <v>5012</v>
      </c>
      <c r="C2772" s="83" t="s">
        <v>9132</v>
      </c>
      <c r="D2772" s="83" t="s">
        <v>9131</v>
      </c>
    </row>
    <row r="2773" spans="1:4">
      <c r="A2773" s="83" t="s">
        <v>9129</v>
      </c>
      <c r="B2773" s="83" t="s">
        <v>5015</v>
      </c>
      <c r="C2773" s="83" t="s">
        <v>9133</v>
      </c>
      <c r="D2773" s="83" t="s">
        <v>9131</v>
      </c>
    </row>
    <row r="2774" spans="1:4">
      <c r="A2774" s="83" t="s">
        <v>9129</v>
      </c>
      <c r="B2774" s="83" t="s">
        <v>5010</v>
      </c>
      <c r="C2774" s="83" t="s">
        <v>9134</v>
      </c>
      <c r="D2774" s="83" t="s">
        <v>9131</v>
      </c>
    </row>
    <row r="2775" spans="1:4">
      <c r="A2775" s="83" t="s">
        <v>9135</v>
      </c>
      <c r="B2775" s="83" t="s">
        <v>5017</v>
      </c>
      <c r="C2775" s="83" t="s">
        <v>9136</v>
      </c>
      <c r="D2775" s="83" t="s">
        <v>9137</v>
      </c>
    </row>
    <row r="2776" spans="1:4">
      <c r="A2776" s="83" t="s">
        <v>9135</v>
      </c>
      <c r="B2776" s="83" t="s">
        <v>5012</v>
      </c>
      <c r="C2776" s="83" t="s">
        <v>9138</v>
      </c>
      <c r="D2776" s="83" t="s">
        <v>9137</v>
      </c>
    </row>
    <row r="2777" spans="1:4">
      <c r="A2777" s="83" t="s">
        <v>9135</v>
      </c>
      <c r="B2777" s="83" t="s">
        <v>5015</v>
      </c>
      <c r="C2777" s="83" t="s">
        <v>9139</v>
      </c>
      <c r="D2777" s="83" t="s">
        <v>9137</v>
      </c>
    </row>
    <row r="2778" spans="1:4">
      <c r="A2778" s="83" t="s">
        <v>9135</v>
      </c>
      <c r="B2778" s="83" t="s">
        <v>5010</v>
      </c>
      <c r="C2778" s="83" t="s">
        <v>9140</v>
      </c>
      <c r="D2778" s="83" t="s">
        <v>9137</v>
      </c>
    </row>
    <row r="2779" spans="1:4">
      <c r="A2779" s="83" t="s">
        <v>9141</v>
      </c>
      <c r="B2779" s="83" t="s">
        <v>5017</v>
      </c>
      <c r="C2779" s="83" t="s">
        <v>9142</v>
      </c>
      <c r="D2779" s="83" t="s">
        <v>9143</v>
      </c>
    </row>
    <row r="2780" spans="1:4">
      <c r="A2780" s="83" t="s">
        <v>9141</v>
      </c>
      <c r="B2780" s="83" t="s">
        <v>5012</v>
      </c>
      <c r="C2780" s="83" t="s">
        <v>9144</v>
      </c>
      <c r="D2780" s="83" t="s">
        <v>9143</v>
      </c>
    </row>
    <row r="2781" spans="1:4">
      <c r="A2781" s="83" t="s">
        <v>9141</v>
      </c>
      <c r="B2781" s="83" t="s">
        <v>5015</v>
      </c>
      <c r="C2781" s="83" t="s">
        <v>9145</v>
      </c>
      <c r="D2781" s="83" t="s">
        <v>9143</v>
      </c>
    </row>
    <row r="2782" spans="1:4">
      <c r="A2782" s="83" t="s">
        <v>9141</v>
      </c>
      <c r="B2782" s="83" t="s">
        <v>5010</v>
      </c>
      <c r="C2782" s="83" t="s">
        <v>9146</v>
      </c>
      <c r="D2782" s="83" t="s">
        <v>9143</v>
      </c>
    </row>
    <row r="2783" spans="1:4">
      <c r="A2783" s="83" t="s">
        <v>9147</v>
      </c>
      <c r="B2783" s="83" t="s">
        <v>5017</v>
      </c>
      <c r="C2783" s="83" t="s">
        <v>8524</v>
      </c>
      <c r="D2783" s="83" t="s">
        <v>9148</v>
      </c>
    </row>
    <row r="2784" spans="1:4">
      <c r="A2784" s="83" t="s">
        <v>9147</v>
      </c>
      <c r="B2784" s="83" t="s">
        <v>5012</v>
      </c>
      <c r="C2784" s="83" t="s">
        <v>9149</v>
      </c>
      <c r="D2784" s="83" t="s">
        <v>9148</v>
      </c>
    </row>
    <row r="2785" spans="1:4">
      <c r="A2785" s="83" t="s">
        <v>9147</v>
      </c>
      <c r="B2785" s="83" t="s">
        <v>5015</v>
      </c>
      <c r="C2785" s="83" t="s">
        <v>9150</v>
      </c>
      <c r="D2785" s="83" t="s">
        <v>9148</v>
      </c>
    </row>
    <row r="2786" spans="1:4">
      <c r="A2786" s="83" t="s">
        <v>9147</v>
      </c>
      <c r="B2786" s="83" t="s">
        <v>5010</v>
      </c>
      <c r="C2786" s="83" t="s">
        <v>9151</v>
      </c>
      <c r="D2786" s="83" t="s">
        <v>9148</v>
      </c>
    </row>
    <row r="2787" spans="1:4">
      <c r="A2787" s="83" t="s">
        <v>9152</v>
      </c>
      <c r="B2787" s="83" t="s">
        <v>5017</v>
      </c>
      <c r="C2787" s="83" t="s">
        <v>9153</v>
      </c>
      <c r="D2787" s="83" t="s">
        <v>9154</v>
      </c>
    </row>
    <row r="2788" spans="1:4">
      <c r="A2788" s="83" t="s">
        <v>9152</v>
      </c>
      <c r="B2788" s="83" t="s">
        <v>5012</v>
      </c>
      <c r="C2788" s="83" t="s">
        <v>9155</v>
      </c>
      <c r="D2788" s="83" t="s">
        <v>9154</v>
      </c>
    </row>
    <row r="2789" spans="1:4">
      <c r="A2789" s="83" t="s">
        <v>9152</v>
      </c>
      <c r="B2789" s="83" t="s">
        <v>5015</v>
      </c>
      <c r="C2789" s="83" t="s">
        <v>9156</v>
      </c>
      <c r="D2789" s="83" t="s">
        <v>9154</v>
      </c>
    </row>
    <row r="2790" spans="1:4">
      <c r="A2790" s="83" t="s">
        <v>9152</v>
      </c>
      <c r="B2790" s="83" t="s">
        <v>5010</v>
      </c>
      <c r="C2790" s="83" t="s">
        <v>9157</v>
      </c>
      <c r="D2790" s="83" t="s">
        <v>9154</v>
      </c>
    </row>
    <row r="2791" spans="1:4">
      <c r="A2791" s="83" t="s">
        <v>9158</v>
      </c>
      <c r="B2791" s="83" t="s">
        <v>5017</v>
      </c>
      <c r="C2791" s="83" t="s">
        <v>9159</v>
      </c>
      <c r="D2791" s="83" t="s">
        <v>9160</v>
      </c>
    </row>
    <row r="2792" spans="1:4">
      <c r="A2792" s="83" t="s">
        <v>9158</v>
      </c>
      <c r="B2792" s="83" t="s">
        <v>5012</v>
      </c>
      <c r="C2792" s="83" t="s">
        <v>9161</v>
      </c>
      <c r="D2792" s="83" t="s">
        <v>9160</v>
      </c>
    </row>
    <row r="2793" spans="1:4">
      <c r="A2793" s="83" t="s">
        <v>9158</v>
      </c>
      <c r="B2793" s="83" t="s">
        <v>5015</v>
      </c>
      <c r="C2793" s="83" t="s">
        <v>9162</v>
      </c>
      <c r="D2793" s="83" t="s">
        <v>9160</v>
      </c>
    </row>
    <row r="2794" spans="1:4">
      <c r="A2794" s="83" t="s">
        <v>9158</v>
      </c>
      <c r="B2794" s="83" t="s">
        <v>5010</v>
      </c>
      <c r="C2794" s="83" t="s">
        <v>9163</v>
      </c>
      <c r="D2794" s="83" t="s">
        <v>9160</v>
      </c>
    </row>
    <row r="2795" spans="1:4">
      <c r="A2795" s="83" t="s">
        <v>9164</v>
      </c>
      <c r="B2795" s="83" t="s">
        <v>5017</v>
      </c>
      <c r="C2795" s="83" t="s">
        <v>9165</v>
      </c>
      <c r="D2795" s="83" t="s">
        <v>9166</v>
      </c>
    </row>
    <row r="2796" spans="1:4">
      <c r="A2796" s="83" t="s">
        <v>9164</v>
      </c>
      <c r="B2796" s="83" t="s">
        <v>5012</v>
      </c>
      <c r="C2796" s="83" t="s">
        <v>9167</v>
      </c>
      <c r="D2796" s="83" t="s">
        <v>9166</v>
      </c>
    </row>
    <row r="2797" spans="1:4">
      <c r="A2797" s="83" t="s">
        <v>9164</v>
      </c>
      <c r="B2797" s="83" t="s">
        <v>5015</v>
      </c>
      <c r="C2797" s="83" t="s">
        <v>9168</v>
      </c>
      <c r="D2797" s="83" t="s">
        <v>9166</v>
      </c>
    </row>
    <row r="2798" spans="1:4">
      <c r="A2798" s="83" t="s">
        <v>9164</v>
      </c>
      <c r="B2798" s="83" t="s">
        <v>5010</v>
      </c>
      <c r="C2798" s="83" t="s">
        <v>9169</v>
      </c>
      <c r="D2798" s="83" t="s">
        <v>9166</v>
      </c>
    </row>
    <row r="2799" spans="1:4">
      <c r="A2799" s="83" t="s">
        <v>9170</v>
      </c>
      <c r="B2799" s="83" t="s">
        <v>5017</v>
      </c>
      <c r="C2799" s="83" t="s">
        <v>9171</v>
      </c>
      <c r="D2799" s="83" t="s">
        <v>9172</v>
      </c>
    </row>
    <row r="2800" spans="1:4">
      <c r="A2800" s="83" t="s">
        <v>9170</v>
      </c>
      <c r="B2800" s="83" t="s">
        <v>5012</v>
      </c>
      <c r="C2800" s="83" t="s">
        <v>9173</v>
      </c>
      <c r="D2800" s="83" t="s">
        <v>9172</v>
      </c>
    </row>
    <row r="2801" spans="1:4">
      <c r="A2801" s="83" t="s">
        <v>9170</v>
      </c>
      <c r="B2801" s="83" t="s">
        <v>5015</v>
      </c>
      <c r="C2801" s="83" t="s">
        <v>9174</v>
      </c>
      <c r="D2801" s="83" t="s">
        <v>9172</v>
      </c>
    </row>
    <row r="2802" spans="1:4">
      <c r="A2802" s="83" t="s">
        <v>9170</v>
      </c>
      <c r="B2802" s="83" t="s">
        <v>5010</v>
      </c>
      <c r="C2802" s="83" t="s">
        <v>9175</v>
      </c>
      <c r="D2802" s="83" t="s">
        <v>9172</v>
      </c>
    </row>
    <row r="2803" spans="1:4">
      <c r="A2803" s="83" t="s">
        <v>9176</v>
      </c>
      <c r="B2803" s="83" t="s">
        <v>5017</v>
      </c>
      <c r="C2803" s="83" t="s">
        <v>9177</v>
      </c>
      <c r="D2803" s="83" t="s">
        <v>9178</v>
      </c>
    </row>
    <row r="2804" spans="1:4">
      <c r="A2804" s="83" t="s">
        <v>9176</v>
      </c>
      <c r="B2804" s="83" t="s">
        <v>5012</v>
      </c>
      <c r="C2804" s="83" t="s">
        <v>9179</v>
      </c>
      <c r="D2804" s="83" t="s">
        <v>9178</v>
      </c>
    </row>
    <row r="2805" spans="1:4">
      <c r="A2805" s="83" t="s">
        <v>9176</v>
      </c>
      <c r="B2805" s="83" t="s">
        <v>5015</v>
      </c>
      <c r="C2805" s="83" t="s">
        <v>9180</v>
      </c>
      <c r="D2805" s="83" t="s">
        <v>9178</v>
      </c>
    </row>
    <row r="2806" spans="1:4">
      <c r="A2806" s="83" t="s">
        <v>9176</v>
      </c>
      <c r="B2806" s="83" t="s">
        <v>5010</v>
      </c>
      <c r="C2806" s="83" t="s">
        <v>9181</v>
      </c>
      <c r="D2806" s="83" t="s">
        <v>9178</v>
      </c>
    </row>
    <row r="2807" spans="1:4">
      <c r="A2807" s="83" t="s">
        <v>9182</v>
      </c>
      <c r="B2807" s="83" t="s">
        <v>5017</v>
      </c>
      <c r="C2807" s="83" t="s">
        <v>9183</v>
      </c>
      <c r="D2807" s="83" t="s">
        <v>9184</v>
      </c>
    </row>
    <row r="2808" spans="1:4">
      <c r="A2808" s="83" t="s">
        <v>9182</v>
      </c>
      <c r="B2808" s="83" t="s">
        <v>5012</v>
      </c>
      <c r="C2808" s="83" t="s">
        <v>9185</v>
      </c>
      <c r="D2808" s="83" t="s">
        <v>9184</v>
      </c>
    </row>
    <row r="2809" spans="1:4">
      <c r="A2809" s="83" t="s">
        <v>9182</v>
      </c>
      <c r="B2809" s="83" t="s">
        <v>5015</v>
      </c>
      <c r="C2809" s="83" t="s">
        <v>9186</v>
      </c>
      <c r="D2809" s="83" t="s">
        <v>9184</v>
      </c>
    </row>
    <row r="2810" spans="1:4">
      <c r="A2810" s="83" t="s">
        <v>9182</v>
      </c>
      <c r="B2810" s="83" t="s">
        <v>5010</v>
      </c>
      <c r="C2810" s="83" t="s">
        <v>9187</v>
      </c>
      <c r="D2810" s="83" t="s">
        <v>9184</v>
      </c>
    </row>
    <row r="2811" spans="1:4">
      <c r="A2811" s="83" t="s">
        <v>9188</v>
      </c>
      <c r="B2811" s="83" t="s">
        <v>5017</v>
      </c>
      <c r="C2811" s="83" t="s">
        <v>9189</v>
      </c>
      <c r="D2811" s="83" t="s">
        <v>9190</v>
      </c>
    </row>
    <row r="2812" spans="1:4">
      <c r="A2812" s="83" t="s">
        <v>9188</v>
      </c>
      <c r="B2812" s="83" t="s">
        <v>5012</v>
      </c>
      <c r="C2812" s="83" t="s">
        <v>9191</v>
      </c>
      <c r="D2812" s="83" t="s">
        <v>9190</v>
      </c>
    </row>
    <row r="2813" spans="1:4">
      <c r="A2813" s="83" t="s">
        <v>9188</v>
      </c>
      <c r="B2813" s="83" t="s">
        <v>5015</v>
      </c>
      <c r="C2813" s="83" t="s">
        <v>9192</v>
      </c>
      <c r="D2813" s="83" t="s">
        <v>9190</v>
      </c>
    </row>
    <row r="2814" spans="1:4">
      <c r="A2814" s="83" t="s">
        <v>9188</v>
      </c>
      <c r="B2814" s="83" t="s">
        <v>5010</v>
      </c>
      <c r="C2814" s="83" t="s">
        <v>9193</v>
      </c>
      <c r="D2814" s="83" t="s">
        <v>9190</v>
      </c>
    </row>
    <row r="2815" spans="1:4">
      <c r="A2815" s="83" t="s">
        <v>9194</v>
      </c>
      <c r="B2815" s="83" t="s">
        <v>5017</v>
      </c>
      <c r="C2815" s="83" t="s">
        <v>9195</v>
      </c>
      <c r="D2815" s="83" t="s">
        <v>9196</v>
      </c>
    </row>
    <row r="2816" spans="1:4">
      <c r="A2816" s="83" t="s">
        <v>9194</v>
      </c>
      <c r="B2816" s="83" t="s">
        <v>5012</v>
      </c>
      <c r="C2816" s="83" t="s">
        <v>9197</v>
      </c>
      <c r="D2816" s="83" t="s">
        <v>9196</v>
      </c>
    </row>
    <row r="2817" spans="1:4">
      <c r="A2817" s="83" t="s">
        <v>9194</v>
      </c>
      <c r="B2817" s="83" t="s">
        <v>5015</v>
      </c>
      <c r="C2817" s="83" t="s">
        <v>9198</v>
      </c>
      <c r="D2817" s="83" t="s">
        <v>9196</v>
      </c>
    </row>
    <row r="2818" spans="1:4">
      <c r="A2818" s="83" t="s">
        <v>9194</v>
      </c>
      <c r="B2818" s="83" t="s">
        <v>5010</v>
      </c>
      <c r="C2818" s="83" t="s">
        <v>9199</v>
      </c>
      <c r="D2818" s="83" t="s">
        <v>9196</v>
      </c>
    </row>
    <row r="2819" spans="1:4">
      <c r="A2819" s="83" t="s">
        <v>9200</v>
      </c>
      <c r="B2819" s="83" t="s">
        <v>5017</v>
      </c>
      <c r="C2819" s="83" t="s">
        <v>9059</v>
      </c>
      <c r="D2819" s="83" t="s">
        <v>9201</v>
      </c>
    </row>
    <row r="2820" spans="1:4">
      <c r="A2820" s="83" t="s">
        <v>9200</v>
      </c>
      <c r="B2820" s="83" t="s">
        <v>5012</v>
      </c>
      <c r="C2820" s="83" t="s">
        <v>9202</v>
      </c>
      <c r="D2820" s="83" t="s">
        <v>9201</v>
      </c>
    </row>
    <row r="2821" spans="1:4">
      <c r="A2821" s="83" t="s">
        <v>9200</v>
      </c>
      <c r="B2821" s="83" t="s">
        <v>5015</v>
      </c>
      <c r="C2821" s="83" t="s">
        <v>9203</v>
      </c>
      <c r="D2821" s="83" t="s">
        <v>9201</v>
      </c>
    </row>
    <row r="2822" spans="1:4">
      <c r="A2822" s="83" t="s">
        <v>9200</v>
      </c>
      <c r="B2822" s="83" t="s">
        <v>5010</v>
      </c>
      <c r="C2822" s="83" t="s">
        <v>9204</v>
      </c>
      <c r="D2822" s="83" t="s">
        <v>9201</v>
      </c>
    </row>
    <row r="2823" spans="1:4">
      <c r="A2823" s="83" t="s">
        <v>9205</v>
      </c>
      <c r="B2823" s="83" t="s">
        <v>5017</v>
      </c>
      <c r="C2823" s="83" t="s">
        <v>9206</v>
      </c>
      <c r="D2823" s="83" t="s">
        <v>9207</v>
      </c>
    </row>
    <row r="2824" spans="1:4">
      <c r="A2824" s="83" t="s">
        <v>9205</v>
      </c>
      <c r="B2824" s="83" t="s">
        <v>5012</v>
      </c>
      <c r="C2824" s="83" t="s">
        <v>9208</v>
      </c>
      <c r="D2824" s="83" t="s">
        <v>9207</v>
      </c>
    </row>
    <row r="2825" spans="1:4">
      <c r="A2825" s="83" t="s">
        <v>9205</v>
      </c>
      <c r="B2825" s="83" t="s">
        <v>5015</v>
      </c>
      <c r="C2825" s="83" t="s">
        <v>9209</v>
      </c>
      <c r="D2825" s="83" t="s">
        <v>9207</v>
      </c>
    </row>
    <row r="2826" spans="1:4">
      <c r="A2826" s="83" t="s">
        <v>9205</v>
      </c>
      <c r="B2826" s="83" t="s">
        <v>5010</v>
      </c>
      <c r="C2826" s="83" t="s">
        <v>9210</v>
      </c>
      <c r="D2826" s="83" t="s">
        <v>9207</v>
      </c>
    </row>
    <row r="2827" spans="1:4">
      <c r="A2827" s="83" t="s">
        <v>9211</v>
      </c>
      <c r="B2827" s="83" t="s">
        <v>5017</v>
      </c>
      <c r="C2827" s="83" t="s">
        <v>9212</v>
      </c>
      <c r="D2827" s="83" t="s">
        <v>9213</v>
      </c>
    </row>
    <row r="2828" spans="1:4">
      <c r="A2828" s="83" t="s">
        <v>9211</v>
      </c>
      <c r="B2828" s="83" t="s">
        <v>5012</v>
      </c>
      <c r="C2828" s="83" t="s">
        <v>9214</v>
      </c>
      <c r="D2828" s="83" t="s">
        <v>9213</v>
      </c>
    </row>
    <row r="2829" spans="1:4">
      <c r="A2829" s="83" t="s">
        <v>9211</v>
      </c>
      <c r="B2829" s="83" t="s">
        <v>5015</v>
      </c>
      <c r="C2829" s="83" t="s">
        <v>9215</v>
      </c>
      <c r="D2829" s="83" t="s">
        <v>9213</v>
      </c>
    </row>
    <row r="2830" spans="1:4">
      <c r="A2830" s="83" t="s">
        <v>9211</v>
      </c>
      <c r="B2830" s="83" t="s">
        <v>5010</v>
      </c>
      <c r="C2830" s="83" t="s">
        <v>9216</v>
      </c>
      <c r="D2830" s="83" t="s">
        <v>9213</v>
      </c>
    </row>
    <row r="2831" spans="1:4">
      <c r="A2831" s="83" t="s">
        <v>9217</v>
      </c>
      <c r="B2831" s="83" t="s">
        <v>5017</v>
      </c>
      <c r="C2831" s="83" t="s">
        <v>9218</v>
      </c>
      <c r="D2831" s="83" t="s">
        <v>9219</v>
      </c>
    </row>
    <row r="2832" spans="1:4">
      <c r="A2832" s="83" t="s">
        <v>9217</v>
      </c>
      <c r="B2832" s="83" t="s">
        <v>5012</v>
      </c>
      <c r="C2832" s="83" t="s">
        <v>9220</v>
      </c>
      <c r="D2832" s="83" t="s">
        <v>9219</v>
      </c>
    </row>
    <row r="2833" spans="1:4">
      <c r="A2833" s="83" t="s">
        <v>9217</v>
      </c>
      <c r="B2833" s="83" t="s">
        <v>5015</v>
      </c>
      <c r="C2833" s="83" t="s">
        <v>9221</v>
      </c>
      <c r="D2833" s="83" t="s">
        <v>9219</v>
      </c>
    </row>
    <row r="2834" spans="1:4">
      <c r="A2834" s="83" t="s">
        <v>9217</v>
      </c>
      <c r="B2834" s="83" t="s">
        <v>5010</v>
      </c>
      <c r="C2834" s="83" t="s">
        <v>9222</v>
      </c>
      <c r="D2834" s="83" t="s">
        <v>9219</v>
      </c>
    </row>
    <row r="2835" spans="1:4">
      <c r="A2835" s="83" t="s">
        <v>9223</v>
      </c>
      <c r="B2835" s="83" t="s">
        <v>5017</v>
      </c>
      <c r="C2835" s="83" t="s">
        <v>9224</v>
      </c>
      <c r="D2835" s="83" t="s">
        <v>9225</v>
      </c>
    </row>
    <row r="2836" spans="1:4">
      <c r="A2836" s="83" t="s">
        <v>9223</v>
      </c>
      <c r="B2836" s="83" t="s">
        <v>5012</v>
      </c>
      <c r="C2836" s="83" t="s">
        <v>9226</v>
      </c>
      <c r="D2836" s="83" t="s">
        <v>9225</v>
      </c>
    </row>
    <row r="2837" spans="1:4">
      <c r="A2837" s="83" t="s">
        <v>9223</v>
      </c>
      <c r="B2837" s="83" t="s">
        <v>5015</v>
      </c>
      <c r="C2837" s="83" t="s">
        <v>9227</v>
      </c>
      <c r="D2837" s="83" t="s">
        <v>9225</v>
      </c>
    </row>
    <row r="2838" spans="1:4">
      <c r="A2838" s="83" t="s">
        <v>9223</v>
      </c>
      <c r="B2838" s="83" t="s">
        <v>5010</v>
      </c>
      <c r="C2838" s="83" t="s">
        <v>9228</v>
      </c>
      <c r="D2838" s="83" t="s">
        <v>9225</v>
      </c>
    </row>
    <row r="2839" spans="1:4">
      <c r="A2839" s="83" t="s">
        <v>9229</v>
      </c>
      <c r="B2839" s="83" t="s">
        <v>5017</v>
      </c>
      <c r="C2839" s="83" t="s">
        <v>9230</v>
      </c>
      <c r="D2839" s="83" t="s">
        <v>9231</v>
      </c>
    </row>
    <row r="2840" spans="1:4">
      <c r="A2840" s="83" t="s">
        <v>9229</v>
      </c>
      <c r="B2840" s="83" t="s">
        <v>5012</v>
      </c>
      <c r="C2840" s="83" t="s">
        <v>9232</v>
      </c>
      <c r="D2840" s="83" t="s">
        <v>9231</v>
      </c>
    </row>
    <row r="2841" spans="1:4">
      <c r="A2841" s="83" t="s">
        <v>9229</v>
      </c>
      <c r="B2841" s="83" t="s">
        <v>5015</v>
      </c>
      <c r="C2841" s="83" t="s">
        <v>9233</v>
      </c>
      <c r="D2841" s="83" t="s">
        <v>9231</v>
      </c>
    </row>
    <row r="2842" spans="1:4">
      <c r="A2842" s="83" t="s">
        <v>9229</v>
      </c>
      <c r="B2842" s="83" t="s">
        <v>5010</v>
      </c>
      <c r="C2842" s="83" t="s">
        <v>9234</v>
      </c>
      <c r="D2842" s="83" t="s">
        <v>9231</v>
      </c>
    </row>
    <row r="2843" spans="1:4">
      <c r="A2843" s="83" t="s">
        <v>9235</v>
      </c>
      <c r="B2843" s="83" t="s">
        <v>5017</v>
      </c>
      <c r="C2843" s="83" t="s">
        <v>9236</v>
      </c>
      <c r="D2843" s="83" t="s">
        <v>9237</v>
      </c>
    </row>
    <row r="2844" spans="1:4">
      <c r="A2844" s="83" t="s">
        <v>9235</v>
      </c>
      <c r="B2844" s="83" t="s">
        <v>5012</v>
      </c>
      <c r="C2844" s="83" t="s">
        <v>9238</v>
      </c>
      <c r="D2844" s="83" t="s">
        <v>9237</v>
      </c>
    </row>
    <row r="2845" spans="1:4">
      <c r="A2845" s="83" t="s">
        <v>9235</v>
      </c>
      <c r="B2845" s="83" t="s">
        <v>5015</v>
      </c>
      <c r="C2845" s="83" t="s">
        <v>9239</v>
      </c>
      <c r="D2845" s="83" t="s">
        <v>9237</v>
      </c>
    </row>
    <row r="2846" spans="1:4">
      <c r="A2846" s="83" t="s">
        <v>9235</v>
      </c>
      <c r="B2846" s="83" t="s">
        <v>5010</v>
      </c>
      <c r="C2846" s="83" t="s">
        <v>9230</v>
      </c>
      <c r="D2846" s="83" t="s">
        <v>9237</v>
      </c>
    </row>
    <row r="2847" spans="1:4">
      <c r="A2847" s="83" t="s">
        <v>9240</v>
      </c>
      <c r="B2847" s="83" t="s">
        <v>5017</v>
      </c>
      <c r="C2847" s="83" t="s">
        <v>9241</v>
      </c>
      <c r="D2847" s="83" t="s">
        <v>9242</v>
      </c>
    </row>
    <row r="2848" spans="1:4">
      <c r="A2848" s="83" t="s">
        <v>9240</v>
      </c>
      <c r="B2848" s="83" t="s">
        <v>5012</v>
      </c>
      <c r="C2848" s="83" t="s">
        <v>9243</v>
      </c>
      <c r="D2848" s="83" t="s">
        <v>9242</v>
      </c>
    </row>
    <row r="2849" spans="1:4">
      <c r="A2849" s="83" t="s">
        <v>9240</v>
      </c>
      <c r="B2849" s="83" t="s">
        <v>5015</v>
      </c>
      <c r="C2849" s="83" t="s">
        <v>9244</v>
      </c>
      <c r="D2849" s="83" t="s">
        <v>9242</v>
      </c>
    </row>
    <row r="2850" spans="1:4">
      <c r="A2850" s="83" t="s">
        <v>9240</v>
      </c>
      <c r="B2850" s="83" t="s">
        <v>5010</v>
      </c>
      <c r="C2850" s="83" t="s">
        <v>9245</v>
      </c>
      <c r="D2850" s="83" t="s">
        <v>9242</v>
      </c>
    </row>
    <row r="2851" spans="1:4">
      <c r="A2851" s="83" t="s">
        <v>9246</v>
      </c>
      <c r="B2851" s="83" t="s">
        <v>5017</v>
      </c>
      <c r="C2851" s="83" t="s">
        <v>9247</v>
      </c>
      <c r="D2851" s="83" t="s">
        <v>9248</v>
      </c>
    </row>
    <row r="2852" spans="1:4">
      <c r="A2852" s="83" t="s">
        <v>9246</v>
      </c>
      <c r="B2852" s="83" t="s">
        <v>5012</v>
      </c>
      <c r="C2852" s="83" t="s">
        <v>9249</v>
      </c>
      <c r="D2852" s="83" t="s">
        <v>9248</v>
      </c>
    </row>
    <row r="2853" spans="1:4">
      <c r="A2853" s="83" t="s">
        <v>9246</v>
      </c>
      <c r="B2853" s="83" t="s">
        <v>5015</v>
      </c>
      <c r="C2853" s="83" t="s">
        <v>9250</v>
      </c>
      <c r="D2853" s="83" t="s">
        <v>9248</v>
      </c>
    </row>
    <row r="2854" spans="1:4">
      <c r="A2854" s="83" t="s">
        <v>9246</v>
      </c>
      <c r="B2854" s="83" t="s">
        <v>5010</v>
      </c>
      <c r="C2854" s="83" t="s">
        <v>9251</v>
      </c>
      <c r="D2854" s="83" t="s">
        <v>9248</v>
      </c>
    </row>
    <row r="2855" spans="1:4">
      <c r="A2855" s="83" t="s">
        <v>9252</v>
      </c>
      <c r="B2855" s="83" t="s">
        <v>5017</v>
      </c>
      <c r="C2855" s="83" t="s">
        <v>9253</v>
      </c>
      <c r="D2855" s="83" t="s">
        <v>9254</v>
      </c>
    </row>
    <row r="2856" spans="1:4">
      <c r="A2856" s="83" t="s">
        <v>9252</v>
      </c>
      <c r="B2856" s="83" t="s">
        <v>5012</v>
      </c>
      <c r="C2856" s="83" t="s">
        <v>9255</v>
      </c>
      <c r="D2856" s="83" t="s">
        <v>9254</v>
      </c>
    </row>
    <row r="2857" spans="1:4">
      <c r="A2857" s="83" t="s">
        <v>9252</v>
      </c>
      <c r="B2857" s="83" t="s">
        <v>5015</v>
      </c>
      <c r="C2857" s="83" t="s">
        <v>9256</v>
      </c>
      <c r="D2857" s="83" t="s">
        <v>9254</v>
      </c>
    </row>
    <row r="2858" spans="1:4">
      <c r="A2858" s="83" t="s">
        <v>9252</v>
      </c>
      <c r="B2858" s="83" t="s">
        <v>5010</v>
      </c>
      <c r="C2858" s="83" t="s">
        <v>9257</v>
      </c>
      <c r="D2858" s="83" t="s">
        <v>9254</v>
      </c>
    </row>
    <row r="2859" spans="1:4">
      <c r="A2859" s="83" t="s">
        <v>9258</v>
      </c>
      <c r="B2859" s="83" t="s">
        <v>5017</v>
      </c>
      <c r="C2859" s="83" t="s">
        <v>9259</v>
      </c>
      <c r="D2859" s="83" t="s">
        <v>9260</v>
      </c>
    </row>
    <row r="2860" spans="1:4">
      <c r="A2860" s="83" t="s">
        <v>9258</v>
      </c>
      <c r="B2860" s="83" t="s">
        <v>5012</v>
      </c>
      <c r="C2860" s="83" t="s">
        <v>9261</v>
      </c>
      <c r="D2860" s="83" t="s">
        <v>9260</v>
      </c>
    </row>
    <row r="2861" spans="1:4">
      <c r="A2861" s="83" t="s">
        <v>9258</v>
      </c>
      <c r="B2861" s="83" t="s">
        <v>5015</v>
      </c>
      <c r="C2861" s="83" t="s">
        <v>9262</v>
      </c>
      <c r="D2861" s="83" t="s">
        <v>9260</v>
      </c>
    </row>
    <row r="2862" spans="1:4">
      <c r="A2862" s="83" t="s">
        <v>9258</v>
      </c>
      <c r="B2862" s="83" t="s">
        <v>5010</v>
      </c>
      <c r="C2862" s="83" t="s">
        <v>9263</v>
      </c>
      <c r="D2862" s="83" t="s">
        <v>9260</v>
      </c>
    </row>
    <row r="2863" spans="1:4">
      <c r="A2863" s="83" t="s">
        <v>9264</v>
      </c>
      <c r="B2863" s="83" t="s">
        <v>5017</v>
      </c>
      <c r="C2863" s="83" t="s">
        <v>9265</v>
      </c>
      <c r="D2863" s="83" t="s">
        <v>9266</v>
      </c>
    </row>
    <row r="2864" spans="1:4">
      <c r="A2864" s="83" t="s">
        <v>9264</v>
      </c>
      <c r="B2864" s="83" t="s">
        <v>5012</v>
      </c>
      <c r="C2864" s="83" t="s">
        <v>9267</v>
      </c>
      <c r="D2864" s="83" t="s">
        <v>9266</v>
      </c>
    </row>
    <row r="2865" spans="1:4">
      <c r="A2865" s="83" t="s">
        <v>9264</v>
      </c>
      <c r="B2865" s="83" t="s">
        <v>5015</v>
      </c>
      <c r="C2865" s="83" t="s">
        <v>9268</v>
      </c>
      <c r="D2865" s="83" t="s">
        <v>9266</v>
      </c>
    </row>
    <row r="2866" spans="1:4">
      <c r="A2866" s="83" t="s">
        <v>9264</v>
      </c>
      <c r="B2866" s="83" t="s">
        <v>5010</v>
      </c>
      <c r="C2866" s="83" t="s">
        <v>9263</v>
      </c>
      <c r="D2866" s="83" t="s">
        <v>9266</v>
      </c>
    </row>
    <row r="2867" spans="1:4">
      <c r="A2867" s="83" t="s">
        <v>9269</v>
      </c>
      <c r="B2867" s="83" t="s">
        <v>5017</v>
      </c>
      <c r="C2867" s="83" t="s">
        <v>9270</v>
      </c>
      <c r="D2867" s="83" t="s">
        <v>9271</v>
      </c>
    </row>
    <row r="2868" spans="1:4">
      <c r="A2868" s="83" t="s">
        <v>9269</v>
      </c>
      <c r="B2868" s="83" t="s">
        <v>5012</v>
      </c>
      <c r="C2868" s="83" t="s">
        <v>9272</v>
      </c>
      <c r="D2868" s="83" t="s">
        <v>9271</v>
      </c>
    </row>
    <row r="2869" spans="1:4">
      <c r="A2869" s="83" t="s">
        <v>9269</v>
      </c>
      <c r="B2869" s="83" t="s">
        <v>5015</v>
      </c>
      <c r="C2869" s="83" t="s">
        <v>9273</v>
      </c>
      <c r="D2869" s="83" t="s">
        <v>9271</v>
      </c>
    </row>
    <row r="2870" spans="1:4">
      <c r="A2870" s="83" t="s">
        <v>9269</v>
      </c>
      <c r="B2870" s="83" t="s">
        <v>5010</v>
      </c>
      <c r="C2870" s="83" t="s">
        <v>9274</v>
      </c>
      <c r="D2870" s="83" t="s">
        <v>9271</v>
      </c>
    </row>
    <row r="2871" spans="1:4">
      <c r="A2871" s="83" t="s">
        <v>9275</v>
      </c>
      <c r="B2871" s="83" t="s">
        <v>5017</v>
      </c>
      <c r="C2871" s="83" t="s">
        <v>9276</v>
      </c>
      <c r="D2871" s="83" t="s">
        <v>9277</v>
      </c>
    </row>
    <row r="2872" spans="1:4">
      <c r="A2872" s="83" t="s">
        <v>9275</v>
      </c>
      <c r="B2872" s="83" t="s">
        <v>5012</v>
      </c>
      <c r="C2872" s="83" t="s">
        <v>9278</v>
      </c>
      <c r="D2872" s="83" t="s">
        <v>9277</v>
      </c>
    </row>
    <row r="2873" spans="1:4">
      <c r="A2873" s="83" t="s">
        <v>9275</v>
      </c>
      <c r="B2873" s="83" t="s">
        <v>5015</v>
      </c>
      <c r="C2873" s="83" t="s">
        <v>9279</v>
      </c>
      <c r="D2873" s="83" t="s">
        <v>9277</v>
      </c>
    </row>
    <row r="2874" spans="1:4">
      <c r="A2874" s="83" t="s">
        <v>9275</v>
      </c>
      <c r="B2874" s="83" t="s">
        <v>5010</v>
      </c>
      <c r="C2874" s="83" t="s">
        <v>9280</v>
      </c>
      <c r="D2874" s="83" t="s">
        <v>9277</v>
      </c>
    </row>
    <row r="2875" spans="1:4">
      <c r="A2875" s="83" t="s">
        <v>9281</v>
      </c>
      <c r="B2875" s="83" t="s">
        <v>5017</v>
      </c>
      <c r="C2875" s="83" t="s">
        <v>9282</v>
      </c>
      <c r="D2875" s="83" t="s">
        <v>9283</v>
      </c>
    </row>
    <row r="2876" spans="1:4">
      <c r="A2876" s="83" t="s">
        <v>9281</v>
      </c>
      <c r="B2876" s="83" t="s">
        <v>5012</v>
      </c>
      <c r="C2876" s="83" t="s">
        <v>9284</v>
      </c>
      <c r="D2876" s="83" t="s">
        <v>9283</v>
      </c>
    </row>
    <row r="2877" spans="1:4">
      <c r="A2877" s="83" t="s">
        <v>9281</v>
      </c>
      <c r="B2877" s="83" t="s">
        <v>5015</v>
      </c>
      <c r="C2877" s="83" t="s">
        <v>9285</v>
      </c>
      <c r="D2877" s="83" t="s">
        <v>9283</v>
      </c>
    </row>
    <row r="2878" spans="1:4">
      <c r="A2878" s="83" t="s">
        <v>9281</v>
      </c>
      <c r="B2878" s="83" t="s">
        <v>5010</v>
      </c>
      <c r="C2878" s="83" t="s">
        <v>9286</v>
      </c>
      <c r="D2878" s="83" t="s">
        <v>9283</v>
      </c>
    </row>
    <row r="2879" spans="1:4">
      <c r="A2879" s="83" t="s">
        <v>9287</v>
      </c>
      <c r="B2879" s="83" t="s">
        <v>5017</v>
      </c>
      <c r="C2879" s="83" t="s">
        <v>9288</v>
      </c>
      <c r="D2879" s="83" t="s">
        <v>9289</v>
      </c>
    </row>
    <row r="2880" spans="1:4">
      <c r="A2880" s="83" t="s">
        <v>9287</v>
      </c>
      <c r="B2880" s="83" t="s">
        <v>5012</v>
      </c>
      <c r="C2880" s="83" t="s">
        <v>9290</v>
      </c>
      <c r="D2880" s="83" t="s">
        <v>9289</v>
      </c>
    </row>
    <row r="2881" spans="1:4">
      <c r="A2881" s="83" t="s">
        <v>9287</v>
      </c>
      <c r="B2881" s="83" t="s">
        <v>5015</v>
      </c>
      <c r="C2881" s="83" t="s">
        <v>9291</v>
      </c>
      <c r="D2881" s="83" t="s">
        <v>9289</v>
      </c>
    </row>
    <row r="2882" spans="1:4">
      <c r="A2882" s="83" t="s">
        <v>9287</v>
      </c>
      <c r="B2882" s="83" t="s">
        <v>5010</v>
      </c>
      <c r="C2882" s="83" t="s">
        <v>9292</v>
      </c>
      <c r="D2882" s="83" t="s">
        <v>9289</v>
      </c>
    </row>
    <row r="2883" spans="1:4">
      <c r="A2883" s="83" t="s">
        <v>9293</v>
      </c>
      <c r="B2883" s="83" t="s">
        <v>5017</v>
      </c>
      <c r="C2883" s="83" t="s">
        <v>9294</v>
      </c>
      <c r="D2883" s="83" t="s">
        <v>9295</v>
      </c>
    </row>
    <row r="2884" spans="1:4">
      <c r="A2884" s="83" t="s">
        <v>9293</v>
      </c>
      <c r="B2884" s="83" t="s">
        <v>5012</v>
      </c>
      <c r="C2884" s="83" t="s">
        <v>9296</v>
      </c>
      <c r="D2884" s="83" t="s">
        <v>9295</v>
      </c>
    </row>
    <row r="2885" spans="1:4">
      <c r="A2885" s="83" t="s">
        <v>9293</v>
      </c>
      <c r="B2885" s="83" t="s">
        <v>5015</v>
      </c>
      <c r="C2885" s="83" t="s">
        <v>9297</v>
      </c>
      <c r="D2885" s="83" t="s">
        <v>9295</v>
      </c>
    </row>
    <row r="2886" spans="1:4">
      <c r="A2886" s="83" t="s">
        <v>9293</v>
      </c>
      <c r="B2886" s="83" t="s">
        <v>5010</v>
      </c>
      <c r="C2886" s="83" t="s">
        <v>9298</v>
      </c>
      <c r="D2886" s="83" t="s">
        <v>9295</v>
      </c>
    </row>
    <row r="2887" spans="1:4">
      <c r="A2887" s="83" t="s">
        <v>9299</v>
      </c>
      <c r="B2887" s="83" t="s">
        <v>5017</v>
      </c>
      <c r="C2887" s="83" t="s">
        <v>9300</v>
      </c>
      <c r="D2887" s="83" t="s">
        <v>9301</v>
      </c>
    </row>
    <row r="2888" spans="1:4">
      <c r="A2888" s="83" t="s">
        <v>9299</v>
      </c>
      <c r="B2888" s="83" t="s">
        <v>5012</v>
      </c>
      <c r="C2888" s="83" t="s">
        <v>9302</v>
      </c>
      <c r="D2888" s="83" t="s">
        <v>9301</v>
      </c>
    </row>
    <row r="2889" spans="1:4">
      <c r="A2889" s="83" t="s">
        <v>9299</v>
      </c>
      <c r="B2889" s="83" t="s">
        <v>5015</v>
      </c>
      <c r="C2889" s="83" t="s">
        <v>9303</v>
      </c>
      <c r="D2889" s="83" t="s">
        <v>9301</v>
      </c>
    </row>
    <row r="2890" spans="1:4">
      <c r="A2890" s="83" t="s">
        <v>9299</v>
      </c>
      <c r="B2890" s="83" t="s">
        <v>5010</v>
      </c>
      <c r="C2890" s="83" t="s">
        <v>9304</v>
      </c>
      <c r="D2890" s="83" t="s">
        <v>9301</v>
      </c>
    </row>
    <row r="2891" spans="1:4">
      <c r="A2891" s="83" t="s">
        <v>9305</v>
      </c>
      <c r="B2891" s="83" t="s">
        <v>5017</v>
      </c>
      <c r="C2891" s="83" t="s">
        <v>9306</v>
      </c>
      <c r="D2891" s="83" t="s">
        <v>9307</v>
      </c>
    </row>
    <row r="2892" spans="1:4">
      <c r="A2892" s="83" t="s">
        <v>9305</v>
      </c>
      <c r="B2892" s="83" t="s">
        <v>5012</v>
      </c>
      <c r="C2892" s="83" t="s">
        <v>9308</v>
      </c>
      <c r="D2892" s="83" t="s">
        <v>9307</v>
      </c>
    </row>
    <row r="2893" spans="1:4">
      <c r="A2893" s="83" t="s">
        <v>9305</v>
      </c>
      <c r="B2893" s="83" t="s">
        <v>5015</v>
      </c>
      <c r="C2893" s="83" t="s">
        <v>9309</v>
      </c>
      <c r="D2893" s="83" t="s">
        <v>9307</v>
      </c>
    </row>
    <row r="2894" spans="1:4">
      <c r="A2894" s="83" t="s">
        <v>9305</v>
      </c>
      <c r="B2894" s="83" t="s">
        <v>5010</v>
      </c>
      <c r="C2894" s="83" t="s">
        <v>9310</v>
      </c>
      <c r="D2894" s="83" t="s">
        <v>9307</v>
      </c>
    </row>
    <row r="2895" spans="1:4">
      <c r="A2895" s="83" t="s">
        <v>9311</v>
      </c>
      <c r="B2895" s="83" t="s">
        <v>5017</v>
      </c>
      <c r="C2895" s="83" t="s">
        <v>9312</v>
      </c>
      <c r="D2895" s="83" t="s">
        <v>9313</v>
      </c>
    </row>
    <row r="2896" spans="1:4">
      <c r="A2896" s="83" t="s">
        <v>9311</v>
      </c>
      <c r="B2896" s="83" t="s">
        <v>5012</v>
      </c>
      <c r="C2896" s="83" t="s">
        <v>9314</v>
      </c>
      <c r="D2896" s="83" t="s">
        <v>9313</v>
      </c>
    </row>
    <row r="2897" spans="1:4">
      <c r="A2897" s="83" t="s">
        <v>9311</v>
      </c>
      <c r="B2897" s="83" t="s">
        <v>5015</v>
      </c>
      <c r="C2897" s="83" t="s">
        <v>9315</v>
      </c>
      <c r="D2897" s="83" t="s">
        <v>9313</v>
      </c>
    </row>
    <row r="2898" spans="1:4">
      <c r="A2898" s="83" t="s">
        <v>9311</v>
      </c>
      <c r="B2898" s="83" t="s">
        <v>5010</v>
      </c>
      <c r="C2898" s="83" t="s">
        <v>9316</v>
      </c>
      <c r="D2898" s="83" t="s">
        <v>9313</v>
      </c>
    </row>
    <row r="2899" spans="1:4">
      <c r="A2899" s="83" t="s">
        <v>9317</v>
      </c>
      <c r="B2899" s="83" t="s">
        <v>5017</v>
      </c>
      <c r="C2899" s="83" t="s">
        <v>9318</v>
      </c>
      <c r="D2899" s="83" t="s">
        <v>9319</v>
      </c>
    </row>
    <row r="2900" spans="1:4">
      <c r="A2900" s="83" t="s">
        <v>9317</v>
      </c>
      <c r="B2900" s="83" t="s">
        <v>5012</v>
      </c>
      <c r="C2900" s="83" t="s">
        <v>9320</v>
      </c>
      <c r="D2900" s="83" t="s">
        <v>9319</v>
      </c>
    </row>
    <row r="2901" spans="1:4">
      <c r="A2901" s="83" t="s">
        <v>9317</v>
      </c>
      <c r="B2901" s="83" t="s">
        <v>5015</v>
      </c>
      <c r="C2901" s="83" t="s">
        <v>9321</v>
      </c>
      <c r="D2901" s="83" t="s">
        <v>9319</v>
      </c>
    </row>
    <row r="2902" spans="1:4">
      <c r="A2902" s="83" t="s">
        <v>9317</v>
      </c>
      <c r="B2902" s="83" t="s">
        <v>5010</v>
      </c>
      <c r="C2902" s="83" t="s">
        <v>9322</v>
      </c>
      <c r="D2902" s="83" t="s">
        <v>9319</v>
      </c>
    </row>
    <row r="2903" spans="1:4">
      <c r="A2903" s="83" t="s">
        <v>9323</v>
      </c>
      <c r="B2903" s="83" t="s">
        <v>5017</v>
      </c>
      <c r="C2903" s="83" t="s">
        <v>9324</v>
      </c>
      <c r="D2903" s="83" t="s">
        <v>9325</v>
      </c>
    </row>
    <row r="2904" spans="1:4">
      <c r="A2904" s="83" t="s">
        <v>9323</v>
      </c>
      <c r="B2904" s="83" t="s">
        <v>5012</v>
      </c>
      <c r="C2904" s="83" t="s">
        <v>9326</v>
      </c>
      <c r="D2904" s="83" t="s">
        <v>9325</v>
      </c>
    </row>
    <row r="2905" spans="1:4">
      <c r="A2905" s="83" t="s">
        <v>9323</v>
      </c>
      <c r="B2905" s="83" t="s">
        <v>5015</v>
      </c>
      <c r="C2905" s="83" t="s">
        <v>9327</v>
      </c>
      <c r="D2905" s="83" t="s">
        <v>9325</v>
      </c>
    </row>
    <row r="2906" spans="1:4">
      <c r="A2906" s="83" t="s">
        <v>9323</v>
      </c>
      <c r="B2906" s="83" t="s">
        <v>5010</v>
      </c>
      <c r="C2906" s="83" t="s">
        <v>9328</v>
      </c>
      <c r="D2906" s="83" t="s">
        <v>9325</v>
      </c>
    </row>
    <row r="2907" spans="1:4">
      <c r="A2907" s="83" t="s">
        <v>9329</v>
      </c>
      <c r="B2907" s="83" t="s">
        <v>5017</v>
      </c>
      <c r="C2907" s="83" t="s">
        <v>9330</v>
      </c>
      <c r="D2907" s="83" t="s">
        <v>9331</v>
      </c>
    </row>
    <row r="2908" spans="1:4">
      <c r="A2908" s="83" t="s">
        <v>9329</v>
      </c>
      <c r="B2908" s="83" t="s">
        <v>5012</v>
      </c>
      <c r="C2908" s="83" t="s">
        <v>9332</v>
      </c>
      <c r="D2908" s="83" t="s">
        <v>9331</v>
      </c>
    </row>
    <row r="2909" spans="1:4">
      <c r="A2909" s="83" t="s">
        <v>9329</v>
      </c>
      <c r="B2909" s="83" t="s">
        <v>5015</v>
      </c>
      <c r="C2909" s="83" t="s">
        <v>9333</v>
      </c>
      <c r="D2909" s="83" t="s">
        <v>9331</v>
      </c>
    </row>
    <row r="2910" spans="1:4">
      <c r="A2910" s="83" t="s">
        <v>9329</v>
      </c>
      <c r="B2910" s="83" t="s">
        <v>5010</v>
      </c>
      <c r="C2910" s="83" t="s">
        <v>9334</v>
      </c>
      <c r="D2910" s="83" t="s">
        <v>9331</v>
      </c>
    </row>
    <row r="2911" spans="1:4">
      <c r="A2911" s="83" t="s">
        <v>9335</v>
      </c>
      <c r="B2911" s="83" t="s">
        <v>5017</v>
      </c>
      <c r="C2911" s="83" t="s">
        <v>9336</v>
      </c>
      <c r="D2911" s="83" t="s">
        <v>9337</v>
      </c>
    </row>
    <row r="2912" spans="1:4">
      <c r="A2912" s="83" t="s">
        <v>9335</v>
      </c>
      <c r="B2912" s="83" t="s">
        <v>5012</v>
      </c>
      <c r="C2912" s="83" t="s">
        <v>9338</v>
      </c>
      <c r="D2912" s="83" t="s">
        <v>9337</v>
      </c>
    </row>
    <row r="2913" spans="1:4">
      <c r="A2913" s="83" t="s">
        <v>9335</v>
      </c>
      <c r="B2913" s="83" t="s">
        <v>5015</v>
      </c>
      <c r="C2913" s="83" t="s">
        <v>9339</v>
      </c>
      <c r="D2913" s="83" t="s">
        <v>9337</v>
      </c>
    </row>
    <row r="2914" spans="1:4">
      <c r="A2914" s="83" t="s">
        <v>9335</v>
      </c>
      <c r="B2914" s="83" t="s">
        <v>5010</v>
      </c>
      <c r="C2914" s="83" t="s">
        <v>9340</v>
      </c>
      <c r="D2914" s="83" t="s">
        <v>9337</v>
      </c>
    </row>
    <row r="2915" spans="1:4">
      <c r="A2915" s="83" t="s">
        <v>9341</v>
      </c>
      <c r="B2915" s="83" t="s">
        <v>5017</v>
      </c>
      <c r="C2915" s="83" t="s">
        <v>9342</v>
      </c>
      <c r="D2915" s="83" t="s">
        <v>9343</v>
      </c>
    </row>
    <row r="2916" spans="1:4">
      <c r="A2916" s="83" t="s">
        <v>9341</v>
      </c>
      <c r="B2916" s="83" t="s">
        <v>5012</v>
      </c>
      <c r="C2916" s="83" t="s">
        <v>9344</v>
      </c>
      <c r="D2916" s="83" t="s">
        <v>9343</v>
      </c>
    </row>
    <row r="2917" spans="1:4">
      <c r="A2917" s="83" t="s">
        <v>9341</v>
      </c>
      <c r="B2917" s="83" t="s">
        <v>5015</v>
      </c>
      <c r="C2917" s="83" t="s">
        <v>9345</v>
      </c>
      <c r="D2917" s="83" t="s">
        <v>9343</v>
      </c>
    </row>
    <row r="2918" spans="1:4">
      <c r="A2918" s="83" t="s">
        <v>9341</v>
      </c>
      <c r="B2918" s="83" t="s">
        <v>5010</v>
      </c>
      <c r="C2918" s="83" t="s">
        <v>9346</v>
      </c>
      <c r="D2918" s="83" t="s">
        <v>9343</v>
      </c>
    </row>
    <row r="2919" spans="1:4">
      <c r="A2919" s="83" t="s">
        <v>9347</v>
      </c>
      <c r="B2919" s="83" t="s">
        <v>5017</v>
      </c>
      <c r="C2919" s="83" t="s">
        <v>9348</v>
      </c>
      <c r="D2919" s="83" t="s">
        <v>9349</v>
      </c>
    </row>
    <row r="2920" spans="1:4">
      <c r="A2920" s="83" t="s">
        <v>9347</v>
      </c>
      <c r="B2920" s="83" t="s">
        <v>5012</v>
      </c>
      <c r="C2920" s="83" t="s">
        <v>9350</v>
      </c>
      <c r="D2920" s="83" t="s">
        <v>9349</v>
      </c>
    </row>
    <row r="2921" spans="1:4">
      <c r="A2921" s="83" t="s">
        <v>9347</v>
      </c>
      <c r="B2921" s="83" t="s">
        <v>5015</v>
      </c>
      <c r="C2921" s="83" t="s">
        <v>9351</v>
      </c>
      <c r="D2921" s="83" t="s">
        <v>9349</v>
      </c>
    </row>
    <row r="2922" spans="1:4">
      <c r="A2922" s="83" t="s">
        <v>9347</v>
      </c>
      <c r="B2922" s="83" t="s">
        <v>5010</v>
      </c>
      <c r="C2922" s="83" t="s">
        <v>9352</v>
      </c>
      <c r="D2922" s="83" t="s">
        <v>9349</v>
      </c>
    </row>
    <row r="2923" spans="1:4">
      <c r="A2923" s="83" t="s">
        <v>9353</v>
      </c>
      <c r="B2923" s="83" t="s">
        <v>5017</v>
      </c>
      <c r="C2923" s="83" t="s">
        <v>9354</v>
      </c>
      <c r="D2923" s="83" t="s">
        <v>9355</v>
      </c>
    </row>
    <row r="2924" spans="1:4">
      <c r="A2924" s="83" t="s">
        <v>9353</v>
      </c>
      <c r="B2924" s="83" t="s">
        <v>5012</v>
      </c>
      <c r="C2924" s="83" t="s">
        <v>9356</v>
      </c>
      <c r="D2924" s="83" t="s">
        <v>9355</v>
      </c>
    </row>
    <row r="2925" spans="1:4">
      <c r="A2925" s="83" t="s">
        <v>9353</v>
      </c>
      <c r="B2925" s="83" t="s">
        <v>5015</v>
      </c>
      <c r="C2925" s="83" t="s">
        <v>9357</v>
      </c>
      <c r="D2925" s="83" t="s">
        <v>9355</v>
      </c>
    </row>
    <row r="2926" spans="1:4">
      <c r="A2926" s="83" t="s">
        <v>9353</v>
      </c>
      <c r="B2926" s="83" t="s">
        <v>5010</v>
      </c>
      <c r="C2926" s="83" t="s">
        <v>9358</v>
      </c>
      <c r="D2926" s="83" t="s">
        <v>9355</v>
      </c>
    </row>
    <row r="2927" spans="1:4">
      <c r="A2927" s="83" t="s">
        <v>9359</v>
      </c>
      <c r="B2927" s="83" t="s">
        <v>5017</v>
      </c>
      <c r="C2927" s="83" t="s">
        <v>9360</v>
      </c>
      <c r="D2927" s="83" t="s">
        <v>9361</v>
      </c>
    </row>
    <row r="2928" spans="1:4">
      <c r="A2928" s="83" t="s">
        <v>9359</v>
      </c>
      <c r="B2928" s="83" t="s">
        <v>5012</v>
      </c>
      <c r="C2928" s="83" t="s">
        <v>9362</v>
      </c>
      <c r="D2928" s="83" t="s">
        <v>9361</v>
      </c>
    </row>
    <row r="2929" spans="1:4">
      <c r="A2929" s="83" t="s">
        <v>9359</v>
      </c>
      <c r="B2929" s="83" t="s">
        <v>5015</v>
      </c>
      <c r="C2929" s="83" t="s">
        <v>9363</v>
      </c>
      <c r="D2929" s="83" t="s">
        <v>9361</v>
      </c>
    </row>
    <row r="2930" spans="1:4">
      <c r="A2930" s="83" t="s">
        <v>9359</v>
      </c>
      <c r="B2930" s="83" t="s">
        <v>5010</v>
      </c>
      <c r="C2930" s="83" t="s">
        <v>9364</v>
      </c>
      <c r="D2930" s="83" t="s">
        <v>9361</v>
      </c>
    </row>
    <row r="2931" spans="1:4">
      <c r="A2931" s="83" t="s">
        <v>9365</v>
      </c>
      <c r="B2931" s="83" t="s">
        <v>5017</v>
      </c>
      <c r="C2931" s="83" t="s">
        <v>9366</v>
      </c>
      <c r="D2931" s="83" t="s">
        <v>9367</v>
      </c>
    </row>
    <row r="2932" spans="1:4">
      <c r="A2932" s="83" t="s">
        <v>9365</v>
      </c>
      <c r="B2932" s="83" t="s">
        <v>5012</v>
      </c>
      <c r="C2932" s="83" t="s">
        <v>9368</v>
      </c>
      <c r="D2932" s="83" t="s">
        <v>9367</v>
      </c>
    </row>
    <row r="2933" spans="1:4">
      <c r="A2933" s="83" t="s">
        <v>9365</v>
      </c>
      <c r="B2933" s="83" t="s">
        <v>5015</v>
      </c>
      <c r="C2933" s="83" t="s">
        <v>9369</v>
      </c>
      <c r="D2933" s="83" t="s">
        <v>9367</v>
      </c>
    </row>
    <row r="2934" spans="1:4">
      <c r="A2934" s="83" t="s">
        <v>9365</v>
      </c>
      <c r="B2934" s="83" t="s">
        <v>5010</v>
      </c>
      <c r="C2934" s="83" t="s">
        <v>9370</v>
      </c>
      <c r="D2934" s="83" t="s">
        <v>9367</v>
      </c>
    </row>
    <row r="2935" spans="1:4">
      <c r="A2935" s="83" t="s">
        <v>9371</v>
      </c>
      <c r="B2935" s="83" t="s">
        <v>5017</v>
      </c>
      <c r="C2935" s="83" t="s">
        <v>9372</v>
      </c>
      <c r="D2935" s="83" t="s">
        <v>9373</v>
      </c>
    </row>
    <row r="2936" spans="1:4">
      <c r="A2936" s="83" t="s">
        <v>9371</v>
      </c>
      <c r="B2936" s="83" t="s">
        <v>5012</v>
      </c>
      <c r="C2936" s="83" t="s">
        <v>9374</v>
      </c>
      <c r="D2936" s="83" t="s">
        <v>9373</v>
      </c>
    </row>
    <row r="2937" spans="1:4">
      <c r="A2937" s="83" t="s">
        <v>9371</v>
      </c>
      <c r="B2937" s="83" t="s">
        <v>5015</v>
      </c>
      <c r="C2937" s="83" t="s">
        <v>9375</v>
      </c>
      <c r="D2937" s="83" t="s">
        <v>9373</v>
      </c>
    </row>
    <row r="2938" spans="1:4">
      <c r="A2938" s="83" t="s">
        <v>9371</v>
      </c>
      <c r="B2938" s="83" t="s">
        <v>5010</v>
      </c>
      <c r="C2938" s="83" t="s">
        <v>9376</v>
      </c>
      <c r="D2938" s="83" t="s">
        <v>9373</v>
      </c>
    </row>
    <row r="2939" spans="1:4">
      <c r="A2939" s="83" t="s">
        <v>9377</v>
      </c>
      <c r="B2939" s="83" t="s">
        <v>5017</v>
      </c>
      <c r="C2939" s="83" t="s">
        <v>9378</v>
      </c>
      <c r="D2939" s="83" t="s">
        <v>9379</v>
      </c>
    </row>
    <row r="2940" spans="1:4">
      <c r="A2940" s="83" t="s">
        <v>9377</v>
      </c>
      <c r="B2940" s="83" t="s">
        <v>5012</v>
      </c>
      <c r="C2940" s="83" t="s">
        <v>9380</v>
      </c>
      <c r="D2940" s="83" t="s">
        <v>9379</v>
      </c>
    </row>
    <row r="2941" spans="1:4">
      <c r="A2941" s="83" t="s">
        <v>9377</v>
      </c>
      <c r="B2941" s="83" t="s">
        <v>5015</v>
      </c>
      <c r="C2941" s="83" t="s">
        <v>9381</v>
      </c>
      <c r="D2941" s="83" t="s">
        <v>9379</v>
      </c>
    </row>
    <row r="2942" spans="1:4">
      <c r="A2942" s="83" t="s">
        <v>9377</v>
      </c>
      <c r="B2942" s="83" t="s">
        <v>5010</v>
      </c>
      <c r="C2942" s="83" t="s">
        <v>9382</v>
      </c>
      <c r="D2942" s="83" t="s">
        <v>9379</v>
      </c>
    </row>
    <row r="2943" spans="1:4">
      <c r="A2943" s="83" t="s">
        <v>9383</v>
      </c>
      <c r="B2943" s="83" t="s">
        <v>5017</v>
      </c>
      <c r="C2943" s="83" t="s">
        <v>9384</v>
      </c>
      <c r="D2943" s="83" t="s">
        <v>9385</v>
      </c>
    </row>
    <row r="2944" spans="1:4">
      <c r="A2944" s="83" t="s">
        <v>9383</v>
      </c>
      <c r="B2944" s="83" t="s">
        <v>5012</v>
      </c>
      <c r="C2944" s="83" t="s">
        <v>9386</v>
      </c>
      <c r="D2944" s="83" t="s">
        <v>9385</v>
      </c>
    </row>
    <row r="2945" spans="1:4">
      <c r="A2945" s="83" t="s">
        <v>9383</v>
      </c>
      <c r="B2945" s="83" t="s">
        <v>5015</v>
      </c>
      <c r="C2945" s="83" t="s">
        <v>9387</v>
      </c>
      <c r="D2945" s="83" t="s">
        <v>9385</v>
      </c>
    </row>
    <row r="2946" spans="1:4">
      <c r="A2946" s="83" t="s">
        <v>9383</v>
      </c>
      <c r="B2946" s="83" t="s">
        <v>5010</v>
      </c>
      <c r="C2946" s="83" t="s">
        <v>9388</v>
      </c>
      <c r="D2946" s="83" t="s">
        <v>9385</v>
      </c>
    </row>
    <row r="2947" spans="1:4">
      <c r="A2947" s="83" t="s">
        <v>9389</v>
      </c>
      <c r="B2947" s="83" t="s">
        <v>5017</v>
      </c>
      <c r="C2947" s="83" t="s">
        <v>9390</v>
      </c>
      <c r="D2947" s="83" t="s">
        <v>9391</v>
      </c>
    </row>
    <row r="2948" spans="1:4">
      <c r="A2948" s="83" t="s">
        <v>9389</v>
      </c>
      <c r="B2948" s="83" t="s">
        <v>5012</v>
      </c>
      <c r="C2948" s="83" t="s">
        <v>9392</v>
      </c>
      <c r="D2948" s="83" t="s">
        <v>9391</v>
      </c>
    </row>
    <row r="2949" spans="1:4">
      <c r="A2949" s="83" t="s">
        <v>9389</v>
      </c>
      <c r="B2949" s="83" t="s">
        <v>5015</v>
      </c>
      <c r="C2949" s="83" t="s">
        <v>9393</v>
      </c>
      <c r="D2949" s="83" t="s">
        <v>9391</v>
      </c>
    </row>
    <row r="2950" spans="1:4">
      <c r="A2950" s="83" t="s">
        <v>9389</v>
      </c>
      <c r="B2950" s="83" t="s">
        <v>5010</v>
      </c>
      <c r="C2950" s="83" t="s">
        <v>9394</v>
      </c>
      <c r="D2950" s="83" t="s">
        <v>9391</v>
      </c>
    </row>
    <row r="2951" spans="1:4">
      <c r="A2951" s="83" t="s">
        <v>9395</v>
      </c>
      <c r="B2951" s="83" t="s">
        <v>5017</v>
      </c>
      <c r="C2951" s="83" t="s">
        <v>9396</v>
      </c>
      <c r="D2951" s="83" t="s">
        <v>9397</v>
      </c>
    </row>
    <row r="2952" spans="1:4">
      <c r="A2952" s="83" t="s">
        <v>9395</v>
      </c>
      <c r="B2952" s="83" t="s">
        <v>5012</v>
      </c>
      <c r="C2952" s="83" t="s">
        <v>9398</v>
      </c>
      <c r="D2952" s="83" t="s">
        <v>9397</v>
      </c>
    </row>
    <row r="2953" spans="1:4">
      <c r="A2953" s="83" t="s">
        <v>9395</v>
      </c>
      <c r="B2953" s="83" t="s">
        <v>5015</v>
      </c>
      <c r="C2953" s="83" t="s">
        <v>9399</v>
      </c>
      <c r="D2953" s="83" t="s">
        <v>9397</v>
      </c>
    </row>
    <row r="2954" spans="1:4">
      <c r="A2954" s="83" t="s">
        <v>9395</v>
      </c>
      <c r="B2954" s="83" t="s">
        <v>5010</v>
      </c>
      <c r="C2954" s="83" t="s">
        <v>9400</v>
      </c>
      <c r="D2954" s="83" t="s">
        <v>9397</v>
      </c>
    </row>
    <row r="2955" spans="1:4">
      <c r="A2955" s="83" t="s">
        <v>9401</v>
      </c>
      <c r="B2955" s="83" t="s">
        <v>5017</v>
      </c>
      <c r="C2955" s="83" t="s">
        <v>9402</v>
      </c>
      <c r="D2955" s="83" t="s">
        <v>9403</v>
      </c>
    </row>
    <row r="2956" spans="1:4">
      <c r="A2956" s="83" t="s">
        <v>9401</v>
      </c>
      <c r="B2956" s="83" t="s">
        <v>5012</v>
      </c>
      <c r="C2956" s="83" t="s">
        <v>9404</v>
      </c>
      <c r="D2956" s="83" t="s">
        <v>9403</v>
      </c>
    </row>
    <row r="2957" spans="1:4">
      <c r="A2957" s="83" t="s">
        <v>9401</v>
      </c>
      <c r="B2957" s="83" t="s">
        <v>5015</v>
      </c>
      <c r="C2957" s="83" t="s">
        <v>9405</v>
      </c>
      <c r="D2957" s="83" t="s">
        <v>9403</v>
      </c>
    </row>
    <row r="2958" spans="1:4">
      <c r="A2958" s="83" t="s">
        <v>9401</v>
      </c>
      <c r="B2958" s="83" t="s">
        <v>5010</v>
      </c>
      <c r="C2958" s="83" t="s">
        <v>9406</v>
      </c>
      <c r="D2958" s="83" t="s">
        <v>9403</v>
      </c>
    </row>
    <row r="2959" spans="1:4">
      <c r="A2959" s="83" t="s">
        <v>9407</v>
      </c>
      <c r="B2959" s="83" t="s">
        <v>5017</v>
      </c>
      <c r="C2959" s="83" t="s">
        <v>9408</v>
      </c>
      <c r="D2959" s="83" t="s">
        <v>9409</v>
      </c>
    </row>
    <row r="2960" spans="1:4">
      <c r="A2960" s="83" t="s">
        <v>9407</v>
      </c>
      <c r="B2960" s="83" t="s">
        <v>5012</v>
      </c>
      <c r="C2960" s="83" t="s">
        <v>9410</v>
      </c>
      <c r="D2960" s="83" t="s">
        <v>9409</v>
      </c>
    </row>
    <row r="2961" spans="1:4">
      <c r="A2961" s="83" t="s">
        <v>9407</v>
      </c>
      <c r="B2961" s="83" t="s">
        <v>5015</v>
      </c>
      <c r="C2961" s="83" t="s">
        <v>9411</v>
      </c>
      <c r="D2961" s="83" t="s">
        <v>9409</v>
      </c>
    </row>
    <row r="2962" spans="1:4">
      <c r="A2962" s="83" t="s">
        <v>9407</v>
      </c>
      <c r="B2962" s="83" t="s">
        <v>5010</v>
      </c>
      <c r="C2962" s="83" t="s">
        <v>9412</v>
      </c>
      <c r="D2962" s="83" t="s">
        <v>9409</v>
      </c>
    </row>
    <row r="2963" spans="1:4">
      <c r="A2963" s="83" t="s">
        <v>9413</v>
      </c>
      <c r="B2963" s="83" t="s">
        <v>5017</v>
      </c>
      <c r="C2963" s="83" t="s">
        <v>9414</v>
      </c>
      <c r="D2963" s="83" t="s">
        <v>9415</v>
      </c>
    </row>
    <row r="2964" spans="1:4">
      <c r="A2964" s="83" t="s">
        <v>9413</v>
      </c>
      <c r="B2964" s="83" t="s">
        <v>5012</v>
      </c>
      <c r="C2964" s="83" t="s">
        <v>9416</v>
      </c>
      <c r="D2964" s="83" t="s">
        <v>9415</v>
      </c>
    </row>
    <row r="2965" spans="1:4">
      <c r="A2965" s="83" t="s">
        <v>9413</v>
      </c>
      <c r="B2965" s="83" t="s">
        <v>5015</v>
      </c>
      <c r="C2965" s="83" t="s">
        <v>9417</v>
      </c>
      <c r="D2965" s="83" t="s">
        <v>9415</v>
      </c>
    </row>
    <row r="2966" spans="1:4">
      <c r="A2966" s="83" t="s">
        <v>9413</v>
      </c>
      <c r="B2966" s="83" t="s">
        <v>5010</v>
      </c>
      <c r="C2966" s="83" t="s">
        <v>9418</v>
      </c>
      <c r="D2966" s="83" t="s">
        <v>9415</v>
      </c>
    </row>
    <row r="2967" spans="1:4">
      <c r="A2967" s="83" t="s">
        <v>9419</v>
      </c>
      <c r="B2967" s="83" t="s">
        <v>5017</v>
      </c>
      <c r="C2967" s="83" t="s">
        <v>9420</v>
      </c>
      <c r="D2967" s="83" t="s">
        <v>9421</v>
      </c>
    </row>
    <row r="2968" spans="1:4">
      <c r="A2968" s="83" t="s">
        <v>9419</v>
      </c>
      <c r="B2968" s="83" t="s">
        <v>5012</v>
      </c>
      <c r="C2968" s="83" t="s">
        <v>9422</v>
      </c>
      <c r="D2968" s="83" t="s">
        <v>9421</v>
      </c>
    </row>
    <row r="2969" spans="1:4">
      <c r="A2969" s="83" t="s">
        <v>9419</v>
      </c>
      <c r="B2969" s="83" t="s">
        <v>5015</v>
      </c>
      <c r="C2969" s="83" t="s">
        <v>9423</v>
      </c>
      <c r="D2969" s="83" t="s">
        <v>9421</v>
      </c>
    </row>
    <row r="2970" spans="1:4">
      <c r="A2970" s="83" t="s">
        <v>9419</v>
      </c>
      <c r="B2970" s="83" t="s">
        <v>5010</v>
      </c>
      <c r="C2970" s="83" t="s">
        <v>9424</v>
      </c>
      <c r="D2970" s="83" t="s">
        <v>9421</v>
      </c>
    </row>
    <row r="2971" spans="1:4">
      <c r="A2971" s="83" t="s">
        <v>9425</v>
      </c>
      <c r="B2971" s="83" t="s">
        <v>5017</v>
      </c>
      <c r="C2971" s="83" t="s">
        <v>9426</v>
      </c>
      <c r="D2971" s="83" t="s">
        <v>9427</v>
      </c>
    </row>
    <row r="2972" spans="1:4">
      <c r="A2972" s="83" t="s">
        <v>9425</v>
      </c>
      <c r="B2972" s="83" t="s">
        <v>5012</v>
      </c>
      <c r="C2972" s="83" t="s">
        <v>9428</v>
      </c>
      <c r="D2972" s="83" t="s">
        <v>9427</v>
      </c>
    </row>
    <row r="2973" spans="1:4">
      <c r="A2973" s="83" t="s">
        <v>9425</v>
      </c>
      <c r="B2973" s="83" t="s">
        <v>5015</v>
      </c>
      <c r="C2973" s="83" t="s">
        <v>9429</v>
      </c>
      <c r="D2973" s="83" t="s">
        <v>9427</v>
      </c>
    </row>
    <row r="2974" spans="1:4">
      <c r="A2974" s="83" t="s">
        <v>9425</v>
      </c>
      <c r="B2974" s="83" t="s">
        <v>5010</v>
      </c>
      <c r="C2974" s="83" t="s">
        <v>9430</v>
      </c>
      <c r="D2974" s="83" t="s">
        <v>9427</v>
      </c>
    </row>
    <row r="2975" spans="1:4">
      <c r="A2975" s="83" t="s">
        <v>9431</v>
      </c>
      <c r="B2975" s="83" t="s">
        <v>5017</v>
      </c>
      <c r="C2975" s="83" t="s">
        <v>9432</v>
      </c>
      <c r="D2975" s="83" t="s">
        <v>9433</v>
      </c>
    </row>
    <row r="2976" spans="1:4">
      <c r="A2976" s="83" t="s">
        <v>9431</v>
      </c>
      <c r="B2976" s="83" t="s">
        <v>5012</v>
      </c>
      <c r="C2976" s="83" t="s">
        <v>9434</v>
      </c>
      <c r="D2976" s="83" t="s">
        <v>9433</v>
      </c>
    </row>
    <row r="2977" spans="1:4">
      <c r="A2977" s="83" t="s">
        <v>9431</v>
      </c>
      <c r="B2977" s="83" t="s">
        <v>5015</v>
      </c>
      <c r="C2977" s="83" t="s">
        <v>9435</v>
      </c>
      <c r="D2977" s="83" t="s">
        <v>9433</v>
      </c>
    </row>
    <row r="2978" spans="1:4">
      <c r="A2978" s="83" t="s">
        <v>9431</v>
      </c>
      <c r="B2978" s="83" t="s">
        <v>5010</v>
      </c>
      <c r="C2978" s="83" t="s">
        <v>9436</v>
      </c>
      <c r="D2978" s="83" t="s">
        <v>9433</v>
      </c>
    </row>
    <row r="2979" spans="1:4">
      <c r="A2979" s="83" t="s">
        <v>9437</v>
      </c>
      <c r="B2979" s="83" t="s">
        <v>5017</v>
      </c>
      <c r="C2979" s="83" t="s">
        <v>9438</v>
      </c>
      <c r="D2979" s="83" t="s">
        <v>9439</v>
      </c>
    </row>
    <row r="2980" spans="1:4">
      <c r="A2980" s="83" t="s">
        <v>9437</v>
      </c>
      <c r="B2980" s="83" t="s">
        <v>5012</v>
      </c>
      <c r="C2980" s="83" t="s">
        <v>9440</v>
      </c>
      <c r="D2980" s="83" t="s">
        <v>9439</v>
      </c>
    </row>
    <row r="2981" spans="1:4">
      <c r="A2981" s="83" t="s">
        <v>9437</v>
      </c>
      <c r="B2981" s="83" t="s">
        <v>5015</v>
      </c>
      <c r="C2981" s="83" t="s">
        <v>9441</v>
      </c>
      <c r="D2981" s="83" t="s">
        <v>9439</v>
      </c>
    </row>
    <row r="2982" spans="1:4">
      <c r="A2982" s="83" t="s">
        <v>9437</v>
      </c>
      <c r="B2982" s="83" t="s">
        <v>5010</v>
      </c>
      <c r="C2982" s="83" t="s">
        <v>9442</v>
      </c>
      <c r="D2982" s="83" t="s">
        <v>9439</v>
      </c>
    </row>
    <row r="2983" spans="1:4">
      <c r="A2983" s="83" t="s">
        <v>9443</v>
      </c>
      <c r="B2983" s="83" t="s">
        <v>5017</v>
      </c>
      <c r="C2983" s="83" t="s">
        <v>9444</v>
      </c>
      <c r="D2983" s="83" t="s">
        <v>9445</v>
      </c>
    </row>
    <row r="2984" spans="1:4">
      <c r="A2984" s="83" t="s">
        <v>9443</v>
      </c>
      <c r="B2984" s="83" t="s">
        <v>5012</v>
      </c>
      <c r="C2984" s="83" t="s">
        <v>9446</v>
      </c>
      <c r="D2984" s="83" t="s">
        <v>9445</v>
      </c>
    </row>
    <row r="2985" spans="1:4">
      <c r="A2985" s="83" t="s">
        <v>9443</v>
      </c>
      <c r="B2985" s="83" t="s">
        <v>5015</v>
      </c>
      <c r="C2985" s="83" t="s">
        <v>9447</v>
      </c>
      <c r="D2985" s="83" t="s">
        <v>9445</v>
      </c>
    </row>
    <row r="2986" spans="1:4">
      <c r="A2986" s="83" t="s">
        <v>9443</v>
      </c>
      <c r="B2986" s="83" t="s">
        <v>5010</v>
      </c>
      <c r="C2986" s="83" t="s">
        <v>9448</v>
      </c>
      <c r="D2986" s="83" t="s">
        <v>9445</v>
      </c>
    </row>
    <row r="2987" spans="1:4">
      <c r="A2987" s="83" t="s">
        <v>9449</v>
      </c>
      <c r="B2987" s="83" t="s">
        <v>5017</v>
      </c>
      <c r="C2987" s="83" t="s">
        <v>9450</v>
      </c>
      <c r="D2987" s="83" t="s">
        <v>9451</v>
      </c>
    </row>
    <row r="2988" spans="1:4">
      <c r="A2988" s="83" t="s">
        <v>9449</v>
      </c>
      <c r="B2988" s="83" t="s">
        <v>5012</v>
      </c>
      <c r="C2988" s="83" t="s">
        <v>9452</v>
      </c>
      <c r="D2988" s="83" t="s">
        <v>9451</v>
      </c>
    </row>
    <row r="2989" spans="1:4">
      <c r="A2989" s="83" t="s">
        <v>9449</v>
      </c>
      <c r="B2989" s="83" t="s">
        <v>5015</v>
      </c>
      <c r="C2989" s="83" t="s">
        <v>9453</v>
      </c>
      <c r="D2989" s="83" t="s">
        <v>9451</v>
      </c>
    </row>
    <row r="2990" spans="1:4">
      <c r="A2990" s="83" t="s">
        <v>9449</v>
      </c>
      <c r="B2990" s="83" t="s">
        <v>5010</v>
      </c>
      <c r="C2990" s="83" t="s">
        <v>9454</v>
      </c>
      <c r="D2990" s="83" t="s">
        <v>9451</v>
      </c>
    </row>
    <row r="2991" spans="1:4">
      <c r="A2991" s="83" t="s">
        <v>9455</v>
      </c>
      <c r="B2991" s="83" t="s">
        <v>5017</v>
      </c>
      <c r="C2991" s="83" t="s">
        <v>9456</v>
      </c>
      <c r="D2991" s="83" t="s">
        <v>9457</v>
      </c>
    </row>
    <row r="2992" spans="1:4">
      <c r="A2992" s="83" t="s">
        <v>9455</v>
      </c>
      <c r="B2992" s="83" t="s">
        <v>5012</v>
      </c>
      <c r="C2992" s="83" t="s">
        <v>9458</v>
      </c>
      <c r="D2992" s="83" t="s">
        <v>9457</v>
      </c>
    </row>
    <row r="2993" spans="1:4">
      <c r="A2993" s="83" t="s">
        <v>9455</v>
      </c>
      <c r="B2993" s="83" t="s">
        <v>5015</v>
      </c>
      <c r="C2993" s="83" t="s">
        <v>9459</v>
      </c>
      <c r="D2993" s="83" t="s">
        <v>9457</v>
      </c>
    </row>
    <row r="2994" spans="1:4">
      <c r="A2994" s="83" t="s">
        <v>9455</v>
      </c>
      <c r="B2994" s="83" t="s">
        <v>5010</v>
      </c>
      <c r="C2994" s="83" t="s">
        <v>9460</v>
      </c>
      <c r="D2994" s="83" t="s">
        <v>9457</v>
      </c>
    </row>
    <row r="2995" spans="1:4">
      <c r="A2995" s="83" t="s">
        <v>9461</v>
      </c>
      <c r="B2995" s="83" t="s">
        <v>5017</v>
      </c>
      <c r="C2995" s="83" t="s">
        <v>9462</v>
      </c>
      <c r="D2995" s="83" t="s">
        <v>9463</v>
      </c>
    </row>
    <row r="2996" spans="1:4">
      <c r="A2996" s="83" t="s">
        <v>9461</v>
      </c>
      <c r="B2996" s="83" t="s">
        <v>5012</v>
      </c>
      <c r="C2996" s="83" t="s">
        <v>9464</v>
      </c>
      <c r="D2996" s="83" t="s">
        <v>9463</v>
      </c>
    </row>
    <row r="2997" spans="1:4">
      <c r="A2997" s="83" t="s">
        <v>9461</v>
      </c>
      <c r="B2997" s="83" t="s">
        <v>5015</v>
      </c>
      <c r="C2997" s="83" t="s">
        <v>9465</v>
      </c>
      <c r="D2997" s="83" t="s">
        <v>9463</v>
      </c>
    </row>
    <row r="2998" spans="1:4">
      <c r="A2998" s="83" t="s">
        <v>9461</v>
      </c>
      <c r="B2998" s="83" t="s">
        <v>5010</v>
      </c>
      <c r="C2998" s="83" t="s">
        <v>9466</v>
      </c>
      <c r="D2998" s="83" t="s">
        <v>9463</v>
      </c>
    </row>
    <row r="2999" spans="1:4">
      <c r="A2999" s="83" t="s">
        <v>9467</v>
      </c>
      <c r="B2999" s="83" t="s">
        <v>5017</v>
      </c>
      <c r="C2999" s="83" t="s">
        <v>9468</v>
      </c>
      <c r="D2999" s="83" t="s">
        <v>9469</v>
      </c>
    </row>
    <row r="3000" spans="1:4">
      <c r="A3000" s="83" t="s">
        <v>9467</v>
      </c>
      <c r="B3000" s="83" t="s">
        <v>5012</v>
      </c>
      <c r="C3000" s="83" t="s">
        <v>9470</v>
      </c>
      <c r="D3000" s="83" t="s">
        <v>9469</v>
      </c>
    </row>
    <row r="3001" spans="1:4">
      <c r="A3001" s="83" t="s">
        <v>9467</v>
      </c>
      <c r="B3001" s="83" t="s">
        <v>5015</v>
      </c>
      <c r="C3001" s="83" t="s">
        <v>9471</v>
      </c>
      <c r="D3001" s="83" t="s">
        <v>9469</v>
      </c>
    </row>
    <row r="3002" spans="1:4">
      <c r="A3002" s="83" t="s">
        <v>9467</v>
      </c>
      <c r="B3002" s="83" t="s">
        <v>5010</v>
      </c>
      <c r="C3002" s="83" t="s">
        <v>9472</v>
      </c>
      <c r="D3002" s="83" t="s">
        <v>9469</v>
      </c>
    </row>
    <row r="3003" spans="1:4">
      <c r="A3003" s="83" t="s">
        <v>9473</v>
      </c>
      <c r="B3003" s="83" t="s">
        <v>5017</v>
      </c>
      <c r="C3003" s="83" t="s">
        <v>9474</v>
      </c>
      <c r="D3003" s="83" t="s">
        <v>9475</v>
      </c>
    </row>
    <row r="3004" spans="1:4">
      <c r="A3004" s="83" t="s">
        <v>9473</v>
      </c>
      <c r="B3004" s="83" t="s">
        <v>5012</v>
      </c>
      <c r="C3004" s="83" t="s">
        <v>9476</v>
      </c>
      <c r="D3004" s="83" t="s">
        <v>9475</v>
      </c>
    </row>
    <row r="3005" spans="1:4">
      <c r="A3005" s="83" t="s">
        <v>9473</v>
      </c>
      <c r="B3005" s="83" t="s">
        <v>5015</v>
      </c>
      <c r="C3005" s="83" t="s">
        <v>9477</v>
      </c>
      <c r="D3005" s="83" t="s">
        <v>9475</v>
      </c>
    </row>
    <row r="3006" spans="1:4">
      <c r="A3006" s="83" t="s">
        <v>9473</v>
      </c>
      <c r="B3006" s="83" t="s">
        <v>5010</v>
      </c>
      <c r="C3006" s="83" t="s">
        <v>9478</v>
      </c>
      <c r="D3006" s="83" t="s">
        <v>9475</v>
      </c>
    </row>
    <row r="3007" spans="1:4">
      <c r="A3007" s="83" t="s">
        <v>9479</v>
      </c>
      <c r="B3007" s="83" t="s">
        <v>5017</v>
      </c>
      <c r="C3007" s="83" t="s">
        <v>9480</v>
      </c>
      <c r="D3007" s="83" t="s">
        <v>9481</v>
      </c>
    </row>
    <row r="3008" spans="1:4">
      <c r="A3008" s="83" t="s">
        <v>9479</v>
      </c>
      <c r="B3008" s="83" t="s">
        <v>5012</v>
      </c>
      <c r="C3008" s="83" t="s">
        <v>9482</v>
      </c>
      <c r="D3008" s="83" t="s">
        <v>9481</v>
      </c>
    </row>
    <row r="3009" spans="1:4">
      <c r="A3009" s="83" t="s">
        <v>9479</v>
      </c>
      <c r="B3009" s="83" t="s">
        <v>5015</v>
      </c>
      <c r="C3009" s="83" t="s">
        <v>9483</v>
      </c>
      <c r="D3009" s="83" t="s">
        <v>9481</v>
      </c>
    </row>
    <row r="3010" spans="1:4">
      <c r="A3010" s="83" t="s">
        <v>9479</v>
      </c>
      <c r="B3010" s="83" t="s">
        <v>5010</v>
      </c>
      <c r="C3010" s="83" t="s">
        <v>9484</v>
      </c>
      <c r="D3010" s="83" t="s">
        <v>9481</v>
      </c>
    </row>
    <row r="3011" spans="1:4">
      <c r="A3011" s="83" t="s">
        <v>9485</v>
      </c>
      <c r="B3011" s="83" t="s">
        <v>5017</v>
      </c>
      <c r="C3011" s="83" t="s">
        <v>9486</v>
      </c>
      <c r="D3011" s="83" t="s">
        <v>9487</v>
      </c>
    </row>
    <row r="3012" spans="1:4">
      <c r="A3012" s="83" t="s">
        <v>9485</v>
      </c>
      <c r="B3012" s="83" t="s">
        <v>5012</v>
      </c>
      <c r="C3012" s="83" t="s">
        <v>9488</v>
      </c>
      <c r="D3012" s="83" t="s">
        <v>9487</v>
      </c>
    </row>
    <row r="3013" spans="1:4">
      <c r="A3013" s="83" t="s">
        <v>9485</v>
      </c>
      <c r="B3013" s="83" t="s">
        <v>5015</v>
      </c>
      <c r="C3013" s="83" t="s">
        <v>9489</v>
      </c>
      <c r="D3013" s="83" t="s">
        <v>9487</v>
      </c>
    </row>
    <row r="3014" spans="1:4">
      <c r="A3014" s="83" t="s">
        <v>9485</v>
      </c>
      <c r="B3014" s="83" t="s">
        <v>5010</v>
      </c>
      <c r="C3014" s="83" t="s">
        <v>9490</v>
      </c>
      <c r="D3014" s="83" t="s">
        <v>9487</v>
      </c>
    </row>
    <row r="3015" spans="1:4">
      <c r="A3015" s="83" t="s">
        <v>9491</v>
      </c>
      <c r="B3015" s="83" t="s">
        <v>5017</v>
      </c>
      <c r="C3015" s="83" t="s">
        <v>9492</v>
      </c>
      <c r="D3015" s="83" t="s">
        <v>9493</v>
      </c>
    </row>
    <row r="3016" spans="1:4">
      <c r="A3016" s="83" t="s">
        <v>9491</v>
      </c>
      <c r="B3016" s="83" t="s">
        <v>5012</v>
      </c>
      <c r="C3016" s="83" t="s">
        <v>9494</v>
      </c>
      <c r="D3016" s="83" t="s">
        <v>9493</v>
      </c>
    </row>
    <row r="3017" spans="1:4">
      <c r="A3017" s="83" t="s">
        <v>9491</v>
      </c>
      <c r="B3017" s="83" t="s">
        <v>5015</v>
      </c>
      <c r="C3017" s="83" t="s">
        <v>9495</v>
      </c>
      <c r="D3017" s="83" t="s">
        <v>9493</v>
      </c>
    </row>
    <row r="3018" spans="1:4">
      <c r="A3018" s="83" t="s">
        <v>9491</v>
      </c>
      <c r="B3018" s="83" t="s">
        <v>5010</v>
      </c>
      <c r="C3018" s="83" t="s">
        <v>9496</v>
      </c>
      <c r="D3018" s="83" t="s">
        <v>9493</v>
      </c>
    </row>
    <row r="3019" spans="1:4">
      <c r="A3019" s="83" t="s">
        <v>9497</v>
      </c>
      <c r="B3019" s="83" t="s">
        <v>5017</v>
      </c>
      <c r="C3019" s="83" t="s">
        <v>9498</v>
      </c>
      <c r="D3019" s="83" t="s">
        <v>9499</v>
      </c>
    </row>
    <row r="3020" spans="1:4">
      <c r="A3020" s="83" t="s">
        <v>9497</v>
      </c>
      <c r="B3020" s="83" t="s">
        <v>5012</v>
      </c>
      <c r="C3020" s="83" t="s">
        <v>9500</v>
      </c>
      <c r="D3020" s="83" t="s">
        <v>9499</v>
      </c>
    </row>
    <row r="3021" spans="1:4">
      <c r="A3021" s="83" t="s">
        <v>9497</v>
      </c>
      <c r="B3021" s="83" t="s">
        <v>5015</v>
      </c>
      <c r="C3021" s="83" t="s">
        <v>9501</v>
      </c>
      <c r="D3021" s="83" t="s">
        <v>9499</v>
      </c>
    </row>
    <row r="3022" spans="1:4">
      <c r="A3022" s="83" t="s">
        <v>9497</v>
      </c>
      <c r="B3022" s="83" t="s">
        <v>5010</v>
      </c>
      <c r="C3022" s="83" t="s">
        <v>9502</v>
      </c>
      <c r="D3022" s="83" t="s">
        <v>9499</v>
      </c>
    </row>
    <row r="3023" spans="1:4">
      <c r="A3023" s="83" t="s">
        <v>9503</v>
      </c>
      <c r="B3023" s="83" t="s">
        <v>5017</v>
      </c>
      <c r="C3023" s="83" t="s">
        <v>9504</v>
      </c>
      <c r="D3023" s="83" t="s">
        <v>9505</v>
      </c>
    </row>
    <row r="3024" spans="1:4">
      <c r="A3024" s="83" t="s">
        <v>9503</v>
      </c>
      <c r="B3024" s="83" t="s">
        <v>5012</v>
      </c>
      <c r="C3024" s="83" t="s">
        <v>9506</v>
      </c>
      <c r="D3024" s="83" t="s">
        <v>9505</v>
      </c>
    </row>
    <row r="3025" spans="1:4">
      <c r="A3025" s="83" t="s">
        <v>9503</v>
      </c>
      <c r="B3025" s="83" t="s">
        <v>5015</v>
      </c>
      <c r="C3025" s="83" t="s">
        <v>9507</v>
      </c>
      <c r="D3025" s="83" t="s">
        <v>9505</v>
      </c>
    </row>
    <row r="3026" spans="1:4">
      <c r="A3026" s="83" t="s">
        <v>9503</v>
      </c>
      <c r="B3026" s="83" t="s">
        <v>5010</v>
      </c>
      <c r="C3026" s="83" t="s">
        <v>9508</v>
      </c>
      <c r="D3026" s="83" t="s">
        <v>9505</v>
      </c>
    </row>
    <row r="3027" spans="1:4">
      <c r="A3027" s="83" t="s">
        <v>9509</v>
      </c>
      <c r="B3027" s="83" t="s">
        <v>5017</v>
      </c>
      <c r="C3027" s="83" t="s">
        <v>9510</v>
      </c>
      <c r="D3027" s="83" t="s">
        <v>9511</v>
      </c>
    </row>
    <row r="3028" spans="1:4">
      <c r="A3028" s="83" t="s">
        <v>9509</v>
      </c>
      <c r="B3028" s="83" t="s">
        <v>5012</v>
      </c>
      <c r="C3028" s="83" t="s">
        <v>9512</v>
      </c>
      <c r="D3028" s="83" t="s">
        <v>9511</v>
      </c>
    </row>
    <row r="3029" spans="1:4">
      <c r="A3029" s="83" t="s">
        <v>9509</v>
      </c>
      <c r="B3029" s="83" t="s">
        <v>5015</v>
      </c>
      <c r="C3029" s="83" t="s">
        <v>9513</v>
      </c>
      <c r="D3029" s="83" t="s">
        <v>9511</v>
      </c>
    </row>
    <row r="3030" spans="1:4">
      <c r="A3030" s="83" t="s">
        <v>9509</v>
      </c>
      <c r="B3030" s="83" t="s">
        <v>5010</v>
      </c>
      <c r="C3030" s="83" t="s">
        <v>9514</v>
      </c>
      <c r="D3030" s="83" t="s">
        <v>9511</v>
      </c>
    </row>
    <row r="3031" spans="1:4">
      <c r="A3031" s="83" t="s">
        <v>9515</v>
      </c>
      <c r="B3031" s="83" t="s">
        <v>5017</v>
      </c>
      <c r="C3031" s="83" t="s">
        <v>9516</v>
      </c>
      <c r="D3031" s="83" t="s">
        <v>9517</v>
      </c>
    </row>
    <row r="3032" spans="1:4">
      <c r="A3032" s="83" t="s">
        <v>9515</v>
      </c>
      <c r="B3032" s="83" t="s">
        <v>5012</v>
      </c>
      <c r="C3032" s="83" t="s">
        <v>9518</v>
      </c>
      <c r="D3032" s="83" t="s">
        <v>9517</v>
      </c>
    </row>
    <row r="3033" spans="1:4">
      <c r="A3033" s="83" t="s">
        <v>9515</v>
      </c>
      <c r="B3033" s="83" t="s">
        <v>5015</v>
      </c>
      <c r="C3033" s="83" t="s">
        <v>9519</v>
      </c>
      <c r="D3033" s="83" t="s">
        <v>9517</v>
      </c>
    </row>
    <row r="3034" spans="1:4">
      <c r="A3034" s="83" t="s">
        <v>9515</v>
      </c>
      <c r="B3034" s="83" t="s">
        <v>5010</v>
      </c>
      <c r="C3034" s="83" t="s">
        <v>9520</v>
      </c>
      <c r="D3034" s="83" t="s">
        <v>9517</v>
      </c>
    </row>
    <row r="3035" spans="1:4">
      <c r="A3035" s="83" t="s">
        <v>9521</v>
      </c>
      <c r="B3035" s="83" t="s">
        <v>5017</v>
      </c>
      <c r="C3035" s="83" t="s">
        <v>9522</v>
      </c>
      <c r="D3035" s="83" t="s">
        <v>9523</v>
      </c>
    </row>
    <row r="3036" spans="1:4">
      <c r="A3036" s="83" t="s">
        <v>9521</v>
      </c>
      <c r="B3036" s="83" t="s">
        <v>5012</v>
      </c>
      <c r="C3036" s="83" t="s">
        <v>9524</v>
      </c>
      <c r="D3036" s="83" t="s">
        <v>9523</v>
      </c>
    </row>
    <row r="3037" spans="1:4">
      <c r="A3037" s="83" t="s">
        <v>9521</v>
      </c>
      <c r="B3037" s="83" t="s">
        <v>5015</v>
      </c>
      <c r="C3037" s="83" t="s">
        <v>9525</v>
      </c>
      <c r="D3037" s="83" t="s">
        <v>9523</v>
      </c>
    </row>
    <row r="3038" spans="1:4">
      <c r="A3038" s="83" t="s">
        <v>9521</v>
      </c>
      <c r="B3038" s="83" t="s">
        <v>5010</v>
      </c>
      <c r="C3038" s="83" t="s">
        <v>9526</v>
      </c>
      <c r="D3038" s="83" t="s">
        <v>9523</v>
      </c>
    </row>
    <row r="3039" spans="1:4">
      <c r="A3039" s="83" t="s">
        <v>9527</v>
      </c>
      <c r="B3039" s="83" t="s">
        <v>5017</v>
      </c>
      <c r="C3039" s="83" t="s">
        <v>9528</v>
      </c>
      <c r="D3039" s="83" t="s">
        <v>9529</v>
      </c>
    </row>
    <row r="3040" spans="1:4">
      <c r="A3040" s="83" t="s">
        <v>9527</v>
      </c>
      <c r="B3040" s="83" t="s">
        <v>5012</v>
      </c>
      <c r="C3040" s="83" t="s">
        <v>9530</v>
      </c>
      <c r="D3040" s="83" t="s">
        <v>9529</v>
      </c>
    </row>
    <row r="3041" spans="1:4">
      <c r="A3041" s="83" t="s">
        <v>9527</v>
      </c>
      <c r="B3041" s="83" t="s">
        <v>5015</v>
      </c>
      <c r="C3041" s="83" t="s">
        <v>9531</v>
      </c>
      <c r="D3041" s="83" t="s">
        <v>9529</v>
      </c>
    </row>
    <row r="3042" spans="1:4">
      <c r="A3042" s="83" t="s">
        <v>9527</v>
      </c>
      <c r="B3042" s="83" t="s">
        <v>5010</v>
      </c>
      <c r="C3042" s="83" t="s">
        <v>9532</v>
      </c>
      <c r="D3042" s="83" t="s">
        <v>9529</v>
      </c>
    </row>
    <row r="3043" spans="1:4">
      <c r="A3043" s="83" t="s">
        <v>9533</v>
      </c>
      <c r="B3043" s="83" t="s">
        <v>5017</v>
      </c>
      <c r="C3043" s="83" t="s">
        <v>9534</v>
      </c>
      <c r="D3043" s="83" t="s">
        <v>9535</v>
      </c>
    </row>
    <row r="3044" spans="1:4">
      <c r="A3044" s="83" t="s">
        <v>9533</v>
      </c>
      <c r="B3044" s="83" t="s">
        <v>5012</v>
      </c>
      <c r="C3044" s="83" t="s">
        <v>9536</v>
      </c>
      <c r="D3044" s="83" t="s">
        <v>9535</v>
      </c>
    </row>
    <row r="3045" spans="1:4">
      <c r="A3045" s="83" t="s">
        <v>9533</v>
      </c>
      <c r="B3045" s="83" t="s">
        <v>5015</v>
      </c>
      <c r="C3045" s="83" t="s">
        <v>9537</v>
      </c>
      <c r="D3045" s="83" t="s">
        <v>9535</v>
      </c>
    </row>
    <row r="3046" spans="1:4">
      <c r="A3046" s="83" t="s">
        <v>9533</v>
      </c>
      <c r="B3046" s="83" t="s">
        <v>5010</v>
      </c>
      <c r="C3046" s="83" t="s">
        <v>9538</v>
      </c>
      <c r="D3046" s="83" t="s">
        <v>9535</v>
      </c>
    </row>
    <row r="3047" spans="1:4">
      <c r="A3047" s="83" t="s">
        <v>9539</v>
      </c>
      <c r="B3047" s="83" t="s">
        <v>5017</v>
      </c>
      <c r="C3047" s="83" t="s">
        <v>9540</v>
      </c>
      <c r="D3047" s="83" t="s">
        <v>9541</v>
      </c>
    </row>
    <row r="3048" spans="1:4">
      <c r="A3048" s="83" t="s">
        <v>9539</v>
      </c>
      <c r="B3048" s="83" t="s">
        <v>5012</v>
      </c>
      <c r="C3048" s="83" t="s">
        <v>9542</v>
      </c>
      <c r="D3048" s="83" t="s">
        <v>9541</v>
      </c>
    </row>
    <row r="3049" spans="1:4">
      <c r="A3049" s="83" t="s">
        <v>9539</v>
      </c>
      <c r="B3049" s="83" t="s">
        <v>5015</v>
      </c>
      <c r="C3049" s="83" t="s">
        <v>9543</v>
      </c>
      <c r="D3049" s="83" t="s">
        <v>9541</v>
      </c>
    </row>
    <row r="3050" spans="1:4">
      <c r="A3050" s="83" t="s">
        <v>9539</v>
      </c>
      <c r="B3050" s="83" t="s">
        <v>5010</v>
      </c>
      <c r="C3050" s="83" t="s">
        <v>9544</v>
      </c>
      <c r="D3050" s="83" t="s">
        <v>9541</v>
      </c>
    </row>
    <row r="3051" spans="1:4">
      <c r="A3051" s="83" t="s">
        <v>9545</v>
      </c>
      <c r="B3051" s="83" t="s">
        <v>5017</v>
      </c>
      <c r="C3051" s="83" t="s">
        <v>9546</v>
      </c>
      <c r="D3051" s="83" t="s">
        <v>9547</v>
      </c>
    </row>
    <row r="3052" spans="1:4">
      <c r="A3052" s="83" t="s">
        <v>9545</v>
      </c>
      <c r="B3052" s="83" t="s">
        <v>5012</v>
      </c>
      <c r="C3052" s="83" t="s">
        <v>9548</v>
      </c>
      <c r="D3052" s="83" t="s">
        <v>9547</v>
      </c>
    </row>
    <row r="3053" spans="1:4">
      <c r="A3053" s="83" t="s">
        <v>9545</v>
      </c>
      <c r="B3053" s="83" t="s">
        <v>5015</v>
      </c>
      <c r="C3053" s="83" t="s">
        <v>9549</v>
      </c>
      <c r="D3053" s="83" t="s">
        <v>9547</v>
      </c>
    </row>
    <row r="3054" spans="1:4">
      <c r="A3054" s="83" t="s">
        <v>9545</v>
      </c>
      <c r="B3054" s="83" t="s">
        <v>5010</v>
      </c>
      <c r="C3054" s="83" t="s">
        <v>9550</v>
      </c>
      <c r="D3054" s="83" t="s">
        <v>9547</v>
      </c>
    </row>
    <row r="3055" spans="1:4">
      <c r="A3055" s="83" t="s">
        <v>9551</v>
      </c>
      <c r="B3055" s="83" t="s">
        <v>5017</v>
      </c>
      <c r="C3055" s="83" t="s">
        <v>9552</v>
      </c>
      <c r="D3055" s="83" t="s">
        <v>9553</v>
      </c>
    </row>
    <row r="3056" spans="1:4">
      <c r="A3056" s="83" t="s">
        <v>9551</v>
      </c>
      <c r="B3056" s="83" t="s">
        <v>5012</v>
      </c>
      <c r="C3056" s="83" t="s">
        <v>9554</v>
      </c>
      <c r="D3056" s="83" t="s">
        <v>9553</v>
      </c>
    </row>
    <row r="3057" spans="1:4">
      <c r="A3057" s="83" t="s">
        <v>9551</v>
      </c>
      <c r="B3057" s="83" t="s">
        <v>5015</v>
      </c>
      <c r="C3057" s="83" t="s">
        <v>9555</v>
      </c>
      <c r="D3057" s="83" t="s">
        <v>9553</v>
      </c>
    </row>
    <row r="3058" spans="1:4">
      <c r="A3058" s="83" t="s">
        <v>9551</v>
      </c>
      <c r="B3058" s="83" t="s">
        <v>5010</v>
      </c>
      <c r="C3058" s="83" t="s">
        <v>9556</v>
      </c>
      <c r="D3058" s="83" t="s">
        <v>9553</v>
      </c>
    </row>
    <row r="3059" spans="1:4">
      <c r="A3059" s="83" t="s">
        <v>9557</v>
      </c>
      <c r="B3059" s="83" t="s">
        <v>5017</v>
      </c>
      <c r="C3059" s="83" t="s">
        <v>9558</v>
      </c>
      <c r="D3059" s="83" t="s">
        <v>9559</v>
      </c>
    </row>
    <row r="3060" spans="1:4">
      <c r="A3060" s="83" t="s">
        <v>9557</v>
      </c>
      <c r="B3060" s="83" t="s">
        <v>5012</v>
      </c>
      <c r="C3060" s="83" t="s">
        <v>9560</v>
      </c>
      <c r="D3060" s="83" t="s">
        <v>9559</v>
      </c>
    </row>
    <row r="3061" spans="1:4">
      <c r="A3061" s="83" t="s">
        <v>9557</v>
      </c>
      <c r="B3061" s="83" t="s">
        <v>5015</v>
      </c>
      <c r="C3061" s="83" t="s">
        <v>9561</v>
      </c>
      <c r="D3061" s="83" t="s">
        <v>9559</v>
      </c>
    </row>
    <row r="3062" spans="1:4">
      <c r="A3062" s="83" t="s">
        <v>9557</v>
      </c>
      <c r="B3062" s="83" t="s">
        <v>5010</v>
      </c>
      <c r="C3062" s="83" t="s">
        <v>9562</v>
      </c>
      <c r="D3062" s="83" t="s">
        <v>9559</v>
      </c>
    </row>
    <row r="3063" spans="1:4">
      <c r="A3063" s="83" t="s">
        <v>9563</v>
      </c>
      <c r="B3063" s="83" t="s">
        <v>5017</v>
      </c>
      <c r="C3063" s="83" t="s">
        <v>9564</v>
      </c>
      <c r="D3063" s="83" t="s">
        <v>9565</v>
      </c>
    </row>
    <row r="3064" spans="1:4">
      <c r="A3064" s="83" t="s">
        <v>9563</v>
      </c>
      <c r="B3064" s="83" t="s">
        <v>5012</v>
      </c>
      <c r="C3064" s="83" t="s">
        <v>9566</v>
      </c>
      <c r="D3064" s="83" t="s">
        <v>9565</v>
      </c>
    </row>
    <row r="3065" spans="1:4">
      <c r="A3065" s="83" t="s">
        <v>9563</v>
      </c>
      <c r="B3065" s="83" t="s">
        <v>5015</v>
      </c>
      <c r="C3065" s="83" t="s">
        <v>9567</v>
      </c>
      <c r="D3065" s="83" t="s">
        <v>9565</v>
      </c>
    </row>
    <row r="3066" spans="1:4">
      <c r="A3066" s="83" t="s">
        <v>9563</v>
      </c>
      <c r="B3066" s="83" t="s">
        <v>5010</v>
      </c>
      <c r="C3066" s="83" t="s">
        <v>9568</v>
      </c>
      <c r="D3066" s="83" t="s">
        <v>9565</v>
      </c>
    </row>
    <row r="3067" spans="1:4">
      <c r="A3067" s="83" t="s">
        <v>9569</v>
      </c>
      <c r="B3067" s="83" t="s">
        <v>5017</v>
      </c>
      <c r="C3067" s="83" t="s">
        <v>9570</v>
      </c>
      <c r="D3067" s="83" t="s">
        <v>9571</v>
      </c>
    </row>
    <row r="3068" spans="1:4">
      <c r="A3068" s="83" t="s">
        <v>9569</v>
      </c>
      <c r="B3068" s="83" t="s">
        <v>5012</v>
      </c>
      <c r="C3068" s="83" t="s">
        <v>9572</v>
      </c>
      <c r="D3068" s="83" t="s">
        <v>9571</v>
      </c>
    </row>
    <row r="3069" spans="1:4">
      <c r="A3069" s="83" t="s">
        <v>9569</v>
      </c>
      <c r="B3069" s="83" t="s">
        <v>5015</v>
      </c>
      <c r="C3069" s="83" t="s">
        <v>9573</v>
      </c>
      <c r="D3069" s="83" t="s">
        <v>9571</v>
      </c>
    </row>
    <row r="3070" spans="1:4">
      <c r="A3070" s="83" t="s">
        <v>9569</v>
      </c>
      <c r="B3070" s="83" t="s">
        <v>5010</v>
      </c>
      <c r="C3070" s="83" t="s">
        <v>9035</v>
      </c>
      <c r="D3070" s="83" t="s">
        <v>9571</v>
      </c>
    </row>
    <row r="3071" spans="1:4">
      <c r="A3071" s="83" t="s">
        <v>9574</v>
      </c>
      <c r="B3071" s="83" t="s">
        <v>5017</v>
      </c>
      <c r="C3071" s="83" t="s">
        <v>9575</v>
      </c>
      <c r="D3071" s="83" t="s">
        <v>9576</v>
      </c>
    </row>
    <row r="3072" spans="1:4">
      <c r="A3072" s="83" t="s">
        <v>9574</v>
      </c>
      <c r="B3072" s="83" t="s">
        <v>5012</v>
      </c>
      <c r="C3072" s="83" t="s">
        <v>9577</v>
      </c>
      <c r="D3072" s="83" t="s">
        <v>9576</v>
      </c>
    </row>
    <row r="3073" spans="1:4">
      <c r="A3073" s="83" t="s">
        <v>9574</v>
      </c>
      <c r="B3073" s="83" t="s">
        <v>5015</v>
      </c>
      <c r="C3073" s="83" t="s">
        <v>9578</v>
      </c>
      <c r="D3073" s="83" t="s">
        <v>9576</v>
      </c>
    </row>
    <row r="3074" spans="1:4">
      <c r="A3074" s="83" t="s">
        <v>9574</v>
      </c>
      <c r="B3074" s="83" t="s">
        <v>5010</v>
      </c>
      <c r="C3074" s="83" t="s">
        <v>9579</v>
      </c>
      <c r="D3074" s="83" t="s">
        <v>9576</v>
      </c>
    </row>
    <row r="3075" spans="1:4">
      <c r="A3075" s="83" t="s">
        <v>9580</v>
      </c>
      <c r="B3075" s="83" t="s">
        <v>5017</v>
      </c>
      <c r="C3075" s="83" t="s">
        <v>9581</v>
      </c>
      <c r="D3075" s="83" t="s">
        <v>9582</v>
      </c>
    </row>
    <row r="3076" spans="1:4">
      <c r="A3076" s="83" t="s">
        <v>9580</v>
      </c>
      <c r="B3076" s="83" t="s">
        <v>5012</v>
      </c>
      <c r="C3076" s="83" t="s">
        <v>9583</v>
      </c>
      <c r="D3076" s="83" t="s">
        <v>9582</v>
      </c>
    </row>
    <row r="3077" spans="1:4">
      <c r="A3077" s="83" t="s">
        <v>9580</v>
      </c>
      <c r="B3077" s="83" t="s">
        <v>5015</v>
      </c>
      <c r="C3077" s="83" t="s">
        <v>9584</v>
      </c>
      <c r="D3077" s="83" t="s">
        <v>9582</v>
      </c>
    </row>
    <row r="3078" spans="1:4">
      <c r="A3078" s="83" t="s">
        <v>9580</v>
      </c>
      <c r="B3078" s="83" t="s">
        <v>5010</v>
      </c>
      <c r="C3078" s="83" t="s">
        <v>9585</v>
      </c>
      <c r="D3078" s="83" t="s">
        <v>9582</v>
      </c>
    </row>
    <row r="3079" spans="1:4">
      <c r="A3079" s="83" t="s">
        <v>9586</v>
      </c>
      <c r="B3079" s="83" t="s">
        <v>5017</v>
      </c>
      <c r="C3079" s="83" t="s">
        <v>9587</v>
      </c>
      <c r="D3079" s="83" t="s">
        <v>9588</v>
      </c>
    </row>
    <row r="3080" spans="1:4">
      <c r="A3080" s="83" t="s">
        <v>9586</v>
      </c>
      <c r="B3080" s="83" t="s">
        <v>5012</v>
      </c>
      <c r="C3080" s="83" t="s">
        <v>9589</v>
      </c>
      <c r="D3080" s="83" t="s">
        <v>9588</v>
      </c>
    </row>
    <row r="3081" spans="1:4">
      <c r="A3081" s="83" t="s">
        <v>9586</v>
      </c>
      <c r="B3081" s="83" t="s">
        <v>5015</v>
      </c>
      <c r="C3081" s="83" t="s">
        <v>9590</v>
      </c>
      <c r="D3081" s="83" t="s">
        <v>9588</v>
      </c>
    </row>
    <row r="3082" spans="1:4">
      <c r="A3082" s="83" t="s">
        <v>9586</v>
      </c>
      <c r="B3082" s="83" t="s">
        <v>5010</v>
      </c>
      <c r="C3082" s="83" t="s">
        <v>9591</v>
      </c>
      <c r="D3082" s="83" t="s">
        <v>9588</v>
      </c>
    </row>
    <row r="3083" spans="1:4">
      <c r="A3083" s="83" t="s">
        <v>9592</v>
      </c>
      <c r="B3083" s="83" t="s">
        <v>5017</v>
      </c>
      <c r="C3083" s="83" t="s">
        <v>9593</v>
      </c>
      <c r="D3083" s="83" t="s">
        <v>9594</v>
      </c>
    </row>
    <row r="3084" spans="1:4">
      <c r="A3084" s="83" t="s">
        <v>9592</v>
      </c>
      <c r="B3084" s="83" t="s">
        <v>5012</v>
      </c>
      <c r="C3084" s="83" t="s">
        <v>9595</v>
      </c>
      <c r="D3084" s="83" t="s">
        <v>9594</v>
      </c>
    </row>
    <row r="3085" spans="1:4">
      <c r="A3085" s="83" t="s">
        <v>9592</v>
      </c>
      <c r="B3085" s="83" t="s">
        <v>5015</v>
      </c>
      <c r="C3085" s="83" t="s">
        <v>9596</v>
      </c>
      <c r="D3085" s="83" t="s">
        <v>9594</v>
      </c>
    </row>
    <row r="3086" spans="1:4">
      <c r="A3086" s="83" t="s">
        <v>9592</v>
      </c>
      <c r="B3086" s="83" t="s">
        <v>5010</v>
      </c>
      <c r="C3086" s="83" t="s">
        <v>9597</v>
      </c>
      <c r="D3086" s="83" t="s">
        <v>9594</v>
      </c>
    </row>
    <row r="3087" spans="1:4">
      <c r="A3087" s="83" t="s">
        <v>9598</v>
      </c>
      <c r="B3087" s="83" t="s">
        <v>5017</v>
      </c>
      <c r="C3087" s="83" t="s">
        <v>9599</v>
      </c>
      <c r="D3087" s="83" t="s">
        <v>9600</v>
      </c>
    </row>
    <row r="3088" spans="1:4">
      <c r="A3088" s="83" t="s">
        <v>9598</v>
      </c>
      <c r="B3088" s="83" t="s">
        <v>5012</v>
      </c>
      <c r="C3088" s="83" t="s">
        <v>9601</v>
      </c>
      <c r="D3088" s="83" t="s">
        <v>9600</v>
      </c>
    </row>
    <row r="3089" spans="1:4">
      <c r="A3089" s="83" t="s">
        <v>9598</v>
      </c>
      <c r="B3089" s="83" t="s">
        <v>5015</v>
      </c>
      <c r="C3089" s="83" t="s">
        <v>9602</v>
      </c>
      <c r="D3089" s="83" t="s">
        <v>9600</v>
      </c>
    </row>
    <row r="3090" spans="1:4">
      <c r="A3090" s="83" t="s">
        <v>9598</v>
      </c>
      <c r="B3090" s="83" t="s">
        <v>5010</v>
      </c>
      <c r="C3090" s="83" t="s">
        <v>9603</v>
      </c>
      <c r="D3090" s="83" t="s">
        <v>9600</v>
      </c>
    </row>
    <row r="3091" spans="1:4">
      <c r="A3091" s="83" t="s">
        <v>9604</v>
      </c>
      <c r="B3091" s="83" t="s">
        <v>5017</v>
      </c>
      <c r="C3091" s="83" t="s">
        <v>9605</v>
      </c>
      <c r="D3091" s="83" t="s">
        <v>9606</v>
      </c>
    </row>
    <row r="3092" spans="1:4">
      <c r="A3092" s="83" t="s">
        <v>9604</v>
      </c>
      <c r="B3092" s="83" t="s">
        <v>5012</v>
      </c>
      <c r="C3092" s="83" t="s">
        <v>9607</v>
      </c>
      <c r="D3092" s="83" t="s">
        <v>9606</v>
      </c>
    </row>
    <row r="3093" spans="1:4">
      <c r="A3093" s="83" t="s">
        <v>9604</v>
      </c>
      <c r="B3093" s="83" t="s">
        <v>5015</v>
      </c>
      <c r="C3093" s="83" t="s">
        <v>9608</v>
      </c>
      <c r="D3093" s="83" t="s">
        <v>9606</v>
      </c>
    </row>
    <row r="3094" spans="1:4">
      <c r="A3094" s="83" t="s">
        <v>9604</v>
      </c>
      <c r="B3094" s="83" t="s">
        <v>5010</v>
      </c>
      <c r="C3094" s="83" t="s">
        <v>9609</v>
      </c>
      <c r="D3094" s="83" t="s">
        <v>9606</v>
      </c>
    </row>
    <row r="3095" spans="1:4">
      <c r="A3095" s="83" t="s">
        <v>9610</v>
      </c>
      <c r="B3095" s="83" t="s">
        <v>5017</v>
      </c>
      <c r="C3095" s="83" t="s">
        <v>9611</v>
      </c>
      <c r="D3095" s="83" t="s">
        <v>9612</v>
      </c>
    </row>
    <row r="3096" spans="1:4">
      <c r="A3096" s="83" t="s">
        <v>9610</v>
      </c>
      <c r="B3096" s="83" t="s">
        <v>5012</v>
      </c>
      <c r="C3096" s="83" t="s">
        <v>9613</v>
      </c>
      <c r="D3096" s="83" t="s">
        <v>9612</v>
      </c>
    </row>
    <row r="3097" spans="1:4">
      <c r="A3097" s="83" t="s">
        <v>9610</v>
      </c>
      <c r="B3097" s="83" t="s">
        <v>5015</v>
      </c>
      <c r="C3097" s="83" t="s">
        <v>9614</v>
      </c>
      <c r="D3097" s="83" t="s">
        <v>9612</v>
      </c>
    </row>
    <row r="3098" spans="1:4">
      <c r="A3098" s="83" t="s">
        <v>9610</v>
      </c>
      <c r="B3098" s="83" t="s">
        <v>5010</v>
      </c>
      <c r="C3098" s="83" t="s">
        <v>9615</v>
      </c>
      <c r="D3098" s="83" t="s">
        <v>9612</v>
      </c>
    </row>
    <row r="3099" spans="1:4">
      <c r="A3099" s="83" t="s">
        <v>9616</v>
      </c>
      <c r="B3099" s="83" t="s">
        <v>5017</v>
      </c>
      <c r="C3099" s="83" t="s">
        <v>9617</v>
      </c>
      <c r="D3099" s="83" t="s">
        <v>9618</v>
      </c>
    </row>
    <row r="3100" spans="1:4">
      <c r="A3100" s="83" t="s">
        <v>9616</v>
      </c>
      <c r="B3100" s="83" t="s">
        <v>5012</v>
      </c>
      <c r="C3100" s="83" t="s">
        <v>9619</v>
      </c>
      <c r="D3100" s="83" t="s">
        <v>9618</v>
      </c>
    </row>
    <row r="3101" spans="1:4">
      <c r="A3101" s="83" t="s">
        <v>9616</v>
      </c>
      <c r="B3101" s="83" t="s">
        <v>5015</v>
      </c>
      <c r="C3101" s="83" t="s">
        <v>9620</v>
      </c>
      <c r="D3101" s="83" t="s">
        <v>9618</v>
      </c>
    </row>
    <row r="3102" spans="1:4">
      <c r="A3102" s="83" t="s">
        <v>9616</v>
      </c>
      <c r="B3102" s="83" t="s">
        <v>5010</v>
      </c>
      <c r="C3102" s="83" t="s">
        <v>9621</v>
      </c>
      <c r="D3102" s="83" t="s">
        <v>9618</v>
      </c>
    </row>
    <row r="3103" spans="1:4">
      <c r="A3103" s="83" t="s">
        <v>9622</v>
      </c>
      <c r="B3103" s="83" t="s">
        <v>5017</v>
      </c>
      <c r="C3103" s="83" t="s">
        <v>9623</v>
      </c>
      <c r="D3103" s="83" t="s">
        <v>9624</v>
      </c>
    </row>
    <row r="3104" spans="1:4">
      <c r="A3104" s="83" t="s">
        <v>9622</v>
      </c>
      <c r="B3104" s="83" t="s">
        <v>5012</v>
      </c>
      <c r="C3104" s="83" t="s">
        <v>9625</v>
      </c>
      <c r="D3104" s="83" t="s">
        <v>9624</v>
      </c>
    </row>
    <row r="3105" spans="1:4">
      <c r="A3105" s="83" t="s">
        <v>9622</v>
      </c>
      <c r="B3105" s="83" t="s">
        <v>5015</v>
      </c>
      <c r="C3105" s="83" t="s">
        <v>9626</v>
      </c>
      <c r="D3105" s="83" t="s">
        <v>9624</v>
      </c>
    </row>
    <row r="3106" spans="1:4">
      <c r="A3106" s="83" t="s">
        <v>9622</v>
      </c>
      <c r="B3106" s="83" t="s">
        <v>5010</v>
      </c>
      <c r="C3106" s="83" t="s">
        <v>9627</v>
      </c>
      <c r="D3106" s="83" t="s">
        <v>9624</v>
      </c>
    </row>
    <row r="3107" spans="1:4">
      <c r="A3107" s="83" t="s">
        <v>9628</v>
      </c>
      <c r="B3107" s="83" t="s">
        <v>5017</v>
      </c>
      <c r="C3107" s="83" t="s">
        <v>9629</v>
      </c>
      <c r="D3107" s="83" t="s">
        <v>9630</v>
      </c>
    </row>
    <row r="3108" spans="1:4">
      <c r="A3108" s="83" t="s">
        <v>9628</v>
      </c>
      <c r="B3108" s="83" t="s">
        <v>5012</v>
      </c>
      <c r="C3108" s="83" t="s">
        <v>9631</v>
      </c>
      <c r="D3108" s="83" t="s">
        <v>9630</v>
      </c>
    </row>
    <row r="3109" spans="1:4">
      <c r="A3109" s="83" t="s">
        <v>9628</v>
      </c>
      <c r="B3109" s="83" t="s">
        <v>5015</v>
      </c>
      <c r="C3109" s="83" t="s">
        <v>9632</v>
      </c>
      <c r="D3109" s="83" t="s">
        <v>9630</v>
      </c>
    </row>
    <row r="3110" spans="1:4">
      <c r="A3110" s="83" t="s">
        <v>9628</v>
      </c>
      <c r="B3110" s="83" t="s">
        <v>5010</v>
      </c>
      <c r="C3110" s="83" t="s">
        <v>9633</v>
      </c>
      <c r="D3110" s="83" t="s">
        <v>9630</v>
      </c>
    </row>
    <row r="3111" spans="1:4">
      <c r="A3111" s="83" t="s">
        <v>9634</v>
      </c>
      <c r="B3111" s="83" t="s">
        <v>5017</v>
      </c>
      <c r="C3111" s="83" t="s">
        <v>9635</v>
      </c>
      <c r="D3111" s="83" t="s">
        <v>9636</v>
      </c>
    </row>
    <row r="3112" spans="1:4">
      <c r="A3112" s="83" t="s">
        <v>9634</v>
      </c>
      <c r="B3112" s="83" t="s">
        <v>5012</v>
      </c>
      <c r="C3112" s="83" t="s">
        <v>9637</v>
      </c>
      <c r="D3112" s="83" t="s">
        <v>9636</v>
      </c>
    </row>
    <row r="3113" spans="1:4">
      <c r="A3113" s="83" t="s">
        <v>9634</v>
      </c>
      <c r="B3113" s="83" t="s">
        <v>5015</v>
      </c>
      <c r="C3113" s="83" t="s">
        <v>9638</v>
      </c>
      <c r="D3113" s="83" t="s">
        <v>9636</v>
      </c>
    </row>
    <row r="3114" spans="1:4">
      <c r="A3114" s="83" t="s">
        <v>9634</v>
      </c>
      <c r="B3114" s="83" t="s">
        <v>5010</v>
      </c>
      <c r="C3114" s="83" t="s">
        <v>9639</v>
      </c>
      <c r="D3114" s="83" t="s">
        <v>9636</v>
      </c>
    </row>
    <row r="3115" spans="1:4">
      <c r="A3115" s="83" t="s">
        <v>9640</v>
      </c>
      <c r="B3115" s="83" t="s">
        <v>5017</v>
      </c>
      <c r="C3115" s="83" t="s">
        <v>9641</v>
      </c>
      <c r="D3115" s="83" t="s">
        <v>9642</v>
      </c>
    </row>
    <row r="3116" spans="1:4">
      <c r="A3116" s="83" t="s">
        <v>9640</v>
      </c>
      <c r="B3116" s="83" t="s">
        <v>5012</v>
      </c>
      <c r="C3116" s="83" t="s">
        <v>9643</v>
      </c>
      <c r="D3116" s="83" t="s">
        <v>9642</v>
      </c>
    </row>
    <row r="3117" spans="1:4">
      <c r="A3117" s="83" t="s">
        <v>9640</v>
      </c>
      <c r="B3117" s="83" t="s">
        <v>5015</v>
      </c>
      <c r="C3117" s="83" t="s">
        <v>9644</v>
      </c>
      <c r="D3117" s="83" t="s">
        <v>9642</v>
      </c>
    </row>
    <row r="3118" spans="1:4">
      <c r="A3118" s="83" t="s">
        <v>9640</v>
      </c>
      <c r="B3118" s="83" t="s">
        <v>5010</v>
      </c>
      <c r="C3118" s="83" t="s">
        <v>9645</v>
      </c>
      <c r="D3118" s="83" t="s">
        <v>9642</v>
      </c>
    </row>
    <row r="3119" spans="1:4">
      <c r="A3119" s="83" t="s">
        <v>9646</v>
      </c>
      <c r="B3119" s="83" t="s">
        <v>5017</v>
      </c>
      <c r="C3119" s="83" t="s">
        <v>9647</v>
      </c>
      <c r="D3119" s="83" t="s">
        <v>9648</v>
      </c>
    </row>
    <row r="3120" spans="1:4">
      <c r="A3120" s="83" t="s">
        <v>9646</v>
      </c>
      <c r="B3120" s="83" t="s">
        <v>5012</v>
      </c>
      <c r="C3120" s="83" t="s">
        <v>9649</v>
      </c>
      <c r="D3120" s="83" t="s">
        <v>9648</v>
      </c>
    </row>
    <row r="3121" spans="1:4">
      <c r="A3121" s="83" t="s">
        <v>9646</v>
      </c>
      <c r="B3121" s="83" t="s">
        <v>5015</v>
      </c>
      <c r="C3121" s="83" t="s">
        <v>9650</v>
      </c>
      <c r="D3121" s="83" t="s">
        <v>9648</v>
      </c>
    </row>
    <row r="3122" spans="1:4">
      <c r="A3122" s="83" t="s">
        <v>9646</v>
      </c>
      <c r="B3122" s="83" t="s">
        <v>5010</v>
      </c>
      <c r="C3122" s="83" t="s">
        <v>9651</v>
      </c>
      <c r="D3122" s="83" t="s">
        <v>9648</v>
      </c>
    </row>
    <row r="3123" spans="1:4">
      <c r="A3123" s="83" t="s">
        <v>9652</v>
      </c>
      <c r="B3123" s="83" t="s">
        <v>5017</v>
      </c>
      <c r="C3123" s="83" t="s">
        <v>9653</v>
      </c>
      <c r="D3123" s="83" t="s">
        <v>9654</v>
      </c>
    </row>
    <row r="3124" spans="1:4">
      <c r="A3124" s="83" t="s">
        <v>9652</v>
      </c>
      <c r="B3124" s="83" t="s">
        <v>5012</v>
      </c>
      <c r="C3124" s="83" t="s">
        <v>9655</v>
      </c>
      <c r="D3124" s="83" t="s">
        <v>9654</v>
      </c>
    </row>
    <row r="3125" spans="1:4">
      <c r="A3125" s="83" t="s">
        <v>9652</v>
      </c>
      <c r="B3125" s="83" t="s">
        <v>5015</v>
      </c>
      <c r="C3125" s="83" t="s">
        <v>9656</v>
      </c>
      <c r="D3125" s="83" t="s">
        <v>9654</v>
      </c>
    </row>
    <row r="3126" spans="1:4">
      <c r="A3126" s="83" t="s">
        <v>9652</v>
      </c>
      <c r="B3126" s="83" t="s">
        <v>5010</v>
      </c>
      <c r="C3126" s="83" t="s">
        <v>9657</v>
      </c>
      <c r="D3126" s="83" t="s">
        <v>9654</v>
      </c>
    </row>
    <row r="3127" spans="1:4">
      <c r="A3127" s="83" t="s">
        <v>9658</v>
      </c>
      <c r="B3127" s="83" t="s">
        <v>5017</v>
      </c>
      <c r="C3127" s="83" t="s">
        <v>9659</v>
      </c>
      <c r="D3127" s="83" t="s">
        <v>9660</v>
      </c>
    </row>
    <row r="3128" spans="1:4">
      <c r="A3128" s="83" t="s">
        <v>9658</v>
      </c>
      <c r="B3128" s="83" t="s">
        <v>5012</v>
      </c>
      <c r="C3128" s="83" t="s">
        <v>9661</v>
      </c>
      <c r="D3128" s="83" t="s">
        <v>9660</v>
      </c>
    </row>
    <row r="3129" spans="1:4">
      <c r="A3129" s="83" t="s">
        <v>9658</v>
      </c>
      <c r="B3129" s="83" t="s">
        <v>5015</v>
      </c>
      <c r="C3129" s="83" t="s">
        <v>9662</v>
      </c>
      <c r="D3129" s="83" t="s">
        <v>9660</v>
      </c>
    </row>
    <row r="3130" spans="1:4">
      <c r="A3130" s="83" t="s">
        <v>9658</v>
      </c>
      <c r="B3130" s="83" t="s">
        <v>5010</v>
      </c>
      <c r="C3130" s="83" t="s">
        <v>9663</v>
      </c>
      <c r="D3130" s="83" t="s">
        <v>9660</v>
      </c>
    </row>
    <row r="3131" spans="1:4">
      <c r="A3131" s="83" t="s">
        <v>9664</v>
      </c>
      <c r="B3131" s="83" t="s">
        <v>5017</v>
      </c>
      <c r="C3131" s="83" t="s">
        <v>9665</v>
      </c>
      <c r="D3131" s="83" t="s">
        <v>9666</v>
      </c>
    </row>
    <row r="3132" spans="1:4">
      <c r="A3132" s="83" t="s">
        <v>9664</v>
      </c>
      <c r="B3132" s="83" t="s">
        <v>5012</v>
      </c>
      <c r="C3132" s="83" t="s">
        <v>9667</v>
      </c>
      <c r="D3132" s="83" t="s">
        <v>9666</v>
      </c>
    </row>
    <row r="3133" spans="1:4">
      <c r="A3133" s="83" t="s">
        <v>9664</v>
      </c>
      <c r="B3133" s="83" t="s">
        <v>5015</v>
      </c>
      <c r="C3133" s="83" t="s">
        <v>9668</v>
      </c>
      <c r="D3133" s="83" t="s">
        <v>9666</v>
      </c>
    </row>
    <row r="3134" spans="1:4">
      <c r="A3134" s="83" t="s">
        <v>9664</v>
      </c>
      <c r="B3134" s="83" t="s">
        <v>5010</v>
      </c>
      <c r="C3134" s="83" t="s">
        <v>9669</v>
      </c>
      <c r="D3134" s="83" t="s">
        <v>9666</v>
      </c>
    </row>
    <row r="3135" spans="1:4">
      <c r="A3135" s="83" t="s">
        <v>9670</v>
      </c>
      <c r="B3135" s="83" t="s">
        <v>5017</v>
      </c>
      <c r="C3135" s="83" t="s">
        <v>9671</v>
      </c>
      <c r="D3135" s="83" t="s">
        <v>9672</v>
      </c>
    </row>
    <row r="3136" spans="1:4">
      <c r="A3136" s="83" t="s">
        <v>9670</v>
      </c>
      <c r="B3136" s="83" t="s">
        <v>5012</v>
      </c>
      <c r="C3136" s="83" t="s">
        <v>9673</v>
      </c>
      <c r="D3136" s="83" t="s">
        <v>9672</v>
      </c>
    </row>
    <row r="3137" spans="1:4">
      <c r="A3137" s="83" t="s">
        <v>9670</v>
      </c>
      <c r="B3137" s="83" t="s">
        <v>5015</v>
      </c>
      <c r="C3137" s="83" t="s">
        <v>9674</v>
      </c>
      <c r="D3137" s="83" t="s">
        <v>9672</v>
      </c>
    </row>
    <row r="3138" spans="1:4">
      <c r="A3138" s="83" t="s">
        <v>9670</v>
      </c>
      <c r="B3138" s="83" t="s">
        <v>5010</v>
      </c>
      <c r="C3138" s="83" t="s">
        <v>9675</v>
      </c>
      <c r="D3138" s="83" t="s">
        <v>9672</v>
      </c>
    </row>
    <row r="3139" spans="1:4">
      <c r="A3139" s="83" t="s">
        <v>9676</v>
      </c>
      <c r="B3139" s="83" t="s">
        <v>5017</v>
      </c>
      <c r="C3139" s="83" t="s">
        <v>9677</v>
      </c>
      <c r="D3139" s="83" t="s">
        <v>9678</v>
      </c>
    </row>
    <row r="3140" spans="1:4">
      <c r="A3140" s="83" t="s">
        <v>9676</v>
      </c>
      <c r="B3140" s="83" t="s">
        <v>5012</v>
      </c>
      <c r="C3140" s="83" t="s">
        <v>9679</v>
      </c>
      <c r="D3140" s="83" t="s">
        <v>9678</v>
      </c>
    </row>
    <row r="3141" spans="1:4">
      <c r="A3141" s="83" t="s">
        <v>9676</v>
      </c>
      <c r="B3141" s="83" t="s">
        <v>5015</v>
      </c>
      <c r="C3141" s="83" t="s">
        <v>9680</v>
      </c>
      <c r="D3141" s="83" t="s">
        <v>9678</v>
      </c>
    </row>
    <row r="3142" spans="1:4">
      <c r="A3142" s="83" t="s">
        <v>9676</v>
      </c>
      <c r="B3142" s="83" t="s">
        <v>5010</v>
      </c>
      <c r="C3142" s="83" t="s">
        <v>9681</v>
      </c>
      <c r="D3142" s="83" t="s">
        <v>9678</v>
      </c>
    </row>
    <row r="3143" spans="1:4">
      <c r="A3143" s="83" t="s">
        <v>9682</v>
      </c>
      <c r="B3143" s="83" t="s">
        <v>5017</v>
      </c>
      <c r="C3143" s="83" t="s">
        <v>9683</v>
      </c>
      <c r="D3143" s="83" t="s">
        <v>9684</v>
      </c>
    </row>
    <row r="3144" spans="1:4">
      <c r="A3144" s="83" t="s">
        <v>9682</v>
      </c>
      <c r="B3144" s="83" t="s">
        <v>5012</v>
      </c>
      <c r="C3144" s="83" t="s">
        <v>9685</v>
      </c>
      <c r="D3144" s="83" t="s">
        <v>9684</v>
      </c>
    </row>
    <row r="3145" spans="1:4">
      <c r="A3145" s="83" t="s">
        <v>9682</v>
      </c>
      <c r="B3145" s="83" t="s">
        <v>5015</v>
      </c>
      <c r="C3145" s="83" t="s">
        <v>9686</v>
      </c>
      <c r="D3145" s="83" t="s">
        <v>9684</v>
      </c>
    </row>
    <row r="3146" spans="1:4">
      <c r="A3146" s="83" t="s">
        <v>9682</v>
      </c>
      <c r="B3146" s="83" t="s">
        <v>5010</v>
      </c>
      <c r="C3146" s="83" t="s">
        <v>9687</v>
      </c>
      <c r="D3146" s="83" t="s">
        <v>9684</v>
      </c>
    </row>
    <row r="3147" spans="1:4">
      <c r="A3147" s="83" t="s">
        <v>9688</v>
      </c>
      <c r="B3147" s="83" t="s">
        <v>5017</v>
      </c>
      <c r="C3147" s="83" t="s">
        <v>9689</v>
      </c>
      <c r="D3147" s="83" t="s">
        <v>9690</v>
      </c>
    </row>
    <row r="3148" spans="1:4">
      <c r="A3148" s="83" t="s">
        <v>9688</v>
      </c>
      <c r="B3148" s="83" t="s">
        <v>5012</v>
      </c>
      <c r="C3148" s="83" t="s">
        <v>9691</v>
      </c>
      <c r="D3148" s="83" t="s">
        <v>9690</v>
      </c>
    </row>
    <row r="3149" spans="1:4">
      <c r="A3149" s="83" t="s">
        <v>9688</v>
      </c>
      <c r="B3149" s="83" t="s">
        <v>5015</v>
      </c>
      <c r="C3149" s="83" t="s">
        <v>9692</v>
      </c>
      <c r="D3149" s="83" t="s">
        <v>9690</v>
      </c>
    </row>
    <row r="3150" spans="1:4">
      <c r="A3150" s="83" t="s">
        <v>9688</v>
      </c>
      <c r="B3150" s="83" t="s">
        <v>5010</v>
      </c>
      <c r="C3150" s="83" t="s">
        <v>9693</v>
      </c>
      <c r="D3150" s="83" t="s">
        <v>9690</v>
      </c>
    </row>
    <row r="3151" spans="1:4">
      <c r="A3151" s="83" t="s">
        <v>9694</v>
      </c>
      <c r="B3151" s="83" t="s">
        <v>5017</v>
      </c>
      <c r="C3151" s="83" t="s">
        <v>9695</v>
      </c>
      <c r="D3151" s="83" t="s">
        <v>9696</v>
      </c>
    </row>
    <row r="3152" spans="1:4">
      <c r="A3152" s="83" t="s">
        <v>9694</v>
      </c>
      <c r="B3152" s="83" t="s">
        <v>5012</v>
      </c>
      <c r="C3152" s="83" t="s">
        <v>9697</v>
      </c>
      <c r="D3152" s="83" t="s">
        <v>9696</v>
      </c>
    </row>
    <row r="3153" spans="1:4">
      <c r="A3153" s="83" t="s">
        <v>9694</v>
      </c>
      <c r="B3153" s="83" t="s">
        <v>5015</v>
      </c>
      <c r="C3153" s="83" t="s">
        <v>9698</v>
      </c>
      <c r="D3153" s="83" t="s">
        <v>9696</v>
      </c>
    </row>
    <row r="3154" spans="1:4">
      <c r="A3154" s="83" t="s">
        <v>9694</v>
      </c>
      <c r="B3154" s="83" t="s">
        <v>5010</v>
      </c>
      <c r="C3154" s="83" t="s">
        <v>9699</v>
      </c>
      <c r="D3154" s="83" t="s">
        <v>9696</v>
      </c>
    </row>
    <row r="3155" spans="1:4">
      <c r="A3155" s="83" t="s">
        <v>9700</v>
      </c>
      <c r="B3155" s="83" t="s">
        <v>5017</v>
      </c>
      <c r="C3155" s="83" t="s">
        <v>9701</v>
      </c>
      <c r="D3155" s="83" t="s">
        <v>9702</v>
      </c>
    </row>
    <row r="3156" spans="1:4">
      <c r="A3156" s="83" t="s">
        <v>9700</v>
      </c>
      <c r="B3156" s="83" t="s">
        <v>5012</v>
      </c>
      <c r="C3156" s="83" t="s">
        <v>9703</v>
      </c>
      <c r="D3156" s="83" t="s">
        <v>9702</v>
      </c>
    </row>
    <row r="3157" spans="1:4">
      <c r="A3157" s="83" t="s">
        <v>9700</v>
      </c>
      <c r="B3157" s="83" t="s">
        <v>5015</v>
      </c>
      <c r="C3157" s="83" t="s">
        <v>9704</v>
      </c>
      <c r="D3157" s="83" t="s">
        <v>9702</v>
      </c>
    </row>
    <row r="3158" spans="1:4">
      <c r="A3158" s="83" t="s">
        <v>9700</v>
      </c>
      <c r="B3158" s="83" t="s">
        <v>5010</v>
      </c>
      <c r="C3158" s="83" t="s">
        <v>9705</v>
      </c>
      <c r="D3158" s="83" t="s">
        <v>9702</v>
      </c>
    </row>
    <row r="3159" spans="1:4">
      <c r="A3159" s="83" t="s">
        <v>9706</v>
      </c>
      <c r="B3159" s="83" t="s">
        <v>5017</v>
      </c>
      <c r="C3159" s="83" t="s">
        <v>9707</v>
      </c>
      <c r="D3159" s="83" t="s">
        <v>9708</v>
      </c>
    </row>
    <row r="3160" spans="1:4">
      <c r="A3160" s="83" t="s">
        <v>9706</v>
      </c>
      <c r="B3160" s="83" t="s">
        <v>5012</v>
      </c>
      <c r="C3160" s="83" t="s">
        <v>9709</v>
      </c>
      <c r="D3160" s="83" t="s">
        <v>9708</v>
      </c>
    </row>
    <row r="3161" spans="1:4">
      <c r="A3161" s="83" t="s">
        <v>9706</v>
      </c>
      <c r="B3161" s="83" t="s">
        <v>5015</v>
      </c>
      <c r="C3161" s="83" t="s">
        <v>9710</v>
      </c>
      <c r="D3161" s="83" t="s">
        <v>9708</v>
      </c>
    </row>
    <row r="3162" spans="1:4">
      <c r="A3162" s="83" t="s">
        <v>9706</v>
      </c>
      <c r="B3162" s="83" t="s">
        <v>5010</v>
      </c>
      <c r="C3162" s="83" t="s">
        <v>9711</v>
      </c>
      <c r="D3162" s="83" t="s">
        <v>9708</v>
      </c>
    </row>
    <row r="3163" spans="1:4">
      <c r="A3163" s="83" t="s">
        <v>9712</v>
      </c>
      <c r="B3163" s="83" t="s">
        <v>5017</v>
      </c>
      <c r="C3163" s="83" t="s">
        <v>9713</v>
      </c>
      <c r="D3163" s="83" t="s">
        <v>9714</v>
      </c>
    </row>
    <row r="3164" spans="1:4">
      <c r="A3164" s="83" t="s">
        <v>9712</v>
      </c>
      <c r="B3164" s="83" t="s">
        <v>5012</v>
      </c>
      <c r="C3164" s="83" t="s">
        <v>9715</v>
      </c>
      <c r="D3164" s="83" t="s">
        <v>9714</v>
      </c>
    </row>
    <row r="3165" spans="1:4">
      <c r="A3165" s="83" t="s">
        <v>9712</v>
      </c>
      <c r="B3165" s="83" t="s">
        <v>5015</v>
      </c>
      <c r="C3165" s="83" t="s">
        <v>9716</v>
      </c>
      <c r="D3165" s="83" t="s">
        <v>9714</v>
      </c>
    </row>
    <row r="3166" spans="1:4">
      <c r="A3166" s="83" t="s">
        <v>9712</v>
      </c>
      <c r="B3166" s="83" t="s">
        <v>5010</v>
      </c>
      <c r="C3166" s="83" t="s">
        <v>9717</v>
      </c>
      <c r="D3166" s="83" t="s">
        <v>9714</v>
      </c>
    </row>
    <row r="3167" spans="1:4">
      <c r="A3167" s="83" t="s">
        <v>9718</v>
      </c>
      <c r="B3167" s="83" t="s">
        <v>5017</v>
      </c>
      <c r="C3167" s="83" t="s">
        <v>9719</v>
      </c>
      <c r="D3167" s="83" t="s">
        <v>9720</v>
      </c>
    </row>
    <row r="3168" spans="1:4">
      <c r="A3168" s="83" t="s">
        <v>9718</v>
      </c>
      <c r="B3168" s="83" t="s">
        <v>5012</v>
      </c>
      <c r="C3168" s="83" t="s">
        <v>9721</v>
      </c>
      <c r="D3168" s="83" t="s">
        <v>9720</v>
      </c>
    </row>
    <row r="3169" spans="1:4">
      <c r="A3169" s="83" t="s">
        <v>9718</v>
      </c>
      <c r="B3169" s="83" t="s">
        <v>5015</v>
      </c>
      <c r="C3169" s="83" t="s">
        <v>9722</v>
      </c>
      <c r="D3169" s="83" t="s">
        <v>9720</v>
      </c>
    </row>
    <row r="3170" spans="1:4">
      <c r="A3170" s="83" t="s">
        <v>9718</v>
      </c>
      <c r="B3170" s="83" t="s">
        <v>5010</v>
      </c>
      <c r="C3170" s="83" t="s">
        <v>9723</v>
      </c>
      <c r="D3170" s="83" t="s">
        <v>9720</v>
      </c>
    </row>
    <row r="3171" spans="1:4">
      <c r="A3171" s="83" t="s">
        <v>9724</v>
      </c>
      <c r="B3171" s="83" t="s">
        <v>5017</v>
      </c>
      <c r="C3171" s="83" t="s">
        <v>9725</v>
      </c>
      <c r="D3171" s="83" t="s">
        <v>9726</v>
      </c>
    </row>
    <row r="3172" spans="1:4">
      <c r="A3172" s="83" t="s">
        <v>9724</v>
      </c>
      <c r="B3172" s="83" t="s">
        <v>5012</v>
      </c>
      <c r="C3172" s="83" t="s">
        <v>9727</v>
      </c>
      <c r="D3172" s="83" t="s">
        <v>9726</v>
      </c>
    </row>
    <row r="3173" spans="1:4">
      <c r="A3173" s="83" t="s">
        <v>9724</v>
      </c>
      <c r="B3173" s="83" t="s">
        <v>5015</v>
      </c>
      <c r="C3173" s="83" t="s">
        <v>9728</v>
      </c>
      <c r="D3173" s="83" t="s">
        <v>9726</v>
      </c>
    </row>
    <row r="3174" spans="1:4">
      <c r="A3174" s="83" t="s">
        <v>9724</v>
      </c>
      <c r="B3174" s="83" t="s">
        <v>5010</v>
      </c>
      <c r="C3174" s="83" t="s">
        <v>9729</v>
      </c>
      <c r="D3174" s="83" t="s">
        <v>9726</v>
      </c>
    </row>
    <row r="3175" spans="1:4">
      <c r="A3175" s="83" t="s">
        <v>9730</v>
      </c>
      <c r="B3175" s="83" t="s">
        <v>5017</v>
      </c>
      <c r="C3175" s="83" t="s">
        <v>9731</v>
      </c>
      <c r="D3175" s="83" t="s">
        <v>9732</v>
      </c>
    </row>
    <row r="3176" spans="1:4">
      <c r="A3176" s="83" t="s">
        <v>9730</v>
      </c>
      <c r="B3176" s="83" t="s">
        <v>5012</v>
      </c>
      <c r="C3176" s="83" t="s">
        <v>9733</v>
      </c>
      <c r="D3176" s="83" t="s">
        <v>9732</v>
      </c>
    </row>
    <row r="3177" spans="1:4">
      <c r="A3177" s="83" t="s">
        <v>9730</v>
      </c>
      <c r="B3177" s="83" t="s">
        <v>5015</v>
      </c>
      <c r="C3177" s="83" t="s">
        <v>9734</v>
      </c>
      <c r="D3177" s="83" t="s">
        <v>9732</v>
      </c>
    </row>
    <row r="3178" spans="1:4">
      <c r="A3178" s="83" t="s">
        <v>9730</v>
      </c>
      <c r="B3178" s="83" t="s">
        <v>5010</v>
      </c>
      <c r="C3178" s="83" t="s">
        <v>9189</v>
      </c>
      <c r="D3178" s="83" t="s">
        <v>9732</v>
      </c>
    </row>
    <row r="3179" spans="1:4">
      <c r="A3179" s="83" t="s">
        <v>9735</v>
      </c>
      <c r="B3179" s="83" t="s">
        <v>5017</v>
      </c>
      <c r="C3179" s="83" t="s">
        <v>9736</v>
      </c>
      <c r="D3179" s="83" t="s">
        <v>9737</v>
      </c>
    </row>
    <row r="3180" spans="1:4">
      <c r="A3180" s="83" t="s">
        <v>9735</v>
      </c>
      <c r="B3180" s="83" t="s">
        <v>5012</v>
      </c>
      <c r="C3180" s="83" t="s">
        <v>9738</v>
      </c>
      <c r="D3180" s="83" t="s">
        <v>9737</v>
      </c>
    </row>
    <row r="3181" spans="1:4">
      <c r="A3181" s="83" t="s">
        <v>9735</v>
      </c>
      <c r="B3181" s="83" t="s">
        <v>5015</v>
      </c>
      <c r="C3181" s="83" t="s">
        <v>9739</v>
      </c>
      <c r="D3181" s="83" t="s">
        <v>9737</v>
      </c>
    </row>
    <row r="3182" spans="1:4">
      <c r="A3182" s="83" t="s">
        <v>9735</v>
      </c>
      <c r="B3182" s="83" t="s">
        <v>5010</v>
      </c>
      <c r="C3182" s="83" t="s">
        <v>9740</v>
      </c>
      <c r="D3182" s="83" t="s">
        <v>9737</v>
      </c>
    </row>
    <row r="3183" spans="1:4">
      <c r="A3183" s="83" t="s">
        <v>9741</v>
      </c>
      <c r="B3183" s="83" t="s">
        <v>5017</v>
      </c>
      <c r="C3183" s="83" t="s">
        <v>9742</v>
      </c>
      <c r="D3183" s="83" t="s">
        <v>9743</v>
      </c>
    </row>
    <row r="3184" spans="1:4">
      <c r="A3184" s="83" t="s">
        <v>9741</v>
      </c>
      <c r="B3184" s="83" t="s">
        <v>5012</v>
      </c>
      <c r="C3184" s="83" t="s">
        <v>9744</v>
      </c>
      <c r="D3184" s="83" t="s">
        <v>9743</v>
      </c>
    </row>
    <row r="3185" spans="1:4">
      <c r="A3185" s="83" t="s">
        <v>9741</v>
      </c>
      <c r="B3185" s="83" t="s">
        <v>5015</v>
      </c>
      <c r="C3185" s="83" t="s">
        <v>9745</v>
      </c>
      <c r="D3185" s="83" t="s">
        <v>9743</v>
      </c>
    </row>
    <row r="3186" spans="1:4">
      <c r="A3186" s="83" t="s">
        <v>9741</v>
      </c>
      <c r="B3186" s="83" t="s">
        <v>5010</v>
      </c>
      <c r="C3186" s="83" t="s">
        <v>9746</v>
      </c>
      <c r="D3186" s="83" t="s">
        <v>9743</v>
      </c>
    </row>
    <row r="3187" spans="1:4">
      <c r="A3187" s="83" t="s">
        <v>9747</v>
      </c>
      <c r="B3187" s="83" t="s">
        <v>5017</v>
      </c>
      <c r="C3187" s="83" t="s">
        <v>9748</v>
      </c>
      <c r="D3187" s="83" t="s">
        <v>9749</v>
      </c>
    </row>
    <row r="3188" spans="1:4">
      <c r="A3188" s="83" t="s">
        <v>9747</v>
      </c>
      <c r="B3188" s="83" t="s">
        <v>5012</v>
      </c>
      <c r="C3188" s="83" t="s">
        <v>9750</v>
      </c>
      <c r="D3188" s="83" t="s">
        <v>9749</v>
      </c>
    </row>
    <row r="3189" spans="1:4">
      <c r="A3189" s="83" t="s">
        <v>9747</v>
      </c>
      <c r="B3189" s="83" t="s">
        <v>5015</v>
      </c>
      <c r="C3189" s="83" t="s">
        <v>9751</v>
      </c>
      <c r="D3189" s="83" t="s">
        <v>9749</v>
      </c>
    </row>
    <row r="3190" spans="1:4">
      <c r="A3190" s="83" t="s">
        <v>9747</v>
      </c>
      <c r="B3190" s="83" t="s">
        <v>5010</v>
      </c>
      <c r="C3190" s="83" t="s">
        <v>9752</v>
      </c>
      <c r="D3190" s="83" t="s">
        <v>9749</v>
      </c>
    </row>
    <row r="3191" spans="1:4">
      <c r="A3191" s="83" t="s">
        <v>9753</v>
      </c>
      <c r="B3191" s="83" t="s">
        <v>5017</v>
      </c>
      <c r="C3191" s="83" t="s">
        <v>9754</v>
      </c>
      <c r="D3191" s="83" t="s">
        <v>9755</v>
      </c>
    </row>
    <row r="3192" spans="1:4">
      <c r="A3192" s="83" t="s">
        <v>9753</v>
      </c>
      <c r="B3192" s="83" t="s">
        <v>5012</v>
      </c>
      <c r="C3192" s="83" t="s">
        <v>9756</v>
      </c>
      <c r="D3192" s="83" t="s">
        <v>9755</v>
      </c>
    </row>
    <row r="3193" spans="1:4">
      <c r="A3193" s="83" t="s">
        <v>9753</v>
      </c>
      <c r="B3193" s="83" t="s">
        <v>5015</v>
      </c>
      <c r="C3193" s="83" t="s">
        <v>9757</v>
      </c>
      <c r="D3193" s="83" t="s">
        <v>9755</v>
      </c>
    </row>
    <row r="3194" spans="1:4">
      <c r="A3194" s="83" t="s">
        <v>9753</v>
      </c>
      <c r="B3194" s="83" t="s">
        <v>5010</v>
      </c>
      <c r="C3194" s="83" t="s">
        <v>9758</v>
      </c>
      <c r="D3194" s="83" t="s">
        <v>9755</v>
      </c>
    </row>
    <row r="3195" spans="1:4">
      <c r="A3195" s="83" t="s">
        <v>9759</v>
      </c>
      <c r="B3195" s="83" t="s">
        <v>5017</v>
      </c>
      <c r="C3195" s="83" t="s">
        <v>9760</v>
      </c>
      <c r="D3195" s="83" t="s">
        <v>9761</v>
      </c>
    </row>
    <row r="3196" spans="1:4">
      <c r="A3196" s="83" t="s">
        <v>9759</v>
      </c>
      <c r="B3196" s="83" t="s">
        <v>5012</v>
      </c>
      <c r="C3196" s="83" t="s">
        <v>9762</v>
      </c>
      <c r="D3196" s="83" t="s">
        <v>9761</v>
      </c>
    </row>
    <row r="3197" spans="1:4">
      <c r="A3197" s="83" t="s">
        <v>9759</v>
      </c>
      <c r="B3197" s="83" t="s">
        <v>5015</v>
      </c>
      <c r="C3197" s="83" t="s">
        <v>9763</v>
      </c>
      <c r="D3197" s="83" t="s">
        <v>9761</v>
      </c>
    </row>
    <row r="3198" spans="1:4">
      <c r="A3198" s="83" t="s">
        <v>9759</v>
      </c>
      <c r="B3198" s="83" t="s">
        <v>5010</v>
      </c>
      <c r="C3198" s="83" t="s">
        <v>9764</v>
      </c>
      <c r="D3198" s="83" t="s">
        <v>9761</v>
      </c>
    </row>
    <row r="3199" spans="1:4">
      <c r="A3199" s="83" t="s">
        <v>9765</v>
      </c>
      <c r="B3199" s="83" t="s">
        <v>5017</v>
      </c>
      <c r="C3199" s="83" t="s">
        <v>9766</v>
      </c>
      <c r="D3199" s="83" t="s">
        <v>9767</v>
      </c>
    </row>
    <row r="3200" spans="1:4">
      <c r="A3200" s="83" t="s">
        <v>9765</v>
      </c>
      <c r="B3200" s="83" t="s">
        <v>5012</v>
      </c>
      <c r="C3200" s="83" t="s">
        <v>9768</v>
      </c>
      <c r="D3200" s="83" t="s">
        <v>9767</v>
      </c>
    </row>
    <row r="3201" spans="1:4">
      <c r="A3201" s="83" t="s">
        <v>9765</v>
      </c>
      <c r="B3201" s="83" t="s">
        <v>5015</v>
      </c>
      <c r="C3201" s="83" t="s">
        <v>9769</v>
      </c>
      <c r="D3201" s="83" t="s">
        <v>9767</v>
      </c>
    </row>
    <row r="3202" spans="1:4">
      <c r="A3202" s="83" t="s">
        <v>9765</v>
      </c>
      <c r="B3202" s="83" t="s">
        <v>5010</v>
      </c>
      <c r="C3202" s="83" t="s">
        <v>9770</v>
      </c>
      <c r="D3202" s="83" t="s">
        <v>9767</v>
      </c>
    </row>
    <row r="3203" spans="1:4">
      <c r="A3203" s="83" t="s">
        <v>9771</v>
      </c>
      <c r="B3203" s="83" t="s">
        <v>5017</v>
      </c>
      <c r="C3203" s="83" t="s">
        <v>9772</v>
      </c>
      <c r="D3203" s="83" t="s">
        <v>9773</v>
      </c>
    </row>
    <row r="3204" spans="1:4">
      <c r="A3204" s="83" t="s">
        <v>9771</v>
      </c>
      <c r="B3204" s="83" t="s">
        <v>5012</v>
      </c>
      <c r="C3204" s="83" t="s">
        <v>9774</v>
      </c>
      <c r="D3204" s="83" t="s">
        <v>9773</v>
      </c>
    </row>
    <row r="3205" spans="1:4">
      <c r="A3205" s="83" t="s">
        <v>9771</v>
      </c>
      <c r="B3205" s="83" t="s">
        <v>5015</v>
      </c>
      <c r="C3205" s="83" t="s">
        <v>9775</v>
      </c>
      <c r="D3205" s="83" t="s">
        <v>9773</v>
      </c>
    </row>
    <row r="3206" spans="1:4">
      <c r="A3206" s="83" t="s">
        <v>9771</v>
      </c>
      <c r="B3206" s="83" t="s">
        <v>5010</v>
      </c>
      <c r="C3206" s="83" t="s">
        <v>9776</v>
      </c>
      <c r="D3206" s="83" t="s">
        <v>9773</v>
      </c>
    </row>
    <row r="3207" spans="1:4">
      <c r="A3207" s="83" t="s">
        <v>9777</v>
      </c>
      <c r="B3207" s="83" t="s">
        <v>5017</v>
      </c>
      <c r="C3207" s="83" t="s">
        <v>9778</v>
      </c>
      <c r="D3207" s="83" t="s">
        <v>9779</v>
      </c>
    </row>
    <row r="3208" spans="1:4">
      <c r="A3208" s="83" t="s">
        <v>9777</v>
      </c>
      <c r="B3208" s="83" t="s">
        <v>5012</v>
      </c>
      <c r="C3208" s="83" t="s">
        <v>9780</v>
      </c>
      <c r="D3208" s="83" t="s">
        <v>9779</v>
      </c>
    </row>
    <row r="3209" spans="1:4">
      <c r="A3209" s="83" t="s">
        <v>9777</v>
      </c>
      <c r="B3209" s="83" t="s">
        <v>5015</v>
      </c>
      <c r="C3209" s="83" t="s">
        <v>9781</v>
      </c>
      <c r="D3209" s="83" t="s">
        <v>9779</v>
      </c>
    </row>
    <row r="3210" spans="1:4">
      <c r="A3210" s="83" t="s">
        <v>9777</v>
      </c>
      <c r="B3210" s="83" t="s">
        <v>5010</v>
      </c>
      <c r="C3210" s="83" t="s">
        <v>9782</v>
      </c>
      <c r="D3210" s="83" t="s">
        <v>9779</v>
      </c>
    </row>
    <row r="3211" spans="1:4">
      <c r="A3211" s="83" t="s">
        <v>9783</v>
      </c>
      <c r="B3211" s="83" t="s">
        <v>5017</v>
      </c>
      <c r="C3211" s="83" t="s">
        <v>9784</v>
      </c>
      <c r="D3211" s="83" t="s">
        <v>9785</v>
      </c>
    </row>
    <row r="3212" spans="1:4">
      <c r="A3212" s="83" t="s">
        <v>9783</v>
      </c>
      <c r="B3212" s="83" t="s">
        <v>5012</v>
      </c>
      <c r="C3212" s="83" t="s">
        <v>9786</v>
      </c>
      <c r="D3212" s="83" t="s">
        <v>9785</v>
      </c>
    </row>
    <row r="3213" spans="1:4">
      <c r="A3213" s="83" t="s">
        <v>9783</v>
      </c>
      <c r="B3213" s="83" t="s">
        <v>5015</v>
      </c>
      <c r="C3213" s="83" t="s">
        <v>9787</v>
      </c>
      <c r="D3213" s="83" t="s">
        <v>9785</v>
      </c>
    </row>
    <row r="3214" spans="1:4">
      <c r="A3214" s="83" t="s">
        <v>9783</v>
      </c>
      <c r="B3214" s="83" t="s">
        <v>5010</v>
      </c>
      <c r="C3214" s="83" t="s">
        <v>9788</v>
      </c>
      <c r="D3214" s="83" t="s">
        <v>9785</v>
      </c>
    </row>
    <row r="3215" spans="1:4">
      <c r="A3215" s="83" t="s">
        <v>9789</v>
      </c>
      <c r="B3215" s="83" t="s">
        <v>5017</v>
      </c>
      <c r="C3215" s="83" t="s">
        <v>9790</v>
      </c>
      <c r="D3215" s="83" t="s">
        <v>9791</v>
      </c>
    </row>
    <row r="3216" spans="1:4">
      <c r="A3216" s="83" t="s">
        <v>9789</v>
      </c>
      <c r="B3216" s="83" t="s">
        <v>5012</v>
      </c>
      <c r="C3216" s="83" t="s">
        <v>9792</v>
      </c>
      <c r="D3216" s="83" t="s">
        <v>9791</v>
      </c>
    </row>
    <row r="3217" spans="1:4">
      <c r="A3217" s="83" t="s">
        <v>9789</v>
      </c>
      <c r="B3217" s="83" t="s">
        <v>5015</v>
      </c>
      <c r="C3217" s="83" t="s">
        <v>9793</v>
      </c>
      <c r="D3217" s="83" t="s">
        <v>9791</v>
      </c>
    </row>
    <row r="3218" spans="1:4">
      <c r="A3218" s="83" t="s">
        <v>9789</v>
      </c>
      <c r="B3218" s="83" t="s">
        <v>5010</v>
      </c>
      <c r="C3218" s="83" t="s">
        <v>9794</v>
      </c>
      <c r="D3218" s="83" t="s">
        <v>9791</v>
      </c>
    </row>
    <row r="3219" spans="1:4">
      <c r="A3219" s="83" t="s">
        <v>9795</v>
      </c>
      <c r="B3219" s="83" t="s">
        <v>5017</v>
      </c>
      <c r="C3219" s="83" t="s">
        <v>9796</v>
      </c>
      <c r="D3219" s="83" t="s">
        <v>9797</v>
      </c>
    </row>
    <row r="3220" spans="1:4">
      <c r="A3220" s="83" t="s">
        <v>9795</v>
      </c>
      <c r="B3220" s="83" t="s">
        <v>5012</v>
      </c>
      <c r="C3220" s="83" t="s">
        <v>9798</v>
      </c>
      <c r="D3220" s="83" t="s">
        <v>9797</v>
      </c>
    </row>
    <row r="3221" spans="1:4">
      <c r="A3221" s="83" t="s">
        <v>9795</v>
      </c>
      <c r="B3221" s="83" t="s">
        <v>5015</v>
      </c>
      <c r="C3221" s="83" t="s">
        <v>9799</v>
      </c>
      <c r="D3221" s="83" t="s">
        <v>9797</v>
      </c>
    </row>
    <row r="3222" spans="1:4">
      <c r="A3222" s="83" t="s">
        <v>9795</v>
      </c>
      <c r="B3222" s="83" t="s">
        <v>5010</v>
      </c>
      <c r="C3222" s="83" t="s">
        <v>9800</v>
      </c>
      <c r="D3222" s="83" t="s">
        <v>9797</v>
      </c>
    </row>
    <row r="3223" spans="1:4">
      <c r="A3223" s="83" t="s">
        <v>9801</v>
      </c>
      <c r="B3223" s="83" t="s">
        <v>5017</v>
      </c>
      <c r="C3223" s="83" t="s">
        <v>9802</v>
      </c>
      <c r="D3223" s="83" t="s">
        <v>9803</v>
      </c>
    </row>
    <row r="3224" spans="1:4">
      <c r="A3224" s="83" t="s">
        <v>9801</v>
      </c>
      <c r="B3224" s="83" t="s">
        <v>5012</v>
      </c>
      <c r="C3224" s="83" t="s">
        <v>9804</v>
      </c>
      <c r="D3224" s="83" t="s">
        <v>9803</v>
      </c>
    </row>
    <row r="3225" spans="1:4">
      <c r="A3225" s="83" t="s">
        <v>9801</v>
      </c>
      <c r="B3225" s="83" t="s">
        <v>5015</v>
      </c>
      <c r="C3225" s="83" t="s">
        <v>9805</v>
      </c>
      <c r="D3225" s="83" t="s">
        <v>9803</v>
      </c>
    </row>
    <row r="3226" spans="1:4">
      <c r="A3226" s="83" t="s">
        <v>9801</v>
      </c>
      <c r="B3226" s="83" t="s">
        <v>5010</v>
      </c>
      <c r="C3226" s="83" t="s">
        <v>9806</v>
      </c>
      <c r="D3226" s="83" t="s">
        <v>9803</v>
      </c>
    </row>
    <row r="3227" spans="1:4">
      <c r="A3227" s="83" t="s">
        <v>9807</v>
      </c>
      <c r="B3227" s="83" t="s">
        <v>5017</v>
      </c>
      <c r="C3227" s="83" t="s">
        <v>9808</v>
      </c>
      <c r="D3227" s="83" t="s">
        <v>9809</v>
      </c>
    </row>
    <row r="3228" spans="1:4">
      <c r="A3228" s="83" t="s">
        <v>9807</v>
      </c>
      <c r="B3228" s="83" t="s">
        <v>5012</v>
      </c>
      <c r="C3228" s="83" t="s">
        <v>9810</v>
      </c>
      <c r="D3228" s="83" t="s">
        <v>9809</v>
      </c>
    </row>
    <row r="3229" spans="1:4">
      <c r="A3229" s="83" t="s">
        <v>9807</v>
      </c>
      <c r="B3229" s="83" t="s">
        <v>5015</v>
      </c>
      <c r="C3229" s="83" t="s">
        <v>9811</v>
      </c>
      <c r="D3229" s="83" t="s">
        <v>9809</v>
      </c>
    </row>
    <row r="3230" spans="1:4">
      <c r="A3230" s="83" t="s">
        <v>9807</v>
      </c>
      <c r="B3230" s="83" t="s">
        <v>5010</v>
      </c>
      <c r="C3230" s="83" t="s">
        <v>9812</v>
      </c>
      <c r="D3230" s="83" t="s">
        <v>9809</v>
      </c>
    </row>
    <row r="3231" spans="1:4">
      <c r="A3231" s="83" t="s">
        <v>9813</v>
      </c>
      <c r="B3231" s="83" t="s">
        <v>5017</v>
      </c>
      <c r="C3231" s="83" t="s">
        <v>9814</v>
      </c>
      <c r="D3231" s="83" t="s">
        <v>9815</v>
      </c>
    </row>
    <row r="3232" spans="1:4">
      <c r="A3232" s="83" t="s">
        <v>9813</v>
      </c>
      <c r="B3232" s="83" t="s">
        <v>5012</v>
      </c>
      <c r="C3232" s="83" t="s">
        <v>9816</v>
      </c>
      <c r="D3232" s="83" t="s">
        <v>9815</v>
      </c>
    </row>
    <row r="3233" spans="1:4">
      <c r="A3233" s="83" t="s">
        <v>9813</v>
      </c>
      <c r="B3233" s="83" t="s">
        <v>5015</v>
      </c>
      <c r="C3233" s="83" t="s">
        <v>9817</v>
      </c>
      <c r="D3233" s="83" t="s">
        <v>9815</v>
      </c>
    </row>
    <row r="3234" spans="1:4">
      <c r="A3234" s="83" t="s">
        <v>9813</v>
      </c>
      <c r="B3234" s="83" t="s">
        <v>5010</v>
      </c>
      <c r="C3234" s="83" t="s">
        <v>9818</v>
      </c>
      <c r="D3234" s="83" t="s">
        <v>9815</v>
      </c>
    </row>
    <row r="3235" spans="1:4">
      <c r="A3235" s="83" t="s">
        <v>9819</v>
      </c>
      <c r="B3235" s="83" t="s">
        <v>5017</v>
      </c>
      <c r="C3235" s="83" t="s">
        <v>9820</v>
      </c>
      <c r="D3235" s="83" t="s">
        <v>9821</v>
      </c>
    </row>
    <row r="3236" spans="1:4">
      <c r="A3236" s="83" t="s">
        <v>9819</v>
      </c>
      <c r="B3236" s="83" t="s">
        <v>5012</v>
      </c>
      <c r="C3236" s="83" t="s">
        <v>9822</v>
      </c>
      <c r="D3236" s="83" t="s">
        <v>9821</v>
      </c>
    </row>
    <row r="3237" spans="1:4">
      <c r="A3237" s="83" t="s">
        <v>9819</v>
      </c>
      <c r="B3237" s="83" t="s">
        <v>5015</v>
      </c>
      <c r="C3237" s="83" t="s">
        <v>9823</v>
      </c>
      <c r="D3237" s="83" t="s">
        <v>9821</v>
      </c>
    </row>
    <row r="3238" spans="1:4">
      <c r="A3238" s="83" t="s">
        <v>9819</v>
      </c>
      <c r="B3238" s="83" t="s">
        <v>5010</v>
      </c>
      <c r="C3238" s="83" t="s">
        <v>9824</v>
      </c>
      <c r="D3238" s="83" t="s">
        <v>9821</v>
      </c>
    </row>
    <row r="3239" spans="1:4">
      <c r="A3239" s="83" t="s">
        <v>9825</v>
      </c>
      <c r="B3239" s="83" t="s">
        <v>5017</v>
      </c>
      <c r="C3239" s="83" t="s">
        <v>9826</v>
      </c>
      <c r="D3239" s="83" t="s">
        <v>9827</v>
      </c>
    </row>
    <row r="3240" spans="1:4">
      <c r="A3240" s="83" t="s">
        <v>9825</v>
      </c>
      <c r="B3240" s="83" t="s">
        <v>5012</v>
      </c>
      <c r="C3240" s="83" t="s">
        <v>9828</v>
      </c>
      <c r="D3240" s="83" t="s">
        <v>9827</v>
      </c>
    </row>
    <row r="3241" spans="1:4">
      <c r="A3241" s="83" t="s">
        <v>9825</v>
      </c>
      <c r="B3241" s="83" t="s">
        <v>5015</v>
      </c>
      <c r="C3241" s="83" t="s">
        <v>9829</v>
      </c>
      <c r="D3241" s="83" t="s">
        <v>9827</v>
      </c>
    </row>
    <row r="3242" spans="1:4">
      <c r="A3242" s="83" t="s">
        <v>9825</v>
      </c>
      <c r="B3242" s="83" t="s">
        <v>5010</v>
      </c>
      <c r="C3242" s="83" t="s">
        <v>9830</v>
      </c>
      <c r="D3242" s="83" t="s">
        <v>9827</v>
      </c>
    </row>
    <row r="3243" spans="1:4">
      <c r="A3243" s="83" t="s">
        <v>9831</v>
      </c>
      <c r="B3243" s="83" t="s">
        <v>5017</v>
      </c>
      <c r="C3243" s="83" t="s">
        <v>9832</v>
      </c>
      <c r="D3243" s="83" t="s">
        <v>9833</v>
      </c>
    </row>
    <row r="3244" spans="1:4">
      <c r="A3244" s="83" t="s">
        <v>9831</v>
      </c>
      <c r="B3244" s="83" t="s">
        <v>5012</v>
      </c>
      <c r="C3244" s="83" t="s">
        <v>9834</v>
      </c>
      <c r="D3244" s="83" t="s">
        <v>9833</v>
      </c>
    </row>
    <row r="3245" spans="1:4">
      <c r="A3245" s="83" t="s">
        <v>9831</v>
      </c>
      <c r="B3245" s="83" t="s">
        <v>5015</v>
      </c>
      <c r="C3245" s="83" t="s">
        <v>9835</v>
      </c>
      <c r="D3245" s="83" t="s">
        <v>9833</v>
      </c>
    </row>
    <row r="3246" spans="1:4">
      <c r="A3246" s="83" t="s">
        <v>9831</v>
      </c>
      <c r="B3246" s="83" t="s">
        <v>5010</v>
      </c>
      <c r="C3246" s="83" t="s">
        <v>9836</v>
      </c>
      <c r="D3246" s="83" t="s">
        <v>9833</v>
      </c>
    </row>
    <row r="3247" spans="1:4">
      <c r="A3247" s="83" t="s">
        <v>9837</v>
      </c>
      <c r="B3247" s="83" t="s">
        <v>5017</v>
      </c>
      <c r="C3247" s="83" t="s">
        <v>9838</v>
      </c>
      <c r="D3247" s="83" t="s">
        <v>9839</v>
      </c>
    </row>
    <row r="3248" spans="1:4">
      <c r="A3248" s="83" t="s">
        <v>9837</v>
      </c>
      <c r="B3248" s="83" t="s">
        <v>5012</v>
      </c>
      <c r="C3248" s="83" t="s">
        <v>9840</v>
      </c>
      <c r="D3248" s="83" t="s">
        <v>9839</v>
      </c>
    </row>
    <row r="3249" spans="1:4">
      <c r="A3249" s="83" t="s">
        <v>9837</v>
      </c>
      <c r="B3249" s="83" t="s">
        <v>5015</v>
      </c>
      <c r="C3249" s="83" t="s">
        <v>9841</v>
      </c>
      <c r="D3249" s="83" t="s">
        <v>9839</v>
      </c>
    </row>
    <row r="3250" spans="1:4">
      <c r="A3250" s="83" t="s">
        <v>9837</v>
      </c>
      <c r="B3250" s="83" t="s">
        <v>5010</v>
      </c>
      <c r="C3250" s="83" t="s">
        <v>9842</v>
      </c>
      <c r="D3250" s="83" t="s">
        <v>9839</v>
      </c>
    </row>
    <row r="3251" spans="1:4">
      <c r="A3251" s="83" t="s">
        <v>9843</v>
      </c>
      <c r="B3251" s="83" t="s">
        <v>5017</v>
      </c>
      <c r="C3251" s="83" t="s">
        <v>9844</v>
      </c>
      <c r="D3251" s="83" t="s">
        <v>9845</v>
      </c>
    </row>
    <row r="3252" spans="1:4">
      <c r="A3252" s="83" t="s">
        <v>9843</v>
      </c>
      <c r="B3252" s="83" t="s">
        <v>5012</v>
      </c>
      <c r="C3252" s="83" t="s">
        <v>9846</v>
      </c>
      <c r="D3252" s="83" t="s">
        <v>9845</v>
      </c>
    </row>
    <row r="3253" spans="1:4">
      <c r="A3253" s="83" t="s">
        <v>9843</v>
      </c>
      <c r="B3253" s="83" t="s">
        <v>5015</v>
      </c>
      <c r="C3253" s="83" t="s">
        <v>9847</v>
      </c>
      <c r="D3253" s="83" t="s">
        <v>9845</v>
      </c>
    </row>
    <row r="3254" spans="1:4">
      <c r="A3254" s="83" t="s">
        <v>9843</v>
      </c>
      <c r="B3254" s="83" t="s">
        <v>5010</v>
      </c>
      <c r="C3254" s="83" t="s">
        <v>9848</v>
      </c>
      <c r="D3254" s="83" t="s">
        <v>9845</v>
      </c>
    </row>
    <row r="3255" spans="1:4">
      <c r="A3255" s="83" t="s">
        <v>9849</v>
      </c>
      <c r="B3255" s="83" t="s">
        <v>5017</v>
      </c>
      <c r="C3255" s="83" t="s">
        <v>9850</v>
      </c>
      <c r="D3255" s="83" t="s">
        <v>9851</v>
      </c>
    </row>
    <row r="3256" spans="1:4">
      <c r="A3256" s="83" t="s">
        <v>9849</v>
      </c>
      <c r="B3256" s="83" t="s">
        <v>5012</v>
      </c>
      <c r="C3256" s="83" t="s">
        <v>9852</v>
      </c>
      <c r="D3256" s="83" t="s">
        <v>9851</v>
      </c>
    </row>
    <row r="3257" spans="1:4">
      <c r="A3257" s="83" t="s">
        <v>9849</v>
      </c>
      <c r="B3257" s="83" t="s">
        <v>5015</v>
      </c>
      <c r="C3257" s="83" t="s">
        <v>9853</v>
      </c>
      <c r="D3257" s="83" t="s">
        <v>9851</v>
      </c>
    </row>
    <row r="3258" spans="1:4">
      <c r="A3258" s="83" t="s">
        <v>9849</v>
      </c>
      <c r="B3258" s="83" t="s">
        <v>5010</v>
      </c>
      <c r="C3258" s="83" t="s">
        <v>9854</v>
      </c>
      <c r="D3258" s="83" t="s">
        <v>9851</v>
      </c>
    </row>
    <row r="3259" spans="1:4">
      <c r="A3259" s="83" t="s">
        <v>9855</v>
      </c>
      <c r="B3259" s="83" t="s">
        <v>5017</v>
      </c>
      <c r="C3259" s="83" t="s">
        <v>9856</v>
      </c>
      <c r="D3259" s="83" t="s">
        <v>9857</v>
      </c>
    </row>
    <row r="3260" spans="1:4">
      <c r="A3260" s="83" t="s">
        <v>9855</v>
      </c>
      <c r="B3260" s="83" t="s">
        <v>5012</v>
      </c>
      <c r="C3260" s="83" t="s">
        <v>9858</v>
      </c>
      <c r="D3260" s="83" t="s">
        <v>9857</v>
      </c>
    </row>
    <row r="3261" spans="1:4">
      <c r="A3261" s="83" t="s">
        <v>9855</v>
      </c>
      <c r="B3261" s="83" t="s">
        <v>5015</v>
      </c>
      <c r="C3261" s="83" t="s">
        <v>9859</v>
      </c>
      <c r="D3261" s="83" t="s">
        <v>9857</v>
      </c>
    </row>
    <row r="3262" spans="1:4">
      <c r="A3262" s="83" t="s">
        <v>9855</v>
      </c>
      <c r="B3262" s="83" t="s">
        <v>5010</v>
      </c>
      <c r="C3262" s="83" t="s">
        <v>9860</v>
      </c>
      <c r="D3262" s="83" t="s">
        <v>9857</v>
      </c>
    </row>
    <row r="3263" spans="1:4">
      <c r="A3263" s="83" t="s">
        <v>9861</v>
      </c>
      <c r="B3263" s="83" t="s">
        <v>5017</v>
      </c>
      <c r="C3263" s="83" t="s">
        <v>9862</v>
      </c>
      <c r="D3263" s="83" t="s">
        <v>9863</v>
      </c>
    </row>
    <row r="3264" spans="1:4">
      <c r="A3264" s="83" t="s">
        <v>9861</v>
      </c>
      <c r="B3264" s="83" t="s">
        <v>5012</v>
      </c>
      <c r="C3264" s="83" t="s">
        <v>9864</v>
      </c>
      <c r="D3264" s="83" t="s">
        <v>9863</v>
      </c>
    </row>
    <row r="3265" spans="1:4">
      <c r="A3265" s="83" t="s">
        <v>9861</v>
      </c>
      <c r="B3265" s="83" t="s">
        <v>5015</v>
      </c>
      <c r="C3265" s="83" t="s">
        <v>9865</v>
      </c>
      <c r="D3265" s="83" t="s">
        <v>9863</v>
      </c>
    </row>
    <row r="3266" spans="1:4">
      <c r="A3266" s="83" t="s">
        <v>9861</v>
      </c>
      <c r="B3266" s="83" t="s">
        <v>5010</v>
      </c>
      <c r="C3266" s="83" t="s">
        <v>9866</v>
      </c>
      <c r="D3266" s="83" t="s">
        <v>9863</v>
      </c>
    </row>
    <row r="3267" spans="1:4">
      <c r="A3267" s="83" t="s">
        <v>9867</v>
      </c>
      <c r="B3267" s="83" t="s">
        <v>5017</v>
      </c>
      <c r="C3267" s="83" t="s">
        <v>9540</v>
      </c>
      <c r="D3267" s="83" t="s">
        <v>9868</v>
      </c>
    </row>
    <row r="3268" spans="1:4">
      <c r="A3268" s="83" t="s">
        <v>9867</v>
      </c>
      <c r="B3268" s="83" t="s">
        <v>5012</v>
      </c>
      <c r="C3268" s="83" t="s">
        <v>9869</v>
      </c>
      <c r="D3268" s="83" t="s">
        <v>9868</v>
      </c>
    </row>
    <row r="3269" spans="1:4">
      <c r="A3269" s="83" t="s">
        <v>9867</v>
      </c>
      <c r="B3269" s="83" t="s">
        <v>5015</v>
      </c>
      <c r="C3269" s="83" t="s">
        <v>9870</v>
      </c>
      <c r="D3269" s="83" t="s">
        <v>9868</v>
      </c>
    </row>
    <row r="3270" spans="1:4">
      <c r="A3270" s="83" t="s">
        <v>9867</v>
      </c>
      <c r="B3270" s="83" t="s">
        <v>5010</v>
      </c>
      <c r="C3270" s="83" t="s">
        <v>9871</v>
      </c>
      <c r="D3270" s="83" t="s">
        <v>9868</v>
      </c>
    </row>
    <row r="3271" spans="1:4">
      <c r="A3271" s="83" t="s">
        <v>9872</v>
      </c>
      <c r="B3271" s="83" t="s">
        <v>5017</v>
      </c>
      <c r="C3271" s="83" t="s">
        <v>9873</v>
      </c>
      <c r="D3271" s="83" t="s">
        <v>9874</v>
      </c>
    </row>
    <row r="3272" spans="1:4">
      <c r="A3272" s="83" t="s">
        <v>9872</v>
      </c>
      <c r="B3272" s="83" t="s">
        <v>5012</v>
      </c>
      <c r="C3272" s="83" t="s">
        <v>9875</v>
      </c>
      <c r="D3272" s="83" t="s">
        <v>9874</v>
      </c>
    </row>
    <row r="3273" spans="1:4">
      <c r="A3273" s="83" t="s">
        <v>9872</v>
      </c>
      <c r="B3273" s="83" t="s">
        <v>5015</v>
      </c>
      <c r="C3273" s="83" t="s">
        <v>9876</v>
      </c>
      <c r="D3273" s="83" t="s">
        <v>9874</v>
      </c>
    </row>
    <row r="3274" spans="1:4">
      <c r="A3274" s="83" t="s">
        <v>9872</v>
      </c>
      <c r="B3274" s="83" t="s">
        <v>5010</v>
      </c>
      <c r="C3274" s="83" t="s">
        <v>9877</v>
      </c>
      <c r="D3274" s="83" t="s">
        <v>9874</v>
      </c>
    </row>
    <row r="3275" spans="1:4">
      <c r="A3275" s="83" t="s">
        <v>9878</v>
      </c>
      <c r="B3275" s="83" t="s">
        <v>5017</v>
      </c>
      <c r="C3275" s="83" t="s">
        <v>9879</v>
      </c>
      <c r="D3275" s="83" t="s">
        <v>9880</v>
      </c>
    </row>
    <row r="3276" spans="1:4">
      <c r="A3276" s="83" t="s">
        <v>9878</v>
      </c>
      <c r="B3276" s="83" t="s">
        <v>5012</v>
      </c>
      <c r="C3276" s="83" t="s">
        <v>9881</v>
      </c>
      <c r="D3276" s="83" t="s">
        <v>9880</v>
      </c>
    </row>
    <row r="3277" spans="1:4">
      <c r="A3277" s="83" t="s">
        <v>9878</v>
      </c>
      <c r="B3277" s="83" t="s">
        <v>5015</v>
      </c>
      <c r="C3277" s="83" t="s">
        <v>9882</v>
      </c>
      <c r="D3277" s="83" t="s">
        <v>9880</v>
      </c>
    </row>
    <row r="3278" spans="1:4">
      <c r="A3278" s="83" t="s">
        <v>9878</v>
      </c>
      <c r="B3278" s="83" t="s">
        <v>5010</v>
      </c>
      <c r="C3278" s="83" t="s">
        <v>9883</v>
      </c>
      <c r="D3278" s="83" t="s">
        <v>9880</v>
      </c>
    </row>
    <row r="3279" spans="1:4">
      <c r="A3279" s="83" t="s">
        <v>9884</v>
      </c>
      <c r="B3279" s="83" t="s">
        <v>5017</v>
      </c>
      <c r="C3279" s="83" t="s">
        <v>9885</v>
      </c>
      <c r="D3279" s="83" t="s">
        <v>9886</v>
      </c>
    </row>
    <row r="3280" spans="1:4">
      <c r="A3280" s="83" t="s">
        <v>9884</v>
      </c>
      <c r="B3280" s="83" t="s">
        <v>5012</v>
      </c>
      <c r="C3280" s="83" t="s">
        <v>9887</v>
      </c>
      <c r="D3280" s="83" t="s">
        <v>9886</v>
      </c>
    </row>
    <row r="3281" spans="1:4">
      <c r="A3281" s="83" t="s">
        <v>9884</v>
      </c>
      <c r="B3281" s="83" t="s">
        <v>5015</v>
      </c>
      <c r="C3281" s="83" t="s">
        <v>9888</v>
      </c>
      <c r="D3281" s="83" t="s">
        <v>9886</v>
      </c>
    </row>
    <row r="3282" spans="1:4">
      <c r="A3282" s="83" t="s">
        <v>9884</v>
      </c>
      <c r="B3282" s="83" t="s">
        <v>5010</v>
      </c>
      <c r="C3282" s="83" t="s">
        <v>9889</v>
      </c>
      <c r="D3282" s="83" t="s">
        <v>9886</v>
      </c>
    </row>
    <row r="3283" spans="1:4">
      <c r="A3283" s="83" t="s">
        <v>9890</v>
      </c>
      <c r="B3283" s="83" t="s">
        <v>5017</v>
      </c>
      <c r="C3283" s="83" t="s">
        <v>9891</v>
      </c>
      <c r="D3283" s="83" t="s">
        <v>9892</v>
      </c>
    </row>
    <row r="3284" spans="1:4">
      <c r="A3284" s="83" t="s">
        <v>9890</v>
      </c>
      <c r="B3284" s="83" t="s">
        <v>5012</v>
      </c>
      <c r="C3284" s="83" t="s">
        <v>9893</v>
      </c>
      <c r="D3284" s="83" t="s">
        <v>9892</v>
      </c>
    </row>
    <row r="3285" spans="1:4">
      <c r="A3285" s="83" t="s">
        <v>9890</v>
      </c>
      <c r="B3285" s="83" t="s">
        <v>5015</v>
      </c>
      <c r="C3285" s="83" t="s">
        <v>9894</v>
      </c>
      <c r="D3285" s="83" t="s">
        <v>9892</v>
      </c>
    </row>
    <row r="3286" spans="1:4">
      <c r="A3286" s="83" t="s">
        <v>9890</v>
      </c>
      <c r="B3286" s="83" t="s">
        <v>5010</v>
      </c>
      <c r="C3286" s="83" t="s">
        <v>9895</v>
      </c>
      <c r="D3286" s="83" t="s">
        <v>9892</v>
      </c>
    </row>
    <row r="3287" spans="1:4">
      <c r="A3287" s="83" t="s">
        <v>9896</v>
      </c>
      <c r="B3287" s="83" t="s">
        <v>5017</v>
      </c>
      <c r="C3287" s="83" t="s">
        <v>9897</v>
      </c>
      <c r="D3287" s="83" t="s">
        <v>9898</v>
      </c>
    </row>
    <row r="3288" spans="1:4">
      <c r="A3288" s="83" t="s">
        <v>9896</v>
      </c>
      <c r="B3288" s="83" t="s">
        <v>5012</v>
      </c>
      <c r="C3288" s="83" t="s">
        <v>9899</v>
      </c>
      <c r="D3288" s="83" t="s">
        <v>9898</v>
      </c>
    </row>
    <row r="3289" spans="1:4">
      <c r="A3289" s="83" t="s">
        <v>9896</v>
      </c>
      <c r="B3289" s="83" t="s">
        <v>5015</v>
      </c>
      <c r="C3289" s="83" t="s">
        <v>9900</v>
      </c>
      <c r="D3289" s="83" t="s">
        <v>9898</v>
      </c>
    </row>
    <row r="3290" spans="1:4">
      <c r="A3290" s="83" t="s">
        <v>9896</v>
      </c>
      <c r="B3290" s="83" t="s">
        <v>5010</v>
      </c>
      <c r="C3290" s="83" t="s">
        <v>9901</v>
      </c>
      <c r="D3290" s="83" t="s">
        <v>9898</v>
      </c>
    </row>
    <row r="3291" spans="1:4">
      <c r="A3291" s="83" t="s">
        <v>9902</v>
      </c>
      <c r="B3291" s="83" t="s">
        <v>5017</v>
      </c>
      <c r="C3291" s="83" t="s">
        <v>9903</v>
      </c>
      <c r="D3291" s="83" t="s">
        <v>9904</v>
      </c>
    </row>
    <row r="3292" spans="1:4">
      <c r="A3292" s="83" t="s">
        <v>9902</v>
      </c>
      <c r="B3292" s="83" t="s">
        <v>5012</v>
      </c>
      <c r="C3292" s="83" t="s">
        <v>9905</v>
      </c>
      <c r="D3292" s="83" t="s">
        <v>9904</v>
      </c>
    </row>
    <row r="3293" spans="1:4">
      <c r="A3293" s="83" t="s">
        <v>9902</v>
      </c>
      <c r="B3293" s="83" t="s">
        <v>5015</v>
      </c>
      <c r="C3293" s="83" t="s">
        <v>9906</v>
      </c>
      <c r="D3293" s="83" t="s">
        <v>9904</v>
      </c>
    </row>
    <row r="3294" spans="1:4">
      <c r="A3294" s="83" t="s">
        <v>9902</v>
      </c>
      <c r="B3294" s="83" t="s">
        <v>5010</v>
      </c>
      <c r="C3294" s="83" t="s">
        <v>9907</v>
      </c>
      <c r="D3294" s="83" t="s">
        <v>9904</v>
      </c>
    </row>
    <row r="3295" spans="1:4">
      <c r="A3295" s="83" t="s">
        <v>9908</v>
      </c>
      <c r="B3295" s="83" t="s">
        <v>5017</v>
      </c>
      <c r="C3295" s="83" t="s">
        <v>9909</v>
      </c>
      <c r="D3295" s="83" t="s">
        <v>9910</v>
      </c>
    </row>
    <row r="3296" spans="1:4">
      <c r="A3296" s="83" t="s">
        <v>9908</v>
      </c>
      <c r="B3296" s="83" t="s">
        <v>5012</v>
      </c>
      <c r="C3296" s="83" t="s">
        <v>9911</v>
      </c>
      <c r="D3296" s="83" t="s">
        <v>9910</v>
      </c>
    </row>
    <row r="3297" spans="1:4">
      <c r="A3297" s="83" t="s">
        <v>9908</v>
      </c>
      <c r="B3297" s="83" t="s">
        <v>5015</v>
      </c>
      <c r="C3297" s="83" t="s">
        <v>9912</v>
      </c>
      <c r="D3297" s="83" t="s">
        <v>9910</v>
      </c>
    </row>
    <row r="3298" spans="1:4">
      <c r="A3298" s="83" t="s">
        <v>9908</v>
      </c>
      <c r="B3298" s="83" t="s">
        <v>5010</v>
      </c>
      <c r="C3298" s="83" t="s">
        <v>9913</v>
      </c>
      <c r="D3298" s="83" t="s">
        <v>9910</v>
      </c>
    </row>
    <row r="3299" spans="1:4">
      <c r="A3299" s="83" t="s">
        <v>9914</v>
      </c>
      <c r="B3299" s="83" t="s">
        <v>5017</v>
      </c>
      <c r="C3299" s="83" t="s">
        <v>9915</v>
      </c>
      <c r="D3299" s="83" t="s">
        <v>9916</v>
      </c>
    </row>
    <row r="3300" spans="1:4">
      <c r="A3300" s="83" t="s">
        <v>9914</v>
      </c>
      <c r="B3300" s="83" t="s">
        <v>5012</v>
      </c>
      <c r="C3300" s="83" t="s">
        <v>9917</v>
      </c>
      <c r="D3300" s="83" t="s">
        <v>9916</v>
      </c>
    </row>
    <row r="3301" spans="1:4">
      <c r="A3301" s="83" t="s">
        <v>9914</v>
      </c>
      <c r="B3301" s="83" t="s">
        <v>5015</v>
      </c>
      <c r="C3301" s="83" t="s">
        <v>9918</v>
      </c>
      <c r="D3301" s="83" t="s">
        <v>9916</v>
      </c>
    </row>
    <row r="3302" spans="1:4">
      <c r="A3302" s="83" t="s">
        <v>9914</v>
      </c>
      <c r="B3302" s="83" t="s">
        <v>5010</v>
      </c>
      <c r="C3302" s="83" t="s">
        <v>9919</v>
      </c>
      <c r="D3302" s="83" t="s">
        <v>9916</v>
      </c>
    </row>
    <row r="3303" spans="1:4">
      <c r="A3303" s="83" t="s">
        <v>9920</v>
      </c>
      <c r="B3303" s="83" t="s">
        <v>5017</v>
      </c>
      <c r="C3303" s="83" t="s">
        <v>9921</v>
      </c>
      <c r="D3303" s="83" t="s">
        <v>9922</v>
      </c>
    </row>
    <row r="3304" spans="1:4">
      <c r="A3304" s="83" t="s">
        <v>9920</v>
      </c>
      <c r="B3304" s="83" t="s">
        <v>5012</v>
      </c>
      <c r="C3304" s="83" t="s">
        <v>9923</v>
      </c>
      <c r="D3304" s="83" t="s">
        <v>9922</v>
      </c>
    </row>
    <row r="3305" spans="1:4">
      <c r="A3305" s="83" t="s">
        <v>9920</v>
      </c>
      <c r="B3305" s="83" t="s">
        <v>5015</v>
      </c>
      <c r="C3305" s="83" t="s">
        <v>9924</v>
      </c>
      <c r="D3305" s="83" t="s">
        <v>9922</v>
      </c>
    </row>
    <row r="3306" spans="1:4">
      <c r="A3306" s="83" t="s">
        <v>9920</v>
      </c>
      <c r="B3306" s="83" t="s">
        <v>5010</v>
      </c>
      <c r="C3306" s="83" t="s">
        <v>9925</v>
      </c>
      <c r="D3306" s="83" t="s">
        <v>9922</v>
      </c>
    </row>
    <row r="3307" spans="1:4">
      <c r="A3307" s="83" t="s">
        <v>9926</v>
      </c>
      <c r="B3307" s="83" t="s">
        <v>5017</v>
      </c>
      <c r="C3307" s="83" t="s">
        <v>9927</v>
      </c>
      <c r="D3307" s="83" t="s">
        <v>9928</v>
      </c>
    </row>
    <row r="3308" spans="1:4">
      <c r="A3308" s="83" t="s">
        <v>9926</v>
      </c>
      <c r="B3308" s="83" t="s">
        <v>5012</v>
      </c>
      <c r="C3308" s="83" t="s">
        <v>9929</v>
      </c>
      <c r="D3308" s="83" t="s">
        <v>9928</v>
      </c>
    </row>
    <row r="3309" spans="1:4">
      <c r="A3309" s="83" t="s">
        <v>9926</v>
      </c>
      <c r="B3309" s="83" t="s">
        <v>5015</v>
      </c>
      <c r="C3309" s="83" t="s">
        <v>9930</v>
      </c>
      <c r="D3309" s="83" t="s">
        <v>9928</v>
      </c>
    </row>
    <row r="3310" spans="1:4">
      <c r="A3310" s="83" t="s">
        <v>9926</v>
      </c>
      <c r="B3310" s="83" t="s">
        <v>5010</v>
      </c>
      <c r="C3310" s="83" t="s">
        <v>9931</v>
      </c>
      <c r="D3310" s="83" t="s">
        <v>9928</v>
      </c>
    </row>
    <row r="3311" spans="1:4">
      <c r="A3311" s="83" t="s">
        <v>9932</v>
      </c>
      <c r="B3311" s="83" t="s">
        <v>5017</v>
      </c>
      <c r="C3311" s="83" t="s">
        <v>9933</v>
      </c>
      <c r="D3311" s="83" t="s">
        <v>9934</v>
      </c>
    </row>
    <row r="3312" spans="1:4">
      <c r="A3312" s="83" t="s">
        <v>9932</v>
      </c>
      <c r="B3312" s="83" t="s">
        <v>5012</v>
      </c>
      <c r="C3312" s="83" t="s">
        <v>9935</v>
      </c>
      <c r="D3312" s="83" t="s">
        <v>9934</v>
      </c>
    </row>
    <row r="3313" spans="1:4">
      <c r="A3313" s="83" t="s">
        <v>9932</v>
      </c>
      <c r="B3313" s="83" t="s">
        <v>5015</v>
      </c>
      <c r="C3313" s="83" t="s">
        <v>9936</v>
      </c>
      <c r="D3313" s="83" t="s">
        <v>9934</v>
      </c>
    </row>
    <row r="3314" spans="1:4">
      <c r="A3314" s="83" t="s">
        <v>9932</v>
      </c>
      <c r="B3314" s="83" t="s">
        <v>5010</v>
      </c>
      <c r="C3314" s="83" t="s">
        <v>9937</v>
      </c>
      <c r="D3314" s="83" t="s">
        <v>9934</v>
      </c>
    </row>
    <row r="3315" spans="1:4">
      <c r="A3315" s="83" t="s">
        <v>9938</v>
      </c>
      <c r="B3315" s="83" t="s">
        <v>5017</v>
      </c>
      <c r="C3315" s="83" t="s">
        <v>9939</v>
      </c>
      <c r="D3315" s="83" t="s">
        <v>9940</v>
      </c>
    </row>
    <row r="3316" spans="1:4">
      <c r="A3316" s="83" t="s">
        <v>9938</v>
      </c>
      <c r="B3316" s="83" t="s">
        <v>5012</v>
      </c>
      <c r="C3316" s="83" t="s">
        <v>9941</v>
      </c>
      <c r="D3316" s="83" t="s">
        <v>9940</v>
      </c>
    </row>
    <row r="3317" spans="1:4">
      <c r="A3317" s="83" t="s">
        <v>9938</v>
      </c>
      <c r="B3317" s="83" t="s">
        <v>5015</v>
      </c>
      <c r="C3317" s="83" t="s">
        <v>9942</v>
      </c>
      <c r="D3317" s="83" t="s">
        <v>9940</v>
      </c>
    </row>
    <row r="3318" spans="1:4">
      <c r="A3318" s="83" t="s">
        <v>9938</v>
      </c>
      <c r="B3318" s="83" t="s">
        <v>5010</v>
      </c>
      <c r="C3318" s="83" t="s">
        <v>9943</v>
      </c>
      <c r="D3318" s="83" t="s">
        <v>9940</v>
      </c>
    </row>
    <row r="3319" spans="1:4">
      <c r="A3319" s="83" t="s">
        <v>9944</v>
      </c>
      <c r="B3319" s="83" t="s">
        <v>5017</v>
      </c>
      <c r="C3319" s="83" t="s">
        <v>9945</v>
      </c>
      <c r="D3319" s="83" t="s">
        <v>9946</v>
      </c>
    </row>
    <row r="3320" spans="1:4">
      <c r="A3320" s="83" t="s">
        <v>9944</v>
      </c>
      <c r="B3320" s="83" t="s">
        <v>5012</v>
      </c>
      <c r="C3320" s="83" t="s">
        <v>9947</v>
      </c>
      <c r="D3320" s="83" t="s">
        <v>9946</v>
      </c>
    </row>
    <row r="3321" spans="1:4">
      <c r="A3321" s="83" t="s">
        <v>9944</v>
      </c>
      <c r="B3321" s="83" t="s">
        <v>5015</v>
      </c>
      <c r="C3321" s="83" t="s">
        <v>9948</v>
      </c>
      <c r="D3321" s="83" t="s">
        <v>9946</v>
      </c>
    </row>
    <row r="3322" spans="1:4">
      <c r="A3322" s="83" t="s">
        <v>9944</v>
      </c>
      <c r="B3322" s="83" t="s">
        <v>5010</v>
      </c>
      <c r="C3322" s="83" t="s">
        <v>9949</v>
      </c>
      <c r="D3322" s="83" t="s">
        <v>9946</v>
      </c>
    </row>
    <row r="3323" spans="1:4">
      <c r="A3323" s="83" t="s">
        <v>9950</v>
      </c>
      <c r="B3323" s="83" t="s">
        <v>5017</v>
      </c>
      <c r="C3323" s="83" t="s">
        <v>9951</v>
      </c>
      <c r="D3323" s="83" t="s">
        <v>9952</v>
      </c>
    </row>
    <row r="3324" spans="1:4">
      <c r="A3324" s="83" t="s">
        <v>9950</v>
      </c>
      <c r="B3324" s="83" t="s">
        <v>5012</v>
      </c>
      <c r="C3324" s="83" t="s">
        <v>9953</v>
      </c>
      <c r="D3324" s="83" t="s">
        <v>9952</v>
      </c>
    </row>
    <row r="3325" spans="1:4">
      <c r="A3325" s="83" t="s">
        <v>9950</v>
      </c>
      <c r="B3325" s="83" t="s">
        <v>5015</v>
      </c>
      <c r="C3325" s="83" t="s">
        <v>9954</v>
      </c>
      <c r="D3325" s="83" t="s">
        <v>9952</v>
      </c>
    </row>
    <row r="3326" spans="1:4">
      <c r="A3326" s="83" t="s">
        <v>9950</v>
      </c>
      <c r="B3326" s="83" t="s">
        <v>5010</v>
      </c>
      <c r="C3326" s="83" t="s">
        <v>9955</v>
      </c>
      <c r="D3326" s="83" t="s">
        <v>9952</v>
      </c>
    </row>
    <row r="3327" spans="1:4">
      <c r="A3327" s="83" t="s">
        <v>9956</v>
      </c>
      <c r="B3327" s="83" t="s">
        <v>5017</v>
      </c>
      <c r="C3327" s="83" t="s">
        <v>9957</v>
      </c>
      <c r="D3327" s="83" t="s">
        <v>9958</v>
      </c>
    </row>
    <row r="3328" spans="1:4">
      <c r="A3328" s="83" t="s">
        <v>9956</v>
      </c>
      <c r="B3328" s="83" t="s">
        <v>5012</v>
      </c>
      <c r="C3328" s="83" t="s">
        <v>9959</v>
      </c>
      <c r="D3328" s="83" t="s">
        <v>9958</v>
      </c>
    </row>
    <row r="3329" spans="1:4">
      <c r="A3329" s="83" t="s">
        <v>9956</v>
      </c>
      <c r="B3329" s="83" t="s">
        <v>5015</v>
      </c>
      <c r="C3329" s="83" t="s">
        <v>9960</v>
      </c>
      <c r="D3329" s="83" t="s">
        <v>9958</v>
      </c>
    </row>
    <row r="3330" spans="1:4">
      <c r="A3330" s="83" t="s">
        <v>9956</v>
      </c>
      <c r="B3330" s="83" t="s">
        <v>5010</v>
      </c>
      <c r="C3330" s="83" t="s">
        <v>9961</v>
      </c>
      <c r="D3330" s="83" t="s">
        <v>9958</v>
      </c>
    </row>
    <row r="3331" spans="1:4">
      <c r="A3331" s="83" t="s">
        <v>9962</v>
      </c>
      <c r="B3331" s="83" t="s">
        <v>5017</v>
      </c>
      <c r="C3331" s="83" t="s">
        <v>9963</v>
      </c>
      <c r="D3331" s="83" t="s">
        <v>9964</v>
      </c>
    </row>
    <row r="3332" spans="1:4">
      <c r="A3332" s="83" t="s">
        <v>9962</v>
      </c>
      <c r="B3332" s="83" t="s">
        <v>5012</v>
      </c>
      <c r="C3332" s="83" t="s">
        <v>9965</v>
      </c>
      <c r="D3332" s="83" t="s">
        <v>9964</v>
      </c>
    </row>
    <row r="3333" spans="1:4">
      <c r="A3333" s="83" t="s">
        <v>9962</v>
      </c>
      <c r="B3333" s="83" t="s">
        <v>5015</v>
      </c>
      <c r="C3333" s="83" t="s">
        <v>9966</v>
      </c>
      <c r="D3333" s="83" t="s">
        <v>9964</v>
      </c>
    </row>
    <row r="3334" spans="1:4">
      <c r="A3334" s="83" t="s">
        <v>9962</v>
      </c>
      <c r="B3334" s="83" t="s">
        <v>5010</v>
      </c>
      <c r="C3334" s="83" t="s">
        <v>9967</v>
      </c>
      <c r="D3334" s="83" t="s">
        <v>9964</v>
      </c>
    </row>
    <row r="3335" spans="1:4">
      <c r="A3335" s="83" t="s">
        <v>9968</v>
      </c>
      <c r="B3335" s="83" t="s">
        <v>5017</v>
      </c>
      <c r="C3335" s="83" t="s">
        <v>9969</v>
      </c>
      <c r="D3335" s="83" t="s">
        <v>9970</v>
      </c>
    </row>
    <row r="3336" spans="1:4">
      <c r="A3336" s="83" t="s">
        <v>9968</v>
      </c>
      <c r="B3336" s="83" t="s">
        <v>5012</v>
      </c>
      <c r="C3336" s="83" t="s">
        <v>9971</v>
      </c>
      <c r="D3336" s="83" t="s">
        <v>9970</v>
      </c>
    </row>
    <row r="3337" spans="1:4">
      <c r="A3337" s="83" t="s">
        <v>9968</v>
      </c>
      <c r="B3337" s="83" t="s">
        <v>5015</v>
      </c>
      <c r="C3337" s="83" t="s">
        <v>9972</v>
      </c>
      <c r="D3337" s="83" t="s">
        <v>9970</v>
      </c>
    </row>
    <row r="3338" spans="1:4">
      <c r="A3338" s="83" t="s">
        <v>9968</v>
      </c>
      <c r="B3338" s="83" t="s">
        <v>5010</v>
      </c>
      <c r="C3338" s="83" t="s">
        <v>9973</v>
      </c>
      <c r="D3338" s="83" t="s">
        <v>9970</v>
      </c>
    </row>
    <row r="3339" spans="1:4">
      <c r="A3339" s="83" t="s">
        <v>9974</v>
      </c>
      <c r="B3339" s="83" t="s">
        <v>5017</v>
      </c>
      <c r="C3339" s="83" t="s">
        <v>9975</v>
      </c>
      <c r="D3339" s="83" t="s">
        <v>9976</v>
      </c>
    </row>
    <row r="3340" spans="1:4">
      <c r="A3340" s="83" t="s">
        <v>9974</v>
      </c>
      <c r="B3340" s="83" t="s">
        <v>5012</v>
      </c>
      <c r="C3340" s="83" t="s">
        <v>9977</v>
      </c>
      <c r="D3340" s="83" t="s">
        <v>9976</v>
      </c>
    </row>
    <row r="3341" spans="1:4">
      <c r="A3341" s="83" t="s">
        <v>9974</v>
      </c>
      <c r="B3341" s="83" t="s">
        <v>5015</v>
      </c>
      <c r="C3341" s="83" t="s">
        <v>9978</v>
      </c>
      <c r="D3341" s="83" t="s">
        <v>9976</v>
      </c>
    </row>
    <row r="3342" spans="1:4">
      <c r="A3342" s="83" t="s">
        <v>9974</v>
      </c>
      <c r="B3342" s="83" t="s">
        <v>5010</v>
      </c>
      <c r="C3342" s="83" t="s">
        <v>9979</v>
      </c>
      <c r="D3342" s="83" t="s">
        <v>9976</v>
      </c>
    </row>
    <row r="3343" spans="1:4">
      <c r="A3343" s="83" t="s">
        <v>9980</v>
      </c>
      <c r="B3343" s="83" t="s">
        <v>5017</v>
      </c>
      <c r="C3343" s="83" t="s">
        <v>9981</v>
      </c>
      <c r="D3343" s="83" t="s">
        <v>9982</v>
      </c>
    </row>
    <row r="3344" spans="1:4">
      <c r="A3344" s="83" t="s">
        <v>9980</v>
      </c>
      <c r="B3344" s="83" t="s">
        <v>5012</v>
      </c>
      <c r="C3344" s="83" t="s">
        <v>9983</v>
      </c>
      <c r="D3344" s="83" t="s">
        <v>9982</v>
      </c>
    </row>
    <row r="3345" spans="1:4">
      <c r="A3345" s="83" t="s">
        <v>9980</v>
      </c>
      <c r="B3345" s="83" t="s">
        <v>5015</v>
      </c>
      <c r="C3345" s="83" t="s">
        <v>9984</v>
      </c>
      <c r="D3345" s="83" t="s">
        <v>9982</v>
      </c>
    </row>
    <row r="3346" spans="1:4">
      <c r="A3346" s="83" t="s">
        <v>9980</v>
      </c>
      <c r="B3346" s="83" t="s">
        <v>5010</v>
      </c>
      <c r="C3346" s="83" t="s">
        <v>9985</v>
      </c>
      <c r="D3346" s="83" t="s">
        <v>9982</v>
      </c>
    </row>
    <row r="3347" spans="1:4">
      <c r="A3347" s="83" t="s">
        <v>9986</v>
      </c>
      <c r="B3347" s="83" t="s">
        <v>5017</v>
      </c>
      <c r="C3347" s="83" t="s">
        <v>9987</v>
      </c>
      <c r="D3347" s="83" t="s">
        <v>9988</v>
      </c>
    </row>
    <row r="3348" spans="1:4">
      <c r="A3348" s="83" t="s">
        <v>9986</v>
      </c>
      <c r="B3348" s="83" t="s">
        <v>5012</v>
      </c>
      <c r="C3348" s="83" t="s">
        <v>9989</v>
      </c>
      <c r="D3348" s="83" t="s">
        <v>9988</v>
      </c>
    </row>
    <row r="3349" spans="1:4">
      <c r="A3349" s="83" t="s">
        <v>9986</v>
      </c>
      <c r="B3349" s="83" t="s">
        <v>5015</v>
      </c>
      <c r="C3349" s="83" t="s">
        <v>9990</v>
      </c>
      <c r="D3349" s="83" t="s">
        <v>9988</v>
      </c>
    </row>
    <row r="3350" spans="1:4">
      <c r="A3350" s="83" t="s">
        <v>9986</v>
      </c>
      <c r="B3350" s="83" t="s">
        <v>5010</v>
      </c>
      <c r="C3350" s="83" t="s">
        <v>9991</v>
      </c>
      <c r="D3350" s="83" t="s">
        <v>9988</v>
      </c>
    </row>
    <row r="3351" spans="1:4">
      <c r="A3351" s="83" t="s">
        <v>9992</v>
      </c>
      <c r="B3351" s="83" t="s">
        <v>5017</v>
      </c>
      <c r="C3351" s="83" t="s">
        <v>9993</v>
      </c>
      <c r="D3351" s="83" t="s">
        <v>9994</v>
      </c>
    </row>
    <row r="3352" spans="1:4">
      <c r="A3352" s="83" t="s">
        <v>9992</v>
      </c>
      <c r="B3352" s="83" t="s">
        <v>5012</v>
      </c>
      <c r="C3352" s="83" t="s">
        <v>9995</v>
      </c>
      <c r="D3352" s="83" t="s">
        <v>9994</v>
      </c>
    </row>
    <row r="3353" spans="1:4">
      <c r="A3353" s="83" t="s">
        <v>9992</v>
      </c>
      <c r="B3353" s="83" t="s">
        <v>5015</v>
      </c>
      <c r="C3353" s="83" t="s">
        <v>9996</v>
      </c>
      <c r="D3353" s="83" t="s">
        <v>9994</v>
      </c>
    </row>
    <row r="3354" spans="1:4">
      <c r="A3354" s="83" t="s">
        <v>9992</v>
      </c>
      <c r="B3354" s="83" t="s">
        <v>5010</v>
      </c>
      <c r="C3354" s="83" t="s">
        <v>9997</v>
      </c>
      <c r="D3354" s="83" t="s">
        <v>9994</v>
      </c>
    </row>
    <row r="3355" spans="1:4">
      <c r="A3355" s="83" t="s">
        <v>9998</v>
      </c>
      <c r="B3355" s="83" t="s">
        <v>5017</v>
      </c>
      <c r="C3355" s="83" t="s">
        <v>9999</v>
      </c>
      <c r="D3355" s="83" t="s">
        <v>10000</v>
      </c>
    </row>
    <row r="3356" spans="1:4">
      <c r="A3356" s="83" t="s">
        <v>9998</v>
      </c>
      <c r="B3356" s="83" t="s">
        <v>5012</v>
      </c>
      <c r="C3356" s="83" t="s">
        <v>10001</v>
      </c>
      <c r="D3356" s="83" t="s">
        <v>10000</v>
      </c>
    </row>
    <row r="3357" spans="1:4">
      <c r="A3357" s="83" t="s">
        <v>9998</v>
      </c>
      <c r="B3357" s="83" t="s">
        <v>5015</v>
      </c>
      <c r="C3357" s="83" t="s">
        <v>10002</v>
      </c>
      <c r="D3357" s="83" t="s">
        <v>10000</v>
      </c>
    </row>
    <row r="3358" spans="1:4">
      <c r="A3358" s="83" t="s">
        <v>9998</v>
      </c>
      <c r="B3358" s="83" t="s">
        <v>5010</v>
      </c>
      <c r="C3358" s="83" t="s">
        <v>10003</v>
      </c>
      <c r="D3358" s="83" t="s">
        <v>10000</v>
      </c>
    </row>
    <row r="3359" spans="1:4">
      <c r="A3359" s="83" t="s">
        <v>10004</v>
      </c>
      <c r="B3359" s="83" t="s">
        <v>5017</v>
      </c>
      <c r="C3359" s="83" t="s">
        <v>10005</v>
      </c>
      <c r="D3359" s="83" t="s">
        <v>10006</v>
      </c>
    </row>
    <row r="3360" spans="1:4">
      <c r="A3360" s="83" t="s">
        <v>10004</v>
      </c>
      <c r="B3360" s="83" t="s">
        <v>5012</v>
      </c>
      <c r="C3360" s="83" t="s">
        <v>10007</v>
      </c>
      <c r="D3360" s="83" t="s">
        <v>10006</v>
      </c>
    </row>
    <row r="3361" spans="1:4">
      <c r="A3361" s="83" t="s">
        <v>10004</v>
      </c>
      <c r="B3361" s="83" t="s">
        <v>5015</v>
      </c>
      <c r="C3361" s="83" t="s">
        <v>10008</v>
      </c>
      <c r="D3361" s="83" t="s">
        <v>10006</v>
      </c>
    </row>
    <row r="3362" spans="1:4">
      <c r="A3362" s="83" t="s">
        <v>10004</v>
      </c>
      <c r="B3362" s="83" t="s">
        <v>5010</v>
      </c>
      <c r="C3362" s="83" t="s">
        <v>10009</v>
      </c>
      <c r="D3362" s="83" t="s">
        <v>10006</v>
      </c>
    </row>
    <row r="3363" spans="1:4">
      <c r="A3363" s="83" t="s">
        <v>10010</v>
      </c>
      <c r="B3363" s="83" t="s">
        <v>5017</v>
      </c>
      <c r="C3363" s="83" t="s">
        <v>10011</v>
      </c>
      <c r="D3363" s="83" t="s">
        <v>10012</v>
      </c>
    </row>
    <row r="3364" spans="1:4">
      <c r="A3364" s="83" t="s">
        <v>10010</v>
      </c>
      <c r="B3364" s="83" t="s">
        <v>5012</v>
      </c>
      <c r="C3364" s="83" t="s">
        <v>10013</v>
      </c>
      <c r="D3364" s="83" t="s">
        <v>10012</v>
      </c>
    </row>
    <row r="3365" spans="1:4">
      <c r="A3365" s="83" t="s">
        <v>10010</v>
      </c>
      <c r="B3365" s="83" t="s">
        <v>5015</v>
      </c>
      <c r="C3365" s="83" t="s">
        <v>10014</v>
      </c>
      <c r="D3365" s="83" t="s">
        <v>10012</v>
      </c>
    </row>
    <row r="3366" spans="1:4">
      <c r="A3366" s="83" t="s">
        <v>10010</v>
      </c>
      <c r="B3366" s="83" t="s">
        <v>5010</v>
      </c>
      <c r="C3366" s="83" t="s">
        <v>10015</v>
      </c>
      <c r="D3366" s="83" t="s">
        <v>10012</v>
      </c>
    </row>
    <row r="3367" spans="1:4">
      <c r="A3367" s="83" t="s">
        <v>10016</v>
      </c>
      <c r="B3367" s="83" t="s">
        <v>5017</v>
      </c>
      <c r="C3367" s="83" t="s">
        <v>10017</v>
      </c>
      <c r="D3367" s="83" t="s">
        <v>10018</v>
      </c>
    </row>
    <row r="3368" spans="1:4">
      <c r="A3368" s="83" t="s">
        <v>10016</v>
      </c>
      <c r="B3368" s="83" t="s">
        <v>5012</v>
      </c>
      <c r="C3368" s="83" t="s">
        <v>10019</v>
      </c>
      <c r="D3368" s="83" t="s">
        <v>10018</v>
      </c>
    </row>
    <row r="3369" spans="1:4">
      <c r="A3369" s="83" t="s">
        <v>10016</v>
      </c>
      <c r="B3369" s="83" t="s">
        <v>5015</v>
      </c>
      <c r="C3369" s="83" t="s">
        <v>10020</v>
      </c>
      <c r="D3369" s="83" t="s">
        <v>10018</v>
      </c>
    </row>
    <row r="3370" spans="1:4">
      <c r="A3370" s="83" t="s">
        <v>10016</v>
      </c>
      <c r="B3370" s="83" t="s">
        <v>5010</v>
      </c>
      <c r="C3370" s="83" t="s">
        <v>10021</v>
      </c>
      <c r="D3370" s="83" t="s">
        <v>10018</v>
      </c>
    </row>
    <row r="3371" spans="1:4">
      <c r="A3371" s="83" t="s">
        <v>10022</v>
      </c>
      <c r="B3371" s="83" t="s">
        <v>5017</v>
      </c>
      <c r="C3371" s="83" t="s">
        <v>10023</v>
      </c>
      <c r="D3371" s="83" t="s">
        <v>10024</v>
      </c>
    </row>
    <row r="3372" spans="1:4">
      <c r="A3372" s="83" t="s">
        <v>10022</v>
      </c>
      <c r="B3372" s="83" t="s">
        <v>5012</v>
      </c>
      <c r="C3372" s="83" t="s">
        <v>10025</v>
      </c>
      <c r="D3372" s="83" t="s">
        <v>10024</v>
      </c>
    </row>
    <row r="3373" spans="1:4">
      <c r="A3373" s="83" t="s">
        <v>10022</v>
      </c>
      <c r="B3373" s="83" t="s">
        <v>5015</v>
      </c>
      <c r="C3373" s="83" t="s">
        <v>10026</v>
      </c>
      <c r="D3373" s="83" t="s">
        <v>10024</v>
      </c>
    </row>
    <row r="3374" spans="1:4">
      <c r="A3374" s="83" t="s">
        <v>10022</v>
      </c>
      <c r="B3374" s="83" t="s">
        <v>5010</v>
      </c>
      <c r="C3374" s="83" t="s">
        <v>10027</v>
      </c>
      <c r="D3374" s="83" t="s">
        <v>10024</v>
      </c>
    </row>
    <row r="3375" spans="1:4">
      <c r="A3375" s="83" t="s">
        <v>10028</v>
      </c>
      <c r="B3375" s="83" t="s">
        <v>5017</v>
      </c>
      <c r="C3375" s="83" t="s">
        <v>10029</v>
      </c>
      <c r="D3375" s="83" t="s">
        <v>10030</v>
      </c>
    </row>
    <row r="3376" spans="1:4">
      <c r="A3376" s="83" t="s">
        <v>10028</v>
      </c>
      <c r="B3376" s="83" t="s">
        <v>5012</v>
      </c>
      <c r="C3376" s="83" t="s">
        <v>10031</v>
      </c>
      <c r="D3376" s="83" t="s">
        <v>10030</v>
      </c>
    </row>
    <row r="3377" spans="1:4">
      <c r="A3377" s="83" t="s">
        <v>10028</v>
      </c>
      <c r="B3377" s="83" t="s">
        <v>5015</v>
      </c>
      <c r="C3377" s="83" t="s">
        <v>10032</v>
      </c>
      <c r="D3377" s="83" t="s">
        <v>10030</v>
      </c>
    </row>
    <row r="3378" spans="1:4">
      <c r="A3378" s="83" t="s">
        <v>10028</v>
      </c>
      <c r="B3378" s="83" t="s">
        <v>5010</v>
      </c>
      <c r="C3378" s="83" t="s">
        <v>10033</v>
      </c>
      <c r="D3378" s="83" t="s">
        <v>10030</v>
      </c>
    </row>
    <row r="3379" spans="1:4">
      <c r="A3379" s="83" t="s">
        <v>10034</v>
      </c>
      <c r="B3379" s="83" t="s">
        <v>5017</v>
      </c>
      <c r="C3379" s="83" t="s">
        <v>10035</v>
      </c>
      <c r="D3379" s="83" t="s">
        <v>10036</v>
      </c>
    </row>
    <row r="3380" spans="1:4">
      <c r="A3380" s="83" t="s">
        <v>10034</v>
      </c>
      <c r="B3380" s="83" t="s">
        <v>5012</v>
      </c>
      <c r="C3380" s="83" t="s">
        <v>10037</v>
      </c>
      <c r="D3380" s="83" t="s">
        <v>10036</v>
      </c>
    </row>
    <row r="3381" spans="1:4">
      <c r="A3381" s="83" t="s">
        <v>10034</v>
      </c>
      <c r="B3381" s="83" t="s">
        <v>5015</v>
      </c>
      <c r="C3381" s="83" t="s">
        <v>10038</v>
      </c>
      <c r="D3381" s="83" t="s">
        <v>10036</v>
      </c>
    </row>
    <row r="3382" spans="1:4">
      <c r="A3382" s="83" t="s">
        <v>10034</v>
      </c>
      <c r="B3382" s="83" t="s">
        <v>5010</v>
      </c>
      <c r="C3382" s="83" t="s">
        <v>10039</v>
      </c>
      <c r="D3382" s="83" t="s">
        <v>10036</v>
      </c>
    </row>
    <row r="3383" spans="1:4">
      <c r="A3383" s="83" t="s">
        <v>10040</v>
      </c>
      <c r="B3383" s="83" t="s">
        <v>5017</v>
      </c>
      <c r="C3383" s="83" t="s">
        <v>10041</v>
      </c>
      <c r="D3383" s="83" t="s">
        <v>10042</v>
      </c>
    </row>
    <row r="3384" spans="1:4">
      <c r="A3384" s="83" t="s">
        <v>10040</v>
      </c>
      <c r="B3384" s="83" t="s">
        <v>5012</v>
      </c>
      <c r="C3384" s="83" t="s">
        <v>10043</v>
      </c>
      <c r="D3384" s="83" t="s">
        <v>10042</v>
      </c>
    </row>
    <row r="3385" spans="1:4">
      <c r="A3385" s="83" t="s">
        <v>10040</v>
      </c>
      <c r="B3385" s="83" t="s">
        <v>5015</v>
      </c>
      <c r="C3385" s="83" t="s">
        <v>10044</v>
      </c>
      <c r="D3385" s="83" t="s">
        <v>10042</v>
      </c>
    </row>
    <row r="3386" spans="1:4">
      <c r="A3386" s="83" t="s">
        <v>10040</v>
      </c>
      <c r="B3386" s="83" t="s">
        <v>5010</v>
      </c>
      <c r="C3386" s="83" t="s">
        <v>10045</v>
      </c>
      <c r="D3386" s="83" t="s">
        <v>10042</v>
      </c>
    </row>
    <row r="3387" spans="1:4">
      <c r="A3387" s="83" t="s">
        <v>10046</v>
      </c>
      <c r="B3387" s="83" t="s">
        <v>5017</v>
      </c>
      <c r="C3387" s="83" t="s">
        <v>10047</v>
      </c>
      <c r="D3387" s="83" t="s">
        <v>10048</v>
      </c>
    </row>
    <row r="3388" spans="1:4">
      <c r="A3388" s="83" t="s">
        <v>10046</v>
      </c>
      <c r="B3388" s="83" t="s">
        <v>5012</v>
      </c>
      <c r="C3388" s="83" t="s">
        <v>10049</v>
      </c>
      <c r="D3388" s="83" t="s">
        <v>10048</v>
      </c>
    </row>
    <row r="3389" spans="1:4">
      <c r="A3389" s="83" t="s">
        <v>10046</v>
      </c>
      <c r="B3389" s="83" t="s">
        <v>5015</v>
      </c>
      <c r="C3389" s="83" t="s">
        <v>10050</v>
      </c>
      <c r="D3389" s="83" t="s">
        <v>10048</v>
      </c>
    </row>
    <row r="3390" spans="1:4">
      <c r="A3390" s="83" t="s">
        <v>10046</v>
      </c>
      <c r="B3390" s="83" t="s">
        <v>5010</v>
      </c>
      <c r="C3390" s="83" t="s">
        <v>10051</v>
      </c>
      <c r="D3390" s="83" t="s">
        <v>10048</v>
      </c>
    </row>
    <row r="3391" spans="1:4">
      <c r="A3391" s="83" t="s">
        <v>10052</v>
      </c>
      <c r="B3391" s="83" t="s">
        <v>5017</v>
      </c>
      <c r="C3391" s="83" t="s">
        <v>10053</v>
      </c>
      <c r="D3391" s="83" t="s">
        <v>10054</v>
      </c>
    </row>
    <row r="3392" spans="1:4">
      <c r="A3392" s="83" t="s">
        <v>10052</v>
      </c>
      <c r="B3392" s="83" t="s">
        <v>5012</v>
      </c>
      <c r="C3392" s="83" t="s">
        <v>10055</v>
      </c>
      <c r="D3392" s="83" t="s">
        <v>10054</v>
      </c>
    </row>
    <row r="3393" spans="1:4">
      <c r="A3393" s="83" t="s">
        <v>10052</v>
      </c>
      <c r="B3393" s="83" t="s">
        <v>5015</v>
      </c>
      <c r="C3393" s="83" t="s">
        <v>10056</v>
      </c>
      <c r="D3393" s="83" t="s">
        <v>10054</v>
      </c>
    </row>
    <row r="3394" spans="1:4">
      <c r="A3394" s="83" t="s">
        <v>10052</v>
      </c>
      <c r="B3394" s="83" t="s">
        <v>5010</v>
      </c>
      <c r="C3394" s="83" t="s">
        <v>10057</v>
      </c>
      <c r="D3394" s="83" t="s">
        <v>10054</v>
      </c>
    </row>
    <row r="3395" spans="1:4">
      <c r="A3395" s="83" t="s">
        <v>10058</v>
      </c>
      <c r="B3395" s="83" t="s">
        <v>5017</v>
      </c>
      <c r="C3395" s="83" t="s">
        <v>10059</v>
      </c>
      <c r="D3395" s="83" t="s">
        <v>10060</v>
      </c>
    </row>
    <row r="3396" spans="1:4">
      <c r="A3396" s="83" t="s">
        <v>10058</v>
      </c>
      <c r="B3396" s="83" t="s">
        <v>5012</v>
      </c>
      <c r="C3396" s="83" t="s">
        <v>10061</v>
      </c>
      <c r="D3396" s="83" t="s">
        <v>10060</v>
      </c>
    </row>
    <row r="3397" spans="1:4">
      <c r="A3397" s="83" t="s">
        <v>10058</v>
      </c>
      <c r="B3397" s="83" t="s">
        <v>5015</v>
      </c>
      <c r="C3397" s="83" t="s">
        <v>10062</v>
      </c>
      <c r="D3397" s="83" t="s">
        <v>10060</v>
      </c>
    </row>
    <row r="3398" spans="1:4">
      <c r="A3398" s="83" t="s">
        <v>10058</v>
      </c>
      <c r="B3398" s="83" t="s">
        <v>5010</v>
      </c>
      <c r="C3398" s="83" t="s">
        <v>10063</v>
      </c>
      <c r="D3398" s="83" t="s">
        <v>10060</v>
      </c>
    </row>
    <row r="3399" spans="1:4">
      <c r="A3399" s="83" t="s">
        <v>10064</v>
      </c>
      <c r="B3399" s="83" t="s">
        <v>5017</v>
      </c>
      <c r="C3399" s="83" t="s">
        <v>10065</v>
      </c>
      <c r="D3399" s="83" t="s">
        <v>10066</v>
      </c>
    </row>
    <row r="3400" spans="1:4">
      <c r="A3400" s="83" t="s">
        <v>10064</v>
      </c>
      <c r="B3400" s="83" t="s">
        <v>5012</v>
      </c>
      <c r="C3400" s="83" t="s">
        <v>10067</v>
      </c>
      <c r="D3400" s="83" t="s">
        <v>10066</v>
      </c>
    </row>
    <row r="3401" spans="1:4">
      <c r="A3401" s="83" t="s">
        <v>10064</v>
      </c>
      <c r="B3401" s="83" t="s">
        <v>5015</v>
      </c>
      <c r="C3401" s="83" t="s">
        <v>10068</v>
      </c>
      <c r="D3401" s="83" t="s">
        <v>10066</v>
      </c>
    </row>
    <row r="3402" spans="1:4">
      <c r="A3402" s="83" t="s">
        <v>10064</v>
      </c>
      <c r="B3402" s="83" t="s">
        <v>5010</v>
      </c>
      <c r="C3402" s="83" t="s">
        <v>10069</v>
      </c>
      <c r="D3402" s="83" t="s">
        <v>10066</v>
      </c>
    </row>
    <row r="3403" spans="1:4">
      <c r="A3403" s="83" t="s">
        <v>10070</v>
      </c>
      <c r="B3403" s="83" t="s">
        <v>5017</v>
      </c>
      <c r="C3403" s="83" t="s">
        <v>10071</v>
      </c>
      <c r="D3403" s="83" t="s">
        <v>10072</v>
      </c>
    </row>
    <row r="3404" spans="1:4">
      <c r="A3404" s="83" t="s">
        <v>10070</v>
      </c>
      <c r="B3404" s="83" t="s">
        <v>5012</v>
      </c>
      <c r="C3404" s="83" t="s">
        <v>10073</v>
      </c>
      <c r="D3404" s="83" t="s">
        <v>10072</v>
      </c>
    </row>
    <row r="3405" spans="1:4">
      <c r="A3405" s="83" t="s">
        <v>10070</v>
      </c>
      <c r="B3405" s="83" t="s">
        <v>5015</v>
      </c>
      <c r="C3405" s="83" t="s">
        <v>10074</v>
      </c>
      <c r="D3405" s="83" t="s">
        <v>10072</v>
      </c>
    </row>
    <row r="3406" spans="1:4">
      <c r="A3406" s="83" t="s">
        <v>10070</v>
      </c>
      <c r="B3406" s="83" t="s">
        <v>5010</v>
      </c>
      <c r="C3406" s="83" t="s">
        <v>10075</v>
      </c>
      <c r="D3406" s="83" t="s">
        <v>10072</v>
      </c>
    </row>
    <row r="3407" spans="1:4">
      <c r="A3407" s="83" t="s">
        <v>10076</v>
      </c>
      <c r="B3407" s="83" t="s">
        <v>5017</v>
      </c>
      <c r="C3407" s="83" t="s">
        <v>10077</v>
      </c>
      <c r="D3407" s="83" t="s">
        <v>10078</v>
      </c>
    </row>
    <row r="3408" spans="1:4">
      <c r="A3408" s="83" t="s">
        <v>10076</v>
      </c>
      <c r="B3408" s="83" t="s">
        <v>5012</v>
      </c>
      <c r="C3408" s="83" t="s">
        <v>10079</v>
      </c>
      <c r="D3408" s="83" t="s">
        <v>10078</v>
      </c>
    </row>
    <row r="3409" spans="1:4">
      <c r="A3409" s="83" t="s">
        <v>10076</v>
      </c>
      <c r="B3409" s="83" t="s">
        <v>5015</v>
      </c>
      <c r="C3409" s="83" t="s">
        <v>10080</v>
      </c>
      <c r="D3409" s="83" t="s">
        <v>10078</v>
      </c>
    </row>
    <row r="3410" spans="1:4">
      <c r="A3410" s="83" t="s">
        <v>10076</v>
      </c>
      <c r="B3410" s="83" t="s">
        <v>5010</v>
      </c>
      <c r="C3410" s="83" t="s">
        <v>10081</v>
      </c>
      <c r="D3410" s="83" t="s">
        <v>10078</v>
      </c>
    </row>
    <row r="3411" spans="1:4">
      <c r="A3411" s="83" t="s">
        <v>10082</v>
      </c>
      <c r="B3411" s="83" t="s">
        <v>5017</v>
      </c>
      <c r="C3411" s="83" t="s">
        <v>10083</v>
      </c>
      <c r="D3411" s="83" t="s">
        <v>10084</v>
      </c>
    </row>
    <row r="3412" spans="1:4">
      <c r="A3412" s="83" t="s">
        <v>10082</v>
      </c>
      <c r="B3412" s="83" t="s">
        <v>5012</v>
      </c>
      <c r="C3412" s="83" t="s">
        <v>10085</v>
      </c>
      <c r="D3412" s="83" t="s">
        <v>10084</v>
      </c>
    </row>
    <row r="3413" spans="1:4">
      <c r="A3413" s="83" t="s">
        <v>10082</v>
      </c>
      <c r="B3413" s="83" t="s">
        <v>5015</v>
      </c>
      <c r="C3413" s="83" t="s">
        <v>10086</v>
      </c>
      <c r="D3413" s="83" t="s">
        <v>10084</v>
      </c>
    </row>
    <row r="3414" spans="1:4">
      <c r="A3414" s="83" t="s">
        <v>10082</v>
      </c>
      <c r="B3414" s="83" t="s">
        <v>5010</v>
      </c>
      <c r="C3414" s="83" t="s">
        <v>10087</v>
      </c>
      <c r="D3414" s="83" t="s">
        <v>10084</v>
      </c>
    </row>
    <row r="3415" spans="1:4">
      <c r="A3415" s="83" t="s">
        <v>10088</v>
      </c>
      <c r="B3415" s="83" t="s">
        <v>5017</v>
      </c>
      <c r="C3415" s="83" t="s">
        <v>10089</v>
      </c>
      <c r="D3415" s="83" t="s">
        <v>10090</v>
      </c>
    </row>
    <row r="3416" spans="1:4">
      <c r="A3416" s="83" t="s">
        <v>10088</v>
      </c>
      <c r="B3416" s="83" t="s">
        <v>5012</v>
      </c>
      <c r="C3416" s="83" t="s">
        <v>10091</v>
      </c>
      <c r="D3416" s="83" t="s">
        <v>10090</v>
      </c>
    </row>
    <row r="3417" spans="1:4">
      <c r="A3417" s="83" t="s">
        <v>10088</v>
      </c>
      <c r="B3417" s="83" t="s">
        <v>5015</v>
      </c>
      <c r="C3417" s="83" t="s">
        <v>10092</v>
      </c>
      <c r="D3417" s="83" t="s">
        <v>10090</v>
      </c>
    </row>
    <row r="3418" spans="1:4">
      <c r="A3418" s="83" t="s">
        <v>10088</v>
      </c>
      <c r="B3418" s="83" t="s">
        <v>5010</v>
      </c>
      <c r="C3418" s="83" t="s">
        <v>10093</v>
      </c>
      <c r="D3418" s="83" t="s">
        <v>10090</v>
      </c>
    </row>
    <row r="3419" spans="1:4">
      <c r="A3419" s="83" t="s">
        <v>10094</v>
      </c>
      <c r="B3419" s="83" t="s">
        <v>5017</v>
      </c>
      <c r="C3419" s="83" t="s">
        <v>10095</v>
      </c>
      <c r="D3419" s="83" t="s">
        <v>10096</v>
      </c>
    </row>
    <row r="3420" spans="1:4">
      <c r="A3420" s="83" t="s">
        <v>10094</v>
      </c>
      <c r="B3420" s="83" t="s">
        <v>5012</v>
      </c>
      <c r="C3420" s="83" t="s">
        <v>10097</v>
      </c>
      <c r="D3420" s="83" t="s">
        <v>10096</v>
      </c>
    </row>
    <row r="3421" spans="1:4">
      <c r="A3421" s="83" t="s">
        <v>10094</v>
      </c>
      <c r="B3421" s="83" t="s">
        <v>5015</v>
      </c>
      <c r="C3421" s="83" t="s">
        <v>10098</v>
      </c>
      <c r="D3421" s="83" t="s">
        <v>10096</v>
      </c>
    </row>
    <row r="3422" spans="1:4">
      <c r="A3422" s="83" t="s">
        <v>10094</v>
      </c>
      <c r="B3422" s="83" t="s">
        <v>5010</v>
      </c>
      <c r="C3422" s="83" t="s">
        <v>10099</v>
      </c>
      <c r="D3422" s="83" t="s">
        <v>10096</v>
      </c>
    </row>
    <row r="3423" spans="1:4">
      <c r="A3423" s="83" t="s">
        <v>10100</v>
      </c>
      <c r="B3423" s="83" t="s">
        <v>5017</v>
      </c>
      <c r="C3423" s="83" t="s">
        <v>10101</v>
      </c>
      <c r="D3423" s="83" t="s">
        <v>10102</v>
      </c>
    </row>
    <row r="3424" spans="1:4">
      <c r="A3424" s="83" t="s">
        <v>10100</v>
      </c>
      <c r="B3424" s="83" t="s">
        <v>5012</v>
      </c>
      <c r="C3424" s="83" t="s">
        <v>10103</v>
      </c>
      <c r="D3424" s="83" t="s">
        <v>10102</v>
      </c>
    </row>
    <row r="3425" spans="1:4">
      <c r="A3425" s="83" t="s">
        <v>10100</v>
      </c>
      <c r="B3425" s="83" t="s">
        <v>5015</v>
      </c>
      <c r="C3425" s="83" t="s">
        <v>10104</v>
      </c>
      <c r="D3425" s="83" t="s">
        <v>10102</v>
      </c>
    </row>
    <row r="3426" spans="1:4">
      <c r="A3426" s="83" t="s">
        <v>10100</v>
      </c>
      <c r="B3426" s="83" t="s">
        <v>5010</v>
      </c>
      <c r="C3426" s="83" t="s">
        <v>10105</v>
      </c>
      <c r="D3426" s="83" t="s">
        <v>10102</v>
      </c>
    </row>
    <row r="3427" spans="1:4">
      <c r="A3427" s="83" t="s">
        <v>10106</v>
      </c>
      <c r="B3427" s="83" t="s">
        <v>5017</v>
      </c>
      <c r="C3427" s="83" t="s">
        <v>10107</v>
      </c>
      <c r="D3427" s="83" t="s">
        <v>10108</v>
      </c>
    </row>
    <row r="3428" spans="1:4">
      <c r="A3428" s="83" t="s">
        <v>10106</v>
      </c>
      <c r="B3428" s="83" t="s">
        <v>5012</v>
      </c>
      <c r="C3428" s="83" t="s">
        <v>10109</v>
      </c>
      <c r="D3428" s="83" t="s">
        <v>10108</v>
      </c>
    </row>
    <row r="3429" spans="1:4">
      <c r="A3429" s="83" t="s">
        <v>10106</v>
      </c>
      <c r="B3429" s="83" t="s">
        <v>5015</v>
      </c>
      <c r="C3429" s="83" t="s">
        <v>10110</v>
      </c>
      <c r="D3429" s="83" t="s">
        <v>10108</v>
      </c>
    </row>
    <row r="3430" spans="1:4">
      <c r="A3430" s="83" t="s">
        <v>10106</v>
      </c>
      <c r="B3430" s="83" t="s">
        <v>5010</v>
      </c>
      <c r="C3430" s="83" t="s">
        <v>10111</v>
      </c>
      <c r="D3430" s="83" t="s">
        <v>10108</v>
      </c>
    </row>
    <row r="3431" spans="1:4">
      <c r="A3431" s="83" t="s">
        <v>10112</v>
      </c>
      <c r="B3431" s="83" t="s">
        <v>5017</v>
      </c>
      <c r="C3431" s="83" t="s">
        <v>10113</v>
      </c>
      <c r="D3431" s="83" t="s">
        <v>10114</v>
      </c>
    </row>
    <row r="3432" spans="1:4">
      <c r="A3432" s="83" t="s">
        <v>10112</v>
      </c>
      <c r="B3432" s="83" t="s">
        <v>5012</v>
      </c>
      <c r="C3432" s="83" t="s">
        <v>10115</v>
      </c>
      <c r="D3432" s="83" t="s">
        <v>10114</v>
      </c>
    </row>
    <row r="3433" spans="1:4">
      <c r="A3433" s="83" t="s">
        <v>10112</v>
      </c>
      <c r="B3433" s="83" t="s">
        <v>5015</v>
      </c>
      <c r="C3433" s="83" t="s">
        <v>10116</v>
      </c>
      <c r="D3433" s="83" t="s">
        <v>10114</v>
      </c>
    </row>
    <row r="3434" spans="1:4">
      <c r="A3434" s="83" t="s">
        <v>10112</v>
      </c>
      <c r="B3434" s="83" t="s">
        <v>5010</v>
      </c>
      <c r="C3434" s="83" t="s">
        <v>10117</v>
      </c>
      <c r="D3434" s="83" t="s">
        <v>10114</v>
      </c>
    </row>
    <row r="3435" spans="1:4">
      <c r="A3435" s="83" t="s">
        <v>10118</v>
      </c>
      <c r="B3435" s="83" t="s">
        <v>5017</v>
      </c>
      <c r="C3435" s="83" t="s">
        <v>10119</v>
      </c>
      <c r="D3435" s="83" t="s">
        <v>10120</v>
      </c>
    </row>
    <row r="3436" spans="1:4">
      <c r="A3436" s="83" t="s">
        <v>10118</v>
      </c>
      <c r="B3436" s="83" t="s">
        <v>5012</v>
      </c>
      <c r="C3436" s="83" t="s">
        <v>10121</v>
      </c>
      <c r="D3436" s="83" t="s">
        <v>10120</v>
      </c>
    </row>
    <row r="3437" spans="1:4">
      <c r="A3437" s="83" t="s">
        <v>10118</v>
      </c>
      <c r="B3437" s="83" t="s">
        <v>5015</v>
      </c>
      <c r="C3437" s="83" t="s">
        <v>10122</v>
      </c>
      <c r="D3437" s="83" t="s">
        <v>10120</v>
      </c>
    </row>
    <row r="3438" spans="1:4">
      <c r="A3438" s="83" t="s">
        <v>10118</v>
      </c>
      <c r="B3438" s="83" t="s">
        <v>5010</v>
      </c>
      <c r="C3438" s="83" t="s">
        <v>10123</v>
      </c>
      <c r="D3438" s="83" t="s">
        <v>10120</v>
      </c>
    </row>
    <row r="3439" spans="1:4">
      <c r="A3439" s="83" t="s">
        <v>10124</v>
      </c>
      <c r="B3439" s="83" t="s">
        <v>5017</v>
      </c>
      <c r="C3439" s="83" t="s">
        <v>10125</v>
      </c>
      <c r="D3439" s="83" t="s">
        <v>10126</v>
      </c>
    </row>
    <row r="3440" spans="1:4">
      <c r="A3440" s="83" t="s">
        <v>10124</v>
      </c>
      <c r="B3440" s="83" t="s">
        <v>5012</v>
      </c>
      <c r="C3440" s="83" t="s">
        <v>10127</v>
      </c>
      <c r="D3440" s="83" t="s">
        <v>10126</v>
      </c>
    </row>
    <row r="3441" spans="1:4">
      <c r="A3441" s="83" t="s">
        <v>10124</v>
      </c>
      <c r="B3441" s="83" t="s">
        <v>5015</v>
      </c>
      <c r="C3441" s="83" t="s">
        <v>10128</v>
      </c>
      <c r="D3441" s="83" t="s">
        <v>10126</v>
      </c>
    </row>
    <row r="3442" spans="1:4">
      <c r="A3442" s="83" t="s">
        <v>10124</v>
      </c>
      <c r="B3442" s="83" t="s">
        <v>5010</v>
      </c>
      <c r="C3442" s="83" t="s">
        <v>10129</v>
      </c>
      <c r="D3442" s="83" t="s">
        <v>10126</v>
      </c>
    </row>
    <row r="3443" spans="1:4">
      <c r="A3443" s="83" t="s">
        <v>10130</v>
      </c>
      <c r="B3443" s="83" t="s">
        <v>5017</v>
      </c>
      <c r="C3443" s="83" t="s">
        <v>10131</v>
      </c>
      <c r="D3443" s="83" t="s">
        <v>10132</v>
      </c>
    </row>
    <row r="3444" spans="1:4">
      <c r="A3444" s="83" t="s">
        <v>10130</v>
      </c>
      <c r="B3444" s="83" t="s">
        <v>5012</v>
      </c>
      <c r="C3444" s="83" t="s">
        <v>10133</v>
      </c>
      <c r="D3444" s="83" t="s">
        <v>10132</v>
      </c>
    </row>
    <row r="3445" spans="1:4">
      <c r="A3445" s="83" t="s">
        <v>10130</v>
      </c>
      <c r="B3445" s="83" t="s">
        <v>5015</v>
      </c>
      <c r="C3445" s="83" t="s">
        <v>10134</v>
      </c>
      <c r="D3445" s="83" t="s">
        <v>10132</v>
      </c>
    </row>
    <row r="3446" spans="1:4">
      <c r="A3446" s="83" t="s">
        <v>10130</v>
      </c>
      <c r="B3446" s="83" t="s">
        <v>5010</v>
      </c>
      <c r="C3446" s="83" t="s">
        <v>9494</v>
      </c>
      <c r="D3446" s="83" t="s">
        <v>10132</v>
      </c>
    </row>
    <row r="3447" spans="1:4">
      <c r="A3447" s="83" t="s">
        <v>10135</v>
      </c>
      <c r="B3447" s="83" t="s">
        <v>5017</v>
      </c>
      <c r="C3447" s="83" t="s">
        <v>10136</v>
      </c>
      <c r="D3447" s="83" t="s">
        <v>10137</v>
      </c>
    </row>
    <row r="3448" spans="1:4">
      <c r="A3448" s="83" t="s">
        <v>10135</v>
      </c>
      <c r="B3448" s="83" t="s">
        <v>5012</v>
      </c>
      <c r="C3448" s="83" t="s">
        <v>10138</v>
      </c>
      <c r="D3448" s="83" t="s">
        <v>10137</v>
      </c>
    </row>
    <row r="3449" spans="1:4">
      <c r="A3449" s="83" t="s">
        <v>10135</v>
      </c>
      <c r="B3449" s="83" t="s">
        <v>5015</v>
      </c>
      <c r="C3449" s="83" t="s">
        <v>10139</v>
      </c>
      <c r="D3449" s="83" t="s">
        <v>10137</v>
      </c>
    </row>
    <row r="3450" spans="1:4">
      <c r="A3450" s="83" t="s">
        <v>10135</v>
      </c>
      <c r="B3450" s="83" t="s">
        <v>5010</v>
      </c>
      <c r="C3450" s="83" t="s">
        <v>10140</v>
      </c>
      <c r="D3450" s="83" t="s">
        <v>10137</v>
      </c>
    </row>
    <row r="3451" spans="1:4">
      <c r="A3451" s="83" t="s">
        <v>10141</v>
      </c>
      <c r="B3451" s="83" t="s">
        <v>5017</v>
      </c>
      <c r="C3451" s="83" t="s">
        <v>10142</v>
      </c>
      <c r="D3451" s="83" t="s">
        <v>10143</v>
      </c>
    </row>
    <row r="3452" spans="1:4">
      <c r="A3452" s="83" t="s">
        <v>10141</v>
      </c>
      <c r="B3452" s="83" t="s">
        <v>5012</v>
      </c>
      <c r="C3452" s="83" t="s">
        <v>10144</v>
      </c>
      <c r="D3452" s="83" t="s">
        <v>10143</v>
      </c>
    </row>
    <row r="3453" spans="1:4">
      <c r="A3453" s="83" t="s">
        <v>10141</v>
      </c>
      <c r="B3453" s="83" t="s">
        <v>5015</v>
      </c>
      <c r="C3453" s="83" t="s">
        <v>10145</v>
      </c>
      <c r="D3453" s="83" t="s">
        <v>10143</v>
      </c>
    </row>
    <row r="3454" spans="1:4">
      <c r="A3454" s="83" t="s">
        <v>10141</v>
      </c>
      <c r="B3454" s="83" t="s">
        <v>5010</v>
      </c>
      <c r="C3454" s="83" t="s">
        <v>10146</v>
      </c>
      <c r="D3454" s="83" t="s">
        <v>10143</v>
      </c>
    </row>
    <row r="3455" spans="1:4">
      <c r="A3455" s="83" t="s">
        <v>10147</v>
      </c>
      <c r="B3455" s="83" t="s">
        <v>5017</v>
      </c>
      <c r="C3455" s="83" t="s">
        <v>10148</v>
      </c>
      <c r="D3455" s="83" t="s">
        <v>10149</v>
      </c>
    </row>
    <row r="3456" spans="1:4">
      <c r="A3456" s="83" t="s">
        <v>10147</v>
      </c>
      <c r="B3456" s="83" t="s">
        <v>5012</v>
      </c>
      <c r="C3456" s="83" t="s">
        <v>10150</v>
      </c>
      <c r="D3456" s="83" t="s">
        <v>10149</v>
      </c>
    </row>
    <row r="3457" spans="1:4">
      <c r="A3457" s="83" t="s">
        <v>10147</v>
      </c>
      <c r="B3457" s="83" t="s">
        <v>5015</v>
      </c>
      <c r="C3457" s="83" t="s">
        <v>10151</v>
      </c>
      <c r="D3457" s="83" t="s">
        <v>10149</v>
      </c>
    </row>
    <row r="3458" spans="1:4">
      <c r="A3458" s="83" t="s">
        <v>10147</v>
      </c>
      <c r="B3458" s="83" t="s">
        <v>5010</v>
      </c>
      <c r="C3458" s="83" t="s">
        <v>10152</v>
      </c>
      <c r="D3458" s="83" t="s">
        <v>10149</v>
      </c>
    </row>
    <row r="3459" spans="1:4">
      <c r="A3459" s="83" t="s">
        <v>10153</v>
      </c>
      <c r="B3459" s="83" t="s">
        <v>5017</v>
      </c>
      <c r="C3459" s="83" t="s">
        <v>10154</v>
      </c>
      <c r="D3459" s="83" t="s">
        <v>10155</v>
      </c>
    </row>
    <row r="3460" spans="1:4">
      <c r="A3460" s="83" t="s">
        <v>10153</v>
      </c>
      <c r="B3460" s="83" t="s">
        <v>5012</v>
      </c>
      <c r="C3460" s="83" t="s">
        <v>10156</v>
      </c>
      <c r="D3460" s="83" t="s">
        <v>10155</v>
      </c>
    </row>
    <row r="3461" spans="1:4">
      <c r="A3461" s="83" t="s">
        <v>10153</v>
      </c>
      <c r="B3461" s="83" t="s">
        <v>5015</v>
      </c>
      <c r="C3461" s="83" t="s">
        <v>10157</v>
      </c>
      <c r="D3461" s="83" t="s">
        <v>10155</v>
      </c>
    </row>
    <row r="3462" spans="1:4">
      <c r="A3462" s="83" t="s">
        <v>10153</v>
      </c>
      <c r="B3462" s="83" t="s">
        <v>5010</v>
      </c>
      <c r="C3462" s="83" t="s">
        <v>10158</v>
      </c>
      <c r="D3462" s="83" t="s">
        <v>10155</v>
      </c>
    </row>
    <row r="3463" spans="1:4">
      <c r="A3463" s="83" t="s">
        <v>10159</v>
      </c>
      <c r="B3463" s="83" t="s">
        <v>5017</v>
      </c>
      <c r="C3463" s="83" t="s">
        <v>10160</v>
      </c>
      <c r="D3463" s="83" t="s">
        <v>10161</v>
      </c>
    </row>
    <row r="3464" spans="1:4">
      <c r="A3464" s="83" t="s">
        <v>10159</v>
      </c>
      <c r="B3464" s="83" t="s">
        <v>5012</v>
      </c>
      <c r="C3464" s="83" t="s">
        <v>10162</v>
      </c>
      <c r="D3464" s="83" t="s">
        <v>10161</v>
      </c>
    </row>
    <row r="3465" spans="1:4">
      <c r="A3465" s="83" t="s">
        <v>10159</v>
      </c>
      <c r="B3465" s="83" t="s">
        <v>5015</v>
      </c>
      <c r="C3465" s="83" t="s">
        <v>10163</v>
      </c>
      <c r="D3465" s="83" t="s">
        <v>10161</v>
      </c>
    </row>
    <row r="3466" spans="1:4">
      <c r="A3466" s="83" t="s">
        <v>10159</v>
      </c>
      <c r="B3466" s="83" t="s">
        <v>5010</v>
      </c>
      <c r="C3466" s="83" t="s">
        <v>10164</v>
      </c>
      <c r="D3466" s="83" t="s">
        <v>10161</v>
      </c>
    </row>
    <row r="3467" spans="1:4">
      <c r="A3467" s="83" t="s">
        <v>10165</v>
      </c>
      <c r="B3467" s="83" t="s">
        <v>5017</v>
      </c>
      <c r="C3467" s="83" t="s">
        <v>10166</v>
      </c>
      <c r="D3467" s="83" t="s">
        <v>10167</v>
      </c>
    </row>
    <row r="3468" spans="1:4">
      <c r="A3468" s="83" t="s">
        <v>10165</v>
      </c>
      <c r="B3468" s="83" t="s">
        <v>5012</v>
      </c>
      <c r="C3468" s="83" t="s">
        <v>10168</v>
      </c>
      <c r="D3468" s="83" t="s">
        <v>10167</v>
      </c>
    </row>
    <row r="3469" spans="1:4">
      <c r="A3469" s="83" t="s">
        <v>10165</v>
      </c>
      <c r="B3469" s="83" t="s">
        <v>5015</v>
      </c>
      <c r="C3469" s="83" t="s">
        <v>10169</v>
      </c>
      <c r="D3469" s="83" t="s">
        <v>10167</v>
      </c>
    </row>
    <row r="3470" spans="1:4">
      <c r="A3470" s="83" t="s">
        <v>10165</v>
      </c>
      <c r="B3470" s="83" t="s">
        <v>5010</v>
      </c>
      <c r="C3470" s="83" t="s">
        <v>10170</v>
      </c>
      <c r="D3470" s="83" t="s">
        <v>10167</v>
      </c>
    </row>
    <row r="3471" spans="1:4">
      <c r="A3471" s="83" t="s">
        <v>10171</v>
      </c>
      <c r="B3471" s="83" t="s">
        <v>5017</v>
      </c>
      <c r="C3471" s="83" t="s">
        <v>10172</v>
      </c>
      <c r="D3471" s="83" t="s">
        <v>10173</v>
      </c>
    </row>
    <row r="3472" spans="1:4">
      <c r="A3472" s="83" t="s">
        <v>10171</v>
      </c>
      <c r="B3472" s="83" t="s">
        <v>5012</v>
      </c>
      <c r="C3472" s="83" t="s">
        <v>10174</v>
      </c>
      <c r="D3472" s="83" t="s">
        <v>10173</v>
      </c>
    </row>
    <row r="3473" spans="1:4">
      <c r="A3473" s="83" t="s">
        <v>10171</v>
      </c>
      <c r="B3473" s="83" t="s">
        <v>5015</v>
      </c>
      <c r="C3473" s="83" t="s">
        <v>10175</v>
      </c>
      <c r="D3473" s="83" t="s">
        <v>10173</v>
      </c>
    </row>
    <row r="3474" spans="1:4">
      <c r="A3474" s="83" t="s">
        <v>10171</v>
      </c>
      <c r="B3474" s="83" t="s">
        <v>5010</v>
      </c>
      <c r="C3474" s="83" t="s">
        <v>10176</v>
      </c>
      <c r="D3474" s="83" t="s">
        <v>10173</v>
      </c>
    </row>
    <row r="3475" spans="1:4">
      <c r="A3475" s="83" t="s">
        <v>10177</v>
      </c>
      <c r="B3475" s="83" t="s">
        <v>5017</v>
      </c>
      <c r="C3475" s="83" t="s">
        <v>10178</v>
      </c>
      <c r="D3475" s="83" t="s">
        <v>10179</v>
      </c>
    </row>
    <row r="3476" spans="1:4">
      <c r="A3476" s="83" t="s">
        <v>10177</v>
      </c>
      <c r="B3476" s="83" t="s">
        <v>5012</v>
      </c>
      <c r="C3476" s="83" t="s">
        <v>10180</v>
      </c>
      <c r="D3476" s="83" t="s">
        <v>10179</v>
      </c>
    </row>
    <row r="3477" spans="1:4">
      <c r="A3477" s="83" t="s">
        <v>10177</v>
      </c>
      <c r="B3477" s="83" t="s">
        <v>5015</v>
      </c>
      <c r="C3477" s="83" t="s">
        <v>10181</v>
      </c>
      <c r="D3477" s="83" t="s">
        <v>10179</v>
      </c>
    </row>
    <row r="3478" spans="1:4">
      <c r="A3478" s="83" t="s">
        <v>10177</v>
      </c>
      <c r="B3478" s="83" t="s">
        <v>5010</v>
      </c>
      <c r="C3478" s="83" t="s">
        <v>10182</v>
      </c>
      <c r="D3478" s="83" t="s">
        <v>10179</v>
      </c>
    </row>
    <row r="3479" spans="1:4">
      <c r="A3479" s="83" t="s">
        <v>10183</v>
      </c>
      <c r="B3479" s="83" t="s">
        <v>5017</v>
      </c>
      <c r="C3479" s="83" t="s">
        <v>10184</v>
      </c>
      <c r="D3479" s="83" t="s">
        <v>10185</v>
      </c>
    </row>
    <row r="3480" spans="1:4">
      <c r="A3480" s="83" t="s">
        <v>10183</v>
      </c>
      <c r="B3480" s="83" t="s">
        <v>5012</v>
      </c>
      <c r="C3480" s="83" t="s">
        <v>10186</v>
      </c>
      <c r="D3480" s="83" t="s">
        <v>10185</v>
      </c>
    </row>
    <row r="3481" spans="1:4">
      <c r="A3481" s="83" t="s">
        <v>10183</v>
      </c>
      <c r="B3481" s="83" t="s">
        <v>5015</v>
      </c>
      <c r="C3481" s="83" t="s">
        <v>10187</v>
      </c>
      <c r="D3481" s="83" t="s">
        <v>10185</v>
      </c>
    </row>
    <row r="3482" spans="1:4">
      <c r="A3482" s="83" t="s">
        <v>10183</v>
      </c>
      <c r="B3482" s="83" t="s">
        <v>5010</v>
      </c>
      <c r="C3482" s="83" t="s">
        <v>10188</v>
      </c>
      <c r="D3482" s="83" t="s">
        <v>10185</v>
      </c>
    </row>
    <row r="3483" spans="1:4">
      <c r="A3483" s="83" t="s">
        <v>10189</v>
      </c>
      <c r="B3483" s="83" t="s">
        <v>5017</v>
      </c>
      <c r="C3483" s="83" t="s">
        <v>10190</v>
      </c>
      <c r="D3483" s="83" t="s">
        <v>10191</v>
      </c>
    </row>
    <row r="3484" spans="1:4">
      <c r="A3484" s="83" t="s">
        <v>10189</v>
      </c>
      <c r="B3484" s="83" t="s">
        <v>5012</v>
      </c>
      <c r="C3484" s="83" t="s">
        <v>10192</v>
      </c>
      <c r="D3484" s="83" t="s">
        <v>10191</v>
      </c>
    </row>
    <row r="3485" spans="1:4">
      <c r="A3485" s="83" t="s">
        <v>10189</v>
      </c>
      <c r="B3485" s="83" t="s">
        <v>5015</v>
      </c>
      <c r="C3485" s="83" t="s">
        <v>10193</v>
      </c>
      <c r="D3485" s="83" t="s">
        <v>10191</v>
      </c>
    </row>
    <row r="3486" spans="1:4">
      <c r="A3486" s="83" t="s">
        <v>10189</v>
      </c>
      <c r="B3486" s="83" t="s">
        <v>5010</v>
      </c>
      <c r="C3486" s="83" t="s">
        <v>10194</v>
      </c>
      <c r="D3486" s="83" t="s">
        <v>10191</v>
      </c>
    </row>
    <row r="3487" spans="1:4">
      <c r="A3487" s="83" t="s">
        <v>10195</v>
      </c>
      <c r="B3487" s="83" t="s">
        <v>5017</v>
      </c>
      <c r="C3487" s="83" t="s">
        <v>10196</v>
      </c>
      <c r="D3487" s="83" t="s">
        <v>10197</v>
      </c>
    </row>
    <row r="3488" spans="1:4">
      <c r="A3488" s="83" t="s">
        <v>10195</v>
      </c>
      <c r="B3488" s="83" t="s">
        <v>5012</v>
      </c>
      <c r="C3488" s="83" t="s">
        <v>10198</v>
      </c>
      <c r="D3488" s="83" t="s">
        <v>10197</v>
      </c>
    </row>
    <row r="3489" spans="1:4">
      <c r="A3489" s="83" t="s">
        <v>10195</v>
      </c>
      <c r="B3489" s="83" t="s">
        <v>5015</v>
      </c>
      <c r="C3489" s="83" t="s">
        <v>10199</v>
      </c>
      <c r="D3489" s="83" t="s">
        <v>10197</v>
      </c>
    </row>
    <row r="3490" spans="1:4">
      <c r="A3490" s="83" t="s">
        <v>10195</v>
      </c>
      <c r="B3490" s="83" t="s">
        <v>5010</v>
      </c>
      <c r="C3490" s="83" t="s">
        <v>10200</v>
      </c>
      <c r="D3490" s="83" t="s">
        <v>10197</v>
      </c>
    </row>
    <row r="3491" spans="1:4">
      <c r="A3491" s="83" t="s">
        <v>10201</v>
      </c>
      <c r="B3491" s="83" t="s">
        <v>5017</v>
      </c>
      <c r="C3491" s="83" t="s">
        <v>10202</v>
      </c>
      <c r="D3491" s="83" t="s">
        <v>10203</v>
      </c>
    </row>
    <row r="3492" spans="1:4">
      <c r="A3492" s="83" t="s">
        <v>10201</v>
      </c>
      <c r="B3492" s="83" t="s">
        <v>5012</v>
      </c>
      <c r="C3492" s="83" t="s">
        <v>10204</v>
      </c>
      <c r="D3492" s="83" t="s">
        <v>10203</v>
      </c>
    </row>
    <row r="3493" spans="1:4">
      <c r="A3493" s="83" t="s">
        <v>10201</v>
      </c>
      <c r="B3493" s="83" t="s">
        <v>5015</v>
      </c>
      <c r="C3493" s="83" t="s">
        <v>10205</v>
      </c>
      <c r="D3493" s="83" t="s">
        <v>10203</v>
      </c>
    </row>
    <row r="3494" spans="1:4">
      <c r="A3494" s="83" t="s">
        <v>10201</v>
      </c>
      <c r="B3494" s="83" t="s">
        <v>5010</v>
      </c>
      <c r="C3494" s="83" t="s">
        <v>9945</v>
      </c>
      <c r="D3494" s="83" t="s">
        <v>10203</v>
      </c>
    </row>
    <row r="3495" spans="1:4">
      <c r="A3495" s="83" t="s">
        <v>10206</v>
      </c>
      <c r="B3495" s="83" t="s">
        <v>5017</v>
      </c>
      <c r="C3495" s="83" t="s">
        <v>10207</v>
      </c>
      <c r="D3495" s="83" t="s">
        <v>10208</v>
      </c>
    </row>
    <row r="3496" spans="1:4">
      <c r="A3496" s="83" t="s">
        <v>10206</v>
      </c>
      <c r="B3496" s="83" t="s">
        <v>5012</v>
      </c>
      <c r="C3496" s="83" t="s">
        <v>10209</v>
      </c>
      <c r="D3496" s="83" t="s">
        <v>10208</v>
      </c>
    </row>
    <row r="3497" spans="1:4">
      <c r="A3497" s="83" t="s">
        <v>10206</v>
      </c>
      <c r="B3497" s="83" t="s">
        <v>5015</v>
      </c>
      <c r="C3497" s="83" t="s">
        <v>10210</v>
      </c>
      <c r="D3497" s="83" t="s">
        <v>10208</v>
      </c>
    </row>
    <row r="3498" spans="1:4">
      <c r="A3498" s="83" t="s">
        <v>10206</v>
      </c>
      <c r="B3498" s="83" t="s">
        <v>5010</v>
      </c>
      <c r="C3498" s="83" t="s">
        <v>10211</v>
      </c>
      <c r="D3498" s="83" t="s">
        <v>10208</v>
      </c>
    </row>
    <row r="3499" spans="1:4">
      <c r="A3499" s="83" t="s">
        <v>10212</v>
      </c>
      <c r="B3499" s="83" t="s">
        <v>5017</v>
      </c>
      <c r="C3499" s="83" t="s">
        <v>10213</v>
      </c>
      <c r="D3499" s="83" t="s">
        <v>10214</v>
      </c>
    </row>
    <row r="3500" spans="1:4">
      <c r="A3500" s="83" t="s">
        <v>10212</v>
      </c>
      <c r="B3500" s="83" t="s">
        <v>5012</v>
      </c>
      <c r="C3500" s="83" t="s">
        <v>10215</v>
      </c>
      <c r="D3500" s="83" t="s">
        <v>10214</v>
      </c>
    </row>
    <row r="3501" spans="1:4">
      <c r="A3501" s="83" t="s">
        <v>10212</v>
      </c>
      <c r="B3501" s="83" t="s">
        <v>5015</v>
      </c>
      <c r="C3501" s="83" t="s">
        <v>10216</v>
      </c>
      <c r="D3501" s="83" t="s">
        <v>10214</v>
      </c>
    </row>
    <row r="3502" spans="1:4">
      <c r="A3502" s="83" t="s">
        <v>10212</v>
      </c>
      <c r="B3502" s="83" t="s">
        <v>5010</v>
      </c>
      <c r="C3502" s="83" t="s">
        <v>10217</v>
      </c>
      <c r="D3502" s="83" t="s">
        <v>10214</v>
      </c>
    </row>
    <row r="3503" spans="1:4">
      <c r="A3503" s="83" t="s">
        <v>10218</v>
      </c>
      <c r="B3503" s="83" t="s">
        <v>5017</v>
      </c>
      <c r="C3503" s="83" t="s">
        <v>10219</v>
      </c>
      <c r="D3503" s="83" t="s">
        <v>10220</v>
      </c>
    </row>
    <row r="3504" spans="1:4">
      <c r="A3504" s="83" t="s">
        <v>10218</v>
      </c>
      <c r="B3504" s="83" t="s">
        <v>5012</v>
      </c>
      <c r="C3504" s="83" t="s">
        <v>10221</v>
      </c>
      <c r="D3504" s="83" t="s">
        <v>10220</v>
      </c>
    </row>
    <row r="3505" spans="1:4">
      <c r="A3505" s="83" t="s">
        <v>10218</v>
      </c>
      <c r="B3505" s="83" t="s">
        <v>5015</v>
      </c>
      <c r="C3505" s="83" t="s">
        <v>10222</v>
      </c>
      <c r="D3505" s="83" t="s">
        <v>10220</v>
      </c>
    </row>
    <row r="3506" spans="1:4">
      <c r="A3506" s="83" t="s">
        <v>10218</v>
      </c>
      <c r="B3506" s="83" t="s">
        <v>5010</v>
      </c>
      <c r="C3506" s="83" t="s">
        <v>10223</v>
      </c>
      <c r="D3506" s="83" t="s">
        <v>10220</v>
      </c>
    </row>
    <row r="3507" spans="1:4">
      <c r="A3507" s="83" t="s">
        <v>10224</v>
      </c>
      <c r="B3507" s="83" t="s">
        <v>5017</v>
      </c>
      <c r="C3507" s="83" t="s">
        <v>10225</v>
      </c>
      <c r="D3507" s="83" t="s">
        <v>10226</v>
      </c>
    </row>
    <row r="3508" spans="1:4">
      <c r="A3508" s="83" t="s">
        <v>10224</v>
      </c>
      <c r="B3508" s="83" t="s">
        <v>5012</v>
      </c>
      <c r="C3508" s="83" t="s">
        <v>10227</v>
      </c>
      <c r="D3508" s="83" t="s">
        <v>10226</v>
      </c>
    </row>
    <row r="3509" spans="1:4">
      <c r="A3509" s="83" t="s">
        <v>10224</v>
      </c>
      <c r="B3509" s="83" t="s">
        <v>5015</v>
      </c>
      <c r="C3509" s="83" t="s">
        <v>10228</v>
      </c>
      <c r="D3509" s="83" t="s">
        <v>10226</v>
      </c>
    </row>
    <row r="3510" spans="1:4">
      <c r="A3510" s="83" t="s">
        <v>10224</v>
      </c>
      <c r="B3510" s="83" t="s">
        <v>5010</v>
      </c>
      <c r="C3510" s="83" t="s">
        <v>10229</v>
      </c>
      <c r="D3510" s="83" t="s">
        <v>10226</v>
      </c>
    </row>
    <row r="3511" spans="1:4">
      <c r="A3511" s="83" t="s">
        <v>10230</v>
      </c>
      <c r="B3511" s="83" t="s">
        <v>5017</v>
      </c>
      <c r="C3511" s="83" t="s">
        <v>10231</v>
      </c>
      <c r="D3511" s="83" t="s">
        <v>10232</v>
      </c>
    </row>
    <row r="3512" spans="1:4">
      <c r="A3512" s="83" t="s">
        <v>10230</v>
      </c>
      <c r="B3512" s="83" t="s">
        <v>5012</v>
      </c>
      <c r="C3512" s="83" t="s">
        <v>10233</v>
      </c>
      <c r="D3512" s="83" t="s">
        <v>10232</v>
      </c>
    </row>
    <row r="3513" spans="1:4">
      <c r="A3513" s="83" t="s">
        <v>10230</v>
      </c>
      <c r="B3513" s="83" t="s">
        <v>5015</v>
      </c>
      <c r="C3513" s="83" t="s">
        <v>10234</v>
      </c>
      <c r="D3513" s="83" t="s">
        <v>10232</v>
      </c>
    </row>
    <row r="3514" spans="1:4">
      <c r="A3514" s="83" t="s">
        <v>10230</v>
      </c>
      <c r="B3514" s="83" t="s">
        <v>5010</v>
      </c>
      <c r="C3514" s="83" t="s">
        <v>10235</v>
      </c>
      <c r="D3514" s="83" t="s">
        <v>10232</v>
      </c>
    </row>
    <row r="3515" spans="1:4">
      <c r="A3515" s="83" t="s">
        <v>10236</v>
      </c>
      <c r="B3515" s="83" t="s">
        <v>5017</v>
      </c>
      <c r="C3515" s="83" t="s">
        <v>10237</v>
      </c>
      <c r="D3515" s="83" t="s">
        <v>10238</v>
      </c>
    </row>
    <row r="3516" spans="1:4">
      <c r="A3516" s="83" t="s">
        <v>10236</v>
      </c>
      <c r="B3516" s="83" t="s">
        <v>5012</v>
      </c>
      <c r="C3516" s="83" t="s">
        <v>10239</v>
      </c>
      <c r="D3516" s="83" t="s">
        <v>10238</v>
      </c>
    </row>
    <row r="3517" spans="1:4">
      <c r="A3517" s="83" t="s">
        <v>10236</v>
      </c>
      <c r="B3517" s="83" t="s">
        <v>5015</v>
      </c>
      <c r="C3517" s="83" t="s">
        <v>10240</v>
      </c>
      <c r="D3517" s="83" t="s">
        <v>10238</v>
      </c>
    </row>
    <row r="3518" spans="1:4">
      <c r="A3518" s="83" t="s">
        <v>10236</v>
      </c>
      <c r="B3518" s="83" t="s">
        <v>5010</v>
      </c>
      <c r="C3518" s="83" t="s">
        <v>10241</v>
      </c>
      <c r="D3518" s="83" t="s">
        <v>10238</v>
      </c>
    </row>
    <row r="3519" spans="1:4">
      <c r="A3519" s="83" t="s">
        <v>10242</v>
      </c>
      <c r="B3519" s="83" t="s">
        <v>5017</v>
      </c>
      <c r="C3519" s="83" t="s">
        <v>10243</v>
      </c>
      <c r="D3519" s="83" t="s">
        <v>10244</v>
      </c>
    </row>
    <row r="3520" spans="1:4">
      <c r="A3520" s="83" t="s">
        <v>10242</v>
      </c>
      <c r="B3520" s="83" t="s">
        <v>5012</v>
      </c>
      <c r="C3520" s="83" t="s">
        <v>10245</v>
      </c>
      <c r="D3520" s="83" t="s">
        <v>10244</v>
      </c>
    </row>
    <row r="3521" spans="1:4">
      <c r="A3521" s="83" t="s">
        <v>10242</v>
      </c>
      <c r="B3521" s="83" t="s">
        <v>5015</v>
      </c>
      <c r="C3521" s="83" t="s">
        <v>10246</v>
      </c>
      <c r="D3521" s="83" t="s">
        <v>10244</v>
      </c>
    </row>
    <row r="3522" spans="1:4">
      <c r="A3522" s="83" t="s">
        <v>10242</v>
      </c>
      <c r="B3522" s="83" t="s">
        <v>5010</v>
      </c>
      <c r="C3522" s="83" t="s">
        <v>10247</v>
      </c>
      <c r="D3522" s="83" t="s">
        <v>10244</v>
      </c>
    </row>
    <row r="3523" spans="1:4">
      <c r="A3523" s="83" t="s">
        <v>10248</v>
      </c>
      <c r="B3523" s="83" t="s">
        <v>5017</v>
      </c>
      <c r="C3523" s="83" t="s">
        <v>10249</v>
      </c>
      <c r="D3523" s="83" t="s">
        <v>10250</v>
      </c>
    </row>
    <row r="3524" spans="1:4">
      <c r="A3524" s="83" t="s">
        <v>10248</v>
      </c>
      <c r="B3524" s="83" t="s">
        <v>5012</v>
      </c>
      <c r="C3524" s="83" t="s">
        <v>10251</v>
      </c>
      <c r="D3524" s="83" t="s">
        <v>10250</v>
      </c>
    </row>
    <row r="3525" spans="1:4">
      <c r="A3525" s="83" t="s">
        <v>10248</v>
      </c>
      <c r="B3525" s="83" t="s">
        <v>5015</v>
      </c>
      <c r="C3525" s="83" t="s">
        <v>10252</v>
      </c>
      <c r="D3525" s="83" t="s">
        <v>10250</v>
      </c>
    </row>
    <row r="3526" spans="1:4">
      <c r="A3526" s="83" t="s">
        <v>10248</v>
      </c>
      <c r="B3526" s="83" t="s">
        <v>5010</v>
      </c>
      <c r="C3526" s="83" t="s">
        <v>10253</v>
      </c>
      <c r="D3526" s="83" t="s">
        <v>10250</v>
      </c>
    </row>
    <row r="3527" spans="1:4">
      <c r="A3527" s="83" t="s">
        <v>10254</v>
      </c>
      <c r="B3527" s="83" t="s">
        <v>5017</v>
      </c>
      <c r="C3527" s="83" t="s">
        <v>10255</v>
      </c>
      <c r="D3527" s="83" t="s">
        <v>10256</v>
      </c>
    </row>
    <row r="3528" spans="1:4">
      <c r="A3528" s="83" t="s">
        <v>10254</v>
      </c>
      <c r="B3528" s="83" t="s">
        <v>5012</v>
      </c>
      <c r="C3528" s="83" t="s">
        <v>10257</v>
      </c>
      <c r="D3528" s="83" t="s">
        <v>10256</v>
      </c>
    </row>
    <row r="3529" spans="1:4">
      <c r="A3529" s="83" t="s">
        <v>10254</v>
      </c>
      <c r="B3529" s="83" t="s">
        <v>5015</v>
      </c>
      <c r="C3529" s="83" t="s">
        <v>10258</v>
      </c>
      <c r="D3529" s="83" t="s">
        <v>10256</v>
      </c>
    </row>
    <row r="3530" spans="1:4">
      <c r="A3530" s="83" t="s">
        <v>10254</v>
      </c>
      <c r="B3530" s="83" t="s">
        <v>5010</v>
      </c>
      <c r="C3530" s="83" t="s">
        <v>10259</v>
      </c>
      <c r="D3530" s="83" t="s">
        <v>10256</v>
      </c>
    </row>
    <row r="3531" spans="1:4">
      <c r="A3531" s="83" t="s">
        <v>10260</v>
      </c>
      <c r="B3531" s="83" t="s">
        <v>5017</v>
      </c>
      <c r="C3531" s="83" t="s">
        <v>10261</v>
      </c>
      <c r="D3531" s="83" t="s">
        <v>10262</v>
      </c>
    </row>
    <row r="3532" spans="1:4">
      <c r="A3532" s="83" t="s">
        <v>10260</v>
      </c>
      <c r="B3532" s="83" t="s">
        <v>5012</v>
      </c>
      <c r="C3532" s="83" t="s">
        <v>10263</v>
      </c>
      <c r="D3532" s="83" t="s">
        <v>10262</v>
      </c>
    </row>
    <row r="3533" spans="1:4">
      <c r="A3533" s="83" t="s">
        <v>10260</v>
      </c>
      <c r="B3533" s="83" t="s">
        <v>5015</v>
      </c>
      <c r="C3533" s="83" t="s">
        <v>10264</v>
      </c>
      <c r="D3533" s="83" t="s">
        <v>10262</v>
      </c>
    </row>
    <row r="3534" spans="1:4">
      <c r="A3534" s="83" t="s">
        <v>10260</v>
      </c>
      <c r="B3534" s="83" t="s">
        <v>5010</v>
      </c>
      <c r="C3534" s="83" t="s">
        <v>10265</v>
      </c>
      <c r="D3534" s="83" t="s">
        <v>10262</v>
      </c>
    </row>
    <row r="3535" spans="1:4">
      <c r="A3535" s="83" t="s">
        <v>10266</v>
      </c>
      <c r="B3535" s="83" t="s">
        <v>5017</v>
      </c>
      <c r="C3535" s="83" t="s">
        <v>10267</v>
      </c>
      <c r="D3535" s="83" t="s">
        <v>10268</v>
      </c>
    </row>
    <row r="3536" spans="1:4">
      <c r="A3536" s="83" t="s">
        <v>10266</v>
      </c>
      <c r="B3536" s="83" t="s">
        <v>5012</v>
      </c>
      <c r="C3536" s="83" t="s">
        <v>10269</v>
      </c>
      <c r="D3536" s="83" t="s">
        <v>10268</v>
      </c>
    </row>
    <row r="3537" spans="1:4">
      <c r="A3537" s="83" t="s">
        <v>10266</v>
      </c>
      <c r="B3537" s="83" t="s">
        <v>5015</v>
      </c>
      <c r="C3537" s="83" t="s">
        <v>10270</v>
      </c>
      <c r="D3537" s="83" t="s">
        <v>10268</v>
      </c>
    </row>
    <row r="3538" spans="1:4">
      <c r="A3538" s="83" t="s">
        <v>10266</v>
      </c>
      <c r="B3538" s="83" t="s">
        <v>5010</v>
      </c>
      <c r="C3538" s="83" t="s">
        <v>10271</v>
      </c>
      <c r="D3538" s="83" t="s">
        <v>10268</v>
      </c>
    </row>
    <row r="3539" spans="1:4">
      <c r="A3539" s="83" t="s">
        <v>10272</v>
      </c>
      <c r="B3539" s="83" t="s">
        <v>5017</v>
      </c>
      <c r="C3539" s="83" t="s">
        <v>10273</v>
      </c>
      <c r="D3539" s="83" t="s">
        <v>10274</v>
      </c>
    </row>
    <row r="3540" spans="1:4">
      <c r="A3540" s="83" t="s">
        <v>10272</v>
      </c>
      <c r="B3540" s="83" t="s">
        <v>5012</v>
      </c>
      <c r="C3540" s="83" t="s">
        <v>10275</v>
      </c>
      <c r="D3540" s="83" t="s">
        <v>10274</v>
      </c>
    </row>
    <row r="3541" spans="1:4">
      <c r="A3541" s="83" t="s">
        <v>10272</v>
      </c>
      <c r="B3541" s="83" t="s">
        <v>5015</v>
      </c>
      <c r="C3541" s="83" t="s">
        <v>10276</v>
      </c>
      <c r="D3541" s="83" t="s">
        <v>10274</v>
      </c>
    </row>
    <row r="3542" spans="1:4">
      <c r="A3542" s="83" t="s">
        <v>10272</v>
      </c>
      <c r="B3542" s="83" t="s">
        <v>5010</v>
      </c>
      <c r="C3542" s="83" t="s">
        <v>10277</v>
      </c>
      <c r="D3542" s="83" t="s">
        <v>10274</v>
      </c>
    </row>
    <row r="3543" spans="1:4">
      <c r="A3543" s="83" t="s">
        <v>10278</v>
      </c>
      <c r="B3543" s="83" t="s">
        <v>5017</v>
      </c>
      <c r="C3543" s="83" t="s">
        <v>10279</v>
      </c>
      <c r="D3543" s="83" t="s">
        <v>10280</v>
      </c>
    </row>
    <row r="3544" spans="1:4">
      <c r="A3544" s="83" t="s">
        <v>10278</v>
      </c>
      <c r="B3544" s="83" t="s">
        <v>5012</v>
      </c>
      <c r="C3544" s="83" t="s">
        <v>10281</v>
      </c>
      <c r="D3544" s="83" t="s">
        <v>10280</v>
      </c>
    </row>
    <row r="3545" spans="1:4">
      <c r="A3545" s="83" t="s">
        <v>10278</v>
      </c>
      <c r="B3545" s="83" t="s">
        <v>5015</v>
      </c>
      <c r="C3545" s="83" t="s">
        <v>10282</v>
      </c>
      <c r="D3545" s="83" t="s">
        <v>10280</v>
      </c>
    </row>
    <row r="3546" spans="1:4">
      <c r="A3546" s="83" t="s">
        <v>10278</v>
      </c>
      <c r="B3546" s="83" t="s">
        <v>5010</v>
      </c>
      <c r="C3546" s="83" t="s">
        <v>10283</v>
      </c>
      <c r="D3546" s="83" t="s">
        <v>10280</v>
      </c>
    </row>
    <row r="3547" spans="1:4">
      <c r="A3547" s="83" t="s">
        <v>10284</v>
      </c>
      <c r="B3547" s="83" t="s">
        <v>5017</v>
      </c>
      <c r="C3547" s="83" t="s">
        <v>10285</v>
      </c>
      <c r="D3547" s="83" t="s">
        <v>10286</v>
      </c>
    </row>
    <row r="3548" spans="1:4">
      <c r="A3548" s="83" t="s">
        <v>10284</v>
      </c>
      <c r="B3548" s="83" t="s">
        <v>5012</v>
      </c>
      <c r="C3548" s="83" t="s">
        <v>10287</v>
      </c>
      <c r="D3548" s="83" t="s">
        <v>10286</v>
      </c>
    </row>
    <row r="3549" spans="1:4">
      <c r="A3549" s="83" t="s">
        <v>10284</v>
      </c>
      <c r="B3549" s="83" t="s">
        <v>5015</v>
      </c>
      <c r="C3549" s="83" t="s">
        <v>10288</v>
      </c>
      <c r="D3549" s="83" t="s">
        <v>10286</v>
      </c>
    </row>
    <row r="3550" spans="1:4">
      <c r="A3550" s="83" t="s">
        <v>10284</v>
      </c>
      <c r="B3550" s="83" t="s">
        <v>5010</v>
      </c>
      <c r="C3550" s="83" t="s">
        <v>10289</v>
      </c>
      <c r="D3550" s="83" t="s">
        <v>10286</v>
      </c>
    </row>
    <row r="3551" spans="1:4">
      <c r="A3551" s="83" t="s">
        <v>10290</v>
      </c>
      <c r="B3551" s="83" t="s">
        <v>5017</v>
      </c>
      <c r="C3551" s="83" t="s">
        <v>10291</v>
      </c>
      <c r="D3551" s="83" t="s">
        <v>10292</v>
      </c>
    </row>
    <row r="3552" spans="1:4">
      <c r="A3552" s="83" t="s">
        <v>10290</v>
      </c>
      <c r="B3552" s="83" t="s">
        <v>5012</v>
      </c>
      <c r="C3552" s="83" t="s">
        <v>10293</v>
      </c>
      <c r="D3552" s="83" t="s">
        <v>10292</v>
      </c>
    </row>
    <row r="3553" spans="1:4">
      <c r="A3553" s="83" t="s">
        <v>10290</v>
      </c>
      <c r="B3553" s="83" t="s">
        <v>5015</v>
      </c>
      <c r="C3553" s="83" t="s">
        <v>10294</v>
      </c>
      <c r="D3553" s="83" t="s">
        <v>10292</v>
      </c>
    </row>
    <row r="3554" spans="1:4">
      <c r="A3554" s="83" t="s">
        <v>10290</v>
      </c>
      <c r="B3554" s="83" t="s">
        <v>5010</v>
      </c>
      <c r="C3554" s="83" t="s">
        <v>10295</v>
      </c>
      <c r="D3554" s="83" t="s">
        <v>10292</v>
      </c>
    </row>
    <row r="3555" spans="1:4">
      <c r="A3555" s="83" t="s">
        <v>10296</v>
      </c>
      <c r="B3555" s="83" t="s">
        <v>5017</v>
      </c>
      <c r="C3555" s="83" t="s">
        <v>10297</v>
      </c>
      <c r="D3555" s="83" t="s">
        <v>10298</v>
      </c>
    </row>
    <row r="3556" spans="1:4">
      <c r="A3556" s="83" t="s">
        <v>10296</v>
      </c>
      <c r="B3556" s="83" t="s">
        <v>5012</v>
      </c>
      <c r="C3556" s="83" t="s">
        <v>10299</v>
      </c>
      <c r="D3556" s="83" t="s">
        <v>10298</v>
      </c>
    </row>
    <row r="3557" spans="1:4">
      <c r="A3557" s="83" t="s">
        <v>10296</v>
      </c>
      <c r="B3557" s="83" t="s">
        <v>5015</v>
      </c>
      <c r="C3557" s="83" t="s">
        <v>10300</v>
      </c>
      <c r="D3557" s="83" t="s">
        <v>10298</v>
      </c>
    </row>
    <row r="3558" spans="1:4">
      <c r="A3558" s="83" t="s">
        <v>10296</v>
      </c>
      <c r="B3558" s="83" t="s">
        <v>5010</v>
      </c>
      <c r="C3558" s="83" t="s">
        <v>10301</v>
      </c>
      <c r="D3558" s="83" t="s">
        <v>10298</v>
      </c>
    </row>
    <row r="3559" spans="1:4">
      <c r="A3559" s="83" t="s">
        <v>10302</v>
      </c>
      <c r="B3559" s="83" t="s">
        <v>5017</v>
      </c>
      <c r="C3559" s="83" t="s">
        <v>10303</v>
      </c>
      <c r="D3559" s="83" t="s">
        <v>10304</v>
      </c>
    </row>
    <row r="3560" spans="1:4">
      <c r="A3560" s="83" t="s">
        <v>10302</v>
      </c>
      <c r="B3560" s="83" t="s">
        <v>5012</v>
      </c>
      <c r="C3560" s="83" t="s">
        <v>10305</v>
      </c>
      <c r="D3560" s="83" t="s">
        <v>10304</v>
      </c>
    </row>
    <row r="3561" spans="1:4">
      <c r="A3561" s="83" t="s">
        <v>10302</v>
      </c>
      <c r="B3561" s="83" t="s">
        <v>5015</v>
      </c>
      <c r="C3561" s="83" t="s">
        <v>10306</v>
      </c>
      <c r="D3561" s="83" t="s">
        <v>10304</v>
      </c>
    </row>
    <row r="3562" spans="1:4">
      <c r="A3562" s="83" t="s">
        <v>10302</v>
      </c>
      <c r="B3562" s="83" t="s">
        <v>5010</v>
      </c>
      <c r="C3562" s="83" t="s">
        <v>10307</v>
      </c>
      <c r="D3562" s="83" t="s">
        <v>10304</v>
      </c>
    </row>
    <row r="3563" spans="1:4">
      <c r="A3563" s="83" t="s">
        <v>10308</v>
      </c>
      <c r="B3563" s="83" t="s">
        <v>5017</v>
      </c>
      <c r="C3563" s="83" t="s">
        <v>10309</v>
      </c>
      <c r="D3563" s="83" t="s">
        <v>10310</v>
      </c>
    </row>
    <row r="3564" spans="1:4">
      <c r="A3564" s="83" t="s">
        <v>10308</v>
      </c>
      <c r="B3564" s="83" t="s">
        <v>5012</v>
      </c>
      <c r="C3564" s="83" t="s">
        <v>10311</v>
      </c>
      <c r="D3564" s="83" t="s">
        <v>10310</v>
      </c>
    </row>
    <row r="3565" spans="1:4">
      <c r="A3565" s="83" t="s">
        <v>10308</v>
      </c>
      <c r="B3565" s="83" t="s">
        <v>5015</v>
      </c>
      <c r="C3565" s="83" t="s">
        <v>10312</v>
      </c>
      <c r="D3565" s="83" t="s">
        <v>10310</v>
      </c>
    </row>
    <row r="3566" spans="1:4">
      <c r="A3566" s="83" t="s">
        <v>10308</v>
      </c>
      <c r="B3566" s="83" t="s">
        <v>5010</v>
      </c>
      <c r="C3566" s="83" t="s">
        <v>10313</v>
      </c>
      <c r="D3566" s="83" t="s">
        <v>10310</v>
      </c>
    </row>
    <row r="3567" spans="1:4">
      <c r="A3567" s="83" t="s">
        <v>10314</v>
      </c>
      <c r="B3567" s="83" t="s">
        <v>5017</v>
      </c>
      <c r="C3567" s="83" t="s">
        <v>10315</v>
      </c>
      <c r="D3567" s="83" t="s">
        <v>10316</v>
      </c>
    </row>
    <row r="3568" spans="1:4">
      <c r="A3568" s="83" t="s">
        <v>10314</v>
      </c>
      <c r="B3568" s="83" t="s">
        <v>5012</v>
      </c>
      <c r="C3568" s="83" t="s">
        <v>10317</v>
      </c>
      <c r="D3568" s="83" t="s">
        <v>10316</v>
      </c>
    </row>
    <row r="3569" spans="1:4">
      <c r="A3569" s="83" t="s">
        <v>10314</v>
      </c>
      <c r="B3569" s="83" t="s">
        <v>5015</v>
      </c>
      <c r="C3569" s="83" t="s">
        <v>10318</v>
      </c>
      <c r="D3569" s="83" t="s">
        <v>10316</v>
      </c>
    </row>
    <row r="3570" spans="1:4">
      <c r="A3570" s="83" t="s">
        <v>10314</v>
      </c>
      <c r="B3570" s="83" t="s">
        <v>5010</v>
      </c>
      <c r="C3570" s="83" t="s">
        <v>10319</v>
      </c>
      <c r="D3570" s="83" t="s">
        <v>10316</v>
      </c>
    </row>
    <row r="3571" spans="1:4">
      <c r="A3571" s="83" t="s">
        <v>10320</v>
      </c>
      <c r="B3571" s="83" t="s">
        <v>5017</v>
      </c>
      <c r="C3571" s="83" t="s">
        <v>10321</v>
      </c>
      <c r="D3571" s="83" t="s">
        <v>10322</v>
      </c>
    </row>
    <row r="3572" spans="1:4">
      <c r="A3572" s="83" t="s">
        <v>10320</v>
      </c>
      <c r="B3572" s="83" t="s">
        <v>5012</v>
      </c>
      <c r="C3572" s="83" t="s">
        <v>10323</v>
      </c>
      <c r="D3572" s="83" t="s">
        <v>10322</v>
      </c>
    </row>
    <row r="3573" spans="1:4">
      <c r="A3573" s="83" t="s">
        <v>10320</v>
      </c>
      <c r="B3573" s="83" t="s">
        <v>5015</v>
      </c>
      <c r="C3573" s="83" t="s">
        <v>10324</v>
      </c>
      <c r="D3573" s="83" t="s">
        <v>10322</v>
      </c>
    </row>
    <row r="3574" spans="1:4">
      <c r="A3574" s="83" t="s">
        <v>10320</v>
      </c>
      <c r="B3574" s="83" t="s">
        <v>5010</v>
      </c>
      <c r="C3574" s="83" t="s">
        <v>10325</v>
      </c>
      <c r="D3574" s="83" t="s">
        <v>10322</v>
      </c>
    </row>
    <row r="3575" spans="1:4">
      <c r="A3575" s="83" t="s">
        <v>10326</v>
      </c>
      <c r="B3575" s="83" t="s">
        <v>5017</v>
      </c>
      <c r="C3575" s="83" t="s">
        <v>10327</v>
      </c>
      <c r="D3575" s="83" t="s">
        <v>10328</v>
      </c>
    </row>
    <row r="3576" spans="1:4">
      <c r="A3576" s="83" t="s">
        <v>10326</v>
      </c>
      <c r="B3576" s="83" t="s">
        <v>5012</v>
      </c>
      <c r="C3576" s="83" t="s">
        <v>10329</v>
      </c>
      <c r="D3576" s="83" t="s">
        <v>10328</v>
      </c>
    </row>
    <row r="3577" spans="1:4">
      <c r="A3577" s="83" t="s">
        <v>10326</v>
      </c>
      <c r="B3577" s="83" t="s">
        <v>5015</v>
      </c>
      <c r="C3577" s="83" t="s">
        <v>10330</v>
      </c>
      <c r="D3577" s="83" t="s">
        <v>10328</v>
      </c>
    </row>
    <row r="3578" spans="1:4">
      <c r="A3578" s="83" t="s">
        <v>10326</v>
      </c>
      <c r="B3578" s="83" t="s">
        <v>5010</v>
      </c>
      <c r="C3578" s="83" t="s">
        <v>10331</v>
      </c>
      <c r="D3578" s="83" t="s">
        <v>10328</v>
      </c>
    </row>
    <row r="3579" spans="1:4">
      <c r="A3579" s="83" t="s">
        <v>10332</v>
      </c>
      <c r="B3579" s="83" t="s">
        <v>5017</v>
      </c>
      <c r="C3579" s="83" t="s">
        <v>10333</v>
      </c>
      <c r="D3579" s="83" t="s">
        <v>10334</v>
      </c>
    </row>
    <row r="3580" spans="1:4">
      <c r="A3580" s="83" t="s">
        <v>10332</v>
      </c>
      <c r="B3580" s="83" t="s">
        <v>5012</v>
      </c>
      <c r="C3580" s="83" t="s">
        <v>10335</v>
      </c>
      <c r="D3580" s="83" t="s">
        <v>10334</v>
      </c>
    </row>
    <row r="3581" spans="1:4">
      <c r="A3581" s="83" t="s">
        <v>10332</v>
      </c>
      <c r="B3581" s="83" t="s">
        <v>5015</v>
      </c>
      <c r="C3581" s="83" t="s">
        <v>10336</v>
      </c>
      <c r="D3581" s="83" t="s">
        <v>10334</v>
      </c>
    </row>
    <row r="3582" spans="1:4">
      <c r="A3582" s="83" t="s">
        <v>10332</v>
      </c>
      <c r="B3582" s="83" t="s">
        <v>5010</v>
      </c>
      <c r="C3582" s="83" t="s">
        <v>10337</v>
      </c>
      <c r="D3582" s="83" t="s">
        <v>10334</v>
      </c>
    </row>
    <row r="3583" spans="1:4">
      <c r="A3583" s="83" t="s">
        <v>10338</v>
      </c>
      <c r="B3583" s="83" t="s">
        <v>5017</v>
      </c>
      <c r="C3583" s="83" t="s">
        <v>10339</v>
      </c>
      <c r="D3583" s="83" t="s">
        <v>10340</v>
      </c>
    </row>
    <row r="3584" spans="1:4">
      <c r="A3584" s="83" t="s">
        <v>10338</v>
      </c>
      <c r="B3584" s="83" t="s">
        <v>5012</v>
      </c>
      <c r="C3584" s="83" t="s">
        <v>10341</v>
      </c>
      <c r="D3584" s="83" t="s">
        <v>10340</v>
      </c>
    </row>
    <row r="3585" spans="1:4">
      <c r="A3585" s="83" t="s">
        <v>10338</v>
      </c>
      <c r="B3585" s="83" t="s">
        <v>5015</v>
      </c>
      <c r="C3585" s="83" t="s">
        <v>10342</v>
      </c>
      <c r="D3585" s="83" t="s">
        <v>10340</v>
      </c>
    </row>
    <row r="3586" spans="1:4">
      <c r="A3586" s="83" t="s">
        <v>10338</v>
      </c>
      <c r="B3586" s="83" t="s">
        <v>5010</v>
      </c>
      <c r="C3586" s="83" t="s">
        <v>10343</v>
      </c>
      <c r="D3586" s="83" t="s">
        <v>10340</v>
      </c>
    </row>
    <row r="3587" spans="1:4">
      <c r="A3587" s="83" t="s">
        <v>10344</v>
      </c>
      <c r="B3587" s="83" t="s">
        <v>5017</v>
      </c>
      <c r="C3587" s="83" t="s">
        <v>10345</v>
      </c>
      <c r="D3587" s="83" t="s">
        <v>10346</v>
      </c>
    </row>
    <row r="3588" spans="1:4">
      <c r="A3588" s="83" t="s">
        <v>10344</v>
      </c>
      <c r="B3588" s="83" t="s">
        <v>5012</v>
      </c>
      <c r="C3588" s="83" t="s">
        <v>10347</v>
      </c>
      <c r="D3588" s="83" t="s">
        <v>10346</v>
      </c>
    </row>
    <row r="3589" spans="1:4">
      <c r="A3589" s="83" t="s">
        <v>10344</v>
      </c>
      <c r="B3589" s="83" t="s">
        <v>5015</v>
      </c>
      <c r="C3589" s="83" t="s">
        <v>10348</v>
      </c>
      <c r="D3589" s="83" t="s">
        <v>10346</v>
      </c>
    </row>
    <row r="3590" spans="1:4">
      <c r="A3590" s="83" t="s">
        <v>10344</v>
      </c>
      <c r="B3590" s="83" t="s">
        <v>5010</v>
      </c>
      <c r="C3590" s="83" t="s">
        <v>10349</v>
      </c>
      <c r="D3590" s="83" t="s">
        <v>10346</v>
      </c>
    </row>
    <row r="3591" spans="1:4">
      <c r="A3591" s="83" t="s">
        <v>10350</v>
      </c>
      <c r="B3591" s="83" t="s">
        <v>5017</v>
      </c>
      <c r="C3591" s="83" t="s">
        <v>10351</v>
      </c>
      <c r="D3591" s="83" t="s">
        <v>10352</v>
      </c>
    </row>
    <row r="3592" spans="1:4">
      <c r="A3592" s="83" t="s">
        <v>10350</v>
      </c>
      <c r="B3592" s="83" t="s">
        <v>5012</v>
      </c>
      <c r="C3592" s="83" t="s">
        <v>10353</v>
      </c>
      <c r="D3592" s="83" t="s">
        <v>10352</v>
      </c>
    </row>
    <row r="3593" spans="1:4">
      <c r="A3593" s="83" t="s">
        <v>10350</v>
      </c>
      <c r="B3593" s="83" t="s">
        <v>5015</v>
      </c>
      <c r="C3593" s="83" t="s">
        <v>10354</v>
      </c>
      <c r="D3593" s="83" t="s">
        <v>10352</v>
      </c>
    </row>
    <row r="3594" spans="1:4">
      <c r="A3594" s="83" t="s">
        <v>10350</v>
      </c>
      <c r="B3594" s="83" t="s">
        <v>5010</v>
      </c>
      <c r="C3594" s="83" t="s">
        <v>10355</v>
      </c>
      <c r="D3594" s="83" t="s">
        <v>10352</v>
      </c>
    </row>
    <row r="3595" spans="1:4">
      <c r="A3595" s="83" t="s">
        <v>10356</v>
      </c>
      <c r="B3595" s="83" t="s">
        <v>5017</v>
      </c>
      <c r="C3595" s="83" t="s">
        <v>10357</v>
      </c>
      <c r="D3595" s="83" t="s">
        <v>10358</v>
      </c>
    </row>
    <row r="3596" spans="1:4">
      <c r="A3596" s="83" t="s">
        <v>10356</v>
      </c>
      <c r="B3596" s="83" t="s">
        <v>5012</v>
      </c>
      <c r="C3596" s="83" t="s">
        <v>10359</v>
      </c>
      <c r="D3596" s="83" t="s">
        <v>10358</v>
      </c>
    </row>
    <row r="3597" spans="1:4">
      <c r="A3597" s="83" t="s">
        <v>10356</v>
      </c>
      <c r="B3597" s="83" t="s">
        <v>5015</v>
      </c>
      <c r="C3597" s="83" t="s">
        <v>10360</v>
      </c>
      <c r="D3597" s="83" t="s">
        <v>10358</v>
      </c>
    </row>
    <row r="3598" spans="1:4">
      <c r="A3598" s="83" t="s">
        <v>10356</v>
      </c>
      <c r="B3598" s="83" t="s">
        <v>5010</v>
      </c>
      <c r="C3598" s="83" t="s">
        <v>10361</v>
      </c>
      <c r="D3598" s="83" t="s">
        <v>10358</v>
      </c>
    </row>
    <row r="3599" spans="1:4">
      <c r="A3599" s="83" t="s">
        <v>10362</v>
      </c>
      <c r="B3599" s="83" t="s">
        <v>5017</v>
      </c>
      <c r="C3599" s="83" t="s">
        <v>10363</v>
      </c>
      <c r="D3599" s="83" t="s">
        <v>10364</v>
      </c>
    </row>
    <row r="3600" spans="1:4">
      <c r="A3600" s="83" t="s">
        <v>10362</v>
      </c>
      <c r="B3600" s="83" t="s">
        <v>5012</v>
      </c>
      <c r="C3600" s="83" t="s">
        <v>10365</v>
      </c>
      <c r="D3600" s="83" t="s">
        <v>10364</v>
      </c>
    </row>
    <row r="3601" spans="1:4">
      <c r="A3601" s="83" t="s">
        <v>10362</v>
      </c>
      <c r="B3601" s="83" t="s">
        <v>5015</v>
      </c>
      <c r="C3601" s="83" t="s">
        <v>10366</v>
      </c>
      <c r="D3601" s="83" t="s">
        <v>10364</v>
      </c>
    </row>
    <row r="3602" spans="1:4">
      <c r="A3602" s="83" t="s">
        <v>10362</v>
      </c>
      <c r="B3602" s="83" t="s">
        <v>5010</v>
      </c>
      <c r="C3602" s="83" t="s">
        <v>10367</v>
      </c>
      <c r="D3602" s="83" t="s">
        <v>10364</v>
      </c>
    </row>
    <row r="3603" spans="1:4">
      <c r="A3603" s="83" t="s">
        <v>10368</v>
      </c>
      <c r="B3603" s="83" t="s">
        <v>5017</v>
      </c>
      <c r="C3603" s="83" t="s">
        <v>10369</v>
      </c>
      <c r="D3603" s="83" t="s">
        <v>10370</v>
      </c>
    </row>
    <row r="3604" spans="1:4">
      <c r="A3604" s="83" t="s">
        <v>10368</v>
      </c>
      <c r="B3604" s="83" t="s">
        <v>5012</v>
      </c>
      <c r="C3604" s="83" t="s">
        <v>10371</v>
      </c>
      <c r="D3604" s="83" t="s">
        <v>10370</v>
      </c>
    </row>
    <row r="3605" spans="1:4">
      <c r="A3605" s="83" t="s">
        <v>10368</v>
      </c>
      <c r="B3605" s="83" t="s">
        <v>5015</v>
      </c>
      <c r="C3605" s="83" t="s">
        <v>10372</v>
      </c>
      <c r="D3605" s="83" t="s">
        <v>10370</v>
      </c>
    </row>
    <row r="3606" spans="1:4">
      <c r="A3606" s="83" t="s">
        <v>10368</v>
      </c>
      <c r="B3606" s="83" t="s">
        <v>5010</v>
      </c>
      <c r="C3606" s="83" t="s">
        <v>10373</v>
      </c>
      <c r="D3606" s="83" t="s">
        <v>10370</v>
      </c>
    </row>
    <row r="3607" spans="1:4">
      <c r="A3607" s="83" t="s">
        <v>10374</v>
      </c>
      <c r="B3607" s="83" t="s">
        <v>5017</v>
      </c>
      <c r="C3607" s="83" t="s">
        <v>10375</v>
      </c>
      <c r="D3607" s="83" t="s">
        <v>10376</v>
      </c>
    </row>
    <row r="3608" spans="1:4">
      <c r="A3608" s="83" t="s">
        <v>10374</v>
      </c>
      <c r="B3608" s="83" t="s">
        <v>5012</v>
      </c>
      <c r="C3608" s="83" t="s">
        <v>10377</v>
      </c>
      <c r="D3608" s="83" t="s">
        <v>10376</v>
      </c>
    </row>
    <row r="3609" spans="1:4">
      <c r="A3609" s="83" t="s">
        <v>10374</v>
      </c>
      <c r="B3609" s="83" t="s">
        <v>5015</v>
      </c>
      <c r="C3609" s="83" t="s">
        <v>10378</v>
      </c>
      <c r="D3609" s="83" t="s">
        <v>10376</v>
      </c>
    </row>
    <row r="3610" spans="1:4">
      <c r="A3610" s="83" t="s">
        <v>10374</v>
      </c>
      <c r="B3610" s="83" t="s">
        <v>5010</v>
      </c>
      <c r="C3610" s="83" t="s">
        <v>10379</v>
      </c>
      <c r="D3610" s="83" t="s">
        <v>10376</v>
      </c>
    </row>
    <row r="3611" spans="1:4">
      <c r="A3611" s="83" t="s">
        <v>10380</v>
      </c>
      <c r="B3611" s="83" t="s">
        <v>5017</v>
      </c>
      <c r="C3611" s="83" t="s">
        <v>10381</v>
      </c>
      <c r="D3611" s="83" t="s">
        <v>10382</v>
      </c>
    </row>
    <row r="3612" spans="1:4">
      <c r="A3612" s="83" t="s">
        <v>10380</v>
      </c>
      <c r="B3612" s="83" t="s">
        <v>5012</v>
      </c>
      <c r="C3612" s="83" t="s">
        <v>10383</v>
      </c>
      <c r="D3612" s="83" t="s">
        <v>10382</v>
      </c>
    </row>
    <row r="3613" spans="1:4">
      <c r="A3613" s="83" t="s">
        <v>10380</v>
      </c>
      <c r="B3613" s="83" t="s">
        <v>5015</v>
      </c>
      <c r="C3613" s="83" t="s">
        <v>10384</v>
      </c>
      <c r="D3613" s="83" t="s">
        <v>10382</v>
      </c>
    </row>
    <row r="3614" spans="1:4">
      <c r="A3614" s="83" t="s">
        <v>10380</v>
      </c>
      <c r="B3614" s="83" t="s">
        <v>5010</v>
      </c>
      <c r="C3614" s="83" t="s">
        <v>10385</v>
      </c>
      <c r="D3614" s="83" t="s">
        <v>10382</v>
      </c>
    </row>
    <row r="3615" spans="1:4">
      <c r="A3615" s="83" t="s">
        <v>10386</v>
      </c>
      <c r="B3615" s="83" t="s">
        <v>5017</v>
      </c>
      <c r="C3615" s="83" t="s">
        <v>10387</v>
      </c>
      <c r="D3615" s="83" t="s">
        <v>10388</v>
      </c>
    </row>
    <row r="3616" spans="1:4">
      <c r="A3616" s="83" t="s">
        <v>10386</v>
      </c>
      <c r="B3616" s="83" t="s">
        <v>5012</v>
      </c>
      <c r="C3616" s="83" t="s">
        <v>10389</v>
      </c>
      <c r="D3616" s="83" t="s">
        <v>10388</v>
      </c>
    </row>
    <row r="3617" spans="1:4">
      <c r="A3617" s="83" t="s">
        <v>10386</v>
      </c>
      <c r="B3617" s="83" t="s">
        <v>5015</v>
      </c>
      <c r="C3617" s="83" t="s">
        <v>10390</v>
      </c>
      <c r="D3617" s="83" t="s">
        <v>10388</v>
      </c>
    </row>
    <row r="3618" spans="1:4">
      <c r="A3618" s="83" t="s">
        <v>10386</v>
      </c>
      <c r="B3618" s="83" t="s">
        <v>5010</v>
      </c>
      <c r="C3618" s="83" t="s">
        <v>10391</v>
      </c>
      <c r="D3618" s="83" t="s">
        <v>10388</v>
      </c>
    </row>
    <row r="3619" spans="1:4">
      <c r="A3619" s="83" t="s">
        <v>10392</v>
      </c>
      <c r="B3619" s="83" t="s">
        <v>5017</v>
      </c>
      <c r="C3619" s="83" t="s">
        <v>10393</v>
      </c>
      <c r="D3619" s="83" t="s">
        <v>10394</v>
      </c>
    </row>
    <row r="3620" spans="1:4">
      <c r="A3620" s="83" t="s">
        <v>10392</v>
      </c>
      <c r="B3620" s="83" t="s">
        <v>5012</v>
      </c>
      <c r="C3620" s="83" t="s">
        <v>10395</v>
      </c>
      <c r="D3620" s="83" t="s">
        <v>10394</v>
      </c>
    </row>
    <row r="3621" spans="1:4">
      <c r="A3621" s="83" t="s">
        <v>10392</v>
      </c>
      <c r="B3621" s="83" t="s">
        <v>5015</v>
      </c>
      <c r="C3621" s="83" t="s">
        <v>10396</v>
      </c>
      <c r="D3621" s="83" t="s">
        <v>10394</v>
      </c>
    </row>
    <row r="3622" spans="1:4">
      <c r="A3622" s="83" t="s">
        <v>10392</v>
      </c>
      <c r="B3622" s="83" t="s">
        <v>5010</v>
      </c>
      <c r="C3622" s="83" t="s">
        <v>10397</v>
      </c>
      <c r="D3622" s="83" t="s">
        <v>10394</v>
      </c>
    </row>
    <row r="3623" spans="1:4">
      <c r="A3623" s="83" t="s">
        <v>10398</v>
      </c>
      <c r="B3623" s="83" t="s">
        <v>5017</v>
      </c>
      <c r="C3623" s="83" t="s">
        <v>10399</v>
      </c>
      <c r="D3623" s="83" t="s">
        <v>10400</v>
      </c>
    </row>
    <row r="3624" spans="1:4">
      <c r="A3624" s="83" t="s">
        <v>10398</v>
      </c>
      <c r="B3624" s="83" t="s">
        <v>5012</v>
      </c>
      <c r="C3624" s="83" t="s">
        <v>10401</v>
      </c>
      <c r="D3624" s="83" t="s">
        <v>10400</v>
      </c>
    </row>
    <row r="3625" spans="1:4">
      <c r="A3625" s="83" t="s">
        <v>10398</v>
      </c>
      <c r="B3625" s="83" t="s">
        <v>5015</v>
      </c>
      <c r="C3625" s="83" t="s">
        <v>10402</v>
      </c>
      <c r="D3625" s="83" t="s">
        <v>10400</v>
      </c>
    </row>
    <row r="3626" spans="1:4">
      <c r="A3626" s="83" t="s">
        <v>10398</v>
      </c>
      <c r="B3626" s="83" t="s">
        <v>5010</v>
      </c>
      <c r="C3626" s="83" t="s">
        <v>10403</v>
      </c>
      <c r="D3626" s="83" t="s">
        <v>10400</v>
      </c>
    </row>
    <row r="3627" spans="1:4">
      <c r="A3627" s="83" t="s">
        <v>10404</v>
      </c>
      <c r="B3627" s="83" t="s">
        <v>5017</v>
      </c>
      <c r="C3627" s="83" t="s">
        <v>10405</v>
      </c>
      <c r="D3627" s="83" t="s">
        <v>10406</v>
      </c>
    </row>
    <row r="3628" spans="1:4">
      <c r="A3628" s="83" t="s">
        <v>10404</v>
      </c>
      <c r="B3628" s="83" t="s">
        <v>5012</v>
      </c>
      <c r="C3628" s="83" t="s">
        <v>10407</v>
      </c>
      <c r="D3628" s="83" t="s">
        <v>10406</v>
      </c>
    </row>
    <row r="3629" spans="1:4">
      <c r="A3629" s="83" t="s">
        <v>10404</v>
      </c>
      <c r="B3629" s="83" t="s">
        <v>5015</v>
      </c>
      <c r="C3629" s="83" t="s">
        <v>10408</v>
      </c>
      <c r="D3629" s="83" t="s">
        <v>10406</v>
      </c>
    </row>
    <row r="3630" spans="1:4">
      <c r="A3630" s="83" t="s">
        <v>10404</v>
      </c>
      <c r="B3630" s="83" t="s">
        <v>5010</v>
      </c>
      <c r="C3630" s="83" t="s">
        <v>10409</v>
      </c>
      <c r="D3630" s="83" t="s">
        <v>10406</v>
      </c>
    </row>
    <row r="3631" spans="1:4">
      <c r="A3631" s="83" t="s">
        <v>10410</v>
      </c>
      <c r="B3631" s="83" t="s">
        <v>5017</v>
      </c>
      <c r="C3631" s="83" t="s">
        <v>10411</v>
      </c>
      <c r="D3631" s="83" t="s">
        <v>10412</v>
      </c>
    </row>
    <row r="3632" spans="1:4">
      <c r="A3632" s="83" t="s">
        <v>10410</v>
      </c>
      <c r="B3632" s="83" t="s">
        <v>5012</v>
      </c>
      <c r="C3632" s="83" t="s">
        <v>10413</v>
      </c>
      <c r="D3632" s="83" t="s">
        <v>10412</v>
      </c>
    </row>
    <row r="3633" spans="1:4">
      <c r="A3633" s="83" t="s">
        <v>10410</v>
      </c>
      <c r="B3633" s="83" t="s">
        <v>5015</v>
      </c>
      <c r="C3633" s="83" t="s">
        <v>10414</v>
      </c>
      <c r="D3633" s="83" t="s">
        <v>10412</v>
      </c>
    </row>
    <row r="3634" spans="1:4">
      <c r="A3634" s="83" t="s">
        <v>10410</v>
      </c>
      <c r="B3634" s="83" t="s">
        <v>5010</v>
      </c>
      <c r="C3634" s="83" t="s">
        <v>10415</v>
      </c>
      <c r="D3634" s="83" t="s">
        <v>10412</v>
      </c>
    </row>
    <row r="3635" spans="1:4">
      <c r="A3635" s="83" t="s">
        <v>10416</v>
      </c>
      <c r="B3635" s="83" t="s">
        <v>5017</v>
      </c>
      <c r="C3635" s="83" t="s">
        <v>10417</v>
      </c>
      <c r="D3635" s="83" t="s">
        <v>10418</v>
      </c>
    </row>
    <row r="3636" spans="1:4">
      <c r="A3636" s="83" t="s">
        <v>10416</v>
      </c>
      <c r="B3636" s="83" t="s">
        <v>5012</v>
      </c>
      <c r="C3636" s="83" t="s">
        <v>10419</v>
      </c>
      <c r="D3636" s="83" t="s">
        <v>10418</v>
      </c>
    </row>
    <row r="3637" spans="1:4">
      <c r="A3637" s="83" t="s">
        <v>10416</v>
      </c>
      <c r="B3637" s="83" t="s">
        <v>5015</v>
      </c>
      <c r="C3637" s="83" t="s">
        <v>10420</v>
      </c>
      <c r="D3637" s="83" t="s">
        <v>10418</v>
      </c>
    </row>
    <row r="3638" spans="1:4">
      <c r="A3638" s="83" t="s">
        <v>10416</v>
      </c>
      <c r="B3638" s="83" t="s">
        <v>5010</v>
      </c>
      <c r="C3638" s="83" t="s">
        <v>10421</v>
      </c>
      <c r="D3638" s="83" t="s">
        <v>10418</v>
      </c>
    </row>
    <row r="3639" spans="1:4">
      <c r="A3639" s="83" t="s">
        <v>10422</v>
      </c>
      <c r="B3639" s="83" t="s">
        <v>5017</v>
      </c>
      <c r="C3639" s="83" t="s">
        <v>10423</v>
      </c>
      <c r="D3639" s="83" t="s">
        <v>10424</v>
      </c>
    </row>
    <row r="3640" spans="1:4">
      <c r="A3640" s="83" t="s">
        <v>10422</v>
      </c>
      <c r="B3640" s="83" t="s">
        <v>5012</v>
      </c>
      <c r="C3640" s="83" t="s">
        <v>10425</v>
      </c>
      <c r="D3640" s="83" t="s">
        <v>10424</v>
      </c>
    </row>
    <row r="3641" spans="1:4">
      <c r="A3641" s="83" t="s">
        <v>10422</v>
      </c>
      <c r="B3641" s="83" t="s">
        <v>5015</v>
      </c>
      <c r="C3641" s="83" t="s">
        <v>10426</v>
      </c>
      <c r="D3641" s="83" t="s">
        <v>10424</v>
      </c>
    </row>
    <row r="3642" spans="1:4">
      <c r="A3642" s="83" t="s">
        <v>10422</v>
      </c>
      <c r="B3642" s="83" t="s">
        <v>5010</v>
      </c>
      <c r="C3642" s="83" t="s">
        <v>10427</v>
      </c>
      <c r="D3642" s="83" t="s">
        <v>10424</v>
      </c>
    </row>
    <row r="3643" spans="1:4">
      <c r="A3643" s="83" t="s">
        <v>10428</v>
      </c>
      <c r="B3643" s="83" t="s">
        <v>5017</v>
      </c>
      <c r="C3643" s="83" t="s">
        <v>10429</v>
      </c>
      <c r="D3643" s="83" t="s">
        <v>10430</v>
      </c>
    </row>
    <row r="3644" spans="1:4">
      <c r="A3644" s="83" t="s">
        <v>10428</v>
      </c>
      <c r="B3644" s="83" t="s">
        <v>5012</v>
      </c>
      <c r="C3644" s="83" t="s">
        <v>10431</v>
      </c>
      <c r="D3644" s="83" t="s">
        <v>10430</v>
      </c>
    </row>
    <row r="3645" spans="1:4">
      <c r="A3645" s="83" t="s">
        <v>10428</v>
      </c>
      <c r="B3645" s="83" t="s">
        <v>5015</v>
      </c>
      <c r="C3645" s="83" t="s">
        <v>10432</v>
      </c>
      <c r="D3645" s="83" t="s">
        <v>10430</v>
      </c>
    </row>
    <row r="3646" spans="1:4">
      <c r="A3646" s="83" t="s">
        <v>10428</v>
      </c>
      <c r="B3646" s="83" t="s">
        <v>5010</v>
      </c>
      <c r="C3646" s="83" t="s">
        <v>10433</v>
      </c>
      <c r="D3646" s="83" t="s">
        <v>10430</v>
      </c>
    </row>
    <row r="3647" spans="1:4">
      <c r="A3647" s="83" t="s">
        <v>10434</v>
      </c>
      <c r="B3647" s="83" t="s">
        <v>5017</v>
      </c>
      <c r="C3647" s="83" t="s">
        <v>10435</v>
      </c>
      <c r="D3647" s="83" t="s">
        <v>10436</v>
      </c>
    </row>
    <row r="3648" spans="1:4">
      <c r="A3648" s="83" t="s">
        <v>10434</v>
      </c>
      <c r="B3648" s="83" t="s">
        <v>5012</v>
      </c>
      <c r="C3648" s="83" t="s">
        <v>10437</v>
      </c>
      <c r="D3648" s="83" t="s">
        <v>10436</v>
      </c>
    </row>
    <row r="3649" spans="1:4">
      <c r="A3649" s="83" t="s">
        <v>10434</v>
      </c>
      <c r="B3649" s="83" t="s">
        <v>5015</v>
      </c>
      <c r="C3649" s="83" t="s">
        <v>10438</v>
      </c>
      <c r="D3649" s="83" t="s">
        <v>10436</v>
      </c>
    </row>
    <row r="3650" spans="1:4">
      <c r="A3650" s="83" t="s">
        <v>10434</v>
      </c>
      <c r="B3650" s="83" t="s">
        <v>5010</v>
      </c>
      <c r="C3650" s="83" t="s">
        <v>10439</v>
      </c>
      <c r="D3650" s="83" t="s">
        <v>10436</v>
      </c>
    </row>
    <row r="3651" spans="1:4">
      <c r="A3651" s="83" t="s">
        <v>10440</v>
      </c>
      <c r="B3651" s="83" t="s">
        <v>5017</v>
      </c>
      <c r="C3651" s="83" t="s">
        <v>10441</v>
      </c>
      <c r="D3651" s="83" t="s">
        <v>10442</v>
      </c>
    </row>
    <row r="3652" spans="1:4">
      <c r="A3652" s="83" t="s">
        <v>10440</v>
      </c>
      <c r="B3652" s="83" t="s">
        <v>5012</v>
      </c>
      <c r="C3652" s="83" t="s">
        <v>10443</v>
      </c>
      <c r="D3652" s="83" t="s">
        <v>10442</v>
      </c>
    </row>
    <row r="3653" spans="1:4">
      <c r="A3653" s="83" t="s">
        <v>10440</v>
      </c>
      <c r="B3653" s="83" t="s">
        <v>5015</v>
      </c>
      <c r="C3653" s="83" t="s">
        <v>10444</v>
      </c>
      <c r="D3653" s="83" t="s">
        <v>10442</v>
      </c>
    </row>
    <row r="3654" spans="1:4">
      <c r="A3654" s="83" t="s">
        <v>10440</v>
      </c>
      <c r="B3654" s="83" t="s">
        <v>5010</v>
      </c>
      <c r="C3654" s="83" t="s">
        <v>10445</v>
      </c>
      <c r="D3654" s="83" t="s">
        <v>10442</v>
      </c>
    </row>
    <row r="3655" spans="1:4">
      <c r="A3655" s="83" t="s">
        <v>10446</v>
      </c>
      <c r="B3655" s="83" t="s">
        <v>5017</v>
      </c>
      <c r="C3655" s="83" t="s">
        <v>10447</v>
      </c>
      <c r="D3655" s="83" t="s">
        <v>10448</v>
      </c>
    </row>
    <row r="3656" spans="1:4">
      <c r="A3656" s="83" t="s">
        <v>10446</v>
      </c>
      <c r="B3656" s="83" t="s">
        <v>5012</v>
      </c>
      <c r="C3656" s="83" t="s">
        <v>10449</v>
      </c>
      <c r="D3656" s="83" t="s">
        <v>10448</v>
      </c>
    </row>
    <row r="3657" spans="1:4">
      <c r="A3657" s="83" t="s">
        <v>10446</v>
      </c>
      <c r="B3657" s="83" t="s">
        <v>5015</v>
      </c>
      <c r="C3657" s="83" t="s">
        <v>10450</v>
      </c>
      <c r="D3657" s="83" t="s">
        <v>10448</v>
      </c>
    </row>
    <row r="3658" spans="1:4">
      <c r="A3658" s="83" t="s">
        <v>10446</v>
      </c>
      <c r="B3658" s="83" t="s">
        <v>5010</v>
      </c>
      <c r="C3658" s="83" t="s">
        <v>10451</v>
      </c>
      <c r="D3658" s="83" t="s">
        <v>10448</v>
      </c>
    </row>
    <row r="3659" spans="1:4">
      <c r="A3659" s="83" t="s">
        <v>10452</v>
      </c>
      <c r="B3659" s="83" t="s">
        <v>5017</v>
      </c>
      <c r="C3659" s="83" t="s">
        <v>10453</v>
      </c>
      <c r="D3659" s="83" t="s">
        <v>10454</v>
      </c>
    </row>
    <row r="3660" spans="1:4">
      <c r="A3660" s="83" t="s">
        <v>10452</v>
      </c>
      <c r="B3660" s="83" t="s">
        <v>5012</v>
      </c>
      <c r="C3660" s="83" t="s">
        <v>10455</v>
      </c>
      <c r="D3660" s="83" t="s">
        <v>10454</v>
      </c>
    </row>
    <row r="3661" spans="1:4">
      <c r="A3661" s="83" t="s">
        <v>10452</v>
      </c>
      <c r="B3661" s="83" t="s">
        <v>5015</v>
      </c>
      <c r="C3661" s="83" t="s">
        <v>10456</v>
      </c>
      <c r="D3661" s="83" t="s">
        <v>10454</v>
      </c>
    </row>
    <row r="3662" spans="1:4">
      <c r="A3662" s="83" t="s">
        <v>10452</v>
      </c>
      <c r="B3662" s="83" t="s">
        <v>5010</v>
      </c>
      <c r="C3662" s="83" t="s">
        <v>10457</v>
      </c>
      <c r="D3662" s="83" t="s">
        <v>10454</v>
      </c>
    </row>
    <row r="3663" spans="1:4">
      <c r="A3663" s="83" t="s">
        <v>10458</v>
      </c>
      <c r="B3663" s="83" t="s">
        <v>5017</v>
      </c>
      <c r="C3663" s="83" t="s">
        <v>10459</v>
      </c>
      <c r="D3663" s="83" t="s">
        <v>10460</v>
      </c>
    </row>
    <row r="3664" spans="1:4">
      <c r="A3664" s="83" t="s">
        <v>10458</v>
      </c>
      <c r="B3664" s="83" t="s">
        <v>5012</v>
      </c>
      <c r="C3664" s="83" t="s">
        <v>10461</v>
      </c>
      <c r="D3664" s="83" t="s">
        <v>10460</v>
      </c>
    </row>
    <row r="3665" spans="1:4">
      <c r="A3665" s="83" t="s">
        <v>10458</v>
      </c>
      <c r="B3665" s="83" t="s">
        <v>5015</v>
      </c>
      <c r="C3665" s="83" t="s">
        <v>10462</v>
      </c>
      <c r="D3665" s="83" t="s">
        <v>10460</v>
      </c>
    </row>
    <row r="3666" spans="1:4">
      <c r="A3666" s="83" t="s">
        <v>10458</v>
      </c>
      <c r="B3666" s="83" t="s">
        <v>5010</v>
      </c>
      <c r="C3666" s="83" t="s">
        <v>10463</v>
      </c>
      <c r="D3666" s="83" t="s">
        <v>10460</v>
      </c>
    </row>
    <row r="3667" spans="1:4">
      <c r="A3667" s="83" t="s">
        <v>10464</v>
      </c>
      <c r="B3667" s="83" t="s">
        <v>5017</v>
      </c>
      <c r="C3667" s="83" t="s">
        <v>10465</v>
      </c>
      <c r="D3667" s="83" t="s">
        <v>10466</v>
      </c>
    </row>
    <row r="3668" spans="1:4">
      <c r="A3668" s="83" t="s">
        <v>10464</v>
      </c>
      <c r="B3668" s="83" t="s">
        <v>5012</v>
      </c>
      <c r="C3668" s="83" t="s">
        <v>10467</v>
      </c>
      <c r="D3668" s="83" t="s">
        <v>10466</v>
      </c>
    </row>
    <row r="3669" spans="1:4">
      <c r="A3669" s="83" t="s">
        <v>10464</v>
      </c>
      <c r="B3669" s="83" t="s">
        <v>5015</v>
      </c>
      <c r="C3669" s="83" t="s">
        <v>10468</v>
      </c>
      <c r="D3669" s="83" t="s">
        <v>10466</v>
      </c>
    </row>
    <row r="3670" spans="1:4">
      <c r="A3670" s="83" t="s">
        <v>10464</v>
      </c>
      <c r="B3670" s="83" t="s">
        <v>5010</v>
      </c>
      <c r="C3670" s="83" t="s">
        <v>10469</v>
      </c>
      <c r="D3670" s="83" t="s">
        <v>10466</v>
      </c>
    </row>
    <row r="3671" spans="1:4">
      <c r="A3671" s="83" t="s">
        <v>10470</v>
      </c>
      <c r="B3671" s="83" t="s">
        <v>5017</v>
      </c>
      <c r="C3671" s="83" t="s">
        <v>10471</v>
      </c>
      <c r="D3671" s="83" t="s">
        <v>10472</v>
      </c>
    </row>
    <row r="3672" spans="1:4">
      <c r="A3672" s="83" t="s">
        <v>10470</v>
      </c>
      <c r="B3672" s="83" t="s">
        <v>5012</v>
      </c>
      <c r="C3672" s="83" t="s">
        <v>10473</v>
      </c>
      <c r="D3672" s="83" t="s">
        <v>10472</v>
      </c>
    </row>
    <row r="3673" spans="1:4">
      <c r="A3673" s="83" t="s">
        <v>10470</v>
      </c>
      <c r="B3673" s="83" t="s">
        <v>5015</v>
      </c>
      <c r="C3673" s="83" t="s">
        <v>10474</v>
      </c>
      <c r="D3673" s="83" t="s">
        <v>10472</v>
      </c>
    </row>
    <row r="3674" spans="1:4">
      <c r="A3674" s="83" t="s">
        <v>10470</v>
      </c>
      <c r="B3674" s="83" t="s">
        <v>5010</v>
      </c>
      <c r="C3674" s="83" t="s">
        <v>10475</v>
      </c>
      <c r="D3674" s="83" t="s">
        <v>10472</v>
      </c>
    </row>
    <row r="3675" spans="1:4">
      <c r="A3675" s="83" t="s">
        <v>10476</v>
      </c>
      <c r="B3675" s="83" t="s">
        <v>5017</v>
      </c>
      <c r="C3675" s="83" t="s">
        <v>10477</v>
      </c>
      <c r="D3675" s="83" t="s">
        <v>10478</v>
      </c>
    </row>
    <row r="3676" spans="1:4">
      <c r="A3676" s="83" t="s">
        <v>10476</v>
      </c>
      <c r="B3676" s="83" t="s">
        <v>5012</v>
      </c>
      <c r="C3676" s="83" t="s">
        <v>10479</v>
      </c>
      <c r="D3676" s="83" t="s">
        <v>10478</v>
      </c>
    </row>
    <row r="3677" spans="1:4">
      <c r="A3677" s="83" t="s">
        <v>10476</v>
      </c>
      <c r="B3677" s="83" t="s">
        <v>5015</v>
      </c>
      <c r="C3677" s="83" t="s">
        <v>10480</v>
      </c>
      <c r="D3677" s="83" t="s">
        <v>10478</v>
      </c>
    </row>
    <row r="3678" spans="1:4">
      <c r="A3678" s="83" t="s">
        <v>10476</v>
      </c>
      <c r="B3678" s="83" t="s">
        <v>5010</v>
      </c>
      <c r="C3678" s="83" t="s">
        <v>10481</v>
      </c>
      <c r="D3678" s="83" t="s">
        <v>10478</v>
      </c>
    </row>
    <row r="3679" spans="1:4">
      <c r="A3679" s="83" t="s">
        <v>10482</v>
      </c>
      <c r="B3679" s="83" t="s">
        <v>5017</v>
      </c>
      <c r="C3679" s="83" t="s">
        <v>10483</v>
      </c>
      <c r="D3679" s="83" t="s">
        <v>10484</v>
      </c>
    </row>
    <row r="3680" spans="1:4">
      <c r="A3680" s="83" t="s">
        <v>10482</v>
      </c>
      <c r="B3680" s="83" t="s">
        <v>5012</v>
      </c>
      <c r="C3680" s="83" t="s">
        <v>10485</v>
      </c>
      <c r="D3680" s="83" t="s">
        <v>10484</v>
      </c>
    </row>
    <row r="3681" spans="1:4">
      <c r="A3681" s="83" t="s">
        <v>10482</v>
      </c>
      <c r="B3681" s="83" t="s">
        <v>5015</v>
      </c>
      <c r="C3681" s="83" t="s">
        <v>10486</v>
      </c>
      <c r="D3681" s="83" t="s">
        <v>10484</v>
      </c>
    </row>
    <row r="3682" spans="1:4">
      <c r="A3682" s="83" t="s">
        <v>10482</v>
      </c>
      <c r="B3682" s="83" t="s">
        <v>5010</v>
      </c>
      <c r="C3682" s="83" t="s">
        <v>10487</v>
      </c>
      <c r="D3682" s="83" t="s">
        <v>10484</v>
      </c>
    </row>
    <row r="3683" spans="1:4">
      <c r="A3683" s="83" t="s">
        <v>10488</v>
      </c>
      <c r="B3683" s="83" t="s">
        <v>5017</v>
      </c>
      <c r="C3683" s="83" t="s">
        <v>10489</v>
      </c>
      <c r="D3683" s="83" t="s">
        <v>10490</v>
      </c>
    </row>
    <row r="3684" spans="1:4">
      <c r="A3684" s="83" t="s">
        <v>10488</v>
      </c>
      <c r="B3684" s="83" t="s">
        <v>5012</v>
      </c>
      <c r="C3684" s="83" t="s">
        <v>10491</v>
      </c>
      <c r="D3684" s="83" t="s">
        <v>10490</v>
      </c>
    </row>
    <row r="3685" spans="1:4">
      <c r="A3685" s="83" t="s">
        <v>10488</v>
      </c>
      <c r="B3685" s="83" t="s">
        <v>5015</v>
      </c>
      <c r="C3685" s="83" t="s">
        <v>10492</v>
      </c>
      <c r="D3685" s="83" t="s">
        <v>10490</v>
      </c>
    </row>
    <row r="3686" spans="1:4">
      <c r="A3686" s="83" t="s">
        <v>10488</v>
      </c>
      <c r="B3686" s="83" t="s">
        <v>5010</v>
      </c>
      <c r="C3686" s="83" t="s">
        <v>10493</v>
      </c>
      <c r="D3686" s="83" t="s">
        <v>10490</v>
      </c>
    </row>
    <row r="3687" spans="1:4">
      <c r="A3687" s="83" t="s">
        <v>10494</v>
      </c>
      <c r="B3687" s="83" t="s">
        <v>5017</v>
      </c>
      <c r="C3687" s="83" t="s">
        <v>10495</v>
      </c>
      <c r="D3687" s="83" t="s">
        <v>10496</v>
      </c>
    </row>
    <row r="3688" spans="1:4">
      <c r="A3688" s="83" t="s">
        <v>10494</v>
      </c>
      <c r="B3688" s="83" t="s">
        <v>5012</v>
      </c>
      <c r="C3688" s="83" t="s">
        <v>10497</v>
      </c>
      <c r="D3688" s="83" t="s">
        <v>10496</v>
      </c>
    </row>
    <row r="3689" spans="1:4">
      <c r="A3689" s="83" t="s">
        <v>10494</v>
      </c>
      <c r="B3689" s="83" t="s">
        <v>5015</v>
      </c>
      <c r="C3689" s="83" t="s">
        <v>10498</v>
      </c>
      <c r="D3689" s="83" t="s">
        <v>10496</v>
      </c>
    </row>
    <row r="3690" spans="1:4">
      <c r="A3690" s="83" t="s">
        <v>10494</v>
      </c>
      <c r="B3690" s="83" t="s">
        <v>5010</v>
      </c>
      <c r="C3690" s="83" t="s">
        <v>10499</v>
      </c>
      <c r="D3690" s="83" t="s">
        <v>10496</v>
      </c>
    </row>
    <row r="3691" spans="1:4">
      <c r="A3691" s="83" t="s">
        <v>10500</v>
      </c>
      <c r="B3691" s="83" t="s">
        <v>5017</v>
      </c>
      <c r="C3691" s="83" t="s">
        <v>10501</v>
      </c>
      <c r="D3691" s="83" t="s">
        <v>10502</v>
      </c>
    </row>
    <row r="3692" spans="1:4">
      <c r="A3692" s="83" t="s">
        <v>10500</v>
      </c>
      <c r="B3692" s="83" t="s">
        <v>5012</v>
      </c>
      <c r="C3692" s="83" t="s">
        <v>10503</v>
      </c>
      <c r="D3692" s="83" t="s">
        <v>10502</v>
      </c>
    </row>
    <row r="3693" spans="1:4">
      <c r="A3693" s="83" t="s">
        <v>10500</v>
      </c>
      <c r="B3693" s="83" t="s">
        <v>5015</v>
      </c>
      <c r="C3693" s="83" t="s">
        <v>10504</v>
      </c>
      <c r="D3693" s="83" t="s">
        <v>10502</v>
      </c>
    </row>
    <row r="3694" spans="1:4">
      <c r="A3694" s="83" t="s">
        <v>10500</v>
      </c>
      <c r="B3694" s="83" t="s">
        <v>5010</v>
      </c>
      <c r="C3694" s="83" t="s">
        <v>10505</v>
      </c>
      <c r="D3694" s="83" t="s">
        <v>10502</v>
      </c>
    </row>
    <row r="3695" spans="1:4">
      <c r="A3695" s="83" t="s">
        <v>10506</v>
      </c>
      <c r="B3695" s="83" t="s">
        <v>5017</v>
      </c>
      <c r="C3695" s="83" t="s">
        <v>10507</v>
      </c>
      <c r="D3695" s="83" t="s">
        <v>10508</v>
      </c>
    </row>
    <row r="3696" spans="1:4">
      <c r="A3696" s="83" t="s">
        <v>10506</v>
      </c>
      <c r="B3696" s="83" t="s">
        <v>5012</v>
      </c>
      <c r="C3696" s="83" t="s">
        <v>10509</v>
      </c>
      <c r="D3696" s="83" t="s">
        <v>10508</v>
      </c>
    </row>
    <row r="3697" spans="1:4">
      <c r="A3697" s="83" t="s">
        <v>10506</v>
      </c>
      <c r="B3697" s="83" t="s">
        <v>5015</v>
      </c>
      <c r="C3697" s="83" t="s">
        <v>10510</v>
      </c>
      <c r="D3697" s="83" t="s">
        <v>10508</v>
      </c>
    </row>
    <row r="3698" spans="1:4">
      <c r="A3698" s="83" t="s">
        <v>10506</v>
      </c>
      <c r="B3698" s="83" t="s">
        <v>5010</v>
      </c>
      <c r="C3698" s="83" t="s">
        <v>10511</v>
      </c>
      <c r="D3698" s="83" t="s">
        <v>10508</v>
      </c>
    </row>
    <row r="3699" spans="1:4">
      <c r="A3699" s="83" t="s">
        <v>10512</v>
      </c>
      <c r="B3699" s="83" t="s">
        <v>5017</v>
      </c>
      <c r="C3699" s="83" t="s">
        <v>10513</v>
      </c>
      <c r="D3699" s="83" t="s">
        <v>10514</v>
      </c>
    </row>
    <row r="3700" spans="1:4">
      <c r="A3700" s="83" t="s">
        <v>10512</v>
      </c>
      <c r="B3700" s="83" t="s">
        <v>5012</v>
      </c>
      <c r="C3700" s="83" t="s">
        <v>10515</v>
      </c>
      <c r="D3700" s="83" t="s">
        <v>10514</v>
      </c>
    </row>
    <row r="3701" spans="1:4">
      <c r="A3701" s="83" t="s">
        <v>10512</v>
      </c>
      <c r="B3701" s="83" t="s">
        <v>5015</v>
      </c>
      <c r="C3701" s="83" t="s">
        <v>10516</v>
      </c>
      <c r="D3701" s="83" t="s">
        <v>10514</v>
      </c>
    </row>
    <row r="3702" spans="1:4">
      <c r="A3702" s="83" t="s">
        <v>10512</v>
      </c>
      <c r="B3702" s="83" t="s">
        <v>5010</v>
      </c>
      <c r="C3702" s="83" t="s">
        <v>10517</v>
      </c>
      <c r="D3702" s="83" t="s">
        <v>10514</v>
      </c>
    </row>
    <row r="3703" spans="1:4">
      <c r="A3703" s="83" t="s">
        <v>10518</v>
      </c>
      <c r="B3703" s="83" t="s">
        <v>5017</v>
      </c>
      <c r="C3703" s="83" t="s">
        <v>10519</v>
      </c>
      <c r="D3703" s="83" t="s">
        <v>10520</v>
      </c>
    </row>
    <row r="3704" spans="1:4">
      <c r="A3704" s="83" t="s">
        <v>10518</v>
      </c>
      <c r="B3704" s="83" t="s">
        <v>5012</v>
      </c>
      <c r="C3704" s="83" t="s">
        <v>10521</v>
      </c>
      <c r="D3704" s="83" t="s">
        <v>10520</v>
      </c>
    </row>
    <row r="3705" spans="1:4">
      <c r="A3705" s="83" t="s">
        <v>10518</v>
      </c>
      <c r="B3705" s="83" t="s">
        <v>5015</v>
      </c>
      <c r="C3705" s="83" t="s">
        <v>10522</v>
      </c>
      <c r="D3705" s="83" t="s">
        <v>10520</v>
      </c>
    </row>
    <row r="3706" spans="1:4">
      <c r="A3706" s="83" t="s">
        <v>10518</v>
      </c>
      <c r="B3706" s="83" t="s">
        <v>5010</v>
      </c>
      <c r="C3706" s="83" t="s">
        <v>10523</v>
      </c>
      <c r="D3706" s="83" t="s">
        <v>10520</v>
      </c>
    </row>
    <row r="3707" spans="1:4">
      <c r="A3707" s="83" t="s">
        <v>10524</v>
      </c>
      <c r="B3707" s="83" t="s">
        <v>5017</v>
      </c>
      <c r="C3707" s="83" t="s">
        <v>10525</v>
      </c>
      <c r="D3707" s="83" t="s">
        <v>10526</v>
      </c>
    </row>
    <row r="3708" spans="1:4">
      <c r="A3708" s="83" t="s">
        <v>10524</v>
      </c>
      <c r="B3708" s="83" t="s">
        <v>5012</v>
      </c>
      <c r="C3708" s="83" t="s">
        <v>10527</v>
      </c>
      <c r="D3708" s="83" t="s">
        <v>10526</v>
      </c>
    </row>
    <row r="3709" spans="1:4">
      <c r="A3709" s="83" t="s">
        <v>10524</v>
      </c>
      <c r="B3709" s="83" t="s">
        <v>5015</v>
      </c>
      <c r="C3709" s="83" t="s">
        <v>10528</v>
      </c>
      <c r="D3709" s="83" t="s">
        <v>10526</v>
      </c>
    </row>
    <row r="3710" spans="1:4">
      <c r="A3710" s="83" t="s">
        <v>10524</v>
      </c>
      <c r="B3710" s="83" t="s">
        <v>5010</v>
      </c>
      <c r="C3710" s="83" t="s">
        <v>10529</v>
      </c>
      <c r="D3710" s="83" t="s">
        <v>10526</v>
      </c>
    </row>
    <row r="3711" spans="1:4">
      <c r="A3711" s="83" t="s">
        <v>10530</v>
      </c>
      <c r="B3711" s="83" t="s">
        <v>5017</v>
      </c>
      <c r="C3711" s="83" t="s">
        <v>10531</v>
      </c>
      <c r="D3711" s="83" t="s">
        <v>10532</v>
      </c>
    </row>
    <row r="3712" spans="1:4">
      <c r="A3712" s="83" t="s">
        <v>10530</v>
      </c>
      <c r="B3712" s="83" t="s">
        <v>5012</v>
      </c>
      <c r="C3712" s="83" t="s">
        <v>10533</v>
      </c>
      <c r="D3712" s="83" t="s">
        <v>10532</v>
      </c>
    </row>
    <row r="3713" spans="1:4">
      <c r="A3713" s="83" t="s">
        <v>10530</v>
      </c>
      <c r="B3713" s="83" t="s">
        <v>5015</v>
      </c>
      <c r="C3713" s="83" t="s">
        <v>10534</v>
      </c>
      <c r="D3713" s="83" t="s">
        <v>10532</v>
      </c>
    </row>
    <row r="3714" spans="1:4">
      <c r="A3714" s="83" t="s">
        <v>10530</v>
      </c>
      <c r="B3714" s="83" t="s">
        <v>5010</v>
      </c>
      <c r="C3714" s="83" t="s">
        <v>10535</v>
      </c>
      <c r="D3714" s="83" t="s">
        <v>10532</v>
      </c>
    </row>
    <row r="3715" spans="1:4">
      <c r="A3715" s="83" t="s">
        <v>10536</v>
      </c>
      <c r="B3715" s="83" t="s">
        <v>5017</v>
      </c>
      <c r="C3715" s="83" t="s">
        <v>10537</v>
      </c>
      <c r="D3715" s="83" t="s">
        <v>10538</v>
      </c>
    </row>
    <row r="3716" spans="1:4">
      <c r="A3716" s="83" t="s">
        <v>10536</v>
      </c>
      <c r="B3716" s="83" t="s">
        <v>5012</v>
      </c>
      <c r="C3716" s="83" t="s">
        <v>10539</v>
      </c>
      <c r="D3716" s="83" t="s">
        <v>10538</v>
      </c>
    </row>
    <row r="3717" spans="1:4">
      <c r="A3717" s="83" t="s">
        <v>10536</v>
      </c>
      <c r="B3717" s="83" t="s">
        <v>5015</v>
      </c>
      <c r="C3717" s="83" t="s">
        <v>10540</v>
      </c>
      <c r="D3717" s="83" t="s">
        <v>10538</v>
      </c>
    </row>
    <row r="3718" spans="1:4">
      <c r="A3718" s="83" t="s">
        <v>10536</v>
      </c>
      <c r="B3718" s="83" t="s">
        <v>5010</v>
      </c>
      <c r="C3718" s="83" t="s">
        <v>10541</v>
      </c>
      <c r="D3718" s="83" t="s">
        <v>10538</v>
      </c>
    </row>
    <row r="3719" spans="1:4">
      <c r="A3719" s="83" t="s">
        <v>10542</v>
      </c>
      <c r="B3719" s="83" t="s">
        <v>5017</v>
      </c>
      <c r="C3719" s="83" t="s">
        <v>10543</v>
      </c>
      <c r="D3719" s="83" t="s">
        <v>10544</v>
      </c>
    </row>
    <row r="3720" spans="1:4">
      <c r="A3720" s="83" t="s">
        <v>10542</v>
      </c>
      <c r="B3720" s="83" t="s">
        <v>5012</v>
      </c>
      <c r="C3720" s="83" t="s">
        <v>10545</v>
      </c>
      <c r="D3720" s="83" t="s">
        <v>10544</v>
      </c>
    </row>
    <row r="3721" spans="1:4">
      <c r="A3721" s="83" t="s">
        <v>10542</v>
      </c>
      <c r="B3721" s="83" t="s">
        <v>5015</v>
      </c>
      <c r="C3721" s="83" t="s">
        <v>10546</v>
      </c>
      <c r="D3721" s="83" t="s">
        <v>10544</v>
      </c>
    </row>
    <row r="3722" spans="1:4">
      <c r="A3722" s="83" t="s">
        <v>10542</v>
      </c>
      <c r="B3722" s="83" t="s">
        <v>5010</v>
      </c>
      <c r="C3722" s="83" t="s">
        <v>10547</v>
      </c>
      <c r="D3722" s="83" t="s">
        <v>10544</v>
      </c>
    </row>
    <row r="3723" spans="1:4">
      <c r="A3723" s="83" t="s">
        <v>10548</v>
      </c>
      <c r="B3723" s="83" t="s">
        <v>5017</v>
      </c>
      <c r="C3723" s="83" t="s">
        <v>10549</v>
      </c>
      <c r="D3723" s="83" t="s">
        <v>10550</v>
      </c>
    </row>
    <row r="3724" spans="1:4">
      <c r="A3724" s="83" t="s">
        <v>10548</v>
      </c>
      <c r="B3724" s="83" t="s">
        <v>5012</v>
      </c>
      <c r="C3724" s="83" t="s">
        <v>10551</v>
      </c>
      <c r="D3724" s="83" t="s">
        <v>10550</v>
      </c>
    </row>
    <row r="3725" spans="1:4">
      <c r="A3725" s="83" t="s">
        <v>10548</v>
      </c>
      <c r="B3725" s="83" t="s">
        <v>5015</v>
      </c>
      <c r="C3725" s="83" t="s">
        <v>10552</v>
      </c>
      <c r="D3725" s="83" t="s">
        <v>10550</v>
      </c>
    </row>
    <row r="3726" spans="1:4">
      <c r="A3726" s="83" t="s">
        <v>10548</v>
      </c>
      <c r="B3726" s="83" t="s">
        <v>5010</v>
      </c>
      <c r="C3726" s="83" t="s">
        <v>10553</v>
      </c>
      <c r="D3726" s="83" t="s">
        <v>10550</v>
      </c>
    </row>
    <row r="3727" spans="1:4">
      <c r="A3727" s="83" t="s">
        <v>10554</v>
      </c>
      <c r="B3727" s="83" t="s">
        <v>5017</v>
      </c>
      <c r="C3727" s="83" t="s">
        <v>10419</v>
      </c>
      <c r="D3727" s="83" t="s">
        <v>10555</v>
      </c>
    </row>
    <row r="3728" spans="1:4">
      <c r="A3728" s="83" t="s">
        <v>10554</v>
      </c>
      <c r="B3728" s="83" t="s">
        <v>5012</v>
      </c>
      <c r="C3728" s="83" t="s">
        <v>10556</v>
      </c>
      <c r="D3728" s="83" t="s">
        <v>10555</v>
      </c>
    </row>
    <row r="3729" spans="1:4">
      <c r="A3729" s="83" t="s">
        <v>10554</v>
      </c>
      <c r="B3729" s="83" t="s">
        <v>5015</v>
      </c>
      <c r="C3729" s="83" t="s">
        <v>10557</v>
      </c>
      <c r="D3729" s="83" t="s">
        <v>10555</v>
      </c>
    </row>
    <row r="3730" spans="1:4">
      <c r="A3730" s="83" t="s">
        <v>10554</v>
      </c>
      <c r="B3730" s="83" t="s">
        <v>5010</v>
      </c>
      <c r="C3730" s="83" t="s">
        <v>10558</v>
      </c>
      <c r="D3730" s="83" t="s">
        <v>10555</v>
      </c>
    </row>
    <row r="3731" spans="1:4">
      <c r="A3731" s="83" t="s">
        <v>10559</v>
      </c>
      <c r="B3731" s="83" t="s">
        <v>5017</v>
      </c>
      <c r="C3731" s="83" t="s">
        <v>10560</v>
      </c>
      <c r="D3731" s="83" t="s">
        <v>10561</v>
      </c>
    </row>
    <row r="3732" spans="1:4">
      <c r="A3732" s="83" t="s">
        <v>10559</v>
      </c>
      <c r="B3732" s="83" t="s">
        <v>5012</v>
      </c>
      <c r="C3732" s="83" t="s">
        <v>10562</v>
      </c>
      <c r="D3732" s="83" t="s">
        <v>10561</v>
      </c>
    </row>
    <row r="3733" spans="1:4">
      <c r="A3733" s="83" t="s">
        <v>10559</v>
      </c>
      <c r="B3733" s="83" t="s">
        <v>5015</v>
      </c>
      <c r="C3733" s="83" t="s">
        <v>10563</v>
      </c>
      <c r="D3733" s="83" t="s">
        <v>10561</v>
      </c>
    </row>
    <row r="3734" spans="1:4">
      <c r="A3734" s="83" t="s">
        <v>10559</v>
      </c>
      <c r="B3734" s="83" t="s">
        <v>5010</v>
      </c>
      <c r="C3734" s="83" t="s">
        <v>10564</v>
      </c>
      <c r="D3734" s="83" t="s">
        <v>10561</v>
      </c>
    </row>
    <row r="3735" spans="1:4">
      <c r="A3735" s="83" t="s">
        <v>10565</v>
      </c>
      <c r="B3735" s="83" t="s">
        <v>5017</v>
      </c>
      <c r="C3735" s="83" t="s">
        <v>10566</v>
      </c>
      <c r="D3735" s="83" t="s">
        <v>10567</v>
      </c>
    </row>
    <row r="3736" spans="1:4">
      <c r="A3736" s="83" t="s">
        <v>10565</v>
      </c>
      <c r="B3736" s="83" t="s">
        <v>5012</v>
      </c>
      <c r="C3736" s="83" t="s">
        <v>10568</v>
      </c>
      <c r="D3736" s="83" t="s">
        <v>10567</v>
      </c>
    </row>
    <row r="3737" spans="1:4">
      <c r="A3737" s="83" t="s">
        <v>10565</v>
      </c>
      <c r="B3737" s="83" t="s">
        <v>5015</v>
      </c>
      <c r="C3737" s="83" t="s">
        <v>10569</v>
      </c>
      <c r="D3737" s="83" t="s">
        <v>10567</v>
      </c>
    </row>
    <row r="3738" spans="1:4">
      <c r="A3738" s="83" t="s">
        <v>10565</v>
      </c>
      <c r="B3738" s="83" t="s">
        <v>5010</v>
      </c>
      <c r="C3738" s="83" t="s">
        <v>10570</v>
      </c>
      <c r="D3738" s="83" t="s">
        <v>10567</v>
      </c>
    </row>
    <row r="3739" spans="1:4">
      <c r="A3739" s="83" t="s">
        <v>10571</v>
      </c>
      <c r="B3739" s="83" t="s">
        <v>5017</v>
      </c>
      <c r="C3739" s="83" t="s">
        <v>10572</v>
      </c>
      <c r="D3739" s="83" t="s">
        <v>10573</v>
      </c>
    </row>
    <row r="3740" spans="1:4">
      <c r="A3740" s="83" t="s">
        <v>10571</v>
      </c>
      <c r="B3740" s="83" t="s">
        <v>5012</v>
      </c>
      <c r="C3740" s="83" t="s">
        <v>10574</v>
      </c>
      <c r="D3740" s="83" t="s">
        <v>10573</v>
      </c>
    </row>
    <row r="3741" spans="1:4">
      <c r="A3741" s="83" t="s">
        <v>10571</v>
      </c>
      <c r="B3741" s="83" t="s">
        <v>5015</v>
      </c>
      <c r="C3741" s="83" t="s">
        <v>10575</v>
      </c>
      <c r="D3741" s="83" t="s">
        <v>10573</v>
      </c>
    </row>
    <row r="3742" spans="1:4">
      <c r="A3742" s="83" t="s">
        <v>10571</v>
      </c>
      <c r="B3742" s="83" t="s">
        <v>5010</v>
      </c>
      <c r="C3742" s="83" t="s">
        <v>10576</v>
      </c>
      <c r="D3742" s="83" t="s">
        <v>10573</v>
      </c>
    </row>
    <row r="3743" spans="1:4">
      <c r="A3743" s="83" t="s">
        <v>10577</v>
      </c>
      <c r="B3743" s="83" t="s">
        <v>5017</v>
      </c>
      <c r="C3743" s="83" t="s">
        <v>10578</v>
      </c>
      <c r="D3743" s="83" t="s">
        <v>10579</v>
      </c>
    </row>
    <row r="3744" spans="1:4">
      <c r="A3744" s="83" t="s">
        <v>10577</v>
      </c>
      <c r="B3744" s="83" t="s">
        <v>5012</v>
      </c>
      <c r="C3744" s="83" t="s">
        <v>10580</v>
      </c>
      <c r="D3744" s="83" t="s">
        <v>10579</v>
      </c>
    </row>
    <row r="3745" spans="1:4">
      <c r="A3745" s="83" t="s">
        <v>10577</v>
      </c>
      <c r="B3745" s="83" t="s">
        <v>5015</v>
      </c>
      <c r="C3745" s="83" t="s">
        <v>10581</v>
      </c>
      <c r="D3745" s="83" t="s">
        <v>10579</v>
      </c>
    </row>
    <row r="3746" spans="1:4">
      <c r="A3746" s="83" t="s">
        <v>10577</v>
      </c>
      <c r="B3746" s="83" t="s">
        <v>5010</v>
      </c>
      <c r="C3746" s="83" t="s">
        <v>10582</v>
      </c>
      <c r="D3746" s="83" t="s">
        <v>10579</v>
      </c>
    </row>
    <row r="3747" spans="1:4">
      <c r="A3747" s="83" t="s">
        <v>10583</v>
      </c>
      <c r="B3747" s="83" t="s">
        <v>5017</v>
      </c>
      <c r="C3747" s="83" t="s">
        <v>10584</v>
      </c>
      <c r="D3747" s="83" t="s">
        <v>10585</v>
      </c>
    </row>
    <row r="3748" spans="1:4">
      <c r="A3748" s="83" t="s">
        <v>10583</v>
      </c>
      <c r="B3748" s="83" t="s">
        <v>5012</v>
      </c>
      <c r="C3748" s="83" t="s">
        <v>10586</v>
      </c>
      <c r="D3748" s="83" t="s">
        <v>10585</v>
      </c>
    </row>
    <row r="3749" spans="1:4">
      <c r="A3749" s="83" t="s">
        <v>10583</v>
      </c>
      <c r="B3749" s="83" t="s">
        <v>5015</v>
      </c>
      <c r="C3749" s="83" t="s">
        <v>10587</v>
      </c>
      <c r="D3749" s="83" t="s">
        <v>10585</v>
      </c>
    </row>
    <row r="3750" spans="1:4">
      <c r="A3750" s="83" t="s">
        <v>10583</v>
      </c>
      <c r="B3750" s="83" t="s">
        <v>5010</v>
      </c>
      <c r="C3750" s="83" t="s">
        <v>10588</v>
      </c>
      <c r="D3750" s="83" t="s">
        <v>10585</v>
      </c>
    </row>
    <row r="3751" spans="1:4">
      <c r="A3751" s="83" t="s">
        <v>10589</v>
      </c>
      <c r="B3751" s="83" t="s">
        <v>5017</v>
      </c>
      <c r="C3751" s="83" t="s">
        <v>10590</v>
      </c>
      <c r="D3751" s="83" t="s">
        <v>10591</v>
      </c>
    </row>
    <row r="3752" spans="1:4">
      <c r="A3752" s="83" t="s">
        <v>10589</v>
      </c>
      <c r="B3752" s="83" t="s">
        <v>5012</v>
      </c>
      <c r="C3752" s="83" t="s">
        <v>10592</v>
      </c>
      <c r="D3752" s="83" t="s">
        <v>10591</v>
      </c>
    </row>
    <row r="3753" spans="1:4">
      <c r="A3753" s="83" t="s">
        <v>10589</v>
      </c>
      <c r="B3753" s="83" t="s">
        <v>5015</v>
      </c>
      <c r="C3753" s="83" t="s">
        <v>10593</v>
      </c>
      <c r="D3753" s="83" t="s">
        <v>10591</v>
      </c>
    </row>
    <row r="3754" spans="1:4">
      <c r="A3754" s="83" t="s">
        <v>10589</v>
      </c>
      <c r="B3754" s="83" t="s">
        <v>5010</v>
      </c>
      <c r="C3754" s="83" t="s">
        <v>10594</v>
      </c>
      <c r="D3754" s="83" t="s">
        <v>10591</v>
      </c>
    </row>
    <row r="3755" spans="1:4">
      <c r="A3755" s="83" t="s">
        <v>10595</v>
      </c>
      <c r="B3755" s="83" t="s">
        <v>5017</v>
      </c>
      <c r="C3755" s="83" t="s">
        <v>10596</v>
      </c>
      <c r="D3755" s="83" t="s">
        <v>10597</v>
      </c>
    </row>
    <row r="3756" spans="1:4">
      <c r="A3756" s="83" t="s">
        <v>10595</v>
      </c>
      <c r="B3756" s="83" t="s">
        <v>5012</v>
      </c>
      <c r="C3756" s="83" t="s">
        <v>10598</v>
      </c>
      <c r="D3756" s="83" t="s">
        <v>10597</v>
      </c>
    </row>
    <row r="3757" spans="1:4">
      <c r="A3757" s="83" t="s">
        <v>10595</v>
      </c>
      <c r="B3757" s="83" t="s">
        <v>5015</v>
      </c>
      <c r="C3757" s="83" t="s">
        <v>10599</v>
      </c>
      <c r="D3757" s="83" t="s">
        <v>10597</v>
      </c>
    </row>
    <row r="3758" spans="1:4">
      <c r="A3758" s="83" t="s">
        <v>10595</v>
      </c>
      <c r="B3758" s="83" t="s">
        <v>5010</v>
      </c>
      <c r="C3758" s="83" t="s">
        <v>10600</v>
      </c>
      <c r="D3758" s="83" t="s">
        <v>10597</v>
      </c>
    </row>
    <row r="3759" spans="1:4">
      <c r="A3759" s="83" t="s">
        <v>10601</v>
      </c>
      <c r="B3759" s="83" t="s">
        <v>5017</v>
      </c>
      <c r="C3759" s="83" t="s">
        <v>10602</v>
      </c>
      <c r="D3759" s="83" t="s">
        <v>10603</v>
      </c>
    </row>
    <row r="3760" spans="1:4">
      <c r="A3760" s="83" t="s">
        <v>10601</v>
      </c>
      <c r="B3760" s="83" t="s">
        <v>5012</v>
      </c>
      <c r="C3760" s="83" t="s">
        <v>10604</v>
      </c>
      <c r="D3760" s="83" t="s">
        <v>10603</v>
      </c>
    </row>
    <row r="3761" spans="1:4">
      <c r="A3761" s="83" t="s">
        <v>10601</v>
      </c>
      <c r="B3761" s="83" t="s">
        <v>5015</v>
      </c>
      <c r="C3761" s="83" t="s">
        <v>10605</v>
      </c>
      <c r="D3761" s="83" t="s">
        <v>10603</v>
      </c>
    </row>
    <row r="3762" spans="1:4">
      <c r="A3762" s="83" t="s">
        <v>10601</v>
      </c>
      <c r="B3762" s="83" t="s">
        <v>5010</v>
      </c>
      <c r="C3762" s="83" t="s">
        <v>10606</v>
      </c>
      <c r="D3762" s="83" t="s">
        <v>10603</v>
      </c>
    </row>
    <row r="3763" spans="1:4">
      <c r="A3763" s="83" t="s">
        <v>10607</v>
      </c>
      <c r="B3763" s="83" t="s">
        <v>5017</v>
      </c>
      <c r="C3763" s="83" t="s">
        <v>10608</v>
      </c>
      <c r="D3763" s="83" t="s">
        <v>10609</v>
      </c>
    </row>
    <row r="3764" spans="1:4">
      <c r="A3764" s="83" t="s">
        <v>10607</v>
      </c>
      <c r="B3764" s="83" t="s">
        <v>5012</v>
      </c>
      <c r="C3764" s="83" t="s">
        <v>10610</v>
      </c>
      <c r="D3764" s="83" t="s">
        <v>10609</v>
      </c>
    </row>
    <row r="3765" spans="1:4">
      <c r="A3765" s="83" t="s">
        <v>10607</v>
      </c>
      <c r="B3765" s="83" t="s">
        <v>5015</v>
      </c>
      <c r="C3765" s="83" t="s">
        <v>10611</v>
      </c>
      <c r="D3765" s="83" t="s">
        <v>10609</v>
      </c>
    </row>
    <row r="3766" spans="1:4">
      <c r="A3766" s="83" t="s">
        <v>10607</v>
      </c>
      <c r="B3766" s="83" t="s">
        <v>5010</v>
      </c>
      <c r="C3766" s="83" t="s">
        <v>10612</v>
      </c>
      <c r="D3766" s="83" t="s">
        <v>10609</v>
      </c>
    </row>
    <row r="3767" spans="1:4">
      <c r="A3767" s="83" t="s">
        <v>10613</v>
      </c>
      <c r="B3767" s="83" t="s">
        <v>5017</v>
      </c>
      <c r="C3767" s="83" t="s">
        <v>10614</v>
      </c>
      <c r="D3767" s="83" t="s">
        <v>10615</v>
      </c>
    </row>
    <row r="3768" spans="1:4">
      <c r="A3768" s="83" t="s">
        <v>10613</v>
      </c>
      <c r="B3768" s="83" t="s">
        <v>5012</v>
      </c>
      <c r="C3768" s="83" t="s">
        <v>10616</v>
      </c>
      <c r="D3768" s="83" t="s">
        <v>10615</v>
      </c>
    </row>
    <row r="3769" spans="1:4">
      <c r="A3769" s="83" t="s">
        <v>10613</v>
      </c>
      <c r="B3769" s="83" t="s">
        <v>5015</v>
      </c>
      <c r="C3769" s="83" t="s">
        <v>10617</v>
      </c>
      <c r="D3769" s="83" t="s">
        <v>10615</v>
      </c>
    </row>
    <row r="3770" spans="1:4">
      <c r="A3770" s="83" t="s">
        <v>10613</v>
      </c>
      <c r="B3770" s="83" t="s">
        <v>5010</v>
      </c>
      <c r="C3770" s="83" t="s">
        <v>10618</v>
      </c>
      <c r="D3770" s="83" t="s">
        <v>10615</v>
      </c>
    </row>
    <row r="3771" spans="1:4">
      <c r="A3771" s="83" t="s">
        <v>10619</v>
      </c>
      <c r="B3771" s="83" t="s">
        <v>5017</v>
      </c>
      <c r="C3771" s="83" t="s">
        <v>10620</v>
      </c>
      <c r="D3771" s="83" t="s">
        <v>10621</v>
      </c>
    </row>
    <row r="3772" spans="1:4">
      <c r="A3772" s="83" t="s">
        <v>10619</v>
      </c>
      <c r="B3772" s="83" t="s">
        <v>5012</v>
      </c>
      <c r="C3772" s="83" t="s">
        <v>10622</v>
      </c>
      <c r="D3772" s="83" t="s">
        <v>10621</v>
      </c>
    </row>
    <row r="3773" spans="1:4">
      <c r="A3773" s="83" t="s">
        <v>10619</v>
      </c>
      <c r="B3773" s="83" t="s">
        <v>5015</v>
      </c>
      <c r="C3773" s="83" t="s">
        <v>10623</v>
      </c>
      <c r="D3773" s="83" t="s">
        <v>10621</v>
      </c>
    </row>
    <row r="3774" spans="1:4">
      <c r="A3774" s="83" t="s">
        <v>10619</v>
      </c>
      <c r="B3774" s="83" t="s">
        <v>5010</v>
      </c>
      <c r="C3774" s="83" t="s">
        <v>10624</v>
      </c>
      <c r="D3774" s="83" t="s">
        <v>10621</v>
      </c>
    </row>
    <row r="3775" spans="1:4">
      <c r="A3775" s="83" t="s">
        <v>10625</v>
      </c>
      <c r="B3775" s="83" t="s">
        <v>5017</v>
      </c>
      <c r="C3775" s="83" t="s">
        <v>10626</v>
      </c>
      <c r="D3775" s="83" t="s">
        <v>10627</v>
      </c>
    </row>
    <row r="3776" spans="1:4">
      <c r="A3776" s="83" t="s">
        <v>10625</v>
      </c>
      <c r="B3776" s="83" t="s">
        <v>5012</v>
      </c>
      <c r="C3776" s="83" t="s">
        <v>10628</v>
      </c>
      <c r="D3776" s="83" t="s">
        <v>10627</v>
      </c>
    </row>
    <row r="3777" spans="1:4">
      <c r="A3777" s="83" t="s">
        <v>10625</v>
      </c>
      <c r="B3777" s="83" t="s">
        <v>5015</v>
      </c>
      <c r="C3777" s="83" t="s">
        <v>10629</v>
      </c>
      <c r="D3777" s="83" t="s">
        <v>10627</v>
      </c>
    </row>
    <row r="3778" spans="1:4">
      <c r="A3778" s="83" t="s">
        <v>10625</v>
      </c>
      <c r="B3778" s="83" t="s">
        <v>5010</v>
      </c>
      <c r="C3778" s="83" t="s">
        <v>10630</v>
      </c>
      <c r="D3778" s="83" t="s">
        <v>10627</v>
      </c>
    </row>
    <row r="3779" spans="1:4">
      <c r="A3779" s="83" t="s">
        <v>10631</v>
      </c>
      <c r="B3779" s="83" t="s">
        <v>5017</v>
      </c>
      <c r="C3779" s="83" t="s">
        <v>10632</v>
      </c>
      <c r="D3779" s="83" t="s">
        <v>10633</v>
      </c>
    </row>
    <row r="3780" spans="1:4">
      <c r="A3780" s="83" t="s">
        <v>10631</v>
      </c>
      <c r="B3780" s="83" t="s">
        <v>5012</v>
      </c>
      <c r="C3780" s="83" t="s">
        <v>10634</v>
      </c>
      <c r="D3780" s="83" t="s">
        <v>10633</v>
      </c>
    </row>
    <row r="3781" spans="1:4">
      <c r="A3781" s="83" t="s">
        <v>10631</v>
      </c>
      <c r="B3781" s="83" t="s">
        <v>5015</v>
      </c>
      <c r="C3781" s="83" t="s">
        <v>10635</v>
      </c>
      <c r="D3781" s="83" t="s">
        <v>10633</v>
      </c>
    </row>
    <row r="3782" spans="1:4">
      <c r="A3782" s="83" t="s">
        <v>10631</v>
      </c>
      <c r="B3782" s="83" t="s">
        <v>5010</v>
      </c>
      <c r="C3782" s="83" t="s">
        <v>10636</v>
      </c>
      <c r="D3782" s="83" t="s">
        <v>10633</v>
      </c>
    </row>
    <row r="3783" spans="1:4">
      <c r="A3783" s="83" t="s">
        <v>10637</v>
      </c>
      <c r="B3783" s="83" t="s">
        <v>5017</v>
      </c>
      <c r="C3783" s="83" t="s">
        <v>10638</v>
      </c>
      <c r="D3783" s="83" t="s">
        <v>10639</v>
      </c>
    </row>
    <row r="3784" spans="1:4">
      <c r="A3784" s="83" t="s">
        <v>10637</v>
      </c>
      <c r="B3784" s="83" t="s">
        <v>5012</v>
      </c>
      <c r="C3784" s="83" t="s">
        <v>10640</v>
      </c>
      <c r="D3784" s="83" t="s">
        <v>10639</v>
      </c>
    </row>
    <row r="3785" spans="1:4">
      <c r="A3785" s="83" t="s">
        <v>10637</v>
      </c>
      <c r="B3785" s="83" t="s">
        <v>5015</v>
      </c>
      <c r="C3785" s="83" t="s">
        <v>10641</v>
      </c>
      <c r="D3785" s="83" t="s">
        <v>10639</v>
      </c>
    </row>
    <row r="3786" spans="1:4">
      <c r="A3786" s="83" t="s">
        <v>10637</v>
      </c>
      <c r="B3786" s="83" t="s">
        <v>5010</v>
      </c>
      <c r="C3786" s="83" t="s">
        <v>10642</v>
      </c>
      <c r="D3786" s="83" t="s">
        <v>10639</v>
      </c>
    </row>
    <row r="3787" spans="1:4">
      <c r="A3787" s="83" t="s">
        <v>10643</v>
      </c>
      <c r="B3787" s="83" t="s">
        <v>5017</v>
      </c>
      <c r="C3787" s="83" t="s">
        <v>10644</v>
      </c>
      <c r="D3787" s="83" t="s">
        <v>10645</v>
      </c>
    </row>
    <row r="3788" spans="1:4">
      <c r="A3788" s="83" t="s">
        <v>10643</v>
      </c>
      <c r="B3788" s="83" t="s">
        <v>5012</v>
      </c>
      <c r="C3788" s="83" t="s">
        <v>10646</v>
      </c>
      <c r="D3788" s="83" t="s">
        <v>10645</v>
      </c>
    </row>
    <row r="3789" spans="1:4">
      <c r="A3789" s="83" t="s">
        <v>10643</v>
      </c>
      <c r="B3789" s="83" t="s">
        <v>5015</v>
      </c>
      <c r="C3789" s="83" t="s">
        <v>10647</v>
      </c>
      <c r="D3789" s="83" t="s">
        <v>10645</v>
      </c>
    </row>
    <row r="3790" spans="1:4">
      <c r="A3790" s="83" t="s">
        <v>10643</v>
      </c>
      <c r="B3790" s="83" t="s">
        <v>5010</v>
      </c>
      <c r="C3790" s="83" t="s">
        <v>10648</v>
      </c>
      <c r="D3790" s="83" t="s">
        <v>10645</v>
      </c>
    </row>
    <row r="3791" spans="1:4">
      <c r="A3791" s="83" t="s">
        <v>10649</v>
      </c>
      <c r="B3791" s="83" t="s">
        <v>5017</v>
      </c>
      <c r="C3791" s="83" t="s">
        <v>10650</v>
      </c>
      <c r="D3791" s="83" t="s">
        <v>10651</v>
      </c>
    </row>
    <row r="3792" spans="1:4">
      <c r="A3792" s="83" t="s">
        <v>10649</v>
      </c>
      <c r="B3792" s="83" t="s">
        <v>5012</v>
      </c>
      <c r="C3792" s="83" t="s">
        <v>10652</v>
      </c>
      <c r="D3792" s="83" t="s">
        <v>10651</v>
      </c>
    </row>
    <row r="3793" spans="1:4">
      <c r="A3793" s="83" t="s">
        <v>10649</v>
      </c>
      <c r="B3793" s="83" t="s">
        <v>5015</v>
      </c>
      <c r="C3793" s="83" t="s">
        <v>10653</v>
      </c>
      <c r="D3793" s="83" t="s">
        <v>10651</v>
      </c>
    </row>
    <row r="3794" spans="1:4">
      <c r="A3794" s="83" t="s">
        <v>10649</v>
      </c>
      <c r="B3794" s="83" t="s">
        <v>5010</v>
      </c>
      <c r="C3794" s="83" t="s">
        <v>10654</v>
      </c>
      <c r="D3794" s="83" t="s">
        <v>10651</v>
      </c>
    </row>
    <row r="3795" spans="1:4">
      <c r="A3795" s="83" t="s">
        <v>10655</v>
      </c>
      <c r="B3795" s="83" t="s">
        <v>5017</v>
      </c>
      <c r="C3795" s="83" t="s">
        <v>10656</v>
      </c>
      <c r="D3795" s="83" t="s">
        <v>10657</v>
      </c>
    </row>
    <row r="3796" spans="1:4">
      <c r="A3796" s="83" t="s">
        <v>10655</v>
      </c>
      <c r="B3796" s="83" t="s">
        <v>5012</v>
      </c>
      <c r="C3796" s="83" t="s">
        <v>10658</v>
      </c>
      <c r="D3796" s="83" t="s">
        <v>10657</v>
      </c>
    </row>
    <row r="3797" spans="1:4">
      <c r="A3797" s="83" t="s">
        <v>10655</v>
      </c>
      <c r="B3797" s="83" t="s">
        <v>5015</v>
      </c>
      <c r="C3797" s="83" t="s">
        <v>10659</v>
      </c>
      <c r="D3797" s="83" t="s">
        <v>10657</v>
      </c>
    </row>
    <row r="3798" spans="1:4">
      <c r="A3798" s="83" t="s">
        <v>10655</v>
      </c>
      <c r="B3798" s="83" t="s">
        <v>5010</v>
      </c>
      <c r="C3798" s="83" t="s">
        <v>10660</v>
      </c>
      <c r="D3798" s="83" t="s">
        <v>10657</v>
      </c>
    </row>
    <row r="3799" spans="1:4">
      <c r="A3799" s="83" t="s">
        <v>10661</v>
      </c>
      <c r="B3799" s="83" t="s">
        <v>5017</v>
      </c>
      <c r="C3799" s="83" t="s">
        <v>10662</v>
      </c>
      <c r="D3799" s="83" t="s">
        <v>10663</v>
      </c>
    </row>
    <row r="3800" spans="1:4">
      <c r="A3800" s="83" t="s">
        <v>10661</v>
      </c>
      <c r="B3800" s="83" t="s">
        <v>5012</v>
      </c>
      <c r="C3800" s="83" t="s">
        <v>10664</v>
      </c>
      <c r="D3800" s="83" t="s">
        <v>10663</v>
      </c>
    </row>
    <row r="3801" spans="1:4">
      <c r="A3801" s="83" t="s">
        <v>10661</v>
      </c>
      <c r="B3801" s="83" t="s">
        <v>5015</v>
      </c>
      <c r="C3801" s="83" t="s">
        <v>10665</v>
      </c>
      <c r="D3801" s="83" t="s">
        <v>10663</v>
      </c>
    </row>
    <row r="3802" spans="1:4">
      <c r="A3802" s="83" t="s">
        <v>10661</v>
      </c>
      <c r="B3802" s="83" t="s">
        <v>5010</v>
      </c>
      <c r="C3802" s="83" t="s">
        <v>10666</v>
      </c>
      <c r="D3802" s="83" t="s">
        <v>10663</v>
      </c>
    </row>
    <row r="3803" spans="1:4">
      <c r="A3803" s="83" t="s">
        <v>10667</v>
      </c>
      <c r="B3803" s="83" t="s">
        <v>5017</v>
      </c>
      <c r="C3803" s="83" t="s">
        <v>10668</v>
      </c>
      <c r="D3803" s="83" t="s">
        <v>10669</v>
      </c>
    </row>
    <row r="3804" spans="1:4">
      <c r="A3804" s="83" t="s">
        <v>10667</v>
      </c>
      <c r="B3804" s="83" t="s">
        <v>5012</v>
      </c>
      <c r="C3804" s="83" t="s">
        <v>10670</v>
      </c>
      <c r="D3804" s="83" t="s">
        <v>10669</v>
      </c>
    </row>
    <row r="3805" spans="1:4">
      <c r="A3805" s="83" t="s">
        <v>10667</v>
      </c>
      <c r="B3805" s="83" t="s">
        <v>5015</v>
      </c>
      <c r="C3805" s="83" t="s">
        <v>10671</v>
      </c>
      <c r="D3805" s="83" t="s">
        <v>10669</v>
      </c>
    </row>
    <row r="3806" spans="1:4">
      <c r="A3806" s="83" t="s">
        <v>10667</v>
      </c>
      <c r="B3806" s="83" t="s">
        <v>5010</v>
      </c>
      <c r="C3806" s="83" t="s">
        <v>10672</v>
      </c>
      <c r="D3806" s="83" t="s">
        <v>10669</v>
      </c>
    </row>
    <row r="3807" spans="1:4">
      <c r="A3807" s="83" t="s">
        <v>10673</v>
      </c>
      <c r="B3807" s="83" t="s">
        <v>5017</v>
      </c>
      <c r="C3807" s="83" t="s">
        <v>10674</v>
      </c>
      <c r="D3807" s="83" t="s">
        <v>10675</v>
      </c>
    </row>
    <row r="3808" spans="1:4">
      <c r="A3808" s="83" t="s">
        <v>10673</v>
      </c>
      <c r="B3808" s="83" t="s">
        <v>5012</v>
      </c>
      <c r="C3808" s="83" t="s">
        <v>10676</v>
      </c>
      <c r="D3808" s="83" t="s">
        <v>10675</v>
      </c>
    </row>
    <row r="3809" spans="1:4">
      <c r="A3809" s="83" t="s">
        <v>10673</v>
      </c>
      <c r="B3809" s="83" t="s">
        <v>5015</v>
      </c>
      <c r="C3809" s="83" t="s">
        <v>10677</v>
      </c>
      <c r="D3809" s="83" t="s">
        <v>10675</v>
      </c>
    </row>
    <row r="3810" spans="1:4">
      <c r="A3810" s="83" t="s">
        <v>10673</v>
      </c>
      <c r="B3810" s="83" t="s">
        <v>5010</v>
      </c>
      <c r="C3810" s="83" t="s">
        <v>10678</v>
      </c>
      <c r="D3810" s="83" t="s">
        <v>10675</v>
      </c>
    </row>
    <row r="3811" spans="1:4">
      <c r="A3811" s="83" t="s">
        <v>10679</v>
      </c>
      <c r="B3811" s="83" t="s">
        <v>5017</v>
      </c>
      <c r="C3811" s="83" t="s">
        <v>10680</v>
      </c>
      <c r="D3811" s="83" t="s">
        <v>10681</v>
      </c>
    </row>
    <row r="3812" spans="1:4">
      <c r="A3812" s="83" t="s">
        <v>10679</v>
      </c>
      <c r="B3812" s="83" t="s">
        <v>5012</v>
      </c>
      <c r="C3812" s="83" t="s">
        <v>10682</v>
      </c>
      <c r="D3812" s="83" t="s">
        <v>10681</v>
      </c>
    </row>
    <row r="3813" spans="1:4">
      <c r="A3813" s="83" t="s">
        <v>10679</v>
      </c>
      <c r="B3813" s="83" t="s">
        <v>5015</v>
      </c>
      <c r="C3813" s="83" t="s">
        <v>10683</v>
      </c>
      <c r="D3813" s="83" t="s">
        <v>10681</v>
      </c>
    </row>
    <row r="3814" spans="1:4">
      <c r="A3814" s="83" t="s">
        <v>10679</v>
      </c>
      <c r="B3814" s="83" t="s">
        <v>5010</v>
      </c>
      <c r="C3814" s="83" t="s">
        <v>10684</v>
      </c>
      <c r="D3814" s="83" t="s">
        <v>10681</v>
      </c>
    </row>
    <row r="3815" spans="1:4">
      <c r="A3815" s="83" t="s">
        <v>10685</v>
      </c>
      <c r="B3815" s="83" t="s">
        <v>5017</v>
      </c>
      <c r="C3815" s="83" t="s">
        <v>10686</v>
      </c>
      <c r="D3815" s="83" t="s">
        <v>10687</v>
      </c>
    </row>
    <row r="3816" spans="1:4">
      <c r="A3816" s="83" t="s">
        <v>10685</v>
      </c>
      <c r="B3816" s="83" t="s">
        <v>5012</v>
      </c>
      <c r="C3816" s="83" t="s">
        <v>10688</v>
      </c>
      <c r="D3816" s="83" t="s">
        <v>10687</v>
      </c>
    </row>
    <row r="3817" spans="1:4">
      <c r="A3817" s="83" t="s">
        <v>10685</v>
      </c>
      <c r="B3817" s="83" t="s">
        <v>5015</v>
      </c>
      <c r="C3817" s="83" t="s">
        <v>10689</v>
      </c>
      <c r="D3817" s="83" t="s">
        <v>10687</v>
      </c>
    </row>
    <row r="3818" spans="1:4">
      <c r="A3818" s="83" t="s">
        <v>10685</v>
      </c>
      <c r="B3818" s="83" t="s">
        <v>5010</v>
      </c>
      <c r="C3818" s="83" t="s">
        <v>10690</v>
      </c>
      <c r="D3818" s="83" t="s">
        <v>10687</v>
      </c>
    </row>
    <row r="3819" spans="1:4">
      <c r="A3819" s="83" t="s">
        <v>10691</v>
      </c>
      <c r="B3819" s="83" t="s">
        <v>5017</v>
      </c>
      <c r="C3819" s="83" t="s">
        <v>10692</v>
      </c>
      <c r="D3819" s="83" t="s">
        <v>10693</v>
      </c>
    </row>
    <row r="3820" spans="1:4">
      <c r="A3820" s="83" t="s">
        <v>10691</v>
      </c>
      <c r="B3820" s="83" t="s">
        <v>5012</v>
      </c>
      <c r="C3820" s="83" t="s">
        <v>10694</v>
      </c>
      <c r="D3820" s="83" t="s">
        <v>10693</v>
      </c>
    </row>
    <row r="3821" spans="1:4">
      <c r="A3821" s="83" t="s">
        <v>10691</v>
      </c>
      <c r="B3821" s="83" t="s">
        <v>5015</v>
      </c>
      <c r="C3821" s="83" t="s">
        <v>10695</v>
      </c>
      <c r="D3821" s="83" t="s">
        <v>10693</v>
      </c>
    </row>
    <row r="3822" spans="1:4">
      <c r="A3822" s="83" t="s">
        <v>10691</v>
      </c>
      <c r="B3822" s="83" t="s">
        <v>5010</v>
      </c>
      <c r="C3822" s="83" t="s">
        <v>10696</v>
      </c>
      <c r="D3822" s="83" t="s">
        <v>10693</v>
      </c>
    </row>
    <row r="3823" spans="1:4">
      <c r="A3823" s="83" t="s">
        <v>10697</v>
      </c>
      <c r="B3823" s="83" t="s">
        <v>5017</v>
      </c>
      <c r="C3823" s="83" t="s">
        <v>10698</v>
      </c>
      <c r="D3823" s="83" t="s">
        <v>10699</v>
      </c>
    </row>
    <row r="3824" spans="1:4">
      <c r="A3824" s="83" t="s">
        <v>10697</v>
      </c>
      <c r="B3824" s="83" t="s">
        <v>5012</v>
      </c>
      <c r="C3824" s="83" t="s">
        <v>10700</v>
      </c>
      <c r="D3824" s="83" t="s">
        <v>10699</v>
      </c>
    </row>
    <row r="3825" spans="1:4">
      <c r="A3825" s="83" t="s">
        <v>10697</v>
      </c>
      <c r="B3825" s="83" t="s">
        <v>5015</v>
      </c>
      <c r="C3825" s="83" t="s">
        <v>10701</v>
      </c>
      <c r="D3825" s="83" t="s">
        <v>10699</v>
      </c>
    </row>
    <row r="3826" spans="1:4">
      <c r="A3826" s="83" t="s">
        <v>10697</v>
      </c>
      <c r="B3826" s="83" t="s">
        <v>5010</v>
      </c>
      <c r="C3826" s="83" t="s">
        <v>10702</v>
      </c>
      <c r="D3826" s="83" t="s">
        <v>10699</v>
      </c>
    </row>
    <row r="3827" spans="1:4">
      <c r="A3827" s="83" t="s">
        <v>10703</v>
      </c>
      <c r="B3827" s="83" t="s">
        <v>5017</v>
      </c>
      <c r="C3827" s="83" t="s">
        <v>10704</v>
      </c>
      <c r="D3827" s="83" t="s">
        <v>10705</v>
      </c>
    </row>
    <row r="3828" spans="1:4">
      <c r="A3828" s="83" t="s">
        <v>10703</v>
      </c>
      <c r="B3828" s="83" t="s">
        <v>5012</v>
      </c>
      <c r="C3828" s="83" t="s">
        <v>10706</v>
      </c>
      <c r="D3828" s="83" t="s">
        <v>10705</v>
      </c>
    </row>
    <row r="3829" spans="1:4">
      <c r="A3829" s="83" t="s">
        <v>10703</v>
      </c>
      <c r="B3829" s="83" t="s">
        <v>5015</v>
      </c>
      <c r="C3829" s="83" t="s">
        <v>10707</v>
      </c>
      <c r="D3829" s="83" t="s">
        <v>10705</v>
      </c>
    </row>
    <row r="3830" spans="1:4">
      <c r="A3830" s="83" t="s">
        <v>10703</v>
      </c>
      <c r="B3830" s="83" t="s">
        <v>5010</v>
      </c>
      <c r="C3830" s="83" t="s">
        <v>10708</v>
      </c>
      <c r="D3830" s="83" t="s">
        <v>10705</v>
      </c>
    </row>
    <row r="3831" spans="1:4">
      <c r="A3831" s="83" t="s">
        <v>10709</v>
      </c>
      <c r="B3831" s="83" t="s">
        <v>5017</v>
      </c>
      <c r="C3831" s="83" t="s">
        <v>10710</v>
      </c>
      <c r="D3831" s="83" t="s">
        <v>10711</v>
      </c>
    </row>
    <row r="3832" spans="1:4">
      <c r="A3832" s="83" t="s">
        <v>10709</v>
      </c>
      <c r="B3832" s="83" t="s">
        <v>5012</v>
      </c>
      <c r="C3832" s="83" t="s">
        <v>10712</v>
      </c>
      <c r="D3832" s="83" t="s">
        <v>10711</v>
      </c>
    </row>
    <row r="3833" spans="1:4">
      <c r="A3833" s="83" t="s">
        <v>10709</v>
      </c>
      <c r="B3833" s="83" t="s">
        <v>5015</v>
      </c>
      <c r="C3833" s="83" t="s">
        <v>10713</v>
      </c>
      <c r="D3833" s="83" t="s">
        <v>10711</v>
      </c>
    </row>
    <row r="3834" spans="1:4">
      <c r="A3834" s="83" t="s">
        <v>10709</v>
      </c>
      <c r="B3834" s="83" t="s">
        <v>5010</v>
      </c>
      <c r="C3834" s="83" t="s">
        <v>10714</v>
      </c>
      <c r="D3834" s="83" t="s">
        <v>10711</v>
      </c>
    </row>
    <row r="3835" spans="1:4">
      <c r="A3835" s="83" t="s">
        <v>10715</v>
      </c>
      <c r="B3835" s="83" t="s">
        <v>5017</v>
      </c>
      <c r="C3835" s="83" t="s">
        <v>10716</v>
      </c>
      <c r="D3835" s="83" t="s">
        <v>10717</v>
      </c>
    </row>
    <row r="3836" spans="1:4">
      <c r="A3836" s="83" t="s">
        <v>10715</v>
      </c>
      <c r="B3836" s="83" t="s">
        <v>5012</v>
      </c>
      <c r="C3836" s="83" t="s">
        <v>10718</v>
      </c>
      <c r="D3836" s="83" t="s">
        <v>10717</v>
      </c>
    </row>
    <row r="3837" spans="1:4">
      <c r="A3837" s="83" t="s">
        <v>10715</v>
      </c>
      <c r="B3837" s="83" t="s">
        <v>5015</v>
      </c>
      <c r="C3837" s="83" t="s">
        <v>10719</v>
      </c>
      <c r="D3837" s="83" t="s">
        <v>10717</v>
      </c>
    </row>
    <row r="3838" spans="1:4">
      <c r="A3838" s="83" t="s">
        <v>10715</v>
      </c>
      <c r="B3838" s="83" t="s">
        <v>5010</v>
      </c>
      <c r="C3838" s="83" t="s">
        <v>10720</v>
      </c>
      <c r="D3838" s="83" t="s">
        <v>10717</v>
      </c>
    </row>
    <row r="3839" spans="1:4">
      <c r="A3839" s="83" t="s">
        <v>10721</v>
      </c>
      <c r="B3839" s="83" t="s">
        <v>5017</v>
      </c>
      <c r="C3839" s="83" t="s">
        <v>10722</v>
      </c>
      <c r="D3839" s="83" t="s">
        <v>10723</v>
      </c>
    </row>
    <row r="3840" spans="1:4">
      <c r="A3840" s="83" t="s">
        <v>10721</v>
      </c>
      <c r="B3840" s="83" t="s">
        <v>5012</v>
      </c>
      <c r="C3840" s="83" t="s">
        <v>10724</v>
      </c>
      <c r="D3840" s="83" t="s">
        <v>10723</v>
      </c>
    </row>
    <row r="3841" spans="1:4">
      <c r="A3841" s="83" t="s">
        <v>10721</v>
      </c>
      <c r="B3841" s="83" t="s">
        <v>5015</v>
      </c>
      <c r="C3841" s="83" t="s">
        <v>10725</v>
      </c>
      <c r="D3841" s="83" t="s">
        <v>10723</v>
      </c>
    </row>
    <row r="3842" spans="1:4">
      <c r="A3842" s="83" t="s">
        <v>10721</v>
      </c>
      <c r="B3842" s="83" t="s">
        <v>5010</v>
      </c>
      <c r="C3842" s="83" t="s">
        <v>10726</v>
      </c>
      <c r="D3842" s="83" t="s">
        <v>10723</v>
      </c>
    </row>
    <row r="3843" spans="1:4">
      <c r="A3843" s="83" t="s">
        <v>10727</v>
      </c>
      <c r="B3843" s="83" t="s">
        <v>5017</v>
      </c>
      <c r="C3843" s="83" t="s">
        <v>10728</v>
      </c>
      <c r="D3843" s="83" t="s">
        <v>10729</v>
      </c>
    </row>
    <row r="3844" spans="1:4">
      <c r="A3844" s="83" t="s">
        <v>10727</v>
      </c>
      <c r="B3844" s="83" t="s">
        <v>5012</v>
      </c>
      <c r="C3844" s="83" t="s">
        <v>10730</v>
      </c>
      <c r="D3844" s="83" t="s">
        <v>10729</v>
      </c>
    </row>
    <row r="3845" spans="1:4">
      <c r="A3845" s="83" t="s">
        <v>10727</v>
      </c>
      <c r="B3845" s="83" t="s">
        <v>5015</v>
      </c>
      <c r="C3845" s="83" t="s">
        <v>10731</v>
      </c>
      <c r="D3845" s="83" t="s">
        <v>10729</v>
      </c>
    </row>
    <row r="3846" spans="1:4">
      <c r="A3846" s="83" t="s">
        <v>10727</v>
      </c>
      <c r="B3846" s="83" t="s">
        <v>5010</v>
      </c>
      <c r="C3846" s="83" t="s">
        <v>10732</v>
      </c>
      <c r="D3846" s="83" t="s">
        <v>10729</v>
      </c>
    </row>
    <row r="3847" spans="1:4">
      <c r="A3847" s="83" t="s">
        <v>10733</v>
      </c>
      <c r="B3847" s="83" t="s">
        <v>5017</v>
      </c>
      <c r="C3847" s="83" t="s">
        <v>10734</v>
      </c>
      <c r="D3847" s="83" t="s">
        <v>10735</v>
      </c>
    </row>
    <row r="3848" spans="1:4">
      <c r="A3848" s="83" t="s">
        <v>10733</v>
      </c>
      <c r="B3848" s="83" t="s">
        <v>5012</v>
      </c>
      <c r="C3848" s="83" t="s">
        <v>10736</v>
      </c>
      <c r="D3848" s="83" t="s">
        <v>10735</v>
      </c>
    </row>
    <row r="3849" spans="1:4">
      <c r="A3849" s="83" t="s">
        <v>10733</v>
      </c>
      <c r="B3849" s="83" t="s">
        <v>5015</v>
      </c>
      <c r="C3849" s="83" t="s">
        <v>10737</v>
      </c>
      <c r="D3849" s="83" t="s">
        <v>10735</v>
      </c>
    </row>
    <row r="3850" spans="1:4">
      <c r="A3850" s="83" t="s">
        <v>10733</v>
      </c>
      <c r="B3850" s="83" t="s">
        <v>5010</v>
      </c>
      <c r="C3850" s="83" t="s">
        <v>10738</v>
      </c>
      <c r="D3850" s="83" t="s">
        <v>10735</v>
      </c>
    </row>
    <row r="3851" spans="1:4">
      <c r="A3851" s="83" t="s">
        <v>10739</v>
      </c>
      <c r="B3851" s="83" t="s">
        <v>5017</v>
      </c>
      <c r="C3851" s="83" t="s">
        <v>10740</v>
      </c>
      <c r="D3851" s="83" t="s">
        <v>10741</v>
      </c>
    </row>
    <row r="3852" spans="1:4">
      <c r="A3852" s="83" t="s">
        <v>10739</v>
      </c>
      <c r="B3852" s="83" t="s">
        <v>5012</v>
      </c>
      <c r="C3852" s="83" t="s">
        <v>10742</v>
      </c>
      <c r="D3852" s="83" t="s">
        <v>10741</v>
      </c>
    </row>
    <row r="3853" spans="1:4">
      <c r="A3853" s="83" t="s">
        <v>10739</v>
      </c>
      <c r="B3853" s="83" t="s">
        <v>5015</v>
      </c>
      <c r="C3853" s="83" t="s">
        <v>10743</v>
      </c>
      <c r="D3853" s="83" t="s">
        <v>10741</v>
      </c>
    </row>
    <row r="3854" spans="1:4">
      <c r="A3854" s="83" t="s">
        <v>10739</v>
      </c>
      <c r="B3854" s="83" t="s">
        <v>5010</v>
      </c>
      <c r="C3854" s="83" t="s">
        <v>10744</v>
      </c>
      <c r="D3854" s="83" t="s">
        <v>10741</v>
      </c>
    </row>
    <row r="3855" spans="1:4">
      <c r="A3855" s="83" t="s">
        <v>10745</v>
      </c>
      <c r="B3855" s="83" t="s">
        <v>5017</v>
      </c>
      <c r="C3855" s="83" t="s">
        <v>10746</v>
      </c>
      <c r="D3855" s="83" t="s">
        <v>10747</v>
      </c>
    </row>
    <row r="3856" spans="1:4">
      <c r="A3856" s="83" t="s">
        <v>10745</v>
      </c>
      <c r="B3856" s="83" t="s">
        <v>5012</v>
      </c>
      <c r="C3856" s="83" t="s">
        <v>10748</v>
      </c>
      <c r="D3856" s="83" t="s">
        <v>10747</v>
      </c>
    </row>
    <row r="3857" spans="1:4">
      <c r="A3857" s="83" t="s">
        <v>10745</v>
      </c>
      <c r="B3857" s="83" t="s">
        <v>5015</v>
      </c>
      <c r="C3857" s="83" t="s">
        <v>10749</v>
      </c>
      <c r="D3857" s="83" t="s">
        <v>10747</v>
      </c>
    </row>
    <row r="3858" spans="1:4">
      <c r="A3858" s="83" t="s">
        <v>10745</v>
      </c>
      <c r="B3858" s="83" t="s">
        <v>5010</v>
      </c>
      <c r="C3858" s="83" t="s">
        <v>10750</v>
      </c>
      <c r="D3858" s="83" t="s">
        <v>10747</v>
      </c>
    </row>
    <row r="3859" spans="1:4">
      <c r="A3859" s="83" t="s">
        <v>10751</v>
      </c>
      <c r="B3859" s="83" t="s">
        <v>5017</v>
      </c>
      <c r="C3859" s="83" t="s">
        <v>10752</v>
      </c>
      <c r="D3859" s="83" t="s">
        <v>10753</v>
      </c>
    </row>
    <row r="3860" spans="1:4">
      <c r="A3860" s="83" t="s">
        <v>10751</v>
      </c>
      <c r="B3860" s="83" t="s">
        <v>5012</v>
      </c>
      <c r="C3860" s="83" t="s">
        <v>10754</v>
      </c>
      <c r="D3860" s="83" t="s">
        <v>10753</v>
      </c>
    </row>
    <row r="3861" spans="1:4">
      <c r="A3861" s="83" t="s">
        <v>10751</v>
      </c>
      <c r="B3861" s="83" t="s">
        <v>5015</v>
      </c>
      <c r="C3861" s="83" t="s">
        <v>10755</v>
      </c>
      <c r="D3861" s="83" t="s">
        <v>10753</v>
      </c>
    </row>
    <row r="3862" spans="1:4">
      <c r="A3862" s="83" t="s">
        <v>10751</v>
      </c>
      <c r="B3862" s="83" t="s">
        <v>5010</v>
      </c>
      <c r="C3862" s="83" t="s">
        <v>10756</v>
      </c>
      <c r="D3862" s="83" t="s">
        <v>10753</v>
      </c>
    </row>
    <row r="3863" spans="1:4">
      <c r="A3863" s="83" t="s">
        <v>10757</v>
      </c>
      <c r="B3863" s="83" t="s">
        <v>5017</v>
      </c>
      <c r="C3863" s="83" t="s">
        <v>10758</v>
      </c>
      <c r="D3863" s="83" t="s">
        <v>10759</v>
      </c>
    </row>
    <row r="3864" spans="1:4">
      <c r="A3864" s="83" t="s">
        <v>10757</v>
      </c>
      <c r="B3864" s="83" t="s">
        <v>5012</v>
      </c>
      <c r="C3864" s="83" t="s">
        <v>10539</v>
      </c>
      <c r="D3864" s="83" t="s">
        <v>10759</v>
      </c>
    </row>
    <row r="3865" spans="1:4">
      <c r="A3865" s="83" t="s">
        <v>10757</v>
      </c>
      <c r="B3865" s="83" t="s">
        <v>5015</v>
      </c>
      <c r="C3865" s="83" t="s">
        <v>10760</v>
      </c>
      <c r="D3865" s="83" t="s">
        <v>10759</v>
      </c>
    </row>
    <row r="3866" spans="1:4">
      <c r="A3866" s="83" t="s">
        <v>10757</v>
      </c>
      <c r="B3866" s="83" t="s">
        <v>5010</v>
      </c>
      <c r="C3866" s="83" t="s">
        <v>10761</v>
      </c>
      <c r="D3866" s="83" t="s">
        <v>10759</v>
      </c>
    </row>
    <row r="3867" spans="1:4">
      <c r="A3867" s="83" t="s">
        <v>10762</v>
      </c>
      <c r="B3867" s="83" t="s">
        <v>5017</v>
      </c>
      <c r="C3867" s="83" t="s">
        <v>10763</v>
      </c>
      <c r="D3867" s="83" t="s">
        <v>10764</v>
      </c>
    </row>
    <row r="3868" spans="1:4">
      <c r="A3868" s="83" t="s">
        <v>10762</v>
      </c>
      <c r="B3868" s="83" t="s">
        <v>5012</v>
      </c>
      <c r="C3868" s="83" t="s">
        <v>10765</v>
      </c>
      <c r="D3868" s="83" t="s">
        <v>10764</v>
      </c>
    </row>
    <row r="3869" spans="1:4">
      <c r="A3869" s="83" t="s">
        <v>10762</v>
      </c>
      <c r="B3869" s="83" t="s">
        <v>5015</v>
      </c>
      <c r="C3869" s="83" t="s">
        <v>10766</v>
      </c>
      <c r="D3869" s="83" t="s">
        <v>10764</v>
      </c>
    </row>
    <row r="3870" spans="1:4">
      <c r="A3870" s="83" t="s">
        <v>10762</v>
      </c>
      <c r="B3870" s="83" t="s">
        <v>5010</v>
      </c>
      <c r="C3870" s="83" t="s">
        <v>10767</v>
      </c>
      <c r="D3870" s="83" t="s">
        <v>10764</v>
      </c>
    </row>
    <row r="3871" spans="1:4">
      <c r="A3871" s="83" t="s">
        <v>10768</v>
      </c>
      <c r="B3871" s="83" t="s">
        <v>5017</v>
      </c>
      <c r="C3871" s="83" t="s">
        <v>10769</v>
      </c>
      <c r="D3871" s="83" t="s">
        <v>10770</v>
      </c>
    </row>
    <row r="3872" spans="1:4">
      <c r="A3872" s="83" t="s">
        <v>10768</v>
      </c>
      <c r="B3872" s="83" t="s">
        <v>5012</v>
      </c>
      <c r="C3872" s="83" t="s">
        <v>10771</v>
      </c>
      <c r="D3872" s="83" t="s">
        <v>10770</v>
      </c>
    </row>
    <row r="3873" spans="1:4">
      <c r="A3873" s="83" t="s">
        <v>10768</v>
      </c>
      <c r="B3873" s="83" t="s">
        <v>5015</v>
      </c>
      <c r="C3873" s="83" t="s">
        <v>10772</v>
      </c>
      <c r="D3873" s="83" t="s">
        <v>10770</v>
      </c>
    </row>
    <row r="3874" spans="1:4">
      <c r="A3874" s="83" t="s">
        <v>10768</v>
      </c>
      <c r="B3874" s="83" t="s">
        <v>5010</v>
      </c>
      <c r="C3874" s="83" t="s">
        <v>10773</v>
      </c>
      <c r="D3874" s="83" t="s">
        <v>10770</v>
      </c>
    </row>
    <row r="3875" spans="1:4">
      <c r="A3875" s="83" t="s">
        <v>10774</v>
      </c>
      <c r="B3875" s="83" t="s">
        <v>5017</v>
      </c>
      <c r="C3875" s="83" t="s">
        <v>10775</v>
      </c>
      <c r="D3875" s="83" t="s">
        <v>10776</v>
      </c>
    </row>
    <row r="3876" spans="1:4">
      <c r="A3876" s="83" t="s">
        <v>10774</v>
      </c>
      <c r="B3876" s="83" t="s">
        <v>5012</v>
      </c>
      <c r="C3876" s="83" t="s">
        <v>10777</v>
      </c>
      <c r="D3876" s="83" t="s">
        <v>10776</v>
      </c>
    </row>
    <row r="3877" spans="1:4">
      <c r="A3877" s="83" t="s">
        <v>10774</v>
      </c>
      <c r="B3877" s="83" t="s">
        <v>5015</v>
      </c>
      <c r="C3877" s="83" t="s">
        <v>10778</v>
      </c>
      <c r="D3877" s="83" t="s">
        <v>10776</v>
      </c>
    </row>
    <row r="3878" spans="1:4">
      <c r="A3878" s="83" t="s">
        <v>10774</v>
      </c>
      <c r="B3878" s="83" t="s">
        <v>5010</v>
      </c>
      <c r="C3878" s="83" t="s">
        <v>10779</v>
      </c>
      <c r="D3878" s="83" t="s">
        <v>10776</v>
      </c>
    </row>
    <row r="3879" spans="1:4">
      <c r="A3879" s="83" t="s">
        <v>10780</v>
      </c>
      <c r="B3879" s="83" t="s">
        <v>5017</v>
      </c>
      <c r="C3879" s="83" t="s">
        <v>10781</v>
      </c>
      <c r="D3879" s="83" t="s">
        <v>10782</v>
      </c>
    </row>
    <row r="3880" spans="1:4">
      <c r="A3880" s="83" t="s">
        <v>10780</v>
      </c>
      <c r="B3880" s="83" t="s">
        <v>5012</v>
      </c>
      <c r="C3880" s="83" t="s">
        <v>10783</v>
      </c>
      <c r="D3880" s="83" t="s">
        <v>10782</v>
      </c>
    </row>
    <row r="3881" spans="1:4">
      <c r="A3881" s="83" t="s">
        <v>10780</v>
      </c>
      <c r="B3881" s="83" t="s">
        <v>5015</v>
      </c>
      <c r="C3881" s="83" t="s">
        <v>10784</v>
      </c>
      <c r="D3881" s="83" t="s">
        <v>10782</v>
      </c>
    </row>
    <row r="3882" spans="1:4">
      <c r="A3882" s="83" t="s">
        <v>10780</v>
      </c>
      <c r="B3882" s="83" t="s">
        <v>5010</v>
      </c>
      <c r="C3882" s="83" t="s">
        <v>10785</v>
      </c>
      <c r="D3882" s="83" t="s">
        <v>10782</v>
      </c>
    </row>
    <row r="3883" spans="1:4">
      <c r="A3883" s="83" t="s">
        <v>10786</v>
      </c>
      <c r="B3883" s="83" t="s">
        <v>5017</v>
      </c>
      <c r="C3883" s="83" t="s">
        <v>10787</v>
      </c>
      <c r="D3883" s="83" t="s">
        <v>10788</v>
      </c>
    </row>
    <row r="3884" spans="1:4">
      <c r="A3884" s="83" t="s">
        <v>10786</v>
      </c>
      <c r="B3884" s="83" t="s">
        <v>5012</v>
      </c>
      <c r="C3884" s="83" t="s">
        <v>10789</v>
      </c>
      <c r="D3884" s="83" t="s">
        <v>10788</v>
      </c>
    </row>
    <row r="3885" spans="1:4">
      <c r="A3885" s="83" t="s">
        <v>10786</v>
      </c>
      <c r="B3885" s="83" t="s">
        <v>5015</v>
      </c>
      <c r="C3885" s="83" t="s">
        <v>10790</v>
      </c>
      <c r="D3885" s="83" t="s">
        <v>10788</v>
      </c>
    </row>
    <row r="3886" spans="1:4">
      <c r="A3886" s="83" t="s">
        <v>10786</v>
      </c>
      <c r="B3886" s="83" t="s">
        <v>5010</v>
      </c>
      <c r="C3886" s="83" t="s">
        <v>10791</v>
      </c>
      <c r="D3886" s="83" t="s">
        <v>10788</v>
      </c>
    </row>
    <row r="3887" spans="1:4">
      <c r="A3887" s="83" t="s">
        <v>10792</v>
      </c>
      <c r="B3887" s="83" t="s">
        <v>5017</v>
      </c>
      <c r="C3887" s="83" t="s">
        <v>10793</v>
      </c>
      <c r="D3887" s="83" t="s">
        <v>10794</v>
      </c>
    </row>
    <row r="3888" spans="1:4">
      <c r="A3888" s="83" t="s">
        <v>10792</v>
      </c>
      <c r="B3888" s="83" t="s">
        <v>5012</v>
      </c>
      <c r="C3888" s="83" t="s">
        <v>10795</v>
      </c>
      <c r="D3888" s="83" t="s">
        <v>10794</v>
      </c>
    </row>
    <row r="3889" spans="1:4">
      <c r="A3889" s="83" t="s">
        <v>10792</v>
      </c>
      <c r="B3889" s="83" t="s">
        <v>5015</v>
      </c>
      <c r="C3889" s="83" t="s">
        <v>10796</v>
      </c>
      <c r="D3889" s="83" t="s">
        <v>10794</v>
      </c>
    </row>
    <row r="3890" spans="1:4">
      <c r="A3890" s="83" t="s">
        <v>10792</v>
      </c>
      <c r="B3890" s="83" t="s">
        <v>5010</v>
      </c>
      <c r="C3890" s="83" t="s">
        <v>10797</v>
      </c>
      <c r="D3890" s="83" t="s">
        <v>10794</v>
      </c>
    </row>
    <row r="3891" spans="1:4">
      <c r="A3891" s="83" t="s">
        <v>10798</v>
      </c>
      <c r="B3891" s="83" t="s">
        <v>5017</v>
      </c>
      <c r="C3891" s="83" t="s">
        <v>10799</v>
      </c>
      <c r="D3891" s="83" t="s">
        <v>10800</v>
      </c>
    </row>
    <row r="3892" spans="1:4">
      <c r="A3892" s="83" t="s">
        <v>10798</v>
      </c>
      <c r="B3892" s="83" t="s">
        <v>5012</v>
      </c>
      <c r="C3892" s="83" t="s">
        <v>10801</v>
      </c>
      <c r="D3892" s="83" t="s">
        <v>10800</v>
      </c>
    </row>
    <row r="3893" spans="1:4">
      <c r="A3893" s="83" t="s">
        <v>10798</v>
      </c>
      <c r="B3893" s="83" t="s">
        <v>5015</v>
      </c>
      <c r="C3893" s="83" t="s">
        <v>10802</v>
      </c>
      <c r="D3893" s="83" t="s">
        <v>10800</v>
      </c>
    </row>
    <row r="3894" spans="1:4">
      <c r="A3894" s="83" t="s">
        <v>10798</v>
      </c>
      <c r="B3894" s="83" t="s">
        <v>5010</v>
      </c>
      <c r="C3894" s="83" t="s">
        <v>10803</v>
      </c>
      <c r="D3894" s="83" t="s">
        <v>10800</v>
      </c>
    </row>
    <row r="3895" spans="1:4">
      <c r="A3895" s="83" t="s">
        <v>10804</v>
      </c>
      <c r="B3895" s="83" t="s">
        <v>5017</v>
      </c>
      <c r="C3895" s="83" t="s">
        <v>10805</v>
      </c>
      <c r="D3895" s="83" t="s">
        <v>10806</v>
      </c>
    </row>
    <row r="3896" spans="1:4">
      <c r="A3896" s="83" t="s">
        <v>10804</v>
      </c>
      <c r="B3896" s="83" t="s">
        <v>5012</v>
      </c>
      <c r="C3896" s="83" t="s">
        <v>10807</v>
      </c>
      <c r="D3896" s="83" t="s">
        <v>10806</v>
      </c>
    </row>
    <row r="3897" spans="1:4">
      <c r="A3897" s="83" t="s">
        <v>10804</v>
      </c>
      <c r="B3897" s="83" t="s">
        <v>5015</v>
      </c>
      <c r="C3897" s="83" t="s">
        <v>10808</v>
      </c>
      <c r="D3897" s="83" t="s">
        <v>10806</v>
      </c>
    </row>
    <row r="3898" spans="1:4">
      <c r="A3898" s="83" t="s">
        <v>10804</v>
      </c>
      <c r="B3898" s="83" t="s">
        <v>5010</v>
      </c>
      <c r="C3898" s="83" t="s">
        <v>10809</v>
      </c>
      <c r="D3898" s="83" t="s">
        <v>10806</v>
      </c>
    </row>
    <row r="3899" spans="1:4">
      <c r="A3899" s="83" t="s">
        <v>10810</v>
      </c>
      <c r="B3899" s="83" t="s">
        <v>5017</v>
      </c>
      <c r="C3899" s="83" t="s">
        <v>10811</v>
      </c>
      <c r="D3899" s="83" t="s">
        <v>10812</v>
      </c>
    </row>
    <row r="3900" spans="1:4">
      <c r="A3900" s="83" t="s">
        <v>10810</v>
      </c>
      <c r="B3900" s="83" t="s">
        <v>5012</v>
      </c>
      <c r="C3900" s="83" t="s">
        <v>10813</v>
      </c>
      <c r="D3900" s="83" t="s">
        <v>10812</v>
      </c>
    </row>
    <row r="3901" spans="1:4">
      <c r="A3901" s="83" t="s">
        <v>10810</v>
      </c>
      <c r="B3901" s="83" t="s">
        <v>5015</v>
      </c>
      <c r="C3901" s="83" t="s">
        <v>10814</v>
      </c>
      <c r="D3901" s="83" t="s">
        <v>10812</v>
      </c>
    </row>
    <row r="3902" spans="1:4">
      <c r="A3902" s="83" t="s">
        <v>10810</v>
      </c>
      <c r="B3902" s="83" t="s">
        <v>5010</v>
      </c>
      <c r="C3902" s="83" t="s">
        <v>10815</v>
      </c>
      <c r="D3902" s="83" t="s">
        <v>10812</v>
      </c>
    </row>
    <row r="3903" spans="1:4">
      <c r="A3903" s="83" t="s">
        <v>10816</v>
      </c>
      <c r="B3903" s="83" t="s">
        <v>5017</v>
      </c>
      <c r="C3903" s="83" t="s">
        <v>10817</v>
      </c>
      <c r="D3903" s="83" t="s">
        <v>10818</v>
      </c>
    </row>
    <row r="3904" spans="1:4">
      <c r="A3904" s="83" t="s">
        <v>10816</v>
      </c>
      <c r="B3904" s="83" t="s">
        <v>5012</v>
      </c>
      <c r="C3904" s="83" t="s">
        <v>10819</v>
      </c>
      <c r="D3904" s="83" t="s">
        <v>10818</v>
      </c>
    </row>
    <row r="3905" spans="1:4">
      <c r="A3905" s="83" t="s">
        <v>10816</v>
      </c>
      <c r="B3905" s="83" t="s">
        <v>5015</v>
      </c>
      <c r="C3905" s="83" t="s">
        <v>10820</v>
      </c>
      <c r="D3905" s="83" t="s">
        <v>10818</v>
      </c>
    </row>
    <row r="3906" spans="1:4">
      <c r="A3906" s="83" t="s">
        <v>10816</v>
      </c>
      <c r="B3906" s="83" t="s">
        <v>5010</v>
      </c>
      <c r="C3906" s="83" t="s">
        <v>10821</v>
      </c>
      <c r="D3906" s="83" t="s">
        <v>10818</v>
      </c>
    </row>
    <row r="3907" spans="1:4">
      <c r="A3907" s="83" t="s">
        <v>10822</v>
      </c>
      <c r="B3907" s="83" t="s">
        <v>5017</v>
      </c>
      <c r="C3907" s="83" t="s">
        <v>10823</v>
      </c>
      <c r="D3907" s="83" t="s">
        <v>10824</v>
      </c>
    </row>
    <row r="3908" spans="1:4">
      <c r="A3908" s="83" t="s">
        <v>10822</v>
      </c>
      <c r="B3908" s="83" t="s">
        <v>5012</v>
      </c>
      <c r="C3908" s="83" t="s">
        <v>10825</v>
      </c>
      <c r="D3908" s="83" t="s">
        <v>10824</v>
      </c>
    </row>
    <row r="3909" spans="1:4">
      <c r="A3909" s="83" t="s">
        <v>10822</v>
      </c>
      <c r="B3909" s="83" t="s">
        <v>5015</v>
      </c>
      <c r="C3909" s="83" t="s">
        <v>10826</v>
      </c>
      <c r="D3909" s="83" t="s">
        <v>10824</v>
      </c>
    </row>
    <row r="3910" spans="1:4">
      <c r="A3910" s="83" t="s">
        <v>10822</v>
      </c>
      <c r="B3910" s="83" t="s">
        <v>5010</v>
      </c>
      <c r="C3910" s="83" t="s">
        <v>10827</v>
      </c>
      <c r="D3910" s="83" t="s">
        <v>10824</v>
      </c>
    </row>
    <row r="3911" spans="1:4">
      <c r="A3911" s="83" t="s">
        <v>10828</v>
      </c>
      <c r="B3911" s="83" t="s">
        <v>5017</v>
      </c>
      <c r="C3911" s="83" t="s">
        <v>10829</v>
      </c>
      <c r="D3911" s="83" t="s">
        <v>10830</v>
      </c>
    </row>
    <row r="3912" spans="1:4">
      <c r="A3912" s="83" t="s">
        <v>10828</v>
      </c>
      <c r="B3912" s="83" t="s">
        <v>5012</v>
      </c>
      <c r="C3912" s="83" t="s">
        <v>10831</v>
      </c>
      <c r="D3912" s="83" t="s">
        <v>10830</v>
      </c>
    </row>
    <row r="3913" spans="1:4">
      <c r="A3913" s="83" t="s">
        <v>10828</v>
      </c>
      <c r="B3913" s="83" t="s">
        <v>5015</v>
      </c>
      <c r="C3913" s="83" t="s">
        <v>10832</v>
      </c>
      <c r="D3913" s="83" t="s">
        <v>10830</v>
      </c>
    </row>
    <row r="3914" spans="1:4">
      <c r="A3914" s="83" t="s">
        <v>10828</v>
      </c>
      <c r="B3914" s="83" t="s">
        <v>5010</v>
      </c>
      <c r="C3914" s="83" t="s">
        <v>10833</v>
      </c>
      <c r="D3914" s="83" t="s">
        <v>10830</v>
      </c>
    </row>
    <row r="3915" spans="1:4">
      <c r="A3915" s="83" t="s">
        <v>10834</v>
      </c>
      <c r="B3915" s="83" t="s">
        <v>5017</v>
      </c>
      <c r="C3915" s="83" t="s">
        <v>10835</v>
      </c>
      <c r="D3915" s="83" t="s">
        <v>10836</v>
      </c>
    </row>
    <row r="3916" spans="1:4">
      <c r="A3916" s="83" t="s">
        <v>10834</v>
      </c>
      <c r="B3916" s="83" t="s">
        <v>5012</v>
      </c>
      <c r="C3916" s="83" t="s">
        <v>10837</v>
      </c>
      <c r="D3916" s="83" t="s">
        <v>10836</v>
      </c>
    </row>
    <row r="3917" spans="1:4">
      <c r="A3917" s="83" t="s">
        <v>10834</v>
      </c>
      <c r="B3917" s="83" t="s">
        <v>5015</v>
      </c>
      <c r="C3917" s="83" t="s">
        <v>10838</v>
      </c>
      <c r="D3917" s="83" t="s">
        <v>10836</v>
      </c>
    </row>
    <row r="3918" spans="1:4">
      <c r="A3918" s="83" t="s">
        <v>10834</v>
      </c>
      <c r="B3918" s="83" t="s">
        <v>5010</v>
      </c>
      <c r="C3918" s="83" t="s">
        <v>10839</v>
      </c>
      <c r="D3918" s="83" t="s">
        <v>10836</v>
      </c>
    </row>
    <row r="3919" spans="1:4">
      <c r="A3919" s="83" t="s">
        <v>10840</v>
      </c>
      <c r="B3919" s="83" t="s">
        <v>5017</v>
      </c>
      <c r="C3919" s="83" t="s">
        <v>10841</v>
      </c>
      <c r="D3919" s="83" t="s">
        <v>10842</v>
      </c>
    </row>
    <row r="3920" spans="1:4">
      <c r="A3920" s="83" t="s">
        <v>10840</v>
      </c>
      <c r="B3920" s="83" t="s">
        <v>5012</v>
      </c>
      <c r="C3920" s="83" t="s">
        <v>10843</v>
      </c>
      <c r="D3920" s="83" t="s">
        <v>10842</v>
      </c>
    </row>
    <row r="3921" spans="1:4">
      <c r="A3921" s="83" t="s">
        <v>10840</v>
      </c>
      <c r="B3921" s="83" t="s">
        <v>5015</v>
      </c>
      <c r="C3921" s="83" t="s">
        <v>10844</v>
      </c>
      <c r="D3921" s="83" t="s">
        <v>10842</v>
      </c>
    </row>
    <row r="3922" spans="1:4">
      <c r="A3922" s="83" t="s">
        <v>10840</v>
      </c>
      <c r="B3922" s="83" t="s">
        <v>5010</v>
      </c>
      <c r="C3922" s="83" t="s">
        <v>10845</v>
      </c>
      <c r="D3922" s="83" t="s">
        <v>10842</v>
      </c>
    </row>
    <row r="3923" spans="1:4">
      <c r="A3923" s="83" t="s">
        <v>10846</v>
      </c>
      <c r="B3923" s="83" t="s">
        <v>5017</v>
      </c>
      <c r="C3923" s="83" t="s">
        <v>10847</v>
      </c>
      <c r="D3923" s="83" t="s">
        <v>10848</v>
      </c>
    </row>
    <row r="3924" spans="1:4">
      <c r="A3924" s="83" t="s">
        <v>10846</v>
      </c>
      <c r="B3924" s="83" t="s">
        <v>5012</v>
      </c>
      <c r="C3924" s="83" t="s">
        <v>10849</v>
      </c>
      <c r="D3924" s="83" t="s">
        <v>10848</v>
      </c>
    </row>
    <row r="3925" spans="1:4">
      <c r="A3925" s="83" t="s">
        <v>10846</v>
      </c>
      <c r="B3925" s="83" t="s">
        <v>5015</v>
      </c>
      <c r="C3925" s="83" t="s">
        <v>10850</v>
      </c>
      <c r="D3925" s="83" t="s">
        <v>10848</v>
      </c>
    </row>
    <row r="3926" spans="1:4">
      <c r="A3926" s="83" t="s">
        <v>10846</v>
      </c>
      <c r="B3926" s="83" t="s">
        <v>5010</v>
      </c>
      <c r="C3926" s="83" t="s">
        <v>10851</v>
      </c>
      <c r="D3926" s="83" t="s">
        <v>10848</v>
      </c>
    </row>
    <row r="3927" spans="1:4">
      <c r="A3927" s="83" t="s">
        <v>10852</v>
      </c>
      <c r="B3927" s="83" t="s">
        <v>5017</v>
      </c>
      <c r="C3927" s="83" t="s">
        <v>10853</v>
      </c>
      <c r="D3927" s="83" t="s">
        <v>10854</v>
      </c>
    </row>
    <row r="3928" spans="1:4">
      <c r="A3928" s="83" t="s">
        <v>10852</v>
      </c>
      <c r="B3928" s="83" t="s">
        <v>5012</v>
      </c>
      <c r="C3928" s="83" t="s">
        <v>10855</v>
      </c>
      <c r="D3928" s="83" t="s">
        <v>10854</v>
      </c>
    </row>
    <row r="3929" spans="1:4">
      <c r="A3929" s="83" t="s">
        <v>10852</v>
      </c>
      <c r="B3929" s="83" t="s">
        <v>5015</v>
      </c>
      <c r="C3929" s="83" t="s">
        <v>10856</v>
      </c>
      <c r="D3929" s="83" t="s">
        <v>10854</v>
      </c>
    </row>
    <row r="3930" spans="1:4">
      <c r="A3930" s="83" t="s">
        <v>10852</v>
      </c>
      <c r="B3930" s="83" t="s">
        <v>5010</v>
      </c>
      <c r="C3930" s="83" t="s">
        <v>10857</v>
      </c>
      <c r="D3930" s="83" t="s">
        <v>10854</v>
      </c>
    </row>
    <row r="3931" spans="1:4">
      <c r="A3931" s="83" t="s">
        <v>10858</v>
      </c>
      <c r="B3931" s="83" t="s">
        <v>5017</v>
      </c>
      <c r="C3931" s="83" t="s">
        <v>10859</v>
      </c>
      <c r="D3931" s="83" t="s">
        <v>10860</v>
      </c>
    </row>
    <row r="3932" spans="1:4">
      <c r="A3932" s="83" t="s">
        <v>10858</v>
      </c>
      <c r="B3932" s="83" t="s">
        <v>5012</v>
      </c>
      <c r="C3932" s="83" t="s">
        <v>10861</v>
      </c>
      <c r="D3932" s="83" t="s">
        <v>10860</v>
      </c>
    </row>
    <row r="3933" spans="1:4">
      <c r="A3933" s="83" t="s">
        <v>10858</v>
      </c>
      <c r="B3933" s="83" t="s">
        <v>5015</v>
      </c>
      <c r="C3933" s="83" t="s">
        <v>10862</v>
      </c>
      <c r="D3933" s="83" t="s">
        <v>10860</v>
      </c>
    </row>
    <row r="3934" spans="1:4">
      <c r="A3934" s="83" t="s">
        <v>10858</v>
      </c>
      <c r="B3934" s="83" t="s">
        <v>5010</v>
      </c>
      <c r="C3934" s="83" t="s">
        <v>10863</v>
      </c>
      <c r="D3934" s="83" t="s">
        <v>10860</v>
      </c>
    </row>
    <row r="3935" spans="1:4">
      <c r="A3935" s="83" t="s">
        <v>10864</v>
      </c>
      <c r="B3935" s="83" t="s">
        <v>5017</v>
      </c>
      <c r="C3935" s="83" t="s">
        <v>10865</v>
      </c>
      <c r="D3935" s="83" t="s">
        <v>10866</v>
      </c>
    </row>
    <row r="3936" spans="1:4">
      <c r="A3936" s="83" t="s">
        <v>10864</v>
      </c>
      <c r="B3936" s="83" t="s">
        <v>5012</v>
      </c>
      <c r="C3936" s="83" t="s">
        <v>10867</v>
      </c>
      <c r="D3936" s="83" t="s">
        <v>10866</v>
      </c>
    </row>
    <row r="3937" spans="1:4">
      <c r="A3937" s="83" t="s">
        <v>10864</v>
      </c>
      <c r="B3937" s="83" t="s">
        <v>5015</v>
      </c>
      <c r="C3937" s="83" t="s">
        <v>10868</v>
      </c>
      <c r="D3937" s="83" t="s">
        <v>10866</v>
      </c>
    </row>
    <row r="3938" spans="1:4">
      <c r="A3938" s="83" t="s">
        <v>10864</v>
      </c>
      <c r="B3938" s="83" t="s">
        <v>5010</v>
      </c>
      <c r="C3938" s="83" t="s">
        <v>10869</v>
      </c>
      <c r="D3938" s="83" t="s">
        <v>10866</v>
      </c>
    </row>
    <row r="3939" spans="1:4">
      <c r="A3939" s="83" t="s">
        <v>10870</v>
      </c>
      <c r="B3939" s="83" t="s">
        <v>5017</v>
      </c>
      <c r="C3939" s="83" t="s">
        <v>10871</v>
      </c>
      <c r="D3939" s="83" t="s">
        <v>10872</v>
      </c>
    </row>
    <row r="3940" spans="1:4">
      <c r="A3940" s="83" t="s">
        <v>10870</v>
      </c>
      <c r="B3940" s="83" t="s">
        <v>5012</v>
      </c>
      <c r="C3940" s="83" t="s">
        <v>10873</v>
      </c>
      <c r="D3940" s="83" t="s">
        <v>10872</v>
      </c>
    </row>
    <row r="3941" spans="1:4">
      <c r="A3941" s="83" t="s">
        <v>10870</v>
      </c>
      <c r="B3941" s="83" t="s">
        <v>5015</v>
      </c>
      <c r="C3941" s="83" t="s">
        <v>10874</v>
      </c>
      <c r="D3941" s="83" t="s">
        <v>10872</v>
      </c>
    </row>
    <row r="3942" spans="1:4">
      <c r="A3942" s="83" t="s">
        <v>10870</v>
      </c>
      <c r="B3942" s="83" t="s">
        <v>5010</v>
      </c>
      <c r="C3942" s="83" t="s">
        <v>10875</v>
      </c>
      <c r="D3942" s="83" t="s">
        <v>10872</v>
      </c>
    </row>
    <row r="3943" spans="1:4">
      <c r="A3943" s="83" t="s">
        <v>10876</v>
      </c>
      <c r="B3943" s="83" t="s">
        <v>5017</v>
      </c>
      <c r="C3943" s="83" t="s">
        <v>10877</v>
      </c>
      <c r="D3943" s="83" t="s">
        <v>10878</v>
      </c>
    </row>
    <row r="3944" spans="1:4">
      <c r="A3944" s="83" t="s">
        <v>10876</v>
      </c>
      <c r="B3944" s="83" t="s">
        <v>5012</v>
      </c>
      <c r="C3944" s="83" t="s">
        <v>10879</v>
      </c>
      <c r="D3944" s="83" t="s">
        <v>10878</v>
      </c>
    </row>
    <row r="3945" spans="1:4">
      <c r="A3945" s="83" t="s">
        <v>10876</v>
      </c>
      <c r="B3945" s="83" t="s">
        <v>5015</v>
      </c>
      <c r="C3945" s="83" t="s">
        <v>10880</v>
      </c>
      <c r="D3945" s="83" t="s">
        <v>10878</v>
      </c>
    </row>
    <row r="3946" spans="1:4">
      <c r="A3946" s="83" t="s">
        <v>10876</v>
      </c>
      <c r="B3946" s="83" t="s">
        <v>5010</v>
      </c>
      <c r="C3946" s="83" t="s">
        <v>10881</v>
      </c>
      <c r="D3946" s="83" t="s">
        <v>10878</v>
      </c>
    </row>
    <row r="3947" spans="1:4">
      <c r="A3947" s="83" t="s">
        <v>10882</v>
      </c>
      <c r="B3947" s="83" t="s">
        <v>5017</v>
      </c>
      <c r="C3947" s="83" t="s">
        <v>10883</v>
      </c>
      <c r="D3947" s="83" t="s">
        <v>10884</v>
      </c>
    </row>
    <row r="3948" spans="1:4">
      <c r="A3948" s="83" t="s">
        <v>10882</v>
      </c>
      <c r="B3948" s="83" t="s">
        <v>5012</v>
      </c>
      <c r="C3948" s="83" t="s">
        <v>10885</v>
      </c>
      <c r="D3948" s="83" t="s">
        <v>10884</v>
      </c>
    </row>
    <row r="3949" spans="1:4">
      <c r="A3949" s="83" t="s">
        <v>10882</v>
      </c>
      <c r="B3949" s="83" t="s">
        <v>5015</v>
      </c>
      <c r="C3949" s="83" t="s">
        <v>10886</v>
      </c>
      <c r="D3949" s="83" t="s">
        <v>10884</v>
      </c>
    </row>
    <row r="3950" spans="1:4">
      <c r="A3950" s="83" t="s">
        <v>10882</v>
      </c>
      <c r="B3950" s="83" t="s">
        <v>5010</v>
      </c>
      <c r="C3950" s="83" t="s">
        <v>10887</v>
      </c>
      <c r="D3950" s="83" t="s">
        <v>10884</v>
      </c>
    </row>
    <row r="3951" spans="1:4">
      <c r="A3951" s="83" t="s">
        <v>10888</v>
      </c>
      <c r="B3951" s="83" t="s">
        <v>5017</v>
      </c>
      <c r="C3951" s="83" t="s">
        <v>10889</v>
      </c>
      <c r="D3951" s="83" t="s">
        <v>10890</v>
      </c>
    </row>
    <row r="3952" spans="1:4">
      <c r="A3952" s="83" t="s">
        <v>10888</v>
      </c>
      <c r="B3952" s="83" t="s">
        <v>5012</v>
      </c>
      <c r="C3952" s="83" t="s">
        <v>10891</v>
      </c>
      <c r="D3952" s="83" t="s">
        <v>10890</v>
      </c>
    </row>
    <row r="3953" spans="1:4">
      <c r="A3953" s="83" t="s">
        <v>10888</v>
      </c>
      <c r="B3953" s="83" t="s">
        <v>5015</v>
      </c>
      <c r="C3953" s="83" t="s">
        <v>10892</v>
      </c>
      <c r="D3953" s="83" t="s">
        <v>10890</v>
      </c>
    </row>
    <row r="3954" spans="1:4">
      <c r="A3954" s="83" t="s">
        <v>10888</v>
      </c>
      <c r="B3954" s="83" t="s">
        <v>5010</v>
      </c>
      <c r="C3954" s="83" t="s">
        <v>10893</v>
      </c>
      <c r="D3954" s="83" t="s">
        <v>10890</v>
      </c>
    </row>
    <row r="3955" spans="1:4">
      <c r="A3955" s="83" t="s">
        <v>10894</v>
      </c>
      <c r="B3955" s="83" t="s">
        <v>5017</v>
      </c>
      <c r="C3955" s="83" t="s">
        <v>10895</v>
      </c>
      <c r="D3955" s="83" t="s">
        <v>10896</v>
      </c>
    </row>
    <row r="3956" spans="1:4">
      <c r="A3956" s="83" t="s">
        <v>10894</v>
      </c>
      <c r="B3956" s="83" t="s">
        <v>5012</v>
      </c>
      <c r="C3956" s="83" t="s">
        <v>10897</v>
      </c>
      <c r="D3956" s="83" t="s">
        <v>10896</v>
      </c>
    </row>
    <row r="3957" spans="1:4">
      <c r="A3957" s="83" t="s">
        <v>10894</v>
      </c>
      <c r="B3957" s="83" t="s">
        <v>5015</v>
      </c>
      <c r="C3957" s="83" t="s">
        <v>10898</v>
      </c>
      <c r="D3957" s="83" t="s">
        <v>10896</v>
      </c>
    </row>
    <row r="3958" spans="1:4">
      <c r="A3958" s="83" t="s">
        <v>10894</v>
      </c>
      <c r="B3958" s="83" t="s">
        <v>5010</v>
      </c>
      <c r="C3958" s="83" t="s">
        <v>10899</v>
      </c>
      <c r="D3958" s="83" t="s">
        <v>10896</v>
      </c>
    </row>
    <row r="3959" spans="1:4">
      <c r="A3959" s="83" t="s">
        <v>10900</v>
      </c>
      <c r="B3959" s="83" t="s">
        <v>5017</v>
      </c>
      <c r="C3959" s="83" t="s">
        <v>10901</v>
      </c>
      <c r="D3959" s="83" t="s">
        <v>10902</v>
      </c>
    </row>
    <row r="3960" spans="1:4">
      <c r="A3960" s="83" t="s">
        <v>10900</v>
      </c>
      <c r="B3960" s="83" t="s">
        <v>5012</v>
      </c>
      <c r="C3960" s="83" t="s">
        <v>10903</v>
      </c>
      <c r="D3960" s="83" t="s">
        <v>10902</v>
      </c>
    </row>
    <row r="3961" spans="1:4">
      <c r="A3961" s="83" t="s">
        <v>10900</v>
      </c>
      <c r="B3961" s="83" t="s">
        <v>5015</v>
      </c>
      <c r="C3961" s="83" t="s">
        <v>10904</v>
      </c>
      <c r="D3961" s="83" t="s">
        <v>10902</v>
      </c>
    </row>
    <row r="3962" spans="1:4">
      <c r="A3962" s="83" t="s">
        <v>10900</v>
      </c>
      <c r="B3962" s="83" t="s">
        <v>5010</v>
      </c>
      <c r="C3962" s="83" t="s">
        <v>10905</v>
      </c>
      <c r="D3962" s="83" t="s">
        <v>10902</v>
      </c>
    </row>
    <row r="3963" spans="1:4">
      <c r="A3963" s="83" t="s">
        <v>10906</v>
      </c>
      <c r="B3963" s="83" t="s">
        <v>5017</v>
      </c>
      <c r="C3963" s="83" t="s">
        <v>10907</v>
      </c>
      <c r="D3963" s="83" t="s">
        <v>10908</v>
      </c>
    </row>
    <row r="3964" spans="1:4">
      <c r="A3964" s="83" t="s">
        <v>10906</v>
      </c>
      <c r="B3964" s="83" t="s">
        <v>5012</v>
      </c>
      <c r="C3964" s="83" t="s">
        <v>10909</v>
      </c>
      <c r="D3964" s="83" t="s">
        <v>10908</v>
      </c>
    </row>
    <row r="3965" spans="1:4">
      <c r="A3965" s="83" t="s">
        <v>10906</v>
      </c>
      <c r="B3965" s="83" t="s">
        <v>5015</v>
      </c>
      <c r="C3965" s="83" t="s">
        <v>10910</v>
      </c>
      <c r="D3965" s="83" t="s">
        <v>10908</v>
      </c>
    </row>
    <row r="3966" spans="1:4">
      <c r="A3966" s="83" t="s">
        <v>10906</v>
      </c>
      <c r="B3966" s="83" t="s">
        <v>5010</v>
      </c>
      <c r="C3966" s="83" t="s">
        <v>10911</v>
      </c>
      <c r="D3966" s="83" t="s">
        <v>10908</v>
      </c>
    </row>
    <row r="3967" spans="1:4">
      <c r="A3967" s="83" t="s">
        <v>10912</v>
      </c>
      <c r="B3967" s="83" t="s">
        <v>5017</v>
      </c>
      <c r="C3967" s="83" t="s">
        <v>10913</v>
      </c>
      <c r="D3967" s="83" t="s">
        <v>10914</v>
      </c>
    </row>
    <row r="3968" spans="1:4">
      <c r="A3968" s="83" t="s">
        <v>10912</v>
      </c>
      <c r="B3968" s="83" t="s">
        <v>5012</v>
      </c>
      <c r="C3968" s="83" t="s">
        <v>10915</v>
      </c>
      <c r="D3968" s="83" t="s">
        <v>10914</v>
      </c>
    </row>
    <row r="3969" spans="1:4">
      <c r="A3969" s="83" t="s">
        <v>10912</v>
      </c>
      <c r="B3969" s="83" t="s">
        <v>5015</v>
      </c>
      <c r="C3969" s="83" t="s">
        <v>10916</v>
      </c>
      <c r="D3969" s="83" t="s">
        <v>10914</v>
      </c>
    </row>
    <row r="3970" spans="1:4">
      <c r="A3970" s="83" t="s">
        <v>10912</v>
      </c>
      <c r="B3970" s="83" t="s">
        <v>5010</v>
      </c>
      <c r="C3970" s="83" t="s">
        <v>10917</v>
      </c>
      <c r="D3970" s="83" t="s">
        <v>10914</v>
      </c>
    </row>
    <row r="3971" spans="1:4">
      <c r="A3971" s="83" t="s">
        <v>10918</v>
      </c>
      <c r="B3971" s="83" t="s">
        <v>5017</v>
      </c>
      <c r="C3971" s="83" t="s">
        <v>10919</v>
      </c>
      <c r="D3971" s="83" t="s">
        <v>10920</v>
      </c>
    </row>
    <row r="3972" spans="1:4">
      <c r="A3972" s="83" t="s">
        <v>10918</v>
      </c>
      <c r="B3972" s="83" t="s">
        <v>5012</v>
      </c>
      <c r="C3972" s="83" t="s">
        <v>10921</v>
      </c>
      <c r="D3972" s="83" t="s">
        <v>10920</v>
      </c>
    </row>
    <row r="3973" spans="1:4">
      <c r="A3973" s="83" t="s">
        <v>10918</v>
      </c>
      <c r="B3973" s="83" t="s">
        <v>5015</v>
      </c>
      <c r="C3973" s="83" t="s">
        <v>10922</v>
      </c>
      <c r="D3973" s="83" t="s">
        <v>10920</v>
      </c>
    </row>
    <row r="3974" spans="1:4">
      <c r="A3974" s="83" t="s">
        <v>10918</v>
      </c>
      <c r="B3974" s="83" t="s">
        <v>5010</v>
      </c>
      <c r="C3974" s="83" t="s">
        <v>10923</v>
      </c>
      <c r="D3974" s="83" t="s">
        <v>10920</v>
      </c>
    </row>
    <row r="3975" spans="1:4">
      <c r="A3975" s="83" t="s">
        <v>10924</v>
      </c>
      <c r="B3975" s="83" t="s">
        <v>5017</v>
      </c>
      <c r="C3975" s="83" t="s">
        <v>10925</v>
      </c>
      <c r="D3975" s="83" t="s">
        <v>10926</v>
      </c>
    </row>
    <row r="3976" spans="1:4">
      <c r="A3976" s="83" t="s">
        <v>10924</v>
      </c>
      <c r="B3976" s="83" t="s">
        <v>5012</v>
      </c>
      <c r="C3976" s="83" t="s">
        <v>10927</v>
      </c>
      <c r="D3976" s="83" t="s">
        <v>10926</v>
      </c>
    </row>
    <row r="3977" spans="1:4">
      <c r="A3977" s="83" t="s">
        <v>10924</v>
      </c>
      <c r="B3977" s="83" t="s">
        <v>5015</v>
      </c>
      <c r="C3977" s="83" t="s">
        <v>10928</v>
      </c>
      <c r="D3977" s="83" t="s">
        <v>10926</v>
      </c>
    </row>
    <row r="3978" spans="1:4">
      <c r="A3978" s="83" t="s">
        <v>10924</v>
      </c>
      <c r="B3978" s="83" t="s">
        <v>5010</v>
      </c>
      <c r="C3978" s="83" t="s">
        <v>10929</v>
      </c>
      <c r="D3978" s="83" t="s">
        <v>10926</v>
      </c>
    </row>
    <row r="3979" spans="1:4">
      <c r="A3979" s="83" t="s">
        <v>10930</v>
      </c>
      <c r="B3979" s="83" t="s">
        <v>5017</v>
      </c>
      <c r="C3979" s="83" t="s">
        <v>10931</v>
      </c>
      <c r="D3979" s="83" t="s">
        <v>10932</v>
      </c>
    </row>
    <row r="3980" spans="1:4">
      <c r="A3980" s="83" t="s">
        <v>10930</v>
      </c>
      <c r="B3980" s="83" t="s">
        <v>5012</v>
      </c>
      <c r="C3980" s="83" t="s">
        <v>10933</v>
      </c>
      <c r="D3980" s="83" t="s">
        <v>10932</v>
      </c>
    </row>
    <row r="3981" spans="1:4">
      <c r="A3981" s="83" t="s">
        <v>10930</v>
      </c>
      <c r="B3981" s="83" t="s">
        <v>5015</v>
      </c>
      <c r="C3981" s="83" t="s">
        <v>10934</v>
      </c>
      <c r="D3981" s="83" t="s">
        <v>10932</v>
      </c>
    </row>
    <row r="3982" spans="1:4">
      <c r="A3982" s="83" t="s">
        <v>10930</v>
      </c>
      <c r="B3982" s="83" t="s">
        <v>5010</v>
      </c>
      <c r="C3982" s="83" t="s">
        <v>10935</v>
      </c>
      <c r="D3982" s="83" t="s">
        <v>10932</v>
      </c>
    </row>
    <row r="3983" spans="1:4">
      <c r="A3983" s="83" t="s">
        <v>10936</v>
      </c>
      <c r="B3983" s="83" t="s">
        <v>5017</v>
      </c>
      <c r="C3983" s="83" t="s">
        <v>10937</v>
      </c>
      <c r="D3983" s="83" t="s">
        <v>10938</v>
      </c>
    </row>
    <row r="3984" spans="1:4">
      <c r="A3984" s="83" t="s">
        <v>10936</v>
      </c>
      <c r="B3984" s="83" t="s">
        <v>5012</v>
      </c>
      <c r="C3984" s="83" t="s">
        <v>10939</v>
      </c>
      <c r="D3984" s="83" t="s">
        <v>10938</v>
      </c>
    </row>
    <row r="3985" spans="1:4">
      <c r="A3985" s="83" t="s">
        <v>10936</v>
      </c>
      <c r="B3985" s="83" t="s">
        <v>5015</v>
      </c>
      <c r="C3985" s="83" t="s">
        <v>10940</v>
      </c>
      <c r="D3985" s="83" t="s">
        <v>10938</v>
      </c>
    </row>
    <row r="3986" spans="1:4">
      <c r="A3986" s="83" t="s">
        <v>10936</v>
      </c>
      <c r="B3986" s="83" t="s">
        <v>5010</v>
      </c>
      <c r="C3986" s="83" t="s">
        <v>10941</v>
      </c>
      <c r="D3986" s="83" t="s">
        <v>10938</v>
      </c>
    </row>
    <row r="3987" spans="1:4">
      <c r="A3987" s="83" t="s">
        <v>10942</v>
      </c>
      <c r="B3987" s="83" t="s">
        <v>5017</v>
      </c>
      <c r="C3987" s="83" t="s">
        <v>10943</v>
      </c>
      <c r="D3987" s="83" t="s">
        <v>10944</v>
      </c>
    </row>
    <row r="3988" spans="1:4">
      <c r="A3988" s="83" t="s">
        <v>10942</v>
      </c>
      <c r="B3988" s="83" t="s">
        <v>5012</v>
      </c>
      <c r="C3988" s="83" t="s">
        <v>10945</v>
      </c>
      <c r="D3988" s="83" t="s">
        <v>10944</v>
      </c>
    </row>
    <row r="3989" spans="1:4">
      <c r="A3989" s="83" t="s">
        <v>10942</v>
      </c>
      <c r="B3989" s="83" t="s">
        <v>5015</v>
      </c>
      <c r="C3989" s="83" t="s">
        <v>10946</v>
      </c>
      <c r="D3989" s="83" t="s">
        <v>10944</v>
      </c>
    </row>
    <row r="3990" spans="1:4">
      <c r="A3990" s="83" t="s">
        <v>10942</v>
      </c>
      <c r="B3990" s="83" t="s">
        <v>5010</v>
      </c>
      <c r="C3990" s="83" t="s">
        <v>10947</v>
      </c>
      <c r="D3990" s="83" t="s">
        <v>10944</v>
      </c>
    </row>
    <row r="3991" spans="1:4">
      <c r="A3991" s="83" t="s">
        <v>10948</v>
      </c>
      <c r="B3991" s="83" t="s">
        <v>5017</v>
      </c>
      <c r="C3991" s="83" t="s">
        <v>10949</v>
      </c>
      <c r="D3991" s="83" t="s">
        <v>10950</v>
      </c>
    </row>
    <row r="3992" spans="1:4">
      <c r="A3992" s="83" t="s">
        <v>10948</v>
      </c>
      <c r="B3992" s="83" t="s">
        <v>5012</v>
      </c>
      <c r="C3992" s="83" t="s">
        <v>10951</v>
      </c>
      <c r="D3992" s="83" t="s">
        <v>10950</v>
      </c>
    </row>
    <row r="3993" spans="1:4">
      <c r="A3993" s="83" t="s">
        <v>10948</v>
      </c>
      <c r="B3993" s="83" t="s">
        <v>5015</v>
      </c>
      <c r="C3993" s="83" t="s">
        <v>10952</v>
      </c>
      <c r="D3993" s="83" t="s">
        <v>10950</v>
      </c>
    </row>
    <row r="3994" spans="1:4">
      <c r="A3994" s="83" t="s">
        <v>10948</v>
      </c>
      <c r="B3994" s="83" t="s">
        <v>5010</v>
      </c>
      <c r="C3994" s="83" t="s">
        <v>10953</v>
      </c>
      <c r="D3994" s="83" t="s">
        <v>10950</v>
      </c>
    </row>
    <row r="3995" spans="1:4">
      <c r="A3995" s="83" t="s">
        <v>10954</v>
      </c>
      <c r="B3995" s="83" t="s">
        <v>5017</v>
      </c>
      <c r="C3995" s="83" t="s">
        <v>10955</v>
      </c>
      <c r="D3995" s="83" t="s">
        <v>10956</v>
      </c>
    </row>
    <row r="3996" spans="1:4">
      <c r="A3996" s="83" t="s">
        <v>10954</v>
      </c>
      <c r="B3996" s="83" t="s">
        <v>5012</v>
      </c>
      <c r="C3996" s="83" t="s">
        <v>10957</v>
      </c>
      <c r="D3996" s="83" t="s">
        <v>10956</v>
      </c>
    </row>
    <row r="3997" spans="1:4">
      <c r="A3997" s="83" t="s">
        <v>10954</v>
      </c>
      <c r="B3997" s="83" t="s">
        <v>5015</v>
      </c>
      <c r="C3997" s="83" t="s">
        <v>10958</v>
      </c>
      <c r="D3997" s="83" t="s">
        <v>10956</v>
      </c>
    </row>
    <row r="3998" spans="1:4">
      <c r="A3998" s="83" t="s">
        <v>10954</v>
      </c>
      <c r="B3998" s="83" t="s">
        <v>5010</v>
      </c>
      <c r="C3998" s="83" t="s">
        <v>10959</v>
      </c>
      <c r="D3998" s="83" t="s">
        <v>10956</v>
      </c>
    </row>
    <row r="3999" spans="1:4">
      <c r="A3999" s="83" t="s">
        <v>10960</v>
      </c>
      <c r="B3999" s="83" t="s">
        <v>5017</v>
      </c>
      <c r="C3999" s="83" t="s">
        <v>10961</v>
      </c>
      <c r="D3999" s="83" t="s">
        <v>10962</v>
      </c>
    </row>
    <row r="4000" spans="1:4">
      <c r="A4000" s="83" t="s">
        <v>10960</v>
      </c>
      <c r="B4000" s="83" t="s">
        <v>5012</v>
      </c>
      <c r="C4000" s="83" t="s">
        <v>10963</v>
      </c>
      <c r="D4000" s="83" t="s">
        <v>10962</v>
      </c>
    </row>
    <row r="4001" spans="1:4">
      <c r="A4001" s="83" t="s">
        <v>10960</v>
      </c>
      <c r="B4001" s="83" t="s">
        <v>5015</v>
      </c>
      <c r="C4001" s="83" t="s">
        <v>10964</v>
      </c>
      <c r="D4001" s="83" t="s">
        <v>10962</v>
      </c>
    </row>
    <row r="4002" spans="1:4">
      <c r="A4002" s="83" t="s">
        <v>10960</v>
      </c>
      <c r="B4002" s="83" t="s">
        <v>5010</v>
      </c>
      <c r="C4002" s="83" t="s">
        <v>10965</v>
      </c>
      <c r="D4002" s="83" t="s">
        <v>10962</v>
      </c>
    </row>
    <row r="4003" spans="1:4">
      <c r="A4003" s="83" t="s">
        <v>10966</v>
      </c>
      <c r="B4003" s="83" t="s">
        <v>5017</v>
      </c>
      <c r="C4003" s="83" t="s">
        <v>10967</v>
      </c>
      <c r="D4003" s="83" t="s">
        <v>10968</v>
      </c>
    </row>
    <row r="4004" spans="1:4">
      <c r="A4004" s="83" t="s">
        <v>10966</v>
      </c>
      <c r="B4004" s="83" t="s">
        <v>5012</v>
      </c>
      <c r="C4004" s="83" t="s">
        <v>10969</v>
      </c>
      <c r="D4004" s="83" t="s">
        <v>10968</v>
      </c>
    </row>
    <row r="4005" spans="1:4">
      <c r="A4005" s="83" t="s">
        <v>10966</v>
      </c>
      <c r="B4005" s="83" t="s">
        <v>5015</v>
      </c>
      <c r="C4005" s="83" t="s">
        <v>10970</v>
      </c>
      <c r="D4005" s="83" t="s">
        <v>10968</v>
      </c>
    </row>
    <row r="4006" spans="1:4">
      <c r="A4006" s="83" t="s">
        <v>10966</v>
      </c>
      <c r="B4006" s="83" t="s">
        <v>5010</v>
      </c>
      <c r="C4006" s="83" t="s">
        <v>10971</v>
      </c>
      <c r="D4006" s="83" t="s">
        <v>10968</v>
      </c>
    </row>
    <row r="4007" spans="1:4">
      <c r="A4007" s="83" t="s">
        <v>10972</v>
      </c>
      <c r="B4007" s="83" t="s">
        <v>5017</v>
      </c>
      <c r="C4007" s="83" t="s">
        <v>10973</v>
      </c>
      <c r="D4007" s="83" t="s">
        <v>10974</v>
      </c>
    </row>
    <row r="4008" spans="1:4">
      <c r="A4008" s="83" t="s">
        <v>10972</v>
      </c>
      <c r="B4008" s="83" t="s">
        <v>5012</v>
      </c>
      <c r="C4008" s="83" t="s">
        <v>10975</v>
      </c>
      <c r="D4008" s="83" t="s">
        <v>10974</v>
      </c>
    </row>
    <row r="4009" spans="1:4">
      <c r="A4009" s="83" t="s">
        <v>10972</v>
      </c>
      <c r="B4009" s="83" t="s">
        <v>5015</v>
      </c>
      <c r="C4009" s="83" t="s">
        <v>10976</v>
      </c>
      <c r="D4009" s="83" t="s">
        <v>10974</v>
      </c>
    </row>
    <row r="4010" spans="1:4">
      <c r="A4010" s="83" t="s">
        <v>10972</v>
      </c>
      <c r="B4010" s="83" t="s">
        <v>5010</v>
      </c>
      <c r="C4010" s="83" t="s">
        <v>10977</v>
      </c>
      <c r="D4010" s="83" t="s">
        <v>10974</v>
      </c>
    </row>
    <row r="4011" spans="1:4">
      <c r="A4011" s="83" t="s">
        <v>10978</v>
      </c>
      <c r="B4011" s="83" t="s">
        <v>5017</v>
      </c>
      <c r="C4011" s="83" t="s">
        <v>10979</v>
      </c>
      <c r="D4011" s="83" t="s">
        <v>10980</v>
      </c>
    </row>
    <row r="4012" spans="1:4">
      <c r="A4012" s="83" t="s">
        <v>10978</v>
      </c>
      <c r="B4012" s="83" t="s">
        <v>5012</v>
      </c>
      <c r="C4012" s="83" t="s">
        <v>10981</v>
      </c>
      <c r="D4012" s="83" t="s">
        <v>10980</v>
      </c>
    </row>
    <row r="4013" spans="1:4">
      <c r="A4013" s="83" t="s">
        <v>10978</v>
      </c>
      <c r="B4013" s="83" t="s">
        <v>5015</v>
      </c>
      <c r="C4013" s="83" t="s">
        <v>10982</v>
      </c>
      <c r="D4013" s="83" t="s">
        <v>10980</v>
      </c>
    </row>
    <row r="4014" spans="1:4">
      <c r="A4014" s="83" t="s">
        <v>10978</v>
      </c>
      <c r="B4014" s="83" t="s">
        <v>5010</v>
      </c>
      <c r="C4014" s="83" t="s">
        <v>10983</v>
      </c>
      <c r="D4014" s="83" t="s">
        <v>10980</v>
      </c>
    </row>
    <row r="4015" spans="1:4">
      <c r="A4015" s="83" t="s">
        <v>10984</v>
      </c>
      <c r="B4015" s="83" t="s">
        <v>5017</v>
      </c>
      <c r="C4015" s="83" t="s">
        <v>10985</v>
      </c>
      <c r="D4015" s="83" t="s">
        <v>10986</v>
      </c>
    </row>
    <row r="4016" spans="1:4">
      <c r="A4016" s="83" t="s">
        <v>10984</v>
      </c>
      <c r="B4016" s="83" t="s">
        <v>5012</v>
      </c>
      <c r="C4016" s="83" t="s">
        <v>10987</v>
      </c>
      <c r="D4016" s="83" t="s">
        <v>10986</v>
      </c>
    </row>
    <row r="4017" spans="1:4">
      <c r="A4017" s="83" t="s">
        <v>10984</v>
      </c>
      <c r="B4017" s="83" t="s">
        <v>5015</v>
      </c>
      <c r="C4017" s="83" t="s">
        <v>10988</v>
      </c>
      <c r="D4017" s="83" t="s">
        <v>10986</v>
      </c>
    </row>
    <row r="4018" spans="1:4">
      <c r="A4018" s="83" t="s">
        <v>10984</v>
      </c>
      <c r="B4018" s="83" t="s">
        <v>5010</v>
      </c>
      <c r="C4018" s="83" t="s">
        <v>10989</v>
      </c>
      <c r="D4018" s="83" t="s">
        <v>10986</v>
      </c>
    </row>
    <row r="4019" spans="1:4">
      <c r="A4019" s="83" t="s">
        <v>10990</v>
      </c>
      <c r="B4019" s="83" t="s">
        <v>5017</v>
      </c>
      <c r="C4019" s="83" t="s">
        <v>10991</v>
      </c>
      <c r="D4019" s="83" t="s">
        <v>10992</v>
      </c>
    </row>
    <row r="4020" spans="1:4">
      <c r="A4020" s="83" t="s">
        <v>10990</v>
      </c>
      <c r="B4020" s="83" t="s">
        <v>5012</v>
      </c>
      <c r="C4020" s="83" t="s">
        <v>10993</v>
      </c>
      <c r="D4020" s="83" t="s">
        <v>10992</v>
      </c>
    </row>
    <row r="4021" spans="1:4">
      <c r="A4021" s="83" t="s">
        <v>10990</v>
      </c>
      <c r="B4021" s="83" t="s">
        <v>5015</v>
      </c>
      <c r="C4021" s="83" t="s">
        <v>10994</v>
      </c>
      <c r="D4021" s="83" t="s">
        <v>10992</v>
      </c>
    </row>
    <row r="4022" spans="1:4">
      <c r="A4022" s="83" t="s">
        <v>10990</v>
      </c>
      <c r="B4022" s="83" t="s">
        <v>5010</v>
      </c>
      <c r="C4022" s="83" t="s">
        <v>10995</v>
      </c>
      <c r="D4022" s="83" t="s">
        <v>10992</v>
      </c>
    </row>
    <row r="4023" spans="1:4">
      <c r="A4023" s="83" t="s">
        <v>10996</v>
      </c>
      <c r="B4023" s="83" t="s">
        <v>5017</v>
      </c>
      <c r="C4023" s="83" t="s">
        <v>10997</v>
      </c>
      <c r="D4023" s="83" t="s">
        <v>10998</v>
      </c>
    </row>
    <row r="4024" spans="1:4">
      <c r="A4024" s="83" t="s">
        <v>10996</v>
      </c>
      <c r="B4024" s="83" t="s">
        <v>5012</v>
      </c>
      <c r="C4024" s="83" t="s">
        <v>10999</v>
      </c>
      <c r="D4024" s="83" t="s">
        <v>10998</v>
      </c>
    </row>
    <row r="4025" spans="1:4">
      <c r="A4025" s="83" t="s">
        <v>10996</v>
      </c>
      <c r="B4025" s="83" t="s">
        <v>5015</v>
      </c>
      <c r="C4025" s="83" t="s">
        <v>11000</v>
      </c>
      <c r="D4025" s="83" t="s">
        <v>10998</v>
      </c>
    </row>
    <row r="4026" spans="1:4">
      <c r="A4026" s="83" t="s">
        <v>10996</v>
      </c>
      <c r="B4026" s="83" t="s">
        <v>5010</v>
      </c>
      <c r="C4026" s="83" t="s">
        <v>11001</v>
      </c>
      <c r="D4026" s="83" t="s">
        <v>10998</v>
      </c>
    </row>
    <row r="4027" spans="1:4">
      <c r="A4027" s="83" t="s">
        <v>11002</v>
      </c>
      <c r="B4027" s="83" t="s">
        <v>5017</v>
      </c>
      <c r="C4027" s="83" t="s">
        <v>11003</v>
      </c>
      <c r="D4027" s="83" t="s">
        <v>11004</v>
      </c>
    </row>
    <row r="4028" spans="1:4">
      <c r="A4028" s="83" t="s">
        <v>11002</v>
      </c>
      <c r="B4028" s="83" t="s">
        <v>5012</v>
      </c>
      <c r="C4028" s="83" t="s">
        <v>11005</v>
      </c>
      <c r="D4028" s="83" t="s">
        <v>11004</v>
      </c>
    </row>
    <row r="4029" spans="1:4">
      <c r="A4029" s="83" t="s">
        <v>11002</v>
      </c>
      <c r="B4029" s="83" t="s">
        <v>5015</v>
      </c>
      <c r="C4029" s="83" t="s">
        <v>11006</v>
      </c>
      <c r="D4029" s="83" t="s">
        <v>11004</v>
      </c>
    </row>
    <row r="4030" spans="1:4">
      <c r="A4030" s="83" t="s">
        <v>11002</v>
      </c>
      <c r="B4030" s="83" t="s">
        <v>5010</v>
      </c>
      <c r="C4030" s="83" t="s">
        <v>11007</v>
      </c>
      <c r="D4030" s="83" t="s">
        <v>11004</v>
      </c>
    </row>
    <row r="4031" spans="1:4">
      <c r="A4031" s="83" t="s">
        <v>11008</v>
      </c>
      <c r="B4031" s="83" t="s">
        <v>5017</v>
      </c>
      <c r="C4031" s="83" t="s">
        <v>11009</v>
      </c>
      <c r="D4031" s="83" t="s">
        <v>11010</v>
      </c>
    </row>
    <row r="4032" spans="1:4">
      <c r="A4032" s="83" t="s">
        <v>11008</v>
      </c>
      <c r="B4032" s="83" t="s">
        <v>5012</v>
      </c>
      <c r="C4032" s="83" t="s">
        <v>11011</v>
      </c>
      <c r="D4032" s="83" t="s">
        <v>11010</v>
      </c>
    </row>
    <row r="4033" spans="1:4">
      <c r="A4033" s="83" t="s">
        <v>11008</v>
      </c>
      <c r="B4033" s="83" t="s">
        <v>5015</v>
      </c>
      <c r="C4033" s="83" t="s">
        <v>11012</v>
      </c>
      <c r="D4033" s="83" t="s">
        <v>11010</v>
      </c>
    </row>
    <row r="4034" spans="1:4">
      <c r="A4034" s="83" t="s">
        <v>11008</v>
      </c>
      <c r="B4034" s="83" t="s">
        <v>5010</v>
      </c>
      <c r="C4034" s="83" t="s">
        <v>11013</v>
      </c>
      <c r="D4034" s="83" t="s">
        <v>11010</v>
      </c>
    </row>
    <row r="4035" spans="1:4">
      <c r="A4035" s="83" t="s">
        <v>11014</v>
      </c>
      <c r="B4035" s="83" t="s">
        <v>5017</v>
      </c>
      <c r="C4035" s="83" t="s">
        <v>11015</v>
      </c>
      <c r="D4035" s="83" t="s">
        <v>11016</v>
      </c>
    </row>
    <row r="4036" spans="1:4">
      <c r="A4036" s="83" t="s">
        <v>11014</v>
      </c>
      <c r="B4036" s="83" t="s">
        <v>5012</v>
      </c>
      <c r="C4036" s="83" t="s">
        <v>11017</v>
      </c>
      <c r="D4036" s="83" t="s">
        <v>11016</v>
      </c>
    </row>
    <row r="4037" spans="1:4">
      <c r="A4037" s="83" t="s">
        <v>11014</v>
      </c>
      <c r="B4037" s="83" t="s">
        <v>5015</v>
      </c>
      <c r="C4037" s="83" t="s">
        <v>11018</v>
      </c>
      <c r="D4037" s="83" t="s">
        <v>11016</v>
      </c>
    </row>
    <row r="4038" spans="1:4">
      <c r="A4038" s="83" t="s">
        <v>11014</v>
      </c>
      <c r="B4038" s="83" t="s">
        <v>5010</v>
      </c>
      <c r="C4038" s="83" t="s">
        <v>11019</v>
      </c>
      <c r="D4038" s="83" t="s">
        <v>11016</v>
      </c>
    </row>
    <row r="4039" spans="1:4">
      <c r="A4039" s="83" t="s">
        <v>11020</v>
      </c>
      <c r="B4039" s="83" t="s">
        <v>5017</v>
      </c>
      <c r="C4039" s="83" t="s">
        <v>11021</v>
      </c>
      <c r="D4039" s="83" t="s">
        <v>11022</v>
      </c>
    </row>
    <row r="4040" spans="1:4">
      <c r="A4040" s="83" t="s">
        <v>11020</v>
      </c>
      <c r="B4040" s="83" t="s">
        <v>5012</v>
      </c>
      <c r="C4040" s="83" t="s">
        <v>11023</v>
      </c>
      <c r="D4040" s="83" t="s">
        <v>11022</v>
      </c>
    </row>
    <row r="4041" spans="1:4">
      <c r="A4041" s="83" t="s">
        <v>11020</v>
      </c>
      <c r="B4041" s="83" t="s">
        <v>5015</v>
      </c>
      <c r="C4041" s="83" t="s">
        <v>11024</v>
      </c>
      <c r="D4041" s="83" t="s">
        <v>11022</v>
      </c>
    </row>
    <row r="4042" spans="1:4">
      <c r="A4042" s="83" t="s">
        <v>11020</v>
      </c>
      <c r="B4042" s="83" t="s">
        <v>5010</v>
      </c>
      <c r="C4042" s="83" t="s">
        <v>11025</v>
      </c>
      <c r="D4042" s="83" t="s">
        <v>11022</v>
      </c>
    </row>
    <row r="4043" spans="1:4">
      <c r="A4043" s="83" t="s">
        <v>11026</v>
      </c>
      <c r="B4043" s="83" t="s">
        <v>5017</v>
      </c>
      <c r="C4043" s="83" t="s">
        <v>11027</v>
      </c>
      <c r="D4043" s="83" t="s">
        <v>11028</v>
      </c>
    </row>
    <row r="4044" spans="1:4">
      <c r="A4044" s="83" t="s">
        <v>11026</v>
      </c>
      <c r="B4044" s="83" t="s">
        <v>5012</v>
      </c>
      <c r="C4044" s="83" t="s">
        <v>11029</v>
      </c>
      <c r="D4044" s="83" t="s">
        <v>11028</v>
      </c>
    </row>
    <row r="4045" spans="1:4">
      <c r="A4045" s="83" t="s">
        <v>11026</v>
      </c>
      <c r="B4045" s="83" t="s">
        <v>5015</v>
      </c>
      <c r="C4045" s="83" t="s">
        <v>11030</v>
      </c>
      <c r="D4045" s="83" t="s">
        <v>11028</v>
      </c>
    </row>
    <row r="4046" spans="1:4">
      <c r="A4046" s="83" t="s">
        <v>11026</v>
      </c>
      <c r="B4046" s="83" t="s">
        <v>5010</v>
      </c>
      <c r="C4046" s="83" t="s">
        <v>11031</v>
      </c>
      <c r="D4046" s="83" t="s">
        <v>11028</v>
      </c>
    </row>
    <row r="4047" spans="1:4">
      <c r="A4047" s="83" t="s">
        <v>11032</v>
      </c>
      <c r="B4047" s="83" t="s">
        <v>5017</v>
      </c>
      <c r="C4047" s="83" t="s">
        <v>11033</v>
      </c>
      <c r="D4047" s="83" t="s">
        <v>11034</v>
      </c>
    </row>
    <row r="4048" spans="1:4">
      <c r="A4048" s="83" t="s">
        <v>11032</v>
      </c>
      <c r="B4048" s="83" t="s">
        <v>5012</v>
      </c>
      <c r="C4048" s="83" t="s">
        <v>11035</v>
      </c>
      <c r="D4048" s="83" t="s">
        <v>11034</v>
      </c>
    </row>
    <row r="4049" spans="1:4">
      <c r="A4049" s="83" t="s">
        <v>11032</v>
      </c>
      <c r="B4049" s="83" t="s">
        <v>5015</v>
      </c>
      <c r="C4049" s="83" t="s">
        <v>11036</v>
      </c>
      <c r="D4049" s="83" t="s">
        <v>11034</v>
      </c>
    </row>
    <row r="4050" spans="1:4">
      <c r="A4050" s="83" t="s">
        <v>11032</v>
      </c>
      <c r="B4050" s="83" t="s">
        <v>5010</v>
      </c>
      <c r="C4050" s="83" t="s">
        <v>11037</v>
      </c>
      <c r="D4050" s="83" t="s">
        <v>11034</v>
      </c>
    </row>
    <row r="4051" spans="1:4">
      <c r="A4051" s="83" t="s">
        <v>11038</v>
      </c>
      <c r="B4051" s="83" t="s">
        <v>5017</v>
      </c>
      <c r="C4051" s="83" t="s">
        <v>11039</v>
      </c>
      <c r="D4051" s="83" t="s">
        <v>11040</v>
      </c>
    </row>
    <row r="4052" spans="1:4">
      <c r="A4052" s="83" t="s">
        <v>11038</v>
      </c>
      <c r="B4052" s="83" t="s">
        <v>5012</v>
      </c>
      <c r="C4052" s="83" t="s">
        <v>11041</v>
      </c>
      <c r="D4052" s="83" t="s">
        <v>11040</v>
      </c>
    </row>
    <row r="4053" spans="1:4">
      <c r="A4053" s="83" t="s">
        <v>11038</v>
      </c>
      <c r="B4053" s="83" t="s">
        <v>5015</v>
      </c>
      <c r="C4053" s="83" t="s">
        <v>11042</v>
      </c>
      <c r="D4053" s="83" t="s">
        <v>11040</v>
      </c>
    </row>
    <row r="4054" spans="1:4">
      <c r="A4054" s="83" t="s">
        <v>11038</v>
      </c>
      <c r="B4054" s="83" t="s">
        <v>5010</v>
      </c>
      <c r="C4054" s="83" t="s">
        <v>11043</v>
      </c>
      <c r="D4054" s="83" t="s">
        <v>11040</v>
      </c>
    </row>
    <row r="4055" spans="1:4">
      <c r="A4055" s="83" t="s">
        <v>11044</v>
      </c>
      <c r="B4055" s="83" t="s">
        <v>5017</v>
      </c>
      <c r="C4055" s="83" t="s">
        <v>11045</v>
      </c>
      <c r="D4055" s="83" t="s">
        <v>11046</v>
      </c>
    </row>
    <row r="4056" spans="1:4">
      <c r="A4056" s="83" t="s">
        <v>11044</v>
      </c>
      <c r="B4056" s="83" t="s">
        <v>5012</v>
      </c>
      <c r="C4056" s="83" t="s">
        <v>11047</v>
      </c>
      <c r="D4056" s="83" t="s">
        <v>11046</v>
      </c>
    </row>
    <row r="4057" spans="1:4">
      <c r="A4057" s="83" t="s">
        <v>11044</v>
      </c>
      <c r="B4057" s="83" t="s">
        <v>5015</v>
      </c>
      <c r="C4057" s="83" t="s">
        <v>11048</v>
      </c>
      <c r="D4057" s="83" t="s">
        <v>11046</v>
      </c>
    </row>
    <row r="4058" spans="1:4">
      <c r="A4058" s="83" t="s">
        <v>11044</v>
      </c>
      <c r="B4058" s="83" t="s">
        <v>5010</v>
      </c>
      <c r="C4058" s="83" t="s">
        <v>11049</v>
      </c>
      <c r="D4058" s="83" t="s">
        <v>11046</v>
      </c>
    </row>
    <row r="4059" spans="1:4">
      <c r="A4059" s="83" t="s">
        <v>11050</v>
      </c>
      <c r="B4059" s="83" t="s">
        <v>5017</v>
      </c>
      <c r="C4059" s="83" t="s">
        <v>11051</v>
      </c>
      <c r="D4059" s="83" t="s">
        <v>11052</v>
      </c>
    </row>
    <row r="4060" spans="1:4">
      <c r="A4060" s="83" t="s">
        <v>11050</v>
      </c>
      <c r="B4060" s="83" t="s">
        <v>5012</v>
      </c>
      <c r="C4060" s="83" t="s">
        <v>11053</v>
      </c>
      <c r="D4060" s="83" t="s">
        <v>11052</v>
      </c>
    </row>
    <row r="4061" spans="1:4">
      <c r="A4061" s="83" t="s">
        <v>11050</v>
      </c>
      <c r="B4061" s="83" t="s">
        <v>5015</v>
      </c>
      <c r="C4061" s="83" t="s">
        <v>11054</v>
      </c>
      <c r="D4061" s="83" t="s">
        <v>11052</v>
      </c>
    </row>
    <row r="4062" spans="1:4">
      <c r="A4062" s="83" t="s">
        <v>11050</v>
      </c>
      <c r="B4062" s="83" t="s">
        <v>5010</v>
      </c>
      <c r="C4062" s="83" t="s">
        <v>11055</v>
      </c>
      <c r="D4062" s="83" t="s">
        <v>11052</v>
      </c>
    </row>
    <row r="4063" spans="1:4">
      <c r="A4063" s="83" t="s">
        <v>11056</v>
      </c>
      <c r="B4063" s="83" t="s">
        <v>5017</v>
      </c>
      <c r="C4063" s="83" t="s">
        <v>11057</v>
      </c>
      <c r="D4063" s="83" t="s">
        <v>11058</v>
      </c>
    </row>
    <row r="4064" spans="1:4">
      <c r="A4064" s="83" t="s">
        <v>11056</v>
      </c>
      <c r="B4064" s="83" t="s">
        <v>5012</v>
      </c>
      <c r="C4064" s="83" t="s">
        <v>11059</v>
      </c>
      <c r="D4064" s="83" t="s">
        <v>11058</v>
      </c>
    </row>
    <row r="4065" spans="1:4">
      <c r="A4065" s="83" t="s">
        <v>11056</v>
      </c>
      <c r="B4065" s="83" t="s">
        <v>5015</v>
      </c>
      <c r="C4065" s="83" t="s">
        <v>11060</v>
      </c>
      <c r="D4065" s="83" t="s">
        <v>11058</v>
      </c>
    </row>
    <row r="4066" spans="1:4">
      <c r="A4066" s="83" t="s">
        <v>11056</v>
      </c>
      <c r="B4066" s="83" t="s">
        <v>5010</v>
      </c>
      <c r="C4066" s="83" t="s">
        <v>11061</v>
      </c>
      <c r="D4066" s="83" t="s">
        <v>11058</v>
      </c>
    </row>
    <row r="4067" spans="1:4">
      <c r="A4067" s="83" t="s">
        <v>11062</v>
      </c>
      <c r="B4067" s="83" t="s">
        <v>5017</v>
      </c>
      <c r="C4067" s="83" t="s">
        <v>11063</v>
      </c>
      <c r="D4067" s="83" t="s">
        <v>11064</v>
      </c>
    </row>
    <row r="4068" spans="1:4">
      <c r="A4068" s="83" t="s">
        <v>11062</v>
      </c>
      <c r="B4068" s="83" t="s">
        <v>5012</v>
      </c>
      <c r="C4068" s="83" t="s">
        <v>11065</v>
      </c>
      <c r="D4068" s="83" t="s">
        <v>11064</v>
      </c>
    </row>
    <row r="4069" spans="1:4">
      <c r="A4069" s="83" t="s">
        <v>11062</v>
      </c>
      <c r="B4069" s="83" t="s">
        <v>5015</v>
      </c>
      <c r="C4069" s="83" t="s">
        <v>11066</v>
      </c>
      <c r="D4069" s="83" t="s">
        <v>11064</v>
      </c>
    </row>
    <row r="4070" spans="1:4">
      <c r="A4070" s="83" t="s">
        <v>11062</v>
      </c>
      <c r="B4070" s="83" t="s">
        <v>5010</v>
      </c>
      <c r="C4070" s="83" t="s">
        <v>11067</v>
      </c>
      <c r="D4070" s="83" t="s">
        <v>11064</v>
      </c>
    </row>
    <row r="4071" spans="1:4">
      <c r="A4071" s="83" t="s">
        <v>11068</v>
      </c>
      <c r="B4071" s="83" t="s">
        <v>5017</v>
      </c>
      <c r="C4071" s="83" t="s">
        <v>11069</v>
      </c>
      <c r="D4071" s="83" t="s">
        <v>11070</v>
      </c>
    </row>
    <row r="4072" spans="1:4">
      <c r="A4072" s="83" t="s">
        <v>11068</v>
      </c>
      <c r="B4072" s="83" t="s">
        <v>5012</v>
      </c>
      <c r="C4072" s="83" t="s">
        <v>11071</v>
      </c>
      <c r="D4072" s="83" t="s">
        <v>11070</v>
      </c>
    </row>
    <row r="4073" spans="1:4">
      <c r="A4073" s="83" t="s">
        <v>11068</v>
      </c>
      <c r="B4073" s="83" t="s">
        <v>5015</v>
      </c>
      <c r="C4073" s="83" t="s">
        <v>11072</v>
      </c>
      <c r="D4073" s="83" t="s">
        <v>11070</v>
      </c>
    </row>
    <row r="4074" spans="1:4">
      <c r="A4074" s="83" t="s">
        <v>11068</v>
      </c>
      <c r="B4074" s="83" t="s">
        <v>5010</v>
      </c>
      <c r="C4074" s="83" t="s">
        <v>11073</v>
      </c>
      <c r="D4074" s="83" t="s">
        <v>11070</v>
      </c>
    </row>
    <row r="4075" spans="1:4">
      <c r="A4075" s="83" t="s">
        <v>11074</v>
      </c>
      <c r="B4075" s="83" t="s">
        <v>5017</v>
      </c>
      <c r="C4075" s="83" t="s">
        <v>11075</v>
      </c>
      <c r="D4075" s="83" t="s">
        <v>11076</v>
      </c>
    </row>
    <row r="4076" spans="1:4">
      <c r="A4076" s="83" t="s">
        <v>11074</v>
      </c>
      <c r="B4076" s="83" t="s">
        <v>5012</v>
      </c>
      <c r="C4076" s="83" t="s">
        <v>11077</v>
      </c>
      <c r="D4076" s="83" t="s">
        <v>11076</v>
      </c>
    </row>
    <row r="4077" spans="1:4">
      <c r="A4077" s="83" t="s">
        <v>11074</v>
      </c>
      <c r="B4077" s="83" t="s">
        <v>5015</v>
      </c>
      <c r="C4077" s="83" t="s">
        <v>11078</v>
      </c>
      <c r="D4077" s="83" t="s">
        <v>11076</v>
      </c>
    </row>
    <row r="4078" spans="1:4">
      <c r="A4078" s="83" t="s">
        <v>11074</v>
      </c>
      <c r="B4078" s="83" t="s">
        <v>5010</v>
      </c>
      <c r="C4078" s="83" t="s">
        <v>11079</v>
      </c>
      <c r="D4078" s="83" t="s">
        <v>11076</v>
      </c>
    </row>
    <row r="4079" spans="1:4">
      <c r="A4079" s="83" t="s">
        <v>11080</v>
      </c>
      <c r="B4079" s="83" t="s">
        <v>5017</v>
      </c>
      <c r="C4079" s="83" t="s">
        <v>11081</v>
      </c>
      <c r="D4079" s="83" t="s">
        <v>11082</v>
      </c>
    </row>
    <row r="4080" spans="1:4">
      <c r="A4080" s="83" t="s">
        <v>11080</v>
      </c>
      <c r="B4080" s="83" t="s">
        <v>5012</v>
      </c>
      <c r="C4080" s="83" t="s">
        <v>11083</v>
      </c>
      <c r="D4080" s="83" t="s">
        <v>11082</v>
      </c>
    </row>
    <row r="4081" spans="1:4">
      <c r="A4081" s="83" t="s">
        <v>11080</v>
      </c>
      <c r="B4081" s="83" t="s">
        <v>5015</v>
      </c>
      <c r="C4081" s="83" t="s">
        <v>11084</v>
      </c>
      <c r="D4081" s="83" t="s">
        <v>11082</v>
      </c>
    </row>
    <row r="4082" spans="1:4">
      <c r="A4082" s="83" t="s">
        <v>11080</v>
      </c>
      <c r="B4082" s="83" t="s">
        <v>5010</v>
      </c>
      <c r="C4082" s="83" t="s">
        <v>11085</v>
      </c>
      <c r="D4082" s="83" t="s">
        <v>11082</v>
      </c>
    </row>
    <row r="4083" spans="1:4">
      <c r="A4083" s="83" t="s">
        <v>11086</v>
      </c>
      <c r="B4083" s="83" t="s">
        <v>5017</v>
      </c>
      <c r="C4083" s="83" t="s">
        <v>11087</v>
      </c>
      <c r="D4083" s="83" t="s">
        <v>11088</v>
      </c>
    </row>
    <row r="4084" spans="1:4">
      <c r="A4084" s="83" t="s">
        <v>11086</v>
      </c>
      <c r="B4084" s="83" t="s">
        <v>5012</v>
      </c>
      <c r="C4084" s="83" t="s">
        <v>11089</v>
      </c>
      <c r="D4084" s="83" t="s">
        <v>11088</v>
      </c>
    </row>
    <row r="4085" spans="1:4">
      <c r="A4085" s="83" t="s">
        <v>11086</v>
      </c>
      <c r="B4085" s="83" t="s">
        <v>5015</v>
      </c>
      <c r="C4085" s="83" t="s">
        <v>11090</v>
      </c>
      <c r="D4085" s="83" t="s">
        <v>11088</v>
      </c>
    </row>
    <row r="4086" spans="1:4">
      <c r="A4086" s="83" t="s">
        <v>11086</v>
      </c>
      <c r="B4086" s="83" t="s">
        <v>5010</v>
      </c>
      <c r="C4086" s="83" t="s">
        <v>11091</v>
      </c>
      <c r="D4086" s="83" t="s">
        <v>11088</v>
      </c>
    </row>
    <row r="4087" spans="1:4">
      <c r="A4087" s="83" t="s">
        <v>11092</v>
      </c>
      <c r="B4087" s="83" t="s">
        <v>5017</v>
      </c>
      <c r="C4087" s="83" t="s">
        <v>11093</v>
      </c>
      <c r="D4087" s="83" t="s">
        <v>11094</v>
      </c>
    </row>
    <row r="4088" spans="1:4">
      <c r="A4088" s="83" t="s">
        <v>11092</v>
      </c>
      <c r="B4088" s="83" t="s">
        <v>5012</v>
      </c>
      <c r="C4088" s="83" t="s">
        <v>11095</v>
      </c>
      <c r="D4088" s="83" t="s">
        <v>11094</v>
      </c>
    </row>
    <row r="4089" spans="1:4">
      <c r="A4089" s="83" t="s">
        <v>11092</v>
      </c>
      <c r="B4089" s="83" t="s">
        <v>5015</v>
      </c>
      <c r="C4089" s="83" t="s">
        <v>11096</v>
      </c>
      <c r="D4089" s="83" t="s">
        <v>11094</v>
      </c>
    </row>
    <row r="4090" spans="1:4">
      <c r="A4090" s="83" t="s">
        <v>11092</v>
      </c>
      <c r="B4090" s="83" t="s">
        <v>5010</v>
      </c>
      <c r="C4090" s="83" t="s">
        <v>11097</v>
      </c>
      <c r="D4090" s="83" t="s">
        <v>11094</v>
      </c>
    </row>
    <row r="4091" spans="1:4">
      <c r="A4091" s="83" t="s">
        <v>11098</v>
      </c>
      <c r="B4091" s="83" t="s">
        <v>5017</v>
      </c>
      <c r="C4091" s="83" t="s">
        <v>11099</v>
      </c>
      <c r="D4091" s="83" t="s">
        <v>11100</v>
      </c>
    </row>
    <row r="4092" spans="1:4">
      <c r="A4092" s="83" t="s">
        <v>11098</v>
      </c>
      <c r="B4092" s="83" t="s">
        <v>5012</v>
      </c>
      <c r="C4092" s="83" t="s">
        <v>11101</v>
      </c>
      <c r="D4092" s="83" t="s">
        <v>11100</v>
      </c>
    </row>
    <row r="4093" spans="1:4">
      <c r="A4093" s="83" t="s">
        <v>11098</v>
      </c>
      <c r="B4093" s="83" t="s">
        <v>5015</v>
      </c>
      <c r="C4093" s="83" t="s">
        <v>11102</v>
      </c>
      <c r="D4093" s="83" t="s">
        <v>11100</v>
      </c>
    </row>
    <row r="4094" spans="1:4">
      <c r="A4094" s="83" t="s">
        <v>11098</v>
      </c>
      <c r="B4094" s="83" t="s">
        <v>5010</v>
      </c>
      <c r="C4094" s="83" t="s">
        <v>11103</v>
      </c>
      <c r="D4094" s="83" t="s">
        <v>11100</v>
      </c>
    </row>
    <row r="4095" spans="1:4">
      <c r="A4095" s="83" t="s">
        <v>11104</v>
      </c>
      <c r="B4095" s="83" t="s">
        <v>5017</v>
      </c>
      <c r="C4095" s="83" t="s">
        <v>11105</v>
      </c>
      <c r="D4095" s="83" t="s">
        <v>11106</v>
      </c>
    </row>
    <row r="4096" spans="1:4">
      <c r="A4096" s="83" t="s">
        <v>11104</v>
      </c>
      <c r="B4096" s="83" t="s">
        <v>5012</v>
      </c>
      <c r="C4096" s="83" t="s">
        <v>11107</v>
      </c>
      <c r="D4096" s="83" t="s">
        <v>11106</v>
      </c>
    </row>
    <row r="4097" spans="1:4">
      <c r="A4097" s="83" t="s">
        <v>11104</v>
      </c>
      <c r="B4097" s="83" t="s">
        <v>5015</v>
      </c>
      <c r="C4097" s="83" t="s">
        <v>11108</v>
      </c>
      <c r="D4097" s="83" t="s">
        <v>11106</v>
      </c>
    </row>
    <row r="4098" spans="1:4">
      <c r="A4098" s="83" t="s">
        <v>11104</v>
      </c>
      <c r="B4098" s="83" t="s">
        <v>5010</v>
      </c>
      <c r="C4098" s="83" t="s">
        <v>11109</v>
      </c>
      <c r="D4098" s="83" t="s">
        <v>11106</v>
      </c>
    </row>
    <row r="4099" spans="1:4">
      <c r="A4099" s="83" t="s">
        <v>11110</v>
      </c>
      <c r="B4099" s="83" t="s">
        <v>5017</v>
      </c>
      <c r="C4099" s="83" t="s">
        <v>11111</v>
      </c>
      <c r="D4099" s="83" t="s">
        <v>11112</v>
      </c>
    </row>
    <row r="4100" spans="1:4">
      <c r="A4100" s="83" t="s">
        <v>11110</v>
      </c>
      <c r="B4100" s="83" t="s">
        <v>5012</v>
      </c>
      <c r="C4100" s="83" t="s">
        <v>11113</v>
      </c>
      <c r="D4100" s="83" t="s">
        <v>11112</v>
      </c>
    </row>
    <row r="4101" spans="1:4">
      <c r="A4101" s="83" t="s">
        <v>11110</v>
      </c>
      <c r="B4101" s="83" t="s">
        <v>5015</v>
      </c>
      <c r="C4101" s="83" t="s">
        <v>11114</v>
      </c>
      <c r="D4101" s="83" t="s">
        <v>11112</v>
      </c>
    </row>
    <row r="4102" spans="1:4">
      <c r="A4102" s="83" t="s">
        <v>11110</v>
      </c>
      <c r="B4102" s="83" t="s">
        <v>5010</v>
      </c>
      <c r="C4102" s="83" t="s">
        <v>11115</v>
      </c>
      <c r="D4102" s="83" t="s">
        <v>11112</v>
      </c>
    </row>
    <row r="4103" spans="1:4">
      <c r="A4103" s="83" t="s">
        <v>11116</v>
      </c>
      <c r="B4103" s="83" t="s">
        <v>5017</v>
      </c>
      <c r="C4103" s="83" t="s">
        <v>11117</v>
      </c>
      <c r="D4103" s="83" t="s">
        <v>11118</v>
      </c>
    </row>
    <row r="4104" spans="1:4">
      <c r="A4104" s="83" t="s">
        <v>11116</v>
      </c>
      <c r="B4104" s="83" t="s">
        <v>5012</v>
      </c>
      <c r="C4104" s="83" t="s">
        <v>11119</v>
      </c>
      <c r="D4104" s="83" t="s">
        <v>11118</v>
      </c>
    </row>
    <row r="4105" spans="1:4">
      <c r="A4105" s="83" t="s">
        <v>11116</v>
      </c>
      <c r="B4105" s="83" t="s">
        <v>5015</v>
      </c>
      <c r="C4105" s="83" t="s">
        <v>11120</v>
      </c>
      <c r="D4105" s="83" t="s">
        <v>11118</v>
      </c>
    </row>
    <row r="4106" spans="1:4">
      <c r="A4106" s="83" t="s">
        <v>11116</v>
      </c>
      <c r="B4106" s="83" t="s">
        <v>5010</v>
      </c>
      <c r="C4106" s="83" t="s">
        <v>11121</v>
      </c>
      <c r="D4106" s="83" t="s">
        <v>11118</v>
      </c>
    </row>
    <row r="4107" spans="1:4">
      <c r="A4107" s="83" t="s">
        <v>11122</v>
      </c>
      <c r="B4107" s="83" t="s">
        <v>5017</v>
      </c>
      <c r="C4107" s="83" t="s">
        <v>11123</v>
      </c>
      <c r="D4107" s="83" t="s">
        <v>11124</v>
      </c>
    </row>
    <row r="4108" spans="1:4">
      <c r="A4108" s="83" t="s">
        <v>11122</v>
      </c>
      <c r="B4108" s="83" t="s">
        <v>5012</v>
      </c>
      <c r="C4108" s="83" t="s">
        <v>11125</v>
      </c>
      <c r="D4108" s="83" t="s">
        <v>11124</v>
      </c>
    </row>
    <row r="4109" spans="1:4">
      <c r="A4109" s="83" t="s">
        <v>11122</v>
      </c>
      <c r="B4109" s="83" t="s">
        <v>5015</v>
      </c>
      <c r="C4109" s="83" t="s">
        <v>11126</v>
      </c>
      <c r="D4109" s="83" t="s">
        <v>11124</v>
      </c>
    </row>
    <row r="4110" spans="1:4">
      <c r="A4110" s="83" t="s">
        <v>11122</v>
      </c>
      <c r="B4110" s="83" t="s">
        <v>5010</v>
      </c>
      <c r="C4110" s="83" t="s">
        <v>11127</v>
      </c>
      <c r="D4110" s="83" t="s">
        <v>11124</v>
      </c>
    </row>
    <row r="4111" spans="1:4">
      <c r="A4111" s="83" t="s">
        <v>11128</v>
      </c>
      <c r="B4111" s="83" t="s">
        <v>5017</v>
      </c>
      <c r="C4111" s="83" t="s">
        <v>11129</v>
      </c>
      <c r="D4111" s="83" t="s">
        <v>11130</v>
      </c>
    </row>
    <row r="4112" spans="1:4">
      <c r="A4112" s="83" t="s">
        <v>11128</v>
      </c>
      <c r="B4112" s="83" t="s">
        <v>5012</v>
      </c>
      <c r="C4112" s="83" t="s">
        <v>11131</v>
      </c>
      <c r="D4112" s="83" t="s">
        <v>11130</v>
      </c>
    </row>
    <row r="4113" spans="1:4">
      <c r="A4113" s="83" t="s">
        <v>11128</v>
      </c>
      <c r="B4113" s="83" t="s">
        <v>5015</v>
      </c>
      <c r="C4113" s="83" t="s">
        <v>11132</v>
      </c>
      <c r="D4113" s="83" t="s">
        <v>11130</v>
      </c>
    </row>
    <row r="4114" spans="1:4">
      <c r="A4114" s="83" t="s">
        <v>11128</v>
      </c>
      <c r="B4114" s="83" t="s">
        <v>5010</v>
      </c>
      <c r="C4114" s="83" t="s">
        <v>11133</v>
      </c>
      <c r="D4114" s="83" t="s">
        <v>11130</v>
      </c>
    </row>
    <row r="4115" spans="1:4">
      <c r="A4115" s="83" t="s">
        <v>11134</v>
      </c>
      <c r="B4115" s="83" t="s">
        <v>5017</v>
      </c>
      <c r="C4115" s="83" t="s">
        <v>11135</v>
      </c>
      <c r="D4115" s="83" t="s">
        <v>11136</v>
      </c>
    </row>
    <row r="4116" spans="1:4">
      <c r="A4116" s="83" t="s">
        <v>11134</v>
      </c>
      <c r="B4116" s="83" t="s">
        <v>5012</v>
      </c>
      <c r="C4116" s="83" t="s">
        <v>11137</v>
      </c>
      <c r="D4116" s="83" t="s">
        <v>11136</v>
      </c>
    </row>
    <row r="4117" spans="1:4">
      <c r="A4117" s="83" t="s">
        <v>11134</v>
      </c>
      <c r="B4117" s="83" t="s">
        <v>5015</v>
      </c>
      <c r="C4117" s="83" t="s">
        <v>11138</v>
      </c>
      <c r="D4117" s="83" t="s">
        <v>11136</v>
      </c>
    </row>
    <row r="4118" spans="1:4">
      <c r="A4118" s="83" t="s">
        <v>11134</v>
      </c>
      <c r="B4118" s="83" t="s">
        <v>5010</v>
      </c>
      <c r="C4118" s="83" t="s">
        <v>11139</v>
      </c>
      <c r="D4118" s="83" t="s">
        <v>11136</v>
      </c>
    </row>
    <row r="4119" spans="1:4">
      <c r="A4119" s="83" t="s">
        <v>11140</v>
      </c>
      <c r="B4119" s="83" t="s">
        <v>5017</v>
      </c>
      <c r="C4119" s="83" t="s">
        <v>11141</v>
      </c>
      <c r="D4119" s="83" t="s">
        <v>11142</v>
      </c>
    </row>
    <row r="4120" spans="1:4">
      <c r="A4120" s="83" t="s">
        <v>11140</v>
      </c>
      <c r="B4120" s="83" t="s">
        <v>5012</v>
      </c>
      <c r="C4120" s="83" t="s">
        <v>11143</v>
      </c>
      <c r="D4120" s="83" t="s">
        <v>11142</v>
      </c>
    </row>
    <row r="4121" spans="1:4">
      <c r="A4121" s="83" t="s">
        <v>11140</v>
      </c>
      <c r="B4121" s="83" t="s">
        <v>5015</v>
      </c>
      <c r="C4121" s="83" t="s">
        <v>11144</v>
      </c>
      <c r="D4121" s="83" t="s">
        <v>11142</v>
      </c>
    </row>
    <row r="4122" spans="1:4">
      <c r="A4122" s="83" t="s">
        <v>11140</v>
      </c>
      <c r="B4122" s="83" t="s">
        <v>5010</v>
      </c>
      <c r="C4122" s="83" t="s">
        <v>11145</v>
      </c>
      <c r="D4122" s="83" t="s">
        <v>11142</v>
      </c>
    </row>
    <row r="4123" spans="1:4">
      <c r="A4123" s="83" t="s">
        <v>11146</v>
      </c>
      <c r="B4123" s="83" t="s">
        <v>5017</v>
      </c>
      <c r="C4123" s="83" t="s">
        <v>11147</v>
      </c>
      <c r="D4123" s="83" t="s">
        <v>11148</v>
      </c>
    </row>
    <row r="4124" spans="1:4">
      <c r="A4124" s="83" t="s">
        <v>11146</v>
      </c>
      <c r="B4124" s="83" t="s">
        <v>5012</v>
      </c>
      <c r="C4124" s="83" t="s">
        <v>11149</v>
      </c>
      <c r="D4124" s="83" t="s">
        <v>11148</v>
      </c>
    </row>
    <row r="4125" spans="1:4">
      <c r="A4125" s="83" t="s">
        <v>11146</v>
      </c>
      <c r="B4125" s="83" t="s">
        <v>5015</v>
      </c>
      <c r="C4125" s="83" t="s">
        <v>11150</v>
      </c>
      <c r="D4125" s="83" t="s">
        <v>11148</v>
      </c>
    </row>
    <row r="4126" spans="1:4">
      <c r="A4126" s="83" t="s">
        <v>11146</v>
      </c>
      <c r="B4126" s="83" t="s">
        <v>5010</v>
      </c>
      <c r="C4126" s="83" t="s">
        <v>11151</v>
      </c>
      <c r="D4126" s="83" t="s">
        <v>11148</v>
      </c>
    </row>
    <row r="4127" spans="1:4">
      <c r="A4127" s="83" t="s">
        <v>11152</v>
      </c>
      <c r="B4127" s="83" t="s">
        <v>5017</v>
      </c>
      <c r="C4127" s="83" t="s">
        <v>11153</v>
      </c>
      <c r="D4127" s="83" t="s">
        <v>11154</v>
      </c>
    </row>
    <row r="4128" spans="1:4">
      <c r="A4128" s="83" t="s">
        <v>11152</v>
      </c>
      <c r="B4128" s="83" t="s">
        <v>5012</v>
      </c>
      <c r="C4128" s="83" t="s">
        <v>11155</v>
      </c>
      <c r="D4128" s="83" t="s">
        <v>11154</v>
      </c>
    </row>
    <row r="4129" spans="1:4">
      <c r="A4129" s="83" t="s">
        <v>11152</v>
      </c>
      <c r="B4129" s="83" t="s">
        <v>5015</v>
      </c>
      <c r="C4129" s="83" t="s">
        <v>11156</v>
      </c>
      <c r="D4129" s="83" t="s">
        <v>11154</v>
      </c>
    </row>
    <row r="4130" spans="1:4">
      <c r="A4130" s="83" t="s">
        <v>11152</v>
      </c>
      <c r="B4130" s="83" t="s">
        <v>5010</v>
      </c>
      <c r="C4130" s="83" t="s">
        <v>11157</v>
      </c>
      <c r="D4130" s="83" t="s">
        <v>11154</v>
      </c>
    </row>
    <row r="4131" spans="1:4">
      <c r="A4131" s="83" t="s">
        <v>11158</v>
      </c>
      <c r="B4131" s="83" t="s">
        <v>5017</v>
      </c>
      <c r="C4131" s="83" t="s">
        <v>11159</v>
      </c>
      <c r="D4131" s="83" t="s">
        <v>11160</v>
      </c>
    </row>
    <row r="4132" spans="1:4">
      <c r="A4132" s="83" t="s">
        <v>11158</v>
      </c>
      <c r="B4132" s="83" t="s">
        <v>5012</v>
      </c>
      <c r="C4132" s="83" t="s">
        <v>11161</v>
      </c>
      <c r="D4132" s="83" t="s">
        <v>11160</v>
      </c>
    </row>
    <row r="4133" spans="1:4">
      <c r="A4133" s="83" t="s">
        <v>11158</v>
      </c>
      <c r="B4133" s="83" t="s">
        <v>5015</v>
      </c>
      <c r="C4133" s="83" t="s">
        <v>11162</v>
      </c>
      <c r="D4133" s="83" t="s">
        <v>11160</v>
      </c>
    </row>
    <row r="4134" spans="1:4">
      <c r="A4134" s="83" t="s">
        <v>11158</v>
      </c>
      <c r="B4134" s="83" t="s">
        <v>5010</v>
      </c>
      <c r="C4134" s="83" t="s">
        <v>11163</v>
      </c>
      <c r="D4134" s="83" t="s">
        <v>11160</v>
      </c>
    </row>
    <row r="4135" spans="1:4">
      <c r="A4135" s="83" t="s">
        <v>11164</v>
      </c>
      <c r="B4135" s="83" t="s">
        <v>5017</v>
      </c>
      <c r="C4135" s="83" t="s">
        <v>11165</v>
      </c>
      <c r="D4135" s="83" t="s">
        <v>11166</v>
      </c>
    </row>
    <row r="4136" spans="1:4">
      <c r="A4136" s="83" t="s">
        <v>11164</v>
      </c>
      <c r="B4136" s="83" t="s">
        <v>5012</v>
      </c>
      <c r="C4136" s="83" t="s">
        <v>11167</v>
      </c>
      <c r="D4136" s="83" t="s">
        <v>11166</v>
      </c>
    </row>
    <row r="4137" spans="1:4">
      <c r="A4137" s="83" t="s">
        <v>11164</v>
      </c>
      <c r="B4137" s="83" t="s">
        <v>5015</v>
      </c>
      <c r="C4137" s="83" t="s">
        <v>11168</v>
      </c>
      <c r="D4137" s="83" t="s">
        <v>11166</v>
      </c>
    </row>
    <row r="4138" spans="1:4">
      <c r="A4138" s="83" t="s">
        <v>11164</v>
      </c>
      <c r="B4138" s="83" t="s">
        <v>5010</v>
      </c>
      <c r="C4138" s="83" t="s">
        <v>11169</v>
      </c>
      <c r="D4138" s="83" t="s">
        <v>11166</v>
      </c>
    </row>
    <row r="4139" spans="1:4">
      <c r="A4139" s="83" t="s">
        <v>11170</v>
      </c>
      <c r="B4139" s="83" t="s">
        <v>5017</v>
      </c>
      <c r="C4139" s="83" t="s">
        <v>11171</v>
      </c>
      <c r="D4139" s="83" t="s">
        <v>11172</v>
      </c>
    </row>
    <row r="4140" spans="1:4">
      <c r="A4140" s="83" t="s">
        <v>11170</v>
      </c>
      <c r="B4140" s="83" t="s">
        <v>5012</v>
      </c>
      <c r="C4140" s="83" t="s">
        <v>11173</v>
      </c>
      <c r="D4140" s="83" t="s">
        <v>11172</v>
      </c>
    </row>
    <row r="4141" spans="1:4">
      <c r="A4141" s="83" t="s">
        <v>11170</v>
      </c>
      <c r="B4141" s="83" t="s">
        <v>5015</v>
      </c>
      <c r="C4141" s="83" t="s">
        <v>11174</v>
      </c>
      <c r="D4141" s="83" t="s">
        <v>11172</v>
      </c>
    </row>
    <row r="4142" spans="1:4">
      <c r="A4142" s="83" t="s">
        <v>11170</v>
      </c>
      <c r="B4142" s="83" t="s">
        <v>5010</v>
      </c>
      <c r="C4142" s="83" t="s">
        <v>11175</v>
      </c>
      <c r="D4142" s="83" t="s">
        <v>11172</v>
      </c>
    </row>
    <row r="4143" spans="1:4">
      <c r="A4143" s="83" t="s">
        <v>11176</v>
      </c>
      <c r="B4143" s="83" t="s">
        <v>5017</v>
      </c>
      <c r="C4143" s="83" t="s">
        <v>11177</v>
      </c>
      <c r="D4143" s="83" t="s">
        <v>11178</v>
      </c>
    </row>
    <row r="4144" spans="1:4">
      <c r="A4144" s="83" t="s">
        <v>11176</v>
      </c>
      <c r="B4144" s="83" t="s">
        <v>5012</v>
      </c>
      <c r="C4144" s="83" t="s">
        <v>11179</v>
      </c>
      <c r="D4144" s="83" t="s">
        <v>11178</v>
      </c>
    </row>
    <row r="4145" spans="1:4">
      <c r="A4145" s="83" t="s">
        <v>11176</v>
      </c>
      <c r="B4145" s="83" t="s">
        <v>5015</v>
      </c>
      <c r="C4145" s="83" t="s">
        <v>11180</v>
      </c>
      <c r="D4145" s="83" t="s">
        <v>11178</v>
      </c>
    </row>
    <row r="4146" spans="1:4">
      <c r="A4146" s="83" t="s">
        <v>11176</v>
      </c>
      <c r="B4146" s="83" t="s">
        <v>5010</v>
      </c>
      <c r="C4146" s="83" t="s">
        <v>11181</v>
      </c>
      <c r="D4146" s="83" t="s">
        <v>11178</v>
      </c>
    </row>
    <row r="4147" spans="1:4">
      <c r="A4147" s="83" t="s">
        <v>11182</v>
      </c>
      <c r="B4147" s="83" t="s">
        <v>5017</v>
      </c>
      <c r="C4147" s="83" t="s">
        <v>11183</v>
      </c>
      <c r="D4147" s="83" t="s">
        <v>11184</v>
      </c>
    </row>
    <row r="4148" spans="1:4">
      <c r="A4148" s="83" t="s">
        <v>11182</v>
      </c>
      <c r="B4148" s="83" t="s">
        <v>5012</v>
      </c>
      <c r="C4148" s="83" t="s">
        <v>11185</v>
      </c>
      <c r="D4148" s="83" t="s">
        <v>11184</v>
      </c>
    </row>
    <row r="4149" spans="1:4">
      <c r="A4149" s="83" t="s">
        <v>11182</v>
      </c>
      <c r="B4149" s="83" t="s">
        <v>5015</v>
      </c>
      <c r="C4149" s="83" t="s">
        <v>11186</v>
      </c>
      <c r="D4149" s="83" t="s">
        <v>11184</v>
      </c>
    </row>
    <row r="4150" spans="1:4">
      <c r="A4150" s="83" t="s">
        <v>11182</v>
      </c>
      <c r="B4150" s="83" t="s">
        <v>5010</v>
      </c>
      <c r="C4150" s="83" t="s">
        <v>11175</v>
      </c>
      <c r="D4150" s="83" t="s">
        <v>11184</v>
      </c>
    </row>
    <row r="4151" spans="1:4">
      <c r="A4151" s="83" t="s">
        <v>11187</v>
      </c>
      <c r="B4151" s="83" t="s">
        <v>5017</v>
      </c>
      <c r="C4151" s="83" t="s">
        <v>11188</v>
      </c>
      <c r="D4151" s="83" t="s">
        <v>11189</v>
      </c>
    </row>
    <row r="4152" spans="1:4">
      <c r="A4152" s="83" t="s">
        <v>11187</v>
      </c>
      <c r="B4152" s="83" t="s">
        <v>5012</v>
      </c>
      <c r="C4152" s="83" t="s">
        <v>11190</v>
      </c>
      <c r="D4152" s="83" t="s">
        <v>11189</v>
      </c>
    </row>
    <row r="4153" spans="1:4">
      <c r="A4153" s="83" t="s">
        <v>11187</v>
      </c>
      <c r="B4153" s="83" t="s">
        <v>5015</v>
      </c>
      <c r="C4153" s="83" t="s">
        <v>11191</v>
      </c>
      <c r="D4153" s="83" t="s">
        <v>11189</v>
      </c>
    </row>
    <row r="4154" spans="1:4">
      <c r="A4154" s="83" t="s">
        <v>11187</v>
      </c>
      <c r="B4154" s="83" t="s">
        <v>5010</v>
      </c>
      <c r="C4154" s="83" t="s">
        <v>11192</v>
      </c>
      <c r="D4154" s="83" t="s">
        <v>11189</v>
      </c>
    </row>
    <row r="4155" spans="1:4">
      <c r="A4155" s="83" t="s">
        <v>11193</v>
      </c>
      <c r="B4155" s="83" t="s">
        <v>5017</v>
      </c>
      <c r="C4155" s="83" t="s">
        <v>11194</v>
      </c>
      <c r="D4155" s="83" t="s">
        <v>11195</v>
      </c>
    </row>
    <row r="4156" spans="1:4">
      <c r="A4156" s="83" t="s">
        <v>11193</v>
      </c>
      <c r="B4156" s="83" t="s">
        <v>5012</v>
      </c>
      <c r="C4156" s="83" t="s">
        <v>11196</v>
      </c>
      <c r="D4156" s="83" t="s">
        <v>11195</v>
      </c>
    </row>
    <row r="4157" spans="1:4">
      <c r="A4157" s="83" t="s">
        <v>11193</v>
      </c>
      <c r="B4157" s="83" t="s">
        <v>5015</v>
      </c>
      <c r="C4157" s="83" t="s">
        <v>11197</v>
      </c>
      <c r="D4157" s="83" t="s">
        <v>11195</v>
      </c>
    </row>
    <row r="4158" spans="1:4">
      <c r="A4158" s="83" t="s">
        <v>11193</v>
      </c>
      <c r="B4158" s="83" t="s">
        <v>5010</v>
      </c>
      <c r="C4158" s="83" t="s">
        <v>11198</v>
      </c>
      <c r="D4158" s="83" t="s">
        <v>11195</v>
      </c>
    </row>
    <row r="4159" spans="1:4">
      <c r="A4159" s="83" t="s">
        <v>11199</v>
      </c>
      <c r="B4159" s="83" t="s">
        <v>5017</v>
      </c>
      <c r="C4159" s="83" t="s">
        <v>11200</v>
      </c>
      <c r="D4159" s="83" t="s">
        <v>11201</v>
      </c>
    </row>
    <row r="4160" spans="1:4">
      <c r="A4160" s="83" t="s">
        <v>11199</v>
      </c>
      <c r="B4160" s="83" t="s">
        <v>5012</v>
      </c>
      <c r="C4160" s="83" t="s">
        <v>11202</v>
      </c>
      <c r="D4160" s="83" t="s">
        <v>11201</v>
      </c>
    </row>
    <row r="4161" spans="1:4">
      <c r="A4161" s="83" t="s">
        <v>11199</v>
      </c>
      <c r="B4161" s="83" t="s">
        <v>5015</v>
      </c>
      <c r="C4161" s="83" t="s">
        <v>11203</v>
      </c>
      <c r="D4161" s="83" t="s">
        <v>11201</v>
      </c>
    </row>
    <row r="4162" spans="1:4">
      <c r="A4162" s="83" t="s">
        <v>11199</v>
      </c>
      <c r="B4162" s="83" t="s">
        <v>5010</v>
      </c>
      <c r="C4162" s="83" t="s">
        <v>11204</v>
      </c>
      <c r="D4162" s="83" t="s">
        <v>11201</v>
      </c>
    </row>
    <row r="4163" spans="1:4">
      <c r="A4163" s="83" t="s">
        <v>11205</v>
      </c>
      <c r="B4163" s="83" t="s">
        <v>5017</v>
      </c>
      <c r="C4163" s="83" t="s">
        <v>11206</v>
      </c>
      <c r="D4163" s="83" t="s">
        <v>11207</v>
      </c>
    </row>
    <row r="4164" spans="1:4">
      <c r="A4164" s="83" t="s">
        <v>11205</v>
      </c>
      <c r="B4164" s="83" t="s">
        <v>5012</v>
      </c>
      <c r="C4164" s="83" t="s">
        <v>11208</v>
      </c>
      <c r="D4164" s="83" t="s">
        <v>11207</v>
      </c>
    </row>
    <row r="4165" spans="1:4">
      <c r="A4165" s="83" t="s">
        <v>11205</v>
      </c>
      <c r="B4165" s="83" t="s">
        <v>5015</v>
      </c>
      <c r="C4165" s="83" t="s">
        <v>11209</v>
      </c>
      <c r="D4165" s="83" t="s">
        <v>11207</v>
      </c>
    </row>
    <row r="4166" spans="1:4">
      <c r="A4166" s="83" t="s">
        <v>11205</v>
      </c>
      <c r="B4166" s="83" t="s">
        <v>5010</v>
      </c>
      <c r="C4166" s="83" t="s">
        <v>11210</v>
      </c>
      <c r="D4166" s="83" t="s">
        <v>11207</v>
      </c>
    </row>
    <row r="4167" spans="1:4">
      <c r="A4167" s="83" t="s">
        <v>11211</v>
      </c>
      <c r="B4167" s="83" t="s">
        <v>5017</v>
      </c>
      <c r="C4167" s="83" t="s">
        <v>11212</v>
      </c>
      <c r="D4167" s="83" t="s">
        <v>11213</v>
      </c>
    </row>
    <row r="4168" spans="1:4">
      <c r="A4168" s="83" t="s">
        <v>11211</v>
      </c>
      <c r="B4168" s="83" t="s">
        <v>5012</v>
      </c>
      <c r="C4168" s="83" t="s">
        <v>11214</v>
      </c>
      <c r="D4168" s="83" t="s">
        <v>11213</v>
      </c>
    </row>
    <row r="4169" spans="1:4">
      <c r="A4169" s="83" t="s">
        <v>11211</v>
      </c>
      <c r="B4169" s="83" t="s">
        <v>5015</v>
      </c>
      <c r="C4169" s="83" t="s">
        <v>11215</v>
      </c>
      <c r="D4169" s="83" t="s">
        <v>11213</v>
      </c>
    </row>
    <row r="4170" spans="1:4">
      <c r="A4170" s="83" t="s">
        <v>11211</v>
      </c>
      <c r="B4170" s="83" t="s">
        <v>5010</v>
      </c>
      <c r="C4170" s="83" t="s">
        <v>11216</v>
      </c>
      <c r="D4170" s="83" t="s">
        <v>11213</v>
      </c>
    </row>
    <row r="4171" spans="1:4">
      <c r="A4171" s="83" t="s">
        <v>11217</v>
      </c>
      <c r="B4171" s="83" t="s">
        <v>5017</v>
      </c>
      <c r="C4171" s="83" t="s">
        <v>11218</v>
      </c>
      <c r="D4171" s="83" t="s">
        <v>11219</v>
      </c>
    </row>
    <row r="4172" spans="1:4">
      <c r="A4172" s="83" t="s">
        <v>11217</v>
      </c>
      <c r="B4172" s="83" t="s">
        <v>5012</v>
      </c>
      <c r="C4172" s="83" t="s">
        <v>11220</v>
      </c>
      <c r="D4172" s="83" t="s">
        <v>11219</v>
      </c>
    </row>
    <row r="4173" spans="1:4">
      <c r="A4173" s="83" t="s">
        <v>11217</v>
      </c>
      <c r="B4173" s="83" t="s">
        <v>5015</v>
      </c>
      <c r="C4173" s="83" t="s">
        <v>11221</v>
      </c>
      <c r="D4173" s="83" t="s">
        <v>11219</v>
      </c>
    </row>
    <row r="4174" spans="1:4">
      <c r="A4174" s="83" t="s">
        <v>11217</v>
      </c>
      <c r="B4174" s="83" t="s">
        <v>5010</v>
      </c>
      <c r="C4174" s="83" t="s">
        <v>11222</v>
      </c>
      <c r="D4174" s="83" t="s">
        <v>11219</v>
      </c>
    </row>
    <row r="4175" spans="1:4">
      <c r="A4175" s="83" t="s">
        <v>11223</v>
      </c>
      <c r="B4175" s="83" t="s">
        <v>5017</v>
      </c>
      <c r="C4175" s="83" t="s">
        <v>11224</v>
      </c>
      <c r="D4175" s="83" t="s">
        <v>11225</v>
      </c>
    </row>
    <row r="4176" spans="1:4">
      <c r="A4176" s="83" t="s">
        <v>11223</v>
      </c>
      <c r="B4176" s="83" t="s">
        <v>5012</v>
      </c>
      <c r="C4176" s="83" t="s">
        <v>11226</v>
      </c>
      <c r="D4176" s="83" t="s">
        <v>11225</v>
      </c>
    </row>
    <row r="4177" spans="1:4">
      <c r="A4177" s="83" t="s">
        <v>11223</v>
      </c>
      <c r="B4177" s="83" t="s">
        <v>5015</v>
      </c>
      <c r="C4177" s="83" t="s">
        <v>11227</v>
      </c>
      <c r="D4177" s="83" t="s">
        <v>11225</v>
      </c>
    </row>
    <row r="4178" spans="1:4">
      <c r="A4178" s="83" t="s">
        <v>11223</v>
      </c>
      <c r="B4178" s="83" t="s">
        <v>5010</v>
      </c>
      <c r="C4178" s="83" t="s">
        <v>11228</v>
      </c>
      <c r="D4178" s="83" t="s">
        <v>11225</v>
      </c>
    </row>
    <row r="4179" spans="1:4">
      <c r="A4179" s="83" t="s">
        <v>11229</v>
      </c>
      <c r="B4179" s="83" t="s">
        <v>5017</v>
      </c>
      <c r="C4179" s="83" t="s">
        <v>11230</v>
      </c>
      <c r="D4179" s="83" t="s">
        <v>11231</v>
      </c>
    </row>
    <row r="4180" spans="1:4">
      <c r="A4180" s="83" t="s">
        <v>11229</v>
      </c>
      <c r="B4180" s="83" t="s">
        <v>5012</v>
      </c>
      <c r="C4180" s="83" t="s">
        <v>11232</v>
      </c>
      <c r="D4180" s="83" t="s">
        <v>11231</v>
      </c>
    </row>
    <row r="4181" spans="1:4">
      <c r="A4181" s="83" t="s">
        <v>11229</v>
      </c>
      <c r="B4181" s="83" t="s">
        <v>5015</v>
      </c>
      <c r="C4181" s="83" t="s">
        <v>11233</v>
      </c>
      <c r="D4181" s="83" t="s">
        <v>11231</v>
      </c>
    </row>
    <row r="4182" spans="1:4">
      <c r="A4182" s="83" t="s">
        <v>11229</v>
      </c>
      <c r="B4182" s="83" t="s">
        <v>5010</v>
      </c>
      <c r="C4182" s="83" t="s">
        <v>11234</v>
      </c>
      <c r="D4182" s="83" t="s">
        <v>11231</v>
      </c>
    </row>
    <row r="4183" spans="1:4">
      <c r="A4183" s="83" t="s">
        <v>11235</v>
      </c>
      <c r="B4183" s="83" t="s">
        <v>5017</v>
      </c>
      <c r="C4183" s="83" t="s">
        <v>11236</v>
      </c>
      <c r="D4183" s="83" t="s">
        <v>11237</v>
      </c>
    </row>
    <row r="4184" spans="1:4">
      <c r="A4184" s="83" t="s">
        <v>11235</v>
      </c>
      <c r="B4184" s="83" t="s">
        <v>5012</v>
      </c>
      <c r="C4184" s="83" t="s">
        <v>11238</v>
      </c>
      <c r="D4184" s="83" t="s">
        <v>11237</v>
      </c>
    </row>
    <row r="4185" spans="1:4">
      <c r="A4185" s="83" t="s">
        <v>11235</v>
      </c>
      <c r="B4185" s="83" t="s">
        <v>5015</v>
      </c>
      <c r="C4185" s="83" t="s">
        <v>11239</v>
      </c>
      <c r="D4185" s="83" t="s">
        <v>11237</v>
      </c>
    </row>
    <row r="4186" spans="1:4">
      <c r="A4186" s="83" t="s">
        <v>11235</v>
      </c>
      <c r="B4186" s="83" t="s">
        <v>5010</v>
      </c>
      <c r="C4186" s="83" t="s">
        <v>11240</v>
      </c>
      <c r="D4186" s="83" t="s">
        <v>11237</v>
      </c>
    </row>
    <row r="4187" spans="1:4">
      <c r="A4187" s="83" t="s">
        <v>11241</v>
      </c>
      <c r="B4187" s="83" t="s">
        <v>5017</v>
      </c>
      <c r="C4187" s="83" t="s">
        <v>11242</v>
      </c>
      <c r="D4187" s="83" t="s">
        <v>11243</v>
      </c>
    </row>
    <row r="4188" spans="1:4">
      <c r="A4188" s="83" t="s">
        <v>11241</v>
      </c>
      <c r="B4188" s="83" t="s">
        <v>5012</v>
      </c>
      <c r="C4188" s="83" t="s">
        <v>11244</v>
      </c>
      <c r="D4188" s="83" t="s">
        <v>11243</v>
      </c>
    </row>
    <row r="4189" spans="1:4">
      <c r="A4189" s="83" t="s">
        <v>11241</v>
      </c>
      <c r="B4189" s="83" t="s">
        <v>5015</v>
      </c>
      <c r="C4189" s="83" t="s">
        <v>11245</v>
      </c>
      <c r="D4189" s="83" t="s">
        <v>11243</v>
      </c>
    </row>
    <row r="4190" spans="1:4">
      <c r="A4190" s="83" t="s">
        <v>11241</v>
      </c>
      <c r="B4190" s="83" t="s">
        <v>5010</v>
      </c>
      <c r="C4190" s="83" t="s">
        <v>11246</v>
      </c>
      <c r="D4190" s="83" t="s">
        <v>11243</v>
      </c>
    </row>
    <row r="4191" spans="1:4">
      <c r="A4191" s="83" t="s">
        <v>11247</v>
      </c>
      <c r="B4191" s="83" t="s">
        <v>5017</v>
      </c>
      <c r="C4191" s="83" t="s">
        <v>11248</v>
      </c>
      <c r="D4191" s="83" t="s">
        <v>11249</v>
      </c>
    </row>
    <row r="4192" spans="1:4">
      <c r="A4192" s="83" t="s">
        <v>11247</v>
      </c>
      <c r="B4192" s="83" t="s">
        <v>5012</v>
      </c>
      <c r="C4192" s="83" t="s">
        <v>11250</v>
      </c>
      <c r="D4192" s="83" t="s">
        <v>11249</v>
      </c>
    </row>
    <row r="4193" spans="1:4">
      <c r="A4193" s="83" t="s">
        <v>11247</v>
      </c>
      <c r="B4193" s="83" t="s">
        <v>5015</v>
      </c>
      <c r="C4193" s="83" t="s">
        <v>11251</v>
      </c>
      <c r="D4193" s="83" t="s">
        <v>11249</v>
      </c>
    </row>
    <row r="4194" spans="1:4">
      <c r="A4194" s="83" t="s">
        <v>11247</v>
      </c>
      <c r="B4194" s="83" t="s">
        <v>5010</v>
      </c>
      <c r="C4194" s="83" t="s">
        <v>11252</v>
      </c>
      <c r="D4194" s="83" t="s">
        <v>11249</v>
      </c>
    </row>
    <row r="4195" spans="1:4">
      <c r="A4195" s="83" t="s">
        <v>11253</v>
      </c>
      <c r="B4195" s="83" t="s">
        <v>5017</v>
      </c>
      <c r="C4195" s="83" t="s">
        <v>11254</v>
      </c>
      <c r="D4195" s="83" t="s">
        <v>11255</v>
      </c>
    </row>
    <row r="4196" spans="1:4">
      <c r="A4196" s="83" t="s">
        <v>11253</v>
      </c>
      <c r="B4196" s="83" t="s">
        <v>5012</v>
      </c>
      <c r="C4196" s="83" t="s">
        <v>11256</v>
      </c>
      <c r="D4196" s="83" t="s">
        <v>11255</v>
      </c>
    </row>
    <row r="4197" spans="1:4">
      <c r="A4197" s="83" t="s">
        <v>11253</v>
      </c>
      <c r="B4197" s="83" t="s">
        <v>5015</v>
      </c>
      <c r="C4197" s="83" t="s">
        <v>11257</v>
      </c>
      <c r="D4197" s="83" t="s">
        <v>11255</v>
      </c>
    </row>
    <row r="4198" spans="1:4">
      <c r="A4198" s="83" t="s">
        <v>11253</v>
      </c>
      <c r="B4198" s="83" t="s">
        <v>5010</v>
      </c>
      <c r="C4198" s="83" t="s">
        <v>11258</v>
      </c>
      <c r="D4198" s="83" t="s">
        <v>11255</v>
      </c>
    </row>
    <row r="4199" spans="1:4">
      <c r="A4199" s="83" t="s">
        <v>11259</v>
      </c>
      <c r="B4199" s="83" t="s">
        <v>5017</v>
      </c>
      <c r="C4199" s="83" t="s">
        <v>11260</v>
      </c>
      <c r="D4199" s="83" t="s">
        <v>11261</v>
      </c>
    </row>
    <row r="4200" spans="1:4">
      <c r="A4200" s="83" t="s">
        <v>11259</v>
      </c>
      <c r="B4200" s="83" t="s">
        <v>5012</v>
      </c>
      <c r="C4200" s="83" t="s">
        <v>11262</v>
      </c>
      <c r="D4200" s="83" t="s">
        <v>11261</v>
      </c>
    </row>
    <row r="4201" spans="1:4">
      <c r="A4201" s="83" t="s">
        <v>11259</v>
      </c>
      <c r="B4201" s="83" t="s">
        <v>5015</v>
      </c>
      <c r="C4201" s="83" t="s">
        <v>11263</v>
      </c>
      <c r="D4201" s="83" t="s">
        <v>11261</v>
      </c>
    </row>
    <row r="4202" spans="1:4">
      <c r="A4202" s="83" t="s">
        <v>11259</v>
      </c>
      <c r="B4202" s="83" t="s">
        <v>5010</v>
      </c>
      <c r="C4202" s="83" t="s">
        <v>11264</v>
      </c>
      <c r="D4202" s="83" t="s">
        <v>11261</v>
      </c>
    </row>
    <row r="4203" spans="1:4">
      <c r="A4203" s="83" t="s">
        <v>11265</v>
      </c>
      <c r="B4203" s="83" t="s">
        <v>5017</v>
      </c>
      <c r="C4203" s="83" t="s">
        <v>11266</v>
      </c>
      <c r="D4203" s="83" t="s">
        <v>11267</v>
      </c>
    </row>
    <row r="4204" spans="1:4">
      <c r="A4204" s="83" t="s">
        <v>11265</v>
      </c>
      <c r="B4204" s="83" t="s">
        <v>5012</v>
      </c>
      <c r="C4204" s="83" t="s">
        <v>11268</v>
      </c>
      <c r="D4204" s="83" t="s">
        <v>11267</v>
      </c>
    </row>
    <row r="4205" spans="1:4">
      <c r="A4205" s="83" t="s">
        <v>11265</v>
      </c>
      <c r="B4205" s="83" t="s">
        <v>5015</v>
      </c>
      <c r="C4205" s="83" t="s">
        <v>11269</v>
      </c>
      <c r="D4205" s="83" t="s">
        <v>11267</v>
      </c>
    </row>
    <row r="4206" spans="1:4">
      <c r="A4206" s="83" t="s">
        <v>11265</v>
      </c>
      <c r="B4206" s="83" t="s">
        <v>5010</v>
      </c>
      <c r="C4206" s="83" t="s">
        <v>11270</v>
      </c>
      <c r="D4206" s="83" t="s">
        <v>11267</v>
      </c>
    </row>
    <row r="4207" spans="1:4">
      <c r="A4207" s="83" t="s">
        <v>11271</v>
      </c>
      <c r="B4207" s="83" t="s">
        <v>5017</v>
      </c>
      <c r="C4207" s="83" t="s">
        <v>11272</v>
      </c>
      <c r="D4207" s="83" t="s">
        <v>11273</v>
      </c>
    </row>
    <row r="4208" spans="1:4">
      <c r="A4208" s="83" t="s">
        <v>11271</v>
      </c>
      <c r="B4208" s="83" t="s">
        <v>5012</v>
      </c>
      <c r="C4208" s="83" t="s">
        <v>11274</v>
      </c>
      <c r="D4208" s="83" t="s">
        <v>11273</v>
      </c>
    </row>
    <row r="4209" spans="1:4">
      <c r="A4209" s="83" t="s">
        <v>11271</v>
      </c>
      <c r="B4209" s="83" t="s">
        <v>5015</v>
      </c>
      <c r="C4209" s="83" t="s">
        <v>11275</v>
      </c>
      <c r="D4209" s="83" t="s">
        <v>11273</v>
      </c>
    </row>
    <row r="4210" spans="1:4">
      <c r="A4210" s="83" t="s">
        <v>11271</v>
      </c>
      <c r="B4210" s="83" t="s">
        <v>5010</v>
      </c>
      <c r="C4210" s="83" t="s">
        <v>11276</v>
      </c>
      <c r="D4210" s="83" t="s">
        <v>11273</v>
      </c>
    </row>
    <row r="4211" spans="1:4">
      <c r="A4211" s="83" t="s">
        <v>11277</v>
      </c>
      <c r="B4211" s="83" t="s">
        <v>5017</v>
      </c>
      <c r="C4211" s="83" t="s">
        <v>11278</v>
      </c>
      <c r="D4211" s="83" t="s">
        <v>11279</v>
      </c>
    </row>
    <row r="4212" spans="1:4">
      <c r="A4212" s="83" t="s">
        <v>11277</v>
      </c>
      <c r="B4212" s="83" t="s">
        <v>5012</v>
      </c>
      <c r="C4212" s="83" t="s">
        <v>11280</v>
      </c>
      <c r="D4212" s="83" t="s">
        <v>11279</v>
      </c>
    </row>
    <row r="4213" spans="1:4">
      <c r="A4213" s="83" t="s">
        <v>11277</v>
      </c>
      <c r="B4213" s="83" t="s">
        <v>5015</v>
      </c>
      <c r="C4213" s="83" t="s">
        <v>11281</v>
      </c>
      <c r="D4213" s="83" t="s">
        <v>11279</v>
      </c>
    </row>
    <row r="4214" spans="1:4">
      <c r="A4214" s="83" t="s">
        <v>11277</v>
      </c>
      <c r="B4214" s="83" t="s">
        <v>5010</v>
      </c>
      <c r="C4214" s="83" t="s">
        <v>11282</v>
      </c>
      <c r="D4214" s="83" t="s">
        <v>11279</v>
      </c>
    </row>
    <row r="4215" spans="1:4">
      <c r="A4215" s="83" t="s">
        <v>11283</v>
      </c>
      <c r="B4215" s="83" t="s">
        <v>5017</v>
      </c>
      <c r="C4215" s="83" t="s">
        <v>11284</v>
      </c>
      <c r="D4215" s="83" t="s">
        <v>11285</v>
      </c>
    </row>
    <row r="4216" spans="1:4">
      <c r="A4216" s="83" t="s">
        <v>11283</v>
      </c>
      <c r="B4216" s="83" t="s">
        <v>5012</v>
      </c>
      <c r="C4216" s="83" t="s">
        <v>11286</v>
      </c>
      <c r="D4216" s="83" t="s">
        <v>11285</v>
      </c>
    </row>
    <row r="4217" spans="1:4">
      <c r="A4217" s="83" t="s">
        <v>11283</v>
      </c>
      <c r="B4217" s="83" t="s">
        <v>5015</v>
      </c>
      <c r="C4217" s="83" t="s">
        <v>11287</v>
      </c>
      <c r="D4217" s="83" t="s">
        <v>11285</v>
      </c>
    </row>
    <row r="4218" spans="1:4">
      <c r="A4218" s="83" t="s">
        <v>11283</v>
      </c>
      <c r="B4218" s="83" t="s">
        <v>5010</v>
      </c>
      <c r="C4218" s="83" t="s">
        <v>11288</v>
      </c>
      <c r="D4218" s="83" t="s">
        <v>11285</v>
      </c>
    </row>
    <row r="4219" spans="1:4">
      <c r="A4219" s="83" t="s">
        <v>11289</v>
      </c>
      <c r="B4219" s="83" t="s">
        <v>5017</v>
      </c>
      <c r="C4219" s="83" t="s">
        <v>11290</v>
      </c>
      <c r="D4219" s="83" t="s">
        <v>11291</v>
      </c>
    </row>
    <row r="4220" spans="1:4">
      <c r="A4220" s="83" t="s">
        <v>11289</v>
      </c>
      <c r="B4220" s="83" t="s">
        <v>5012</v>
      </c>
      <c r="C4220" s="83" t="s">
        <v>11292</v>
      </c>
      <c r="D4220" s="83" t="s">
        <v>11291</v>
      </c>
    </row>
    <row r="4221" spans="1:4">
      <c r="A4221" s="83" t="s">
        <v>11289</v>
      </c>
      <c r="B4221" s="83" t="s">
        <v>5015</v>
      </c>
      <c r="C4221" s="83" t="s">
        <v>11293</v>
      </c>
      <c r="D4221" s="83" t="s">
        <v>11291</v>
      </c>
    </row>
    <row r="4222" spans="1:4">
      <c r="A4222" s="83" t="s">
        <v>11289</v>
      </c>
      <c r="B4222" s="83" t="s">
        <v>5010</v>
      </c>
      <c r="C4222" s="83" t="s">
        <v>11294</v>
      </c>
      <c r="D4222" s="83" t="s">
        <v>11291</v>
      </c>
    </row>
    <row r="4223" spans="1:4">
      <c r="A4223" s="83" t="s">
        <v>11295</v>
      </c>
      <c r="B4223" s="83" t="s">
        <v>5017</v>
      </c>
      <c r="C4223" s="83" t="s">
        <v>11296</v>
      </c>
      <c r="D4223" s="83" t="s">
        <v>11297</v>
      </c>
    </row>
    <row r="4224" spans="1:4">
      <c r="A4224" s="83" t="s">
        <v>11295</v>
      </c>
      <c r="B4224" s="83" t="s">
        <v>5012</v>
      </c>
      <c r="C4224" s="83" t="s">
        <v>11298</v>
      </c>
      <c r="D4224" s="83" t="s">
        <v>11297</v>
      </c>
    </row>
    <row r="4225" spans="1:4">
      <c r="A4225" s="83" t="s">
        <v>11295</v>
      </c>
      <c r="B4225" s="83" t="s">
        <v>5015</v>
      </c>
      <c r="C4225" s="83" t="s">
        <v>11299</v>
      </c>
      <c r="D4225" s="83" t="s">
        <v>11297</v>
      </c>
    </row>
    <row r="4226" spans="1:4">
      <c r="A4226" s="83" t="s">
        <v>11295</v>
      </c>
      <c r="B4226" s="83" t="s">
        <v>5010</v>
      </c>
      <c r="C4226" s="83" t="s">
        <v>11300</v>
      </c>
      <c r="D4226" s="83" t="s">
        <v>11297</v>
      </c>
    </row>
    <row r="4227" spans="1:4">
      <c r="A4227" s="83" t="s">
        <v>11301</v>
      </c>
      <c r="B4227" s="83" t="s">
        <v>5017</v>
      </c>
      <c r="C4227" s="83" t="s">
        <v>11302</v>
      </c>
      <c r="D4227" s="83" t="s">
        <v>11303</v>
      </c>
    </row>
    <row r="4228" spans="1:4">
      <c r="A4228" s="83" t="s">
        <v>11301</v>
      </c>
      <c r="B4228" s="83" t="s">
        <v>5012</v>
      </c>
      <c r="C4228" s="83" t="s">
        <v>11304</v>
      </c>
      <c r="D4228" s="83" t="s">
        <v>11303</v>
      </c>
    </row>
    <row r="4229" spans="1:4">
      <c r="A4229" s="83" t="s">
        <v>11301</v>
      </c>
      <c r="B4229" s="83" t="s">
        <v>5015</v>
      </c>
      <c r="C4229" s="83" t="s">
        <v>11305</v>
      </c>
      <c r="D4229" s="83" t="s">
        <v>11303</v>
      </c>
    </row>
    <row r="4230" spans="1:4">
      <c r="A4230" s="83" t="s">
        <v>11301</v>
      </c>
      <c r="B4230" s="83" t="s">
        <v>5010</v>
      </c>
      <c r="C4230" s="83" t="s">
        <v>11306</v>
      </c>
      <c r="D4230" s="83" t="s">
        <v>11303</v>
      </c>
    </row>
    <row r="4231" spans="1:4">
      <c r="A4231" s="83" t="s">
        <v>11307</v>
      </c>
      <c r="B4231" s="83" t="s">
        <v>5017</v>
      </c>
      <c r="C4231" s="83" t="s">
        <v>11308</v>
      </c>
      <c r="D4231" s="83" t="s">
        <v>11309</v>
      </c>
    </row>
    <row r="4232" spans="1:4">
      <c r="A4232" s="83" t="s">
        <v>11307</v>
      </c>
      <c r="B4232" s="83" t="s">
        <v>5012</v>
      </c>
      <c r="C4232" s="83" t="s">
        <v>11310</v>
      </c>
      <c r="D4232" s="83" t="s">
        <v>11309</v>
      </c>
    </row>
    <row r="4233" spans="1:4">
      <c r="A4233" s="83" t="s">
        <v>11307</v>
      </c>
      <c r="B4233" s="83" t="s">
        <v>5015</v>
      </c>
      <c r="C4233" s="83" t="s">
        <v>11311</v>
      </c>
      <c r="D4233" s="83" t="s">
        <v>11309</v>
      </c>
    </row>
    <row r="4234" spans="1:4">
      <c r="A4234" s="83" t="s">
        <v>11307</v>
      </c>
      <c r="B4234" s="83" t="s">
        <v>5010</v>
      </c>
      <c r="C4234" s="83" t="s">
        <v>11312</v>
      </c>
      <c r="D4234" s="83" t="s">
        <v>11309</v>
      </c>
    </row>
    <row r="4235" spans="1:4">
      <c r="A4235" s="83" t="s">
        <v>11313</v>
      </c>
      <c r="B4235" s="83" t="s">
        <v>5017</v>
      </c>
      <c r="C4235" s="83" t="s">
        <v>11314</v>
      </c>
      <c r="D4235" s="83" t="s">
        <v>11315</v>
      </c>
    </row>
    <row r="4236" spans="1:4">
      <c r="A4236" s="83" t="s">
        <v>11313</v>
      </c>
      <c r="B4236" s="83" t="s">
        <v>5012</v>
      </c>
      <c r="C4236" s="83" t="s">
        <v>11316</v>
      </c>
      <c r="D4236" s="83" t="s">
        <v>11315</v>
      </c>
    </row>
    <row r="4237" spans="1:4">
      <c r="A4237" s="83" t="s">
        <v>11313</v>
      </c>
      <c r="B4237" s="83" t="s">
        <v>5015</v>
      </c>
      <c r="C4237" s="83" t="s">
        <v>11317</v>
      </c>
      <c r="D4237" s="83" t="s">
        <v>11315</v>
      </c>
    </row>
    <row r="4238" spans="1:4">
      <c r="A4238" s="83" t="s">
        <v>11313</v>
      </c>
      <c r="B4238" s="83" t="s">
        <v>5010</v>
      </c>
      <c r="C4238" s="83" t="s">
        <v>11318</v>
      </c>
      <c r="D4238" s="83" t="s">
        <v>11315</v>
      </c>
    </row>
    <row r="4239" spans="1:4">
      <c r="A4239" s="83" t="s">
        <v>11319</v>
      </c>
      <c r="B4239" s="83" t="s">
        <v>5017</v>
      </c>
      <c r="C4239" s="83" t="s">
        <v>11320</v>
      </c>
      <c r="D4239" s="83" t="s">
        <v>11321</v>
      </c>
    </row>
    <row r="4240" spans="1:4">
      <c r="A4240" s="83" t="s">
        <v>11319</v>
      </c>
      <c r="B4240" s="83" t="s">
        <v>5012</v>
      </c>
      <c r="C4240" s="83" t="s">
        <v>11322</v>
      </c>
      <c r="D4240" s="83" t="s">
        <v>11321</v>
      </c>
    </row>
    <row r="4241" spans="1:4">
      <c r="A4241" s="83" t="s">
        <v>11319</v>
      </c>
      <c r="B4241" s="83" t="s">
        <v>5015</v>
      </c>
      <c r="C4241" s="83" t="s">
        <v>11323</v>
      </c>
      <c r="D4241" s="83" t="s">
        <v>11321</v>
      </c>
    </row>
    <row r="4242" spans="1:4">
      <c r="A4242" s="83" t="s">
        <v>11319</v>
      </c>
      <c r="B4242" s="83" t="s">
        <v>5010</v>
      </c>
      <c r="C4242" s="83" t="s">
        <v>11324</v>
      </c>
      <c r="D4242" s="83" t="s">
        <v>11321</v>
      </c>
    </row>
    <row r="4243" spans="1:4">
      <c r="A4243" s="83" t="s">
        <v>11325</v>
      </c>
      <c r="B4243" s="83" t="s">
        <v>5017</v>
      </c>
      <c r="C4243" s="83" t="s">
        <v>11326</v>
      </c>
      <c r="D4243" s="83" t="s">
        <v>11327</v>
      </c>
    </row>
    <row r="4244" spans="1:4">
      <c r="A4244" s="83" t="s">
        <v>11325</v>
      </c>
      <c r="B4244" s="83" t="s">
        <v>5012</v>
      </c>
      <c r="C4244" s="83" t="s">
        <v>11328</v>
      </c>
      <c r="D4244" s="83" t="s">
        <v>11327</v>
      </c>
    </row>
    <row r="4245" spans="1:4">
      <c r="A4245" s="83" t="s">
        <v>11325</v>
      </c>
      <c r="B4245" s="83" t="s">
        <v>5015</v>
      </c>
      <c r="C4245" s="83" t="s">
        <v>11329</v>
      </c>
      <c r="D4245" s="83" t="s">
        <v>11327</v>
      </c>
    </row>
    <row r="4246" spans="1:4">
      <c r="A4246" s="83" t="s">
        <v>11325</v>
      </c>
      <c r="B4246" s="83" t="s">
        <v>5010</v>
      </c>
      <c r="C4246" s="83" t="s">
        <v>11330</v>
      </c>
      <c r="D4246" s="83" t="s">
        <v>11327</v>
      </c>
    </row>
    <row r="4247" spans="1:4">
      <c r="A4247" s="83" t="s">
        <v>11331</v>
      </c>
      <c r="B4247" s="83" t="s">
        <v>5017</v>
      </c>
      <c r="C4247" s="83" t="s">
        <v>11332</v>
      </c>
      <c r="D4247" s="83" t="s">
        <v>11333</v>
      </c>
    </row>
    <row r="4248" spans="1:4">
      <c r="A4248" s="83" t="s">
        <v>11331</v>
      </c>
      <c r="B4248" s="83" t="s">
        <v>5012</v>
      </c>
      <c r="C4248" s="83" t="s">
        <v>11334</v>
      </c>
      <c r="D4248" s="83" t="s">
        <v>11333</v>
      </c>
    </row>
    <row r="4249" spans="1:4">
      <c r="A4249" s="83" t="s">
        <v>11331</v>
      </c>
      <c r="B4249" s="83" t="s">
        <v>5015</v>
      </c>
      <c r="C4249" s="83" t="s">
        <v>11335</v>
      </c>
      <c r="D4249" s="83" t="s">
        <v>11333</v>
      </c>
    </row>
    <row r="4250" spans="1:4">
      <c r="A4250" s="83" t="s">
        <v>11331</v>
      </c>
      <c r="B4250" s="83" t="s">
        <v>5010</v>
      </c>
      <c r="C4250" s="83" t="s">
        <v>11336</v>
      </c>
      <c r="D4250" s="83" t="s">
        <v>11333</v>
      </c>
    </row>
    <row r="4251" spans="1:4">
      <c r="A4251" s="83" t="s">
        <v>11337</v>
      </c>
      <c r="B4251" s="83" t="s">
        <v>5017</v>
      </c>
      <c r="C4251" s="83" t="s">
        <v>11338</v>
      </c>
      <c r="D4251" s="83" t="s">
        <v>11339</v>
      </c>
    </row>
    <row r="4252" spans="1:4">
      <c r="A4252" s="83" t="s">
        <v>11337</v>
      </c>
      <c r="B4252" s="83" t="s">
        <v>5012</v>
      </c>
      <c r="C4252" s="83" t="s">
        <v>11340</v>
      </c>
      <c r="D4252" s="83" t="s">
        <v>11339</v>
      </c>
    </row>
    <row r="4253" spans="1:4">
      <c r="A4253" s="83" t="s">
        <v>11337</v>
      </c>
      <c r="B4253" s="83" t="s">
        <v>5015</v>
      </c>
      <c r="C4253" s="83" t="s">
        <v>11341</v>
      </c>
      <c r="D4253" s="83" t="s">
        <v>11339</v>
      </c>
    </row>
    <row r="4254" spans="1:4">
      <c r="A4254" s="83" t="s">
        <v>11337</v>
      </c>
      <c r="B4254" s="83" t="s">
        <v>5010</v>
      </c>
      <c r="C4254" s="83" t="s">
        <v>10835</v>
      </c>
      <c r="D4254" s="83" t="s">
        <v>11339</v>
      </c>
    </row>
    <row r="4255" spans="1:4">
      <c r="A4255" s="83" t="s">
        <v>11342</v>
      </c>
      <c r="B4255" s="83" t="s">
        <v>5017</v>
      </c>
      <c r="C4255" s="83" t="s">
        <v>11343</v>
      </c>
      <c r="D4255" s="83" t="s">
        <v>11344</v>
      </c>
    </row>
    <row r="4256" spans="1:4">
      <c r="A4256" s="83" t="s">
        <v>11342</v>
      </c>
      <c r="B4256" s="83" t="s">
        <v>5012</v>
      </c>
      <c r="C4256" s="83" t="s">
        <v>11345</v>
      </c>
      <c r="D4256" s="83" t="s">
        <v>11344</v>
      </c>
    </row>
    <row r="4257" spans="1:4">
      <c r="A4257" s="83" t="s">
        <v>11342</v>
      </c>
      <c r="B4257" s="83" t="s">
        <v>5015</v>
      </c>
      <c r="C4257" s="83" t="s">
        <v>11346</v>
      </c>
      <c r="D4257" s="83" t="s">
        <v>11344</v>
      </c>
    </row>
    <row r="4258" spans="1:4">
      <c r="A4258" s="83" t="s">
        <v>11342</v>
      </c>
      <c r="B4258" s="83" t="s">
        <v>5010</v>
      </c>
      <c r="C4258" s="83" t="s">
        <v>11347</v>
      </c>
      <c r="D4258" s="83" t="s">
        <v>11344</v>
      </c>
    </row>
    <row r="4259" spans="1:4">
      <c r="A4259" s="83" t="s">
        <v>11348</v>
      </c>
      <c r="B4259" s="83" t="s">
        <v>5017</v>
      </c>
      <c r="C4259" s="83" t="s">
        <v>11349</v>
      </c>
      <c r="D4259" s="83" t="s">
        <v>11350</v>
      </c>
    </row>
    <row r="4260" spans="1:4">
      <c r="A4260" s="83" t="s">
        <v>11348</v>
      </c>
      <c r="B4260" s="83" t="s">
        <v>5012</v>
      </c>
      <c r="C4260" s="83" t="s">
        <v>11351</v>
      </c>
      <c r="D4260" s="83" t="s">
        <v>11350</v>
      </c>
    </row>
    <row r="4261" spans="1:4">
      <c r="A4261" s="83" t="s">
        <v>11348</v>
      </c>
      <c r="B4261" s="83" t="s">
        <v>5015</v>
      </c>
      <c r="C4261" s="83" t="s">
        <v>11352</v>
      </c>
      <c r="D4261" s="83" t="s">
        <v>11350</v>
      </c>
    </row>
    <row r="4262" spans="1:4">
      <c r="A4262" s="83" t="s">
        <v>11348</v>
      </c>
      <c r="B4262" s="83" t="s">
        <v>5010</v>
      </c>
      <c r="C4262" s="83" t="s">
        <v>11353</v>
      </c>
      <c r="D4262" s="83" t="s">
        <v>11350</v>
      </c>
    </row>
    <row r="4263" spans="1:4">
      <c r="A4263" s="83" t="s">
        <v>11354</v>
      </c>
      <c r="B4263" s="83" t="s">
        <v>5017</v>
      </c>
      <c r="C4263" s="83" t="s">
        <v>11355</v>
      </c>
      <c r="D4263" s="83" t="s">
        <v>11356</v>
      </c>
    </row>
    <row r="4264" spans="1:4">
      <c r="A4264" s="83" t="s">
        <v>11354</v>
      </c>
      <c r="B4264" s="83" t="s">
        <v>5012</v>
      </c>
      <c r="C4264" s="83" t="s">
        <v>11357</v>
      </c>
      <c r="D4264" s="83" t="s">
        <v>11356</v>
      </c>
    </row>
    <row r="4265" spans="1:4">
      <c r="A4265" s="83" t="s">
        <v>11354</v>
      </c>
      <c r="B4265" s="83" t="s">
        <v>5015</v>
      </c>
      <c r="C4265" s="83" t="s">
        <v>11358</v>
      </c>
      <c r="D4265" s="83" t="s">
        <v>11356</v>
      </c>
    </row>
    <row r="4266" spans="1:4">
      <c r="A4266" s="83" t="s">
        <v>11354</v>
      </c>
      <c r="B4266" s="83" t="s">
        <v>5010</v>
      </c>
      <c r="C4266" s="83" t="s">
        <v>11359</v>
      </c>
      <c r="D4266" s="83" t="s">
        <v>11356</v>
      </c>
    </row>
    <row r="4267" spans="1:4">
      <c r="A4267" s="83" t="s">
        <v>11360</v>
      </c>
      <c r="B4267" s="83" t="s">
        <v>5017</v>
      </c>
      <c r="C4267" s="83" t="s">
        <v>11361</v>
      </c>
      <c r="D4267" s="83" t="s">
        <v>11362</v>
      </c>
    </row>
    <row r="4268" spans="1:4">
      <c r="A4268" s="83" t="s">
        <v>11360</v>
      </c>
      <c r="B4268" s="83" t="s">
        <v>5012</v>
      </c>
      <c r="C4268" s="83" t="s">
        <v>11363</v>
      </c>
      <c r="D4268" s="83" t="s">
        <v>11362</v>
      </c>
    </row>
    <row r="4269" spans="1:4">
      <c r="A4269" s="83" t="s">
        <v>11360</v>
      </c>
      <c r="B4269" s="83" t="s">
        <v>5015</v>
      </c>
      <c r="C4269" s="83" t="s">
        <v>11364</v>
      </c>
      <c r="D4269" s="83" t="s">
        <v>11362</v>
      </c>
    </row>
    <row r="4270" spans="1:4">
      <c r="A4270" s="83" t="s">
        <v>11360</v>
      </c>
      <c r="B4270" s="83" t="s">
        <v>5010</v>
      </c>
      <c r="C4270" s="83" t="s">
        <v>11365</v>
      </c>
      <c r="D4270" s="83" t="s">
        <v>11362</v>
      </c>
    </row>
    <row r="4271" spans="1:4">
      <c r="A4271" s="83" t="s">
        <v>11366</v>
      </c>
      <c r="B4271" s="83" t="s">
        <v>5017</v>
      </c>
      <c r="C4271" s="83" t="s">
        <v>11367</v>
      </c>
      <c r="D4271" s="83" t="s">
        <v>11368</v>
      </c>
    </row>
    <row r="4272" spans="1:4">
      <c r="A4272" s="83" t="s">
        <v>11366</v>
      </c>
      <c r="B4272" s="83" t="s">
        <v>5012</v>
      </c>
      <c r="C4272" s="83" t="s">
        <v>11369</v>
      </c>
      <c r="D4272" s="83" t="s">
        <v>11368</v>
      </c>
    </row>
    <row r="4273" spans="1:4">
      <c r="A4273" s="83" t="s">
        <v>11366</v>
      </c>
      <c r="B4273" s="83" t="s">
        <v>5015</v>
      </c>
      <c r="C4273" s="83" t="s">
        <v>11370</v>
      </c>
      <c r="D4273" s="83" t="s">
        <v>11368</v>
      </c>
    </row>
    <row r="4274" spans="1:4">
      <c r="A4274" s="83" t="s">
        <v>11366</v>
      </c>
      <c r="B4274" s="83" t="s">
        <v>5010</v>
      </c>
      <c r="C4274" s="83" t="s">
        <v>11371</v>
      </c>
      <c r="D4274" s="83" t="s">
        <v>11368</v>
      </c>
    </row>
    <row r="4275" spans="1:4">
      <c r="A4275" s="83" t="s">
        <v>11372</v>
      </c>
      <c r="B4275" s="83" t="s">
        <v>5017</v>
      </c>
      <c r="C4275" s="83" t="s">
        <v>11373</v>
      </c>
      <c r="D4275" s="83" t="s">
        <v>11374</v>
      </c>
    </row>
    <row r="4276" spans="1:4">
      <c r="A4276" s="83" t="s">
        <v>11372</v>
      </c>
      <c r="B4276" s="83" t="s">
        <v>5012</v>
      </c>
      <c r="C4276" s="83" t="s">
        <v>11375</v>
      </c>
      <c r="D4276" s="83" t="s">
        <v>11374</v>
      </c>
    </row>
    <row r="4277" spans="1:4">
      <c r="A4277" s="83" t="s">
        <v>11372</v>
      </c>
      <c r="B4277" s="83" t="s">
        <v>5015</v>
      </c>
      <c r="C4277" s="83" t="s">
        <v>11376</v>
      </c>
      <c r="D4277" s="83" t="s">
        <v>11374</v>
      </c>
    </row>
    <row r="4278" spans="1:4">
      <c r="A4278" s="83" t="s">
        <v>11372</v>
      </c>
      <c r="B4278" s="83" t="s">
        <v>5010</v>
      </c>
      <c r="C4278" s="83" t="s">
        <v>11377</v>
      </c>
      <c r="D4278" s="83" t="s">
        <v>11374</v>
      </c>
    </row>
    <row r="4279" spans="1:4">
      <c r="A4279" s="83" t="s">
        <v>11378</v>
      </c>
      <c r="B4279" s="83" t="s">
        <v>5017</v>
      </c>
      <c r="C4279" s="83" t="s">
        <v>11379</v>
      </c>
      <c r="D4279" s="83" t="s">
        <v>11380</v>
      </c>
    </row>
    <row r="4280" spans="1:4">
      <c r="A4280" s="83" t="s">
        <v>11378</v>
      </c>
      <c r="B4280" s="83" t="s">
        <v>5012</v>
      </c>
      <c r="C4280" s="83" t="s">
        <v>11381</v>
      </c>
      <c r="D4280" s="83" t="s">
        <v>11380</v>
      </c>
    </row>
    <row r="4281" spans="1:4">
      <c r="A4281" s="83" t="s">
        <v>11378</v>
      </c>
      <c r="B4281" s="83" t="s">
        <v>5015</v>
      </c>
      <c r="C4281" s="83" t="s">
        <v>11382</v>
      </c>
      <c r="D4281" s="83" t="s">
        <v>11380</v>
      </c>
    </row>
    <row r="4282" spans="1:4">
      <c r="A4282" s="83" t="s">
        <v>11378</v>
      </c>
      <c r="B4282" s="83" t="s">
        <v>5010</v>
      </c>
      <c r="C4282" s="83" t="s">
        <v>11383</v>
      </c>
      <c r="D4282" s="83" t="s">
        <v>11380</v>
      </c>
    </row>
    <row r="4283" spans="1:4">
      <c r="A4283" s="83" t="s">
        <v>11384</v>
      </c>
      <c r="B4283" s="83" t="s">
        <v>5017</v>
      </c>
      <c r="C4283" s="83" t="s">
        <v>11385</v>
      </c>
      <c r="D4283" s="83" t="s">
        <v>11386</v>
      </c>
    </row>
    <row r="4284" spans="1:4">
      <c r="A4284" s="83" t="s">
        <v>11384</v>
      </c>
      <c r="B4284" s="83" t="s">
        <v>5012</v>
      </c>
      <c r="C4284" s="83" t="s">
        <v>11387</v>
      </c>
      <c r="D4284" s="83" t="s">
        <v>11386</v>
      </c>
    </row>
    <row r="4285" spans="1:4">
      <c r="A4285" s="83" t="s">
        <v>11384</v>
      </c>
      <c r="B4285" s="83" t="s">
        <v>5015</v>
      </c>
      <c r="C4285" s="83" t="s">
        <v>11388</v>
      </c>
      <c r="D4285" s="83" t="s">
        <v>11386</v>
      </c>
    </row>
    <row r="4286" spans="1:4">
      <c r="A4286" s="83" t="s">
        <v>11384</v>
      </c>
      <c r="B4286" s="83" t="s">
        <v>5010</v>
      </c>
      <c r="C4286" s="83" t="s">
        <v>11389</v>
      </c>
      <c r="D4286" s="83" t="s">
        <v>11386</v>
      </c>
    </row>
    <row r="4287" spans="1:4">
      <c r="A4287" s="83" t="s">
        <v>11390</v>
      </c>
      <c r="B4287" s="83" t="s">
        <v>5017</v>
      </c>
      <c r="C4287" s="83" t="s">
        <v>11391</v>
      </c>
      <c r="D4287" s="83" t="s">
        <v>11392</v>
      </c>
    </row>
    <row r="4288" spans="1:4">
      <c r="A4288" s="83" t="s">
        <v>11390</v>
      </c>
      <c r="B4288" s="83" t="s">
        <v>5012</v>
      </c>
      <c r="C4288" s="83" t="s">
        <v>11393</v>
      </c>
      <c r="D4288" s="83" t="s">
        <v>11392</v>
      </c>
    </row>
    <row r="4289" spans="1:4">
      <c r="A4289" s="83" t="s">
        <v>11390</v>
      </c>
      <c r="B4289" s="83" t="s">
        <v>5015</v>
      </c>
      <c r="C4289" s="83" t="s">
        <v>11394</v>
      </c>
      <c r="D4289" s="83" t="s">
        <v>11392</v>
      </c>
    </row>
    <row r="4290" spans="1:4">
      <c r="A4290" s="83" t="s">
        <v>11390</v>
      </c>
      <c r="B4290" s="83" t="s">
        <v>5010</v>
      </c>
      <c r="C4290" s="83" t="s">
        <v>11395</v>
      </c>
      <c r="D4290" s="83" t="s">
        <v>11392</v>
      </c>
    </row>
    <row r="4291" spans="1:4">
      <c r="A4291" s="83" t="s">
        <v>11396</v>
      </c>
      <c r="B4291" s="83" t="s">
        <v>5017</v>
      </c>
      <c r="C4291" s="83" t="s">
        <v>11397</v>
      </c>
      <c r="D4291" s="83" t="s">
        <v>11398</v>
      </c>
    </row>
    <row r="4292" spans="1:4">
      <c r="A4292" s="83" t="s">
        <v>11396</v>
      </c>
      <c r="B4292" s="83" t="s">
        <v>5012</v>
      </c>
      <c r="C4292" s="83" t="s">
        <v>11399</v>
      </c>
      <c r="D4292" s="83" t="s">
        <v>11398</v>
      </c>
    </row>
    <row r="4293" spans="1:4">
      <c r="A4293" s="83" t="s">
        <v>11396</v>
      </c>
      <c r="B4293" s="83" t="s">
        <v>5015</v>
      </c>
      <c r="C4293" s="83" t="s">
        <v>11400</v>
      </c>
      <c r="D4293" s="83" t="s">
        <v>11398</v>
      </c>
    </row>
    <row r="4294" spans="1:4">
      <c r="A4294" s="83" t="s">
        <v>11396</v>
      </c>
      <c r="B4294" s="83" t="s">
        <v>5010</v>
      </c>
      <c r="C4294" s="83" t="s">
        <v>11401</v>
      </c>
      <c r="D4294" s="83" t="s">
        <v>11398</v>
      </c>
    </row>
    <row r="4295" spans="1:4">
      <c r="A4295" s="83" t="s">
        <v>11402</v>
      </c>
      <c r="B4295" s="83" t="s">
        <v>5017</v>
      </c>
      <c r="C4295" s="83" t="s">
        <v>11403</v>
      </c>
      <c r="D4295" s="83" t="s">
        <v>11404</v>
      </c>
    </row>
    <row r="4296" spans="1:4">
      <c r="A4296" s="83" t="s">
        <v>11402</v>
      </c>
      <c r="B4296" s="83" t="s">
        <v>5012</v>
      </c>
      <c r="C4296" s="83" t="s">
        <v>11405</v>
      </c>
      <c r="D4296" s="83" t="s">
        <v>11404</v>
      </c>
    </row>
    <row r="4297" spans="1:4">
      <c r="A4297" s="83" t="s">
        <v>11402</v>
      </c>
      <c r="B4297" s="83" t="s">
        <v>5015</v>
      </c>
      <c r="C4297" s="83" t="s">
        <v>11406</v>
      </c>
      <c r="D4297" s="83" t="s">
        <v>11404</v>
      </c>
    </row>
    <row r="4298" spans="1:4">
      <c r="A4298" s="83" t="s">
        <v>11402</v>
      </c>
      <c r="B4298" s="83" t="s">
        <v>5010</v>
      </c>
      <c r="C4298" s="83" t="s">
        <v>11407</v>
      </c>
      <c r="D4298" s="83" t="s">
        <v>11404</v>
      </c>
    </row>
    <row r="4299" spans="1:4">
      <c r="A4299" s="83" t="s">
        <v>11408</v>
      </c>
      <c r="B4299" s="83" t="s">
        <v>5017</v>
      </c>
      <c r="C4299" s="83" t="s">
        <v>11409</v>
      </c>
      <c r="D4299" s="83" t="s">
        <v>11410</v>
      </c>
    </row>
    <row r="4300" spans="1:4">
      <c r="A4300" s="83" t="s">
        <v>11408</v>
      </c>
      <c r="B4300" s="83" t="s">
        <v>5012</v>
      </c>
      <c r="C4300" s="83" t="s">
        <v>11411</v>
      </c>
      <c r="D4300" s="83" t="s">
        <v>11410</v>
      </c>
    </row>
    <row r="4301" spans="1:4">
      <c r="A4301" s="83" t="s">
        <v>11408</v>
      </c>
      <c r="B4301" s="83" t="s">
        <v>5015</v>
      </c>
      <c r="C4301" s="83" t="s">
        <v>11412</v>
      </c>
      <c r="D4301" s="83" t="s">
        <v>11410</v>
      </c>
    </row>
    <row r="4302" spans="1:4">
      <c r="A4302" s="83" t="s">
        <v>11408</v>
      </c>
      <c r="B4302" s="83" t="s">
        <v>5010</v>
      </c>
      <c r="C4302" s="83" t="s">
        <v>11413</v>
      </c>
      <c r="D4302" s="83" t="s">
        <v>11410</v>
      </c>
    </row>
    <row r="4303" spans="1:4">
      <c r="A4303" s="83" t="s">
        <v>11414</v>
      </c>
      <c r="B4303" s="83" t="s">
        <v>5017</v>
      </c>
      <c r="C4303" s="83" t="s">
        <v>11415</v>
      </c>
      <c r="D4303" s="83" t="s">
        <v>11416</v>
      </c>
    </row>
    <row r="4304" spans="1:4">
      <c r="A4304" s="83" t="s">
        <v>11414</v>
      </c>
      <c r="B4304" s="83" t="s">
        <v>5012</v>
      </c>
      <c r="C4304" s="83" t="s">
        <v>11417</v>
      </c>
      <c r="D4304" s="83" t="s">
        <v>11416</v>
      </c>
    </row>
    <row r="4305" spans="1:4">
      <c r="A4305" s="83" t="s">
        <v>11414</v>
      </c>
      <c r="B4305" s="83" t="s">
        <v>5015</v>
      </c>
      <c r="C4305" s="83" t="s">
        <v>11418</v>
      </c>
      <c r="D4305" s="83" t="s">
        <v>11416</v>
      </c>
    </row>
    <row r="4306" spans="1:4">
      <c r="A4306" s="83" t="s">
        <v>11414</v>
      </c>
      <c r="B4306" s="83" t="s">
        <v>5010</v>
      </c>
      <c r="C4306" s="83" t="s">
        <v>11419</v>
      </c>
      <c r="D4306" s="83" t="s">
        <v>11416</v>
      </c>
    </row>
    <row r="4307" spans="1:4">
      <c r="A4307" s="83" t="s">
        <v>11420</v>
      </c>
      <c r="B4307" s="83" t="s">
        <v>5017</v>
      </c>
      <c r="C4307" s="83" t="s">
        <v>11421</v>
      </c>
      <c r="D4307" s="83" t="s">
        <v>11422</v>
      </c>
    </row>
    <row r="4308" spans="1:4">
      <c r="A4308" s="83" t="s">
        <v>11420</v>
      </c>
      <c r="B4308" s="83" t="s">
        <v>5012</v>
      </c>
      <c r="C4308" s="83" t="s">
        <v>11423</v>
      </c>
      <c r="D4308" s="83" t="s">
        <v>11422</v>
      </c>
    </row>
    <row r="4309" spans="1:4">
      <c r="A4309" s="83" t="s">
        <v>11420</v>
      </c>
      <c r="B4309" s="83" t="s">
        <v>5015</v>
      </c>
      <c r="C4309" s="83" t="s">
        <v>11424</v>
      </c>
      <c r="D4309" s="83" t="s">
        <v>11422</v>
      </c>
    </row>
    <row r="4310" spans="1:4">
      <c r="A4310" s="83" t="s">
        <v>11420</v>
      </c>
      <c r="B4310" s="83" t="s">
        <v>5010</v>
      </c>
      <c r="C4310" s="83" t="s">
        <v>11425</v>
      </c>
      <c r="D4310" s="83" t="s">
        <v>11422</v>
      </c>
    </row>
    <row r="4311" spans="1:4">
      <c r="A4311" s="83" t="s">
        <v>11426</v>
      </c>
      <c r="B4311" s="83" t="s">
        <v>5017</v>
      </c>
      <c r="C4311" s="83" t="s">
        <v>11427</v>
      </c>
      <c r="D4311" s="83" t="s">
        <v>11428</v>
      </c>
    </row>
    <row r="4312" spans="1:4">
      <c r="A4312" s="83" t="s">
        <v>11426</v>
      </c>
      <c r="B4312" s="83" t="s">
        <v>5012</v>
      </c>
      <c r="C4312" s="83" t="s">
        <v>11429</v>
      </c>
      <c r="D4312" s="83" t="s">
        <v>11428</v>
      </c>
    </row>
    <row r="4313" spans="1:4">
      <c r="A4313" s="83" t="s">
        <v>11426</v>
      </c>
      <c r="B4313" s="83" t="s">
        <v>5015</v>
      </c>
      <c r="C4313" s="83" t="s">
        <v>11430</v>
      </c>
      <c r="D4313" s="83" t="s">
        <v>11428</v>
      </c>
    </row>
    <row r="4314" spans="1:4">
      <c r="A4314" s="83" t="s">
        <v>11426</v>
      </c>
      <c r="B4314" s="83" t="s">
        <v>5010</v>
      </c>
      <c r="C4314" s="83" t="s">
        <v>11431</v>
      </c>
      <c r="D4314" s="83" t="s">
        <v>11428</v>
      </c>
    </row>
    <row r="4315" spans="1:4">
      <c r="A4315" s="83" t="s">
        <v>11432</v>
      </c>
      <c r="B4315" s="83" t="s">
        <v>5017</v>
      </c>
      <c r="C4315" s="83" t="s">
        <v>11433</v>
      </c>
      <c r="D4315" s="83" t="s">
        <v>11434</v>
      </c>
    </row>
    <row r="4316" spans="1:4">
      <c r="A4316" s="83" t="s">
        <v>11432</v>
      </c>
      <c r="B4316" s="83" t="s">
        <v>5012</v>
      </c>
      <c r="C4316" s="83" t="s">
        <v>11435</v>
      </c>
      <c r="D4316" s="83" t="s">
        <v>11434</v>
      </c>
    </row>
    <row r="4317" spans="1:4">
      <c r="A4317" s="83" t="s">
        <v>11432</v>
      </c>
      <c r="B4317" s="83" t="s">
        <v>5015</v>
      </c>
      <c r="C4317" s="83" t="s">
        <v>11436</v>
      </c>
      <c r="D4317" s="83" t="s">
        <v>11434</v>
      </c>
    </row>
    <row r="4318" spans="1:4">
      <c r="A4318" s="83" t="s">
        <v>11432</v>
      </c>
      <c r="B4318" s="83" t="s">
        <v>5010</v>
      </c>
      <c r="C4318" s="83" t="s">
        <v>11437</v>
      </c>
      <c r="D4318" s="83" t="s">
        <v>11434</v>
      </c>
    </row>
    <row r="4319" spans="1:4">
      <c r="A4319" s="83" t="s">
        <v>11438</v>
      </c>
      <c r="B4319" s="83" t="s">
        <v>5017</v>
      </c>
      <c r="C4319" s="83" t="s">
        <v>11439</v>
      </c>
      <c r="D4319" s="83" t="s">
        <v>11440</v>
      </c>
    </row>
    <row r="4320" spans="1:4">
      <c r="A4320" s="83" t="s">
        <v>11438</v>
      </c>
      <c r="B4320" s="83" t="s">
        <v>5012</v>
      </c>
      <c r="C4320" s="83" t="s">
        <v>11441</v>
      </c>
      <c r="D4320" s="83" t="s">
        <v>11440</v>
      </c>
    </row>
    <row r="4321" spans="1:4">
      <c r="A4321" s="83" t="s">
        <v>11438</v>
      </c>
      <c r="B4321" s="83" t="s">
        <v>5015</v>
      </c>
      <c r="C4321" s="83" t="s">
        <v>11442</v>
      </c>
      <c r="D4321" s="83" t="s">
        <v>11440</v>
      </c>
    </row>
    <row r="4322" spans="1:4">
      <c r="A4322" s="83" t="s">
        <v>11438</v>
      </c>
      <c r="B4322" s="83" t="s">
        <v>5010</v>
      </c>
      <c r="C4322" s="83" t="s">
        <v>11443</v>
      </c>
      <c r="D4322" s="83" t="s">
        <v>11440</v>
      </c>
    </row>
    <row r="4323" spans="1:4">
      <c r="A4323" s="83" t="s">
        <v>11444</v>
      </c>
      <c r="B4323" s="83" t="s">
        <v>5017</v>
      </c>
      <c r="C4323" s="83" t="s">
        <v>11445</v>
      </c>
      <c r="D4323" s="83" t="s">
        <v>11446</v>
      </c>
    </row>
    <row r="4324" spans="1:4">
      <c r="A4324" s="83" t="s">
        <v>11444</v>
      </c>
      <c r="B4324" s="83" t="s">
        <v>5012</v>
      </c>
      <c r="C4324" s="83" t="s">
        <v>11447</v>
      </c>
      <c r="D4324" s="83" t="s">
        <v>11446</v>
      </c>
    </row>
    <row r="4325" spans="1:4">
      <c r="A4325" s="83" t="s">
        <v>11444</v>
      </c>
      <c r="B4325" s="83" t="s">
        <v>5015</v>
      </c>
      <c r="C4325" s="83" t="s">
        <v>11448</v>
      </c>
      <c r="D4325" s="83" t="s">
        <v>11446</v>
      </c>
    </row>
    <row r="4326" spans="1:4">
      <c r="A4326" s="83" t="s">
        <v>11444</v>
      </c>
      <c r="B4326" s="83" t="s">
        <v>5010</v>
      </c>
      <c r="C4326" s="83" t="s">
        <v>11449</v>
      </c>
      <c r="D4326" s="83" t="s">
        <v>11446</v>
      </c>
    </row>
    <row r="4327" spans="1:4">
      <c r="A4327" s="83" t="s">
        <v>11450</v>
      </c>
      <c r="B4327" s="83" t="s">
        <v>5017</v>
      </c>
      <c r="C4327" s="83" t="s">
        <v>11451</v>
      </c>
      <c r="D4327" s="83" t="s">
        <v>11452</v>
      </c>
    </row>
    <row r="4328" spans="1:4">
      <c r="A4328" s="83" t="s">
        <v>11450</v>
      </c>
      <c r="B4328" s="83" t="s">
        <v>5012</v>
      </c>
      <c r="C4328" s="83" t="s">
        <v>11453</v>
      </c>
      <c r="D4328" s="83" t="s">
        <v>11452</v>
      </c>
    </row>
    <row r="4329" spans="1:4">
      <c r="A4329" s="83" t="s">
        <v>11450</v>
      </c>
      <c r="B4329" s="83" t="s">
        <v>5015</v>
      </c>
      <c r="C4329" s="83" t="s">
        <v>11454</v>
      </c>
      <c r="D4329" s="83" t="s">
        <v>11452</v>
      </c>
    </row>
    <row r="4330" spans="1:4">
      <c r="A4330" s="83" t="s">
        <v>11450</v>
      </c>
      <c r="B4330" s="83" t="s">
        <v>5010</v>
      </c>
      <c r="C4330" s="83" t="s">
        <v>11455</v>
      </c>
      <c r="D4330" s="83" t="s">
        <v>11452</v>
      </c>
    </row>
    <row r="4331" spans="1:4">
      <c r="A4331" s="83" t="s">
        <v>11456</v>
      </c>
      <c r="B4331" s="83" t="s">
        <v>5017</v>
      </c>
      <c r="C4331" s="83" t="s">
        <v>11457</v>
      </c>
      <c r="D4331" s="83" t="s">
        <v>11458</v>
      </c>
    </row>
    <row r="4332" spans="1:4">
      <c r="A4332" s="83" t="s">
        <v>11456</v>
      </c>
      <c r="B4332" s="83" t="s">
        <v>5012</v>
      </c>
      <c r="C4332" s="83" t="s">
        <v>11459</v>
      </c>
      <c r="D4332" s="83" t="s">
        <v>11458</v>
      </c>
    </row>
    <row r="4333" spans="1:4">
      <c r="A4333" s="83" t="s">
        <v>11456</v>
      </c>
      <c r="B4333" s="83" t="s">
        <v>5015</v>
      </c>
      <c r="C4333" s="83" t="s">
        <v>11460</v>
      </c>
      <c r="D4333" s="83" t="s">
        <v>11458</v>
      </c>
    </row>
    <row r="4334" spans="1:4">
      <c r="A4334" s="83" t="s">
        <v>11456</v>
      </c>
      <c r="B4334" s="83" t="s">
        <v>5010</v>
      </c>
      <c r="C4334" s="83" t="s">
        <v>11461</v>
      </c>
      <c r="D4334" s="83" t="s">
        <v>11458</v>
      </c>
    </row>
    <row r="4335" spans="1:4">
      <c r="A4335" s="83" t="s">
        <v>11462</v>
      </c>
      <c r="B4335" s="83" t="s">
        <v>5017</v>
      </c>
      <c r="C4335" s="83" t="s">
        <v>11463</v>
      </c>
      <c r="D4335" s="83" t="s">
        <v>11464</v>
      </c>
    </row>
    <row r="4336" spans="1:4">
      <c r="A4336" s="83" t="s">
        <v>11462</v>
      </c>
      <c r="B4336" s="83" t="s">
        <v>5012</v>
      </c>
      <c r="C4336" s="83" t="s">
        <v>11465</v>
      </c>
      <c r="D4336" s="83" t="s">
        <v>11464</v>
      </c>
    </row>
    <row r="4337" spans="1:4">
      <c r="A4337" s="83" t="s">
        <v>11462</v>
      </c>
      <c r="B4337" s="83" t="s">
        <v>5015</v>
      </c>
      <c r="C4337" s="83" t="s">
        <v>11466</v>
      </c>
      <c r="D4337" s="83" t="s">
        <v>11464</v>
      </c>
    </row>
    <row r="4338" spans="1:4">
      <c r="A4338" s="83" t="s">
        <v>11462</v>
      </c>
      <c r="B4338" s="83" t="s">
        <v>5010</v>
      </c>
      <c r="C4338" s="83" t="s">
        <v>11467</v>
      </c>
      <c r="D4338" s="83" t="s">
        <v>11464</v>
      </c>
    </row>
    <row r="4339" spans="1:4">
      <c r="A4339" s="83" t="s">
        <v>11468</v>
      </c>
      <c r="B4339" s="83" t="s">
        <v>5017</v>
      </c>
      <c r="C4339" s="83" t="s">
        <v>11469</v>
      </c>
      <c r="D4339" s="83" t="s">
        <v>11470</v>
      </c>
    </row>
    <row r="4340" spans="1:4">
      <c r="A4340" s="83" t="s">
        <v>11468</v>
      </c>
      <c r="B4340" s="83" t="s">
        <v>5012</v>
      </c>
      <c r="C4340" s="83" t="s">
        <v>11471</v>
      </c>
      <c r="D4340" s="83" t="s">
        <v>11470</v>
      </c>
    </row>
    <row r="4341" spans="1:4">
      <c r="A4341" s="83" t="s">
        <v>11468</v>
      </c>
      <c r="B4341" s="83" t="s">
        <v>5015</v>
      </c>
      <c r="C4341" s="83" t="s">
        <v>11472</v>
      </c>
      <c r="D4341" s="83" t="s">
        <v>11470</v>
      </c>
    </row>
    <row r="4342" spans="1:4">
      <c r="A4342" s="83" t="s">
        <v>11468</v>
      </c>
      <c r="B4342" s="83" t="s">
        <v>5010</v>
      </c>
      <c r="C4342" s="83" t="s">
        <v>11473</v>
      </c>
      <c r="D4342" s="83" t="s">
        <v>11470</v>
      </c>
    </row>
    <row r="4343" spans="1:4">
      <c r="A4343" s="83" t="s">
        <v>11474</v>
      </c>
      <c r="B4343" s="83" t="s">
        <v>5017</v>
      </c>
      <c r="C4343" s="83" t="s">
        <v>11475</v>
      </c>
      <c r="D4343" s="83" t="s">
        <v>11476</v>
      </c>
    </row>
    <row r="4344" spans="1:4">
      <c r="A4344" s="83" t="s">
        <v>11474</v>
      </c>
      <c r="B4344" s="83" t="s">
        <v>5012</v>
      </c>
      <c r="C4344" s="83" t="s">
        <v>11477</v>
      </c>
      <c r="D4344" s="83" t="s">
        <v>11476</v>
      </c>
    </row>
    <row r="4345" spans="1:4">
      <c r="A4345" s="83" t="s">
        <v>11474</v>
      </c>
      <c r="B4345" s="83" t="s">
        <v>5015</v>
      </c>
      <c r="C4345" s="83" t="s">
        <v>11478</v>
      </c>
      <c r="D4345" s="83" t="s">
        <v>11476</v>
      </c>
    </row>
    <row r="4346" spans="1:4">
      <c r="A4346" s="83" t="s">
        <v>11474</v>
      </c>
      <c r="B4346" s="83" t="s">
        <v>5010</v>
      </c>
      <c r="C4346" s="83" t="s">
        <v>11479</v>
      </c>
      <c r="D4346" s="83" t="s">
        <v>11476</v>
      </c>
    </row>
    <row r="4347" spans="1:4">
      <c r="A4347" s="83" t="s">
        <v>11480</v>
      </c>
      <c r="B4347" s="83" t="s">
        <v>5017</v>
      </c>
      <c r="C4347" s="83" t="s">
        <v>11481</v>
      </c>
      <c r="D4347" s="83" t="s">
        <v>11482</v>
      </c>
    </row>
    <row r="4348" spans="1:4">
      <c r="A4348" s="83" t="s">
        <v>11480</v>
      </c>
      <c r="B4348" s="83" t="s">
        <v>5012</v>
      </c>
      <c r="C4348" s="83" t="s">
        <v>11483</v>
      </c>
      <c r="D4348" s="83" t="s">
        <v>11482</v>
      </c>
    </row>
    <row r="4349" spans="1:4">
      <c r="A4349" s="83" t="s">
        <v>11480</v>
      </c>
      <c r="B4349" s="83" t="s">
        <v>5015</v>
      </c>
      <c r="C4349" s="83" t="s">
        <v>11484</v>
      </c>
      <c r="D4349" s="83" t="s">
        <v>11482</v>
      </c>
    </row>
    <row r="4350" spans="1:4">
      <c r="A4350" s="83" t="s">
        <v>11480</v>
      </c>
      <c r="B4350" s="83" t="s">
        <v>5010</v>
      </c>
      <c r="C4350" s="83" t="s">
        <v>11485</v>
      </c>
      <c r="D4350" s="83" t="s">
        <v>11482</v>
      </c>
    </row>
    <row r="4351" spans="1:4">
      <c r="A4351" s="83" t="s">
        <v>11486</v>
      </c>
      <c r="B4351" s="83" t="s">
        <v>5017</v>
      </c>
      <c r="C4351" s="83" t="s">
        <v>11487</v>
      </c>
      <c r="D4351" s="83" t="s">
        <v>11488</v>
      </c>
    </row>
    <row r="4352" spans="1:4">
      <c r="A4352" s="83" t="s">
        <v>11486</v>
      </c>
      <c r="B4352" s="83" t="s">
        <v>5012</v>
      </c>
      <c r="C4352" s="83" t="s">
        <v>11489</v>
      </c>
      <c r="D4352" s="83" t="s">
        <v>11488</v>
      </c>
    </row>
    <row r="4353" spans="1:4">
      <c r="A4353" s="83" t="s">
        <v>11486</v>
      </c>
      <c r="B4353" s="83" t="s">
        <v>5015</v>
      </c>
      <c r="C4353" s="83" t="s">
        <v>11490</v>
      </c>
      <c r="D4353" s="83" t="s">
        <v>11488</v>
      </c>
    </row>
    <row r="4354" spans="1:4">
      <c r="A4354" s="83" t="s">
        <v>11486</v>
      </c>
      <c r="B4354" s="83" t="s">
        <v>5010</v>
      </c>
      <c r="C4354" s="83" t="s">
        <v>11491</v>
      </c>
      <c r="D4354" s="83" t="s">
        <v>11488</v>
      </c>
    </row>
    <row r="4355" spans="1:4">
      <c r="A4355" s="83" t="s">
        <v>11492</v>
      </c>
      <c r="B4355" s="83" t="s">
        <v>5017</v>
      </c>
      <c r="C4355" s="83" t="s">
        <v>11493</v>
      </c>
      <c r="D4355" s="83" t="s">
        <v>11494</v>
      </c>
    </row>
    <row r="4356" spans="1:4">
      <c r="A4356" s="83" t="s">
        <v>11492</v>
      </c>
      <c r="B4356" s="83" t="s">
        <v>5012</v>
      </c>
      <c r="C4356" s="83" t="s">
        <v>11495</v>
      </c>
      <c r="D4356" s="83" t="s">
        <v>11494</v>
      </c>
    </row>
    <row r="4357" spans="1:4">
      <c r="A4357" s="83" t="s">
        <v>11492</v>
      </c>
      <c r="B4357" s="83" t="s">
        <v>5015</v>
      </c>
      <c r="C4357" s="83" t="s">
        <v>11496</v>
      </c>
      <c r="D4357" s="83" t="s">
        <v>11494</v>
      </c>
    </row>
    <row r="4358" spans="1:4">
      <c r="A4358" s="83" t="s">
        <v>11492</v>
      </c>
      <c r="B4358" s="83" t="s">
        <v>5010</v>
      </c>
      <c r="C4358" s="83" t="s">
        <v>11497</v>
      </c>
      <c r="D4358" s="83" t="s">
        <v>11494</v>
      </c>
    </row>
    <row r="4359" spans="1:4">
      <c r="A4359" s="83" t="s">
        <v>11498</v>
      </c>
      <c r="B4359" s="83" t="s">
        <v>5017</v>
      </c>
      <c r="C4359" s="83" t="s">
        <v>11499</v>
      </c>
      <c r="D4359" s="83" t="s">
        <v>11500</v>
      </c>
    </row>
    <row r="4360" spans="1:4">
      <c r="A4360" s="83" t="s">
        <v>11498</v>
      </c>
      <c r="B4360" s="83" t="s">
        <v>5012</v>
      </c>
      <c r="C4360" s="83" t="s">
        <v>11501</v>
      </c>
      <c r="D4360" s="83" t="s">
        <v>11500</v>
      </c>
    </row>
    <row r="4361" spans="1:4">
      <c r="A4361" s="83" t="s">
        <v>11498</v>
      </c>
      <c r="B4361" s="83" t="s">
        <v>5015</v>
      </c>
      <c r="C4361" s="83" t="s">
        <v>11502</v>
      </c>
      <c r="D4361" s="83" t="s">
        <v>11500</v>
      </c>
    </row>
    <row r="4362" spans="1:4">
      <c r="A4362" s="83" t="s">
        <v>11498</v>
      </c>
      <c r="B4362" s="83" t="s">
        <v>5010</v>
      </c>
      <c r="C4362" s="83" t="s">
        <v>11503</v>
      </c>
      <c r="D4362" s="83" t="s">
        <v>11500</v>
      </c>
    </row>
    <row r="4363" spans="1:4">
      <c r="A4363" s="83" t="s">
        <v>11504</v>
      </c>
      <c r="B4363" s="83" t="s">
        <v>5017</v>
      </c>
      <c r="C4363" s="83" t="s">
        <v>11505</v>
      </c>
      <c r="D4363" s="83" t="s">
        <v>11506</v>
      </c>
    </row>
    <row r="4364" spans="1:4">
      <c r="A4364" s="83" t="s">
        <v>11504</v>
      </c>
      <c r="B4364" s="83" t="s">
        <v>5012</v>
      </c>
      <c r="C4364" s="83" t="s">
        <v>11507</v>
      </c>
      <c r="D4364" s="83" t="s">
        <v>11506</v>
      </c>
    </row>
    <row r="4365" spans="1:4">
      <c r="A4365" s="83" t="s">
        <v>11504</v>
      </c>
      <c r="B4365" s="83" t="s">
        <v>5015</v>
      </c>
      <c r="C4365" s="83" t="s">
        <v>11508</v>
      </c>
      <c r="D4365" s="83" t="s">
        <v>11506</v>
      </c>
    </row>
    <row r="4366" spans="1:4">
      <c r="A4366" s="83" t="s">
        <v>11504</v>
      </c>
      <c r="B4366" s="83" t="s">
        <v>5010</v>
      </c>
      <c r="C4366" s="83" t="s">
        <v>11509</v>
      </c>
      <c r="D4366" s="83" t="s">
        <v>11506</v>
      </c>
    </row>
    <row r="4367" spans="1:4">
      <c r="A4367" s="83" t="s">
        <v>11510</v>
      </c>
      <c r="B4367" s="83" t="s">
        <v>5017</v>
      </c>
      <c r="C4367" s="83" t="s">
        <v>11511</v>
      </c>
      <c r="D4367" s="83" t="s">
        <v>11512</v>
      </c>
    </row>
    <row r="4368" spans="1:4">
      <c r="A4368" s="83" t="s">
        <v>11510</v>
      </c>
      <c r="B4368" s="83" t="s">
        <v>5012</v>
      </c>
      <c r="C4368" s="83" t="s">
        <v>11513</v>
      </c>
      <c r="D4368" s="83" t="s">
        <v>11512</v>
      </c>
    </row>
    <row r="4369" spans="1:4">
      <c r="A4369" s="83" t="s">
        <v>11510</v>
      </c>
      <c r="B4369" s="83" t="s">
        <v>5015</v>
      </c>
      <c r="C4369" s="83" t="s">
        <v>11514</v>
      </c>
      <c r="D4369" s="83" t="s">
        <v>11512</v>
      </c>
    </row>
    <row r="4370" spans="1:4">
      <c r="A4370" s="83" t="s">
        <v>11510</v>
      </c>
      <c r="B4370" s="83" t="s">
        <v>5010</v>
      </c>
      <c r="C4370" s="83" t="s">
        <v>11515</v>
      </c>
      <c r="D4370" s="83" t="s">
        <v>11512</v>
      </c>
    </row>
    <row r="4371" spans="1:4">
      <c r="A4371" s="83" t="s">
        <v>11516</v>
      </c>
      <c r="B4371" s="83" t="s">
        <v>5017</v>
      </c>
      <c r="C4371" s="83" t="s">
        <v>11517</v>
      </c>
      <c r="D4371" s="83" t="s">
        <v>11518</v>
      </c>
    </row>
    <row r="4372" spans="1:4">
      <c r="A4372" s="83" t="s">
        <v>11516</v>
      </c>
      <c r="B4372" s="83" t="s">
        <v>5012</v>
      </c>
      <c r="C4372" s="83" t="s">
        <v>11519</v>
      </c>
      <c r="D4372" s="83" t="s">
        <v>11518</v>
      </c>
    </row>
    <row r="4373" spans="1:4">
      <c r="A4373" s="83" t="s">
        <v>11516</v>
      </c>
      <c r="B4373" s="83" t="s">
        <v>5015</v>
      </c>
      <c r="C4373" s="83" t="s">
        <v>11520</v>
      </c>
      <c r="D4373" s="83" t="s">
        <v>11518</v>
      </c>
    </row>
    <row r="4374" spans="1:4">
      <c r="A4374" s="83" t="s">
        <v>11516</v>
      </c>
      <c r="B4374" s="83" t="s">
        <v>5010</v>
      </c>
      <c r="C4374" s="83" t="s">
        <v>11521</v>
      </c>
      <c r="D4374" s="83" t="s">
        <v>11518</v>
      </c>
    </row>
    <row r="4375" spans="1:4">
      <c r="A4375" s="83" t="s">
        <v>11522</v>
      </c>
      <c r="B4375" s="83" t="s">
        <v>5017</v>
      </c>
      <c r="C4375" s="83" t="s">
        <v>11523</v>
      </c>
      <c r="D4375" s="83" t="s">
        <v>11524</v>
      </c>
    </row>
    <row r="4376" spans="1:4">
      <c r="A4376" s="83" t="s">
        <v>11522</v>
      </c>
      <c r="B4376" s="83" t="s">
        <v>5012</v>
      </c>
      <c r="C4376" s="83" t="s">
        <v>11525</v>
      </c>
      <c r="D4376" s="83" t="s">
        <v>11524</v>
      </c>
    </row>
    <row r="4377" spans="1:4">
      <c r="A4377" s="83" t="s">
        <v>11522</v>
      </c>
      <c r="B4377" s="83" t="s">
        <v>5015</v>
      </c>
      <c r="C4377" s="83" t="s">
        <v>11526</v>
      </c>
      <c r="D4377" s="83" t="s">
        <v>11524</v>
      </c>
    </row>
    <row r="4378" spans="1:4">
      <c r="A4378" s="83" t="s">
        <v>11522</v>
      </c>
      <c r="B4378" s="83" t="s">
        <v>5010</v>
      </c>
      <c r="C4378" s="83" t="s">
        <v>11527</v>
      </c>
      <c r="D4378" s="83" t="s">
        <v>11524</v>
      </c>
    </row>
    <row r="4379" spans="1:4">
      <c r="A4379" s="83" t="s">
        <v>11528</v>
      </c>
      <c r="B4379" s="83" t="s">
        <v>5017</v>
      </c>
      <c r="C4379" s="83" t="s">
        <v>11529</v>
      </c>
      <c r="D4379" s="83" t="s">
        <v>11530</v>
      </c>
    </row>
    <row r="4380" spans="1:4">
      <c r="A4380" s="83" t="s">
        <v>11528</v>
      </c>
      <c r="B4380" s="83" t="s">
        <v>5012</v>
      </c>
      <c r="C4380" s="83" t="s">
        <v>11531</v>
      </c>
      <c r="D4380" s="83" t="s">
        <v>11530</v>
      </c>
    </row>
    <row r="4381" spans="1:4">
      <c r="A4381" s="83" t="s">
        <v>11528</v>
      </c>
      <c r="B4381" s="83" t="s">
        <v>5015</v>
      </c>
      <c r="C4381" s="83" t="s">
        <v>11532</v>
      </c>
      <c r="D4381" s="83" t="s">
        <v>11530</v>
      </c>
    </row>
    <row r="4382" spans="1:4">
      <c r="A4382" s="83" t="s">
        <v>11528</v>
      </c>
      <c r="B4382" s="83" t="s">
        <v>5010</v>
      </c>
      <c r="C4382" s="83" t="s">
        <v>11533</v>
      </c>
      <c r="D4382" s="83" t="s">
        <v>11530</v>
      </c>
    </row>
    <row r="4383" spans="1:4">
      <c r="A4383" s="83" t="s">
        <v>11534</v>
      </c>
      <c r="B4383" s="83" t="s">
        <v>5017</v>
      </c>
      <c r="C4383" s="83" t="s">
        <v>11535</v>
      </c>
      <c r="D4383" s="83" t="s">
        <v>11536</v>
      </c>
    </row>
    <row r="4384" spans="1:4">
      <c r="A4384" s="83" t="s">
        <v>11534</v>
      </c>
      <c r="B4384" s="83" t="s">
        <v>5012</v>
      </c>
      <c r="C4384" s="83" t="s">
        <v>11537</v>
      </c>
      <c r="D4384" s="83" t="s">
        <v>11536</v>
      </c>
    </row>
    <row r="4385" spans="1:4">
      <c r="A4385" s="83" t="s">
        <v>11534</v>
      </c>
      <c r="B4385" s="83" t="s">
        <v>5015</v>
      </c>
      <c r="C4385" s="83" t="s">
        <v>11538</v>
      </c>
      <c r="D4385" s="83" t="s">
        <v>11536</v>
      </c>
    </row>
    <row r="4386" spans="1:4">
      <c r="A4386" s="83" t="s">
        <v>11534</v>
      </c>
      <c r="B4386" s="83" t="s">
        <v>5010</v>
      </c>
      <c r="C4386" s="83" t="s">
        <v>11539</v>
      </c>
      <c r="D4386" s="83" t="s">
        <v>11536</v>
      </c>
    </row>
    <row r="4387" spans="1:4">
      <c r="A4387" s="83" t="s">
        <v>11540</v>
      </c>
      <c r="B4387" s="83" t="s">
        <v>5017</v>
      </c>
      <c r="C4387" s="83" t="s">
        <v>11541</v>
      </c>
      <c r="D4387" s="83" t="s">
        <v>11542</v>
      </c>
    </row>
    <row r="4388" spans="1:4">
      <c r="A4388" s="83" t="s">
        <v>11540</v>
      </c>
      <c r="B4388" s="83" t="s">
        <v>5012</v>
      </c>
      <c r="C4388" s="83" t="s">
        <v>11543</v>
      </c>
      <c r="D4388" s="83" t="s">
        <v>11542</v>
      </c>
    </row>
    <row r="4389" spans="1:4">
      <c r="A4389" s="83" t="s">
        <v>11540</v>
      </c>
      <c r="B4389" s="83" t="s">
        <v>5015</v>
      </c>
      <c r="C4389" s="83" t="s">
        <v>11544</v>
      </c>
      <c r="D4389" s="83" t="s">
        <v>11542</v>
      </c>
    </row>
    <row r="4390" spans="1:4">
      <c r="A4390" s="83" t="s">
        <v>11540</v>
      </c>
      <c r="B4390" s="83" t="s">
        <v>5010</v>
      </c>
      <c r="C4390" s="83" t="s">
        <v>11545</v>
      </c>
      <c r="D4390" s="83" t="s">
        <v>11542</v>
      </c>
    </row>
    <row r="4391" spans="1:4">
      <c r="A4391" s="83" t="s">
        <v>11546</v>
      </c>
      <c r="B4391" s="83" t="s">
        <v>5017</v>
      </c>
      <c r="C4391" s="83" t="s">
        <v>11547</v>
      </c>
      <c r="D4391" s="83" t="s">
        <v>11548</v>
      </c>
    </row>
    <row r="4392" spans="1:4">
      <c r="A4392" s="83" t="s">
        <v>11546</v>
      </c>
      <c r="B4392" s="83" t="s">
        <v>5012</v>
      </c>
      <c r="C4392" s="83" t="s">
        <v>11549</v>
      </c>
      <c r="D4392" s="83" t="s">
        <v>11548</v>
      </c>
    </row>
    <row r="4393" spans="1:4">
      <c r="A4393" s="83" t="s">
        <v>11546</v>
      </c>
      <c r="B4393" s="83" t="s">
        <v>5015</v>
      </c>
      <c r="C4393" s="83" t="s">
        <v>11550</v>
      </c>
      <c r="D4393" s="83" t="s">
        <v>11548</v>
      </c>
    </row>
    <row r="4394" spans="1:4">
      <c r="A4394" s="83" t="s">
        <v>11546</v>
      </c>
      <c r="B4394" s="83" t="s">
        <v>5010</v>
      </c>
      <c r="C4394" s="83" t="s">
        <v>11551</v>
      </c>
      <c r="D4394" s="83" t="s">
        <v>11548</v>
      </c>
    </row>
    <row r="4395" spans="1:4">
      <c r="A4395" s="83" t="s">
        <v>11552</v>
      </c>
      <c r="B4395" s="83" t="s">
        <v>5017</v>
      </c>
      <c r="C4395" s="83" t="s">
        <v>11553</v>
      </c>
      <c r="D4395" s="83" t="s">
        <v>11554</v>
      </c>
    </row>
    <row r="4396" spans="1:4">
      <c r="A4396" s="83" t="s">
        <v>11552</v>
      </c>
      <c r="B4396" s="83" t="s">
        <v>5012</v>
      </c>
      <c r="C4396" s="83" t="s">
        <v>11555</v>
      </c>
      <c r="D4396" s="83" t="s">
        <v>11554</v>
      </c>
    </row>
    <row r="4397" spans="1:4">
      <c r="A4397" s="83" t="s">
        <v>11552</v>
      </c>
      <c r="B4397" s="83" t="s">
        <v>5015</v>
      </c>
      <c r="C4397" s="83" t="s">
        <v>11556</v>
      </c>
      <c r="D4397" s="83" t="s">
        <v>11554</v>
      </c>
    </row>
    <row r="4398" spans="1:4">
      <c r="A4398" s="83" t="s">
        <v>11552</v>
      </c>
      <c r="B4398" s="83" t="s">
        <v>5010</v>
      </c>
      <c r="C4398" s="83" t="s">
        <v>11557</v>
      </c>
      <c r="D4398" s="83" t="s">
        <v>11554</v>
      </c>
    </row>
    <row r="4399" spans="1:4">
      <c r="A4399" s="83" t="s">
        <v>11558</v>
      </c>
      <c r="B4399" s="83" t="s">
        <v>5017</v>
      </c>
      <c r="C4399" s="83" t="s">
        <v>11559</v>
      </c>
      <c r="D4399" s="83" t="s">
        <v>11560</v>
      </c>
    </row>
    <row r="4400" spans="1:4">
      <c r="A4400" s="83" t="s">
        <v>11558</v>
      </c>
      <c r="B4400" s="83" t="s">
        <v>5012</v>
      </c>
      <c r="C4400" s="83" t="s">
        <v>11561</v>
      </c>
      <c r="D4400" s="83" t="s">
        <v>11560</v>
      </c>
    </row>
    <row r="4401" spans="1:4">
      <c r="A4401" s="83" t="s">
        <v>11558</v>
      </c>
      <c r="B4401" s="83" t="s">
        <v>5015</v>
      </c>
      <c r="C4401" s="83" t="s">
        <v>11562</v>
      </c>
      <c r="D4401" s="83" t="s">
        <v>11560</v>
      </c>
    </row>
    <row r="4402" spans="1:4">
      <c r="A4402" s="83" t="s">
        <v>11558</v>
      </c>
      <c r="B4402" s="83" t="s">
        <v>5010</v>
      </c>
      <c r="C4402" s="83" t="s">
        <v>11563</v>
      </c>
      <c r="D4402" s="83" t="s">
        <v>11560</v>
      </c>
    </row>
    <row r="4403" spans="1:4">
      <c r="A4403" s="83" t="s">
        <v>11564</v>
      </c>
      <c r="B4403" s="83" t="s">
        <v>5017</v>
      </c>
      <c r="C4403" s="83" t="s">
        <v>11565</v>
      </c>
      <c r="D4403" s="83" t="s">
        <v>11566</v>
      </c>
    </row>
    <row r="4404" spans="1:4">
      <c r="A4404" s="83" t="s">
        <v>11564</v>
      </c>
      <c r="B4404" s="83" t="s">
        <v>5012</v>
      </c>
      <c r="C4404" s="83" t="s">
        <v>11567</v>
      </c>
      <c r="D4404" s="83" t="s">
        <v>11566</v>
      </c>
    </row>
    <row r="4405" spans="1:4">
      <c r="A4405" s="83" t="s">
        <v>11564</v>
      </c>
      <c r="B4405" s="83" t="s">
        <v>5015</v>
      </c>
      <c r="C4405" s="83" t="s">
        <v>11568</v>
      </c>
      <c r="D4405" s="83" t="s">
        <v>11566</v>
      </c>
    </row>
    <row r="4406" spans="1:4">
      <c r="A4406" s="83" t="s">
        <v>11564</v>
      </c>
      <c r="B4406" s="83" t="s">
        <v>5010</v>
      </c>
      <c r="C4406" s="83" t="s">
        <v>11569</v>
      </c>
      <c r="D4406" s="83" t="s">
        <v>11566</v>
      </c>
    </row>
    <row r="4407" spans="1:4">
      <c r="A4407" s="83" t="s">
        <v>11570</v>
      </c>
      <c r="B4407" s="83" t="s">
        <v>5017</v>
      </c>
      <c r="C4407" s="83" t="s">
        <v>11571</v>
      </c>
      <c r="D4407" s="83" t="s">
        <v>11572</v>
      </c>
    </row>
    <row r="4408" spans="1:4">
      <c r="A4408" s="83" t="s">
        <v>11570</v>
      </c>
      <c r="B4408" s="83" t="s">
        <v>5012</v>
      </c>
      <c r="C4408" s="83" t="s">
        <v>11573</v>
      </c>
      <c r="D4408" s="83" t="s">
        <v>11572</v>
      </c>
    </row>
    <row r="4409" spans="1:4">
      <c r="A4409" s="83" t="s">
        <v>11570</v>
      </c>
      <c r="B4409" s="83" t="s">
        <v>5015</v>
      </c>
      <c r="C4409" s="83" t="s">
        <v>11574</v>
      </c>
      <c r="D4409" s="83" t="s">
        <v>11572</v>
      </c>
    </row>
    <row r="4410" spans="1:4">
      <c r="A4410" s="83" t="s">
        <v>11570</v>
      </c>
      <c r="B4410" s="83" t="s">
        <v>5010</v>
      </c>
      <c r="C4410" s="83" t="s">
        <v>11575</v>
      </c>
      <c r="D4410" s="83" t="s">
        <v>11572</v>
      </c>
    </row>
    <row r="4411" spans="1:4">
      <c r="A4411" s="83" t="s">
        <v>11576</v>
      </c>
      <c r="B4411" s="83" t="s">
        <v>5017</v>
      </c>
      <c r="C4411" s="83" t="s">
        <v>11577</v>
      </c>
      <c r="D4411" s="83" t="s">
        <v>11578</v>
      </c>
    </row>
    <row r="4412" spans="1:4">
      <c r="A4412" s="83" t="s">
        <v>11576</v>
      </c>
      <c r="B4412" s="83" t="s">
        <v>5012</v>
      </c>
      <c r="C4412" s="83" t="s">
        <v>11579</v>
      </c>
      <c r="D4412" s="83" t="s">
        <v>11578</v>
      </c>
    </row>
    <row r="4413" spans="1:4">
      <c r="A4413" s="83" t="s">
        <v>11576</v>
      </c>
      <c r="B4413" s="83" t="s">
        <v>5015</v>
      </c>
      <c r="C4413" s="83" t="s">
        <v>11580</v>
      </c>
      <c r="D4413" s="83" t="s">
        <v>11578</v>
      </c>
    </row>
    <row r="4414" spans="1:4">
      <c r="A4414" s="83" t="s">
        <v>11576</v>
      </c>
      <c r="B4414" s="83" t="s">
        <v>5010</v>
      </c>
      <c r="C4414" s="83" t="s">
        <v>11581</v>
      </c>
      <c r="D4414" s="83" t="s">
        <v>11578</v>
      </c>
    </row>
    <row r="4415" spans="1:4">
      <c r="A4415" s="83" t="s">
        <v>11582</v>
      </c>
      <c r="B4415" s="83" t="s">
        <v>5017</v>
      </c>
      <c r="C4415" s="83" t="s">
        <v>11505</v>
      </c>
      <c r="D4415" s="83" t="s">
        <v>11583</v>
      </c>
    </row>
    <row r="4416" spans="1:4">
      <c r="A4416" s="83" t="s">
        <v>11582</v>
      </c>
      <c r="B4416" s="83" t="s">
        <v>5012</v>
      </c>
      <c r="C4416" s="83" t="s">
        <v>11584</v>
      </c>
      <c r="D4416" s="83" t="s">
        <v>11583</v>
      </c>
    </row>
    <row r="4417" spans="1:4">
      <c r="A4417" s="83" t="s">
        <v>11582</v>
      </c>
      <c r="B4417" s="83" t="s">
        <v>5015</v>
      </c>
      <c r="C4417" s="83" t="s">
        <v>11585</v>
      </c>
      <c r="D4417" s="83" t="s">
        <v>11583</v>
      </c>
    </row>
    <row r="4418" spans="1:4">
      <c r="A4418" s="83" t="s">
        <v>11582</v>
      </c>
      <c r="B4418" s="83" t="s">
        <v>5010</v>
      </c>
      <c r="C4418" s="83" t="s">
        <v>11586</v>
      </c>
      <c r="D4418" s="83" t="s">
        <v>11583</v>
      </c>
    </row>
    <row r="4419" spans="1:4">
      <c r="A4419" s="83" t="s">
        <v>11587</v>
      </c>
      <c r="B4419" s="83" t="s">
        <v>5017</v>
      </c>
      <c r="C4419" s="83" t="s">
        <v>11588</v>
      </c>
      <c r="D4419" s="83" t="s">
        <v>11589</v>
      </c>
    </row>
    <row r="4420" spans="1:4">
      <c r="A4420" s="83" t="s">
        <v>11587</v>
      </c>
      <c r="B4420" s="83" t="s">
        <v>5012</v>
      </c>
      <c r="C4420" s="83" t="s">
        <v>11590</v>
      </c>
      <c r="D4420" s="83" t="s">
        <v>11589</v>
      </c>
    </row>
    <row r="4421" spans="1:4">
      <c r="A4421" s="83" t="s">
        <v>11587</v>
      </c>
      <c r="B4421" s="83" t="s">
        <v>5015</v>
      </c>
      <c r="C4421" s="83" t="s">
        <v>11591</v>
      </c>
      <c r="D4421" s="83" t="s">
        <v>11589</v>
      </c>
    </row>
    <row r="4422" spans="1:4">
      <c r="A4422" s="83" t="s">
        <v>11587</v>
      </c>
      <c r="B4422" s="83" t="s">
        <v>5010</v>
      </c>
      <c r="C4422" s="83" t="s">
        <v>11592</v>
      </c>
      <c r="D4422" s="83" t="s">
        <v>11589</v>
      </c>
    </row>
    <row r="4423" spans="1:4">
      <c r="A4423" s="83" t="s">
        <v>11593</v>
      </c>
      <c r="B4423" s="83" t="s">
        <v>5017</v>
      </c>
      <c r="C4423" s="83" t="s">
        <v>11594</v>
      </c>
      <c r="D4423" s="83" t="s">
        <v>11595</v>
      </c>
    </row>
    <row r="4424" spans="1:4">
      <c r="A4424" s="83" t="s">
        <v>11593</v>
      </c>
      <c r="B4424" s="83" t="s">
        <v>5012</v>
      </c>
      <c r="C4424" s="83" t="s">
        <v>11596</v>
      </c>
      <c r="D4424" s="83" t="s">
        <v>11595</v>
      </c>
    </row>
    <row r="4425" spans="1:4">
      <c r="A4425" s="83" t="s">
        <v>11593</v>
      </c>
      <c r="B4425" s="83" t="s">
        <v>5015</v>
      </c>
      <c r="C4425" s="83" t="s">
        <v>11597</v>
      </c>
      <c r="D4425" s="83" t="s">
        <v>11595</v>
      </c>
    </row>
    <row r="4426" spans="1:4">
      <c r="A4426" s="83" t="s">
        <v>11593</v>
      </c>
      <c r="B4426" s="83" t="s">
        <v>5010</v>
      </c>
      <c r="C4426" s="83" t="s">
        <v>11598</v>
      </c>
      <c r="D4426" s="83" t="s">
        <v>11595</v>
      </c>
    </row>
    <row r="4427" spans="1:4">
      <c r="A4427" s="83" t="s">
        <v>11599</v>
      </c>
      <c r="B4427" s="83" t="s">
        <v>5017</v>
      </c>
      <c r="C4427" s="83" t="s">
        <v>11600</v>
      </c>
      <c r="D4427" s="83" t="s">
        <v>11601</v>
      </c>
    </row>
    <row r="4428" spans="1:4">
      <c r="A4428" s="83" t="s">
        <v>11599</v>
      </c>
      <c r="B4428" s="83" t="s">
        <v>5012</v>
      </c>
      <c r="C4428" s="83" t="s">
        <v>11602</v>
      </c>
      <c r="D4428" s="83" t="s">
        <v>11601</v>
      </c>
    </row>
    <row r="4429" spans="1:4">
      <c r="A4429" s="83" t="s">
        <v>11599</v>
      </c>
      <c r="B4429" s="83" t="s">
        <v>5015</v>
      </c>
      <c r="C4429" s="83" t="s">
        <v>11603</v>
      </c>
      <c r="D4429" s="83" t="s">
        <v>11601</v>
      </c>
    </row>
    <row r="4430" spans="1:4">
      <c r="A4430" s="83" t="s">
        <v>11599</v>
      </c>
      <c r="B4430" s="83" t="s">
        <v>5010</v>
      </c>
      <c r="C4430" s="83" t="s">
        <v>11604</v>
      </c>
      <c r="D4430" s="83" t="s">
        <v>11601</v>
      </c>
    </row>
    <row r="4431" spans="1:4">
      <c r="A4431" s="83" t="s">
        <v>11605</v>
      </c>
      <c r="B4431" s="83" t="s">
        <v>5017</v>
      </c>
      <c r="C4431" s="83" t="s">
        <v>11606</v>
      </c>
      <c r="D4431" s="83" t="s">
        <v>11607</v>
      </c>
    </row>
    <row r="4432" spans="1:4">
      <c r="A4432" s="83" t="s">
        <v>11605</v>
      </c>
      <c r="B4432" s="83" t="s">
        <v>5012</v>
      </c>
      <c r="C4432" s="83" t="s">
        <v>11608</v>
      </c>
      <c r="D4432" s="83" t="s">
        <v>11607</v>
      </c>
    </row>
    <row r="4433" spans="1:4">
      <c r="A4433" s="83" t="s">
        <v>11605</v>
      </c>
      <c r="B4433" s="83" t="s">
        <v>5015</v>
      </c>
      <c r="C4433" s="83" t="s">
        <v>11609</v>
      </c>
      <c r="D4433" s="83" t="s">
        <v>11607</v>
      </c>
    </row>
    <row r="4434" spans="1:4">
      <c r="A4434" s="83" t="s">
        <v>11605</v>
      </c>
      <c r="B4434" s="83" t="s">
        <v>5010</v>
      </c>
      <c r="C4434" s="83" t="s">
        <v>11610</v>
      </c>
      <c r="D4434" s="83" t="s">
        <v>11607</v>
      </c>
    </row>
    <row r="4435" spans="1:4">
      <c r="A4435" s="83" t="s">
        <v>11611</v>
      </c>
      <c r="B4435" s="83" t="s">
        <v>5017</v>
      </c>
      <c r="C4435" s="83" t="s">
        <v>11612</v>
      </c>
      <c r="D4435" s="83" t="s">
        <v>11613</v>
      </c>
    </row>
    <row r="4436" spans="1:4">
      <c r="A4436" s="83" t="s">
        <v>11611</v>
      </c>
      <c r="B4436" s="83" t="s">
        <v>5012</v>
      </c>
      <c r="C4436" s="83" t="s">
        <v>11614</v>
      </c>
      <c r="D4436" s="83" t="s">
        <v>11613</v>
      </c>
    </row>
    <row r="4437" spans="1:4">
      <c r="A4437" s="83" t="s">
        <v>11611</v>
      </c>
      <c r="B4437" s="83" t="s">
        <v>5015</v>
      </c>
      <c r="C4437" s="83" t="s">
        <v>11615</v>
      </c>
      <c r="D4437" s="83" t="s">
        <v>11613</v>
      </c>
    </row>
    <row r="4438" spans="1:4">
      <c r="A4438" s="83" t="s">
        <v>11611</v>
      </c>
      <c r="B4438" s="83" t="s">
        <v>5010</v>
      </c>
      <c r="C4438" s="83" t="s">
        <v>11616</v>
      </c>
      <c r="D4438" s="83" t="s">
        <v>11613</v>
      </c>
    </row>
    <row r="4439" spans="1:4">
      <c r="A4439" s="83" t="s">
        <v>11617</v>
      </c>
      <c r="B4439" s="83" t="s">
        <v>5017</v>
      </c>
      <c r="C4439" s="83" t="s">
        <v>11618</v>
      </c>
      <c r="D4439" s="83" t="s">
        <v>11619</v>
      </c>
    </row>
    <row r="4440" spans="1:4">
      <c r="A4440" s="83" t="s">
        <v>11617</v>
      </c>
      <c r="B4440" s="83" t="s">
        <v>5012</v>
      </c>
      <c r="C4440" s="83" t="s">
        <v>11620</v>
      </c>
      <c r="D4440" s="83" t="s">
        <v>11619</v>
      </c>
    </row>
    <row r="4441" spans="1:4">
      <c r="A4441" s="83" t="s">
        <v>11617</v>
      </c>
      <c r="B4441" s="83" t="s">
        <v>5015</v>
      </c>
      <c r="C4441" s="83" t="s">
        <v>11621</v>
      </c>
      <c r="D4441" s="83" t="s">
        <v>11619</v>
      </c>
    </row>
    <row r="4442" spans="1:4">
      <c r="A4442" s="83" t="s">
        <v>11617</v>
      </c>
      <c r="B4442" s="83" t="s">
        <v>5010</v>
      </c>
      <c r="C4442" s="83" t="s">
        <v>11622</v>
      </c>
      <c r="D4442" s="83" t="s">
        <v>11619</v>
      </c>
    </row>
    <row r="4443" spans="1:4">
      <c r="A4443" s="83" t="s">
        <v>11623</v>
      </c>
      <c r="B4443" s="83" t="s">
        <v>5017</v>
      </c>
      <c r="C4443" s="83" t="s">
        <v>11624</v>
      </c>
      <c r="D4443" s="83" t="s">
        <v>11625</v>
      </c>
    </row>
    <row r="4444" spans="1:4">
      <c r="A4444" s="83" t="s">
        <v>11623</v>
      </c>
      <c r="B4444" s="83" t="s">
        <v>5012</v>
      </c>
      <c r="C4444" s="83" t="s">
        <v>11626</v>
      </c>
      <c r="D4444" s="83" t="s">
        <v>11625</v>
      </c>
    </row>
    <row r="4445" spans="1:4">
      <c r="A4445" s="83" t="s">
        <v>11623</v>
      </c>
      <c r="B4445" s="83" t="s">
        <v>5015</v>
      </c>
      <c r="C4445" s="83" t="s">
        <v>11627</v>
      </c>
      <c r="D4445" s="83" t="s">
        <v>11625</v>
      </c>
    </row>
    <row r="4446" spans="1:4">
      <c r="A4446" s="83" t="s">
        <v>11623</v>
      </c>
      <c r="B4446" s="83" t="s">
        <v>5010</v>
      </c>
      <c r="C4446" s="83" t="s">
        <v>11628</v>
      </c>
      <c r="D4446" s="83" t="s">
        <v>11625</v>
      </c>
    </row>
    <row r="4447" spans="1:4">
      <c r="A4447" s="83" t="s">
        <v>11629</v>
      </c>
      <c r="B4447" s="83" t="s">
        <v>5017</v>
      </c>
      <c r="C4447" s="83" t="s">
        <v>11630</v>
      </c>
      <c r="D4447" s="83" t="s">
        <v>11631</v>
      </c>
    </row>
    <row r="4448" spans="1:4">
      <c r="A4448" s="83" t="s">
        <v>11629</v>
      </c>
      <c r="B4448" s="83" t="s">
        <v>5012</v>
      </c>
      <c r="C4448" s="83" t="s">
        <v>11632</v>
      </c>
      <c r="D4448" s="83" t="s">
        <v>11631</v>
      </c>
    </row>
    <row r="4449" spans="1:4">
      <c r="A4449" s="83" t="s">
        <v>11629</v>
      </c>
      <c r="B4449" s="83" t="s">
        <v>5015</v>
      </c>
      <c r="C4449" s="83" t="s">
        <v>11633</v>
      </c>
      <c r="D4449" s="83" t="s">
        <v>11631</v>
      </c>
    </row>
    <row r="4450" spans="1:4">
      <c r="A4450" s="83" t="s">
        <v>11629</v>
      </c>
      <c r="B4450" s="83" t="s">
        <v>5010</v>
      </c>
      <c r="C4450" s="83" t="s">
        <v>11634</v>
      </c>
      <c r="D4450" s="83" t="s">
        <v>11631</v>
      </c>
    </row>
    <row r="4451" spans="1:4">
      <c r="A4451" s="83" t="s">
        <v>11635</v>
      </c>
      <c r="B4451" s="83" t="s">
        <v>5017</v>
      </c>
      <c r="C4451" s="83" t="s">
        <v>11636</v>
      </c>
      <c r="D4451" s="83" t="s">
        <v>11637</v>
      </c>
    </row>
    <row r="4452" spans="1:4">
      <c r="A4452" s="83" t="s">
        <v>11635</v>
      </c>
      <c r="B4452" s="83" t="s">
        <v>5012</v>
      </c>
      <c r="C4452" s="83" t="s">
        <v>11638</v>
      </c>
      <c r="D4452" s="83" t="s">
        <v>11637</v>
      </c>
    </row>
    <row r="4453" spans="1:4">
      <c r="A4453" s="83" t="s">
        <v>11635</v>
      </c>
      <c r="B4453" s="83" t="s">
        <v>5015</v>
      </c>
      <c r="C4453" s="83" t="s">
        <v>11639</v>
      </c>
      <c r="D4453" s="83" t="s">
        <v>11637</v>
      </c>
    </row>
    <row r="4454" spans="1:4">
      <c r="A4454" s="83" t="s">
        <v>11635</v>
      </c>
      <c r="B4454" s="83" t="s">
        <v>5010</v>
      </c>
      <c r="C4454" s="83" t="s">
        <v>11640</v>
      </c>
      <c r="D4454" s="83" t="s">
        <v>11637</v>
      </c>
    </row>
    <row r="4455" spans="1:4">
      <c r="A4455" s="83" t="s">
        <v>11641</v>
      </c>
      <c r="B4455" s="83" t="s">
        <v>5017</v>
      </c>
      <c r="C4455" s="83" t="s">
        <v>11642</v>
      </c>
      <c r="D4455" s="83" t="s">
        <v>11643</v>
      </c>
    </row>
    <row r="4456" spans="1:4">
      <c r="A4456" s="83" t="s">
        <v>11641</v>
      </c>
      <c r="B4456" s="83" t="s">
        <v>5012</v>
      </c>
      <c r="C4456" s="83" t="s">
        <v>11644</v>
      </c>
      <c r="D4456" s="83" t="s">
        <v>11643</v>
      </c>
    </row>
    <row r="4457" spans="1:4">
      <c r="A4457" s="83" t="s">
        <v>11641</v>
      </c>
      <c r="B4457" s="83" t="s">
        <v>5015</v>
      </c>
      <c r="C4457" s="83" t="s">
        <v>11645</v>
      </c>
      <c r="D4457" s="83" t="s">
        <v>11643</v>
      </c>
    </row>
    <row r="4458" spans="1:4">
      <c r="A4458" s="83" t="s">
        <v>11641</v>
      </c>
      <c r="B4458" s="83" t="s">
        <v>5010</v>
      </c>
      <c r="C4458" s="83" t="s">
        <v>11646</v>
      </c>
      <c r="D4458" s="83" t="s">
        <v>11643</v>
      </c>
    </row>
    <row r="4459" spans="1:4">
      <c r="A4459" s="83" t="s">
        <v>11647</v>
      </c>
      <c r="B4459" s="83" t="s">
        <v>5017</v>
      </c>
      <c r="C4459" s="83" t="s">
        <v>11648</v>
      </c>
      <c r="D4459" s="83" t="s">
        <v>11649</v>
      </c>
    </row>
    <row r="4460" spans="1:4">
      <c r="A4460" s="83" t="s">
        <v>11647</v>
      </c>
      <c r="B4460" s="83" t="s">
        <v>5012</v>
      </c>
      <c r="C4460" s="83" t="s">
        <v>11650</v>
      </c>
      <c r="D4460" s="83" t="s">
        <v>11649</v>
      </c>
    </row>
    <row r="4461" spans="1:4">
      <c r="A4461" s="83" t="s">
        <v>11647</v>
      </c>
      <c r="B4461" s="83" t="s">
        <v>5015</v>
      </c>
      <c r="C4461" s="83" t="s">
        <v>11651</v>
      </c>
      <c r="D4461" s="83" t="s">
        <v>11649</v>
      </c>
    </row>
    <row r="4462" spans="1:4">
      <c r="A4462" s="83" t="s">
        <v>11647</v>
      </c>
      <c r="B4462" s="83" t="s">
        <v>5010</v>
      </c>
      <c r="C4462" s="83" t="s">
        <v>11652</v>
      </c>
      <c r="D4462" s="83" t="s">
        <v>11649</v>
      </c>
    </row>
    <row r="4463" spans="1:4">
      <c r="A4463" s="83" t="s">
        <v>11653</v>
      </c>
      <c r="B4463" s="83" t="s">
        <v>5017</v>
      </c>
      <c r="C4463" s="83" t="s">
        <v>11648</v>
      </c>
      <c r="D4463" s="83" t="s">
        <v>11654</v>
      </c>
    </row>
    <row r="4464" spans="1:4">
      <c r="A4464" s="83" t="s">
        <v>11653</v>
      </c>
      <c r="B4464" s="83" t="s">
        <v>5012</v>
      </c>
      <c r="C4464" s="83" t="s">
        <v>11655</v>
      </c>
      <c r="D4464" s="83" t="s">
        <v>11654</v>
      </c>
    </row>
    <row r="4465" spans="1:4">
      <c r="A4465" s="83" t="s">
        <v>11653</v>
      </c>
      <c r="B4465" s="83" t="s">
        <v>5015</v>
      </c>
      <c r="C4465" s="83" t="s">
        <v>11656</v>
      </c>
      <c r="D4465" s="83" t="s">
        <v>11654</v>
      </c>
    </row>
    <row r="4466" spans="1:4">
      <c r="A4466" s="83" t="s">
        <v>11653</v>
      </c>
      <c r="B4466" s="83" t="s">
        <v>5010</v>
      </c>
      <c r="C4466" s="83" t="s">
        <v>11657</v>
      </c>
      <c r="D4466" s="83" t="s">
        <v>11654</v>
      </c>
    </row>
    <row r="4467" spans="1:4">
      <c r="A4467" s="83" t="s">
        <v>11658</v>
      </c>
      <c r="B4467" s="83" t="s">
        <v>5017</v>
      </c>
      <c r="C4467" s="83" t="s">
        <v>11659</v>
      </c>
      <c r="D4467" s="83" t="s">
        <v>11660</v>
      </c>
    </row>
    <row r="4468" spans="1:4">
      <c r="A4468" s="83" t="s">
        <v>11658</v>
      </c>
      <c r="B4468" s="83" t="s">
        <v>5012</v>
      </c>
      <c r="C4468" s="83" t="s">
        <v>11661</v>
      </c>
      <c r="D4468" s="83" t="s">
        <v>11660</v>
      </c>
    </row>
    <row r="4469" spans="1:4">
      <c r="A4469" s="83" t="s">
        <v>11658</v>
      </c>
      <c r="B4469" s="83" t="s">
        <v>5015</v>
      </c>
      <c r="C4469" s="83" t="s">
        <v>11662</v>
      </c>
      <c r="D4469" s="83" t="s">
        <v>11660</v>
      </c>
    </row>
    <row r="4470" spans="1:4">
      <c r="A4470" s="83" t="s">
        <v>11658</v>
      </c>
      <c r="B4470" s="83" t="s">
        <v>5010</v>
      </c>
      <c r="C4470" s="83" t="s">
        <v>11663</v>
      </c>
      <c r="D4470" s="83" t="s">
        <v>11660</v>
      </c>
    </row>
    <row r="4471" spans="1:4">
      <c r="A4471" s="83" t="s">
        <v>11664</v>
      </c>
      <c r="B4471" s="83" t="s">
        <v>5017</v>
      </c>
      <c r="C4471" s="83" t="s">
        <v>11665</v>
      </c>
      <c r="D4471" s="83" t="s">
        <v>11666</v>
      </c>
    </row>
    <row r="4472" spans="1:4">
      <c r="A4472" s="83" t="s">
        <v>11664</v>
      </c>
      <c r="B4472" s="83" t="s">
        <v>5012</v>
      </c>
      <c r="C4472" s="83" t="s">
        <v>11667</v>
      </c>
      <c r="D4472" s="83" t="s">
        <v>11666</v>
      </c>
    </row>
    <row r="4473" spans="1:4">
      <c r="A4473" s="83" t="s">
        <v>11664</v>
      </c>
      <c r="B4473" s="83" t="s">
        <v>5015</v>
      </c>
      <c r="C4473" s="83" t="s">
        <v>11668</v>
      </c>
      <c r="D4473" s="83" t="s">
        <v>11666</v>
      </c>
    </row>
    <row r="4474" spans="1:4">
      <c r="A4474" s="83" t="s">
        <v>11664</v>
      </c>
      <c r="B4474" s="83" t="s">
        <v>5010</v>
      </c>
      <c r="C4474" s="83" t="s">
        <v>11669</v>
      </c>
      <c r="D4474" s="83" t="s">
        <v>11666</v>
      </c>
    </row>
    <row r="4475" spans="1:4">
      <c r="A4475" s="83" t="s">
        <v>11670</v>
      </c>
      <c r="B4475" s="83" t="s">
        <v>5017</v>
      </c>
      <c r="C4475" s="83" t="s">
        <v>11671</v>
      </c>
      <c r="D4475" s="83" t="s">
        <v>11672</v>
      </c>
    </row>
    <row r="4476" spans="1:4">
      <c r="A4476" s="83" t="s">
        <v>11670</v>
      </c>
      <c r="B4476" s="83" t="s">
        <v>5012</v>
      </c>
      <c r="C4476" s="83" t="s">
        <v>11673</v>
      </c>
      <c r="D4476" s="83" t="s">
        <v>11672</v>
      </c>
    </row>
    <row r="4477" spans="1:4">
      <c r="A4477" s="83" t="s">
        <v>11670</v>
      </c>
      <c r="B4477" s="83" t="s">
        <v>5015</v>
      </c>
      <c r="C4477" s="83" t="s">
        <v>11674</v>
      </c>
      <c r="D4477" s="83" t="s">
        <v>11672</v>
      </c>
    </row>
    <row r="4478" spans="1:4">
      <c r="A4478" s="83" t="s">
        <v>11670</v>
      </c>
      <c r="B4478" s="83" t="s">
        <v>5010</v>
      </c>
      <c r="C4478" s="83" t="s">
        <v>11675</v>
      </c>
      <c r="D4478" s="83" t="s">
        <v>11672</v>
      </c>
    </row>
    <row r="4479" spans="1:4">
      <c r="A4479" s="83" t="s">
        <v>11676</v>
      </c>
      <c r="B4479" s="83" t="s">
        <v>5017</v>
      </c>
      <c r="C4479" s="83" t="s">
        <v>11677</v>
      </c>
      <c r="D4479" s="83" t="s">
        <v>11678</v>
      </c>
    </row>
    <row r="4480" spans="1:4">
      <c r="A4480" s="83" t="s">
        <v>11676</v>
      </c>
      <c r="B4480" s="83" t="s">
        <v>5012</v>
      </c>
      <c r="C4480" s="83" t="s">
        <v>11679</v>
      </c>
      <c r="D4480" s="83" t="s">
        <v>11678</v>
      </c>
    </row>
    <row r="4481" spans="1:4">
      <c r="A4481" s="83" t="s">
        <v>11676</v>
      </c>
      <c r="B4481" s="83" t="s">
        <v>5015</v>
      </c>
      <c r="C4481" s="83" t="s">
        <v>11680</v>
      </c>
      <c r="D4481" s="83" t="s">
        <v>11678</v>
      </c>
    </row>
    <row r="4482" spans="1:4">
      <c r="A4482" s="83" t="s">
        <v>11676</v>
      </c>
      <c r="B4482" s="83" t="s">
        <v>5010</v>
      </c>
      <c r="C4482" s="83" t="s">
        <v>11681</v>
      </c>
      <c r="D4482" s="83" t="s">
        <v>11678</v>
      </c>
    </row>
    <row r="4483" spans="1:4">
      <c r="A4483" s="83" t="s">
        <v>11682</v>
      </c>
      <c r="B4483" s="83" t="s">
        <v>5017</v>
      </c>
      <c r="C4483" s="83" t="s">
        <v>11683</v>
      </c>
      <c r="D4483" s="83" t="s">
        <v>11684</v>
      </c>
    </row>
    <row r="4484" spans="1:4">
      <c r="A4484" s="83" t="s">
        <v>11682</v>
      </c>
      <c r="B4484" s="83" t="s">
        <v>5012</v>
      </c>
      <c r="C4484" s="83" t="s">
        <v>11685</v>
      </c>
      <c r="D4484" s="83" t="s">
        <v>11684</v>
      </c>
    </row>
    <row r="4485" spans="1:4">
      <c r="A4485" s="83" t="s">
        <v>11682</v>
      </c>
      <c r="B4485" s="83" t="s">
        <v>5015</v>
      </c>
      <c r="C4485" s="83" t="s">
        <v>11686</v>
      </c>
      <c r="D4485" s="83" t="s">
        <v>11684</v>
      </c>
    </row>
    <row r="4486" spans="1:4">
      <c r="A4486" s="83" t="s">
        <v>11682</v>
      </c>
      <c r="B4486" s="83" t="s">
        <v>5010</v>
      </c>
      <c r="C4486" s="83" t="s">
        <v>11687</v>
      </c>
      <c r="D4486" s="83" t="s">
        <v>11684</v>
      </c>
    </row>
    <row r="4487" spans="1:4">
      <c r="A4487" s="83" t="s">
        <v>11688</v>
      </c>
      <c r="B4487" s="83" t="s">
        <v>5017</v>
      </c>
      <c r="C4487" s="83" t="s">
        <v>11689</v>
      </c>
      <c r="D4487" s="83" t="s">
        <v>11690</v>
      </c>
    </row>
    <row r="4488" spans="1:4">
      <c r="A4488" s="83" t="s">
        <v>11688</v>
      </c>
      <c r="B4488" s="83" t="s">
        <v>5012</v>
      </c>
      <c r="C4488" s="83" t="s">
        <v>11691</v>
      </c>
      <c r="D4488" s="83" t="s">
        <v>11690</v>
      </c>
    </row>
    <row r="4489" spans="1:4">
      <c r="A4489" s="83" t="s">
        <v>11688</v>
      </c>
      <c r="B4489" s="83" t="s">
        <v>5015</v>
      </c>
      <c r="C4489" s="83" t="s">
        <v>11692</v>
      </c>
      <c r="D4489" s="83" t="s">
        <v>11690</v>
      </c>
    </row>
    <row r="4490" spans="1:4">
      <c r="A4490" s="83" t="s">
        <v>11688</v>
      </c>
      <c r="B4490" s="83" t="s">
        <v>5010</v>
      </c>
      <c r="C4490" s="83" t="s">
        <v>11693</v>
      </c>
      <c r="D4490" s="83" t="s">
        <v>11690</v>
      </c>
    </row>
    <row r="4491" spans="1:4">
      <c r="A4491" s="83" t="s">
        <v>11694</v>
      </c>
      <c r="B4491" s="83" t="s">
        <v>5017</v>
      </c>
      <c r="C4491" s="83" t="s">
        <v>11695</v>
      </c>
      <c r="D4491" s="83" t="s">
        <v>11696</v>
      </c>
    </row>
    <row r="4492" spans="1:4">
      <c r="A4492" s="83" t="s">
        <v>11694</v>
      </c>
      <c r="B4492" s="83" t="s">
        <v>5012</v>
      </c>
      <c r="C4492" s="83" t="s">
        <v>11697</v>
      </c>
      <c r="D4492" s="83" t="s">
        <v>11696</v>
      </c>
    </row>
    <row r="4493" spans="1:4">
      <c r="A4493" s="83" t="s">
        <v>11694</v>
      </c>
      <c r="B4493" s="83" t="s">
        <v>5015</v>
      </c>
      <c r="C4493" s="83" t="s">
        <v>11698</v>
      </c>
      <c r="D4493" s="83" t="s">
        <v>11696</v>
      </c>
    </row>
    <row r="4494" spans="1:4">
      <c r="A4494" s="83" t="s">
        <v>11694</v>
      </c>
      <c r="B4494" s="83" t="s">
        <v>5010</v>
      </c>
      <c r="C4494" s="83" t="s">
        <v>11604</v>
      </c>
      <c r="D4494" s="83" t="s">
        <v>11696</v>
      </c>
    </row>
    <row r="4495" spans="1:4">
      <c r="A4495" s="83" t="s">
        <v>11699</v>
      </c>
      <c r="B4495" s="83" t="s">
        <v>5017</v>
      </c>
      <c r="C4495" s="83" t="s">
        <v>11700</v>
      </c>
      <c r="D4495" s="83" t="s">
        <v>11701</v>
      </c>
    </row>
    <row r="4496" spans="1:4">
      <c r="A4496" s="83" t="s">
        <v>11699</v>
      </c>
      <c r="B4496" s="83" t="s">
        <v>5012</v>
      </c>
      <c r="C4496" s="83" t="s">
        <v>11702</v>
      </c>
      <c r="D4496" s="83" t="s">
        <v>11701</v>
      </c>
    </row>
    <row r="4497" spans="1:4">
      <c r="A4497" s="83" t="s">
        <v>11699</v>
      </c>
      <c r="B4497" s="83" t="s">
        <v>5015</v>
      </c>
      <c r="C4497" s="83" t="s">
        <v>11703</v>
      </c>
      <c r="D4497" s="83" t="s">
        <v>11701</v>
      </c>
    </row>
    <row r="4498" spans="1:4">
      <c r="A4498" s="83" t="s">
        <v>11699</v>
      </c>
      <c r="B4498" s="83" t="s">
        <v>5010</v>
      </c>
      <c r="C4498" s="83" t="s">
        <v>11704</v>
      </c>
      <c r="D4498" s="83" t="s">
        <v>11701</v>
      </c>
    </row>
    <row r="4499" spans="1:4">
      <c r="A4499" s="83" t="s">
        <v>11705</v>
      </c>
      <c r="B4499" s="83" t="s">
        <v>5017</v>
      </c>
      <c r="C4499" s="83" t="s">
        <v>11706</v>
      </c>
      <c r="D4499" s="83" t="s">
        <v>11707</v>
      </c>
    </row>
    <row r="4500" spans="1:4">
      <c r="A4500" s="83" t="s">
        <v>11705</v>
      </c>
      <c r="B4500" s="83" t="s">
        <v>5012</v>
      </c>
      <c r="C4500" s="83" t="s">
        <v>11708</v>
      </c>
      <c r="D4500" s="83" t="s">
        <v>11707</v>
      </c>
    </row>
    <row r="4501" spans="1:4">
      <c r="A4501" s="83" t="s">
        <v>11705</v>
      </c>
      <c r="B4501" s="83" t="s">
        <v>5015</v>
      </c>
      <c r="C4501" s="83" t="s">
        <v>11709</v>
      </c>
      <c r="D4501" s="83" t="s">
        <v>11707</v>
      </c>
    </row>
    <row r="4502" spans="1:4">
      <c r="A4502" s="83" t="s">
        <v>11705</v>
      </c>
      <c r="B4502" s="83" t="s">
        <v>5010</v>
      </c>
      <c r="C4502" s="83" t="s">
        <v>11710</v>
      </c>
      <c r="D4502" s="83" t="s">
        <v>11707</v>
      </c>
    </row>
    <row r="4503" spans="1:4">
      <c r="A4503" s="83" t="s">
        <v>11711</v>
      </c>
      <c r="B4503" s="83" t="s">
        <v>5017</v>
      </c>
      <c r="C4503" s="83" t="s">
        <v>11712</v>
      </c>
      <c r="D4503" s="83" t="s">
        <v>11713</v>
      </c>
    </row>
    <row r="4504" spans="1:4">
      <c r="A4504" s="83" t="s">
        <v>11711</v>
      </c>
      <c r="B4504" s="83" t="s">
        <v>5012</v>
      </c>
      <c r="C4504" s="83" t="s">
        <v>11714</v>
      </c>
      <c r="D4504" s="83" t="s">
        <v>11713</v>
      </c>
    </row>
    <row r="4505" spans="1:4">
      <c r="A4505" s="83" t="s">
        <v>11711</v>
      </c>
      <c r="B4505" s="83" t="s">
        <v>5015</v>
      </c>
      <c r="C4505" s="83" t="s">
        <v>11715</v>
      </c>
      <c r="D4505" s="83" t="s">
        <v>11713</v>
      </c>
    </row>
    <row r="4506" spans="1:4">
      <c r="A4506" s="83" t="s">
        <v>11711</v>
      </c>
      <c r="B4506" s="83" t="s">
        <v>5010</v>
      </c>
      <c r="C4506" s="83" t="s">
        <v>11716</v>
      </c>
      <c r="D4506" s="83" t="s">
        <v>11713</v>
      </c>
    </row>
    <row r="4507" spans="1:4">
      <c r="A4507" s="83" t="s">
        <v>11717</v>
      </c>
      <c r="B4507" s="83" t="s">
        <v>5017</v>
      </c>
      <c r="C4507" s="83" t="s">
        <v>11718</v>
      </c>
      <c r="D4507" s="83" t="s">
        <v>11719</v>
      </c>
    </row>
    <row r="4508" spans="1:4">
      <c r="A4508" s="83" t="s">
        <v>11717</v>
      </c>
      <c r="B4508" s="83" t="s">
        <v>5012</v>
      </c>
      <c r="C4508" s="83" t="s">
        <v>11720</v>
      </c>
      <c r="D4508" s="83" t="s">
        <v>11719</v>
      </c>
    </row>
    <row r="4509" spans="1:4">
      <c r="A4509" s="83" t="s">
        <v>11717</v>
      </c>
      <c r="B4509" s="83" t="s">
        <v>5015</v>
      </c>
      <c r="C4509" s="83" t="s">
        <v>11721</v>
      </c>
      <c r="D4509" s="83" t="s">
        <v>11719</v>
      </c>
    </row>
    <row r="4510" spans="1:4">
      <c r="A4510" s="83" t="s">
        <v>11717</v>
      </c>
      <c r="B4510" s="83" t="s">
        <v>5010</v>
      </c>
      <c r="C4510" s="83" t="s">
        <v>11722</v>
      </c>
      <c r="D4510" s="83" t="s">
        <v>11719</v>
      </c>
    </row>
    <row r="4511" spans="1:4">
      <c r="A4511" s="83" t="s">
        <v>11723</v>
      </c>
      <c r="B4511" s="83" t="s">
        <v>5017</v>
      </c>
      <c r="C4511" s="83" t="s">
        <v>11724</v>
      </c>
      <c r="D4511" s="83" t="s">
        <v>11725</v>
      </c>
    </row>
    <row r="4512" spans="1:4">
      <c r="A4512" s="83" t="s">
        <v>11723</v>
      </c>
      <c r="B4512" s="83" t="s">
        <v>5012</v>
      </c>
      <c r="C4512" s="83" t="s">
        <v>11726</v>
      </c>
      <c r="D4512" s="83" t="s">
        <v>11725</v>
      </c>
    </row>
    <row r="4513" spans="1:4">
      <c r="A4513" s="83" t="s">
        <v>11723</v>
      </c>
      <c r="B4513" s="83" t="s">
        <v>5015</v>
      </c>
      <c r="C4513" s="83" t="s">
        <v>11727</v>
      </c>
      <c r="D4513" s="83" t="s">
        <v>11725</v>
      </c>
    </row>
    <row r="4514" spans="1:4">
      <c r="A4514" s="83" t="s">
        <v>11723</v>
      </c>
      <c r="B4514" s="83" t="s">
        <v>5010</v>
      </c>
      <c r="C4514" s="83" t="s">
        <v>11728</v>
      </c>
      <c r="D4514" s="83" t="s">
        <v>11725</v>
      </c>
    </row>
    <row r="4515" spans="1:4">
      <c r="A4515" s="83" t="s">
        <v>11729</v>
      </c>
      <c r="B4515" s="83" t="s">
        <v>5017</v>
      </c>
      <c r="C4515" s="83" t="s">
        <v>11730</v>
      </c>
      <c r="D4515" s="83" t="s">
        <v>11731</v>
      </c>
    </row>
    <row r="4516" spans="1:4">
      <c r="A4516" s="83" t="s">
        <v>11729</v>
      </c>
      <c r="B4516" s="83" t="s">
        <v>5012</v>
      </c>
      <c r="C4516" s="83" t="s">
        <v>11732</v>
      </c>
      <c r="D4516" s="83" t="s">
        <v>11731</v>
      </c>
    </row>
    <row r="4517" spans="1:4">
      <c r="A4517" s="83" t="s">
        <v>11729</v>
      </c>
      <c r="B4517" s="83" t="s">
        <v>5015</v>
      </c>
      <c r="C4517" s="83" t="s">
        <v>11733</v>
      </c>
      <c r="D4517" s="83" t="s">
        <v>11731</v>
      </c>
    </row>
    <row r="4518" spans="1:4">
      <c r="A4518" s="83" t="s">
        <v>11729</v>
      </c>
      <c r="B4518" s="83" t="s">
        <v>5010</v>
      </c>
      <c r="C4518" s="83" t="s">
        <v>11734</v>
      </c>
      <c r="D4518" s="83" t="s">
        <v>11731</v>
      </c>
    </row>
    <row r="4519" spans="1:4">
      <c r="A4519" s="83" t="s">
        <v>11735</v>
      </c>
      <c r="B4519" s="83" t="s">
        <v>5017</v>
      </c>
      <c r="C4519" s="83" t="s">
        <v>11736</v>
      </c>
      <c r="D4519" s="83" t="s">
        <v>11737</v>
      </c>
    </row>
    <row r="4520" spans="1:4">
      <c r="A4520" s="83" t="s">
        <v>11735</v>
      </c>
      <c r="B4520" s="83" t="s">
        <v>5012</v>
      </c>
      <c r="C4520" s="83" t="s">
        <v>11738</v>
      </c>
      <c r="D4520" s="83" t="s">
        <v>11737</v>
      </c>
    </row>
    <row r="4521" spans="1:4">
      <c r="A4521" s="83" t="s">
        <v>11735</v>
      </c>
      <c r="B4521" s="83" t="s">
        <v>5015</v>
      </c>
      <c r="C4521" s="83" t="s">
        <v>11739</v>
      </c>
      <c r="D4521" s="83" t="s">
        <v>11737</v>
      </c>
    </row>
    <row r="4522" spans="1:4">
      <c r="A4522" s="83" t="s">
        <v>11735</v>
      </c>
      <c r="B4522" s="83" t="s">
        <v>5010</v>
      </c>
      <c r="C4522" s="83" t="s">
        <v>11740</v>
      </c>
      <c r="D4522" s="83" t="s">
        <v>11737</v>
      </c>
    </row>
    <row r="4523" spans="1:4">
      <c r="A4523" s="83" t="s">
        <v>11741</v>
      </c>
      <c r="B4523" s="83" t="s">
        <v>5017</v>
      </c>
      <c r="C4523" s="83" t="s">
        <v>11742</v>
      </c>
      <c r="D4523" s="83" t="s">
        <v>11743</v>
      </c>
    </row>
    <row r="4524" spans="1:4">
      <c r="A4524" s="83" t="s">
        <v>11741</v>
      </c>
      <c r="B4524" s="83" t="s">
        <v>5012</v>
      </c>
      <c r="C4524" s="83" t="s">
        <v>11744</v>
      </c>
      <c r="D4524" s="83" t="s">
        <v>11743</v>
      </c>
    </row>
    <row r="4525" spans="1:4">
      <c r="A4525" s="83" t="s">
        <v>11741</v>
      </c>
      <c r="B4525" s="83" t="s">
        <v>5015</v>
      </c>
      <c r="C4525" s="83" t="s">
        <v>11745</v>
      </c>
      <c r="D4525" s="83" t="s">
        <v>11743</v>
      </c>
    </row>
    <row r="4526" spans="1:4">
      <c r="A4526" s="83" t="s">
        <v>11741</v>
      </c>
      <c r="B4526" s="83" t="s">
        <v>5010</v>
      </c>
      <c r="C4526" s="83" t="s">
        <v>11746</v>
      </c>
      <c r="D4526" s="83" t="s">
        <v>11743</v>
      </c>
    </row>
    <row r="4527" spans="1:4">
      <c r="A4527" s="83" t="s">
        <v>11747</v>
      </c>
      <c r="B4527" s="83" t="s">
        <v>5017</v>
      </c>
      <c r="C4527" s="83" t="s">
        <v>11748</v>
      </c>
      <c r="D4527" s="83" t="s">
        <v>11749</v>
      </c>
    </row>
    <row r="4528" spans="1:4">
      <c r="A4528" s="83" t="s">
        <v>11747</v>
      </c>
      <c r="B4528" s="83" t="s">
        <v>5012</v>
      </c>
      <c r="C4528" s="83" t="s">
        <v>11750</v>
      </c>
      <c r="D4528" s="83" t="s">
        <v>11749</v>
      </c>
    </row>
    <row r="4529" spans="1:4">
      <c r="A4529" s="83" t="s">
        <v>11747</v>
      </c>
      <c r="B4529" s="83" t="s">
        <v>5015</v>
      </c>
      <c r="C4529" s="83" t="s">
        <v>11751</v>
      </c>
      <c r="D4529" s="83" t="s">
        <v>11749</v>
      </c>
    </row>
    <row r="4530" spans="1:4">
      <c r="A4530" s="83" t="s">
        <v>11747</v>
      </c>
      <c r="B4530" s="83" t="s">
        <v>5010</v>
      </c>
      <c r="C4530" s="83" t="s">
        <v>11752</v>
      </c>
      <c r="D4530" s="83" t="s">
        <v>11749</v>
      </c>
    </row>
    <row r="4531" spans="1:4">
      <c r="A4531" s="83" t="s">
        <v>11753</v>
      </c>
      <c r="B4531" s="83" t="s">
        <v>5017</v>
      </c>
      <c r="C4531" s="83" t="s">
        <v>11754</v>
      </c>
      <c r="D4531" s="83" t="s">
        <v>11755</v>
      </c>
    </row>
    <row r="4532" spans="1:4">
      <c r="A4532" s="83" t="s">
        <v>11753</v>
      </c>
      <c r="B4532" s="83" t="s">
        <v>5012</v>
      </c>
      <c r="C4532" s="83" t="s">
        <v>11756</v>
      </c>
      <c r="D4532" s="83" t="s">
        <v>11755</v>
      </c>
    </row>
    <row r="4533" spans="1:4">
      <c r="A4533" s="83" t="s">
        <v>11753</v>
      </c>
      <c r="B4533" s="83" t="s">
        <v>5015</v>
      </c>
      <c r="C4533" s="83" t="s">
        <v>11757</v>
      </c>
      <c r="D4533" s="83" t="s">
        <v>11755</v>
      </c>
    </row>
    <row r="4534" spans="1:4">
      <c r="A4534" s="83" t="s">
        <v>11753</v>
      </c>
      <c r="B4534" s="83" t="s">
        <v>5010</v>
      </c>
      <c r="C4534" s="83" t="s">
        <v>11758</v>
      </c>
      <c r="D4534" s="83" t="s">
        <v>11755</v>
      </c>
    </row>
    <row r="4535" spans="1:4">
      <c r="A4535" s="83" t="s">
        <v>11759</v>
      </c>
      <c r="B4535" s="83" t="s">
        <v>5017</v>
      </c>
      <c r="C4535" s="83" t="s">
        <v>11760</v>
      </c>
      <c r="D4535" s="83" t="s">
        <v>11761</v>
      </c>
    </row>
    <row r="4536" spans="1:4">
      <c r="A4536" s="83" t="s">
        <v>11759</v>
      </c>
      <c r="B4536" s="83" t="s">
        <v>5012</v>
      </c>
      <c r="C4536" s="83" t="s">
        <v>11762</v>
      </c>
      <c r="D4536" s="83" t="s">
        <v>11761</v>
      </c>
    </row>
    <row r="4537" spans="1:4">
      <c r="A4537" s="83" t="s">
        <v>11759</v>
      </c>
      <c r="B4537" s="83" t="s">
        <v>5015</v>
      </c>
      <c r="C4537" s="83" t="s">
        <v>11763</v>
      </c>
      <c r="D4537" s="83" t="s">
        <v>11761</v>
      </c>
    </row>
    <row r="4538" spans="1:4">
      <c r="A4538" s="83" t="s">
        <v>11759</v>
      </c>
      <c r="B4538" s="83" t="s">
        <v>5010</v>
      </c>
      <c r="C4538" s="83" t="s">
        <v>11764</v>
      </c>
      <c r="D4538" s="83" t="s">
        <v>11761</v>
      </c>
    </row>
    <row r="4539" spans="1:4">
      <c r="A4539" s="83" t="s">
        <v>11765</v>
      </c>
      <c r="B4539" s="83" t="s">
        <v>5017</v>
      </c>
      <c r="C4539" s="83" t="s">
        <v>11766</v>
      </c>
      <c r="D4539" s="83" t="s">
        <v>11767</v>
      </c>
    </row>
    <row r="4540" spans="1:4">
      <c r="A4540" s="83" t="s">
        <v>11765</v>
      </c>
      <c r="B4540" s="83" t="s">
        <v>5012</v>
      </c>
      <c r="C4540" s="83" t="s">
        <v>11768</v>
      </c>
      <c r="D4540" s="83" t="s">
        <v>11767</v>
      </c>
    </row>
    <row r="4541" spans="1:4">
      <c r="A4541" s="83" t="s">
        <v>11765</v>
      </c>
      <c r="B4541" s="83" t="s">
        <v>5015</v>
      </c>
      <c r="C4541" s="83" t="s">
        <v>11769</v>
      </c>
      <c r="D4541" s="83" t="s">
        <v>11767</v>
      </c>
    </row>
    <row r="4542" spans="1:4">
      <c r="A4542" s="83" t="s">
        <v>11765</v>
      </c>
      <c r="B4542" s="83" t="s">
        <v>5010</v>
      </c>
      <c r="C4542" s="83" t="s">
        <v>11770</v>
      </c>
      <c r="D4542" s="83" t="s">
        <v>11767</v>
      </c>
    </row>
    <row r="4543" spans="1:4">
      <c r="A4543" s="83" t="s">
        <v>11771</v>
      </c>
      <c r="B4543" s="83" t="s">
        <v>5017</v>
      </c>
      <c r="C4543" s="83" t="s">
        <v>11772</v>
      </c>
      <c r="D4543" s="83" t="s">
        <v>11773</v>
      </c>
    </row>
    <row r="4544" spans="1:4">
      <c r="A4544" s="83" t="s">
        <v>11771</v>
      </c>
      <c r="B4544" s="83" t="s">
        <v>5012</v>
      </c>
      <c r="C4544" s="83" t="s">
        <v>11708</v>
      </c>
      <c r="D4544" s="83" t="s">
        <v>11773</v>
      </c>
    </row>
    <row r="4545" spans="1:4">
      <c r="A4545" s="83" t="s">
        <v>11771</v>
      </c>
      <c r="B4545" s="83" t="s">
        <v>5015</v>
      </c>
      <c r="C4545" s="83" t="s">
        <v>11774</v>
      </c>
      <c r="D4545" s="83" t="s">
        <v>11773</v>
      </c>
    </row>
    <row r="4546" spans="1:4">
      <c r="A4546" s="83" t="s">
        <v>11771</v>
      </c>
      <c r="B4546" s="83" t="s">
        <v>5010</v>
      </c>
      <c r="C4546" s="83" t="s">
        <v>11775</v>
      </c>
      <c r="D4546" s="83" t="s">
        <v>11773</v>
      </c>
    </row>
    <row r="4547" spans="1:4">
      <c r="A4547" s="83" t="s">
        <v>11776</v>
      </c>
      <c r="B4547" s="83" t="s">
        <v>5017</v>
      </c>
      <c r="C4547" s="83" t="s">
        <v>11777</v>
      </c>
      <c r="D4547" s="83" t="s">
        <v>11778</v>
      </c>
    </row>
    <row r="4548" spans="1:4">
      <c r="A4548" s="83" t="s">
        <v>11776</v>
      </c>
      <c r="B4548" s="83" t="s">
        <v>5012</v>
      </c>
      <c r="C4548" s="83" t="s">
        <v>11779</v>
      </c>
      <c r="D4548" s="83" t="s">
        <v>11778</v>
      </c>
    </row>
    <row r="4549" spans="1:4">
      <c r="A4549" s="83" t="s">
        <v>11776</v>
      </c>
      <c r="B4549" s="83" t="s">
        <v>5015</v>
      </c>
      <c r="C4549" s="83" t="s">
        <v>11780</v>
      </c>
      <c r="D4549" s="83" t="s">
        <v>11778</v>
      </c>
    </row>
    <row r="4550" spans="1:4">
      <c r="A4550" s="83" t="s">
        <v>11776</v>
      </c>
      <c r="B4550" s="83" t="s">
        <v>5010</v>
      </c>
      <c r="C4550" s="83" t="s">
        <v>11781</v>
      </c>
      <c r="D4550" s="83" t="s">
        <v>11778</v>
      </c>
    </row>
    <row r="4551" spans="1:4">
      <c r="A4551" s="83" t="s">
        <v>11782</v>
      </c>
      <c r="B4551" s="83" t="s">
        <v>5017</v>
      </c>
      <c r="C4551" s="83" t="s">
        <v>11783</v>
      </c>
      <c r="D4551" s="83" t="s">
        <v>11784</v>
      </c>
    </row>
    <row r="4552" spans="1:4">
      <c r="A4552" s="83" t="s">
        <v>11782</v>
      </c>
      <c r="B4552" s="83" t="s">
        <v>5012</v>
      </c>
      <c r="C4552" s="83" t="s">
        <v>11785</v>
      </c>
      <c r="D4552" s="83" t="s">
        <v>11784</v>
      </c>
    </row>
    <row r="4553" spans="1:4">
      <c r="A4553" s="83" t="s">
        <v>11782</v>
      </c>
      <c r="B4553" s="83" t="s">
        <v>5015</v>
      </c>
      <c r="C4553" s="83" t="s">
        <v>11786</v>
      </c>
      <c r="D4553" s="83" t="s">
        <v>11784</v>
      </c>
    </row>
    <row r="4554" spans="1:4">
      <c r="A4554" s="83" t="s">
        <v>11782</v>
      </c>
      <c r="B4554" s="83" t="s">
        <v>5010</v>
      </c>
      <c r="C4554" s="83" t="s">
        <v>11787</v>
      </c>
      <c r="D4554" s="83" t="s">
        <v>11784</v>
      </c>
    </row>
    <row r="4555" spans="1:4">
      <c r="A4555" s="83" t="s">
        <v>11788</v>
      </c>
      <c r="B4555" s="83" t="s">
        <v>5017</v>
      </c>
      <c r="C4555" s="83" t="s">
        <v>11789</v>
      </c>
      <c r="D4555" s="83" t="s">
        <v>11790</v>
      </c>
    </row>
    <row r="4556" spans="1:4">
      <c r="A4556" s="83" t="s">
        <v>11788</v>
      </c>
      <c r="B4556" s="83" t="s">
        <v>5012</v>
      </c>
      <c r="C4556" s="83" t="s">
        <v>11791</v>
      </c>
      <c r="D4556" s="83" t="s">
        <v>11790</v>
      </c>
    </row>
    <row r="4557" spans="1:4">
      <c r="A4557" s="83" t="s">
        <v>11788</v>
      </c>
      <c r="B4557" s="83" t="s">
        <v>5015</v>
      </c>
      <c r="C4557" s="83" t="s">
        <v>11792</v>
      </c>
      <c r="D4557" s="83" t="s">
        <v>11790</v>
      </c>
    </row>
    <row r="4558" spans="1:4">
      <c r="A4558" s="83" t="s">
        <v>11788</v>
      </c>
      <c r="B4558" s="83" t="s">
        <v>5010</v>
      </c>
      <c r="C4558" s="83" t="s">
        <v>11793</v>
      </c>
      <c r="D4558" s="83" t="s">
        <v>11790</v>
      </c>
    </row>
    <row r="4559" spans="1:4">
      <c r="A4559" s="83" t="s">
        <v>11794</v>
      </c>
      <c r="B4559" s="83" t="s">
        <v>5017</v>
      </c>
      <c r="C4559" s="83" t="s">
        <v>11795</v>
      </c>
      <c r="D4559" s="83" t="s">
        <v>11796</v>
      </c>
    </row>
    <row r="4560" spans="1:4">
      <c r="A4560" s="83" t="s">
        <v>11794</v>
      </c>
      <c r="B4560" s="83" t="s">
        <v>5012</v>
      </c>
      <c r="C4560" s="83" t="s">
        <v>11797</v>
      </c>
      <c r="D4560" s="83" t="s">
        <v>11796</v>
      </c>
    </row>
    <row r="4561" spans="1:4">
      <c r="A4561" s="83" t="s">
        <v>11794</v>
      </c>
      <c r="B4561" s="83" t="s">
        <v>5015</v>
      </c>
      <c r="C4561" s="83" t="s">
        <v>11798</v>
      </c>
      <c r="D4561" s="83" t="s">
        <v>11796</v>
      </c>
    </row>
    <row r="4562" spans="1:4">
      <c r="A4562" s="83" t="s">
        <v>11794</v>
      </c>
      <c r="B4562" s="83" t="s">
        <v>5010</v>
      </c>
      <c r="C4562" s="83" t="s">
        <v>11799</v>
      </c>
      <c r="D4562" s="83" t="s">
        <v>11796</v>
      </c>
    </row>
    <row r="4563" spans="1:4">
      <c r="A4563" s="83" t="s">
        <v>11800</v>
      </c>
      <c r="B4563" s="83" t="s">
        <v>5017</v>
      </c>
      <c r="C4563" s="83" t="s">
        <v>11801</v>
      </c>
      <c r="D4563" s="83" t="s">
        <v>11802</v>
      </c>
    </row>
    <row r="4564" spans="1:4">
      <c r="A4564" s="83" t="s">
        <v>11800</v>
      </c>
      <c r="B4564" s="83" t="s">
        <v>5012</v>
      </c>
      <c r="C4564" s="83" t="s">
        <v>11803</v>
      </c>
      <c r="D4564" s="83" t="s">
        <v>11802</v>
      </c>
    </row>
    <row r="4565" spans="1:4">
      <c r="A4565" s="83" t="s">
        <v>11800</v>
      </c>
      <c r="B4565" s="83" t="s">
        <v>5015</v>
      </c>
      <c r="C4565" s="83" t="s">
        <v>11804</v>
      </c>
      <c r="D4565" s="83" t="s">
        <v>11802</v>
      </c>
    </row>
    <row r="4566" spans="1:4">
      <c r="A4566" s="83" t="s">
        <v>11800</v>
      </c>
      <c r="B4566" s="83" t="s">
        <v>5010</v>
      </c>
      <c r="C4566" s="83" t="s">
        <v>11805</v>
      </c>
      <c r="D4566" s="83" t="s">
        <v>11802</v>
      </c>
    </row>
    <row r="4567" spans="1:4">
      <c r="A4567" s="83" t="s">
        <v>11806</v>
      </c>
      <c r="B4567" s="83" t="s">
        <v>5017</v>
      </c>
      <c r="C4567" s="83" t="s">
        <v>11807</v>
      </c>
      <c r="D4567" s="83" t="s">
        <v>11808</v>
      </c>
    </row>
    <row r="4568" spans="1:4">
      <c r="A4568" s="83" t="s">
        <v>11806</v>
      </c>
      <c r="B4568" s="83" t="s">
        <v>5012</v>
      </c>
      <c r="C4568" s="83" t="s">
        <v>11809</v>
      </c>
      <c r="D4568" s="83" t="s">
        <v>11808</v>
      </c>
    </row>
    <row r="4569" spans="1:4">
      <c r="A4569" s="83" t="s">
        <v>11806</v>
      </c>
      <c r="B4569" s="83" t="s">
        <v>5015</v>
      </c>
      <c r="C4569" s="83" t="s">
        <v>11810</v>
      </c>
      <c r="D4569" s="83" t="s">
        <v>11808</v>
      </c>
    </row>
    <row r="4570" spans="1:4">
      <c r="A4570" s="83" t="s">
        <v>11806</v>
      </c>
      <c r="B4570" s="83" t="s">
        <v>5010</v>
      </c>
      <c r="C4570" s="83" t="s">
        <v>11811</v>
      </c>
      <c r="D4570" s="83" t="s">
        <v>11808</v>
      </c>
    </row>
    <row r="4571" spans="1:4">
      <c r="A4571" s="83" t="s">
        <v>11812</v>
      </c>
      <c r="B4571" s="83" t="s">
        <v>5017</v>
      </c>
      <c r="C4571" s="83" t="s">
        <v>11813</v>
      </c>
      <c r="D4571" s="83" t="s">
        <v>11814</v>
      </c>
    </row>
    <row r="4572" spans="1:4">
      <c r="A4572" s="83" t="s">
        <v>11812</v>
      </c>
      <c r="B4572" s="83" t="s">
        <v>5012</v>
      </c>
      <c r="C4572" s="83" t="s">
        <v>11815</v>
      </c>
      <c r="D4572" s="83" t="s">
        <v>11814</v>
      </c>
    </row>
    <row r="4573" spans="1:4">
      <c r="A4573" s="83" t="s">
        <v>11812</v>
      </c>
      <c r="B4573" s="83" t="s">
        <v>5015</v>
      </c>
      <c r="C4573" s="83" t="s">
        <v>11816</v>
      </c>
      <c r="D4573" s="83" t="s">
        <v>11814</v>
      </c>
    </row>
    <row r="4574" spans="1:4">
      <c r="A4574" s="83" t="s">
        <v>11812</v>
      </c>
      <c r="B4574" s="83" t="s">
        <v>5010</v>
      </c>
      <c r="C4574" s="83" t="s">
        <v>11817</v>
      </c>
      <c r="D4574" s="83" t="s">
        <v>11814</v>
      </c>
    </row>
    <row r="4575" spans="1:4">
      <c r="A4575" s="83" t="s">
        <v>11818</v>
      </c>
      <c r="B4575" s="83" t="s">
        <v>5017</v>
      </c>
      <c r="C4575" s="83" t="s">
        <v>11819</v>
      </c>
      <c r="D4575" s="83" t="s">
        <v>11820</v>
      </c>
    </row>
    <row r="4576" spans="1:4">
      <c r="A4576" s="83" t="s">
        <v>11818</v>
      </c>
      <c r="B4576" s="83" t="s">
        <v>5012</v>
      </c>
      <c r="C4576" s="83" t="s">
        <v>11821</v>
      </c>
      <c r="D4576" s="83" t="s">
        <v>11820</v>
      </c>
    </row>
    <row r="4577" spans="1:4">
      <c r="A4577" s="83" t="s">
        <v>11818</v>
      </c>
      <c r="B4577" s="83" t="s">
        <v>5015</v>
      </c>
      <c r="C4577" s="83" t="s">
        <v>11822</v>
      </c>
      <c r="D4577" s="83" t="s">
        <v>11820</v>
      </c>
    </row>
    <row r="4578" spans="1:4">
      <c r="A4578" s="83" t="s">
        <v>11818</v>
      </c>
      <c r="B4578" s="83" t="s">
        <v>5010</v>
      </c>
      <c r="C4578" s="83" t="s">
        <v>11823</v>
      </c>
      <c r="D4578" s="83" t="s">
        <v>11820</v>
      </c>
    </row>
    <row r="4579" spans="1:4">
      <c r="A4579" s="83" t="s">
        <v>11824</v>
      </c>
      <c r="B4579" s="83" t="s">
        <v>5017</v>
      </c>
      <c r="C4579" s="83" t="s">
        <v>11825</v>
      </c>
      <c r="D4579" s="83" t="s">
        <v>11826</v>
      </c>
    </row>
    <row r="4580" spans="1:4">
      <c r="A4580" s="83" t="s">
        <v>11824</v>
      </c>
      <c r="B4580" s="83" t="s">
        <v>5012</v>
      </c>
      <c r="C4580" s="83" t="s">
        <v>11827</v>
      </c>
      <c r="D4580" s="83" t="s">
        <v>11826</v>
      </c>
    </row>
    <row r="4581" spans="1:4">
      <c r="A4581" s="83" t="s">
        <v>11824</v>
      </c>
      <c r="B4581" s="83" t="s">
        <v>5015</v>
      </c>
      <c r="C4581" s="83" t="s">
        <v>11828</v>
      </c>
      <c r="D4581" s="83" t="s">
        <v>11826</v>
      </c>
    </row>
    <row r="4582" spans="1:4">
      <c r="A4582" s="83" t="s">
        <v>11824</v>
      </c>
      <c r="B4582" s="83" t="s">
        <v>5010</v>
      </c>
      <c r="C4582" s="83" t="s">
        <v>11107</v>
      </c>
      <c r="D4582" s="83" t="s">
        <v>11826</v>
      </c>
    </row>
    <row r="4583" spans="1:4">
      <c r="A4583" s="83" t="s">
        <v>11829</v>
      </c>
      <c r="B4583" s="83" t="s">
        <v>5017</v>
      </c>
      <c r="C4583" s="83" t="s">
        <v>11830</v>
      </c>
      <c r="D4583" s="83" t="s">
        <v>11831</v>
      </c>
    </row>
    <row r="4584" spans="1:4">
      <c r="A4584" s="83" t="s">
        <v>11829</v>
      </c>
      <c r="B4584" s="83" t="s">
        <v>5012</v>
      </c>
      <c r="C4584" s="83" t="s">
        <v>11832</v>
      </c>
      <c r="D4584" s="83" t="s">
        <v>11831</v>
      </c>
    </row>
    <row r="4585" spans="1:4">
      <c r="A4585" s="83" t="s">
        <v>11829</v>
      </c>
      <c r="B4585" s="83" t="s">
        <v>5015</v>
      </c>
      <c r="C4585" s="83" t="s">
        <v>11833</v>
      </c>
      <c r="D4585" s="83" t="s">
        <v>11831</v>
      </c>
    </row>
    <row r="4586" spans="1:4">
      <c r="A4586" s="83" t="s">
        <v>11829</v>
      </c>
      <c r="B4586" s="83" t="s">
        <v>5010</v>
      </c>
      <c r="C4586" s="83" t="s">
        <v>11834</v>
      </c>
      <c r="D4586" s="83" t="s">
        <v>11831</v>
      </c>
    </row>
    <row r="4587" spans="1:4">
      <c r="A4587" s="83" t="s">
        <v>11835</v>
      </c>
      <c r="B4587" s="83" t="s">
        <v>5017</v>
      </c>
      <c r="C4587" s="83" t="s">
        <v>11836</v>
      </c>
      <c r="D4587" s="83" t="s">
        <v>11837</v>
      </c>
    </row>
    <row r="4588" spans="1:4">
      <c r="A4588" s="83" t="s">
        <v>11835</v>
      </c>
      <c r="B4588" s="83" t="s">
        <v>5012</v>
      </c>
      <c r="C4588" s="83" t="s">
        <v>11838</v>
      </c>
      <c r="D4588" s="83" t="s">
        <v>11837</v>
      </c>
    </row>
    <row r="4589" spans="1:4">
      <c r="A4589" s="83" t="s">
        <v>11835</v>
      </c>
      <c r="B4589" s="83" t="s">
        <v>5015</v>
      </c>
      <c r="C4589" s="83" t="s">
        <v>11839</v>
      </c>
      <c r="D4589" s="83" t="s">
        <v>11837</v>
      </c>
    </row>
    <row r="4590" spans="1:4">
      <c r="A4590" s="83" t="s">
        <v>11835</v>
      </c>
      <c r="B4590" s="83" t="s">
        <v>5010</v>
      </c>
      <c r="C4590" s="83" t="s">
        <v>11840</v>
      </c>
      <c r="D4590" s="83" t="s">
        <v>11837</v>
      </c>
    </row>
    <row r="4591" spans="1:4">
      <c r="A4591" s="83" t="s">
        <v>11841</v>
      </c>
      <c r="B4591" s="83" t="s">
        <v>5017</v>
      </c>
      <c r="C4591" s="83" t="s">
        <v>11842</v>
      </c>
      <c r="D4591" s="83" t="s">
        <v>11843</v>
      </c>
    </row>
    <row r="4592" spans="1:4">
      <c r="A4592" s="83" t="s">
        <v>11841</v>
      </c>
      <c r="B4592" s="83" t="s">
        <v>5012</v>
      </c>
      <c r="C4592" s="83" t="s">
        <v>11844</v>
      </c>
      <c r="D4592" s="83" t="s">
        <v>11843</v>
      </c>
    </row>
    <row r="4593" spans="1:4">
      <c r="A4593" s="83" t="s">
        <v>11841</v>
      </c>
      <c r="B4593" s="83" t="s">
        <v>5015</v>
      </c>
      <c r="C4593" s="83" t="s">
        <v>11845</v>
      </c>
      <c r="D4593" s="83" t="s">
        <v>11843</v>
      </c>
    </row>
    <row r="4594" spans="1:4">
      <c r="A4594" s="83" t="s">
        <v>11841</v>
      </c>
      <c r="B4594" s="83" t="s">
        <v>5010</v>
      </c>
      <c r="C4594" s="83" t="s">
        <v>11846</v>
      </c>
      <c r="D4594" s="83" t="s">
        <v>11843</v>
      </c>
    </row>
    <row r="4595" spans="1:4">
      <c r="A4595" s="83" t="s">
        <v>11847</v>
      </c>
      <c r="B4595" s="83" t="s">
        <v>5017</v>
      </c>
      <c r="C4595" s="83" t="s">
        <v>11848</v>
      </c>
      <c r="D4595" s="83" t="s">
        <v>11849</v>
      </c>
    </row>
    <row r="4596" spans="1:4">
      <c r="A4596" s="83" t="s">
        <v>11847</v>
      </c>
      <c r="B4596" s="83" t="s">
        <v>5012</v>
      </c>
      <c r="C4596" s="83" t="s">
        <v>11850</v>
      </c>
      <c r="D4596" s="83" t="s">
        <v>11849</v>
      </c>
    </row>
    <row r="4597" spans="1:4">
      <c r="A4597" s="83" t="s">
        <v>11847</v>
      </c>
      <c r="B4597" s="83" t="s">
        <v>5015</v>
      </c>
      <c r="C4597" s="83" t="s">
        <v>11851</v>
      </c>
      <c r="D4597" s="83" t="s">
        <v>11849</v>
      </c>
    </row>
    <row r="4598" spans="1:4">
      <c r="A4598" s="83" t="s">
        <v>11847</v>
      </c>
      <c r="B4598" s="83" t="s">
        <v>5010</v>
      </c>
      <c r="C4598" s="83" t="s">
        <v>11852</v>
      </c>
      <c r="D4598" s="83" t="s">
        <v>11849</v>
      </c>
    </row>
    <row r="4599" spans="1:4">
      <c r="A4599" s="83" t="s">
        <v>11853</v>
      </c>
      <c r="B4599" s="83" t="s">
        <v>5017</v>
      </c>
      <c r="C4599" s="83" t="s">
        <v>11854</v>
      </c>
      <c r="D4599" s="83" t="s">
        <v>11855</v>
      </c>
    </row>
    <row r="4600" spans="1:4">
      <c r="A4600" s="83" t="s">
        <v>11853</v>
      </c>
      <c r="B4600" s="83" t="s">
        <v>5012</v>
      </c>
      <c r="C4600" s="83" t="s">
        <v>11856</v>
      </c>
      <c r="D4600" s="83" t="s">
        <v>11855</v>
      </c>
    </row>
    <row r="4601" spans="1:4">
      <c r="A4601" s="83" t="s">
        <v>11853</v>
      </c>
      <c r="B4601" s="83" t="s">
        <v>5015</v>
      </c>
      <c r="C4601" s="83" t="s">
        <v>11857</v>
      </c>
      <c r="D4601" s="83" t="s">
        <v>11855</v>
      </c>
    </row>
    <row r="4602" spans="1:4">
      <c r="A4602" s="83" t="s">
        <v>11853</v>
      </c>
      <c r="B4602" s="83" t="s">
        <v>5010</v>
      </c>
      <c r="C4602" s="83" t="s">
        <v>11858</v>
      </c>
      <c r="D4602" s="83" t="s">
        <v>11855</v>
      </c>
    </row>
    <row r="4603" spans="1:4">
      <c r="A4603" s="83" t="s">
        <v>11859</v>
      </c>
      <c r="B4603" s="83" t="s">
        <v>5017</v>
      </c>
      <c r="C4603" s="83" t="s">
        <v>11860</v>
      </c>
      <c r="D4603" s="83" t="s">
        <v>11861</v>
      </c>
    </row>
    <row r="4604" spans="1:4">
      <c r="A4604" s="83" t="s">
        <v>11859</v>
      </c>
      <c r="B4604" s="83" t="s">
        <v>5012</v>
      </c>
      <c r="C4604" s="83" t="s">
        <v>11862</v>
      </c>
      <c r="D4604" s="83" t="s">
        <v>11861</v>
      </c>
    </row>
    <row r="4605" spans="1:4">
      <c r="A4605" s="83" t="s">
        <v>11859</v>
      </c>
      <c r="B4605" s="83" t="s">
        <v>5015</v>
      </c>
      <c r="C4605" s="83" t="s">
        <v>11863</v>
      </c>
      <c r="D4605" s="83" t="s">
        <v>11861</v>
      </c>
    </row>
    <row r="4606" spans="1:4">
      <c r="A4606" s="83" t="s">
        <v>11859</v>
      </c>
      <c r="B4606" s="83" t="s">
        <v>5010</v>
      </c>
      <c r="C4606" s="83" t="s">
        <v>11864</v>
      </c>
      <c r="D4606" s="83" t="s">
        <v>11861</v>
      </c>
    </row>
    <row r="4607" spans="1:4">
      <c r="A4607" s="83" t="s">
        <v>11865</v>
      </c>
      <c r="B4607" s="83" t="s">
        <v>5017</v>
      </c>
      <c r="C4607" s="83" t="s">
        <v>11866</v>
      </c>
      <c r="D4607" s="83" t="s">
        <v>11867</v>
      </c>
    </row>
    <row r="4608" spans="1:4">
      <c r="A4608" s="83" t="s">
        <v>11865</v>
      </c>
      <c r="B4608" s="83" t="s">
        <v>5012</v>
      </c>
      <c r="C4608" s="83" t="s">
        <v>11868</v>
      </c>
      <c r="D4608" s="83" t="s">
        <v>11867</v>
      </c>
    </row>
    <row r="4609" spans="1:4">
      <c r="A4609" s="83" t="s">
        <v>11865</v>
      </c>
      <c r="B4609" s="83" t="s">
        <v>5015</v>
      </c>
      <c r="C4609" s="83" t="s">
        <v>11869</v>
      </c>
      <c r="D4609" s="83" t="s">
        <v>11867</v>
      </c>
    </row>
    <row r="4610" spans="1:4">
      <c r="A4610" s="83" t="s">
        <v>11865</v>
      </c>
      <c r="B4610" s="83" t="s">
        <v>5010</v>
      </c>
      <c r="C4610" s="83" t="s">
        <v>11870</v>
      </c>
      <c r="D4610" s="83" t="s">
        <v>11867</v>
      </c>
    </row>
    <row r="4611" spans="1:4">
      <c r="A4611" s="83" t="s">
        <v>11871</v>
      </c>
      <c r="B4611" s="83" t="s">
        <v>5017</v>
      </c>
      <c r="C4611" s="83" t="s">
        <v>11872</v>
      </c>
      <c r="D4611" s="83" t="s">
        <v>11873</v>
      </c>
    </row>
    <row r="4612" spans="1:4">
      <c r="A4612" s="83" t="s">
        <v>11871</v>
      </c>
      <c r="B4612" s="83" t="s">
        <v>5012</v>
      </c>
      <c r="C4612" s="83" t="s">
        <v>11874</v>
      </c>
      <c r="D4612" s="83" t="s">
        <v>11873</v>
      </c>
    </row>
    <row r="4613" spans="1:4">
      <c r="A4613" s="83" t="s">
        <v>11871</v>
      </c>
      <c r="B4613" s="83" t="s">
        <v>5015</v>
      </c>
      <c r="C4613" s="83" t="s">
        <v>11875</v>
      </c>
      <c r="D4613" s="83" t="s">
        <v>11873</v>
      </c>
    </row>
    <row r="4614" spans="1:4">
      <c r="A4614" s="83" t="s">
        <v>11871</v>
      </c>
      <c r="B4614" s="83" t="s">
        <v>5010</v>
      </c>
      <c r="C4614" s="83" t="s">
        <v>11876</v>
      </c>
      <c r="D4614" s="83" t="s">
        <v>11873</v>
      </c>
    </row>
    <row r="4615" spans="1:4">
      <c r="A4615" s="83" t="s">
        <v>11877</v>
      </c>
      <c r="B4615" s="83" t="s">
        <v>5017</v>
      </c>
      <c r="C4615" s="83" t="s">
        <v>11878</v>
      </c>
      <c r="D4615" s="83" t="s">
        <v>11879</v>
      </c>
    </row>
    <row r="4616" spans="1:4">
      <c r="A4616" s="83" t="s">
        <v>11877</v>
      </c>
      <c r="B4616" s="83" t="s">
        <v>5012</v>
      </c>
      <c r="C4616" s="83" t="s">
        <v>11880</v>
      </c>
      <c r="D4616" s="83" t="s">
        <v>11879</v>
      </c>
    </row>
    <row r="4617" spans="1:4">
      <c r="A4617" s="83" t="s">
        <v>11877</v>
      </c>
      <c r="B4617" s="83" t="s">
        <v>5015</v>
      </c>
      <c r="C4617" s="83" t="s">
        <v>11881</v>
      </c>
      <c r="D4617" s="83" t="s">
        <v>11879</v>
      </c>
    </row>
    <row r="4618" spans="1:4">
      <c r="A4618" s="83" t="s">
        <v>11877</v>
      </c>
      <c r="B4618" s="83" t="s">
        <v>5010</v>
      </c>
      <c r="C4618" s="83" t="s">
        <v>11882</v>
      </c>
      <c r="D4618" s="83" t="s">
        <v>11879</v>
      </c>
    </row>
    <row r="4619" spans="1:4">
      <c r="A4619" s="83" t="s">
        <v>11883</v>
      </c>
      <c r="B4619" s="83" t="s">
        <v>5017</v>
      </c>
      <c r="C4619" s="83" t="s">
        <v>11884</v>
      </c>
      <c r="D4619" s="83" t="s">
        <v>11885</v>
      </c>
    </row>
    <row r="4620" spans="1:4">
      <c r="A4620" s="83" t="s">
        <v>11883</v>
      </c>
      <c r="B4620" s="83" t="s">
        <v>5012</v>
      </c>
      <c r="C4620" s="83" t="s">
        <v>11886</v>
      </c>
      <c r="D4620" s="83" t="s">
        <v>11885</v>
      </c>
    </row>
    <row r="4621" spans="1:4">
      <c r="A4621" s="83" t="s">
        <v>11883</v>
      </c>
      <c r="B4621" s="83" t="s">
        <v>5015</v>
      </c>
      <c r="C4621" s="83" t="s">
        <v>11887</v>
      </c>
      <c r="D4621" s="83" t="s">
        <v>11885</v>
      </c>
    </row>
    <row r="4622" spans="1:4">
      <c r="A4622" s="83" t="s">
        <v>11883</v>
      </c>
      <c r="B4622" s="83" t="s">
        <v>5010</v>
      </c>
      <c r="C4622" s="83" t="s">
        <v>11888</v>
      </c>
      <c r="D4622" s="83" t="s">
        <v>11885</v>
      </c>
    </row>
    <row r="4623" spans="1:4">
      <c r="A4623" s="83" t="s">
        <v>11889</v>
      </c>
      <c r="B4623" s="83" t="s">
        <v>5017</v>
      </c>
      <c r="C4623" s="83" t="s">
        <v>11890</v>
      </c>
      <c r="D4623" s="83" t="s">
        <v>11891</v>
      </c>
    </row>
    <row r="4624" spans="1:4">
      <c r="A4624" s="83" t="s">
        <v>11889</v>
      </c>
      <c r="B4624" s="83" t="s">
        <v>5012</v>
      </c>
      <c r="C4624" s="83" t="s">
        <v>11892</v>
      </c>
      <c r="D4624" s="83" t="s">
        <v>11891</v>
      </c>
    </row>
    <row r="4625" spans="1:4">
      <c r="A4625" s="83" t="s">
        <v>11889</v>
      </c>
      <c r="B4625" s="83" t="s">
        <v>5015</v>
      </c>
      <c r="C4625" s="83" t="s">
        <v>11893</v>
      </c>
      <c r="D4625" s="83" t="s">
        <v>11891</v>
      </c>
    </row>
    <row r="4626" spans="1:4">
      <c r="A4626" s="83" t="s">
        <v>11889</v>
      </c>
      <c r="B4626" s="83" t="s">
        <v>5010</v>
      </c>
      <c r="C4626" s="83" t="s">
        <v>11894</v>
      </c>
      <c r="D4626" s="83" t="s">
        <v>11891</v>
      </c>
    </row>
    <row r="4627" spans="1:4">
      <c r="A4627" s="83" t="s">
        <v>11895</v>
      </c>
      <c r="B4627" s="83" t="s">
        <v>5017</v>
      </c>
      <c r="C4627" s="83" t="s">
        <v>11896</v>
      </c>
      <c r="D4627" s="83" t="s">
        <v>11897</v>
      </c>
    </row>
    <row r="4628" spans="1:4">
      <c r="A4628" s="83" t="s">
        <v>11895</v>
      </c>
      <c r="B4628" s="83" t="s">
        <v>5012</v>
      </c>
      <c r="C4628" s="83" t="s">
        <v>11898</v>
      </c>
      <c r="D4628" s="83" t="s">
        <v>11897</v>
      </c>
    </row>
    <row r="4629" spans="1:4">
      <c r="A4629" s="83" t="s">
        <v>11895</v>
      </c>
      <c r="B4629" s="83" t="s">
        <v>5015</v>
      </c>
      <c r="C4629" s="83" t="s">
        <v>11899</v>
      </c>
      <c r="D4629" s="83" t="s">
        <v>11897</v>
      </c>
    </row>
    <row r="4630" spans="1:4">
      <c r="A4630" s="83" t="s">
        <v>11895</v>
      </c>
      <c r="B4630" s="83" t="s">
        <v>5010</v>
      </c>
      <c r="C4630" s="83" t="s">
        <v>11900</v>
      </c>
      <c r="D4630" s="83" t="s">
        <v>11897</v>
      </c>
    </row>
    <row r="4631" spans="1:4">
      <c r="A4631" s="83" t="s">
        <v>11901</v>
      </c>
      <c r="B4631" s="83" t="s">
        <v>5017</v>
      </c>
      <c r="C4631" s="83" t="s">
        <v>11902</v>
      </c>
      <c r="D4631" s="83" t="s">
        <v>11903</v>
      </c>
    </row>
    <row r="4632" spans="1:4">
      <c r="A4632" s="83" t="s">
        <v>11901</v>
      </c>
      <c r="B4632" s="83" t="s">
        <v>5012</v>
      </c>
      <c r="C4632" s="83" t="s">
        <v>11904</v>
      </c>
      <c r="D4632" s="83" t="s">
        <v>11903</v>
      </c>
    </row>
    <row r="4633" spans="1:4">
      <c r="A4633" s="83" t="s">
        <v>11901</v>
      </c>
      <c r="B4633" s="83" t="s">
        <v>5015</v>
      </c>
      <c r="C4633" s="83" t="s">
        <v>11905</v>
      </c>
      <c r="D4633" s="83" t="s">
        <v>11903</v>
      </c>
    </row>
    <row r="4634" spans="1:4">
      <c r="A4634" s="83" t="s">
        <v>11901</v>
      </c>
      <c r="B4634" s="83" t="s">
        <v>5010</v>
      </c>
      <c r="C4634" s="83" t="s">
        <v>11906</v>
      </c>
      <c r="D4634" s="83" t="s">
        <v>11903</v>
      </c>
    </row>
    <row r="4635" spans="1:4">
      <c r="A4635" s="83" t="s">
        <v>11907</v>
      </c>
      <c r="B4635" s="83" t="s">
        <v>5017</v>
      </c>
      <c r="C4635" s="83" t="s">
        <v>11908</v>
      </c>
      <c r="D4635" s="83" t="s">
        <v>11909</v>
      </c>
    </row>
    <row r="4636" spans="1:4">
      <c r="A4636" s="83" t="s">
        <v>11907</v>
      </c>
      <c r="B4636" s="83" t="s">
        <v>5012</v>
      </c>
      <c r="C4636" s="83" t="s">
        <v>11910</v>
      </c>
      <c r="D4636" s="83" t="s">
        <v>11909</v>
      </c>
    </row>
    <row r="4637" spans="1:4">
      <c r="A4637" s="83" t="s">
        <v>11907</v>
      </c>
      <c r="B4637" s="83" t="s">
        <v>5015</v>
      </c>
      <c r="C4637" s="83" t="s">
        <v>11911</v>
      </c>
      <c r="D4637" s="83" t="s">
        <v>11909</v>
      </c>
    </row>
    <row r="4638" spans="1:4">
      <c r="A4638" s="83" t="s">
        <v>11907</v>
      </c>
      <c r="B4638" s="83" t="s">
        <v>5010</v>
      </c>
      <c r="C4638" s="83" t="s">
        <v>11912</v>
      </c>
      <c r="D4638" s="83" t="s">
        <v>11909</v>
      </c>
    </row>
    <row r="4639" spans="1:4">
      <c r="A4639" s="83" t="s">
        <v>11913</v>
      </c>
      <c r="B4639" s="83" t="s">
        <v>5017</v>
      </c>
      <c r="C4639" s="83" t="s">
        <v>11914</v>
      </c>
      <c r="D4639" s="83" t="s">
        <v>11915</v>
      </c>
    </row>
    <row r="4640" spans="1:4">
      <c r="A4640" s="83" t="s">
        <v>11913</v>
      </c>
      <c r="B4640" s="83" t="s">
        <v>5012</v>
      </c>
      <c r="C4640" s="83" t="s">
        <v>11916</v>
      </c>
      <c r="D4640" s="83" t="s">
        <v>11915</v>
      </c>
    </row>
    <row r="4641" spans="1:4">
      <c r="A4641" s="83" t="s">
        <v>11913</v>
      </c>
      <c r="B4641" s="83" t="s">
        <v>5015</v>
      </c>
      <c r="C4641" s="83" t="s">
        <v>11917</v>
      </c>
      <c r="D4641" s="83" t="s">
        <v>11915</v>
      </c>
    </row>
    <row r="4642" spans="1:4">
      <c r="A4642" s="83" t="s">
        <v>11913</v>
      </c>
      <c r="B4642" s="83" t="s">
        <v>5010</v>
      </c>
      <c r="C4642" s="83" t="s">
        <v>11918</v>
      </c>
      <c r="D4642" s="83" t="s">
        <v>11915</v>
      </c>
    </row>
    <row r="4643" spans="1:4">
      <c r="A4643" s="83" t="s">
        <v>11919</v>
      </c>
      <c r="B4643" s="83" t="s">
        <v>5017</v>
      </c>
      <c r="C4643" s="83" t="s">
        <v>11920</v>
      </c>
      <c r="D4643" s="83" t="s">
        <v>11921</v>
      </c>
    </row>
    <row r="4644" spans="1:4">
      <c r="A4644" s="83" t="s">
        <v>11919</v>
      </c>
      <c r="B4644" s="83" t="s">
        <v>5012</v>
      </c>
      <c r="C4644" s="83" t="s">
        <v>11922</v>
      </c>
      <c r="D4644" s="83" t="s">
        <v>11921</v>
      </c>
    </row>
    <row r="4645" spans="1:4">
      <c r="A4645" s="83" t="s">
        <v>11919</v>
      </c>
      <c r="B4645" s="83" t="s">
        <v>5015</v>
      </c>
      <c r="C4645" s="83" t="s">
        <v>11923</v>
      </c>
      <c r="D4645" s="83" t="s">
        <v>11921</v>
      </c>
    </row>
    <row r="4646" spans="1:4">
      <c r="A4646" s="83" t="s">
        <v>11919</v>
      </c>
      <c r="B4646" s="83" t="s">
        <v>5010</v>
      </c>
      <c r="C4646" s="83" t="s">
        <v>11924</v>
      </c>
      <c r="D4646" s="83" t="s">
        <v>11921</v>
      </c>
    </row>
    <row r="4647" spans="1:4">
      <c r="A4647" s="83" t="s">
        <v>11925</v>
      </c>
      <c r="B4647" s="83" t="s">
        <v>5017</v>
      </c>
      <c r="C4647" s="83" t="s">
        <v>11926</v>
      </c>
      <c r="D4647" s="83" t="s">
        <v>11927</v>
      </c>
    </row>
    <row r="4648" spans="1:4">
      <c r="A4648" s="83" t="s">
        <v>11925</v>
      </c>
      <c r="B4648" s="83" t="s">
        <v>5012</v>
      </c>
      <c r="C4648" s="83" t="s">
        <v>11928</v>
      </c>
      <c r="D4648" s="83" t="s">
        <v>11927</v>
      </c>
    </row>
    <row r="4649" spans="1:4">
      <c r="A4649" s="83" t="s">
        <v>11925</v>
      </c>
      <c r="B4649" s="83" t="s">
        <v>5015</v>
      </c>
      <c r="C4649" s="83" t="s">
        <v>11929</v>
      </c>
      <c r="D4649" s="83" t="s">
        <v>11927</v>
      </c>
    </row>
    <row r="4650" spans="1:4">
      <c r="A4650" s="83" t="s">
        <v>11925</v>
      </c>
      <c r="B4650" s="83" t="s">
        <v>5010</v>
      </c>
      <c r="C4650" s="83" t="s">
        <v>11930</v>
      </c>
      <c r="D4650" s="83" t="s">
        <v>11927</v>
      </c>
    </row>
    <row r="4651" spans="1:4">
      <c r="A4651" s="83" t="s">
        <v>11931</v>
      </c>
      <c r="B4651" s="83" t="s">
        <v>5017</v>
      </c>
      <c r="C4651" s="83" t="s">
        <v>11932</v>
      </c>
      <c r="D4651" s="83" t="s">
        <v>11933</v>
      </c>
    </row>
    <row r="4652" spans="1:4">
      <c r="A4652" s="83" t="s">
        <v>11931</v>
      </c>
      <c r="B4652" s="83" t="s">
        <v>5012</v>
      </c>
      <c r="C4652" s="83" t="s">
        <v>11934</v>
      </c>
      <c r="D4652" s="83" t="s">
        <v>11933</v>
      </c>
    </row>
    <row r="4653" spans="1:4">
      <c r="A4653" s="83" t="s">
        <v>11931</v>
      </c>
      <c r="B4653" s="83" t="s">
        <v>5015</v>
      </c>
      <c r="C4653" s="83" t="s">
        <v>11935</v>
      </c>
      <c r="D4653" s="83" t="s">
        <v>11933</v>
      </c>
    </row>
    <row r="4654" spans="1:4">
      <c r="A4654" s="83" t="s">
        <v>11931</v>
      </c>
      <c r="B4654" s="83" t="s">
        <v>5010</v>
      </c>
      <c r="C4654" s="83" t="s">
        <v>11936</v>
      </c>
      <c r="D4654" s="83" t="s">
        <v>11933</v>
      </c>
    </row>
    <row r="4655" spans="1:4">
      <c r="A4655" s="83" t="s">
        <v>11937</v>
      </c>
      <c r="B4655" s="83" t="s">
        <v>5017</v>
      </c>
      <c r="C4655" s="83" t="s">
        <v>11938</v>
      </c>
      <c r="D4655" s="83" t="s">
        <v>11939</v>
      </c>
    </row>
    <row r="4656" spans="1:4">
      <c r="A4656" s="83" t="s">
        <v>11937</v>
      </c>
      <c r="B4656" s="83" t="s">
        <v>5012</v>
      </c>
      <c r="C4656" s="83" t="s">
        <v>11940</v>
      </c>
      <c r="D4656" s="83" t="s">
        <v>11939</v>
      </c>
    </row>
    <row r="4657" spans="1:4">
      <c r="A4657" s="83" t="s">
        <v>11937</v>
      </c>
      <c r="B4657" s="83" t="s">
        <v>5015</v>
      </c>
      <c r="C4657" s="83" t="s">
        <v>11941</v>
      </c>
      <c r="D4657" s="83" t="s">
        <v>11939</v>
      </c>
    </row>
    <row r="4658" spans="1:4">
      <c r="A4658" s="83" t="s">
        <v>11937</v>
      </c>
      <c r="B4658" s="83" t="s">
        <v>5010</v>
      </c>
      <c r="C4658" s="83" t="s">
        <v>11942</v>
      </c>
      <c r="D4658" s="83" t="s">
        <v>11939</v>
      </c>
    </row>
    <row r="4659" spans="1:4">
      <c r="A4659" s="83" t="s">
        <v>11943</v>
      </c>
      <c r="B4659" s="83" t="s">
        <v>5017</v>
      </c>
      <c r="C4659" s="83" t="s">
        <v>11944</v>
      </c>
      <c r="D4659" s="83" t="s">
        <v>11945</v>
      </c>
    </row>
    <row r="4660" spans="1:4">
      <c r="A4660" s="83" t="s">
        <v>11943</v>
      </c>
      <c r="B4660" s="83" t="s">
        <v>5012</v>
      </c>
      <c r="C4660" s="83" t="s">
        <v>11946</v>
      </c>
      <c r="D4660" s="83" t="s">
        <v>11945</v>
      </c>
    </row>
    <row r="4661" spans="1:4">
      <c r="A4661" s="83" t="s">
        <v>11943</v>
      </c>
      <c r="B4661" s="83" t="s">
        <v>5015</v>
      </c>
      <c r="C4661" s="83" t="s">
        <v>11947</v>
      </c>
      <c r="D4661" s="83" t="s">
        <v>11945</v>
      </c>
    </row>
    <row r="4662" spans="1:4">
      <c r="A4662" s="83" t="s">
        <v>11943</v>
      </c>
      <c r="B4662" s="83" t="s">
        <v>5010</v>
      </c>
      <c r="C4662" s="83" t="s">
        <v>11948</v>
      </c>
      <c r="D4662" s="83" t="s">
        <v>11945</v>
      </c>
    </row>
    <row r="4663" spans="1:4">
      <c r="A4663" s="83" t="s">
        <v>11949</v>
      </c>
      <c r="B4663" s="83" t="s">
        <v>5017</v>
      </c>
      <c r="C4663" s="83" t="s">
        <v>11950</v>
      </c>
      <c r="D4663" s="83" t="s">
        <v>11951</v>
      </c>
    </row>
    <row r="4664" spans="1:4">
      <c r="A4664" s="83" t="s">
        <v>11949</v>
      </c>
      <c r="B4664" s="83" t="s">
        <v>5012</v>
      </c>
      <c r="C4664" s="83" t="s">
        <v>11952</v>
      </c>
      <c r="D4664" s="83" t="s">
        <v>11951</v>
      </c>
    </row>
    <row r="4665" spans="1:4">
      <c r="A4665" s="83" t="s">
        <v>11949</v>
      </c>
      <c r="B4665" s="83" t="s">
        <v>5015</v>
      </c>
      <c r="C4665" s="83" t="s">
        <v>11953</v>
      </c>
      <c r="D4665" s="83" t="s">
        <v>11951</v>
      </c>
    </row>
    <row r="4666" spans="1:4">
      <c r="A4666" s="83" t="s">
        <v>11949</v>
      </c>
      <c r="B4666" s="83" t="s">
        <v>5010</v>
      </c>
      <c r="C4666" s="83" t="s">
        <v>11954</v>
      </c>
      <c r="D4666" s="83" t="s">
        <v>11951</v>
      </c>
    </row>
    <row r="4667" spans="1:4">
      <c r="A4667" s="83" t="s">
        <v>11955</v>
      </c>
      <c r="B4667" s="83" t="s">
        <v>5017</v>
      </c>
      <c r="C4667" s="83" t="s">
        <v>11956</v>
      </c>
      <c r="D4667" s="83" t="s">
        <v>11957</v>
      </c>
    </row>
    <row r="4668" spans="1:4">
      <c r="A4668" s="83" t="s">
        <v>11955</v>
      </c>
      <c r="B4668" s="83" t="s">
        <v>5012</v>
      </c>
      <c r="C4668" s="83" t="s">
        <v>11958</v>
      </c>
      <c r="D4668" s="83" t="s">
        <v>11957</v>
      </c>
    </row>
    <row r="4669" spans="1:4">
      <c r="A4669" s="83" t="s">
        <v>11955</v>
      </c>
      <c r="B4669" s="83" t="s">
        <v>5015</v>
      </c>
      <c r="C4669" s="83" t="s">
        <v>11959</v>
      </c>
      <c r="D4669" s="83" t="s">
        <v>11957</v>
      </c>
    </row>
    <row r="4670" spans="1:4">
      <c r="A4670" s="83" t="s">
        <v>11955</v>
      </c>
      <c r="B4670" s="83" t="s">
        <v>5010</v>
      </c>
      <c r="C4670" s="83" t="s">
        <v>11960</v>
      </c>
      <c r="D4670" s="83" t="s">
        <v>11957</v>
      </c>
    </row>
    <row r="4671" spans="1:4">
      <c r="A4671" s="83" t="s">
        <v>11961</v>
      </c>
      <c r="B4671" s="83" t="s">
        <v>5017</v>
      </c>
      <c r="C4671" s="83" t="s">
        <v>11962</v>
      </c>
      <c r="D4671" s="83" t="s">
        <v>11963</v>
      </c>
    </row>
    <row r="4672" spans="1:4">
      <c r="A4672" s="83" t="s">
        <v>11961</v>
      </c>
      <c r="B4672" s="83" t="s">
        <v>5012</v>
      </c>
      <c r="C4672" s="83" t="s">
        <v>11964</v>
      </c>
      <c r="D4672" s="83" t="s">
        <v>11963</v>
      </c>
    </row>
    <row r="4673" spans="1:4">
      <c r="A4673" s="83" t="s">
        <v>11961</v>
      </c>
      <c r="B4673" s="83" t="s">
        <v>5015</v>
      </c>
      <c r="C4673" s="83" t="s">
        <v>11965</v>
      </c>
      <c r="D4673" s="83" t="s">
        <v>11963</v>
      </c>
    </row>
    <row r="4674" spans="1:4">
      <c r="A4674" s="83" t="s">
        <v>11961</v>
      </c>
      <c r="B4674" s="83" t="s">
        <v>5010</v>
      </c>
      <c r="C4674" s="83" t="s">
        <v>11966</v>
      </c>
      <c r="D4674" s="83" t="s">
        <v>11963</v>
      </c>
    </row>
    <row r="4675" spans="1:4">
      <c r="A4675" s="83" t="s">
        <v>11967</v>
      </c>
      <c r="B4675" s="83" t="s">
        <v>5017</v>
      </c>
      <c r="C4675" s="83" t="s">
        <v>11968</v>
      </c>
      <c r="D4675" s="83" t="s">
        <v>11969</v>
      </c>
    </row>
    <row r="4676" spans="1:4">
      <c r="A4676" s="83" t="s">
        <v>11967</v>
      </c>
      <c r="B4676" s="83" t="s">
        <v>5012</v>
      </c>
      <c r="C4676" s="83" t="s">
        <v>11970</v>
      </c>
      <c r="D4676" s="83" t="s">
        <v>11969</v>
      </c>
    </row>
    <row r="4677" spans="1:4">
      <c r="A4677" s="83" t="s">
        <v>11967</v>
      </c>
      <c r="B4677" s="83" t="s">
        <v>5015</v>
      </c>
      <c r="C4677" s="83" t="s">
        <v>11971</v>
      </c>
      <c r="D4677" s="83" t="s">
        <v>11969</v>
      </c>
    </row>
    <row r="4678" spans="1:4">
      <c r="A4678" s="83" t="s">
        <v>11967</v>
      </c>
      <c r="B4678" s="83" t="s">
        <v>5010</v>
      </c>
      <c r="C4678" s="83" t="s">
        <v>11972</v>
      </c>
      <c r="D4678" s="83" t="s">
        <v>11969</v>
      </c>
    </row>
    <row r="4679" spans="1:4">
      <c r="A4679" s="83" t="s">
        <v>11973</v>
      </c>
      <c r="B4679" s="83" t="s">
        <v>5017</v>
      </c>
      <c r="C4679" s="83" t="s">
        <v>11974</v>
      </c>
      <c r="D4679" s="83" t="s">
        <v>11975</v>
      </c>
    </row>
    <row r="4680" spans="1:4">
      <c r="A4680" s="83" t="s">
        <v>11973</v>
      </c>
      <c r="B4680" s="83" t="s">
        <v>5012</v>
      </c>
      <c r="C4680" s="83" t="s">
        <v>11976</v>
      </c>
      <c r="D4680" s="83" t="s">
        <v>11975</v>
      </c>
    </row>
    <row r="4681" spans="1:4">
      <c r="A4681" s="83" t="s">
        <v>11973</v>
      </c>
      <c r="B4681" s="83" t="s">
        <v>5015</v>
      </c>
      <c r="C4681" s="83" t="s">
        <v>11977</v>
      </c>
      <c r="D4681" s="83" t="s">
        <v>11975</v>
      </c>
    </row>
    <row r="4682" spans="1:4">
      <c r="A4682" s="83" t="s">
        <v>11973</v>
      </c>
      <c r="B4682" s="83" t="s">
        <v>5010</v>
      </c>
      <c r="C4682" s="83" t="s">
        <v>11978</v>
      </c>
      <c r="D4682" s="83" t="s">
        <v>11975</v>
      </c>
    </row>
    <row r="4683" spans="1:4">
      <c r="A4683" s="83" t="s">
        <v>11979</v>
      </c>
      <c r="B4683" s="83" t="s">
        <v>5017</v>
      </c>
      <c r="C4683" s="83" t="s">
        <v>11980</v>
      </c>
      <c r="D4683" s="83" t="s">
        <v>11981</v>
      </c>
    </row>
    <row r="4684" spans="1:4">
      <c r="A4684" s="83" t="s">
        <v>11979</v>
      </c>
      <c r="B4684" s="83" t="s">
        <v>5012</v>
      </c>
      <c r="C4684" s="83" t="s">
        <v>11982</v>
      </c>
      <c r="D4684" s="83" t="s">
        <v>11981</v>
      </c>
    </row>
    <row r="4685" spans="1:4">
      <c r="A4685" s="83" t="s">
        <v>11979</v>
      </c>
      <c r="B4685" s="83" t="s">
        <v>5015</v>
      </c>
      <c r="C4685" s="83" t="s">
        <v>11983</v>
      </c>
      <c r="D4685" s="83" t="s">
        <v>11981</v>
      </c>
    </row>
    <row r="4686" spans="1:4">
      <c r="A4686" s="83" t="s">
        <v>11979</v>
      </c>
      <c r="B4686" s="83" t="s">
        <v>5010</v>
      </c>
      <c r="C4686" s="83" t="s">
        <v>11984</v>
      </c>
      <c r="D4686" s="83" t="s">
        <v>11981</v>
      </c>
    </row>
    <row r="4687" spans="1:4">
      <c r="A4687" s="83" t="s">
        <v>11985</v>
      </c>
      <c r="B4687" s="83" t="s">
        <v>5017</v>
      </c>
      <c r="C4687" s="83" t="s">
        <v>11986</v>
      </c>
      <c r="D4687" s="83" t="s">
        <v>11987</v>
      </c>
    </row>
    <row r="4688" spans="1:4">
      <c r="A4688" s="83" t="s">
        <v>11985</v>
      </c>
      <c r="B4688" s="83" t="s">
        <v>5012</v>
      </c>
      <c r="C4688" s="83" t="s">
        <v>11988</v>
      </c>
      <c r="D4688" s="83" t="s">
        <v>11987</v>
      </c>
    </row>
    <row r="4689" spans="1:4">
      <c r="A4689" s="83" t="s">
        <v>11985</v>
      </c>
      <c r="B4689" s="83" t="s">
        <v>5015</v>
      </c>
      <c r="C4689" s="83" t="s">
        <v>11989</v>
      </c>
      <c r="D4689" s="83" t="s">
        <v>11987</v>
      </c>
    </row>
    <row r="4690" spans="1:4">
      <c r="A4690" s="83" t="s">
        <v>11985</v>
      </c>
      <c r="B4690" s="83" t="s">
        <v>5010</v>
      </c>
      <c r="C4690" s="83" t="s">
        <v>11990</v>
      </c>
      <c r="D4690" s="83" t="s">
        <v>11987</v>
      </c>
    </row>
    <row r="4691" spans="1:4">
      <c r="A4691" s="83" t="s">
        <v>11991</v>
      </c>
      <c r="B4691" s="83" t="s">
        <v>5017</v>
      </c>
      <c r="C4691" s="83" t="s">
        <v>11992</v>
      </c>
      <c r="D4691" s="83" t="s">
        <v>11993</v>
      </c>
    </row>
    <row r="4692" spans="1:4">
      <c r="A4692" s="83" t="s">
        <v>11991</v>
      </c>
      <c r="B4692" s="83" t="s">
        <v>5012</v>
      </c>
      <c r="C4692" s="83" t="s">
        <v>11994</v>
      </c>
      <c r="D4692" s="83" t="s">
        <v>11993</v>
      </c>
    </row>
    <row r="4693" spans="1:4">
      <c r="A4693" s="83" t="s">
        <v>11991</v>
      </c>
      <c r="B4693" s="83" t="s">
        <v>5015</v>
      </c>
      <c r="C4693" s="83" t="s">
        <v>11995</v>
      </c>
      <c r="D4693" s="83" t="s">
        <v>11993</v>
      </c>
    </row>
    <row r="4694" spans="1:4">
      <c r="A4694" s="83" t="s">
        <v>11991</v>
      </c>
      <c r="B4694" s="83" t="s">
        <v>5010</v>
      </c>
      <c r="C4694" s="83" t="s">
        <v>11996</v>
      </c>
      <c r="D4694" s="83" t="s">
        <v>11993</v>
      </c>
    </row>
    <row r="4695" spans="1:4">
      <c r="A4695" s="83" t="s">
        <v>11997</v>
      </c>
      <c r="B4695" s="83" t="s">
        <v>5017</v>
      </c>
      <c r="C4695" s="83" t="s">
        <v>11998</v>
      </c>
      <c r="D4695" s="83" t="s">
        <v>11999</v>
      </c>
    </row>
    <row r="4696" spans="1:4">
      <c r="A4696" s="83" t="s">
        <v>11997</v>
      </c>
      <c r="B4696" s="83" t="s">
        <v>5012</v>
      </c>
      <c r="C4696" s="83" t="s">
        <v>12000</v>
      </c>
      <c r="D4696" s="83" t="s">
        <v>11999</v>
      </c>
    </row>
    <row r="4697" spans="1:4">
      <c r="A4697" s="83" t="s">
        <v>11997</v>
      </c>
      <c r="B4697" s="83" t="s">
        <v>5015</v>
      </c>
      <c r="C4697" s="83" t="s">
        <v>12001</v>
      </c>
      <c r="D4697" s="83" t="s">
        <v>11999</v>
      </c>
    </row>
    <row r="4698" spans="1:4">
      <c r="A4698" s="83" t="s">
        <v>11997</v>
      </c>
      <c r="B4698" s="83" t="s">
        <v>5010</v>
      </c>
      <c r="C4698" s="83" t="s">
        <v>12002</v>
      </c>
      <c r="D4698" s="83" t="s">
        <v>11999</v>
      </c>
    </row>
    <row r="4699" spans="1:4">
      <c r="A4699" s="83" t="s">
        <v>12003</v>
      </c>
      <c r="B4699" s="83" t="s">
        <v>5017</v>
      </c>
      <c r="C4699" s="83" t="s">
        <v>12004</v>
      </c>
      <c r="D4699" s="83" t="s">
        <v>12005</v>
      </c>
    </row>
    <row r="4700" spans="1:4">
      <c r="A4700" s="83" t="s">
        <v>12003</v>
      </c>
      <c r="B4700" s="83" t="s">
        <v>5012</v>
      </c>
      <c r="C4700" s="83" t="s">
        <v>12006</v>
      </c>
      <c r="D4700" s="83" t="s">
        <v>12005</v>
      </c>
    </row>
    <row r="4701" spans="1:4">
      <c r="A4701" s="83" t="s">
        <v>12003</v>
      </c>
      <c r="B4701" s="83" t="s">
        <v>5015</v>
      </c>
      <c r="C4701" s="83" t="s">
        <v>12007</v>
      </c>
      <c r="D4701" s="83" t="s">
        <v>12005</v>
      </c>
    </row>
    <row r="4702" spans="1:4">
      <c r="A4702" s="83" t="s">
        <v>12003</v>
      </c>
      <c r="B4702" s="83" t="s">
        <v>5010</v>
      </c>
      <c r="C4702" s="83" t="s">
        <v>12008</v>
      </c>
      <c r="D4702" s="83" t="s">
        <v>12005</v>
      </c>
    </row>
    <row r="4703" spans="1:4">
      <c r="A4703" s="83" t="s">
        <v>12009</v>
      </c>
      <c r="B4703" s="83" t="s">
        <v>5017</v>
      </c>
      <c r="C4703" s="83" t="s">
        <v>12010</v>
      </c>
      <c r="D4703" s="83" t="s">
        <v>12011</v>
      </c>
    </row>
    <row r="4704" spans="1:4">
      <c r="A4704" s="83" t="s">
        <v>12009</v>
      </c>
      <c r="B4704" s="83" t="s">
        <v>5012</v>
      </c>
      <c r="C4704" s="83" t="s">
        <v>12012</v>
      </c>
      <c r="D4704" s="83" t="s">
        <v>12011</v>
      </c>
    </row>
    <row r="4705" spans="1:4">
      <c r="A4705" s="83" t="s">
        <v>12009</v>
      </c>
      <c r="B4705" s="83" t="s">
        <v>5015</v>
      </c>
      <c r="C4705" s="83" t="s">
        <v>12013</v>
      </c>
      <c r="D4705" s="83" t="s">
        <v>12011</v>
      </c>
    </row>
    <row r="4706" spans="1:4">
      <c r="A4706" s="83" t="s">
        <v>12009</v>
      </c>
      <c r="B4706" s="83" t="s">
        <v>5010</v>
      </c>
      <c r="C4706" s="83" t="s">
        <v>10778</v>
      </c>
      <c r="D4706" s="83" t="s">
        <v>12011</v>
      </c>
    </row>
    <row r="4707" spans="1:4">
      <c r="A4707" s="83" t="s">
        <v>12014</v>
      </c>
      <c r="B4707" s="83" t="s">
        <v>5017</v>
      </c>
      <c r="C4707" s="83" t="s">
        <v>12015</v>
      </c>
      <c r="D4707" s="83" t="s">
        <v>12016</v>
      </c>
    </row>
    <row r="4708" spans="1:4">
      <c r="A4708" s="83" t="s">
        <v>12014</v>
      </c>
      <c r="B4708" s="83" t="s">
        <v>5012</v>
      </c>
      <c r="C4708" s="83" t="s">
        <v>12017</v>
      </c>
      <c r="D4708" s="83" t="s">
        <v>12016</v>
      </c>
    </row>
    <row r="4709" spans="1:4">
      <c r="A4709" s="83" t="s">
        <v>12014</v>
      </c>
      <c r="B4709" s="83" t="s">
        <v>5015</v>
      </c>
      <c r="C4709" s="83" t="s">
        <v>12018</v>
      </c>
      <c r="D4709" s="83" t="s">
        <v>12016</v>
      </c>
    </row>
    <row r="4710" spans="1:4">
      <c r="A4710" s="83" t="s">
        <v>12014</v>
      </c>
      <c r="B4710" s="83" t="s">
        <v>5010</v>
      </c>
      <c r="C4710" s="83" t="s">
        <v>12019</v>
      </c>
      <c r="D4710" s="83" t="s">
        <v>12016</v>
      </c>
    </row>
    <row r="4711" spans="1:4">
      <c r="A4711" s="83" t="s">
        <v>12020</v>
      </c>
      <c r="B4711" s="83" t="s">
        <v>5017</v>
      </c>
      <c r="C4711" s="83" t="s">
        <v>12021</v>
      </c>
      <c r="D4711" s="83" t="s">
        <v>12022</v>
      </c>
    </row>
    <row r="4712" spans="1:4">
      <c r="A4712" s="83" t="s">
        <v>12020</v>
      </c>
      <c r="B4712" s="83" t="s">
        <v>5012</v>
      </c>
      <c r="C4712" s="83" t="s">
        <v>12023</v>
      </c>
      <c r="D4712" s="83" t="s">
        <v>12022</v>
      </c>
    </row>
    <row r="4713" spans="1:4">
      <c r="A4713" s="83" t="s">
        <v>12020</v>
      </c>
      <c r="B4713" s="83" t="s">
        <v>5015</v>
      </c>
      <c r="C4713" s="83" t="s">
        <v>12024</v>
      </c>
      <c r="D4713" s="83" t="s">
        <v>12022</v>
      </c>
    </row>
    <row r="4714" spans="1:4">
      <c r="A4714" s="83" t="s">
        <v>12020</v>
      </c>
      <c r="B4714" s="83" t="s">
        <v>5010</v>
      </c>
      <c r="C4714" s="83" t="s">
        <v>12025</v>
      </c>
      <c r="D4714" s="83" t="s">
        <v>12022</v>
      </c>
    </row>
    <row r="4715" spans="1:4">
      <c r="A4715" s="83" t="s">
        <v>12026</v>
      </c>
      <c r="B4715" s="83" t="s">
        <v>5017</v>
      </c>
      <c r="C4715" s="83" t="s">
        <v>12027</v>
      </c>
      <c r="D4715" s="83" t="s">
        <v>12028</v>
      </c>
    </row>
    <row r="4716" spans="1:4">
      <c r="A4716" s="83" t="s">
        <v>12026</v>
      </c>
      <c r="B4716" s="83" t="s">
        <v>5012</v>
      </c>
      <c r="C4716" s="83" t="s">
        <v>12029</v>
      </c>
      <c r="D4716" s="83" t="s">
        <v>12028</v>
      </c>
    </row>
    <row r="4717" spans="1:4">
      <c r="A4717" s="83" t="s">
        <v>12026</v>
      </c>
      <c r="B4717" s="83" t="s">
        <v>5015</v>
      </c>
      <c r="C4717" s="83" t="s">
        <v>12030</v>
      </c>
      <c r="D4717" s="83" t="s">
        <v>12028</v>
      </c>
    </row>
    <row r="4718" spans="1:4">
      <c r="A4718" s="83" t="s">
        <v>12026</v>
      </c>
      <c r="B4718" s="83" t="s">
        <v>5010</v>
      </c>
      <c r="C4718" s="83" t="s">
        <v>12031</v>
      </c>
      <c r="D4718" s="83" t="s">
        <v>12028</v>
      </c>
    </row>
    <row r="4719" spans="1:4">
      <c r="A4719" s="83" t="s">
        <v>12032</v>
      </c>
      <c r="B4719" s="83" t="s">
        <v>5017</v>
      </c>
      <c r="C4719" s="83" t="s">
        <v>12033</v>
      </c>
      <c r="D4719" s="83" t="s">
        <v>12034</v>
      </c>
    </row>
    <row r="4720" spans="1:4">
      <c r="A4720" s="83" t="s">
        <v>12032</v>
      </c>
      <c r="B4720" s="83" t="s">
        <v>5012</v>
      </c>
      <c r="C4720" s="83" t="s">
        <v>12035</v>
      </c>
      <c r="D4720" s="83" t="s">
        <v>12034</v>
      </c>
    </row>
    <row r="4721" spans="1:4">
      <c r="A4721" s="83" t="s">
        <v>12032</v>
      </c>
      <c r="B4721" s="83" t="s">
        <v>5015</v>
      </c>
      <c r="C4721" s="83" t="s">
        <v>12036</v>
      </c>
      <c r="D4721" s="83" t="s">
        <v>12034</v>
      </c>
    </row>
    <row r="4722" spans="1:4">
      <c r="A4722" s="83" t="s">
        <v>12032</v>
      </c>
      <c r="B4722" s="83" t="s">
        <v>5010</v>
      </c>
      <c r="C4722" s="83" t="s">
        <v>12037</v>
      </c>
      <c r="D4722" s="83" t="s">
        <v>12034</v>
      </c>
    </row>
    <row r="4723" spans="1:4">
      <c r="A4723" s="83" t="s">
        <v>12038</v>
      </c>
      <c r="B4723" s="83" t="s">
        <v>5017</v>
      </c>
      <c r="C4723" s="83" t="s">
        <v>12039</v>
      </c>
      <c r="D4723" s="83" t="s">
        <v>12040</v>
      </c>
    </row>
    <row r="4724" spans="1:4">
      <c r="A4724" s="83" t="s">
        <v>12038</v>
      </c>
      <c r="B4724" s="83" t="s">
        <v>5012</v>
      </c>
      <c r="C4724" s="83" t="s">
        <v>12041</v>
      </c>
      <c r="D4724" s="83" t="s">
        <v>12040</v>
      </c>
    </row>
    <row r="4725" spans="1:4">
      <c r="A4725" s="83" t="s">
        <v>12038</v>
      </c>
      <c r="B4725" s="83" t="s">
        <v>5015</v>
      </c>
      <c r="C4725" s="83" t="s">
        <v>12042</v>
      </c>
      <c r="D4725" s="83" t="s">
        <v>12040</v>
      </c>
    </row>
    <row r="4726" spans="1:4">
      <c r="A4726" s="83" t="s">
        <v>12038</v>
      </c>
      <c r="B4726" s="83" t="s">
        <v>5010</v>
      </c>
      <c r="C4726" s="83" t="s">
        <v>12043</v>
      </c>
      <c r="D4726" s="83" t="s">
        <v>12040</v>
      </c>
    </row>
    <row r="4727" spans="1:4">
      <c r="A4727" s="83" t="s">
        <v>12044</v>
      </c>
      <c r="B4727" s="83" t="s">
        <v>5017</v>
      </c>
      <c r="C4727" s="83" t="s">
        <v>12045</v>
      </c>
      <c r="D4727" s="83" t="s">
        <v>12046</v>
      </c>
    </row>
    <row r="4728" spans="1:4">
      <c r="A4728" s="83" t="s">
        <v>12044</v>
      </c>
      <c r="B4728" s="83" t="s">
        <v>5012</v>
      </c>
      <c r="C4728" s="83" t="s">
        <v>12047</v>
      </c>
      <c r="D4728" s="83" t="s">
        <v>12046</v>
      </c>
    </row>
    <row r="4729" spans="1:4">
      <c r="A4729" s="83" t="s">
        <v>12044</v>
      </c>
      <c r="B4729" s="83" t="s">
        <v>5015</v>
      </c>
      <c r="C4729" s="83" t="s">
        <v>12048</v>
      </c>
      <c r="D4729" s="83" t="s">
        <v>12046</v>
      </c>
    </row>
    <row r="4730" spans="1:4">
      <c r="A4730" s="83" t="s">
        <v>12044</v>
      </c>
      <c r="B4730" s="83" t="s">
        <v>5010</v>
      </c>
      <c r="C4730" s="83" t="s">
        <v>12049</v>
      </c>
      <c r="D4730" s="83" t="s">
        <v>12046</v>
      </c>
    </row>
    <row r="4731" spans="1:4">
      <c r="A4731" s="83" t="s">
        <v>12050</v>
      </c>
      <c r="B4731" s="83" t="s">
        <v>5017</v>
      </c>
      <c r="C4731" s="83" t="s">
        <v>12051</v>
      </c>
      <c r="D4731" s="83" t="s">
        <v>12052</v>
      </c>
    </row>
    <row r="4732" spans="1:4">
      <c r="A4732" s="83" t="s">
        <v>12050</v>
      </c>
      <c r="B4732" s="83" t="s">
        <v>5012</v>
      </c>
      <c r="C4732" s="83" t="s">
        <v>12053</v>
      </c>
      <c r="D4732" s="83" t="s">
        <v>12052</v>
      </c>
    </row>
    <row r="4733" spans="1:4">
      <c r="A4733" s="83" t="s">
        <v>12050</v>
      </c>
      <c r="B4733" s="83" t="s">
        <v>5015</v>
      </c>
      <c r="C4733" s="83" t="s">
        <v>12054</v>
      </c>
      <c r="D4733" s="83" t="s">
        <v>12052</v>
      </c>
    </row>
    <row r="4734" spans="1:4">
      <c r="A4734" s="83" t="s">
        <v>12050</v>
      </c>
      <c r="B4734" s="83" t="s">
        <v>5010</v>
      </c>
      <c r="C4734" s="83" t="s">
        <v>12055</v>
      </c>
      <c r="D4734" s="83" t="s">
        <v>12052</v>
      </c>
    </row>
    <row r="4735" spans="1:4">
      <c r="A4735" s="83" t="s">
        <v>12056</v>
      </c>
      <c r="B4735" s="83" t="s">
        <v>5017</v>
      </c>
      <c r="C4735" s="83" t="s">
        <v>12057</v>
      </c>
      <c r="D4735" s="83" t="s">
        <v>12058</v>
      </c>
    </row>
    <row r="4736" spans="1:4">
      <c r="A4736" s="83" t="s">
        <v>12056</v>
      </c>
      <c r="B4736" s="83" t="s">
        <v>5012</v>
      </c>
      <c r="C4736" s="83" t="s">
        <v>12059</v>
      </c>
      <c r="D4736" s="83" t="s">
        <v>12058</v>
      </c>
    </row>
    <row r="4737" spans="1:4">
      <c r="A4737" s="83" t="s">
        <v>12056</v>
      </c>
      <c r="B4737" s="83" t="s">
        <v>5015</v>
      </c>
      <c r="C4737" s="83" t="s">
        <v>12060</v>
      </c>
      <c r="D4737" s="83" t="s">
        <v>12058</v>
      </c>
    </row>
    <row r="4738" spans="1:4">
      <c r="A4738" s="83" t="s">
        <v>12056</v>
      </c>
      <c r="B4738" s="83" t="s">
        <v>5010</v>
      </c>
      <c r="C4738" s="83" t="s">
        <v>12061</v>
      </c>
      <c r="D4738" s="83" t="s">
        <v>12058</v>
      </c>
    </row>
    <row r="4739" spans="1:4">
      <c r="A4739" s="83" t="s">
        <v>12062</v>
      </c>
      <c r="B4739" s="83" t="s">
        <v>5017</v>
      </c>
      <c r="C4739" s="83" t="s">
        <v>12063</v>
      </c>
      <c r="D4739" s="83" t="s">
        <v>12064</v>
      </c>
    </row>
    <row r="4740" spans="1:4">
      <c r="A4740" s="83" t="s">
        <v>12062</v>
      </c>
      <c r="B4740" s="83" t="s">
        <v>5012</v>
      </c>
      <c r="C4740" s="83" t="s">
        <v>12065</v>
      </c>
      <c r="D4740" s="83" t="s">
        <v>12064</v>
      </c>
    </row>
    <row r="4741" spans="1:4">
      <c r="A4741" s="83" t="s">
        <v>12062</v>
      </c>
      <c r="B4741" s="83" t="s">
        <v>5015</v>
      </c>
      <c r="C4741" s="83" t="s">
        <v>12066</v>
      </c>
      <c r="D4741" s="83" t="s">
        <v>12064</v>
      </c>
    </row>
    <row r="4742" spans="1:4">
      <c r="A4742" s="83" t="s">
        <v>12062</v>
      </c>
      <c r="B4742" s="83" t="s">
        <v>5010</v>
      </c>
      <c r="C4742" s="83" t="s">
        <v>12067</v>
      </c>
      <c r="D4742" s="83" t="s">
        <v>12064</v>
      </c>
    </row>
    <row r="4743" spans="1:4">
      <c r="A4743" s="83" t="s">
        <v>12068</v>
      </c>
      <c r="B4743" s="83" t="s">
        <v>5017</v>
      </c>
      <c r="C4743" s="83" t="s">
        <v>12069</v>
      </c>
      <c r="D4743" s="83" t="s">
        <v>12070</v>
      </c>
    </row>
    <row r="4744" spans="1:4">
      <c r="A4744" s="83" t="s">
        <v>12068</v>
      </c>
      <c r="B4744" s="83" t="s">
        <v>5012</v>
      </c>
      <c r="C4744" s="83" t="s">
        <v>12071</v>
      </c>
      <c r="D4744" s="83" t="s">
        <v>12070</v>
      </c>
    </row>
    <row r="4745" spans="1:4">
      <c r="A4745" s="83" t="s">
        <v>12068</v>
      </c>
      <c r="B4745" s="83" t="s">
        <v>5015</v>
      </c>
      <c r="C4745" s="83" t="s">
        <v>12072</v>
      </c>
      <c r="D4745" s="83" t="s">
        <v>12070</v>
      </c>
    </row>
    <row r="4746" spans="1:4">
      <c r="A4746" s="83" t="s">
        <v>12068</v>
      </c>
      <c r="B4746" s="83" t="s">
        <v>5010</v>
      </c>
      <c r="C4746" s="83" t="s">
        <v>12073</v>
      </c>
      <c r="D4746" s="83" t="s">
        <v>12070</v>
      </c>
    </row>
    <row r="4747" spans="1:4">
      <c r="A4747" s="83" t="s">
        <v>12074</v>
      </c>
      <c r="B4747" s="83" t="s">
        <v>5017</v>
      </c>
      <c r="C4747" s="83" t="s">
        <v>12075</v>
      </c>
      <c r="D4747" s="83" t="s">
        <v>12076</v>
      </c>
    </row>
    <row r="4748" spans="1:4">
      <c r="A4748" s="83" t="s">
        <v>12074</v>
      </c>
      <c r="B4748" s="83" t="s">
        <v>5012</v>
      </c>
      <c r="C4748" s="83" t="s">
        <v>12077</v>
      </c>
      <c r="D4748" s="83" t="s">
        <v>12076</v>
      </c>
    </row>
    <row r="4749" spans="1:4">
      <c r="A4749" s="83" t="s">
        <v>12074</v>
      </c>
      <c r="B4749" s="83" t="s">
        <v>5015</v>
      </c>
      <c r="C4749" s="83" t="s">
        <v>12078</v>
      </c>
      <c r="D4749" s="83" t="s">
        <v>12076</v>
      </c>
    </row>
    <row r="4750" spans="1:4">
      <c r="A4750" s="83" t="s">
        <v>12074</v>
      </c>
      <c r="B4750" s="83" t="s">
        <v>5010</v>
      </c>
      <c r="C4750" s="83" t="s">
        <v>12079</v>
      </c>
      <c r="D4750" s="83" t="s">
        <v>12076</v>
      </c>
    </row>
    <row r="4751" spans="1:4">
      <c r="A4751" s="83" t="s">
        <v>12080</v>
      </c>
      <c r="B4751" s="83" t="s">
        <v>5017</v>
      </c>
      <c r="C4751" s="83" t="s">
        <v>12081</v>
      </c>
      <c r="D4751" s="83" t="s">
        <v>12082</v>
      </c>
    </row>
    <row r="4752" spans="1:4">
      <c r="A4752" s="83" t="s">
        <v>12080</v>
      </c>
      <c r="B4752" s="83" t="s">
        <v>5012</v>
      </c>
      <c r="C4752" s="83" t="s">
        <v>12083</v>
      </c>
      <c r="D4752" s="83" t="s">
        <v>12082</v>
      </c>
    </row>
    <row r="4753" spans="1:4">
      <c r="A4753" s="83" t="s">
        <v>12080</v>
      </c>
      <c r="B4753" s="83" t="s">
        <v>5015</v>
      </c>
      <c r="C4753" s="83" t="s">
        <v>12084</v>
      </c>
      <c r="D4753" s="83" t="s">
        <v>12082</v>
      </c>
    </row>
    <row r="4754" spans="1:4">
      <c r="A4754" s="83" t="s">
        <v>12080</v>
      </c>
      <c r="B4754" s="83" t="s">
        <v>5010</v>
      </c>
      <c r="C4754" s="83" t="s">
        <v>12085</v>
      </c>
      <c r="D4754" s="83" t="s">
        <v>12082</v>
      </c>
    </row>
    <row r="4755" spans="1:4">
      <c r="A4755" s="83" t="s">
        <v>12086</v>
      </c>
      <c r="B4755" s="83" t="s">
        <v>5017</v>
      </c>
      <c r="C4755" s="83" t="s">
        <v>12087</v>
      </c>
      <c r="D4755" s="83" t="s">
        <v>12088</v>
      </c>
    </row>
    <row r="4756" spans="1:4">
      <c r="A4756" s="83" t="s">
        <v>12086</v>
      </c>
      <c r="B4756" s="83" t="s">
        <v>5012</v>
      </c>
      <c r="C4756" s="83" t="s">
        <v>12089</v>
      </c>
      <c r="D4756" s="83" t="s">
        <v>12088</v>
      </c>
    </row>
    <row r="4757" spans="1:4">
      <c r="A4757" s="83" t="s">
        <v>12086</v>
      </c>
      <c r="B4757" s="83" t="s">
        <v>5015</v>
      </c>
      <c r="C4757" s="83" t="s">
        <v>12090</v>
      </c>
      <c r="D4757" s="83" t="s">
        <v>12088</v>
      </c>
    </row>
    <row r="4758" spans="1:4">
      <c r="A4758" s="83" t="s">
        <v>12086</v>
      </c>
      <c r="B4758" s="83" t="s">
        <v>5010</v>
      </c>
      <c r="C4758" s="83" t="s">
        <v>12091</v>
      </c>
      <c r="D4758" s="83" t="s">
        <v>12088</v>
      </c>
    </row>
    <row r="4759" spans="1:4">
      <c r="A4759" s="83" t="s">
        <v>12092</v>
      </c>
      <c r="B4759" s="83" t="s">
        <v>5017</v>
      </c>
      <c r="C4759" s="83" t="s">
        <v>12093</v>
      </c>
      <c r="D4759" s="83" t="s">
        <v>12094</v>
      </c>
    </row>
    <row r="4760" spans="1:4">
      <c r="A4760" s="83" t="s">
        <v>12092</v>
      </c>
      <c r="B4760" s="83" t="s">
        <v>5012</v>
      </c>
      <c r="C4760" s="83" t="s">
        <v>12095</v>
      </c>
      <c r="D4760" s="83" t="s">
        <v>12094</v>
      </c>
    </row>
    <row r="4761" spans="1:4">
      <c r="A4761" s="83" t="s">
        <v>12092</v>
      </c>
      <c r="B4761" s="83" t="s">
        <v>5015</v>
      </c>
      <c r="C4761" s="83" t="s">
        <v>12096</v>
      </c>
      <c r="D4761" s="83" t="s">
        <v>12094</v>
      </c>
    </row>
    <row r="4762" spans="1:4">
      <c r="A4762" s="83" t="s">
        <v>12092</v>
      </c>
      <c r="B4762" s="83" t="s">
        <v>5010</v>
      </c>
      <c r="C4762" s="83" t="s">
        <v>12097</v>
      </c>
      <c r="D4762" s="83" t="s">
        <v>12094</v>
      </c>
    </row>
    <row r="4763" spans="1:4">
      <c r="A4763" s="83" t="s">
        <v>12098</v>
      </c>
      <c r="B4763" s="83" t="s">
        <v>5017</v>
      </c>
      <c r="C4763" s="83" t="s">
        <v>12099</v>
      </c>
      <c r="D4763" s="83" t="s">
        <v>12100</v>
      </c>
    </row>
    <row r="4764" spans="1:4">
      <c r="A4764" s="83" t="s">
        <v>12098</v>
      </c>
      <c r="B4764" s="83" t="s">
        <v>5012</v>
      </c>
      <c r="C4764" s="83" t="s">
        <v>12101</v>
      </c>
      <c r="D4764" s="83" t="s">
        <v>12100</v>
      </c>
    </row>
    <row r="4765" spans="1:4">
      <c r="A4765" s="83" t="s">
        <v>12098</v>
      </c>
      <c r="B4765" s="83" t="s">
        <v>5015</v>
      </c>
      <c r="C4765" s="83" t="s">
        <v>12102</v>
      </c>
      <c r="D4765" s="83" t="s">
        <v>12100</v>
      </c>
    </row>
    <row r="4766" spans="1:4">
      <c r="A4766" s="83" t="s">
        <v>12098</v>
      </c>
      <c r="B4766" s="83" t="s">
        <v>5010</v>
      </c>
      <c r="C4766" s="83" t="s">
        <v>12103</v>
      </c>
      <c r="D4766" s="83" t="s">
        <v>12100</v>
      </c>
    </row>
    <row r="4767" spans="1:4">
      <c r="A4767" s="83" t="s">
        <v>12104</v>
      </c>
      <c r="B4767" s="83" t="s">
        <v>5017</v>
      </c>
      <c r="C4767" s="83" t="s">
        <v>12105</v>
      </c>
      <c r="D4767" s="83" t="s">
        <v>12106</v>
      </c>
    </row>
    <row r="4768" spans="1:4">
      <c r="A4768" s="83" t="s">
        <v>12104</v>
      </c>
      <c r="B4768" s="83" t="s">
        <v>5012</v>
      </c>
      <c r="C4768" s="83" t="s">
        <v>12107</v>
      </c>
      <c r="D4768" s="83" t="s">
        <v>12106</v>
      </c>
    </row>
    <row r="4769" spans="1:4">
      <c r="A4769" s="83" t="s">
        <v>12104</v>
      </c>
      <c r="B4769" s="83" t="s">
        <v>5015</v>
      </c>
      <c r="C4769" s="83" t="s">
        <v>12108</v>
      </c>
      <c r="D4769" s="83" t="s">
        <v>12106</v>
      </c>
    </row>
    <row r="4770" spans="1:4">
      <c r="A4770" s="83" t="s">
        <v>12104</v>
      </c>
      <c r="B4770" s="83" t="s">
        <v>5010</v>
      </c>
      <c r="C4770" s="83" t="s">
        <v>12109</v>
      </c>
      <c r="D4770" s="83" t="s">
        <v>12106</v>
      </c>
    </row>
    <row r="4771" spans="1:4">
      <c r="A4771" s="83" t="s">
        <v>12110</v>
      </c>
      <c r="B4771" s="83" t="s">
        <v>5017</v>
      </c>
      <c r="C4771" s="83" t="s">
        <v>12111</v>
      </c>
      <c r="D4771" s="83" t="s">
        <v>12112</v>
      </c>
    </row>
    <row r="4772" spans="1:4">
      <c r="A4772" s="83" t="s">
        <v>12110</v>
      </c>
      <c r="B4772" s="83" t="s">
        <v>5012</v>
      </c>
      <c r="C4772" s="83" t="s">
        <v>12023</v>
      </c>
      <c r="D4772" s="83" t="s">
        <v>12112</v>
      </c>
    </row>
    <row r="4773" spans="1:4">
      <c r="A4773" s="83" t="s">
        <v>12110</v>
      </c>
      <c r="B4773" s="83" t="s">
        <v>5015</v>
      </c>
      <c r="C4773" s="83" t="s">
        <v>12113</v>
      </c>
      <c r="D4773" s="83" t="s">
        <v>12112</v>
      </c>
    </row>
    <row r="4774" spans="1:4">
      <c r="A4774" s="83" t="s">
        <v>12110</v>
      </c>
      <c r="B4774" s="83" t="s">
        <v>5010</v>
      </c>
      <c r="C4774" s="83" t="s">
        <v>12114</v>
      </c>
      <c r="D4774" s="83" t="s">
        <v>12112</v>
      </c>
    </row>
    <row r="4775" spans="1:4">
      <c r="A4775" s="83" t="s">
        <v>12115</v>
      </c>
      <c r="B4775" s="83" t="s">
        <v>5017</v>
      </c>
      <c r="C4775" s="83" t="s">
        <v>12116</v>
      </c>
      <c r="D4775" s="83" t="s">
        <v>12117</v>
      </c>
    </row>
    <row r="4776" spans="1:4">
      <c r="A4776" s="83" t="s">
        <v>12115</v>
      </c>
      <c r="B4776" s="83" t="s">
        <v>5012</v>
      </c>
      <c r="C4776" s="83" t="s">
        <v>12118</v>
      </c>
      <c r="D4776" s="83" t="s">
        <v>12117</v>
      </c>
    </row>
    <row r="4777" spans="1:4">
      <c r="A4777" s="83" t="s">
        <v>12115</v>
      </c>
      <c r="B4777" s="83" t="s">
        <v>5015</v>
      </c>
      <c r="C4777" s="83" t="s">
        <v>12119</v>
      </c>
      <c r="D4777" s="83" t="s">
        <v>12117</v>
      </c>
    </row>
    <row r="4778" spans="1:4">
      <c r="A4778" s="83" t="s">
        <v>12115</v>
      </c>
      <c r="B4778" s="83" t="s">
        <v>5010</v>
      </c>
      <c r="C4778" s="83" t="s">
        <v>12120</v>
      </c>
      <c r="D4778" s="83" t="s">
        <v>12117</v>
      </c>
    </row>
    <row r="4779" spans="1:4">
      <c r="A4779" s="83" t="s">
        <v>12121</v>
      </c>
      <c r="B4779" s="83" t="s">
        <v>5017</v>
      </c>
      <c r="C4779" s="83" t="s">
        <v>12122</v>
      </c>
      <c r="D4779" s="83" t="s">
        <v>12123</v>
      </c>
    </row>
    <row r="4780" spans="1:4">
      <c r="A4780" s="83" t="s">
        <v>12121</v>
      </c>
      <c r="B4780" s="83" t="s">
        <v>5012</v>
      </c>
      <c r="C4780" s="83" t="s">
        <v>12124</v>
      </c>
      <c r="D4780" s="83" t="s">
        <v>12123</v>
      </c>
    </row>
    <row r="4781" spans="1:4">
      <c r="A4781" s="83" t="s">
        <v>12121</v>
      </c>
      <c r="B4781" s="83" t="s">
        <v>5015</v>
      </c>
      <c r="C4781" s="83" t="s">
        <v>12125</v>
      </c>
      <c r="D4781" s="83" t="s">
        <v>12123</v>
      </c>
    </row>
    <row r="4782" spans="1:4">
      <c r="A4782" s="83" t="s">
        <v>12121</v>
      </c>
      <c r="B4782" s="83" t="s">
        <v>5010</v>
      </c>
      <c r="C4782" s="83" t="s">
        <v>12126</v>
      </c>
      <c r="D4782" s="83" t="s">
        <v>12123</v>
      </c>
    </row>
    <row r="4783" spans="1:4">
      <c r="A4783" s="83" t="s">
        <v>12127</v>
      </c>
      <c r="B4783" s="83" t="s">
        <v>5017</v>
      </c>
      <c r="C4783" s="83" t="s">
        <v>12128</v>
      </c>
      <c r="D4783" s="83" t="s">
        <v>12129</v>
      </c>
    </row>
    <row r="4784" spans="1:4">
      <c r="A4784" s="83" t="s">
        <v>12127</v>
      </c>
      <c r="B4784" s="83" t="s">
        <v>5012</v>
      </c>
      <c r="C4784" s="83" t="s">
        <v>12130</v>
      </c>
      <c r="D4784" s="83" t="s">
        <v>12129</v>
      </c>
    </row>
    <row r="4785" spans="1:4">
      <c r="A4785" s="83" t="s">
        <v>12127</v>
      </c>
      <c r="B4785" s="83" t="s">
        <v>5015</v>
      </c>
      <c r="C4785" s="83" t="s">
        <v>12131</v>
      </c>
      <c r="D4785" s="83" t="s">
        <v>12129</v>
      </c>
    </row>
    <row r="4786" spans="1:4">
      <c r="A4786" s="83" t="s">
        <v>12127</v>
      </c>
      <c r="B4786" s="83" t="s">
        <v>5010</v>
      </c>
      <c r="C4786" s="83" t="s">
        <v>12132</v>
      </c>
      <c r="D4786" s="83" t="s">
        <v>12129</v>
      </c>
    </row>
    <row r="4787" spans="1:4">
      <c r="A4787" s="83" t="s">
        <v>12133</v>
      </c>
      <c r="B4787" s="83" t="s">
        <v>5017</v>
      </c>
      <c r="C4787" s="83" t="s">
        <v>12134</v>
      </c>
      <c r="D4787" s="83" t="s">
        <v>12135</v>
      </c>
    </row>
    <row r="4788" spans="1:4">
      <c r="A4788" s="83" t="s">
        <v>12133</v>
      </c>
      <c r="B4788" s="83" t="s">
        <v>5012</v>
      </c>
      <c r="C4788" s="83" t="s">
        <v>12136</v>
      </c>
      <c r="D4788" s="83" t="s">
        <v>12135</v>
      </c>
    </row>
    <row r="4789" spans="1:4">
      <c r="A4789" s="83" t="s">
        <v>12133</v>
      </c>
      <c r="B4789" s="83" t="s">
        <v>5015</v>
      </c>
      <c r="C4789" s="83" t="s">
        <v>12137</v>
      </c>
      <c r="D4789" s="83" t="s">
        <v>12135</v>
      </c>
    </row>
    <row r="4790" spans="1:4">
      <c r="A4790" s="83" t="s">
        <v>12133</v>
      </c>
      <c r="B4790" s="83" t="s">
        <v>5010</v>
      </c>
      <c r="C4790" s="83" t="s">
        <v>12138</v>
      </c>
      <c r="D4790" s="83" t="s">
        <v>12135</v>
      </c>
    </row>
    <row r="4791" spans="1:4">
      <c r="A4791" s="83" t="s">
        <v>12139</v>
      </c>
      <c r="B4791" s="83" t="s">
        <v>5017</v>
      </c>
      <c r="C4791" s="83" t="s">
        <v>12140</v>
      </c>
      <c r="D4791" s="83" t="s">
        <v>12141</v>
      </c>
    </row>
    <row r="4792" spans="1:4">
      <c r="A4792" s="83" t="s">
        <v>12139</v>
      </c>
      <c r="B4792" s="83" t="s">
        <v>5012</v>
      </c>
      <c r="C4792" s="83" t="s">
        <v>12142</v>
      </c>
      <c r="D4792" s="83" t="s">
        <v>12141</v>
      </c>
    </row>
    <row r="4793" spans="1:4">
      <c r="A4793" s="83" t="s">
        <v>12139</v>
      </c>
      <c r="B4793" s="83" t="s">
        <v>5015</v>
      </c>
      <c r="C4793" s="83" t="s">
        <v>12143</v>
      </c>
      <c r="D4793" s="83" t="s">
        <v>12141</v>
      </c>
    </row>
    <row r="4794" spans="1:4">
      <c r="A4794" s="83" t="s">
        <v>12139</v>
      </c>
      <c r="B4794" s="83" t="s">
        <v>5010</v>
      </c>
      <c r="C4794" s="83" t="s">
        <v>12144</v>
      </c>
      <c r="D4794" s="83" t="s">
        <v>12141</v>
      </c>
    </row>
    <row r="4795" spans="1:4">
      <c r="A4795" s="83" t="s">
        <v>12145</v>
      </c>
      <c r="B4795" s="83" t="s">
        <v>5017</v>
      </c>
      <c r="C4795" s="83" t="s">
        <v>12146</v>
      </c>
      <c r="D4795" s="83" t="s">
        <v>12147</v>
      </c>
    </row>
    <row r="4796" spans="1:4">
      <c r="A4796" s="83" t="s">
        <v>12145</v>
      </c>
      <c r="B4796" s="83" t="s">
        <v>5012</v>
      </c>
      <c r="C4796" s="83" t="s">
        <v>12148</v>
      </c>
      <c r="D4796" s="83" t="s">
        <v>12147</v>
      </c>
    </row>
    <row r="4797" spans="1:4">
      <c r="A4797" s="83" t="s">
        <v>12145</v>
      </c>
      <c r="B4797" s="83" t="s">
        <v>5015</v>
      </c>
      <c r="C4797" s="83" t="s">
        <v>12149</v>
      </c>
      <c r="D4797" s="83" t="s">
        <v>12147</v>
      </c>
    </row>
    <row r="4798" spans="1:4">
      <c r="A4798" s="83" t="s">
        <v>12145</v>
      </c>
      <c r="B4798" s="83" t="s">
        <v>5010</v>
      </c>
      <c r="C4798" s="83" t="s">
        <v>12150</v>
      </c>
      <c r="D4798" s="83" t="s">
        <v>12147</v>
      </c>
    </row>
    <row r="4799" spans="1:4">
      <c r="A4799" s="83" t="s">
        <v>12151</v>
      </c>
      <c r="B4799" s="83" t="s">
        <v>5017</v>
      </c>
      <c r="C4799" s="83" t="s">
        <v>12152</v>
      </c>
      <c r="D4799" s="83" t="s">
        <v>12153</v>
      </c>
    </row>
    <row r="4800" spans="1:4">
      <c r="A4800" s="83" t="s">
        <v>12151</v>
      </c>
      <c r="B4800" s="83" t="s">
        <v>5012</v>
      </c>
      <c r="C4800" s="83" t="s">
        <v>12154</v>
      </c>
      <c r="D4800" s="83" t="s">
        <v>12153</v>
      </c>
    </row>
    <row r="4801" spans="1:4">
      <c r="A4801" s="83" t="s">
        <v>12151</v>
      </c>
      <c r="B4801" s="83" t="s">
        <v>5015</v>
      </c>
      <c r="C4801" s="83" t="s">
        <v>12155</v>
      </c>
      <c r="D4801" s="83" t="s">
        <v>12153</v>
      </c>
    </row>
    <row r="4802" spans="1:4">
      <c r="A4802" s="83" t="s">
        <v>12151</v>
      </c>
      <c r="B4802" s="83" t="s">
        <v>5010</v>
      </c>
      <c r="C4802" s="83" t="s">
        <v>12156</v>
      </c>
      <c r="D4802" s="83" t="s">
        <v>12153</v>
      </c>
    </row>
    <row r="4803" spans="1:4">
      <c r="A4803" s="83" t="s">
        <v>12157</v>
      </c>
      <c r="B4803" s="83" t="s">
        <v>5017</v>
      </c>
      <c r="C4803" s="83" t="s">
        <v>12158</v>
      </c>
      <c r="D4803" s="83" t="s">
        <v>12159</v>
      </c>
    </row>
    <row r="4804" spans="1:4">
      <c r="A4804" s="83" t="s">
        <v>12157</v>
      </c>
      <c r="B4804" s="83" t="s">
        <v>5012</v>
      </c>
      <c r="C4804" s="83" t="s">
        <v>12160</v>
      </c>
      <c r="D4804" s="83" t="s">
        <v>12159</v>
      </c>
    </row>
    <row r="4805" spans="1:4">
      <c r="A4805" s="83" t="s">
        <v>12157</v>
      </c>
      <c r="B4805" s="83" t="s">
        <v>5015</v>
      </c>
      <c r="C4805" s="83" t="s">
        <v>12149</v>
      </c>
      <c r="D4805" s="83" t="s">
        <v>12159</v>
      </c>
    </row>
    <row r="4806" spans="1:4">
      <c r="A4806" s="83" t="s">
        <v>12157</v>
      </c>
      <c r="B4806" s="83" t="s">
        <v>5010</v>
      </c>
      <c r="C4806" s="83" t="s">
        <v>12161</v>
      </c>
      <c r="D4806" s="83" t="s">
        <v>12159</v>
      </c>
    </row>
    <row r="4807" spans="1:4">
      <c r="A4807" s="83" t="s">
        <v>12162</v>
      </c>
      <c r="B4807" s="83" t="s">
        <v>5017</v>
      </c>
      <c r="C4807" s="83" t="s">
        <v>12163</v>
      </c>
      <c r="D4807" s="83" t="s">
        <v>12164</v>
      </c>
    </row>
    <row r="4808" spans="1:4">
      <c r="A4808" s="83" t="s">
        <v>12162</v>
      </c>
      <c r="B4808" s="83" t="s">
        <v>5012</v>
      </c>
      <c r="C4808" s="83" t="s">
        <v>12165</v>
      </c>
      <c r="D4808" s="83" t="s">
        <v>12164</v>
      </c>
    </row>
    <row r="4809" spans="1:4">
      <c r="A4809" s="83" t="s">
        <v>12162</v>
      </c>
      <c r="B4809" s="83" t="s">
        <v>5015</v>
      </c>
      <c r="C4809" s="83" t="s">
        <v>12166</v>
      </c>
      <c r="D4809" s="83" t="s">
        <v>12164</v>
      </c>
    </row>
    <row r="4810" spans="1:4">
      <c r="A4810" s="83" t="s">
        <v>12162</v>
      </c>
      <c r="B4810" s="83" t="s">
        <v>5010</v>
      </c>
      <c r="C4810" s="83" t="s">
        <v>12167</v>
      </c>
      <c r="D4810" s="83" t="s">
        <v>12164</v>
      </c>
    </row>
    <row r="4811" spans="1:4">
      <c r="A4811" s="83" t="s">
        <v>12168</v>
      </c>
      <c r="B4811" s="83" t="s">
        <v>5017</v>
      </c>
      <c r="C4811" s="83" t="s">
        <v>12169</v>
      </c>
      <c r="D4811" s="83" t="s">
        <v>12170</v>
      </c>
    </row>
    <row r="4812" spans="1:4">
      <c r="A4812" s="83" t="s">
        <v>12168</v>
      </c>
      <c r="B4812" s="83" t="s">
        <v>5012</v>
      </c>
      <c r="C4812" s="83" t="s">
        <v>12171</v>
      </c>
      <c r="D4812" s="83" t="s">
        <v>12170</v>
      </c>
    </row>
    <row r="4813" spans="1:4">
      <c r="A4813" s="83" t="s">
        <v>12168</v>
      </c>
      <c r="B4813" s="83" t="s">
        <v>5015</v>
      </c>
      <c r="C4813" s="83" t="s">
        <v>12172</v>
      </c>
      <c r="D4813" s="83" t="s">
        <v>12170</v>
      </c>
    </row>
    <row r="4814" spans="1:4">
      <c r="A4814" s="83" t="s">
        <v>12168</v>
      </c>
      <c r="B4814" s="83" t="s">
        <v>5010</v>
      </c>
      <c r="C4814" s="83" t="s">
        <v>12173</v>
      </c>
      <c r="D4814" s="83" t="s">
        <v>12170</v>
      </c>
    </row>
    <row r="4815" spans="1:4">
      <c r="A4815" s="83" t="s">
        <v>12174</v>
      </c>
      <c r="B4815" s="83" t="s">
        <v>5017</v>
      </c>
      <c r="C4815" s="83" t="s">
        <v>12175</v>
      </c>
      <c r="D4815" s="83" t="s">
        <v>12176</v>
      </c>
    </row>
    <row r="4816" spans="1:4">
      <c r="A4816" s="83" t="s">
        <v>12174</v>
      </c>
      <c r="B4816" s="83" t="s">
        <v>5012</v>
      </c>
      <c r="C4816" s="83" t="s">
        <v>12177</v>
      </c>
      <c r="D4816" s="83" t="s">
        <v>12176</v>
      </c>
    </row>
    <row r="4817" spans="1:4">
      <c r="A4817" s="83" t="s">
        <v>12174</v>
      </c>
      <c r="B4817" s="83" t="s">
        <v>5015</v>
      </c>
      <c r="C4817" s="83" t="s">
        <v>12178</v>
      </c>
      <c r="D4817" s="83" t="s">
        <v>12176</v>
      </c>
    </row>
    <row r="4818" spans="1:4">
      <c r="A4818" s="83" t="s">
        <v>12174</v>
      </c>
      <c r="B4818" s="83" t="s">
        <v>5010</v>
      </c>
      <c r="C4818" s="83" t="s">
        <v>12179</v>
      </c>
      <c r="D4818" s="83" t="s">
        <v>12176</v>
      </c>
    </row>
    <row r="4819" spans="1:4">
      <c r="A4819" s="83" t="s">
        <v>12180</v>
      </c>
      <c r="B4819" s="83" t="s">
        <v>5017</v>
      </c>
      <c r="C4819" s="83" t="s">
        <v>12181</v>
      </c>
      <c r="D4819" s="83" t="s">
        <v>12182</v>
      </c>
    </row>
    <row r="4820" spans="1:4">
      <c r="A4820" s="83" t="s">
        <v>12180</v>
      </c>
      <c r="B4820" s="83" t="s">
        <v>5012</v>
      </c>
      <c r="C4820" s="83" t="s">
        <v>12183</v>
      </c>
      <c r="D4820" s="83" t="s">
        <v>12182</v>
      </c>
    </row>
    <row r="4821" spans="1:4">
      <c r="A4821" s="83" t="s">
        <v>12180</v>
      </c>
      <c r="B4821" s="83" t="s">
        <v>5015</v>
      </c>
      <c r="C4821" s="83" t="s">
        <v>12184</v>
      </c>
      <c r="D4821" s="83" t="s">
        <v>12182</v>
      </c>
    </row>
    <row r="4822" spans="1:4">
      <c r="A4822" s="83" t="s">
        <v>12180</v>
      </c>
      <c r="B4822" s="83" t="s">
        <v>5010</v>
      </c>
      <c r="C4822" s="83" t="s">
        <v>12185</v>
      </c>
      <c r="D4822" s="83" t="s">
        <v>12182</v>
      </c>
    </row>
    <row r="4823" spans="1:4">
      <c r="A4823" s="83" t="s">
        <v>12186</v>
      </c>
      <c r="B4823" s="83" t="s">
        <v>5017</v>
      </c>
      <c r="C4823" s="83" t="s">
        <v>12187</v>
      </c>
      <c r="D4823" s="83" t="s">
        <v>12188</v>
      </c>
    </row>
    <row r="4824" spans="1:4">
      <c r="A4824" s="83" t="s">
        <v>12186</v>
      </c>
      <c r="B4824" s="83" t="s">
        <v>5012</v>
      </c>
      <c r="C4824" s="83" t="s">
        <v>12189</v>
      </c>
      <c r="D4824" s="83" t="s">
        <v>12188</v>
      </c>
    </row>
    <row r="4825" spans="1:4">
      <c r="A4825" s="83" t="s">
        <v>12186</v>
      </c>
      <c r="B4825" s="83" t="s">
        <v>5015</v>
      </c>
      <c r="C4825" s="83" t="s">
        <v>12190</v>
      </c>
      <c r="D4825" s="83" t="s">
        <v>12188</v>
      </c>
    </row>
    <row r="4826" spans="1:4">
      <c r="A4826" s="83" t="s">
        <v>12186</v>
      </c>
      <c r="B4826" s="83" t="s">
        <v>5010</v>
      </c>
      <c r="C4826" s="83" t="s">
        <v>12191</v>
      </c>
      <c r="D4826" s="83" t="s">
        <v>12188</v>
      </c>
    </row>
    <row r="4827" spans="1:4">
      <c r="A4827" s="83" t="s">
        <v>12192</v>
      </c>
      <c r="B4827" s="83" t="s">
        <v>5017</v>
      </c>
      <c r="C4827" s="83" t="s">
        <v>12193</v>
      </c>
      <c r="D4827" s="83" t="s">
        <v>12194</v>
      </c>
    </row>
    <row r="4828" spans="1:4">
      <c r="A4828" s="83" t="s">
        <v>12192</v>
      </c>
      <c r="B4828" s="83" t="s">
        <v>5012</v>
      </c>
      <c r="C4828" s="83" t="s">
        <v>12195</v>
      </c>
      <c r="D4828" s="83" t="s">
        <v>12194</v>
      </c>
    </row>
    <row r="4829" spans="1:4">
      <c r="A4829" s="83" t="s">
        <v>12192</v>
      </c>
      <c r="B4829" s="83" t="s">
        <v>5015</v>
      </c>
      <c r="C4829" s="83" t="s">
        <v>12196</v>
      </c>
      <c r="D4829" s="83" t="s">
        <v>12194</v>
      </c>
    </row>
    <row r="4830" spans="1:4">
      <c r="A4830" s="83" t="s">
        <v>12192</v>
      </c>
      <c r="B4830" s="83" t="s">
        <v>5010</v>
      </c>
      <c r="C4830" s="83" t="s">
        <v>12197</v>
      </c>
      <c r="D4830" s="83" t="s">
        <v>12194</v>
      </c>
    </row>
    <row r="4831" spans="1:4">
      <c r="A4831" s="83" t="s">
        <v>12198</v>
      </c>
      <c r="B4831" s="83" t="s">
        <v>5017</v>
      </c>
      <c r="C4831" s="83" t="s">
        <v>12199</v>
      </c>
      <c r="D4831" s="83" t="s">
        <v>12200</v>
      </c>
    </row>
    <row r="4832" spans="1:4">
      <c r="A4832" s="83" t="s">
        <v>12198</v>
      </c>
      <c r="B4832" s="83" t="s">
        <v>5012</v>
      </c>
      <c r="C4832" s="83" t="s">
        <v>12201</v>
      </c>
      <c r="D4832" s="83" t="s">
        <v>12200</v>
      </c>
    </row>
    <row r="4833" spans="1:4">
      <c r="A4833" s="83" t="s">
        <v>12198</v>
      </c>
      <c r="B4833" s="83" t="s">
        <v>5015</v>
      </c>
      <c r="C4833" s="83" t="s">
        <v>12202</v>
      </c>
      <c r="D4833" s="83" t="s">
        <v>12200</v>
      </c>
    </row>
    <row r="4834" spans="1:4">
      <c r="A4834" s="83" t="s">
        <v>12198</v>
      </c>
      <c r="B4834" s="83" t="s">
        <v>5010</v>
      </c>
      <c r="C4834" s="83" t="s">
        <v>12203</v>
      </c>
      <c r="D4834" s="83" t="s">
        <v>12200</v>
      </c>
    </row>
    <row r="4835" spans="1:4">
      <c r="A4835" s="83" t="s">
        <v>12204</v>
      </c>
      <c r="B4835" s="83" t="s">
        <v>5017</v>
      </c>
      <c r="C4835" s="83" t="s">
        <v>12205</v>
      </c>
      <c r="D4835" s="83" t="s">
        <v>12206</v>
      </c>
    </row>
    <row r="4836" spans="1:4">
      <c r="A4836" s="83" t="s">
        <v>12204</v>
      </c>
      <c r="B4836" s="83" t="s">
        <v>5012</v>
      </c>
      <c r="C4836" s="83" t="s">
        <v>12207</v>
      </c>
      <c r="D4836" s="83" t="s">
        <v>12206</v>
      </c>
    </row>
    <row r="4837" spans="1:4">
      <c r="A4837" s="83" t="s">
        <v>12204</v>
      </c>
      <c r="B4837" s="83" t="s">
        <v>5015</v>
      </c>
      <c r="C4837" s="83" t="s">
        <v>12208</v>
      </c>
      <c r="D4837" s="83" t="s">
        <v>12206</v>
      </c>
    </row>
    <row r="4838" spans="1:4">
      <c r="A4838" s="83" t="s">
        <v>12204</v>
      </c>
      <c r="B4838" s="83" t="s">
        <v>5010</v>
      </c>
      <c r="C4838" s="83" t="s">
        <v>12209</v>
      </c>
      <c r="D4838" s="83" t="s">
        <v>12206</v>
      </c>
    </row>
    <row r="4839" spans="1:4">
      <c r="A4839" s="83" t="s">
        <v>12210</v>
      </c>
      <c r="B4839" s="83" t="s">
        <v>5017</v>
      </c>
      <c r="C4839" s="83" t="s">
        <v>12211</v>
      </c>
      <c r="D4839" s="83" t="s">
        <v>12212</v>
      </c>
    </row>
    <row r="4840" spans="1:4">
      <c r="A4840" s="83" t="s">
        <v>12210</v>
      </c>
      <c r="B4840" s="83" t="s">
        <v>5012</v>
      </c>
      <c r="C4840" s="83" t="s">
        <v>12213</v>
      </c>
      <c r="D4840" s="83" t="s">
        <v>12212</v>
      </c>
    </row>
    <row r="4841" spans="1:4">
      <c r="A4841" s="83" t="s">
        <v>12210</v>
      </c>
      <c r="B4841" s="83" t="s">
        <v>5015</v>
      </c>
      <c r="C4841" s="83" t="s">
        <v>12214</v>
      </c>
      <c r="D4841" s="83" t="s">
        <v>12212</v>
      </c>
    </row>
    <row r="4842" spans="1:4">
      <c r="A4842" s="83" t="s">
        <v>12210</v>
      </c>
      <c r="B4842" s="83" t="s">
        <v>5010</v>
      </c>
      <c r="C4842" s="83" t="s">
        <v>12215</v>
      </c>
      <c r="D4842" s="83" t="s">
        <v>12212</v>
      </c>
    </row>
    <row r="4843" spans="1:4">
      <c r="A4843" s="83" t="s">
        <v>12216</v>
      </c>
      <c r="B4843" s="83" t="s">
        <v>5017</v>
      </c>
      <c r="C4843" s="83" t="s">
        <v>12217</v>
      </c>
      <c r="D4843" s="83" t="s">
        <v>12218</v>
      </c>
    </row>
    <row r="4844" spans="1:4">
      <c r="A4844" s="83" t="s">
        <v>12216</v>
      </c>
      <c r="B4844" s="83" t="s">
        <v>5012</v>
      </c>
      <c r="C4844" s="83" t="s">
        <v>12219</v>
      </c>
      <c r="D4844" s="83" t="s">
        <v>12218</v>
      </c>
    </row>
    <row r="4845" spans="1:4">
      <c r="A4845" s="83" t="s">
        <v>12216</v>
      </c>
      <c r="B4845" s="83" t="s">
        <v>5015</v>
      </c>
      <c r="C4845" s="83" t="s">
        <v>12220</v>
      </c>
      <c r="D4845" s="83" t="s">
        <v>12218</v>
      </c>
    </row>
    <row r="4846" spans="1:4">
      <c r="A4846" s="83" t="s">
        <v>12216</v>
      </c>
      <c r="B4846" s="83" t="s">
        <v>5010</v>
      </c>
      <c r="C4846" s="83" t="s">
        <v>12221</v>
      </c>
      <c r="D4846" s="83" t="s">
        <v>12218</v>
      </c>
    </row>
    <row r="4847" spans="1:4">
      <c r="A4847" s="83" t="s">
        <v>12222</v>
      </c>
      <c r="B4847" s="83" t="s">
        <v>5017</v>
      </c>
      <c r="C4847" s="83" t="s">
        <v>12223</v>
      </c>
      <c r="D4847" s="83" t="s">
        <v>12224</v>
      </c>
    </row>
    <row r="4848" spans="1:4">
      <c r="A4848" s="83" t="s">
        <v>12222</v>
      </c>
      <c r="B4848" s="83" t="s">
        <v>5012</v>
      </c>
      <c r="C4848" s="83" t="s">
        <v>12225</v>
      </c>
      <c r="D4848" s="83" t="s">
        <v>12224</v>
      </c>
    </row>
    <row r="4849" spans="1:4">
      <c r="A4849" s="83" t="s">
        <v>12222</v>
      </c>
      <c r="B4849" s="83" t="s">
        <v>5015</v>
      </c>
      <c r="C4849" s="83" t="s">
        <v>12226</v>
      </c>
      <c r="D4849" s="83" t="s">
        <v>12224</v>
      </c>
    </row>
    <row r="4850" spans="1:4">
      <c r="A4850" s="83" t="s">
        <v>12222</v>
      </c>
      <c r="B4850" s="83" t="s">
        <v>5010</v>
      </c>
      <c r="C4850" s="83" t="s">
        <v>12227</v>
      </c>
      <c r="D4850" s="83" t="s">
        <v>12224</v>
      </c>
    </row>
    <row r="4851" spans="1:4">
      <c r="A4851" s="83" t="s">
        <v>12228</v>
      </c>
      <c r="B4851" s="83" t="s">
        <v>5017</v>
      </c>
      <c r="C4851" s="83" t="s">
        <v>12229</v>
      </c>
      <c r="D4851" s="83" t="s">
        <v>12230</v>
      </c>
    </row>
    <row r="4852" spans="1:4">
      <c r="A4852" s="83" t="s">
        <v>12228</v>
      </c>
      <c r="B4852" s="83" t="s">
        <v>5012</v>
      </c>
      <c r="C4852" s="83" t="s">
        <v>12231</v>
      </c>
      <c r="D4852" s="83" t="s">
        <v>12230</v>
      </c>
    </row>
    <row r="4853" spans="1:4">
      <c r="A4853" s="83" t="s">
        <v>12228</v>
      </c>
      <c r="B4853" s="83" t="s">
        <v>5015</v>
      </c>
      <c r="C4853" s="83" t="s">
        <v>12232</v>
      </c>
      <c r="D4853" s="83" t="s">
        <v>12230</v>
      </c>
    </row>
    <row r="4854" spans="1:4">
      <c r="A4854" s="83" t="s">
        <v>12228</v>
      </c>
      <c r="B4854" s="83" t="s">
        <v>5010</v>
      </c>
      <c r="C4854" s="83" t="s">
        <v>12233</v>
      </c>
      <c r="D4854" s="83" t="s">
        <v>12230</v>
      </c>
    </row>
    <row r="4855" spans="1:4">
      <c r="A4855" s="83" t="s">
        <v>12234</v>
      </c>
      <c r="B4855" s="83" t="s">
        <v>5017</v>
      </c>
      <c r="C4855" s="83" t="s">
        <v>12235</v>
      </c>
      <c r="D4855" s="83" t="s">
        <v>12236</v>
      </c>
    </row>
    <row r="4856" spans="1:4">
      <c r="A4856" s="83" t="s">
        <v>12234</v>
      </c>
      <c r="B4856" s="83" t="s">
        <v>5012</v>
      </c>
      <c r="C4856" s="83" t="s">
        <v>12237</v>
      </c>
      <c r="D4856" s="83" t="s">
        <v>12236</v>
      </c>
    </row>
    <row r="4857" spans="1:4">
      <c r="A4857" s="83" t="s">
        <v>12234</v>
      </c>
      <c r="B4857" s="83" t="s">
        <v>5015</v>
      </c>
      <c r="C4857" s="83" t="s">
        <v>12238</v>
      </c>
      <c r="D4857" s="83" t="s">
        <v>12236</v>
      </c>
    </row>
    <row r="4858" spans="1:4">
      <c r="A4858" s="83" t="s">
        <v>12234</v>
      </c>
      <c r="B4858" s="83" t="s">
        <v>5010</v>
      </c>
      <c r="C4858" s="83" t="s">
        <v>12239</v>
      </c>
      <c r="D4858" s="83" t="s">
        <v>12236</v>
      </c>
    </row>
    <row r="4859" spans="1:4">
      <c r="A4859" s="83" t="s">
        <v>12240</v>
      </c>
      <c r="B4859" s="83" t="s">
        <v>5017</v>
      </c>
      <c r="C4859" s="83" t="s">
        <v>12241</v>
      </c>
      <c r="D4859" s="83" t="s">
        <v>12242</v>
      </c>
    </row>
    <row r="4860" spans="1:4">
      <c r="A4860" s="83" t="s">
        <v>12240</v>
      </c>
      <c r="B4860" s="83" t="s">
        <v>5012</v>
      </c>
      <c r="C4860" s="83" t="s">
        <v>12243</v>
      </c>
      <c r="D4860" s="83" t="s">
        <v>12242</v>
      </c>
    </row>
    <row r="4861" spans="1:4">
      <c r="A4861" s="83" t="s">
        <v>12240</v>
      </c>
      <c r="B4861" s="83" t="s">
        <v>5015</v>
      </c>
      <c r="C4861" s="83" t="s">
        <v>12244</v>
      </c>
      <c r="D4861" s="83" t="s">
        <v>12242</v>
      </c>
    </row>
    <row r="4862" spans="1:4">
      <c r="A4862" s="83" t="s">
        <v>12240</v>
      </c>
      <c r="B4862" s="83" t="s">
        <v>5010</v>
      </c>
      <c r="C4862" s="83" t="s">
        <v>12245</v>
      </c>
      <c r="D4862" s="83" t="s">
        <v>12242</v>
      </c>
    </row>
    <row r="4863" spans="1:4">
      <c r="A4863" s="83" t="s">
        <v>12246</v>
      </c>
      <c r="B4863" s="83" t="s">
        <v>5017</v>
      </c>
      <c r="C4863" s="83" t="s">
        <v>12247</v>
      </c>
      <c r="D4863" s="83" t="s">
        <v>12248</v>
      </c>
    </row>
    <row r="4864" spans="1:4">
      <c r="A4864" s="83" t="s">
        <v>12246</v>
      </c>
      <c r="B4864" s="83" t="s">
        <v>5012</v>
      </c>
      <c r="C4864" s="83" t="s">
        <v>12249</v>
      </c>
      <c r="D4864" s="83" t="s">
        <v>12248</v>
      </c>
    </row>
    <row r="4865" spans="1:4">
      <c r="A4865" s="83" t="s">
        <v>12246</v>
      </c>
      <c r="B4865" s="83" t="s">
        <v>5015</v>
      </c>
      <c r="C4865" s="83" t="s">
        <v>12250</v>
      </c>
      <c r="D4865" s="83" t="s">
        <v>12248</v>
      </c>
    </row>
    <row r="4866" spans="1:4">
      <c r="A4866" s="83" t="s">
        <v>12246</v>
      </c>
      <c r="B4866" s="83" t="s">
        <v>5010</v>
      </c>
      <c r="C4866" s="83" t="s">
        <v>12251</v>
      </c>
      <c r="D4866" s="83" t="s">
        <v>12248</v>
      </c>
    </row>
    <row r="4867" spans="1:4">
      <c r="A4867" s="83" t="s">
        <v>12252</v>
      </c>
      <c r="B4867" s="83" t="s">
        <v>5017</v>
      </c>
      <c r="C4867" s="83" t="s">
        <v>12253</v>
      </c>
      <c r="D4867" s="83" t="s">
        <v>12254</v>
      </c>
    </row>
    <row r="4868" spans="1:4">
      <c r="A4868" s="83" t="s">
        <v>12252</v>
      </c>
      <c r="B4868" s="83" t="s">
        <v>5012</v>
      </c>
      <c r="C4868" s="83" t="s">
        <v>12255</v>
      </c>
      <c r="D4868" s="83" t="s">
        <v>12254</v>
      </c>
    </row>
    <row r="4869" spans="1:4">
      <c r="A4869" s="83" t="s">
        <v>12252</v>
      </c>
      <c r="B4869" s="83" t="s">
        <v>5015</v>
      </c>
      <c r="C4869" s="83" t="s">
        <v>12256</v>
      </c>
      <c r="D4869" s="83" t="s">
        <v>12254</v>
      </c>
    </row>
    <row r="4870" spans="1:4">
      <c r="A4870" s="83" t="s">
        <v>12252</v>
      </c>
      <c r="B4870" s="83" t="s">
        <v>5010</v>
      </c>
      <c r="C4870" s="83" t="s">
        <v>12257</v>
      </c>
      <c r="D4870" s="83" t="s">
        <v>12254</v>
      </c>
    </row>
    <row r="4871" spans="1:4">
      <c r="A4871" s="83" t="s">
        <v>12258</v>
      </c>
      <c r="B4871" s="83" t="s">
        <v>5017</v>
      </c>
      <c r="C4871" s="83" t="s">
        <v>12259</v>
      </c>
      <c r="D4871" s="83" t="s">
        <v>12260</v>
      </c>
    </row>
    <row r="4872" spans="1:4">
      <c r="A4872" s="83" t="s">
        <v>12258</v>
      </c>
      <c r="B4872" s="83" t="s">
        <v>5012</v>
      </c>
      <c r="C4872" s="83" t="s">
        <v>12261</v>
      </c>
      <c r="D4872" s="83" t="s">
        <v>12260</v>
      </c>
    </row>
    <row r="4873" spans="1:4">
      <c r="A4873" s="83" t="s">
        <v>12258</v>
      </c>
      <c r="B4873" s="83" t="s">
        <v>5015</v>
      </c>
      <c r="C4873" s="83" t="s">
        <v>12262</v>
      </c>
      <c r="D4873" s="83" t="s">
        <v>12260</v>
      </c>
    </row>
    <row r="4874" spans="1:4">
      <c r="A4874" s="83" t="s">
        <v>12258</v>
      </c>
      <c r="B4874" s="83" t="s">
        <v>5010</v>
      </c>
      <c r="C4874" s="83" t="s">
        <v>12263</v>
      </c>
      <c r="D4874" s="83" t="s">
        <v>12260</v>
      </c>
    </row>
    <row r="4875" spans="1:4">
      <c r="A4875" s="83" t="s">
        <v>12264</v>
      </c>
      <c r="B4875" s="83" t="s">
        <v>5017</v>
      </c>
      <c r="C4875" s="83" t="s">
        <v>12265</v>
      </c>
      <c r="D4875" s="83" t="s">
        <v>12266</v>
      </c>
    </row>
    <row r="4876" spans="1:4">
      <c r="A4876" s="83" t="s">
        <v>12264</v>
      </c>
      <c r="B4876" s="83" t="s">
        <v>5012</v>
      </c>
      <c r="C4876" s="83" t="s">
        <v>12267</v>
      </c>
      <c r="D4876" s="83" t="s">
        <v>12266</v>
      </c>
    </row>
    <row r="4877" spans="1:4">
      <c r="A4877" s="83" t="s">
        <v>12264</v>
      </c>
      <c r="B4877" s="83" t="s">
        <v>5015</v>
      </c>
      <c r="C4877" s="83" t="s">
        <v>12268</v>
      </c>
      <c r="D4877" s="83" t="s">
        <v>12266</v>
      </c>
    </row>
    <row r="4878" spans="1:4">
      <c r="A4878" s="83" t="s">
        <v>12264</v>
      </c>
      <c r="B4878" s="83" t="s">
        <v>5010</v>
      </c>
      <c r="C4878" s="83" t="s">
        <v>12269</v>
      </c>
      <c r="D4878" s="83" t="s">
        <v>12266</v>
      </c>
    </row>
    <row r="4879" spans="1:4">
      <c r="A4879" s="83" t="s">
        <v>12270</v>
      </c>
      <c r="B4879" s="83" t="s">
        <v>5017</v>
      </c>
      <c r="C4879" s="83" t="s">
        <v>12271</v>
      </c>
      <c r="D4879" s="83" t="s">
        <v>12272</v>
      </c>
    </row>
    <row r="4880" spans="1:4">
      <c r="A4880" s="83" t="s">
        <v>12270</v>
      </c>
      <c r="B4880" s="83" t="s">
        <v>5012</v>
      </c>
      <c r="C4880" s="83" t="s">
        <v>12273</v>
      </c>
      <c r="D4880" s="83" t="s">
        <v>12272</v>
      </c>
    </row>
    <row r="4881" spans="1:4">
      <c r="A4881" s="83" t="s">
        <v>12270</v>
      </c>
      <c r="B4881" s="83" t="s">
        <v>5015</v>
      </c>
      <c r="C4881" s="83" t="s">
        <v>12274</v>
      </c>
      <c r="D4881" s="83" t="s">
        <v>12272</v>
      </c>
    </row>
    <row r="4882" spans="1:4">
      <c r="A4882" s="83" t="s">
        <v>12270</v>
      </c>
      <c r="B4882" s="83" t="s">
        <v>5010</v>
      </c>
      <c r="C4882" s="83" t="s">
        <v>12275</v>
      </c>
      <c r="D4882" s="83" t="s">
        <v>12272</v>
      </c>
    </row>
    <row r="4883" spans="1:4">
      <c r="A4883" s="83" t="s">
        <v>12276</v>
      </c>
      <c r="B4883" s="83" t="s">
        <v>5017</v>
      </c>
      <c r="C4883" s="83" t="s">
        <v>12277</v>
      </c>
      <c r="D4883" s="83" t="s">
        <v>12278</v>
      </c>
    </row>
    <row r="4884" spans="1:4">
      <c r="A4884" s="83" t="s">
        <v>12276</v>
      </c>
      <c r="B4884" s="83" t="s">
        <v>5012</v>
      </c>
      <c r="C4884" s="83" t="s">
        <v>12279</v>
      </c>
      <c r="D4884" s="83" t="s">
        <v>12278</v>
      </c>
    </row>
    <row r="4885" spans="1:4">
      <c r="A4885" s="83" t="s">
        <v>12276</v>
      </c>
      <c r="B4885" s="83" t="s">
        <v>5015</v>
      </c>
      <c r="C4885" s="83" t="s">
        <v>12280</v>
      </c>
      <c r="D4885" s="83" t="s">
        <v>12278</v>
      </c>
    </row>
    <row r="4886" spans="1:4">
      <c r="A4886" s="83" t="s">
        <v>12276</v>
      </c>
      <c r="B4886" s="83" t="s">
        <v>5010</v>
      </c>
      <c r="C4886" s="83" t="s">
        <v>12281</v>
      </c>
      <c r="D4886" s="83" t="s">
        <v>12278</v>
      </c>
    </row>
    <row r="4887" spans="1:4">
      <c r="A4887" s="83" t="s">
        <v>12282</v>
      </c>
      <c r="B4887" s="83" t="s">
        <v>5017</v>
      </c>
      <c r="C4887" s="83" t="s">
        <v>12283</v>
      </c>
      <c r="D4887" s="83" t="s">
        <v>12284</v>
      </c>
    </row>
    <row r="4888" spans="1:4">
      <c r="A4888" s="83" t="s">
        <v>12282</v>
      </c>
      <c r="B4888" s="83" t="s">
        <v>5012</v>
      </c>
      <c r="C4888" s="83" t="s">
        <v>12285</v>
      </c>
      <c r="D4888" s="83" t="s">
        <v>12284</v>
      </c>
    </row>
    <row r="4889" spans="1:4">
      <c r="A4889" s="83" t="s">
        <v>12282</v>
      </c>
      <c r="B4889" s="83" t="s">
        <v>5015</v>
      </c>
      <c r="C4889" s="83" t="s">
        <v>12286</v>
      </c>
      <c r="D4889" s="83" t="s">
        <v>12284</v>
      </c>
    </row>
    <row r="4890" spans="1:4">
      <c r="A4890" s="83" t="s">
        <v>12282</v>
      </c>
      <c r="B4890" s="83" t="s">
        <v>5010</v>
      </c>
      <c r="C4890" s="83" t="s">
        <v>12287</v>
      </c>
      <c r="D4890" s="83" t="s">
        <v>12284</v>
      </c>
    </row>
    <row r="4891" spans="1:4">
      <c r="A4891" s="83" t="s">
        <v>12288</v>
      </c>
      <c r="B4891" s="83" t="s">
        <v>5017</v>
      </c>
      <c r="C4891" s="83" t="s">
        <v>12289</v>
      </c>
      <c r="D4891" s="83" t="s">
        <v>12290</v>
      </c>
    </row>
    <row r="4892" spans="1:4">
      <c r="A4892" s="83" t="s">
        <v>12288</v>
      </c>
      <c r="B4892" s="83" t="s">
        <v>5012</v>
      </c>
      <c r="C4892" s="83" t="s">
        <v>12291</v>
      </c>
      <c r="D4892" s="83" t="s">
        <v>12290</v>
      </c>
    </row>
    <row r="4893" spans="1:4">
      <c r="A4893" s="83" t="s">
        <v>12288</v>
      </c>
      <c r="B4893" s="83" t="s">
        <v>5015</v>
      </c>
      <c r="C4893" s="83" t="s">
        <v>12292</v>
      </c>
      <c r="D4893" s="83" t="s">
        <v>12290</v>
      </c>
    </row>
    <row r="4894" spans="1:4">
      <c r="A4894" s="83" t="s">
        <v>12288</v>
      </c>
      <c r="B4894" s="83" t="s">
        <v>5010</v>
      </c>
      <c r="C4894" s="83" t="s">
        <v>12293</v>
      </c>
      <c r="D4894" s="83" t="s">
        <v>12290</v>
      </c>
    </row>
    <row r="4895" spans="1:4">
      <c r="A4895" s="83" t="s">
        <v>12294</v>
      </c>
      <c r="B4895" s="83" t="s">
        <v>5017</v>
      </c>
      <c r="C4895" s="83" t="s">
        <v>12295</v>
      </c>
      <c r="D4895" s="83" t="s">
        <v>12296</v>
      </c>
    </row>
    <row r="4896" spans="1:4">
      <c r="A4896" s="83" t="s">
        <v>12294</v>
      </c>
      <c r="B4896" s="83" t="s">
        <v>5012</v>
      </c>
      <c r="C4896" s="83" t="s">
        <v>12297</v>
      </c>
      <c r="D4896" s="83" t="s">
        <v>12296</v>
      </c>
    </row>
    <row r="4897" spans="1:4">
      <c r="A4897" s="83" t="s">
        <v>12294</v>
      </c>
      <c r="B4897" s="83" t="s">
        <v>5015</v>
      </c>
      <c r="C4897" s="83" t="s">
        <v>12298</v>
      </c>
      <c r="D4897" s="83" t="s">
        <v>12296</v>
      </c>
    </row>
    <row r="4898" spans="1:4">
      <c r="A4898" s="83" t="s">
        <v>12294</v>
      </c>
      <c r="B4898" s="83" t="s">
        <v>5010</v>
      </c>
      <c r="C4898" s="83" t="s">
        <v>12299</v>
      </c>
      <c r="D4898" s="83" t="s">
        <v>12296</v>
      </c>
    </row>
    <row r="4899" spans="1:4">
      <c r="A4899" s="83" t="s">
        <v>12300</v>
      </c>
      <c r="B4899" s="83" t="s">
        <v>5017</v>
      </c>
      <c r="C4899" s="83" t="s">
        <v>12301</v>
      </c>
      <c r="D4899" s="83" t="s">
        <v>12302</v>
      </c>
    </row>
    <row r="4900" spans="1:4">
      <c r="A4900" s="83" t="s">
        <v>12300</v>
      </c>
      <c r="B4900" s="83" t="s">
        <v>5012</v>
      </c>
      <c r="C4900" s="83" t="s">
        <v>12303</v>
      </c>
      <c r="D4900" s="83" t="s">
        <v>12302</v>
      </c>
    </row>
    <row r="4901" spans="1:4">
      <c r="A4901" s="83" t="s">
        <v>12300</v>
      </c>
      <c r="B4901" s="83" t="s">
        <v>5015</v>
      </c>
      <c r="C4901" s="83" t="s">
        <v>12304</v>
      </c>
      <c r="D4901" s="83" t="s">
        <v>12302</v>
      </c>
    </row>
    <row r="4902" spans="1:4">
      <c r="A4902" s="83" t="s">
        <v>12300</v>
      </c>
      <c r="B4902" s="83" t="s">
        <v>5010</v>
      </c>
      <c r="C4902" s="83" t="s">
        <v>12305</v>
      </c>
      <c r="D4902" s="83" t="s">
        <v>12302</v>
      </c>
    </row>
    <row r="4903" spans="1:4">
      <c r="A4903" s="83" t="s">
        <v>12306</v>
      </c>
      <c r="B4903" s="83" t="s">
        <v>5017</v>
      </c>
      <c r="C4903" s="83" t="s">
        <v>12307</v>
      </c>
      <c r="D4903" s="83" t="s">
        <v>12308</v>
      </c>
    </row>
    <row r="4904" spans="1:4">
      <c r="A4904" s="83" t="s">
        <v>12306</v>
      </c>
      <c r="B4904" s="83" t="s">
        <v>5012</v>
      </c>
      <c r="C4904" s="83" t="s">
        <v>12309</v>
      </c>
      <c r="D4904" s="83" t="s">
        <v>12308</v>
      </c>
    </row>
    <row r="4905" spans="1:4">
      <c r="A4905" s="83" t="s">
        <v>12306</v>
      </c>
      <c r="B4905" s="83" t="s">
        <v>5015</v>
      </c>
      <c r="C4905" s="83" t="s">
        <v>12310</v>
      </c>
      <c r="D4905" s="83" t="s">
        <v>12308</v>
      </c>
    </row>
    <row r="4906" spans="1:4">
      <c r="A4906" s="83" t="s">
        <v>12306</v>
      </c>
      <c r="B4906" s="83" t="s">
        <v>5010</v>
      </c>
      <c r="C4906" s="83" t="s">
        <v>12311</v>
      </c>
      <c r="D4906" s="83" t="s">
        <v>12308</v>
      </c>
    </row>
    <row r="4907" spans="1:4">
      <c r="A4907" s="83" t="s">
        <v>12312</v>
      </c>
      <c r="B4907" s="83" t="s">
        <v>5017</v>
      </c>
      <c r="C4907" s="83" t="s">
        <v>12313</v>
      </c>
      <c r="D4907" s="83" t="s">
        <v>12314</v>
      </c>
    </row>
    <row r="4908" spans="1:4">
      <c r="A4908" s="83" t="s">
        <v>12312</v>
      </c>
      <c r="B4908" s="83" t="s">
        <v>5012</v>
      </c>
      <c r="C4908" s="83" t="s">
        <v>12315</v>
      </c>
      <c r="D4908" s="83" t="s">
        <v>12314</v>
      </c>
    </row>
    <row r="4909" spans="1:4">
      <c r="A4909" s="83" t="s">
        <v>12312</v>
      </c>
      <c r="B4909" s="83" t="s">
        <v>5015</v>
      </c>
      <c r="C4909" s="83" t="s">
        <v>12316</v>
      </c>
      <c r="D4909" s="83" t="s">
        <v>12314</v>
      </c>
    </row>
    <row r="4910" spans="1:4">
      <c r="A4910" s="83" t="s">
        <v>12312</v>
      </c>
      <c r="B4910" s="83" t="s">
        <v>5010</v>
      </c>
      <c r="C4910" s="83" t="s">
        <v>12317</v>
      </c>
      <c r="D4910" s="83" t="s">
        <v>12314</v>
      </c>
    </row>
    <row r="4911" spans="1:4">
      <c r="A4911" s="83" t="s">
        <v>12318</v>
      </c>
      <c r="B4911" s="83" t="s">
        <v>5017</v>
      </c>
      <c r="C4911" s="83" t="s">
        <v>12319</v>
      </c>
      <c r="D4911" s="83" t="s">
        <v>12320</v>
      </c>
    </row>
    <row r="4912" spans="1:4">
      <c r="A4912" s="83" t="s">
        <v>12318</v>
      </c>
      <c r="B4912" s="83" t="s">
        <v>5012</v>
      </c>
      <c r="C4912" s="83" t="s">
        <v>12321</v>
      </c>
      <c r="D4912" s="83" t="s">
        <v>12320</v>
      </c>
    </row>
    <row r="4913" spans="1:4">
      <c r="A4913" s="83" t="s">
        <v>12318</v>
      </c>
      <c r="B4913" s="83" t="s">
        <v>5015</v>
      </c>
      <c r="C4913" s="83" t="s">
        <v>12322</v>
      </c>
      <c r="D4913" s="83" t="s">
        <v>12320</v>
      </c>
    </row>
    <row r="4914" spans="1:4">
      <c r="A4914" s="83" t="s">
        <v>12318</v>
      </c>
      <c r="B4914" s="83" t="s">
        <v>5010</v>
      </c>
      <c r="C4914" s="83" t="s">
        <v>12323</v>
      </c>
      <c r="D4914" s="83" t="s">
        <v>12320</v>
      </c>
    </row>
    <row r="4915" spans="1:4">
      <c r="A4915" s="83" t="s">
        <v>12324</v>
      </c>
      <c r="B4915" s="83" t="s">
        <v>5017</v>
      </c>
      <c r="C4915" s="83" t="s">
        <v>12325</v>
      </c>
      <c r="D4915" s="83" t="s">
        <v>12326</v>
      </c>
    </row>
    <row r="4916" spans="1:4">
      <c r="A4916" s="83" t="s">
        <v>12324</v>
      </c>
      <c r="B4916" s="83" t="s">
        <v>5012</v>
      </c>
      <c r="C4916" s="83" t="s">
        <v>12327</v>
      </c>
      <c r="D4916" s="83" t="s">
        <v>12326</v>
      </c>
    </row>
    <row r="4917" spans="1:4">
      <c r="A4917" s="83" t="s">
        <v>12324</v>
      </c>
      <c r="B4917" s="83" t="s">
        <v>5015</v>
      </c>
      <c r="C4917" s="83" t="s">
        <v>12328</v>
      </c>
      <c r="D4917" s="83" t="s">
        <v>12326</v>
      </c>
    </row>
    <row r="4918" spans="1:4">
      <c r="A4918" s="83" t="s">
        <v>12324</v>
      </c>
      <c r="B4918" s="83" t="s">
        <v>5010</v>
      </c>
      <c r="C4918" s="83" t="s">
        <v>12329</v>
      </c>
      <c r="D4918" s="83" t="s">
        <v>12326</v>
      </c>
    </row>
    <row r="4919" spans="1:4">
      <c r="A4919" s="83" t="s">
        <v>12330</v>
      </c>
      <c r="B4919" s="83" t="s">
        <v>5017</v>
      </c>
      <c r="C4919" s="83" t="s">
        <v>12331</v>
      </c>
      <c r="D4919" s="83" t="s">
        <v>12332</v>
      </c>
    </row>
    <row r="4920" spans="1:4">
      <c r="A4920" s="83" t="s">
        <v>12330</v>
      </c>
      <c r="B4920" s="83" t="s">
        <v>5012</v>
      </c>
      <c r="C4920" s="83" t="s">
        <v>12333</v>
      </c>
      <c r="D4920" s="83" t="s">
        <v>12332</v>
      </c>
    </row>
    <row r="4921" spans="1:4">
      <c r="A4921" s="83" t="s">
        <v>12330</v>
      </c>
      <c r="B4921" s="83" t="s">
        <v>5015</v>
      </c>
      <c r="C4921" s="83" t="s">
        <v>12334</v>
      </c>
      <c r="D4921" s="83" t="s">
        <v>12332</v>
      </c>
    </row>
    <row r="4922" spans="1:4">
      <c r="A4922" s="83" t="s">
        <v>12330</v>
      </c>
      <c r="B4922" s="83" t="s">
        <v>5010</v>
      </c>
      <c r="C4922" s="83" t="s">
        <v>12335</v>
      </c>
      <c r="D4922" s="83" t="s">
        <v>12332</v>
      </c>
    </row>
    <row r="4923" spans="1:4">
      <c r="A4923" s="83" t="s">
        <v>12336</v>
      </c>
      <c r="B4923" s="83" t="s">
        <v>5017</v>
      </c>
      <c r="C4923" s="83" t="s">
        <v>12337</v>
      </c>
      <c r="D4923" s="83" t="s">
        <v>12338</v>
      </c>
    </row>
    <row r="4924" spans="1:4">
      <c r="A4924" s="83" t="s">
        <v>12336</v>
      </c>
      <c r="B4924" s="83" t="s">
        <v>5012</v>
      </c>
      <c r="C4924" s="83" t="s">
        <v>12339</v>
      </c>
      <c r="D4924" s="83" t="s">
        <v>12338</v>
      </c>
    </row>
    <row r="4925" spans="1:4">
      <c r="A4925" s="83" t="s">
        <v>12336</v>
      </c>
      <c r="B4925" s="83" t="s">
        <v>5015</v>
      </c>
      <c r="C4925" s="83" t="s">
        <v>12340</v>
      </c>
      <c r="D4925" s="83" t="s">
        <v>12338</v>
      </c>
    </row>
    <row r="4926" spans="1:4">
      <c r="A4926" s="83" t="s">
        <v>12336</v>
      </c>
      <c r="B4926" s="83" t="s">
        <v>5010</v>
      </c>
      <c r="C4926" s="83" t="s">
        <v>12341</v>
      </c>
      <c r="D4926" s="83" t="s">
        <v>12338</v>
      </c>
    </row>
    <row r="4927" spans="1:4">
      <c r="A4927" s="83" t="s">
        <v>12342</v>
      </c>
      <c r="B4927" s="83" t="s">
        <v>5017</v>
      </c>
      <c r="C4927" s="83" t="s">
        <v>12343</v>
      </c>
      <c r="D4927" s="83" t="s">
        <v>12344</v>
      </c>
    </row>
    <row r="4928" spans="1:4">
      <c r="A4928" s="83" t="s">
        <v>12342</v>
      </c>
      <c r="B4928" s="83" t="s">
        <v>5012</v>
      </c>
      <c r="C4928" s="83" t="s">
        <v>12345</v>
      </c>
      <c r="D4928" s="83" t="s">
        <v>12344</v>
      </c>
    </row>
    <row r="4929" spans="1:4">
      <c r="A4929" s="83" t="s">
        <v>12342</v>
      </c>
      <c r="B4929" s="83" t="s">
        <v>5015</v>
      </c>
      <c r="C4929" s="83" t="s">
        <v>12346</v>
      </c>
      <c r="D4929" s="83" t="s">
        <v>12344</v>
      </c>
    </row>
    <row r="4930" spans="1:4">
      <c r="A4930" s="83" t="s">
        <v>12342</v>
      </c>
      <c r="B4930" s="83" t="s">
        <v>5010</v>
      </c>
      <c r="C4930" s="83" t="s">
        <v>12347</v>
      </c>
      <c r="D4930" s="83" t="s">
        <v>12344</v>
      </c>
    </row>
    <row r="4931" spans="1:4">
      <c r="A4931" s="83" t="s">
        <v>12348</v>
      </c>
      <c r="B4931" s="83" t="s">
        <v>5017</v>
      </c>
      <c r="C4931" s="83" t="s">
        <v>12349</v>
      </c>
      <c r="D4931" s="83" t="s">
        <v>12350</v>
      </c>
    </row>
    <row r="4932" spans="1:4">
      <c r="A4932" s="83" t="s">
        <v>12348</v>
      </c>
      <c r="B4932" s="83" t="s">
        <v>5012</v>
      </c>
      <c r="C4932" s="83" t="s">
        <v>12351</v>
      </c>
      <c r="D4932" s="83" t="s">
        <v>12350</v>
      </c>
    </row>
    <row r="4933" spans="1:4">
      <c r="A4933" s="83" t="s">
        <v>12348</v>
      </c>
      <c r="B4933" s="83" t="s">
        <v>5015</v>
      </c>
      <c r="C4933" s="83" t="s">
        <v>12352</v>
      </c>
      <c r="D4933" s="83" t="s">
        <v>12350</v>
      </c>
    </row>
    <row r="4934" spans="1:4">
      <c r="A4934" s="83" t="s">
        <v>12348</v>
      </c>
      <c r="B4934" s="83" t="s">
        <v>5010</v>
      </c>
      <c r="C4934" s="83" t="s">
        <v>12353</v>
      </c>
      <c r="D4934" s="83" t="s">
        <v>12350</v>
      </c>
    </row>
    <row r="4935" spans="1:4">
      <c r="A4935" s="83" t="s">
        <v>12354</v>
      </c>
      <c r="B4935" s="83" t="s">
        <v>5017</v>
      </c>
      <c r="C4935" s="83" t="s">
        <v>12355</v>
      </c>
      <c r="D4935" s="83" t="s">
        <v>12356</v>
      </c>
    </row>
    <row r="4936" spans="1:4">
      <c r="A4936" s="83" t="s">
        <v>12354</v>
      </c>
      <c r="B4936" s="83" t="s">
        <v>5012</v>
      </c>
      <c r="C4936" s="83" t="s">
        <v>12357</v>
      </c>
      <c r="D4936" s="83" t="s">
        <v>12356</v>
      </c>
    </row>
    <row r="4937" spans="1:4">
      <c r="A4937" s="83" t="s">
        <v>12354</v>
      </c>
      <c r="B4937" s="83" t="s">
        <v>5015</v>
      </c>
      <c r="C4937" s="83" t="s">
        <v>12358</v>
      </c>
      <c r="D4937" s="83" t="s">
        <v>12356</v>
      </c>
    </row>
    <row r="4938" spans="1:4">
      <c r="A4938" s="83" t="s">
        <v>12354</v>
      </c>
      <c r="B4938" s="83" t="s">
        <v>5010</v>
      </c>
      <c r="C4938" s="83" t="s">
        <v>12359</v>
      </c>
      <c r="D4938" s="83" t="s">
        <v>12356</v>
      </c>
    </row>
    <row r="4939" spans="1:4">
      <c r="A4939" s="83" t="s">
        <v>12360</v>
      </c>
      <c r="B4939" s="83" t="s">
        <v>5017</v>
      </c>
      <c r="C4939" s="83" t="s">
        <v>12361</v>
      </c>
      <c r="D4939" s="83" t="s">
        <v>12362</v>
      </c>
    </row>
    <row r="4940" spans="1:4">
      <c r="A4940" s="83" t="s">
        <v>12360</v>
      </c>
      <c r="B4940" s="83" t="s">
        <v>5012</v>
      </c>
      <c r="C4940" s="83" t="s">
        <v>12363</v>
      </c>
      <c r="D4940" s="83" t="s">
        <v>12362</v>
      </c>
    </row>
    <row r="4941" spans="1:4">
      <c r="A4941" s="83" t="s">
        <v>12360</v>
      </c>
      <c r="B4941" s="83" t="s">
        <v>5015</v>
      </c>
      <c r="C4941" s="83" t="s">
        <v>12364</v>
      </c>
      <c r="D4941" s="83" t="s">
        <v>12362</v>
      </c>
    </row>
    <row r="4942" spans="1:4">
      <c r="A4942" s="83" t="s">
        <v>12360</v>
      </c>
      <c r="B4942" s="83" t="s">
        <v>5010</v>
      </c>
      <c r="C4942" s="83" t="s">
        <v>12365</v>
      </c>
      <c r="D4942" s="83" t="s">
        <v>12362</v>
      </c>
    </row>
    <row r="4943" spans="1:4">
      <c r="A4943" s="83" t="s">
        <v>12366</v>
      </c>
      <c r="B4943" s="83" t="s">
        <v>5017</v>
      </c>
      <c r="C4943" s="83" t="s">
        <v>12367</v>
      </c>
      <c r="D4943" s="83" t="s">
        <v>12368</v>
      </c>
    </row>
    <row r="4944" spans="1:4">
      <c r="A4944" s="83" t="s">
        <v>12366</v>
      </c>
      <c r="B4944" s="83" t="s">
        <v>5012</v>
      </c>
      <c r="C4944" s="83" t="s">
        <v>12369</v>
      </c>
      <c r="D4944" s="83" t="s">
        <v>12368</v>
      </c>
    </row>
    <row r="4945" spans="1:4">
      <c r="A4945" s="83" t="s">
        <v>12366</v>
      </c>
      <c r="B4945" s="83" t="s">
        <v>5015</v>
      </c>
      <c r="C4945" s="83" t="s">
        <v>12370</v>
      </c>
      <c r="D4945" s="83" t="s">
        <v>12368</v>
      </c>
    </row>
    <row r="4946" spans="1:4">
      <c r="A4946" s="83" t="s">
        <v>12366</v>
      </c>
      <c r="B4946" s="83" t="s">
        <v>5010</v>
      </c>
      <c r="C4946" s="83" t="s">
        <v>12371</v>
      </c>
      <c r="D4946" s="83" t="s">
        <v>12368</v>
      </c>
    </row>
    <row r="4947" spans="1:4">
      <c r="A4947" s="83" t="s">
        <v>12372</v>
      </c>
      <c r="B4947" s="83" t="s">
        <v>5017</v>
      </c>
      <c r="C4947" s="83" t="s">
        <v>12373</v>
      </c>
      <c r="D4947" s="83" t="s">
        <v>12374</v>
      </c>
    </row>
    <row r="4948" spans="1:4">
      <c r="A4948" s="83" t="s">
        <v>12372</v>
      </c>
      <c r="B4948" s="83" t="s">
        <v>5012</v>
      </c>
      <c r="C4948" s="83" t="s">
        <v>12375</v>
      </c>
      <c r="D4948" s="83" t="s">
        <v>12374</v>
      </c>
    </row>
    <row r="4949" spans="1:4">
      <c r="A4949" s="83" t="s">
        <v>12372</v>
      </c>
      <c r="B4949" s="83" t="s">
        <v>5015</v>
      </c>
      <c r="C4949" s="83" t="s">
        <v>12376</v>
      </c>
      <c r="D4949" s="83" t="s">
        <v>12374</v>
      </c>
    </row>
    <row r="4950" spans="1:4">
      <c r="A4950" s="83" t="s">
        <v>12372</v>
      </c>
      <c r="B4950" s="83" t="s">
        <v>5010</v>
      </c>
      <c r="C4950" s="83" t="s">
        <v>12377</v>
      </c>
      <c r="D4950" s="83" t="s">
        <v>12374</v>
      </c>
    </row>
    <row r="4951" spans="1:4">
      <c r="A4951" s="83" t="s">
        <v>12378</v>
      </c>
      <c r="B4951" s="83" t="s">
        <v>5017</v>
      </c>
      <c r="C4951" s="83" t="s">
        <v>12379</v>
      </c>
      <c r="D4951" s="83" t="s">
        <v>12380</v>
      </c>
    </row>
    <row r="4952" spans="1:4">
      <c r="A4952" s="83" t="s">
        <v>12378</v>
      </c>
      <c r="B4952" s="83" t="s">
        <v>5012</v>
      </c>
      <c r="C4952" s="83" t="s">
        <v>12381</v>
      </c>
      <c r="D4952" s="83" t="s">
        <v>12380</v>
      </c>
    </row>
    <row r="4953" spans="1:4">
      <c r="A4953" s="83" t="s">
        <v>12378</v>
      </c>
      <c r="B4953" s="83" t="s">
        <v>5015</v>
      </c>
      <c r="C4953" s="83" t="s">
        <v>12382</v>
      </c>
      <c r="D4953" s="83" t="s">
        <v>12380</v>
      </c>
    </row>
    <row r="4954" spans="1:4">
      <c r="A4954" s="83" t="s">
        <v>12378</v>
      </c>
      <c r="B4954" s="83" t="s">
        <v>5010</v>
      </c>
      <c r="C4954" s="83" t="s">
        <v>12383</v>
      </c>
      <c r="D4954" s="83" t="s">
        <v>12380</v>
      </c>
    </row>
    <row r="4955" spans="1:4">
      <c r="A4955" s="83" t="s">
        <v>12384</v>
      </c>
      <c r="B4955" s="83" t="s">
        <v>5017</v>
      </c>
      <c r="C4955" s="83" t="s">
        <v>12385</v>
      </c>
      <c r="D4955" s="83" t="s">
        <v>12386</v>
      </c>
    </row>
    <row r="4956" spans="1:4">
      <c r="A4956" s="83" t="s">
        <v>12384</v>
      </c>
      <c r="B4956" s="83" t="s">
        <v>5012</v>
      </c>
      <c r="C4956" s="83" t="s">
        <v>12387</v>
      </c>
      <c r="D4956" s="83" t="s">
        <v>12386</v>
      </c>
    </row>
    <row r="4957" spans="1:4">
      <c r="A4957" s="83" t="s">
        <v>12384</v>
      </c>
      <c r="B4957" s="83" t="s">
        <v>5015</v>
      </c>
      <c r="C4957" s="83" t="s">
        <v>12388</v>
      </c>
      <c r="D4957" s="83" t="s">
        <v>12386</v>
      </c>
    </row>
    <row r="4958" spans="1:4">
      <c r="A4958" s="83" t="s">
        <v>12384</v>
      </c>
      <c r="B4958" s="83" t="s">
        <v>5010</v>
      </c>
      <c r="C4958" s="83" t="s">
        <v>12389</v>
      </c>
      <c r="D4958" s="83" t="s">
        <v>12386</v>
      </c>
    </row>
    <row r="4959" spans="1:4">
      <c r="A4959" s="83" t="s">
        <v>12390</v>
      </c>
      <c r="B4959" s="83" t="s">
        <v>5017</v>
      </c>
      <c r="C4959" s="83" t="s">
        <v>12391</v>
      </c>
      <c r="D4959" s="83" t="s">
        <v>12392</v>
      </c>
    </row>
    <row r="4960" spans="1:4">
      <c r="A4960" s="83" t="s">
        <v>12390</v>
      </c>
      <c r="B4960" s="83" t="s">
        <v>5012</v>
      </c>
      <c r="C4960" s="83" t="s">
        <v>12393</v>
      </c>
      <c r="D4960" s="83" t="s">
        <v>12392</v>
      </c>
    </row>
    <row r="4961" spans="1:4">
      <c r="A4961" s="83" t="s">
        <v>12390</v>
      </c>
      <c r="B4961" s="83" t="s">
        <v>5015</v>
      </c>
      <c r="C4961" s="83" t="s">
        <v>12394</v>
      </c>
      <c r="D4961" s="83" t="s">
        <v>12392</v>
      </c>
    </row>
    <row r="4962" spans="1:4">
      <c r="A4962" s="83" t="s">
        <v>12390</v>
      </c>
      <c r="B4962" s="83" t="s">
        <v>5010</v>
      </c>
      <c r="C4962" s="83" t="s">
        <v>12395</v>
      </c>
      <c r="D4962" s="83" t="s">
        <v>12392</v>
      </c>
    </row>
    <row r="4963" spans="1:4">
      <c r="A4963" s="83" t="s">
        <v>12396</v>
      </c>
      <c r="B4963" s="83" t="s">
        <v>5017</v>
      </c>
      <c r="C4963" s="83" t="s">
        <v>12397</v>
      </c>
      <c r="D4963" s="83" t="s">
        <v>12398</v>
      </c>
    </row>
    <row r="4964" spans="1:4">
      <c r="A4964" s="83" t="s">
        <v>12396</v>
      </c>
      <c r="B4964" s="83" t="s">
        <v>5012</v>
      </c>
      <c r="C4964" s="83" t="s">
        <v>12399</v>
      </c>
      <c r="D4964" s="83" t="s">
        <v>12398</v>
      </c>
    </row>
    <row r="4965" spans="1:4">
      <c r="A4965" s="83" t="s">
        <v>12396</v>
      </c>
      <c r="B4965" s="83" t="s">
        <v>5015</v>
      </c>
      <c r="C4965" s="83" t="s">
        <v>12400</v>
      </c>
      <c r="D4965" s="83" t="s">
        <v>12398</v>
      </c>
    </row>
    <row r="4966" spans="1:4">
      <c r="A4966" s="83" t="s">
        <v>12396</v>
      </c>
      <c r="B4966" s="83" t="s">
        <v>5010</v>
      </c>
      <c r="C4966" s="83" t="s">
        <v>12401</v>
      </c>
      <c r="D4966" s="83" t="s">
        <v>12398</v>
      </c>
    </row>
    <row r="4967" spans="1:4">
      <c r="A4967" s="83" t="s">
        <v>12402</v>
      </c>
      <c r="B4967" s="83" t="s">
        <v>5017</v>
      </c>
      <c r="C4967" s="83" t="s">
        <v>12403</v>
      </c>
      <c r="D4967" s="83" t="s">
        <v>12404</v>
      </c>
    </row>
    <row r="4968" spans="1:4">
      <c r="A4968" s="83" t="s">
        <v>12402</v>
      </c>
      <c r="B4968" s="83" t="s">
        <v>5012</v>
      </c>
      <c r="C4968" s="83" t="s">
        <v>12405</v>
      </c>
      <c r="D4968" s="83" t="s">
        <v>12404</v>
      </c>
    </row>
    <row r="4969" spans="1:4">
      <c r="A4969" s="83" t="s">
        <v>12402</v>
      </c>
      <c r="B4969" s="83" t="s">
        <v>5015</v>
      </c>
      <c r="C4969" s="83" t="s">
        <v>12406</v>
      </c>
      <c r="D4969" s="83" t="s">
        <v>12404</v>
      </c>
    </row>
    <row r="4970" spans="1:4">
      <c r="A4970" s="83" t="s">
        <v>12402</v>
      </c>
      <c r="B4970" s="83" t="s">
        <v>5010</v>
      </c>
      <c r="C4970" s="83" t="s">
        <v>12407</v>
      </c>
      <c r="D4970" s="83" t="s">
        <v>12404</v>
      </c>
    </row>
    <row r="4971" spans="1:4">
      <c r="A4971" s="83" t="s">
        <v>12408</v>
      </c>
      <c r="B4971" s="83" t="s">
        <v>5017</v>
      </c>
      <c r="C4971" s="83" t="s">
        <v>12409</v>
      </c>
      <c r="D4971" s="83" t="s">
        <v>12410</v>
      </c>
    </row>
    <row r="4972" spans="1:4">
      <c r="A4972" s="83" t="s">
        <v>12408</v>
      </c>
      <c r="B4972" s="83" t="s">
        <v>5012</v>
      </c>
      <c r="C4972" s="83" t="s">
        <v>12411</v>
      </c>
      <c r="D4972" s="83" t="s">
        <v>12410</v>
      </c>
    </row>
    <row r="4973" spans="1:4">
      <c r="A4973" s="83" t="s">
        <v>12408</v>
      </c>
      <c r="B4973" s="83" t="s">
        <v>5015</v>
      </c>
      <c r="C4973" s="83" t="s">
        <v>12412</v>
      </c>
      <c r="D4973" s="83" t="s">
        <v>12410</v>
      </c>
    </row>
    <row r="4974" spans="1:4">
      <c r="A4974" s="83" t="s">
        <v>12408</v>
      </c>
      <c r="B4974" s="83" t="s">
        <v>5010</v>
      </c>
      <c r="C4974" s="83" t="s">
        <v>12413</v>
      </c>
      <c r="D4974" s="83" t="s">
        <v>12410</v>
      </c>
    </row>
    <row r="4975" spans="1:4">
      <c r="A4975" s="83" t="s">
        <v>12414</v>
      </c>
      <c r="B4975" s="83" t="s">
        <v>5017</v>
      </c>
      <c r="C4975" s="83" t="s">
        <v>12415</v>
      </c>
      <c r="D4975" s="83" t="s">
        <v>12416</v>
      </c>
    </row>
    <row r="4976" spans="1:4">
      <c r="A4976" s="83" t="s">
        <v>12414</v>
      </c>
      <c r="B4976" s="83" t="s">
        <v>5012</v>
      </c>
      <c r="C4976" s="83" t="s">
        <v>12417</v>
      </c>
      <c r="D4976" s="83" t="s">
        <v>12416</v>
      </c>
    </row>
    <row r="4977" spans="1:4">
      <c r="A4977" s="83" t="s">
        <v>12414</v>
      </c>
      <c r="B4977" s="83" t="s">
        <v>5015</v>
      </c>
      <c r="C4977" s="83" t="s">
        <v>12418</v>
      </c>
      <c r="D4977" s="83" t="s">
        <v>12416</v>
      </c>
    </row>
    <row r="4978" spans="1:4">
      <c r="A4978" s="83" t="s">
        <v>12414</v>
      </c>
      <c r="B4978" s="83" t="s">
        <v>5010</v>
      </c>
      <c r="C4978" s="83" t="s">
        <v>12419</v>
      </c>
      <c r="D4978" s="83" t="s">
        <v>12416</v>
      </c>
    </row>
    <row r="4979" spans="1:4">
      <c r="A4979" s="83" t="s">
        <v>12420</v>
      </c>
      <c r="B4979" s="83" t="s">
        <v>5017</v>
      </c>
      <c r="C4979" s="83" t="s">
        <v>12421</v>
      </c>
      <c r="D4979" s="83" t="s">
        <v>12422</v>
      </c>
    </row>
    <row r="4980" spans="1:4">
      <c r="A4980" s="83" t="s">
        <v>12420</v>
      </c>
      <c r="B4980" s="83" t="s">
        <v>5012</v>
      </c>
      <c r="C4980" s="83" t="s">
        <v>12423</v>
      </c>
      <c r="D4980" s="83" t="s">
        <v>12422</v>
      </c>
    </row>
    <row r="4981" spans="1:4">
      <c r="A4981" s="83" t="s">
        <v>12420</v>
      </c>
      <c r="B4981" s="83" t="s">
        <v>5015</v>
      </c>
      <c r="C4981" s="83" t="s">
        <v>12424</v>
      </c>
      <c r="D4981" s="83" t="s">
        <v>12422</v>
      </c>
    </row>
    <row r="4982" spans="1:4">
      <c r="A4982" s="83" t="s">
        <v>12420</v>
      </c>
      <c r="B4982" s="83" t="s">
        <v>5010</v>
      </c>
      <c r="C4982" s="83" t="s">
        <v>12425</v>
      </c>
      <c r="D4982" s="83" t="s">
        <v>12422</v>
      </c>
    </row>
    <row r="4983" spans="1:4">
      <c r="A4983" s="83" t="s">
        <v>12426</v>
      </c>
      <c r="B4983" s="83" t="s">
        <v>5017</v>
      </c>
      <c r="C4983" s="83" t="s">
        <v>12427</v>
      </c>
      <c r="D4983" s="83" t="s">
        <v>12428</v>
      </c>
    </row>
    <row r="4984" spans="1:4">
      <c r="A4984" s="83" t="s">
        <v>12426</v>
      </c>
      <c r="B4984" s="83" t="s">
        <v>5012</v>
      </c>
      <c r="C4984" s="83" t="s">
        <v>12429</v>
      </c>
      <c r="D4984" s="83" t="s">
        <v>12428</v>
      </c>
    </row>
    <row r="4985" spans="1:4">
      <c r="A4985" s="83" t="s">
        <v>12426</v>
      </c>
      <c r="B4985" s="83" t="s">
        <v>5015</v>
      </c>
      <c r="C4985" s="83" t="s">
        <v>12430</v>
      </c>
      <c r="D4985" s="83" t="s">
        <v>12428</v>
      </c>
    </row>
    <row r="4986" spans="1:4">
      <c r="A4986" s="83" t="s">
        <v>12426</v>
      </c>
      <c r="B4986" s="83" t="s">
        <v>5010</v>
      </c>
      <c r="C4986" s="83" t="s">
        <v>12431</v>
      </c>
      <c r="D4986" s="83" t="s">
        <v>12428</v>
      </c>
    </row>
    <row r="4987" spans="1:4">
      <c r="A4987" s="83" t="s">
        <v>12432</v>
      </c>
      <c r="B4987" s="83" t="s">
        <v>5017</v>
      </c>
      <c r="C4987" s="83" t="s">
        <v>12433</v>
      </c>
      <c r="D4987" s="83" t="s">
        <v>12434</v>
      </c>
    </row>
    <row r="4988" spans="1:4">
      <c r="A4988" s="83" t="s">
        <v>12432</v>
      </c>
      <c r="B4988" s="83" t="s">
        <v>5012</v>
      </c>
      <c r="C4988" s="83" t="s">
        <v>12435</v>
      </c>
      <c r="D4988" s="83" t="s">
        <v>12434</v>
      </c>
    </row>
    <row r="4989" spans="1:4">
      <c r="A4989" s="83" t="s">
        <v>12432</v>
      </c>
      <c r="B4989" s="83" t="s">
        <v>5015</v>
      </c>
      <c r="C4989" s="83" t="s">
        <v>12436</v>
      </c>
      <c r="D4989" s="83" t="s">
        <v>12434</v>
      </c>
    </row>
    <row r="4990" spans="1:4">
      <c r="A4990" s="83" t="s">
        <v>12432</v>
      </c>
      <c r="B4990" s="83" t="s">
        <v>5010</v>
      </c>
      <c r="C4990" s="83" t="s">
        <v>12437</v>
      </c>
      <c r="D4990" s="83" t="s">
        <v>12434</v>
      </c>
    </row>
    <row r="4991" spans="1:4">
      <c r="A4991" s="83" t="s">
        <v>12438</v>
      </c>
      <c r="B4991" s="83" t="s">
        <v>5017</v>
      </c>
      <c r="C4991" s="83" t="s">
        <v>12439</v>
      </c>
      <c r="D4991" s="83" t="s">
        <v>12440</v>
      </c>
    </row>
    <row r="4992" spans="1:4">
      <c r="A4992" s="83" t="s">
        <v>12438</v>
      </c>
      <c r="B4992" s="83" t="s">
        <v>5012</v>
      </c>
      <c r="C4992" s="83" t="s">
        <v>12441</v>
      </c>
      <c r="D4992" s="83" t="s">
        <v>12440</v>
      </c>
    </row>
    <row r="4993" spans="1:4">
      <c r="A4993" s="83" t="s">
        <v>12438</v>
      </c>
      <c r="B4993" s="83" t="s">
        <v>5015</v>
      </c>
      <c r="C4993" s="83" t="s">
        <v>12442</v>
      </c>
      <c r="D4993" s="83" t="s">
        <v>12440</v>
      </c>
    </row>
    <row r="4994" spans="1:4">
      <c r="A4994" s="83" t="s">
        <v>12438</v>
      </c>
      <c r="B4994" s="83" t="s">
        <v>5010</v>
      </c>
      <c r="C4994" s="83" t="s">
        <v>12443</v>
      </c>
      <c r="D4994" s="83" t="s">
        <v>12440</v>
      </c>
    </row>
    <row r="4995" spans="1:4">
      <c r="A4995" s="83" t="s">
        <v>12444</v>
      </c>
      <c r="B4995" s="83" t="s">
        <v>5017</v>
      </c>
      <c r="C4995" s="83" t="s">
        <v>12445</v>
      </c>
      <c r="D4995" s="83" t="s">
        <v>12446</v>
      </c>
    </row>
    <row r="4996" spans="1:4">
      <c r="A4996" s="83" t="s">
        <v>12444</v>
      </c>
      <c r="B4996" s="83" t="s">
        <v>5012</v>
      </c>
      <c r="C4996" s="83" t="s">
        <v>12447</v>
      </c>
      <c r="D4996" s="83" t="s">
        <v>12446</v>
      </c>
    </row>
    <row r="4997" spans="1:4">
      <c r="A4997" s="83" t="s">
        <v>12444</v>
      </c>
      <c r="B4997" s="83" t="s">
        <v>5015</v>
      </c>
      <c r="C4997" s="83" t="s">
        <v>12448</v>
      </c>
      <c r="D4997" s="83" t="s">
        <v>12446</v>
      </c>
    </row>
    <row r="4998" spans="1:4">
      <c r="A4998" s="83" t="s">
        <v>12444</v>
      </c>
      <c r="B4998" s="83" t="s">
        <v>5010</v>
      </c>
      <c r="C4998" s="83" t="s">
        <v>12449</v>
      </c>
      <c r="D4998" s="83" t="s">
        <v>12446</v>
      </c>
    </row>
    <row r="4999" spans="1:4">
      <c r="A4999" s="83" t="s">
        <v>12450</v>
      </c>
      <c r="B4999" s="83" t="s">
        <v>5017</v>
      </c>
      <c r="C4999" s="83" t="s">
        <v>12451</v>
      </c>
      <c r="D4999" s="83" t="s">
        <v>12452</v>
      </c>
    </row>
    <row r="5000" spans="1:4">
      <c r="A5000" s="83" t="s">
        <v>12450</v>
      </c>
      <c r="B5000" s="83" t="s">
        <v>5012</v>
      </c>
      <c r="C5000" s="83" t="s">
        <v>12453</v>
      </c>
      <c r="D5000" s="83" t="s">
        <v>12452</v>
      </c>
    </row>
    <row r="5001" spans="1:4">
      <c r="A5001" s="83" t="s">
        <v>12450</v>
      </c>
      <c r="B5001" s="83" t="s">
        <v>5015</v>
      </c>
      <c r="C5001" s="83" t="s">
        <v>12454</v>
      </c>
      <c r="D5001" s="83" t="s">
        <v>12452</v>
      </c>
    </row>
    <row r="5002" spans="1:4">
      <c r="A5002" s="83" t="s">
        <v>12450</v>
      </c>
      <c r="B5002" s="83" t="s">
        <v>5010</v>
      </c>
      <c r="C5002" s="83" t="s">
        <v>12455</v>
      </c>
      <c r="D5002" s="83" t="s">
        <v>12452</v>
      </c>
    </row>
    <row r="5003" spans="1:4">
      <c r="A5003" s="83" t="s">
        <v>12456</v>
      </c>
      <c r="B5003" s="83" t="s">
        <v>5017</v>
      </c>
      <c r="C5003" s="83" t="s">
        <v>12457</v>
      </c>
      <c r="D5003" s="83" t="s">
        <v>12458</v>
      </c>
    </row>
    <row r="5004" spans="1:4">
      <c r="A5004" s="83" t="s">
        <v>12456</v>
      </c>
      <c r="B5004" s="83" t="s">
        <v>5012</v>
      </c>
      <c r="C5004" s="83" t="s">
        <v>12459</v>
      </c>
      <c r="D5004" s="83" t="s">
        <v>12458</v>
      </c>
    </row>
    <row r="5005" spans="1:4">
      <c r="A5005" s="83" t="s">
        <v>12456</v>
      </c>
      <c r="B5005" s="83" t="s">
        <v>5015</v>
      </c>
      <c r="C5005" s="83" t="s">
        <v>12460</v>
      </c>
      <c r="D5005" s="83" t="s">
        <v>12458</v>
      </c>
    </row>
    <row r="5006" spans="1:4">
      <c r="A5006" s="83" t="s">
        <v>12456</v>
      </c>
      <c r="B5006" s="83" t="s">
        <v>5010</v>
      </c>
      <c r="C5006" s="83" t="s">
        <v>12461</v>
      </c>
      <c r="D5006" s="83" t="s">
        <v>12458</v>
      </c>
    </row>
    <row r="5007" spans="1:4">
      <c r="A5007" s="83" t="s">
        <v>12462</v>
      </c>
      <c r="B5007" s="83" t="s">
        <v>5017</v>
      </c>
      <c r="C5007" s="83" t="s">
        <v>12463</v>
      </c>
      <c r="D5007" s="83" t="s">
        <v>12464</v>
      </c>
    </row>
    <row r="5008" spans="1:4">
      <c r="A5008" s="83" t="s">
        <v>12462</v>
      </c>
      <c r="B5008" s="83" t="s">
        <v>5012</v>
      </c>
      <c r="C5008" s="83" t="s">
        <v>12465</v>
      </c>
      <c r="D5008" s="83" t="s">
        <v>12464</v>
      </c>
    </row>
    <row r="5009" spans="1:4">
      <c r="A5009" s="83" t="s">
        <v>12462</v>
      </c>
      <c r="B5009" s="83" t="s">
        <v>5015</v>
      </c>
      <c r="C5009" s="83" t="s">
        <v>12466</v>
      </c>
      <c r="D5009" s="83" t="s">
        <v>12464</v>
      </c>
    </row>
    <row r="5010" spans="1:4">
      <c r="A5010" s="83" t="s">
        <v>12462</v>
      </c>
      <c r="B5010" s="83" t="s">
        <v>5010</v>
      </c>
      <c r="C5010" s="83" t="s">
        <v>12467</v>
      </c>
      <c r="D5010" s="83" t="s">
        <v>12464</v>
      </c>
    </row>
    <row r="5011" spans="1:4">
      <c r="A5011" s="83" t="s">
        <v>12468</v>
      </c>
      <c r="B5011" s="83" t="s">
        <v>5017</v>
      </c>
      <c r="C5011" s="83" t="s">
        <v>12469</v>
      </c>
      <c r="D5011" s="83" t="s">
        <v>12470</v>
      </c>
    </row>
    <row r="5012" spans="1:4">
      <c r="A5012" s="83" t="s">
        <v>12468</v>
      </c>
      <c r="B5012" s="83" t="s">
        <v>5012</v>
      </c>
      <c r="C5012" s="83" t="s">
        <v>12471</v>
      </c>
      <c r="D5012" s="83" t="s">
        <v>12470</v>
      </c>
    </row>
    <row r="5013" spans="1:4">
      <c r="A5013" s="83" t="s">
        <v>12468</v>
      </c>
      <c r="B5013" s="83" t="s">
        <v>5015</v>
      </c>
      <c r="C5013" s="83" t="s">
        <v>12472</v>
      </c>
      <c r="D5013" s="83" t="s">
        <v>12470</v>
      </c>
    </row>
    <row r="5014" spans="1:4">
      <c r="A5014" s="83" t="s">
        <v>12468</v>
      </c>
      <c r="B5014" s="83" t="s">
        <v>5010</v>
      </c>
      <c r="C5014" s="83" t="s">
        <v>12473</v>
      </c>
      <c r="D5014" s="83" t="s">
        <v>12470</v>
      </c>
    </row>
    <row r="5015" spans="1:4">
      <c r="A5015" s="83" t="s">
        <v>12474</v>
      </c>
      <c r="B5015" s="83" t="s">
        <v>5017</v>
      </c>
      <c r="C5015" s="83" t="s">
        <v>12475</v>
      </c>
      <c r="D5015" s="83" t="s">
        <v>12476</v>
      </c>
    </row>
    <row r="5016" spans="1:4">
      <c r="A5016" s="83" t="s">
        <v>12474</v>
      </c>
      <c r="B5016" s="83" t="s">
        <v>5012</v>
      </c>
      <c r="C5016" s="83" t="s">
        <v>12477</v>
      </c>
      <c r="D5016" s="83" t="s">
        <v>12476</v>
      </c>
    </row>
    <row r="5017" spans="1:4">
      <c r="A5017" s="83" t="s">
        <v>12474</v>
      </c>
      <c r="B5017" s="83" t="s">
        <v>5015</v>
      </c>
      <c r="C5017" s="83" t="s">
        <v>12478</v>
      </c>
      <c r="D5017" s="83" t="s">
        <v>12476</v>
      </c>
    </row>
    <row r="5018" spans="1:4">
      <c r="A5018" s="83" t="s">
        <v>12474</v>
      </c>
      <c r="B5018" s="83" t="s">
        <v>5010</v>
      </c>
      <c r="C5018" s="83" t="s">
        <v>12479</v>
      </c>
      <c r="D5018" s="83" t="s">
        <v>12476</v>
      </c>
    </row>
    <row r="5019" spans="1:4">
      <c r="A5019" s="83" t="s">
        <v>12480</v>
      </c>
      <c r="B5019" s="83" t="s">
        <v>5017</v>
      </c>
      <c r="C5019" s="83" t="s">
        <v>12481</v>
      </c>
      <c r="D5019" s="83" t="s">
        <v>12482</v>
      </c>
    </row>
    <row r="5020" spans="1:4">
      <c r="A5020" s="83" t="s">
        <v>12480</v>
      </c>
      <c r="B5020" s="83" t="s">
        <v>5012</v>
      </c>
      <c r="C5020" s="83" t="s">
        <v>12483</v>
      </c>
      <c r="D5020" s="83" t="s">
        <v>12482</v>
      </c>
    </row>
    <row r="5021" spans="1:4">
      <c r="A5021" s="83" t="s">
        <v>12480</v>
      </c>
      <c r="B5021" s="83" t="s">
        <v>5015</v>
      </c>
      <c r="C5021" s="83" t="s">
        <v>12484</v>
      </c>
      <c r="D5021" s="83" t="s">
        <v>12482</v>
      </c>
    </row>
    <row r="5022" spans="1:4">
      <c r="A5022" s="83" t="s">
        <v>12480</v>
      </c>
      <c r="B5022" s="83" t="s">
        <v>5010</v>
      </c>
      <c r="C5022" s="83" t="s">
        <v>12485</v>
      </c>
      <c r="D5022" s="83" t="s">
        <v>12482</v>
      </c>
    </row>
    <row r="5023" spans="1:4">
      <c r="A5023" s="83" t="s">
        <v>12486</v>
      </c>
      <c r="B5023" s="83" t="s">
        <v>5017</v>
      </c>
      <c r="C5023" s="83" t="s">
        <v>12487</v>
      </c>
      <c r="D5023" s="83" t="s">
        <v>12488</v>
      </c>
    </row>
    <row r="5024" spans="1:4">
      <c r="A5024" s="83" t="s">
        <v>12486</v>
      </c>
      <c r="B5024" s="83" t="s">
        <v>5012</v>
      </c>
      <c r="C5024" s="83" t="s">
        <v>12489</v>
      </c>
      <c r="D5024" s="83" t="s">
        <v>12488</v>
      </c>
    </row>
    <row r="5025" spans="1:4">
      <c r="A5025" s="83" t="s">
        <v>12486</v>
      </c>
      <c r="B5025" s="83" t="s">
        <v>5015</v>
      </c>
      <c r="C5025" s="83" t="s">
        <v>12490</v>
      </c>
      <c r="D5025" s="83" t="s">
        <v>12488</v>
      </c>
    </row>
    <row r="5026" spans="1:4">
      <c r="A5026" s="83" t="s">
        <v>12486</v>
      </c>
      <c r="B5026" s="83" t="s">
        <v>5010</v>
      </c>
      <c r="C5026" s="83" t="s">
        <v>11620</v>
      </c>
      <c r="D5026" s="83" t="s">
        <v>12488</v>
      </c>
    </row>
    <row r="5027" spans="1:4">
      <c r="A5027" s="83" t="s">
        <v>12491</v>
      </c>
      <c r="B5027" s="83" t="s">
        <v>5017</v>
      </c>
      <c r="C5027" s="83" t="s">
        <v>12492</v>
      </c>
      <c r="D5027" s="83" t="s">
        <v>12493</v>
      </c>
    </row>
    <row r="5028" spans="1:4">
      <c r="A5028" s="83" t="s">
        <v>12491</v>
      </c>
      <c r="B5028" s="83" t="s">
        <v>5012</v>
      </c>
      <c r="C5028" s="83" t="s">
        <v>12494</v>
      </c>
      <c r="D5028" s="83" t="s">
        <v>12493</v>
      </c>
    </row>
    <row r="5029" spans="1:4">
      <c r="A5029" s="83" t="s">
        <v>12491</v>
      </c>
      <c r="B5029" s="83" t="s">
        <v>5015</v>
      </c>
      <c r="C5029" s="83" t="s">
        <v>12495</v>
      </c>
      <c r="D5029" s="83" t="s">
        <v>12493</v>
      </c>
    </row>
    <row r="5030" spans="1:4">
      <c r="A5030" s="83" t="s">
        <v>12491</v>
      </c>
      <c r="B5030" s="83" t="s">
        <v>5010</v>
      </c>
      <c r="C5030" s="83" t="s">
        <v>12496</v>
      </c>
      <c r="D5030" s="83" t="s">
        <v>12493</v>
      </c>
    </row>
    <row r="5031" spans="1:4">
      <c r="A5031" s="83" t="s">
        <v>12497</v>
      </c>
      <c r="B5031" s="83" t="s">
        <v>5017</v>
      </c>
      <c r="C5031" s="83" t="s">
        <v>12498</v>
      </c>
      <c r="D5031" s="83" t="s">
        <v>12499</v>
      </c>
    </row>
    <row r="5032" spans="1:4">
      <c r="A5032" s="83" t="s">
        <v>12497</v>
      </c>
      <c r="B5032" s="83" t="s">
        <v>5012</v>
      </c>
      <c r="C5032" s="83" t="s">
        <v>12500</v>
      </c>
      <c r="D5032" s="83" t="s">
        <v>12499</v>
      </c>
    </row>
    <row r="5033" spans="1:4">
      <c r="A5033" s="83" t="s">
        <v>12497</v>
      </c>
      <c r="B5033" s="83" t="s">
        <v>5015</v>
      </c>
      <c r="C5033" s="83" t="s">
        <v>12501</v>
      </c>
      <c r="D5033" s="83" t="s">
        <v>12499</v>
      </c>
    </row>
    <row r="5034" spans="1:4">
      <c r="A5034" s="83" t="s">
        <v>12497</v>
      </c>
      <c r="B5034" s="83" t="s">
        <v>5010</v>
      </c>
      <c r="C5034" s="83" t="s">
        <v>12502</v>
      </c>
      <c r="D5034" s="83" t="s">
        <v>12499</v>
      </c>
    </row>
    <row r="5035" spans="1:4">
      <c r="A5035" s="83" t="s">
        <v>12503</v>
      </c>
      <c r="B5035" s="83" t="s">
        <v>5017</v>
      </c>
      <c r="C5035" s="83" t="s">
        <v>12504</v>
      </c>
      <c r="D5035" s="83" t="s">
        <v>12505</v>
      </c>
    </row>
    <row r="5036" spans="1:4">
      <c r="A5036" s="83" t="s">
        <v>12503</v>
      </c>
      <c r="B5036" s="83" t="s">
        <v>5012</v>
      </c>
      <c r="C5036" s="83" t="s">
        <v>12506</v>
      </c>
      <c r="D5036" s="83" t="s">
        <v>12505</v>
      </c>
    </row>
    <row r="5037" spans="1:4">
      <c r="A5037" s="83" t="s">
        <v>12503</v>
      </c>
      <c r="B5037" s="83" t="s">
        <v>5015</v>
      </c>
      <c r="C5037" s="83" t="s">
        <v>12507</v>
      </c>
      <c r="D5037" s="83" t="s">
        <v>12505</v>
      </c>
    </row>
    <row r="5038" spans="1:4">
      <c r="A5038" s="83" t="s">
        <v>12503</v>
      </c>
      <c r="B5038" s="83" t="s">
        <v>5010</v>
      </c>
      <c r="C5038" s="83" t="s">
        <v>12508</v>
      </c>
      <c r="D5038" s="83" t="s">
        <v>12505</v>
      </c>
    </row>
    <row r="5039" spans="1:4">
      <c r="A5039" s="83" t="s">
        <v>12509</v>
      </c>
      <c r="B5039" s="83" t="s">
        <v>5017</v>
      </c>
      <c r="C5039" s="83" t="s">
        <v>12510</v>
      </c>
      <c r="D5039" s="83" t="s">
        <v>12511</v>
      </c>
    </row>
    <row r="5040" spans="1:4">
      <c r="A5040" s="83" t="s">
        <v>12509</v>
      </c>
      <c r="B5040" s="83" t="s">
        <v>5012</v>
      </c>
      <c r="C5040" s="83" t="s">
        <v>12512</v>
      </c>
      <c r="D5040" s="83" t="s">
        <v>12511</v>
      </c>
    </row>
    <row r="5041" spans="1:4">
      <c r="A5041" s="83" t="s">
        <v>12509</v>
      </c>
      <c r="B5041" s="83" t="s">
        <v>5015</v>
      </c>
      <c r="C5041" s="83" t="s">
        <v>12513</v>
      </c>
      <c r="D5041" s="83" t="s">
        <v>12511</v>
      </c>
    </row>
    <row r="5042" spans="1:4">
      <c r="A5042" s="83" t="s">
        <v>12509</v>
      </c>
      <c r="B5042" s="83" t="s">
        <v>5010</v>
      </c>
      <c r="C5042" s="83" t="s">
        <v>12514</v>
      </c>
      <c r="D5042" s="83" t="s">
        <v>12511</v>
      </c>
    </row>
    <row r="5043" spans="1:4">
      <c r="A5043" s="83" t="s">
        <v>12515</v>
      </c>
      <c r="B5043" s="83" t="s">
        <v>5017</v>
      </c>
      <c r="C5043" s="83" t="s">
        <v>12516</v>
      </c>
      <c r="D5043" s="83" t="s">
        <v>12517</v>
      </c>
    </row>
    <row r="5044" spans="1:4">
      <c r="A5044" s="83" t="s">
        <v>12515</v>
      </c>
      <c r="B5044" s="83" t="s">
        <v>5012</v>
      </c>
      <c r="C5044" s="83" t="s">
        <v>12423</v>
      </c>
      <c r="D5044" s="83" t="s">
        <v>12517</v>
      </c>
    </row>
    <row r="5045" spans="1:4">
      <c r="A5045" s="83" t="s">
        <v>12515</v>
      </c>
      <c r="B5045" s="83" t="s">
        <v>5015</v>
      </c>
      <c r="C5045" s="83" t="s">
        <v>12518</v>
      </c>
      <c r="D5045" s="83" t="s">
        <v>12517</v>
      </c>
    </row>
    <row r="5046" spans="1:4">
      <c r="A5046" s="83" t="s">
        <v>12515</v>
      </c>
      <c r="B5046" s="83" t="s">
        <v>5010</v>
      </c>
      <c r="C5046" s="83" t="s">
        <v>12519</v>
      </c>
      <c r="D5046" s="83" t="s">
        <v>12517</v>
      </c>
    </row>
    <row r="5047" spans="1:4">
      <c r="A5047" s="83" t="s">
        <v>12520</v>
      </c>
      <c r="B5047" s="83" t="s">
        <v>5017</v>
      </c>
      <c r="C5047" s="83" t="s">
        <v>12521</v>
      </c>
      <c r="D5047" s="83" t="s">
        <v>12522</v>
      </c>
    </row>
    <row r="5048" spans="1:4">
      <c r="A5048" s="83" t="s">
        <v>12520</v>
      </c>
      <c r="B5048" s="83" t="s">
        <v>5012</v>
      </c>
      <c r="C5048" s="83" t="s">
        <v>12523</v>
      </c>
      <c r="D5048" s="83" t="s">
        <v>12522</v>
      </c>
    </row>
    <row r="5049" spans="1:4">
      <c r="A5049" s="83" t="s">
        <v>12520</v>
      </c>
      <c r="B5049" s="83" t="s">
        <v>5015</v>
      </c>
      <c r="C5049" s="83" t="s">
        <v>12524</v>
      </c>
      <c r="D5049" s="83" t="s">
        <v>12522</v>
      </c>
    </row>
    <row r="5050" spans="1:4">
      <c r="A5050" s="83" t="s">
        <v>12520</v>
      </c>
      <c r="B5050" s="83" t="s">
        <v>5010</v>
      </c>
      <c r="C5050" s="83" t="s">
        <v>12525</v>
      </c>
      <c r="D5050" s="83" t="s">
        <v>12522</v>
      </c>
    </row>
    <row r="5051" spans="1:4">
      <c r="A5051" s="83" t="s">
        <v>12526</v>
      </c>
      <c r="B5051" s="83" t="s">
        <v>5017</v>
      </c>
      <c r="C5051" s="83" t="s">
        <v>12409</v>
      </c>
      <c r="D5051" s="83" t="s">
        <v>12527</v>
      </c>
    </row>
    <row r="5052" spans="1:4">
      <c r="A5052" s="83" t="s">
        <v>12526</v>
      </c>
      <c r="B5052" s="83" t="s">
        <v>5012</v>
      </c>
      <c r="C5052" s="83" t="s">
        <v>12528</v>
      </c>
      <c r="D5052" s="83" t="s">
        <v>12527</v>
      </c>
    </row>
    <row r="5053" spans="1:4">
      <c r="A5053" s="83" t="s">
        <v>12526</v>
      </c>
      <c r="B5053" s="83" t="s">
        <v>5015</v>
      </c>
      <c r="C5053" s="83" t="s">
        <v>12529</v>
      </c>
      <c r="D5053" s="83" t="s">
        <v>12527</v>
      </c>
    </row>
    <row r="5054" spans="1:4">
      <c r="A5054" s="83" t="s">
        <v>12526</v>
      </c>
      <c r="B5054" s="83" t="s">
        <v>5010</v>
      </c>
      <c r="C5054" s="83" t="s">
        <v>12530</v>
      </c>
      <c r="D5054" s="83" t="s">
        <v>12527</v>
      </c>
    </row>
    <row r="5055" spans="1:4">
      <c r="A5055" s="83" t="s">
        <v>12531</v>
      </c>
      <c r="B5055" s="83" t="s">
        <v>5017</v>
      </c>
      <c r="C5055" s="83" t="s">
        <v>12532</v>
      </c>
      <c r="D5055" s="83" t="s">
        <v>12533</v>
      </c>
    </row>
    <row r="5056" spans="1:4">
      <c r="A5056" s="83" t="s">
        <v>12531</v>
      </c>
      <c r="B5056" s="83" t="s">
        <v>5012</v>
      </c>
      <c r="C5056" s="83" t="s">
        <v>12534</v>
      </c>
      <c r="D5056" s="83" t="s">
        <v>12533</v>
      </c>
    </row>
    <row r="5057" spans="1:4">
      <c r="A5057" s="83" t="s">
        <v>12531</v>
      </c>
      <c r="B5057" s="83" t="s">
        <v>5015</v>
      </c>
      <c r="C5057" s="83" t="s">
        <v>12535</v>
      </c>
      <c r="D5057" s="83" t="s">
        <v>12533</v>
      </c>
    </row>
    <row r="5058" spans="1:4">
      <c r="A5058" s="83" t="s">
        <v>12531</v>
      </c>
      <c r="B5058" s="83" t="s">
        <v>5010</v>
      </c>
      <c r="C5058" s="83" t="s">
        <v>12536</v>
      </c>
      <c r="D5058" s="83" t="s">
        <v>12533</v>
      </c>
    </row>
    <row r="5059" spans="1:4">
      <c r="A5059" s="83" t="s">
        <v>12537</v>
      </c>
      <c r="B5059" s="83" t="s">
        <v>5017</v>
      </c>
      <c r="C5059" s="83" t="s">
        <v>12538</v>
      </c>
      <c r="D5059" s="83" t="s">
        <v>12539</v>
      </c>
    </row>
    <row r="5060" spans="1:4">
      <c r="A5060" s="83" t="s">
        <v>12537</v>
      </c>
      <c r="B5060" s="83" t="s">
        <v>5012</v>
      </c>
      <c r="C5060" s="83" t="s">
        <v>12540</v>
      </c>
      <c r="D5060" s="83" t="s">
        <v>12539</v>
      </c>
    </row>
    <row r="5061" spans="1:4">
      <c r="A5061" s="83" t="s">
        <v>12537</v>
      </c>
      <c r="B5061" s="83" t="s">
        <v>5015</v>
      </c>
      <c r="C5061" s="83" t="s">
        <v>12541</v>
      </c>
      <c r="D5061" s="83" t="s">
        <v>12539</v>
      </c>
    </row>
    <row r="5062" spans="1:4">
      <c r="A5062" s="83" t="s">
        <v>12537</v>
      </c>
      <c r="B5062" s="83" t="s">
        <v>5010</v>
      </c>
      <c r="C5062" s="83" t="s">
        <v>12542</v>
      </c>
      <c r="D5062" s="83" t="s">
        <v>12539</v>
      </c>
    </row>
    <row r="5063" spans="1:4">
      <c r="A5063" s="83" t="s">
        <v>12543</v>
      </c>
      <c r="B5063" s="83" t="s">
        <v>5017</v>
      </c>
      <c r="C5063" s="83" t="s">
        <v>12544</v>
      </c>
      <c r="D5063" s="83" t="s">
        <v>12545</v>
      </c>
    </row>
    <row r="5064" spans="1:4">
      <c r="A5064" s="83" t="s">
        <v>12543</v>
      </c>
      <c r="B5064" s="83" t="s">
        <v>5012</v>
      </c>
      <c r="C5064" s="83" t="s">
        <v>12546</v>
      </c>
      <c r="D5064" s="83" t="s">
        <v>12545</v>
      </c>
    </row>
    <row r="5065" spans="1:4">
      <c r="A5065" s="83" t="s">
        <v>12543</v>
      </c>
      <c r="B5065" s="83" t="s">
        <v>5015</v>
      </c>
      <c r="C5065" s="83" t="s">
        <v>12547</v>
      </c>
      <c r="D5065" s="83" t="s">
        <v>12545</v>
      </c>
    </row>
    <row r="5066" spans="1:4">
      <c r="A5066" s="83" t="s">
        <v>12543</v>
      </c>
      <c r="B5066" s="83" t="s">
        <v>5010</v>
      </c>
      <c r="C5066" s="83" t="s">
        <v>12548</v>
      </c>
      <c r="D5066" s="83" t="s">
        <v>12545</v>
      </c>
    </row>
    <row r="5067" spans="1:4">
      <c r="A5067" s="83" t="s">
        <v>12549</v>
      </c>
      <c r="B5067" s="83" t="s">
        <v>5017</v>
      </c>
      <c r="C5067" s="83" t="s">
        <v>12550</v>
      </c>
      <c r="D5067" s="83" t="s">
        <v>12551</v>
      </c>
    </row>
    <row r="5068" spans="1:4">
      <c r="A5068" s="83" t="s">
        <v>12549</v>
      </c>
      <c r="B5068" s="83" t="s">
        <v>5012</v>
      </c>
      <c r="C5068" s="83" t="s">
        <v>12552</v>
      </c>
      <c r="D5068" s="83" t="s">
        <v>12551</v>
      </c>
    </row>
    <row r="5069" spans="1:4">
      <c r="A5069" s="83" t="s">
        <v>12549</v>
      </c>
      <c r="B5069" s="83" t="s">
        <v>5015</v>
      </c>
      <c r="C5069" s="83" t="s">
        <v>12553</v>
      </c>
      <c r="D5069" s="83" t="s">
        <v>12551</v>
      </c>
    </row>
    <row r="5070" spans="1:4">
      <c r="A5070" s="83" t="s">
        <v>12549</v>
      </c>
      <c r="B5070" s="83" t="s">
        <v>5010</v>
      </c>
      <c r="C5070" s="83" t="s">
        <v>12554</v>
      </c>
      <c r="D5070" s="83" t="s">
        <v>12551</v>
      </c>
    </row>
    <row r="5071" spans="1:4">
      <c r="A5071" s="83" t="s">
        <v>12555</v>
      </c>
      <c r="B5071" s="83" t="s">
        <v>5017</v>
      </c>
      <c r="C5071" s="83" t="s">
        <v>12556</v>
      </c>
      <c r="D5071" s="83" t="s">
        <v>12557</v>
      </c>
    </row>
    <row r="5072" spans="1:4">
      <c r="A5072" s="83" t="s">
        <v>12555</v>
      </c>
      <c r="B5072" s="83" t="s">
        <v>5012</v>
      </c>
      <c r="C5072" s="83" t="s">
        <v>12558</v>
      </c>
      <c r="D5072" s="83" t="s">
        <v>12557</v>
      </c>
    </row>
    <row r="5073" spans="1:4">
      <c r="A5073" s="83" t="s">
        <v>12555</v>
      </c>
      <c r="B5073" s="83" t="s">
        <v>5015</v>
      </c>
      <c r="C5073" s="83" t="s">
        <v>12559</v>
      </c>
      <c r="D5073" s="83" t="s">
        <v>12557</v>
      </c>
    </row>
    <row r="5074" spans="1:4">
      <c r="A5074" s="83" t="s">
        <v>12555</v>
      </c>
      <c r="B5074" s="83" t="s">
        <v>5010</v>
      </c>
      <c r="C5074" s="83" t="s">
        <v>12560</v>
      </c>
      <c r="D5074" s="83" t="s">
        <v>12557</v>
      </c>
    </row>
    <row r="5075" spans="1:4">
      <c r="A5075" s="83" t="s">
        <v>12561</v>
      </c>
      <c r="B5075" s="83" t="s">
        <v>5017</v>
      </c>
      <c r="C5075" s="83" t="s">
        <v>12562</v>
      </c>
      <c r="D5075" s="83" t="s">
        <v>12563</v>
      </c>
    </row>
    <row r="5076" spans="1:4">
      <c r="A5076" s="83" t="s">
        <v>12561</v>
      </c>
      <c r="B5076" s="83" t="s">
        <v>5012</v>
      </c>
      <c r="C5076" s="83" t="s">
        <v>12564</v>
      </c>
      <c r="D5076" s="83" t="s">
        <v>12563</v>
      </c>
    </row>
    <row r="5077" spans="1:4">
      <c r="A5077" s="83" t="s">
        <v>12561</v>
      </c>
      <c r="B5077" s="83" t="s">
        <v>5015</v>
      </c>
      <c r="C5077" s="83" t="s">
        <v>12565</v>
      </c>
      <c r="D5077" s="83" t="s">
        <v>12563</v>
      </c>
    </row>
    <row r="5078" spans="1:4">
      <c r="A5078" s="83" t="s">
        <v>12561</v>
      </c>
      <c r="B5078" s="83" t="s">
        <v>5010</v>
      </c>
      <c r="C5078" s="83" t="s">
        <v>12566</v>
      </c>
      <c r="D5078" s="83" t="s">
        <v>12563</v>
      </c>
    </row>
    <row r="5079" spans="1:4">
      <c r="A5079" s="83" t="s">
        <v>12567</v>
      </c>
      <c r="B5079" s="83" t="s">
        <v>5017</v>
      </c>
      <c r="C5079" s="83" t="s">
        <v>12568</v>
      </c>
      <c r="D5079" s="83" t="s">
        <v>12569</v>
      </c>
    </row>
    <row r="5080" spans="1:4">
      <c r="A5080" s="83" t="s">
        <v>12567</v>
      </c>
      <c r="B5080" s="83" t="s">
        <v>5012</v>
      </c>
      <c r="C5080" s="83" t="s">
        <v>12570</v>
      </c>
      <c r="D5080" s="83" t="s">
        <v>12569</v>
      </c>
    </row>
    <row r="5081" spans="1:4">
      <c r="A5081" s="83" t="s">
        <v>12567</v>
      </c>
      <c r="B5081" s="83" t="s">
        <v>5015</v>
      </c>
      <c r="C5081" s="83" t="s">
        <v>12571</v>
      </c>
      <c r="D5081" s="83" t="s">
        <v>12569</v>
      </c>
    </row>
    <row r="5082" spans="1:4">
      <c r="A5082" s="83" t="s">
        <v>12567</v>
      </c>
      <c r="B5082" s="83" t="s">
        <v>5010</v>
      </c>
      <c r="C5082" s="83" t="s">
        <v>12572</v>
      </c>
      <c r="D5082" s="83" t="s">
        <v>12569</v>
      </c>
    </row>
    <row r="5083" spans="1:4">
      <c r="A5083" s="83" t="s">
        <v>12573</v>
      </c>
      <c r="B5083" s="83" t="s">
        <v>5017</v>
      </c>
      <c r="C5083" s="83" t="s">
        <v>12574</v>
      </c>
      <c r="D5083" s="83" t="s">
        <v>12575</v>
      </c>
    </row>
    <row r="5084" spans="1:4">
      <c r="A5084" s="83" t="s">
        <v>12573</v>
      </c>
      <c r="B5084" s="83" t="s">
        <v>5012</v>
      </c>
      <c r="C5084" s="83" t="s">
        <v>12576</v>
      </c>
      <c r="D5084" s="83" t="s">
        <v>12575</v>
      </c>
    </row>
    <row r="5085" spans="1:4">
      <c r="A5085" s="83" t="s">
        <v>12573</v>
      </c>
      <c r="B5085" s="83" t="s">
        <v>5015</v>
      </c>
      <c r="C5085" s="83" t="s">
        <v>12577</v>
      </c>
      <c r="D5085" s="83" t="s">
        <v>12575</v>
      </c>
    </row>
    <row r="5086" spans="1:4">
      <c r="A5086" s="83" t="s">
        <v>12573</v>
      </c>
      <c r="B5086" s="83" t="s">
        <v>5010</v>
      </c>
      <c r="C5086" s="83" t="s">
        <v>12578</v>
      </c>
      <c r="D5086" s="83" t="s">
        <v>12575</v>
      </c>
    </row>
    <row r="5087" spans="1:4">
      <c r="A5087" s="83" t="s">
        <v>12579</v>
      </c>
      <c r="B5087" s="83" t="s">
        <v>5017</v>
      </c>
      <c r="C5087" s="83" t="s">
        <v>12580</v>
      </c>
      <c r="D5087" s="83" t="s">
        <v>12581</v>
      </c>
    </row>
    <row r="5088" spans="1:4">
      <c r="A5088" s="83" t="s">
        <v>12579</v>
      </c>
      <c r="B5088" s="83" t="s">
        <v>5012</v>
      </c>
      <c r="C5088" s="83" t="s">
        <v>12582</v>
      </c>
      <c r="D5088" s="83" t="s">
        <v>12581</v>
      </c>
    </row>
    <row r="5089" spans="1:4">
      <c r="A5089" s="83" t="s">
        <v>12579</v>
      </c>
      <c r="B5089" s="83" t="s">
        <v>5015</v>
      </c>
      <c r="C5089" s="83" t="s">
        <v>12583</v>
      </c>
      <c r="D5089" s="83" t="s">
        <v>12581</v>
      </c>
    </row>
    <row r="5090" spans="1:4">
      <c r="A5090" s="83" t="s">
        <v>12579</v>
      </c>
      <c r="B5090" s="83" t="s">
        <v>5010</v>
      </c>
      <c r="C5090" s="83" t="s">
        <v>12584</v>
      </c>
      <c r="D5090" s="83" t="s">
        <v>12581</v>
      </c>
    </row>
    <row r="5091" spans="1:4">
      <c r="A5091" s="83" t="s">
        <v>12585</v>
      </c>
      <c r="B5091" s="83" t="s">
        <v>5017</v>
      </c>
      <c r="C5091" s="83" t="s">
        <v>12586</v>
      </c>
      <c r="D5091" s="83" t="s">
        <v>12587</v>
      </c>
    </row>
    <row r="5092" spans="1:4">
      <c r="A5092" s="83" t="s">
        <v>12585</v>
      </c>
      <c r="B5092" s="83" t="s">
        <v>5012</v>
      </c>
      <c r="C5092" s="83" t="s">
        <v>12588</v>
      </c>
      <c r="D5092" s="83" t="s">
        <v>12587</v>
      </c>
    </row>
    <row r="5093" spans="1:4">
      <c r="A5093" s="83" t="s">
        <v>12585</v>
      </c>
      <c r="B5093" s="83" t="s">
        <v>5015</v>
      </c>
      <c r="C5093" s="83" t="s">
        <v>12589</v>
      </c>
      <c r="D5093" s="83" t="s">
        <v>12587</v>
      </c>
    </row>
    <row r="5094" spans="1:4">
      <c r="A5094" s="83" t="s">
        <v>12585</v>
      </c>
      <c r="B5094" s="83" t="s">
        <v>5010</v>
      </c>
      <c r="C5094" s="83" t="s">
        <v>12590</v>
      </c>
      <c r="D5094" s="83" t="s">
        <v>12587</v>
      </c>
    </row>
    <row r="5095" spans="1:4">
      <c r="A5095" s="83" t="s">
        <v>12591</v>
      </c>
      <c r="B5095" s="83" t="s">
        <v>5017</v>
      </c>
      <c r="C5095" s="83" t="s">
        <v>12592</v>
      </c>
      <c r="D5095" s="83" t="s">
        <v>12593</v>
      </c>
    </row>
    <row r="5096" spans="1:4">
      <c r="A5096" s="83" t="s">
        <v>12591</v>
      </c>
      <c r="B5096" s="83" t="s">
        <v>5012</v>
      </c>
      <c r="C5096" s="83" t="s">
        <v>12594</v>
      </c>
      <c r="D5096" s="83" t="s">
        <v>12593</v>
      </c>
    </row>
    <row r="5097" spans="1:4">
      <c r="A5097" s="83" t="s">
        <v>12591</v>
      </c>
      <c r="B5097" s="83" t="s">
        <v>5015</v>
      </c>
      <c r="C5097" s="83" t="s">
        <v>12595</v>
      </c>
      <c r="D5097" s="83" t="s">
        <v>12593</v>
      </c>
    </row>
    <row r="5098" spans="1:4">
      <c r="A5098" s="83" t="s">
        <v>12591</v>
      </c>
      <c r="B5098" s="83" t="s">
        <v>5010</v>
      </c>
      <c r="C5098" s="83" t="s">
        <v>12596</v>
      </c>
      <c r="D5098" s="83" t="s">
        <v>12593</v>
      </c>
    </row>
    <row r="5099" spans="1:4">
      <c r="A5099" s="83" t="s">
        <v>12597</v>
      </c>
      <c r="B5099" s="83" t="s">
        <v>5017</v>
      </c>
      <c r="C5099" s="83" t="s">
        <v>12598</v>
      </c>
      <c r="D5099" s="83" t="s">
        <v>12599</v>
      </c>
    </row>
    <row r="5100" spans="1:4">
      <c r="A5100" s="83" t="s">
        <v>12597</v>
      </c>
      <c r="B5100" s="83" t="s">
        <v>5012</v>
      </c>
      <c r="C5100" s="83" t="s">
        <v>12600</v>
      </c>
      <c r="D5100" s="83" t="s">
        <v>12599</v>
      </c>
    </row>
    <row r="5101" spans="1:4">
      <c r="A5101" s="83" t="s">
        <v>12597</v>
      </c>
      <c r="B5101" s="83" t="s">
        <v>5015</v>
      </c>
      <c r="C5101" s="83" t="s">
        <v>12601</v>
      </c>
      <c r="D5101" s="83" t="s">
        <v>12599</v>
      </c>
    </row>
    <row r="5102" spans="1:4">
      <c r="A5102" s="83" t="s">
        <v>12597</v>
      </c>
      <c r="B5102" s="83" t="s">
        <v>5010</v>
      </c>
      <c r="C5102" s="83" t="s">
        <v>12602</v>
      </c>
      <c r="D5102" s="83" t="s">
        <v>12599</v>
      </c>
    </row>
    <row r="5103" spans="1:4">
      <c r="A5103" s="83" t="s">
        <v>12603</v>
      </c>
      <c r="B5103" s="83" t="s">
        <v>5017</v>
      </c>
      <c r="C5103" s="83" t="s">
        <v>12604</v>
      </c>
      <c r="D5103" s="83" t="s">
        <v>12605</v>
      </c>
    </row>
    <row r="5104" spans="1:4">
      <c r="A5104" s="83" t="s">
        <v>12603</v>
      </c>
      <c r="B5104" s="83" t="s">
        <v>5012</v>
      </c>
      <c r="C5104" s="83" t="s">
        <v>12606</v>
      </c>
      <c r="D5104" s="83" t="s">
        <v>12605</v>
      </c>
    </row>
    <row r="5105" spans="1:4">
      <c r="A5105" s="83" t="s">
        <v>12603</v>
      </c>
      <c r="B5105" s="83" t="s">
        <v>5015</v>
      </c>
      <c r="C5105" s="83" t="s">
        <v>12607</v>
      </c>
      <c r="D5105" s="83" t="s">
        <v>12605</v>
      </c>
    </row>
    <row r="5106" spans="1:4">
      <c r="A5106" s="83" t="s">
        <v>12603</v>
      </c>
      <c r="B5106" s="83" t="s">
        <v>5010</v>
      </c>
      <c r="C5106" s="83" t="s">
        <v>12608</v>
      </c>
      <c r="D5106" s="83" t="s">
        <v>12605</v>
      </c>
    </row>
    <row r="5107" spans="1:4">
      <c r="A5107" s="83" t="s">
        <v>12609</v>
      </c>
      <c r="B5107" s="83" t="s">
        <v>5017</v>
      </c>
      <c r="C5107" s="83" t="s">
        <v>12610</v>
      </c>
      <c r="D5107" s="83" t="s">
        <v>12611</v>
      </c>
    </row>
    <row r="5108" spans="1:4">
      <c r="A5108" s="83" t="s">
        <v>12609</v>
      </c>
      <c r="B5108" s="83" t="s">
        <v>5012</v>
      </c>
      <c r="C5108" s="83" t="s">
        <v>12612</v>
      </c>
      <c r="D5108" s="83" t="s">
        <v>12611</v>
      </c>
    </row>
    <row r="5109" spans="1:4">
      <c r="A5109" s="83" t="s">
        <v>12609</v>
      </c>
      <c r="B5109" s="83" t="s">
        <v>5015</v>
      </c>
      <c r="C5109" s="83" t="s">
        <v>12613</v>
      </c>
      <c r="D5109" s="83" t="s">
        <v>12611</v>
      </c>
    </row>
    <row r="5110" spans="1:4">
      <c r="A5110" s="83" t="s">
        <v>12609</v>
      </c>
      <c r="B5110" s="83" t="s">
        <v>5010</v>
      </c>
      <c r="C5110" s="83" t="s">
        <v>12614</v>
      </c>
      <c r="D5110" s="83" t="s">
        <v>12611</v>
      </c>
    </row>
    <row r="5111" spans="1:4">
      <c r="A5111" s="83" t="s">
        <v>12615</v>
      </c>
      <c r="B5111" s="83" t="s">
        <v>5017</v>
      </c>
      <c r="C5111" s="83" t="s">
        <v>12616</v>
      </c>
      <c r="D5111" s="83" t="s">
        <v>12617</v>
      </c>
    </row>
    <row r="5112" spans="1:4">
      <c r="A5112" s="83" t="s">
        <v>12615</v>
      </c>
      <c r="B5112" s="83" t="s">
        <v>5012</v>
      </c>
      <c r="C5112" s="83" t="s">
        <v>12618</v>
      </c>
      <c r="D5112" s="83" t="s">
        <v>12617</v>
      </c>
    </row>
    <row r="5113" spans="1:4">
      <c r="A5113" s="83" t="s">
        <v>12615</v>
      </c>
      <c r="B5113" s="83" t="s">
        <v>5015</v>
      </c>
      <c r="C5113" s="83" t="s">
        <v>12619</v>
      </c>
      <c r="D5113" s="83" t="s">
        <v>12617</v>
      </c>
    </row>
    <row r="5114" spans="1:4">
      <c r="A5114" s="83" t="s">
        <v>12615</v>
      </c>
      <c r="B5114" s="83" t="s">
        <v>5010</v>
      </c>
      <c r="C5114" s="83" t="s">
        <v>12620</v>
      </c>
      <c r="D5114" s="83" t="s">
        <v>12617</v>
      </c>
    </row>
    <row r="5115" spans="1:4">
      <c r="A5115" s="83" t="s">
        <v>12621</v>
      </c>
      <c r="B5115" s="83" t="s">
        <v>5017</v>
      </c>
      <c r="C5115" s="83" t="s">
        <v>12622</v>
      </c>
      <c r="D5115" s="83" t="s">
        <v>12623</v>
      </c>
    </row>
    <row r="5116" spans="1:4">
      <c r="A5116" s="83" t="s">
        <v>12621</v>
      </c>
      <c r="B5116" s="83" t="s">
        <v>5012</v>
      </c>
      <c r="C5116" s="83" t="s">
        <v>12624</v>
      </c>
      <c r="D5116" s="83" t="s">
        <v>12623</v>
      </c>
    </row>
    <row r="5117" spans="1:4">
      <c r="A5117" s="83" t="s">
        <v>12621</v>
      </c>
      <c r="B5117" s="83" t="s">
        <v>5015</v>
      </c>
      <c r="C5117" s="83" t="s">
        <v>12625</v>
      </c>
      <c r="D5117" s="83" t="s">
        <v>12623</v>
      </c>
    </row>
    <row r="5118" spans="1:4">
      <c r="A5118" s="83" t="s">
        <v>12621</v>
      </c>
      <c r="B5118" s="83" t="s">
        <v>5010</v>
      </c>
      <c r="C5118" s="83" t="s">
        <v>12626</v>
      </c>
      <c r="D5118" s="83" t="s">
        <v>12623</v>
      </c>
    </row>
    <row r="5119" spans="1:4">
      <c r="A5119" s="83" t="s">
        <v>12627</v>
      </c>
      <c r="B5119" s="83" t="s">
        <v>5017</v>
      </c>
      <c r="C5119" s="83" t="s">
        <v>12628</v>
      </c>
      <c r="D5119" s="83" t="s">
        <v>12629</v>
      </c>
    </row>
    <row r="5120" spans="1:4">
      <c r="A5120" s="83" t="s">
        <v>12627</v>
      </c>
      <c r="B5120" s="83" t="s">
        <v>5012</v>
      </c>
      <c r="C5120" s="83" t="s">
        <v>12630</v>
      </c>
      <c r="D5120" s="83" t="s">
        <v>12629</v>
      </c>
    </row>
    <row r="5121" spans="1:4">
      <c r="A5121" s="83" t="s">
        <v>12627</v>
      </c>
      <c r="B5121" s="83" t="s">
        <v>5015</v>
      </c>
      <c r="C5121" s="83" t="s">
        <v>12631</v>
      </c>
      <c r="D5121" s="83" t="s">
        <v>12629</v>
      </c>
    </row>
    <row r="5122" spans="1:4">
      <c r="A5122" s="83" t="s">
        <v>12627</v>
      </c>
      <c r="B5122" s="83" t="s">
        <v>5010</v>
      </c>
      <c r="C5122" s="83" t="s">
        <v>12632</v>
      </c>
      <c r="D5122" s="83" t="s">
        <v>12629</v>
      </c>
    </row>
    <row r="5123" spans="1:4">
      <c r="A5123" s="83" t="s">
        <v>12633</v>
      </c>
      <c r="B5123" s="83" t="s">
        <v>5017</v>
      </c>
      <c r="C5123" s="83" t="s">
        <v>12634</v>
      </c>
      <c r="D5123" s="83" t="s">
        <v>12635</v>
      </c>
    </row>
    <row r="5124" spans="1:4">
      <c r="A5124" s="83" t="s">
        <v>12633</v>
      </c>
      <c r="B5124" s="83" t="s">
        <v>5012</v>
      </c>
      <c r="C5124" s="83" t="s">
        <v>12636</v>
      </c>
      <c r="D5124" s="83" t="s">
        <v>12635</v>
      </c>
    </row>
    <row r="5125" spans="1:4">
      <c r="A5125" s="83" t="s">
        <v>12633</v>
      </c>
      <c r="B5125" s="83" t="s">
        <v>5015</v>
      </c>
      <c r="C5125" s="83" t="s">
        <v>12637</v>
      </c>
      <c r="D5125" s="83" t="s">
        <v>12635</v>
      </c>
    </row>
    <row r="5126" spans="1:4">
      <c r="A5126" s="83" t="s">
        <v>12633</v>
      </c>
      <c r="B5126" s="83" t="s">
        <v>5010</v>
      </c>
      <c r="C5126" s="83" t="s">
        <v>12638</v>
      </c>
      <c r="D5126" s="83" t="s">
        <v>12635</v>
      </c>
    </row>
    <row r="5127" spans="1:4">
      <c r="A5127" s="83" t="s">
        <v>12639</v>
      </c>
      <c r="B5127" s="83" t="s">
        <v>5017</v>
      </c>
      <c r="C5127" s="83" t="s">
        <v>12640</v>
      </c>
      <c r="D5127" s="83" t="s">
        <v>12641</v>
      </c>
    </row>
    <row r="5128" spans="1:4">
      <c r="A5128" s="83" t="s">
        <v>12639</v>
      </c>
      <c r="B5128" s="83" t="s">
        <v>5012</v>
      </c>
      <c r="C5128" s="83" t="s">
        <v>12642</v>
      </c>
      <c r="D5128" s="83" t="s">
        <v>12641</v>
      </c>
    </row>
    <row r="5129" spans="1:4">
      <c r="A5129" s="83" t="s">
        <v>12639</v>
      </c>
      <c r="B5129" s="83" t="s">
        <v>5015</v>
      </c>
      <c r="C5129" s="83" t="s">
        <v>12643</v>
      </c>
      <c r="D5129" s="83" t="s">
        <v>12641</v>
      </c>
    </row>
    <row r="5130" spans="1:4">
      <c r="A5130" s="83" t="s">
        <v>12639</v>
      </c>
      <c r="B5130" s="83" t="s">
        <v>5010</v>
      </c>
      <c r="C5130" s="83" t="s">
        <v>12644</v>
      </c>
      <c r="D5130" s="83" t="s">
        <v>12641</v>
      </c>
    </row>
    <row r="5131" spans="1:4">
      <c r="A5131" s="83" t="s">
        <v>12645</v>
      </c>
      <c r="B5131" s="83" t="s">
        <v>5017</v>
      </c>
      <c r="C5131" s="83" t="s">
        <v>12646</v>
      </c>
      <c r="D5131" s="83" t="s">
        <v>12647</v>
      </c>
    </row>
    <row r="5132" spans="1:4">
      <c r="A5132" s="83" t="s">
        <v>12645</v>
      </c>
      <c r="B5132" s="83" t="s">
        <v>5012</v>
      </c>
      <c r="C5132" s="83" t="s">
        <v>12648</v>
      </c>
      <c r="D5132" s="83" t="s">
        <v>12647</v>
      </c>
    </row>
    <row r="5133" spans="1:4">
      <c r="A5133" s="83" t="s">
        <v>12645</v>
      </c>
      <c r="B5133" s="83" t="s">
        <v>5015</v>
      </c>
      <c r="C5133" s="83" t="s">
        <v>12649</v>
      </c>
      <c r="D5133" s="83" t="s">
        <v>12647</v>
      </c>
    </row>
    <row r="5134" spans="1:4">
      <c r="A5134" s="83" t="s">
        <v>12645</v>
      </c>
      <c r="B5134" s="83" t="s">
        <v>5010</v>
      </c>
      <c r="C5134" s="83" t="s">
        <v>12650</v>
      </c>
      <c r="D5134" s="83" t="s">
        <v>12647</v>
      </c>
    </row>
    <row r="5135" spans="1:4">
      <c r="A5135" s="83" t="s">
        <v>12651</v>
      </c>
      <c r="B5135" s="83" t="s">
        <v>5017</v>
      </c>
      <c r="C5135" s="83" t="s">
        <v>12652</v>
      </c>
      <c r="D5135" s="83" t="s">
        <v>12653</v>
      </c>
    </row>
    <row r="5136" spans="1:4">
      <c r="A5136" s="83" t="s">
        <v>12651</v>
      </c>
      <c r="B5136" s="83" t="s">
        <v>5012</v>
      </c>
      <c r="C5136" s="83" t="s">
        <v>12654</v>
      </c>
      <c r="D5136" s="83" t="s">
        <v>12653</v>
      </c>
    </row>
    <row r="5137" spans="1:4">
      <c r="A5137" s="83" t="s">
        <v>12651</v>
      </c>
      <c r="B5137" s="83" t="s">
        <v>5015</v>
      </c>
      <c r="C5137" s="83" t="s">
        <v>12655</v>
      </c>
      <c r="D5137" s="83" t="s">
        <v>12653</v>
      </c>
    </row>
    <row r="5138" spans="1:4">
      <c r="A5138" s="83" t="s">
        <v>12651</v>
      </c>
      <c r="B5138" s="83" t="s">
        <v>5010</v>
      </c>
      <c r="C5138" s="83" t="s">
        <v>12656</v>
      </c>
      <c r="D5138" s="83" t="s">
        <v>12653</v>
      </c>
    </row>
    <row r="5139" spans="1:4">
      <c r="A5139" s="83" t="s">
        <v>12657</v>
      </c>
      <c r="B5139" s="83" t="s">
        <v>5017</v>
      </c>
      <c r="C5139" s="83" t="s">
        <v>12658</v>
      </c>
      <c r="D5139" s="83" t="s">
        <v>12659</v>
      </c>
    </row>
    <row r="5140" spans="1:4">
      <c r="A5140" s="83" t="s">
        <v>12657</v>
      </c>
      <c r="B5140" s="83" t="s">
        <v>5012</v>
      </c>
      <c r="C5140" s="83" t="s">
        <v>12660</v>
      </c>
      <c r="D5140" s="83" t="s">
        <v>12659</v>
      </c>
    </row>
    <row r="5141" spans="1:4">
      <c r="A5141" s="83" t="s">
        <v>12657</v>
      </c>
      <c r="B5141" s="83" t="s">
        <v>5015</v>
      </c>
      <c r="C5141" s="83" t="s">
        <v>12661</v>
      </c>
      <c r="D5141" s="83" t="s">
        <v>12659</v>
      </c>
    </row>
    <row r="5142" spans="1:4">
      <c r="A5142" s="83" t="s">
        <v>12657</v>
      </c>
      <c r="B5142" s="83" t="s">
        <v>5010</v>
      </c>
      <c r="C5142" s="83" t="s">
        <v>12662</v>
      </c>
      <c r="D5142" s="83" t="s">
        <v>12659</v>
      </c>
    </row>
    <row r="5143" spans="1:4">
      <c r="A5143" s="83" t="s">
        <v>12663</v>
      </c>
      <c r="B5143" s="83" t="s">
        <v>5017</v>
      </c>
      <c r="C5143" s="83" t="s">
        <v>12664</v>
      </c>
      <c r="D5143" s="83" t="s">
        <v>12665</v>
      </c>
    </row>
    <row r="5144" spans="1:4">
      <c r="A5144" s="83" t="s">
        <v>12663</v>
      </c>
      <c r="B5144" s="83" t="s">
        <v>5012</v>
      </c>
      <c r="C5144" s="83" t="s">
        <v>12666</v>
      </c>
      <c r="D5144" s="83" t="s">
        <v>12665</v>
      </c>
    </row>
    <row r="5145" spans="1:4">
      <c r="A5145" s="83" t="s">
        <v>12663</v>
      </c>
      <c r="B5145" s="83" t="s">
        <v>5015</v>
      </c>
      <c r="C5145" s="83" t="s">
        <v>12667</v>
      </c>
      <c r="D5145" s="83" t="s">
        <v>12665</v>
      </c>
    </row>
    <row r="5146" spans="1:4">
      <c r="A5146" s="83" t="s">
        <v>12663</v>
      </c>
      <c r="B5146" s="83" t="s">
        <v>5010</v>
      </c>
      <c r="C5146" s="83" t="s">
        <v>12668</v>
      </c>
      <c r="D5146" s="83" t="s">
        <v>12665</v>
      </c>
    </row>
    <row r="5147" spans="1:4">
      <c r="A5147" s="83" t="s">
        <v>12669</v>
      </c>
      <c r="B5147" s="83" t="s">
        <v>5017</v>
      </c>
      <c r="C5147" s="83" t="s">
        <v>12670</v>
      </c>
      <c r="D5147" s="83" t="s">
        <v>12671</v>
      </c>
    </row>
    <row r="5148" spans="1:4">
      <c r="A5148" s="83" t="s">
        <v>12669</v>
      </c>
      <c r="B5148" s="83" t="s">
        <v>5012</v>
      </c>
      <c r="C5148" s="83" t="s">
        <v>12672</v>
      </c>
      <c r="D5148" s="83" t="s">
        <v>12671</v>
      </c>
    </row>
    <row r="5149" spans="1:4">
      <c r="A5149" s="83" t="s">
        <v>12669</v>
      </c>
      <c r="B5149" s="83" t="s">
        <v>5015</v>
      </c>
      <c r="C5149" s="83" t="s">
        <v>12673</v>
      </c>
      <c r="D5149" s="83" t="s">
        <v>12671</v>
      </c>
    </row>
    <row r="5150" spans="1:4">
      <c r="A5150" s="83" t="s">
        <v>12669</v>
      </c>
      <c r="B5150" s="83" t="s">
        <v>5010</v>
      </c>
      <c r="C5150" s="83" t="s">
        <v>12674</v>
      </c>
      <c r="D5150" s="83" t="s">
        <v>12671</v>
      </c>
    </row>
    <row r="5151" spans="1:4">
      <c r="A5151" s="83" t="s">
        <v>12675</v>
      </c>
      <c r="B5151" s="83" t="s">
        <v>5017</v>
      </c>
      <c r="C5151" s="83" t="s">
        <v>12676</v>
      </c>
      <c r="D5151" s="83" t="s">
        <v>12677</v>
      </c>
    </row>
    <row r="5152" spans="1:4">
      <c r="A5152" s="83" t="s">
        <v>12675</v>
      </c>
      <c r="B5152" s="83" t="s">
        <v>5012</v>
      </c>
      <c r="C5152" s="83" t="s">
        <v>12678</v>
      </c>
      <c r="D5152" s="83" t="s">
        <v>12677</v>
      </c>
    </row>
    <row r="5153" spans="1:4">
      <c r="A5153" s="83" t="s">
        <v>12675</v>
      </c>
      <c r="B5153" s="83" t="s">
        <v>5015</v>
      </c>
      <c r="C5153" s="83" t="s">
        <v>12679</v>
      </c>
      <c r="D5153" s="83" t="s">
        <v>12677</v>
      </c>
    </row>
    <row r="5154" spans="1:4">
      <c r="A5154" s="83" t="s">
        <v>12675</v>
      </c>
      <c r="B5154" s="83" t="s">
        <v>5010</v>
      </c>
      <c r="C5154" s="83" t="s">
        <v>12680</v>
      </c>
      <c r="D5154" s="83" t="s">
        <v>12677</v>
      </c>
    </row>
    <row r="5155" spans="1:4">
      <c r="A5155" s="83" t="s">
        <v>12681</v>
      </c>
      <c r="B5155" s="83" t="s">
        <v>5017</v>
      </c>
      <c r="C5155" s="83" t="s">
        <v>12682</v>
      </c>
      <c r="D5155" s="83" t="s">
        <v>12683</v>
      </c>
    </row>
    <row r="5156" spans="1:4">
      <c r="A5156" s="83" t="s">
        <v>12681</v>
      </c>
      <c r="B5156" s="83" t="s">
        <v>5012</v>
      </c>
      <c r="C5156" s="83" t="s">
        <v>12684</v>
      </c>
      <c r="D5156" s="83" t="s">
        <v>12683</v>
      </c>
    </row>
    <row r="5157" spans="1:4">
      <c r="A5157" s="83" t="s">
        <v>12681</v>
      </c>
      <c r="B5157" s="83" t="s">
        <v>5015</v>
      </c>
      <c r="C5157" s="83" t="s">
        <v>12685</v>
      </c>
      <c r="D5157" s="83" t="s">
        <v>12683</v>
      </c>
    </row>
    <row r="5158" spans="1:4">
      <c r="A5158" s="83" t="s">
        <v>12681</v>
      </c>
      <c r="B5158" s="83" t="s">
        <v>5010</v>
      </c>
      <c r="C5158" s="83" t="s">
        <v>12686</v>
      </c>
      <c r="D5158" s="83" t="s">
        <v>12683</v>
      </c>
    </row>
    <row r="5159" spans="1:4">
      <c r="A5159" s="83" t="s">
        <v>12687</v>
      </c>
      <c r="B5159" s="83" t="s">
        <v>5017</v>
      </c>
      <c r="C5159" s="83" t="s">
        <v>12688</v>
      </c>
      <c r="D5159" s="83" t="s">
        <v>12689</v>
      </c>
    </row>
    <row r="5160" spans="1:4">
      <c r="A5160" s="83" t="s">
        <v>12687</v>
      </c>
      <c r="B5160" s="83" t="s">
        <v>5012</v>
      </c>
      <c r="C5160" s="83" t="s">
        <v>12690</v>
      </c>
      <c r="D5160" s="83" t="s">
        <v>12689</v>
      </c>
    </row>
    <row r="5161" spans="1:4">
      <c r="A5161" s="83" t="s">
        <v>12687</v>
      </c>
      <c r="B5161" s="83" t="s">
        <v>5015</v>
      </c>
      <c r="C5161" s="83" t="s">
        <v>12691</v>
      </c>
      <c r="D5161" s="83" t="s">
        <v>12689</v>
      </c>
    </row>
    <row r="5162" spans="1:4">
      <c r="A5162" s="83" t="s">
        <v>12687</v>
      </c>
      <c r="B5162" s="83" t="s">
        <v>5010</v>
      </c>
      <c r="C5162" s="83" t="s">
        <v>12692</v>
      </c>
      <c r="D5162" s="83" t="s">
        <v>12689</v>
      </c>
    </row>
    <row r="5163" spans="1:4">
      <c r="A5163" s="83" t="s">
        <v>12693</v>
      </c>
      <c r="B5163" s="83" t="s">
        <v>5017</v>
      </c>
      <c r="C5163" s="83" t="s">
        <v>12694</v>
      </c>
      <c r="D5163" s="83" t="s">
        <v>12695</v>
      </c>
    </row>
    <row r="5164" spans="1:4">
      <c r="A5164" s="83" t="s">
        <v>12693</v>
      </c>
      <c r="B5164" s="83" t="s">
        <v>5012</v>
      </c>
      <c r="C5164" s="83" t="s">
        <v>12696</v>
      </c>
      <c r="D5164" s="83" t="s">
        <v>12695</v>
      </c>
    </row>
    <row r="5165" spans="1:4">
      <c r="A5165" s="83" t="s">
        <v>12693</v>
      </c>
      <c r="B5165" s="83" t="s">
        <v>5015</v>
      </c>
      <c r="C5165" s="83" t="s">
        <v>12697</v>
      </c>
      <c r="D5165" s="83" t="s">
        <v>12695</v>
      </c>
    </row>
    <row r="5166" spans="1:4">
      <c r="A5166" s="83" t="s">
        <v>12693</v>
      </c>
      <c r="B5166" s="83" t="s">
        <v>5010</v>
      </c>
      <c r="C5166" s="83" t="s">
        <v>12698</v>
      </c>
      <c r="D5166" s="83" t="s">
        <v>12695</v>
      </c>
    </row>
    <row r="5167" spans="1:4">
      <c r="A5167" s="83" t="s">
        <v>12699</v>
      </c>
      <c r="B5167" s="83" t="s">
        <v>5017</v>
      </c>
      <c r="C5167" s="83" t="s">
        <v>12700</v>
      </c>
      <c r="D5167" s="83" t="s">
        <v>12701</v>
      </c>
    </row>
    <row r="5168" spans="1:4">
      <c r="A5168" s="83" t="s">
        <v>12699</v>
      </c>
      <c r="B5168" s="83" t="s">
        <v>5012</v>
      </c>
      <c r="C5168" s="83" t="s">
        <v>12702</v>
      </c>
      <c r="D5168" s="83" t="s">
        <v>12701</v>
      </c>
    </row>
    <row r="5169" spans="1:4">
      <c r="A5169" s="83" t="s">
        <v>12699</v>
      </c>
      <c r="B5169" s="83" t="s">
        <v>5015</v>
      </c>
      <c r="C5169" s="83" t="s">
        <v>12703</v>
      </c>
      <c r="D5169" s="83" t="s">
        <v>12701</v>
      </c>
    </row>
    <row r="5170" spans="1:4">
      <c r="A5170" s="83" t="s">
        <v>12699</v>
      </c>
      <c r="B5170" s="83" t="s">
        <v>5010</v>
      </c>
      <c r="C5170" s="83" t="s">
        <v>12704</v>
      </c>
      <c r="D5170" s="83" t="s">
        <v>12701</v>
      </c>
    </row>
    <row r="5171" spans="1:4">
      <c r="A5171" s="83" t="s">
        <v>12705</v>
      </c>
      <c r="B5171" s="83" t="s">
        <v>5017</v>
      </c>
      <c r="C5171" s="83" t="s">
        <v>12706</v>
      </c>
      <c r="D5171" s="83" t="s">
        <v>12707</v>
      </c>
    </row>
    <row r="5172" spans="1:4">
      <c r="A5172" s="83" t="s">
        <v>12705</v>
      </c>
      <c r="B5172" s="83" t="s">
        <v>5012</v>
      </c>
      <c r="C5172" s="83" t="s">
        <v>12708</v>
      </c>
      <c r="D5172" s="83" t="s">
        <v>12707</v>
      </c>
    </row>
    <row r="5173" spans="1:4">
      <c r="A5173" s="83" t="s">
        <v>12705</v>
      </c>
      <c r="B5173" s="83" t="s">
        <v>5015</v>
      </c>
      <c r="C5173" s="83" t="s">
        <v>12709</v>
      </c>
      <c r="D5173" s="83" t="s">
        <v>12707</v>
      </c>
    </row>
    <row r="5174" spans="1:4">
      <c r="A5174" s="83" t="s">
        <v>12705</v>
      </c>
      <c r="B5174" s="83" t="s">
        <v>5010</v>
      </c>
      <c r="C5174" s="83" t="s">
        <v>12710</v>
      </c>
      <c r="D5174" s="83" t="s">
        <v>12707</v>
      </c>
    </row>
    <row r="5175" spans="1:4">
      <c r="A5175" s="83" t="s">
        <v>12711</v>
      </c>
      <c r="B5175" s="83" t="s">
        <v>5017</v>
      </c>
      <c r="C5175" s="83" t="s">
        <v>12712</v>
      </c>
      <c r="D5175" s="83" t="s">
        <v>12713</v>
      </c>
    </row>
    <row r="5176" spans="1:4">
      <c r="A5176" s="83" t="s">
        <v>12711</v>
      </c>
      <c r="B5176" s="83" t="s">
        <v>5012</v>
      </c>
      <c r="C5176" s="83" t="s">
        <v>12714</v>
      </c>
      <c r="D5176" s="83" t="s">
        <v>12713</v>
      </c>
    </row>
    <row r="5177" spans="1:4">
      <c r="A5177" s="83" t="s">
        <v>12711</v>
      </c>
      <c r="B5177" s="83" t="s">
        <v>5015</v>
      </c>
      <c r="C5177" s="83" t="s">
        <v>12715</v>
      </c>
      <c r="D5177" s="83" t="s">
        <v>12713</v>
      </c>
    </row>
    <row r="5178" spans="1:4">
      <c r="A5178" s="83" t="s">
        <v>12711</v>
      </c>
      <c r="B5178" s="83" t="s">
        <v>5010</v>
      </c>
      <c r="C5178" s="83" t="s">
        <v>12716</v>
      </c>
      <c r="D5178" s="83" t="s">
        <v>12713</v>
      </c>
    </row>
    <row r="5179" spans="1:4">
      <c r="A5179" s="83" t="s">
        <v>12717</v>
      </c>
      <c r="B5179" s="83" t="s">
        <v>5017</v>
      </c>
      <c r="C5179" s="83" t="s">
        <v>12718</v>
      </c>
      <c r="D5179" s="83" t="s">
        <v>12719</v>
      </c>
    </row>
    <row r="5180" spans="1:4">
      <c r="A5180" s="83" t="s">
        <v>12717</v>
      </c>
      <c r="B5180" s="83" t="s">
        <v>5012</v>
      </c>
      <c r="C5180" s="83" t="s">
        <v>12720</v>
      </c>
      <c r="D5180" s="83" t="s">
        <v>12719</v>
      </c>
    </row>
    <row r="5181" spans="1:4">
      <c r="A5181" s="83" t="s">
        <v>12717</v>
      </c>
      <c r="B5181" s="83" t="s">
        <v>5015</v>
      </c>
      <c r="C5181" s="83" t="s">
        <v>12721</v>
      </c>
      <c r="D5181" s="83" t="s">
        <v>12719</v>
      </c>
    </row>
    <row r="5182" spans="1:4">
      <c r="A5182" s="83" t="s">
        <v>12717</v>
      </c>
      <c r="B5182" s="83" t="s">
        <v>5010</v>
      </c>
      <c r="C5182" s="83" t="s">
        <v>12722</v>
      </c>
      <c r="D5182" s="83" t="s">
        <v>12719</v>
      </c>
    </row>
    <row r="5183" spans="1:4">
      <c r="A5183" s="83" t="s">
        <v>12723</v>
      </c>
      <c r="B5183" s="83" t="s">
        <v>5017</v>
      </c>
      <c r="C5183" s="83" t="s">
        <v>12724</v>
      </c>
      <c r="D5183" s="83" t="s">
        <v>12725</v>
      </c>
    </row>
    <row r="5184" spans="1:4">
      <c r="A5184" s="83" t="s">
        <v>12723</v>
      </c>
      <c r="B5184" s="83" t="s">
        <v>5012</v>
      </c>
      <c r="C5184" s="83" t="s">
        <v>12726</v>
      </c>
      <c r="D5184" s="83" t="s">
        <v>12725</v>
      </c>
    </row>
    <row r="5185" spans="1:4">
      <c r="A5185" s="83" t="s">
        <v>12723</v>
      </c>
      <c r="B5185" s="83" t="s">
        <v>5015</v>
      </c>
      <c r="C5185" s="83" t="s">
        <v>12727</v>
      </c>
      <c r="D5185" s="83" t="s">
        <v>12725</v>
      </c>
    </row>
    <row r="5186" spans="1:4">
      <c r="A5186" s="83" t="s">
        <v>12723</v>
      </c>
      <c r="B5186" s="83" t="s">
        <v>5010</v>
      </c>
      <c r="C5186" s="83" t="s">
        <v>12728</v>
      </c>
      <c r="D5186" s="83" t="s">
        <v>12725</v>
      </c>
    </row>
    <row r="5187" spans="1:4">
      <c r="A5187" s="83" t="s">
        <v>12729</v>
      </c>
      <c r="B5187" s="83" t="s">
        <v>5017</v>
      </c>
      <c r="C5187" s="83" t="s">
        <v>12730</v>
      </c>
      <c r="D5187" s="83" t="s">
        <v>12731</v>
      </c>
    </row>
    <row r="5188" spans="1:4">
      <c r="A5188" s="83" t="s">
        <v>12729</v>
      </c>
      <c r="B5188" s="83" t="s">
        <v>5012</v>
      </c>
      <c r="C5188" s="83" t="s">
        <v>12732</v>
      </c>
      <c r="D5188" s="83" t="s">
        <v>12731</v>
      </c>
    </row>
    <row r="5189" spans="1:4">
      <c r="A5189" s="83" t="s">
        <v>12729</v>
      </c>
      <c r="B5189" s="83" t="s">
        <v>5015</v>
      </c>
      <c r="C5189" s="83" t="s">
        <v>12733</v>
      </c>
      <c r="D5189" s="83" t="s">
        <v>12731</v>
      </c>
    </row>
    <row r="5190" spans="1:4">
      <c r="A5190" s="83" t="s">
        <v>12729</v>
      </c>
      <c r="B5190" s="83" t="s">
        <v>5010</v>
      </c>
      <c r="C5190" s="83" t="s">
        <v>12734</v>
      </c>
      <c r="D5190" s="83" t="s">
        <v>12731</v>
      </c>
    </row>
    <row r="5191" spans="1:4">
      <c r="A5191" s="83" t="s">
        <v>12735</v>
      </c>
      <c r="B5191" s="83" t="s">
        <v>5017</v>
      </c>
      <c r="C5191" s="83" t="s">
        <v>12736</v>
      </c>
      <c r="D5191" s="83" t="s">
        <v>12737</v>
      </c>
    </row>
    <row r="5192" spans="1:4">
      <c r="A5192" s="83" t="s">
        <v>12735</v>
      </c>
      <c r="B5192" s="83" t="s">
        <v>5012</v>
      </c>
      <c r="C5192" s="83" t="s">
        <v>12738</v>
      </c>
      <c r="D5192" s="83" t="s">
        <v>12737</v>
      </c>
    </row>
    <row r="5193" spans="1:4">
      <c r="A5193" s="83" t="s">
        <v>12735</v>
      </c>
      <c r="B5193" s="83" t="s">
        <v>5015</v>
      </c>
      <c r="C5193" s="83" t="s">
        <v>12739</v>
      </c>
      <c r="D5193" s="83" t="s">
        <v>12737</v>
      </c>
    </row>
    <row r="5194" spans="1:4">
      <c r="A5194" s="83" t="s">
        <v>12735</v>
      </c>
      <c r="B5194" s="83" t="s">
        <v>5010</v>
      </c>
      <c r="C5194" s="83" t="s">
        <v>12740</v>
      </c>
      <c r="D5194" s="83" t="s">
        <v>12737</v>
      </c>
    </row>
    <row r="5195" spans="1:4">
      <c r="A5195" s="83" t="s">
        <v>12741</v>
      </c>
      <c r="B5195" s="83" t="s">
        <v>5017</v>
      </c>
      <c r="C5195" s="83" t="s">
        <v>12742</v>
      </c>
      <c r="D5195" s="83" t="s">
        <v>12743</v>
      </c>
    </row>
    <row r="5196" spans="1:4">
      <c r="A5196" s="83" t="s">
        <v>12741</v>
      </c>
      <c r="B5196" s="83" t="s">
        <v>5012</v>
      </c>
      <c r="C5196" s="83" t="s">
        <v>12744</v>
      </c>
      <c r="D5196" s="83" t="s">
        <v>12743</v>
      </c>
    </row>
    <row r="5197" spans="1:4">
      <c r="A5197" s="83" t="s">
        <v>12741</v>
      </c>
      <c r="B5197" s="83" t="s">
        <v>5015</v>
      </c>
      <c r="C5197" s="83" t="s">
        <v>12745</v>
      </c>
      <c r="D5197" s="83" t="s">
        <v>12743</v>
      </c>
    </row>
    <row r="5198" spans="1:4">
      <c r="A5198" s="83" t="s">
        <v>12741</v>
      </c>
      <c r="B5198" s="83" t="s">
        <v>5010</v>
      </c>
      <c r="C5198" s="83" t="s">
        <v>12746</v>
      </c>
      <c r="D5198" s="83" t="s">
        <v>12743</v>
      </c>
    </row>
    <row r="5199" spans="1:4">
      <c r="A5199" s="83" t="s">
        <v>12747</v>
      </c>
      <c r="B5199" s="83" t="s">
        <v>5017</v>
      </c>
      <c r="C5199" s="83" t="s">
        <v>12748</v>
      </c>
      <c r="D5199" s="83" t="s">
        <v>12749</v>
      </c>
    </row>
    <row r="5200" spans="1:4">
      <c r="A5200" s="83" t="s">
        <v>12747</v>
      </c>
      <c r="B5200" s="83" t="s">
        <v>5012</v>
      </c>
      <c r="C5200" s="83" t="s">
        <v>12750</v>
      </c>
      <c r="D5200" s="83" t="s">
        <v>12749</v>
      </c>
    </row>
    <row r="5201" spans="1:4">
      <c r="A5201" s="83" t="s">
        <v>12747</v>
      </c>
      <c r="B5201" s="83" t="s">
        <v>5015</v>
      </c>
      <c r="C5201" s="83" t="s">
        <v>12751</v>
      </c>
      <c r="D5201" s="83" t="s">
        <v>12749</v>
      </c>
    </row>
    <row r="5202" spans="1:4">
      <c r="A5202" s="83" t="s">
        <v>12747</v>
      </c>
      <c r="B5202" s="83" t="s">
        <v>5010</v>
      </c>
      <c r="C5202" s="83" t="s">
        <v>12752</v>
      </c>
      <c r="D5202" s="83" t="s">
        <v>12749</v>
      </c>
    </row>
    <row r="5203" spans="1:4">
      <c r="A5203" s="83" t="s">
        <v>12753</v>
      </c>
      <c r="B5203" s="83" t="s">
        <v>5017</v>
      </c>
      <c r="C5203" s="83" t="s">
        <v>12754</v>
      </c>
      <c r="D5203" s="83" t="s">
        <v>12755</v>
      </c>
    </row>
    <row r="5204" spans="1:4">
      <c r="A5204" s="83" t="s">
        <v>12753</v>
      </c>
      <c r="B5204" s="83" t="s">
        <v>5012</v>
      </c>
      <c r="C5204" s="83" t="s">
        <v>12756</v>
      </c>
      <c r="D5204" s="83" t="s">
        <v>12755</v>
      </c>
    </row>
    <row r="5205" spans="1:4">
      <c r="A5205" s="83" t="s">
        <v>12753</v>
      </c>
      <c r="B5205" s="83" t="s">
        <v>5015</v>
      </c>
      <c r="C5205" s="83" t="s">
        <v>12757</v>
      </c>
      <c r="D5205" s="83" t="s">
        <v>12755</v>
      </c>
    </row>
    <row r="5206" spans="1:4">
      <c r="A5206" s="83" t="s">
        <v>12753</v>
      </c>
      <c r="B5206" s="83" t="s">
        <v>5010</v>
      </c>
      <c r="C5206" s="83" t="s">
        <v>12758</v>
      </c>
      <c r="D5206" s="83" t="s">
        <v>12755</v>
      </c>
    </row>
    <row r="5207" spans="1:4">
      <c r="A5207" s="83" t="s">
        <v>12759</v>
      </c>
      <c r="B5207" s="83" t="s">
        <v>5017</v>
      </c>
      <c r="C5207" s="83" t="s">
        <v>12760</v>
      </c>
      <c r="D5207" s="83" t="s">
        <v>12761</v>
      </c>
    </row>
    <row r="5208" spans="1:4">
      <c r="A5208" s="83" t="s">
        <v>12759</v>
      </c>
      <c r="B5208" s="83" t="s">
        <v>5012</v>
      </c>
      <c r="C5208" s="83" t="s">
        <v>12762</v>
      </c>
      <c r="D5208" s="83" t="s">
        <v>12761</v>
      </c>
    </row>
    <row r="5209" spans="1:4">
      <c r="A5209" s="83" t="s">
        <v>12759</v>
      </c>
      <c r="B5209" s="83" t="s">
        <v>5015</v>
      </c>
      <c r="C5209" s="83" t="s">
        <v>12763</v>
      </c>
      <c r="D5209" s="83" t="s">
        <v>12761</v>
      </c>
    </row>
    <row r="5210" spans="1:4">
      <c r="A5210" s="83" t="s">
        <v>12759</v>
      </c>
      <c r="B5210" s="83" t="s">
        <v>5010</v>
      </c>
      <c r="C5210" s="83" t="s">
        <v>12764</v>
      </c>
      <c r="D5210" s="83" t="s">
        <v>12761</v>
      </c>
    </row>
    <row r="5211" spans="1:4">
      <c r="A5211" s="83" t="s">
        <v>12765</v>
      </c>
      <c r="B5211" s="83" t="s">
        <v>5017</v>
      </c>
      <c r="C5211" s="83" t="s">
        <v>12766</v>
      </c>
      <c r="D5211" s="83" t="s">
        <v>12767</v>
      </c>
    </row>
    <row r="5212" spans="1:4">
      <c r="A5212" s="83" t="s">
        <v>12765</v>
      </c>
      <c r="B5212" s="83" t="s">
        <v>5012</v>
      </c>
      <c r="C5212" s="83" t="s">
        <v>12768</v>
      </c>
      <c r="D5212" s="83" t="s">
        <v>12767</v>
      </c>
    </row>
    <row r="5213" spans="1:4">
      <c r="A5213" s="83" t="s">
        <v>12765</v>
      </c>
      <c r="B5213" s="83" t="s">
        <v>5015</v>
      </c>
      <c r="C5213" s="83" t="s">
        <v>12769</v>
      </c>
      <c r="D5213" s="83" t="s">
        <v>12767</v>
      </c>
    </row>
    <row r="5214" spans="1:4">
      <c r="A5214" s="83" t="s">
        <v>12765</v>
      </c>
      <c r="B5214" s="83" t="s">
        <v>5010</v>
      </c>
      <c r="C5214" s="83" t="s">
        <v>12770</v>
      </c>
      <c r="D5214" s="83" t="s">
        <v>12767</v>
      </c>
    </row>
    <row r="5215" spans="1:4">
      <c r="A5215" s="83" t="s">
        <v>12771</v>
      </c>
      <c r="B5215" s="83" t="s">
        <v>5017</v>
      </c>
      <c r="C5215" s="83" t="s">
        <v>12772</v>
      </c>
      <c r="D5215" s="83" t="s">
        <v>12773</v>
      </c>
    </row>
    <row r="5216" spans="1:4">
      <c r="A5216" s="83" t="s">
        <v>12771</v>
      </c>
      <c r="B5216" s="83" t="s">
        <v>5012</v>
      </c>
      <c r="C5216" s="83" t="s">
        <v>12774</v>
      </c>
      <c r="D5216" s="83" t="s">
        <v>12773</v>
      </c>
    </row>
    <row r="5217" spans="1:4">
      <c r="A5217" s="83" t="s">
        <v>12771</v>
      </c>
      <c r="B5217" s="83" t="s">
        <v>5015</v>
      </c>
      <c r="C5217" s="83" t="s">
        <v>12775</v>
      </c>
      <c r="D5217" s="83" t="s">
        <v>12773</v>
      </c>
    </row>
    <row r="5218" spans="1:4">
      <c r="A5218" s="83" t="s">
        <v>12771</v>
      </c>
      <c r="B5218" s="83" t="s">
        <v>5010</v>
      </c>
      <c r="C5218" s="83" t="s">
        <v>12776</v>
      </c>
      <c r="D5218" s="83" t="s">
        <v>12773</v>
      </c>
    </row>
    <row r="5219" spans="1:4">
      <c r="A5219" s="83" t="s">
        <v>12777</v>
      </c>
      <c r="B5219" s="83" t="s">
        <v>5017</v>
      </c>
      <c r="C5219" s="83" t="s">
        <v>12778</v>
      </c>
      <c r="D5219" s="83" t="s">
        <v>12779</v>
      </c>
    </row>
    <row r="5220" spans="1:4">
      <c r="A5220" s="83" t="s">
        <v>12777</v>
      </c>
      <c r="B5220" s="83" t="s">
        <v>5012</v>
      </c>
      <c r="C5220" s="83" t="s">
        <v>12780</v>
      </c>
      <c r="D5220" s="83" t="s">
        <v>12779</v>
      </c>
    </row>
    <row r="5221" spans="1:4">
      <c r="A5221" s="83" t="s">
        <v>12777</v>
      </c>
      <c r="B5221" s="83" t="s">
        <v>5015</v>
      </c>
      <c r="C5221" s="83" t="s">
        <v>12781</v>
      </c>
      <c r="D5221" s="83" t="s">
        <v>12779</v>
      </c>
    </row>
    <row r="5222" spans="1:4">
      <c r="A5222" s="83" t="s">
        <v>12777</v>
      </c>
      <c r="B5222" s="83" t="s">
        <v>5010</v>
      </c>
      <c r="C5222" s="83" t="s">
        <v>12782</v>
      </c>
      <c r="D5222" s="83" t="s">
        <v>12779</v>
      </c>
    </row>
    <row r="5223" spans="1:4">
      <c r="A5223" s="83" t="s">
        <v>12783</v>
      </c>
      <c r="B5223" s="83" t="s">
        <v>5017</v>
      </c>
      <c r="C5223" s="83" t="s">
        <v>12784</v>
      </c>
      <c r="D5223" s="83" t="s">
        <v>12785</v>
      </c>
    </row>
    <row r="5224" spans="1:4">
      <c r="A5224" s="83" t="s">
        <v>12783</v>
      </c>
      <c r="B5224" s="83" t="s">
        <v>5012</v>
      </c>
      <c r="C5224" s="83" t="s">
        <v>12786</v>
      </c>
      <c r="D5224" s="83" t="s">
        <v>12785</v>
      </c>
    </row>
    <row r="5225" spans="1:4">
      <c r="A5225" s="83" t="s">
        <v>12783</v>
      </c>
      <c r="B5225" s="83" t="s">
        <v>5015</v>
      </c>
      <c r="C5225" s="83" t="s">
        <v>12787</v>
      </c>
      <c r="D5225" s="83" t="s">
        <v>12785</v>
      </c>
    </row>
    <row r="5226" spans="1:4">
      <c r="A5226" s="83" t="s">
        <v>12783</v>
      </c>
      <c r="B5226" s="83" t="s">
        <v>5010</v>
      </c>
      <c r="C5226" s="83" t="s">
        <v>12788</v>
      </c>
      <c r="D5226" s="83" t="s">
        <v>12785</v>
      </c>
    </row>
    <row r="5227" spans="1:4">
      <c r="A5227" s="83" t="s">
        <v>12789</v>
      </c>
      <c r="B5227" s="83" t="s">
        <v>5017</v>
      </c>
      <c r="C5227" s="83" t="s">
        <v>12790</v>
      </c>
      <c r="D5227" s="83" t="s">
        <v>12791</v>
      </c>
    </row>
    <row r="5228" spans="1:4">
      <c r="A5228" s="83" t="s">
        <v>12789</v>
      </c>
      <c r="B5228" s="83" t="s">
        <v>5012</v>
      </c>
      <c r="C5228" s="83" t="s">
        <v>12792</v>
      </c>
      <c r="D5228" s="83" t="s">
        <v>12791</v>
      </c>
    </row>
    <row r="5229" spans="1:4">
      <c r="A5229" s="83" t="s">
        <v>12789</v>
      </c>
      <c r="B5229" s="83" t="s">
        <v>5015</v>
      </c>
      <c r="C5229" s="83" t="s">
        <v>12793</v>
      </c>
      <c r="D5229" s="83" t="s">
        <v>12791</v>
      </c>
    </row>
    <row r="5230" spans="1:4">
      <c r="A5230" s="83" t="s">
        <v>12789</v>
      </c>
      <c r="B5230" s="83" t="s">
        <v>5010</v>
      </c>
      <c r="C5230" s="83" t="s">
        <v>12794</v>
      </c>
      <c r="D5230" s="83" t="s">
        <v>12791</v>
      </c>
    </row>
    <row r="5231" spans="1:4">
      <c r="A5231" s="83" t="s">
        <v>12795</v>
      </c>
      <c r="B5231" s="83" t="s">
        <v>5017</v>
      </c>
      <c r="C5231" s="83" t="s">
        <v>12796</v>
      </c>
      <c r="D5231" s="83" t="s">
        <v>12797</v>
      </c>
    </row>
    <row r="5232" spans="1:4">
      <c r="A5232" s="83" t="s">
        <v>12795</v>
      </c>
      <c r="B5232" s="83" t="s">
        <v>5012</v>
      </c>
      <c r="C5232" s="83" t="s">
        <v>12798</v>
      </c>
      <c r="D5232" s="83" t="s">
        <v>12797</v>
      </c>
    </row>
    <row r="5233" spans="1:4">
      <c r="A5233" s="83" t="s">
        <v>12795</v>
      </c>
      <c r="B5233" s="83" t="s">
        <v>5015</v>
      </c>
      <c r="C5233" s="83" t="s">
        <v>12799</v>
      </c>
      <c r="D5233" s="83" t="s">
        <v>12797</v>
      </c>
    </row>
    <row r="5234" spans="1:4">
      <c r="A5234" s="83" t="s">
        <v>12795</v>
      </c>
      <c r="B5234" s="83" t="s">
        <v>5010</v>
      </c>
      <c r="C5234" s="83" t="s">
        <v>12800</v>
      </c>
      <c r="D5234" s="83" t="s">
        <v>12797</v>
      </c>
    </row>
    <row r="5235" spans="1:4">
      <c r="A5235" s="83" t="s">
        <v>12801</v>
      </c>
      <c r="B5235" s="83" t="s">
        <v>5017</v>
      </c>
      <c r="C5235" s="83" t="s">
        <v>12802</v>
      </c>
      <c r="D5235" s="83" t="s">
        <v>12803</v>
      </c>
    </row>
    <row r="5236" spans="1:4">
      <c r="A5236" s="83" t="s">
        <v>12801</v>
      </c>
      <c r="B5236" s="83" t="s">
        <v>5012</v>
      </c>
      <c r="C5236" s="83" t="s">
        <v>12804</v>
      </c>
      <c r="D5236" s="83" t="s">
        <v>12803</v>
      </c>
    </row>
    <row r="5237" spans="1:4">
      <c r="A5237" s="83" t="s">
        <v>12801</v>
      </c>
      <c r="B5237" s="83" t="s">
        <v>5015</v>
      </c>
      <c r="C5237" s="83" t="s">
        <v>12805</v>
      </c>
      <c r="D5237" s="83" t="s">
        <v>12803</v>
      </c>
    </row>
    <row r="5238" spans="1:4">
      <c r="A5238" s="83" t="s">
        <v>12801</v>
      </c>
      <c r="B5238" s="83" t="s">
        <v>5010</v>
      </c>
      <c r="C5238" s="83" t="s">
        <v>12806</v>
      </c>
      <c r="D5238" s="83" t="s">
        <v>12803</v>
      </c>
    </row>
    <row r="5239" spans="1:4">
      <c r="A5239" s="83" t="s">
        <v>12807</v>
      </c>
      <c r="B5239" s="83" t="s">
        <v>5017</v>
      </c>
      <c r="C5239" s="83" t="s">
        <v>12808</v>
      </c>
      <c r="D5239" s="83" t="s">
        <v>12809</v>
      </c>
    </row>
    <row r="5240" spans="1:4">
      <c r="A5240" s="83" t="s">
        <v>12807</v>
      </c>
      <c r="B5240" s="83" t="s">
        <v>5012</v>
      </c>
      <c r="C5240" s="83" t="s">
        <v>12810</v>
      </c>
      <c r="D5240" s="83" t="s">
        <v>12809</v>
      </c>
    </row>
    <row r="5241" spans="1:4">
      <c r="A5241" s="83" t="s">
        <v>12807</v>
      </c>
      <c r="B5241" s="83" t="s">
        <v>5015</v>
      </c>
      <c r="C5241" s="83" t="s">
        <v>12811</v>
      </c>
      <c r="D5241" s="83" t="s">
        <v>12809</v>
      </c>
    </row>
    <row r="5242" spans="1:4">
      <c r="A5242" s="83" t="s">
        <v>12807</v>
      </c>
      <c r="B5242" s="83" t="s">
        <v>5010</v>
      </c>
      <c r="C5242" s="83" t="s">
        <v>12812</v>
      </c>
      <c r="D5242" s="83" t="s">
        <v>12809</v>
      </c>
    </row>
    <row r="5243" spans="1:4">
      <c r="A5243" s="83" t="s">
        <v>12813</v>
      </c>
      <c r="B5243" s="83" t="s">
        <v>5017</v>
      </c>
      <c r="C5243" s="83" t="s">
        <v>12814</v>
      </c>
      <c r="D5243" s="83" t="s">
        <v>12815</v>
      </c>
    </row>
    <row r="5244" spans="1:4">
      <c r="A5244" s="83" t="s">
        <v>12813</v>
      </c>
      <c r="B5244" s="83" t="s">
        <v>5012</v>
      </c>
      <c r="C5244" s="83" t="s">
        <v>12816</v>
      </c>
      <c r="D5244" s="83" t="s">
        <v>12815</v>
      </c>
    </row>
    <row r="5245" spans="1:4">
      <c r="A5245" s="83" t="s">
        <v>12813</v>
      </c>
      <c r="B5245" s="83" t="s">
        <v>5015</v>
      </c>
      <c r="C5245" s="83" t="s">
        <v>12817</v>
      </c>
      <c r="D5245" s="83" t="s">
        <v>12815</v>
      </c>
    </row>
    <row r="5246" spans="1:4">
      <c r="A5246" s="83" t="s">
        <v>12813</v>
      </c>
      <c r="B5246" s="83" t="s">
        <v>5010</v>
      </c>
      <c r="C5246" s="83" t="s">
        <v>12818</v>
      </c>
      <c r="D5246" s="83" t="s">
        <v>12815</v>
      </c>
    </row>
    <row r="5247" spans="1:4">
      <c r="A5247" s="83" t="s">
        <v>12819</v>
      </c>
      <c r="B5247" s="83" t="s">
        <v>5017</v>
      </c>
      <c r="C5247" s="83" t="s">
        <v>12820</v>
      </c>
      <c r="D5247" s="83" t="s">
        <v>12821</v>
      </c>
    </row>
    <row r="5248" spans="1:4">
      <c r="A5248" s="83" t="s">
        <v>12819</v>
      </c>
      <c r="B5248" s="83" t="s">
        <v>5012</v>
      </c>
      <c r="C5248" s="83" t="s">
        <v>12822</v>
      </c>
      <c r="D5248" s="83" t="s">
        <v>12821</v>
      </c>
    </row>
    <row r="5249" spans="1:4">
      <c r="A5249" s="83" t="s">
        <v>12819</v>
      </c>
      <c r="B5249" s="83" t="s">
        <v>5015</v>
      </c>
      <c r="C5249" s="83" t="s">
        <v>12823</v>
      </c>
      <c r="D5249" s="83" t="s">
        <v>12821</v>
      </c>
    </row>
    <row r="5250" spans="1:4">
      <c r="A5250" s="83" t="s">
        <v>12819</v>
      </c>
      <c r="B5250" s="83" t="s">
        <v>5010</v>
      </c>
      <c r="C5250" s="83" t="s">
        <v>12824</v>
      </c>
      <c r="D5250" s="83" t="s">
        <v>12821</v>
      </c>
    </row>
    <row r="5251" spans="1:4">
      <c r="A5251" s="83" t="s">
        <v>12825</v>
      </c>
      <c r="B5251" s="83" t="s">
        <v>5017</v>
      </c>
      <c r="C5251" s="83" t="s">
        <v>12826</v>
      </c>
      <c r="D5251" s="83" t="s">
        <v>12827</v>
      </c>
    </row>
    <row r="5252" spans="1:4">
      <c r="A5252" s="83" t="s">
        <v>12825</v>
      </c>
      <c r="B5252" s="83" t="s">
        <v>5012</v>
      </c>
      <c r="C5252" s="83" t="s">
        <v>12828</v>
      </c>
      <c r="D5252" s="83" t="s">
        <v>12827</v>
      </c>
    </row>
    <row r="5253" spans="1:4">
      <c r="A5253" s="83" t="s">
        <v>12825</v>
      </c>
      <c r="B5253" s="83" t="s">
        <v>5015</v>
      </c>
      <c r="C5253" s="83" t="s">
        <v>12829</v>
      </c>
      <c r="D5253" s="83" t="s">
        <v>12827</v>
      </c>
    </row>
    <row r="5254" spans="1:4">
      <c r="A5254" s="83" t="s">
        <v>12825</v>
      </c>
      <c r="B5254" s="83" t="s">
        <v>5010</v>
      </c>
      <c r="C5254" s="83" t="s">
        <v>12830</v>
      </c>
      <c r="D5254" s="83" t="s">
        <v>12827</v>
      </c>
    </row>
    <row r="5255" spans="1:4">
      <c r="A5255" s="83" t="s">
        <v>12831</v>
      </c>
      <c r="B5255" s="83" t="s">
        <v>5017</v>
      </c>
      <c r="C5255" s="83" t="s">
        <v>12832</v>
      </c>
      <c r="D5255" s="83" t="s">
        <v>12833</v>
      </c>
    </row>
    <row r="5256" spans="1:4">
      <c r="A5256" s="83" t="s">
        <v>12831</v>
      </c>
      <c r="B5256" s="83" t="s">
        <v>5012</v>
      </c>
      <c r="C5256" s="83" t="s">
        <v>12834</v>
      </c>
      <c r="D5256" s="83" t="s">
        <v>12833</v>
      </c>
    </row>
    <row r="5257" spans="1:4">
      <c r="A5257" s="83" t="s">
        <v>12831</v>
      </c>
      <c r="B5257" s="83" t="s">
        <v>5015</v>
      </c>
      <c r="C5257" s="83" t="s">
        <v>12835</v>
      </c>
      <c r="D5257" s="83" t="s">
        <v>12833</v>
      </c>
    </row>
    <row r="5258" spans="1:4">
      <c r="A5258" s="83" t="s">
        <v>12831</v>
      </c>
      <c r="B5258" s="83" t="s">
        <v>5010</v>
      </c>
      <c r="C5258" s="83" t="s">
        <v>12836</v>
      </c>
      <c r="D5258" s="83" t="s">
        <v>12833</v>
      </c>
    </row>
    <row r="5259" spans="1:4">
      <c r="A5259" s="83" t="s">
        <v>12837</v>
      </c>
      <c r="B5259" s="83" t="s">
        <v>5017</v>
      </c>
      <c r="C5259" s="83" t="s">
        <v>12838</v>
      </c>
      <c r="D5259" s="83" t="s">
        <v>12839</v>
      </c>
    </row>
    <row r="5260" spans="1:4">
      <c r="A5260" s="83" t="s">
        <v>12837</v>
      </c>
      <c r="B5260" s="83" t="s">
        <v>5012</v>
      </c>
      <c r="C5260" s="83" t="s">
        <v>12840</v>
      </c>
      <c r="D5260" s="83" t="s">
        <v>12839</v>
      </c>
    </row>
    <row r="5261" spans="1:4">
      <c r="A5261" s="83" t="s">
        <v>12837</v>
      </c>
      <c r="B5261" s="83" t="s">
        <v>5015</v>
      </c>
      <c r="C5261" s="83" t="s">
        <v>12841</v>
      </c>
      <c r="D5261" s="83" t="s">
        <v>12839</v>
      </c>
    </row>
    <row r="5262" spans="1:4">
      <c r="A5262" s="83" t="s">
        <v>12837</v>
      </c>
      <c r="B5262" s="83" t="s">
        <v>5010</v>
      </c>
      <c r="C5262" s="83" t="s">
        <v>12842</v>
      </c>
      <c r="D5262" s="83" t="s">
        <v>12839</v>
      </c>
    </row>
    <row r="5263" spans="1:4">
      <c r="A5263" s="83" t="s">
        <v>12843</v>
      </c>
      <c r="B5263" s="83" t="s">
        <v>5017</v>
      </c>
      <c r="C5263" s="83" t="s">
        <v>12844</v>
      </c>
      <c r="D5263" s="83" t="s">
        <v>12845</v>
      </c>
    </row>
    <row r="5264" spans="1:4">
      <c r="A5264" s="83" t="s">
        <v>12843</v>
      </c>
      <c r="B5264" s="83" t="s">
        <v>5012</v>
      </c>
      <c r="C5264" s="83" t="s">
        <v>12846</v>
      </c>
      <c r="D5264" s="83" t="s">
        <v>12845</v>
      </c>
    </row>
    <row r="5265" spans="1:4">
      <c r="A5265" s="83" t="s">
        <v>12843</v>
      </c>
      <c r="B5265" s="83" t="s">
        <v>5015</v>
      </c>
      <c r="C5265" s="83" t="s">
        <v>12847</v>
      </c>
      <c r="D5265" s="83" t="s">
        <v>12845</v>
      </c>
    </row>
    <row r="5266" spans="1:4">
      <c r="A5266" s="83" t="s">
        <v>12843</v>
      </c>
      <c r="B5266" s="83" t="s">
        <v>5010</v>
      </c>
      <c r="C5266" s="83" t="s">
        <v>12848</v>
      </c>
      <c r="D5266" s="83" t="s">
        <v>12845</v>
      </c>
    </row>
    <row r="5267" spans="1:4">
      <c r="A5267" s="83" t="s">
        <v>12849</v>
      </c>
      <c r="B5267" s="83" t="s">
        <v>5017</v>
      </c>
      <c r="C5267" s="83" t="s">
        <v>12850</v>
      </c>
      <c r="D5267" s="83" t="s">
        <v>12851</v>
      </c>
    </row>
    <row r="5268" spans="1:4">
      <c r="A5268" s="83" t="s">
        <v>12849</v>
      </c>
      <c r="B5268" s="83" t="s">
        <v>5012</v>
      </c>
      <c r="C5268" s="83" t="s">
        <v>12852</v>
      </c>
      <c r="D5268" s="83" t="s">
        <v>12851</v>
      </c>
    </row>
    <row r="5269" spans="1:4">
      <c r="A5269" s="83" t="s">
        <v>12849</v>
      </c>
      <c r="B5269" s="83" t="s">
        <v>5015</v>
      </c>
      <c r="C5269" s="83" t="s">
        <v>12853</v>
      </c>
      <c r="D5269" s="83" t="s">
        <v>12851</v>
      </c>
    </row>
    <row r="5270" spans="1:4">
      <c r="A5270" s="83" t="s">
        <v>12849</v>
      </c>
      <c r="B5270" s="83" t="s">
        <v>5010</v>
      </c>
      <c r="C5270" s="83" t="s">
        <v>12854</v>
      </c>
      <c r="D5270" s="83" t="s">
        <v>12851</v>
      </c>
    </row>
    <row r="5271" spans="1:4">
      <c r="A5271" s="83" t="s">
        <v>12855</v>
      </c>
      <c r="B5271" s="83" t="s">
        <v>5017</v>
      </c>
      <c r="C5271" s="83" t="s">
        <v>12856</v>
      </c>
      <c r="D5271" s="83" t="s">
        <v>12857</v>
      </c>
    </row>
    <row r="5272" spans="1:4">
      <c r="A5272" s="83" t="s">
        <v>12855</v>
      </c>
      <c r="B5272" s="83" t="s">
        <v>5012</v>
      </c>
      <c r="C5272" s="83" t="s">
        <v>12858</v>
      </c>
      <c r="D5272" s="83" t="s">
        <v>12857</v>
      </c>
    </row>
    <row r="5273" spans="1:4">
      <c r="A5273" s="83" t="s">
        <v>12855</v>
      </c>
      <c r="B5273" s="83" t="s">
        <v>5015</v>
      </c>
      <c r="C5273" s="83" t="s">
        <v>12859</v>
      </c>
      <c r="D5273" s="83" t="s">
        <v>12857</v>
      </c>
    </row>
    <row r="5274" spans="1:4">
      <c r="A5274" s="83" t="s">
        <v>12855</v>
      </c>
      <c r="B5274" s="83" t="s">
        <v>5010</v>
      </c>
      <c r="C5274" s="83" t="s">
        <v>12860</v>
      </c>
      <c r="D5274" s="83" t="s">
        <v>12857</v>
      </c>
    </row>
    <row r="5275" spans="1:4">
      <c r="A5275" s="83" t="s">
        <v>12861</v>
      </c>
      <c r="B5275" s="83" t="s">
        <v>5017</v>
      </c>
      <c r="C5275" s="83" t="s">
        <v>12862</v>
      </c>
      <c r="D5275" s="83" t="s">
        <v>12863</v>
      </c>
    </row>
    <row r="5276" spans="1:4">
      <c r="A5276" s="83" t="s">
        <v>12861</v>
      </c>
      <c r="B5276" s="83" t="s">
        <v>5012</v>
      </c>
      <c r="C5276" s="83" t="s">
        <v>12864</v>
      </c>
      <c r="D5276" s="83" t="s">
        <v>12863</v>
      </c>
    </row>
    <row r="5277" spans="1:4">
      <c r="A5277" s="83" t="s">
        <v>12861</v>
      </c>
      <c r="B5277" s="83" t="s">
        <v>5015</v>
      </c>
      <c r="C5277" s="83" t="s">
        <v>12865</v>
      </c>
      <c r="D5277" s="83" t="s">
        <v>12863</v>
      </c>
    </row>
    <row r="5278" spans="1:4">
      <c r="A5278" s="83" t="s">
        <v>12861</v>
      </c>
      <c r="B5278" s="83" t="s">
        <v>5010</v>
      </c>
      <c r="C5278" s="83" t="s">
        <v>12866</v>
      </c>
      <c r="D5278" s="83" t="s">
        <v>12863</v>
      </c>
    </row>
    <row r="5279" spans="1:4">
      <c r="A5279" s="83" t="s">
        <v>12867</v>
      </c>
      <c r="B5279" s="83" t="s">
        <v>5017</v>
      </c>
      <c r="C5279" s="83" t="s">
        <v>12868</v>
      </c>
      <c r="D5279" s="83" t="s">
        <v>12869</v>
      </c>
    </row>
    <row r="5280" spans="1:4">
      <c r="A5280" s="83" t="s">
        <v>12867</v>
      </c>
      <c r="B5280" s="83" t="s">
        <v>5012</v>
      </c>
      <c r="C5280" s="83" t="s">
        <v>12870</v>
      </c>
      <c r="D5280" s="83" t="s">
        <v>12869</v>
      </c>
    </row>
    <row r="5281" spans="1:4">
      <c r="A5281" s="83" t="s">
        <v>12867</v>
      </c>
      <c r="B5281" s="83" t="s">
        <v>5015</v>
      </c>
      <c r="C5281" s="83" t="s">
        <v>12871</v>
      </c>
      <c r="D5281" s="83" t="s">
        <v>12869</v>
      </c>
    </row>
    <row r="5282" spans="1:4">
      <c r="A5282" s="83" t="s">
        <v>12867</v>
      </c>
      <c r="B5282" s="83" t="s">
        <v>5010</v>
      </c>
      <c r="C5282" s="83" t="s">
        <v>12872</v>
      </c>
      <c r="D5282" s="83" t="s">
        <v>12869</v>
      </c>
    </row>
    <row r="5283" spans="1:4">
      <c r="A5283" s="83" t="s">
        <v>12873</v>
      </c>
      <c r="B5283" s="83" t="s">
        <v>5017</v>
      </c>
      <c r="C5283" s="83" t="s">
        <v>12874</v>
      </c>
      <c r="D5283" s="83" t="s">
        <v>12875</v>
      </c>
    </row>
    <row r="5284" spans="1:4">
      <c r="A5284" s="83" t="s">
        <v>12873</v>
      </c>
      <c r="B5284" s="83" t="s">
        <v>5012</v>
      </c>
      <c r="C5284" s="83" t="s">
        <v>12876</v>
      </c>
      <c r="D5284" s="83" t="s">
        <v>12875</v>
      </c>
    </row>
    <row r="5285" spans="1:4">
      <c r="A5285" s="83" t="s">
        <v>12873</v>
      </c>
      <c r="B5285" s="83" t="s">
        <v>5015</v>
      </c>
      <c r="C5285" s="83" t="s">
        <v>12877</v>
      </c>
      <c r="D5285" s="83" t="s">
        <v>12875</v>
      </c>
    </row>
    <row r="5286" spans="1:4">
      <c r="A5286" s="83" t="s">
        <v>12873</v>
      </c>
      <c r="B5286" s="83" t="s">
        <v>5010</v>
      </c>
      <c r="C5286" s="83" t="s">
        <v>12878</v>
      </c>
      <c r="D5286" s="83" t="s">
        <v>12875</v>
      </c>
    </row>
    <row r="5287" spans="1:4">
      <c r="A5287" s="83" t="s">
        <v>12879</v>
      </c>
      <c r="B5287" s="83" t="s">
        <v>5017</v>
      </c>
      <c r="C5287" s="83" t="s">
        <v>12880</v>
      </c>
      <c r="D5287" s="83" t="s">
        <v>12881</v>
      </c>
    </row>
    <row r="5288" spans="1:4">
      <c r="A5288" s="83" t="s">
        <v>12879</v>
      </c>
      <c r="B5288" s="83" t="s">
        <v>5012</v>
      </c>
      <c r="C5288" s="83" t="s">
        <v>12882</v>
      </c>
      <c r="D5288" s="83" t="s">
        <v>12881</v>
      </c>
    </row>
    <row r="5289" spans="1:4">
      <c r="A5289" s="83" t="s">
        <v>12879</v>
      </c>
      <c r="B5289" s="83" t="s">
        <v>5015</v>
      </c>
      <c r="C5289" s="83" t="s">
        <v>12883</v>
      </c>
      <c r="D5289" s="83" t="s">
        <v>12881</v>
      </c>
    </row>
    <row r="5290" spans="1:4">
      <c r="A5290" s="83" t="s">
        <v>12879</v>
      </c>
      <c r="B5290" s="83" t="s">
        <v>5010</v>
      </c>
      <c r="C5290" s="83" t="s">
        <v>12884</v>
      </c>
      <c r="D5290" s="83" t="s">
        <v>12881</v>
      </c>
    </row>
    <row r="5291" spans="1:4">
      <c r="A5291" s="83" t="s">
        <v>12885</v>
      </c>
      <c r="B5291" s="83" t="s">
        <v>5017</v>
      </c>
      <c r="C5291" s="83" t="s">
        <v>12886</v>
      </c>
      <c r="D5291" s="83" t="s">
        <v>12887</v>
      </c>
    </row>
    <row r="5292" spans="1:4">
      <c r="A5292" s="83" t="s">
        <v>12885</v>
      </c>
      <c r="B5292" s="83" t="s">
        <v>5012</v>
      </c>
      <c r="C5292" s="83" t="s">
        <v>12888</v>
      </c>
      <c r="D5292" s="83" t="s">
        <v>12887</v>
      </c>
    </row>
    <row r="5293" spans="1:4">
      <c r="A5293" s="83" t="s">
        <v>12885</v>
      </c>
      <c r="B5293" s="83" t="s">
        <v>5015</v>
      </c>
      <c r="C5293" s="83" t="s">
        <v>12889</v>
      </c>
      <c r="D5293" s="83" t="s">
        <v>12887</v>
      </c>
    </row>
    <row r="5294" spans="1:4">
      <c r="A5294" s="83" t="s">
        <v>12885</v>
      </c>
      <c r="B5294" s="83" t="s">
        <v>5010</v>
      </c>
      <c r="C5294" s="83" t="s">
        <v>12890</v>
      </c>
      <c r="D5294" s="83" t="s">
        <v>12887</v>
      </c>
    </row>
    <row r="5295" spans="1:4">
      <c r="A5295" s="83" t="s">
        <v>12891</v>
      </c>
      <c r="B5295" s="83" t="s">
        <v>5017</v>
      </c>
      <c r="C5295" s="83" t="s">
        <v>12892</v>
      </c>
      <c r="D5295" s="83" t="s">
        <v>12893</v>
      </c>
    </row>
    <row r="5296" spans="1:4">
      <c r="A5296" s="83" t="s">
        <v>12891</v>
      </c>
      <c r="B5296" s="83" t="s">
        <v>5012</v>
      </c>
      <c r="C5296" s="83" t="s">
        <v>12894</v>
      </c>
      <c r="D5296" s="83" t="s">
        <v>12893</v>
      </c>
    </row>
    <row r="5297" spans="1:4">
      <c r="A5297" s="83" t="s">
        <v>12891</v>
      </c>
      <c r="B5297" s="83" t="s">
        <v>5015</v>
      </c>
      <c r="C5297" s="83" t="s">
        <v>12895</v>
      </c>
      <c r="D5297" s="83" t="s">
        <v>12893</v>
      </c>
    </row>
    <row r="5298" spans="1:4">
      <c r="A5298" s="83" t="s">
        <v>12891</v>
      </c>
      <c r="B5298" s="83" t="s">
        <v>5010</v>
      </c>
      <c r="C5298" s="83" t="s">
        <v>12896</v>
      </c>
      <c r="D5298" s="83" t="s">
        <v>12893</v>
      </c>
    </row>
    <row r="5299" spans="1:4">
      <c r="A5299" s="83" t="s">
        <v>12897</v>
      </c>
      <c r="B5299" s="83" t="s">
        <v>5017</v>
      </c>
      <c r="C5299" s="83" t="s">
        <v>12898</v>
      </c>
      <c r="D5299" s="83" t="s">
        <v>12899</v>
      </c>
    </row>
    <row r="5300" spans="1:4">
      <c r="A5300" s="83" t="s">
        <v>12897</v>
      </c>
      <c r="B5300" s="83" t="s">
        <v>5012</v>
      </c>
      <c r="C5300" s="83" t="s">
        <v>12900</v>
      </c>
      <c r="D5300" s="83" t="s">
        <v>12899</v>
      </c>
    </row>
    <row r="5301" spans="1:4">
      <c r="A5301" s="83" t="s">
        <v>12897</v>
      </c>
      <c r="B5301" s="83" t="s">
        <v>5015</v>
      </c>
      <c r="C5301" s="83" t="s">
        <v>12901</v>
      </c>
      <c r="D5301" s="83" t="s">
        <v>12899</v>
      </c>
    </row>
    <row r="5302" spans="1:4">
      <c r="A5302" s="83" t="s">
        <v>12897</v>
      </c>
      <c r="B5302" s="83" t="s">
        <v>5010</v>
      </c>
      <c r="C5302" s="83" t="s">
        <v>12902</v>
      </c>
      <c r="D5302" s="83" t="s">
        <v>12899</v>
      </c>
    </row>
    <row r="5303" spans="1:4">
      <c r="A5303" s="83" t="s">
        <v>12903</v>
      </c>
      <c r="B5303" s="83" t="s">
        <v>5017</v>
      </c>
      <c r="C5303" s="83" t="s">
        <v>12904</v>
      </c>
      <c r="D5303" s="83" t="s">
        <v>12905</v>
      </c>
    </row>
    <row r="5304" spans="1:4">
      <c r="A5304" s="83" t="s">
        <v>12903</v>
      </c>
      <c r="B5304" s="83" t="s">
        <v>5012</v>
      </c>
      <c r="C5304" s="83" t="s">
        <v>12906</v>
      </c>
      <c r="D5304" s="83" t="s">
        <v>12905</v>
      </c>
    </row>
    <row r="5305" spans="1:4">
      <c r="A5305" s="83" t="s">
        <v>12903</v>
      </c>
      <c r="B5305" s="83" t="s">
        <v>5015</v>
      </c>
      <c r="C5305" s="83" t="s">
        <v>12907</v>
      </c>
      <c r="D5305" s="83" t="s">
        <v>12905</v>
      </c>
    </row>
    <row r="5306" spans="1:4">
      <c r="A5306" s="83" t="s">
        <v>12903</v>
      </c>
      <c r="B5306" s="83" t="s">
        <v>5010</v>
      </c>
      <c r="C5306" s="83" t="s">
        <v>12908</v>
      </c>
      <c r="D5306" s="83" t="s">
        <v>12905</v>
      </c>
    </row>
    <row r="5307" spans="1:4">
      <c r="A5307" s="83" t="s">
        <v>12909</v>
      </c>
      <c r="B5307" s="83" t="s">
        <v>5017</v>
      </c>
      <c r="C5307" s="83" t="s">
        <v>12910</v>
      </c>
      <c r="D5307" s="83" t="s">
        <v>12911</v>
      </c>
    </row>
    <row r="5308" spans="1:4">
      <c r="A5308" s="83" t="s">
        <v>12909</v>
      </c>
      <c r="B5308" s="83" t="s">
        <v>5012</v>
      </c>
      <c r="C5308" s="83" t="s">
        <v>12912</v>
      </c>
      <c r="D5308" s="83" t="s">
        <v>12911</v>
      </c>
    </row>
    <row r="5309" spans="1:4">
      <c r="A5309" s="83" t="s">
        <v>12909</v>
      </c>
      <c r="B5309" s="83" t="s">
        <v>5015</v>
      </c>
      <c r="C5309" s="83" t="s">
        <v>12913</v>
      </c>
      <c r="D5309" s="83" t="s">
        <v>12911</v>
      </c>
    </row>
    <row r="5310" spans="1:4">
      <c r="A5310" s="83" t="s">
        <v>12909</v>
      </c>
      <c r="B5310" s="83" t="s">
        <v>5010</v>
      </c>
      <c r="C5310" s="83" t="s">
        <v>12914</v>
      </c>
      <c r="D5310" s="83" t="s">
        <v>12911</v>
      </c>
    </row>
    <row r="5311" spans="1:4">
      <c r="A5311" s="83" t="s">
        <v>12915</v>
      </c>
      <c r="B5311" s="83" t="s">
        <v>5017</v>
      </c>
      <c r="C5311" s="83" t="s">
        <v>12916</v>
      </c>
      <c r="D5311" s="83" t="s">
        <v>12917</v>
      </c>
    </row>
    <row r="5312" spans="1:4">
      <c r="A5312" s="83" t="s">
        <v>12915</v>
      </c>
      <c r="B5312" s="83" t="s">
        <v>5012</v>
      </c>
      <c r="C5312" s="83" t="s">
        <v>12918</v>
      </c>
      <c r="D5312" s="83" t="s">
        <v>12917</v>
      </c>
    </row>
    <row r="5313" spans="1:4">
      <c r="A5313" s="83" t="s">
        <v>12915</v>
      </c>
      <c r="B5313" s="83" t="s">
        <v>5015</v>
      </c>
      <c r="C5313" s="83" t="s">
        <v>12919</v>
      </c>
      <c r="D5313" s="83" t="s">
        <v>12917</v>
      </c>
    </row>
    <row r="5314" spans="1:4">
      <c r="A5314" s="83" t="s">
        <v>12915</v>
      </c>
      <c r="B5314" s="83" t="s">
        <v>5010</v>
      </c>
      <c r="C5314" s="83" t="s">
        <v>12920</v>
      </c>
      <c r="D5314" s="83" t="s">
        <v>12917</v>
      </c>
    </row>
    <row r="5315" spans="1:4">
      <c r="A5315" s="83" t="s">
        <v>12921</v>
      </c>
      <c r="B5315" s="83" t="s">
        <v>5017</v>
      </c>
      <c r="C5315" s="83" t="s">
        <v>12922</v>
      </c>
      <c r="D5315" s="83" t="s">
        <v>12923</v>
      </c>
    </row>
    <row r="5316" spans="1:4">
      <c r="A5316" s="83" t="s">
        <v>12921</v>
      </c>
      <c r="B5316" s="83" t="s">
        <v>5012</v>
      </c>
      <c r="C5316" s="83" t="s">
        <v>12924</v>
      </c>
      <c r="D5316" s="83" t="s">
        <v>12923</v>
      </c>
    </row>
    <row r="5317" spans="1:4">
      <c r="A5317" s="83" t="s">
        <v>12921</v>
      </c>
      <c r="B5317" s="83" t="s">
        <v>5015</v>
      </c>
      <c r="C5317" s="83" t="s">
        <v>12925</v>
      </c>
      <c r="D5317" s="83" t="s">
        <v>12923</v>
      </c>
    </row>
    <row r="5318" spans="1:4">
      <c r="A5318" s="83" t="s">
        <v>12921</v>
      </c>
      <c r="B5318" s="83" t="s">
        <v>5010</v>
      </c>
      <c r="C5318" s="83" t="s">
        <v>12926</v>
      </c>
      <c r="D5318" s="83" t="s">
        <v>12923</v>
      </c>
    </row>
    <row r="5319" spans="1:4">
      <c r="A5319" s="83" t="s">
        <v>12927</v>
      </c>
      <c r="B5319" s="83" t="s">
        <v>5017</v>
      </c>
      <c r="C5319" s="83" t="s">
        <v>12928</v>
      </c>
      <c r="D5319" s="83" t="s">
        <v>12929</v>
      </c>
    </row>
    <row r="5320" spans="1:4">
      <c r="A5320" s="83" t="s">
        <v>12927</v>
      </c>
      <c r="B5320" s="83" t="s">
        <v>5012</v>
      </c>
      <c r="C5320" s="83" t="s">
        <v>12930</v>
      </c>
      <c r="D5320" s="83" t="s">
        <v>12929</v>
      </c>
    </row>
    <row r="5321" spans="1:4">
      <c r="A5321" s="83" t="s">
        <v>12927</v>
      </c>
      <c r="B5321" s="83" t="s">
        <v>5015</v>
      </c>
      <c r="C5321" s="83" t="s">
        <v>12931</v>
      </c>
      <c r="D5321" s="83" t="s">
        <v>12929</v>
      </c>
    </row>
    <row r="5322" spans="1:4">
      <c r="A5322" s="83" t="s">
        <v>12927</v>
      </c>
      <c r="B5322" s="83" t="s">
        <v>5010</v>
      </c>
      <c r="C5322" s="83" t="s">
        <v>12932</v>
      </c>
      <c r="D5322" s="83" t="s">
        <v>12929</v>
      </c>
    </row>
    <row r="5323" spans="1:4">
      <c r="A5323" s="83" t="s">
        <v>12933</v>
      </c>
      <c r="B5323" s="83" t="s">
        <v>5017</v>
      </c>
      <c r="C5323" s="83" t="s">
        <v>12934</v>
      </c>
      <c r="D5323" s="83" t="s">
        <v>12935</v>
      </c>
    </row>
    <row r="5324" spans="1:4">
      <c r="A5324" s="83" t="s">
        <v>12933</v>
      </c>
      <c r="B5324" s="83" t="s">
        <v>5012</v>
      </c>
      <c r="C5324" s="83" t="s">
        <v>12936</v>
      </c>
      <c r="D5324" s="83" t="s">
        <v>12935</v>
      </c>
    </row>
    <row r="5325" spans="1:4">
      <c r="A5325" s="83" t="s">
        <v>12933</v>
      </c>
      <c r="B5325" s="83" t="s">
        <v>5015</v>
      </c>
      <c r="C5325" s="83" t="s">
        <v>12937</v>
      </c>
      <c r="D5325" s="83" t="s">
        <v>12935</v>
      </c>
    </row>
    <row r="5326" spans="1:4">
      <c r="A5326" s="83" t="s">
        <v>12933</v>
      </c>
      <c r="B5326" s="83" t="s">
        <v>5010</v>
      </c>
      <c r="C5326" s="83" t="s">
        <v>12938</v>
      </c>
      <c r="D5326" s="83" t="s">
        <v>12935</v>
      </c>
    </row>
    <row r="5327" spans="1:4">
      <c r="A5327" s="83" t="s">
        <v>12939</v>
      </c>
      <c r="B5327" s="83" t="s">
        <v>5017</v>
      </c>
      <c r="C5327" s="83" t="s">
        <v>12940</v>
      </c>
      <c r="D5327" s="83" t="s">
        <v>12941</v>
      </c>
    </row>
    <row r="5328" spans="1:4">
      <c r="A5328" s="83" t="s">
        <v>12939</v>
      </c>
      <c r="B5328" s="83" t="s">
        <v>5012</v>
      </c>
      <c r="C5328" s="83" t="s">
        <v>12942</v>
      </c>
      <c r="D5328" s="83" t="s">
        <v>12941</v>
      </c>
    </row>
    <row r="5329" spans="1:4">
      <c r="A5329" s="83" t="s">
        <v>12939</v>
      </c>
      <c r="B5329" s="83" t="s">
        <v>5015</v>
      </c>
      <c r="C5329" s="83" t="s">
        <v>12943</v>
      </c>
      <c r="D5329" s="83" t="s">
        <v>12941</v>
      </c>
    </row>
    <row r="5330" spans="1:4">
      <c r="A5330" s="83" t="s">
        <v>12939</v>
      </c>
      <c r="B5330" s="83" t="s">
        <v>5010</v>
      </c>
      <c r="C5330" s="83" t="s">
        <v>12944</v>
      </c>
      <c r="D5330" s="83" t="s">
        <v>12941</v>
      </c>
    </row>
    <row r="5331" spans="1:4">
      <c r="A5331" s="83" t="s">
        <v>12945</v>
      </c>
      <c r="B5331" s="83" t="s">
        <v>5017</v>
      </c>
      <c r="C5331" s="83" t="s">
        <v>12946</v>
      </c>
      <c r="D5331" s="83" t="s">
        <v>12947</v>
      </c>
    </row>
    <row r="5332" spans="1:4">
      <c r="A5332" s="83" t="s">
        <v>12945</v>
      </c>
      <c r="B5332" s="83" t="s">
        <v>5012</v>
      </c>
      <c r="C5332" s="83" t="s">
        <v>12948</v>
      </c>
      <c r="D5332" s="83" t="s">
        <v>12947</v>
      </c>
    </row>
    <row r="5333" spans="1:4">
      <c r="A5333" s="83" t="s">
        <v>12945</v>
      </c>
      <c r="B5333" s="83" t="s">
        <v>5015</v>
      </c>
      <c r="C5333" s="83" t="s">
        <v>12949</v>
      </c>
      <c r="D5333" s="83" t="s">
        <v>12947</v>
      </c>
    </row>
    <row r="5334" spans="1:4">
      <c r="A5334" s="83" t="s">
        <v>12945</v>
      </c>
      <c r="B5334" s="83" t="s">
        <v>5010</v>
      </c>
      <c r="C5334" s="83" t="s">
        <v>12950</v>
      </c>
      <c r="D5334" s="83" t="s">
        <v>12947</v>
      </c>
    </row>
    <row r="5335" spans="1:4">
      <c r="A5335" s="83" t="s">
        <v>12951</v>
      </c>
      <c r="B5335" s="83" t="s">
        <v>5017</v>
      </c>
      <c r="C5335" s="83" t="s">
        <v>12952</v>
      </c>
      <c r="D5335" s="83" t="s">
        <v>12953</v>
      </c>
    </row>
    <row r="5336" spans="1:4">
      <c r="A5336" s="83" t="s">
        <v>12951</v>
      </c>
      <c r="B5336" s="83" t="s">
        <v>5012</v>
      </c>
      <c r="C5336" s="83" t="s">
        <v>12954</v>
      </c>
      <c r="D5336" s="83" t="s">
        <v>12953</v>
      </c>
    </row>
    <row r="5337" spans="1:4">
      <c r="A5337" s="83" t="s">
        <v>12951</v>
      </c>
      <c r="B5337" s="83" t="s">
        <v>5015</v>
      </c>
      <c r="C5337" s="83" t="s">
        <v>12955</v>
      </c>
      <c r="D5337" s="83" t="s">
        <v>12953</v>
      </c>
    </row>
    <row r="5338" spans="1:4">
      <c r="A5338" s="83" t="s">
        <v>12951</v>
      </c>
      <c r="B5338" s="83" t="s">
        <v>5010</v>
      </c>
      <c r="C5338" s="83" t="s">
        <v>12956</v>
      </c>
      <c r="D5338" s="83" t="s">
        <v>12953</v>
      </c>
    </row>
    <row r="5339" spans="1:4">
      <c r="A5339" s="83" t="s">
        <v>12957</v>
      </c>
      <c r="B5339" s="83" t="s">
        <v>5017</v>
      </c>
      <c r="C5339" s="83" t="s">
        <v>12958</v>
      </c>
      <c r="D5339" s="83" t="s">
        <v>12959</v>
      </c>
    </row>
    <row r="5340" spans="1:4">
      <c r="A5340" s="83" t="s">
        <v>12957</v>
      </c>
      <c r="B5340" s="83" t="s">
        <v>5012</v>
      </c>
      <c r="C5340" s="83" t="s">
        <v>12960</v>
      </c>
      <c r="D5340" s="83" t="s">
        <v>12959</v>
      </c>
    </row>
    <row r="5341" spans="1:4">
      <c r="A5341" s="83" t="s">
        <v>12957</v>
      </c>
      <c r="B5341" s="83" t="s">
        <v>5015</v>
      </c>
      <c r="C5341" s="83" t="s">
        <v>12961</v>
      </c>
      <c r="D5341" s="83" t="s">
        <v>12959</v>
      </c>
    </row>
    <row r="5342" spans="1:4">
      <c r="A5342" s="83" t="s">
        <v>12957</v>
      </c>
      <c r="B5342" s="83" t="s">
        <v>5010</v>
      </c>
      <c r="C5342" s="83" t="s">
        <v>12962</v>
      </c>
      <c r="D5342" s="83" t="s">
        <v>12959</v>
      </c>
    </row>
    <row r="5343" spans="1:4">
      <c r="A5343" s="83" t="s">
        <v>12963</v>
      </c>
      <c r="B5343" s="83" t="s">
        <v>5017</v>
      </c>
      <c r="C5343" s="83" t="s">
        <v>12964</v>
      </c>
      <c r="D5343" s="83" t="s">
        <v>12965</v>
      </c>
    </row>
    <row r="5344" spans="1:4">
      <c r="A5344" s="83" t="s">
        <v>12963</v>
      </c>
      <c r="B5344" s="83" t="s">
        <v>5012</v>
      </c>
      <c r="C5344" s="83" t="s">
        <v>12966</v>
      </c>
      <c r="D5344" s="83" t="s">
        <v>12965</v>
      </c>
    </row>
    <row r="5345" spans="1:4">
      <c r="A5345" s="83" t="s">
        <v>12963</v>
      </c>
      <c r="B5345" s="83" t="s">
        <v>5015</v>
      </c>
      <c r="C5345" s="83" t="s">
        <v>12967</v>
      </c>
      <c r="D5345" s="83" t="s">
        <v>12965</v>
      </c>
    </row>
    <row r="5346" spans="1:4">
      <c r="A5346" s="83" t="s">
        <v>12963</v>
      </c>
      <c r="B5346" s="83" t="s">
        <v>5010</v>
      </c>
      <c r="C5346" s="83" t="s">
        <v>12968</v>
      </c>
      <c r="D5346" s="83" t="s">
        <v>12965</v>
      </c>
    </row>
    <row r="5347" spans="1:4">
      <c r="A5347" s="83" t="s">
        <v>12969</v>
      </c>
      <c r="B5347" s="83" t="s">
        <v>5017</v>
      </c>
      <c r="C5347" s="83" t="s">
        <v>12970</v>
      </c>
      <c r="D5347" s="83" t="s">
        <v>12971</v>
      </c>
    </row>
    <row r="5348" spans="1:4">
      <c r="A5348" s="83" t="s">
        <v>12969</v>
      </c>
      <c r="B5348" s="83" t="s">
        <v>5012</v>
      </c>
      <c r="C5348" s="83" t="s">
        <v>12972</v>
      </c>
      <c r="D5348" s="83" t="s">
        <v>12971</v>
      </c>
    </row>
    <row r="5349" spans="1:4">
      <c r="A5349" s="83" t="s">
        <v>12969</v>
      </c>
      <c r="B5349" s="83" t="s">
        <v>5015</v>
      </c>
      <c r="C5349" s="83" t="s">
        <v>12973</v>
      </c>
      <c r="D5349" s="83" t="s">
        <v>12971</v>
      </c>
    </row>
    <row r="5350" spans="1:4">
      <c r="A5350" s="83" t="s">
        <v>12969</v>
      </c>
      <c r="B5350" s="83" t="s">
        <v>5010</v>
      </c>
      <c r="C5350" s="83" t="s">
        <v>12974</v>
      </c>
      <c r="D5350" s="83" t="s">
        <v>12971</v>
      </c>
    </row>
    <row r="5351" spans="1:4">
      <c r="A5351" s="83" t="s">
        <v>12975</v>
      </c>
      <c r="B5351" s="83" t="s">
        <v>5017</v>
      </c>
      <c r="C5351" s="83" t="s">
        <v>12976</v>
      </c>
      <c r="D5351" s="83" t="s">
        <v>12977</v>
      </c>
    </row>
    <row r="5352" spans="1:4">
      <c r="A5352" s="83" t="s">
        <v>12975</v>
      </c>
      <c r="B5352" s="83" t="s">
        <v>5012</v>
      </c>
      <c r="C5352" s="83" t="s">
        <v>12978</v>
      </c>
      <c r="D5352" s="83" t="s">
        <v>12977</v>
      </c>
    </row>
    <row r="5353" spans="1:4">
      <c r="A5353" s="83" t="s">
        <v>12975</v>
      </c>
      <c r="B5353" s="83" t="s">
        <v>5015</v>
      </c>
      <c r="C5353" s="83" t="s">
        <v>12979</v>
      </c>
      <c r="D5353" s="83" t="s">
        <v>12977</v>
      </c>
    </row>
    <row r="5354" spans="1:4">
      <c r="A5354" s="83" t="s">
        <v>12975</v>
      </c>
      <c r="B5354" s="83" t="s">
        <v>5010</v>
      </c>
      <c r="C5354" s="83" t="s">
        <v>12980</v>
      </c>
      <c r="D5354" s="83" t="s">
        <v>12977</v>
      </c>
    </row>
    <row r="5355" spans="1:4">
      <c r="A5355" s="83" t="s">
        <v>12981</v>
      </c>
      <c r="B5355" s="83" t="s">
        <v>5017</v>
      </c>
      <c r="C5355" s="83" t="s">
        <v>12982</v>
      </c>
      <c r="D5355" s="83" t="s">
        <v>12983</v>
      </c>
    </row>
    <row r="5356" spans="1:4">
      <c r="A5356" s="83" t="s">
        <v>12981</v>
      </c>
      <c r="B5356" s="83" t="s">
        <v>5012</v>
      </c>
      <c r="C5356" s="83" t="s">
        <v>12984</v>
      </c>
      <c r="D5356" s="83" t="s">
        <v>12983</v>
      </c>
    </row>
    <row r="5357" spans="1:4">
      <c r="A5357" s="83" t="s">
        <v>12981</v>
      </c>
      <c r="B5357" s="83" t="s">
        <v>5015</v>
      </c>
      <c r="C5357" s="83" t="s">
        <v>12985</v>
      </c>
      <c r="D5357" s="83" t="s">
        <v>12983</v>
      </c>
    </row>
    <row r="5358" spans="1:4">
      <c r="A5358" s="83" t="s">
        <v>12981</v>
      </c>
      <c r="B5358" s="83" t="s">
        <v>5010</v>
      </c>
      <c r="C5358" s="83" t="s">
        <v>12986</v>
      </c>
      <c r="D5358" s="83" t="s">
        <v>12983</v>
      </c>
    </row>
    <row r="5359" spans="1:4">
      <c r="A5359" s="83" t="s">
        <v>12987</v>
      </c>
      <c r="B5359" s="83" t="s">
        <v>5017</v>
      </c>
      <c r="C5359" s="83" t="s">
        <v>12988</v>
      </c>
      <c r="D5359" s="83" t="s">
        <v>12989</v>
      </c>
    </row>
    <row r="5360" spans="1:4">
      <c r="A5360" s="83" t="s">
        <v>12987</v>
      </c>
      <c r="B5360" s="83" t="s">
        <v>5012</v>
      </c>
      <c r="C5360" s="83" t="s">
        <v>12990</v>
      </c>
      <c r="D5360" s="83" t="s">
        <v>12989</v>
      </c>
    </row>
    <row r="5361" spans="1:4">
      <c r="A5361" s="83" t="s">
        <v>12987</v>
      </c>
      <c r="B5361" s="83" t="s">
        <v>5015</v>
      </c>
      <c r="C5361" s="83" t="s">
        <v>12991</v>
      </c>
      <c r="D5361" s="83" t="s">
        <v>12989</v>
      </c>
    </row>
    <row r="5362" spans="1:4">
      <c r="A5362" s="83" t="s">
        <v>12987</v>
      </c>
      <c r="B5362" s="83" t="s">
        <v>5010</v>
      </c>
      <c r="C5362" s="83" t="s">
        <v>12992</v>
      </c>
      <c r="D5362" s="83" t="s">
        <v>12989</v>
      </c>
    </row>
    <row r="5363" spans="1:4">
      <c r="A5363" s="83" t="s">
        <v>12993</v>
      </c>
      <c r="B5363" s="83" t="s">
        <v>5017</v>
      </c>
      <c r="C5363" s="83" t="s">
        <v>12994</v>
      </c>
      <c r="D5363" s="83" t="s">
        <v>12995</v>
      </c>
    </row>
    <row r="5364" spans="1:4">
      <c r="A5364" s="83" t="s">
        <v>12993</v>
      </c>
      <c r="B5364" s="83" t="s">
        <v>5012</v>
      </c>
      <c r="C5364" s="83" t="s">
        <v>12996</v>
      </c>
      <c r="D5364" s="83" t="s">
        <v>12995</v>
      </c>
    </row>
    <row r="5365" spans="1:4">
      <c r="A5365" s="83" t="s">
        <v>12993</v>
      </c>
      <c r="B5365" s="83" t="s">
        <v>5015</v>
      </c>
      <c r="C5365" s="83" t="s">
        <v>12997</v>
      </c>
      <c r="D5365" s="83" t="s">
        <v>12995</v>
      </c>
    </row>
    <row r="5366" spans="1:4">
      <c r="A5366" s="83" t="s">
        <v>12993</v>
      </c>
      <c r="B5366" s="83" t="s">
        <v>5010</v>
      </c>
      <c r="C5366" s="83" t="s">
        <v>12998</v>
      </c>
      <c r="D5366" s="83" t="s">
        <v>12995</v>
      </c>
    </row>
    <row r="5367" spans="1:4">
      <c r="A5367" s="83" t="s">
        <v>12999</v>
      </c>
      <c r="B5367" s="83" t="s">
        <v>5017</v>
      </c>
      <c r="C5367" s="83" t="s">
        <v>13000</v>
      </c>
      <c r="D5367" s="83" t="s">
        <v>13001</v>
      </c>
    </row>
    <row r="5368" spans="1:4">
      <c r="A5368" s="83" t="s">
        <v>12999</v>
      </c>
      <c r="B5368" s="83" t="s">
        <v>5012</v>
      </c>
      <c r="C5368" s="83" t="s">
        <v>13002</v>
      </c>
      <c r="D5368" s="83" t="s">
        <v>13001</v>
      </c>
    </row>
    <row r="5369" spans="1:4">
      <c r="A5369" s="83" t="s">
        <v>12999</v>
      </c>
      <c r="B5369" s="83" t="s">
        <v>5015</v>
      </c>
      <c r="C5369" s="83" t="s">
        <v>13003</v>
      </c>
      <c r="D5369" s="83" t="s">
        <v>13001</v>
      </c>
    </row>
    <row r="5370" spans="1:4">
      <c r="A5370" s="83" t="s">
        <v>12999</v>
      </c>
      <c r="B5370" s="83" t="s">
        <v>5010</v>
      </c>
      <c r="C5370" s="83" t="s">
        <v>13004</v>
      </c>
      <c r="D5370" s="83" t="s">
        <v>13001</v>
      </c>
    </row>
    <row r="5371" spans="1:4">
      <c r="A5371" s="83" t="s">
        <v>13005</v>
      </c>
      <c r="B5371" s="83" t="s">
        <v>5017</v>
      </c>
      <c r="C5371" s="83" t="s">
        <v>13006</v>
      </c>
      <c r="D5371" s="83" t="s">
        <v>13007</v>
      </c>
    </row>
    <row r="5372" spans="1:4">
      <c r="A5372" s="83" t="s">
        <v>13005</v>
      </c>
      <c r="B5372" s="83" t="s">
        <v>5012</v>
      </c>
      <c r="C5372" s="83" t="s">
        <v>13008</v>
      </c>
      <c r="D5372" s="83" t="s">
        <v>13007</v>
      </c>
    </row>
    <row r="5373" spans="1:4">
      <c r="A5373" s="83" t="s">
        <v>13005</v>
      </c>
      <c r="B5373" s="83" t="s">
        <v>5015</v>
      </c>
      <c r="C5373" s="83" t="s">
        <v>13009</v>
      </c>
      <c r="D5373" s="83" t="s">
        <v>13007</v>
      </c>
    </row>
    <row r="5374" spans="1:4">
      <c r="A5374" s="83" t="s">
        <v>13005</v>
      </c>
      <c r="B5374" s="83" t="s">
        <v>5010</v>
      </c>
      <c r="C5374" s="83" t="s">
        <v>13010</v>
      </c>
      <c r="D5374" s="83" t="s">
        <v>13007</v>
      </c>
    </row>
    <row r="5375" spans="1:4">
      <c r="A5375" s="83" t="s">
        <v>13011</v>
      </c>
      <c r="B5375" s="83" t="s">
        <v>5017</v>
      </c>
      <c r="C5375" s="83" t="s">
        <v>13012</v>
      </c>
      <c r="D5375" s="83" t="s">
        <v>13013</v>
      </c>
    </row>
    <row r="5376" spans="1:4">
      <c r="A5376" s="83" t="s">
        <v>13011</v>
      </c>
      <c r="B5376" s="83" t="s">
        <v>5012</v>
      </c>
      <c r="C5376" s="83" t="s">
        <v>13014</v>
      </c>
      <c r="D5376" s="83" t="s">
        <v>13013</v>
      </c>
    </row>
    <row r="5377" spans="1:4">
      <c r="A5377" s="83" t="s">
        <v>13011</v>
      </c>
      <c r="B5377" s="83" t="s">
        <v>5015</v>
      </c>
      <c r="C5377" s="83" t="s">
        <v>13015</v>
      </c>
      <c r="D5377" s="83" t="s">
        <v>13013</v>
      </c>
    </row>
    <row r="5378" spans="1:4">
      <c r="A5378" s="83" t="s">
        <v>13011</v>
      </c>
      <c r="B5378" s="83" t="s">
        <v>5010</v>
      </c>
      <c r="C5378" s="83" t="s">
        <v>13016</v>
      </c>
      <c r="D5378" s="83" t="s">
        <v>13013</v>
      </c>
    </row>
    <row r="5379" spans="1:4">
      <c r="A5379" s="83" t="s">
        <v>13017</v>
      </c>
      <c r="B5379" s="83" t="s">
        <v>5017</v>
      </c>
      <c r="C5379" s="83" t="s">
        <v>13018</v>
      </c>
      <c r="D5379" s="83" t="s">
        <v>13019</v>
      </c>
    </row>
    <row r="5380" spans="1:4">
      <c r="A5380" s="83" t="s">
        <v>13017</v>
      </c>
      <c r="B5380" s="83" t="s">
        <v>5012</v>
      </c>
      <c r="C5380" s="83" t="s">
        <v>13020</v>
      </c>
      <c r="D5380" s="83" t="s">
        <v>13019</v>
      </c>
    </row>
    <row r="5381" spans="1:4">
      <c r="A5381" s="83" t="s">
        <v>13017</v>
      </c>
      <c r="B5381" s="83" t="s">
        <v>5015</v>
      </c>
      <c r="C5381" s="83" t="s">
        <v>13021</v>
      </c>
      <c r="D5381" s="83" t="s">
        <v>13019</v>
      </c>
    </row>
    <row r="5382" spans="1:4">
      <c r="A5382" s="83" t="s">
        <v>13017</v>
      </c>
      <c r="B5382" s="83" t="s">
        <v>5010</v>
      </c>
      <c r="C5382" s="83" t="s">
        <v>13022</v>
      </c>
      <c r="D5382" s="83" t="s">
        <v>13019</v>
      </c>
    </row>
    <row r="5383" spans="1:4">
      <c r="A5383" s="83" t="s">
        <v>13023</v>
      </c>
      <c r="B5383" s="83" t="s">
        <v>5017</v>
      </c>
      <c r="C5383" s="83" t="s">
        <v>13024</v>
      </c>
      <c r="D5383" s="83" t="s">
        <v>13025</v>
      </c>
    </row>
    <row r="5384" spans="1:4">
      <c r="A5384" s="83" t="s">
        <v>13023</v>
      </c>
      <c r="B5384" s="83" t="s">
        <v>5012</v>
      </c>
      <c r="C5384" s="83" t="s">
        <v>13026</v>
      </c>
      <c r="D5384" s="83" t="s">
        <v>13025</v>
      </c>
    </row>
    <row r="5385" spans="1:4">
      <c r="A5385" s="83" t="s">
        <v>13023</v>
      </c>
      <c r="B5385" s="83" t="s">
        <v>5015</v>
      </c>
      <c r="C5385" s="83" t="s">
        <v>13027</v>
      </c>
      <c r="D5385" s="83" t="s">
        <v>13025</v>
      </c>
    </row>
    <row r="5386" spans="1:4">
      <c r="A5386" s="83" t="s">
        <v>13023</v>
      </c>
      <c r="B5386" s="83" t="s">
        <v>5010</v>
      </c>
      <c r="C5386" s="83" t="s">
        <v>13028</v>
      </c>
      <c r="D5386" s="83" t="s">
        <v>13025</v>
      </c>
    </row>
    <row r="5387" spans="1:4">
      <c r="A5387" s="83" t="s">
        <v>13029</v>
      </c>
      <c r="B5387" s="83" t="s">
        <v>5017</v>
      </c>
      <c r="C5387" s="83" t="s">
        <v>13030</v>
      </c>
      <c r="D5387" s="83" t="s">
        <v>13031</v>
      </c>
    </row>
    <row r="5388" spans="1:4">
      <c r="A5388" s="83" t="s">
        <v>13029</v>
      </c>
      <c r="B5388" s="83" t="s">
        <v>5012</v>
      </c>
      <c r="C5388" s="83" t="s">
        <v>13032</v>
      </c>
      <c r="D5388" s="83" t="s">
        <v>13031</v>
      </c>
    </row>
    <row r="5389" spans="1:4">
      <c r="A5389" s="83" t="s">
        <v>13029</v>
      </c>
      <c r="B5389" s="83" t="s">
        <v>5015</v>
      </c>
      <c r="C5389" s="83" t="s">
        <v>13033</v>
      </c>
      <c r="D5389" s="83" t="s">
        <v>13031</v>
      </c>
    </row>
    <row r="5390" spans="1:4">
      <c r="A5390" s="83" t="s">
        <v>13029</v>
      </c>
      <c r="B5390" s="83" t="s">
        <v>5010</v>
      </c>
      <c r="C5390" s="83" t="s">
        <v>13034</v>
      </c>
      <c r="D5390" s="83" t="s">
        <v>13031</v>
      </c>
    </row>
    <row r="5391" spans="1:4">
      <c r="A5391" s="83" t="s">
        <v>13035</v>
      </c>
      <c r="B5391" s="83" t="s">
        <v>5017</v>
      </c>
      <c r="C5391" s="83" t="s">
        <v>13036</v>
      </c>
      <c r="D5391" s="83" t="s">
        <v>13037</v>
      </c>
    </row>
    <row r="5392" spans="1:4">
      <c r="A5392" s="83" t="s">
        <v>13035</v>
      </c>
      <c r="B5392" s="83" t="s">
        <v>5012</v>
      </c>
      <c r="C5392" s="83" t="s">
        <v>13038</v>
      </c>
      <c r="D5392" s="83" t="s">
        <v>13037</v>
      </c>
    </row>
    <row r="5393" spans="1:4">
      <c r="A5393" s="83" t="s">
        <v>13035</v>
      </c>
      <c r="B5393" s="83" t="s">
        <v>5015</v>
      </c>
      <c r="C5393" s="83" t="s">
        <v>13039</v>
      </c>
      <c r="D5393" s="83" t="s">
        <v>13037</v>
      </c>
    </row>
    <row r="5394" spans="1:4">
      <c r="A5394" s="83" t="s">
        <v>13035</v>
      </c>
      <c r="B5394" s="83" t="s">
        <v>5010</v>
      </c>
      <c r="C5394" s="83" t="s">
        <v>13040</v>
      </c>
      <c r="D5394" s="83" t="s">
        <v>13037</v>
      </c>
    </row>
    <row r="5395" spans="1:4">
      <c r="A5395" s="83" t="s">
        <v>13041</v>
      </c>
      <c r="B5395" s="83" t="s">
        <v>5017</v>
      </c>
      <c r="C5395" s="83" t="s">
        <v>13042</v>
      </c>
      <c r="D5395" s="83" t="s">
        <v>13043</v>
      </c>
    </row>
    <row r="5396" spans="1:4">
      <c r="A5396" s="83" t="s">
        <v>13041</v>
      </c>
      <c r="B5396" s="83" t="s">
        <v>5012</v>
      </c>
      <c r="C5396" s="83" t="s">
        <v>13044</v>
      </c>
      <c r="D5396" s="83" t="s">
        <v>13043</v>
      </c>
    </row>
    <row r="5397" spans="1:4">
      <c r="A5397" s="83" t="s">
        <v>13041</v>
      </c>
      <c r="B5397" s="83" t="s">
        <v>5015</v>
      </c>
      <c r="C5397" s="83" t="s">
        <v>13045</v>
      </c>
      <c r="D5397" s="83" t="s">
        <v>13043</v>
      </c>
    </row>
    <row r="5398" spans="1:4">
      <c r="A5398" s="83" t="s">
        <v>13041</v>
      </c>
      <c r="B5398" s="83" t="s">
        <v>5010</v>
      </c>
      <c r="C5398" s="83" t="s">
        <v>13046</v>
      </c>
      <c r="D5398" s="83" t="s">
        <v>13043</v>
      </c>
    </row>
    <row r="5399" spans="1:4">
      <c r="A5399" s="83" t="s">
        <v>13047</v>
      </c>
      <c r="B5399" s="83" t="s">
        <v>5017</v>
      </c>
      <c r="C5399" s="83" t="s">
        <v>13048</v>
      </c>
      <c r="D5399" s="83" t="s">
        <v>13049</v>
      </c>
    </row>
    <row r="5400" spans="1:4">
      <c r="A5400" s="83" t="s">
        <v>13047</v>
      </c>
      <c r="B5400" s="83" t="s">
        <v>5012</v>
      </c>
      <c r="C5400" s="83" t="s">
        <v>13050</v>
      </c>
      <c r="D5400" s="83" t="s">
        <v>13049</v>
      </c>
    </row>
    <row r="5401" spans="1:4">
      <c r="A5401" s="83" t="s">
        <v>13047</v>
      </c>
      <c r="B5401" s="83" t="s">
        <v>5015</v>
      </c>
      <c r="C5401" s="83" t="s">
        <v>13051</v>
      </c>
      <c r="D5401" s="83" t="s">
        <v>13049</v>
      </c>
    </row>
    <row r="5402" spans="1:4">
      <c r="A5402" s="83" t="s">
        <v>13047</v>
      </c>
      <c r="B5402" s="83" t="s">
        <v>5010</v>
      </c>
      <c r="C5402" s="83" t="s">
        <v>13052</v>
      </c>
      <c r="D5402" s="83" t="s">
        <v>13049</v>
      </c>
    </row>
    <row r="5403" spans="1:4">
      <c r="A5403" s="83" t="s">
        <v>13053</v>
      </c>
      <c r="B5403" s="83" t="s">
        <v>5017</v>
      </c>
      <c r="C5403" s="83" t="s">
        <v>13054</v>
      </c>
      <c r="D5403" s="83" t="s">
        <v>13055</v>
      </c>
    </row>
    <row r="5404" spans="1:4">
      <c r="A5404" s="83" t="s">
        <v>13053</v>
      </c>
      <c r="B5404" s="83" t="s">
        <v>5012</v>
      </c>
      <c r="C5404" s="83" t="s">
        <v>13056</v>
      </c>
      <c r="D5404" s="83" t="s">
        <v>13055</v>
      </c>
    </row>
    <row r="5405" spans="1:4">
      <c r="A5405" s="83" t="s">
        <v>13053</v>
      </c>
      <c r="B5405" s="83" t="s">
        <v>5015</v>
      </c>
      <c r="C5405" s="83" t="s">
        <v>13057</v>
      </c>
      <c r="D5405" s="83" t="s">
        <v>13055</v>
      </c>
    </row>
    <row r="5406" spans="1:4">
      <c r="A5406" s="83" t="s">
        <v>13053</v>
      </c>
      <c r="B5406" s="83" t="s">
        <v>5010</v>
      </c>
      <c r="C5406" s="83" t="s">
        <v>13058</v>
      </c>
      <c r="D5406" s="83" t="s">
        <v>13055</v>
      </c>
    </row>
    <row r="5407" spans="1:4">
      <c r="A5407" s="83" t="s">
        <v>13059</v>
      </c>
      <c r="B5407" s="83" t="s">
        <v>5017</v>
      </c>
      <c r="C5407" s="83" t="s">
        <v>13060</v>
      </c>
      <c r="D5407" s="83" t="s">
        <v>13061</v>
      </c>
    </row>
    <row r="5408" spans="1:4">
      <c r="A5408" s="83" t="s">
        <v>13059</v>
      </c>
      <c r="B5408" s="83" t="s">
        <v>5012</v>
      </c>
      <c r="C5408" s="83" t="s">
        <v>13062</v>
      </c>
      <c r="D5408" s="83" t="s">
        <v>13061</v>
      </c>
    </row>
    <row r="5409" spans="1:4">
      <c r="A5409" s="83" t="s">
        <v>13059</v>
      </c>
      <c r="B5409" s="83" t="s">
        <v>5015</v>
      </c>
      <c r="C5409" s="83" t="s">
        <v>13063</v>
      </c>
      <c r="D5409" s="83" t="s">
        <v>13061</v>
      </c>
    </row>
    <row r="5410" spans="1:4">
      <c r="A5410" s="83" t="s">
        <v>13059</v>
      </c>
      <c r="B5410" s="83" t="s">
        <v>5010</v>
      </c>
      <c r="C5410" s="83" t="s">
        <v>13064</v>
      </c>
      <c r="D5410" s="83" t="s">
        <v>13061</v>
      </c>
    </row>
    <row r="5411" spans="1:4">
      <c r="A5411" s="83" t="s">
        <v>13065</v>
      </c>
      <c r="B5411" s="83" t="s">
        <v>5017</v>
      </c>
      <c r="C5411" s="83" t="s">
        <v>13066</v>
      </c>
      <c r="D5411" s="83" t="s">
        <v>13067</v>
      </c>
    </row>
    <row r="5412" spans="1:4">
      <c r="A5412" s="83" t="s">
        <v>13065</v>
      </c>
      <c r="B5412" s="83" t="s">
        <v>5012</v>
      </c>
      <c r="C5412" s="83" t="s">
        <v>13068</v>
      </c>
      <c r="D5412" s="83" t="s">
        <v>13067</v>
      </c>
    </row>
    <row r="5413" spans="1:4">
      <c r="A5413" s="83" t="s">
        <v>13065</v>
      </c>
      <c r="B5413" s="83" t="s">
        <v>5015</v>
      </c>
      <c r="C5413" s="83" t="s">
        <v>13069</v>
      </c>
      <c r="D5413" s="83" t="s">
        <v>13067</v>
      </c>
    </row>
    <row r="5414" spans="1:4">
      <c r="A5414" s="83" t="s">
        <v>13065</v>
      </c>
      <c r="B5414" s="83" t="s">
        <v>5010</v>
      </c>
      <c r="C5414" s="83" t="s">
        <v>13070</v>
      </c>
      <c r="D5414" s="83" t="s">
        <v>13067</v>
      </c>
    </row>
    <row r="5415" spans="1:4">
      <c r="A5415" s="83" t="s">
        <v>13071</v>
      </c>
      <c r="B5415" s="83" t="s">
        <v>5017</v>
      </c>
      <c r="C5415" s="83" t="s">
        <v>13072</v>
      </c>
      <c r="D5415" s="83" t="s">
        <v>13073</v>
      </c>
    </row>
    <row r="5416" spans="1:4">
      <c r="A5416" s="83" t="s">
        <v>13071</v>
      </c>
      <c r="B5416" s="83" t="s">
        <v>5012</v>
      </c>
      <c r="C5416" s="83" t="s">
        <v>13074</v>
      </c>
      <c r="D5416" s="83" t="s">
        <v>13073</v>
      </c>
    </row>
    <row r="5417" spans="1:4">
      <c r="A5417" s="83" t="s">
        <v>13071</v>
      </c>
      <c r="B5417" s="83" t="s">
        <v>5015</v>
      </c>
      <c r="C5417" s="83" t="s">
        <v>13075</v>
      </c>
      <c r="D5417" s="83" t="s">
        <v>13073</v>
      </c>
    </row>
    <row r="5418" spans="1:4">
      <c r="A5418" s="83" t="s">
        <v>13071</v>
      </c>
      <c r="B5418" s="83" t="s">
        <v>5010</v>
      </c>
      <c r="C5418" s="83" t="s">
        <v>13076</v>
      </c>
      <c r="D5418" s="83" t="s">
        <v>13073</v>
      </c>
    </row>
    <row r="5419" spans="1:4">
      <c r="A5419" s="83" t="s">
        <v>13077</v>
      </c>
      <c r="B5419" s="83" t="s">
        <v>5017</v>
      </c>
      <c r="C5419" s="83" t="s">
        <v>13078</v>
      </c>
      <c r="D5419" s="83" t="s">
        <v>13079</v>
      </c>
    </row>
    <row r="5420" spans="1:4">
      <c r="A5420" s="83" t="s">
        <v>13077</v>
      </c>
      <c r="B5420" s="83" t="s">
        <v>5012</v>
      </c>
      <c r="C5420" s="83" t="s">
        <v>13080</v>
      </c>
      <c r="D5420" s="83" t="s">
        <v>13079</v>
      </c>
    </row>
    <row r="5421" spans="1:4">
      <c r="A5421" s="83" t="s">
        <v>13077</v>
      </c>
      <c r="B5421" s="83" t="s">
        <v>5015</v>
      </c>
      <c r="C5421" s="83" t="s">
        <v>13081</v>
      </c>
      <c r="D5421" s="83" t="s">
        <v>13079</v>
      </c>
    </row>
    <row r="5422" spans="1:4">
      <c r="A5422" s="83" t="s">
        <v>13077</v>
      </c>
      <c r="B5422" s="83" t="s">
        <v>5010</v>
      </c>
      <c r="C5422" s="83" t="s">
        <v>13082</v>
      </c>
      <c r="D5422" s="83" t="s">
        <v>13079</v>
      </c>
    </row>
    <row r="5423" spans="1:4">
      <c r="A5423" s="83" t="s">
        <v>13083</v>
      </c>
      <c r="B5423" s="83" t="s">
        <v>5017</v>
      </c>
      <c r="C5423" s="83" t="s">
        <v>13084</v>
      </c>
      <c r="D5423" s="83" t="s">
        <v>13085</v>
      </c>
    </row>
    <row r="5424" spans="1:4">
      <c r="A5424" s="83" t="s">
        <v>13083</v>
      </c>
      <c r="B5424" s="83" t="s">
        <v>5012</v>
      </c>
      <c r="C5424" s="83" t="s">
        <v>13086</v>
      </c>
      <c r="D5424" s="83" t="s">
        <v>13085</v>
      </c>
    </row>
    <row r="5425" spans="1:4">
      <c r="A5425" s="83" t="s">
        <v>13083</v>
      </c>
      <c r="B5425" s="83" t="s">
        <v>5015</v>
      </c>
      <c r="C5425" s="83" t="s">
        <v>13051</v>
      </c>
      <c r="D5425" s="83" t="s">
        <v>13085</v>
      </c>
    </row>
    <row r="5426" spans="1:4">
      <c r="A5426" s="83" t="s">
        <v>13083</v>
      </c>
      <c r="B5426" s="83" t="s">
        <v>5010</v>
      </c>
      <c r="C5426" s="83" t="s">
        <v>13087</v>
      </c>
      <c r="D5426" s="83" t="s">
        <v>13085</v>
      </c>
    </row>
    <row r="5427" spans="1:4">
      <c r="A5427" s="83" t="s">
        <v>13088</v>
      </c>
      <c r="B5427" s="83" t="s">
        <v>5017</v>
      </c>
      <c r="C5427" s="83" t="s">
        <v>13089</v>
      </c>
      <c r="D5427" s="83" t="s">
        <v>13090</v>
      </c>
    </row>
    <row r="5428" spans="1:4">
      <c r="A5428" s="83" t="s">
        <v>13088</v>
      </c>
      <c r="B5428" s="83" t="s">
        <v>5012</v>
      </c>
      <c r="C5428" s="83" t="s">
        <v>13091</v>
      </c>
      <c r="D5428" s="83" t="s">
        <v>13090</v>
      </c>
    </row>
    <row r="5429" spans="1:4">
      <c r="A5429" s="83" t="s">
        <v>13088</v>
      </c>
      <c r="B5429" s="83" t="s">
        <v>5015</v>
      </c>
      <c r="C5429" s="83" t="s">
        <v>13092</v>
      </c>
      <c r="D5429" s="83" t="s">
        <v>13090</v>
      </c>
    </row>
    <row r="5430" spans="1:4">
      <c r="A5430" s="83" t="s">
        <v>13088</v>
      </c>
      <c r="B5430" s="83" t="s">
        <v>5010</v>
      </c>
      <c r="C5430" s="83" t="s">
        <v>13093</v>
      </c>
      <c r="D5430" s="83" t="s">
        <v>13090</v>
      </c>
    </row>
    <row r="5431" spans="1:4">
      <c r="A5431" s="83" t="s">
        <v>13094</v>
      </c>
      <c r="B5431" s="83" t="s">
        <v>5017</v>
      </c>
      <c r="C5431" s="83" t="s">
        <v>13095</v>
      </c>
      <c r="D5431" s="83" t="s">
        <v>13096</v>
      </c>
    </row>
    <row r="5432" spans="1:4">
      <c r="A5432" s="83" t="s">
        <v>13094</v>
      </c>
      <c r="B5432" s="83" t="s">
        <v>5012</v>
      </c>
      <c r="C5432" s="83" t="s">
        <v>13097</v>
      </c>
      <c r="D5432" s="83" t="s">
        <v>13096</v>
      </c>
    </row>
    <row r="5433" spans="1:4">
      <c r="A5433" s="83" t="s">
        <v>13094</v>
      </c>
      <c r="B5433" s="83" t="s">
        <v>5015</v>
      </c>
      <c r="C5433" s="83" t="s">
        <v>13098</v>
      </c>
      <c r="D5433" s="83" t="s">
        <v>13096</v>
      </c>
    </row>
    <row r="5434" spans="1:4">
      <c r="A5434" s="83" t="s">
        <v>13094</v>
      </c>
      <c r="B5434" s="83" t="s">
        <v>5010</v>
      </c>
      <c r="C5434" s="83" t="s">
        <v>13099</v>
      </c>
      <c r="D5434" s="83" t="s">
        <v>13096</v>
      </c>
    </row>
    <row r="5435" spans="1:4">
      <c r="A5435" s="83" t="s">
        <v>13100</v>
      </c>
      <c r="B5435" s="83" t="s">
        <v>5017</v>
      </c>
      <c r="C5435" s="83" t="s">
        <v>13101</v>
      </c>
      <c r="D5435" s="83" t="s">
        <v>13102</v>
      </c>
    </row>
    <row r="5436" spans="1:4">
      <c r="A5436" s="83" t="s">
        <v>13100</v>
      </c>
      <c r="B5436" s="83" t="s">
        <v>5012</v>
      </c>
      <c r="C5436" s="83" t="s">
        <v>13103</v>
      </c>
      <c r="D5436" s="83" t="s">
        <v>13102</v>
      </c>
    </row>
    <row r="5437" spans="1:4">
      <c r="A5437" s="83" t="s">
        <v>13100</v>
      </c>
      <c r="B5437" s="83" t="s">
        <v>5015</v>
      </c>
      <c r="C5437" s="83" t="s">
        <v>13104</v>
      </c>
      <c r="D5437" s="83" t="s">
        <v>13102</v>
      </c>
    </row>
    <row r="5438" spans="1:4">
      <c r="A5438" s="83" t="s">
        <v>13100</v>
      </c>
      <c r="B5438" s="83" t="s">
        <v>5010</v>
      </c>
      <c r="C5438" s="83" t="s">
        <v>13105</v>
      </c>
      <c r="D5438" s="83" t="s">
        <v>13102</v>
      </c>
    </row>
    <row r="5439" spans="1:4">
      <c r="A5439" s="83" t="s">
        <v>13106</v>
      </c>
      <c r="B5439" s="83" t="s">
        <v>5017</v>
      </c>
      <c r="C5439" s="83" t="s">
        <v>13107</v>
      </c>
      <c r="D5439" s="83" t="s">
        <v>13108</v>
      </c>
    </row>
    <row r="5440" spans="1:4">
      <c r="A5440" s="83" t="s">
        <v>13106</v>
      </c>
      <c r="B5440" s="83" t="s">
        <v>5012</v>
      </c>
      <c r="C5440" s="83" t="s">
        <v>13109</v>
      </c>
      <c r="D5440" s="83" t="s">
        <v>13108</v>
      </c>
    </row>
    <row r="5441" spans="1:4">
      <c r="A5441" s="83" t="s">
        <v>13106</v>
      </c>
      <c r="B5441" s="83" t="s">
        <v>5015</v>
      </c>
      <c r="C5441" s="83" t="s">
        <v>13110</v>
      </c>
      <c r="D5441" s="83" t="s">
        <v>13108</v>
      </c>
    </row>
    <row r="5442" spans="1:4">
      <c r="A5442" s="83" t="s">
        <v>13106</v>
      </c>
      <c r="B5442" s="83" t="s">
        <v>5010</v>
      </c>
      <c r="C5442" s="83" t="s">
        <v>13111</v>
      </c>
      <c r="D5442" s="83" t="s">
        <v>13108</v>
      </c>
    </row>
    <row r="5443" spans="1:4">
      <c r="A5443" s="83" t="s">
        <v>13112</v>
      </c>
      <c r="B5443" s="83" t="s">
        <v>5017</v>
      </c>
      <c r="C5443" s="83" t="s">
        <v>13113</v>
      </c>
      <c r="D5443" s="83" t="s">
        <v>13114</v>
      </c>
    </row>
    <row r="5444" spans="1:4">
      <c r="A5444" s="83" t="s">
        <v>13112</v>
      </c>
      <c r="B5444" s="83" t="s">
        <v>5012</v>
      </c>
      <c r="C5444" s="83" t="s">
        <v>13115</v>
      </c>
      <c r="D5444" s="83" t="s">
        <v>13114</v>
      </c>
    </row>
    <row r="5445" spans="1:4">
      <c r="A5445" s="83" t="s">
        <v>13112</v>
      </c>
      <c r="B5445" s="83" t="s">
        <v>5015</v>
      </c>
      <c r="C5445" s="83" t="s">
        <v>13116</v>
      </c>
      <c r="D5445" s="83" t="s">
        <v>13114</v>
      </c>
    </row>
    <row r="5446" spans="1:4">
      <c r="A5446" s="83" t="s">
        <v>13112</v>
      </c>
      <c r="B5446" s="83" t="s">
        <v>5010</v>
      </c>
      <c r="C5446" s="83" t="s">
        <v>13117</v>
      </c>
      <c r="D5446" s="83" t="s">
        <v>13114</v>
      </c>
    </row>
    <row r="5447" spans="1:4">
      <c r="A5447" s="83" t="s">
        <v>13118</v>
      </c>
      <c r="B5447" s="83" t="s">
        <v>5017</v>
      </c>
      <c r="C5447" s="83" t="s">
        <v>13119</v>
      </c>
      <c r="D5447" s="83" t="s">
        <v>13120</v>
      </c>
    </row>
    <row r="5448" spans="1:4">
      <c r="A5448" s="83" t="s">
        <v>13118</v>
      </c>
      <c r="B5448" s="83" t="s">
        <v>5012</v>
      </c>
      <c r="C5448" s="83" t="s">
        <v>13121</v>
      </c>
      <c r="D5448" s="83" t="s">
        <v>13120</v>
      </c>
    </row>
    <row r="5449" spans="1:4">
      <c r="A5449" s="83" t="s">
        <v>13118</v>
      </c>
      <c r="B5449" s="83" t="s">
        <v>5015</v>
      </c>
      <c r="C5449" s="83" t="s">
        <v>13122</v>
      </c>
      <c r="D5449" s="83" t="s">
        <v>13120</v>
      </c>
    </row>
    <row r="5450" spans="1:4">
      <c r="A5450" s="83" t="s">
        <v>13118</v>
      </c>
      <c r="B5450" s="83" t="s">
        <v>5010</v>
      </c>
      <c r="C5450" s="83" t="s">
        <v>13123</v>
      </c>
      <c r="D5450" s="83" t="s">
        <v>13120</v>
      </c>
    </row>
    <row r="5451" spans="1:4">
      <c r="A5451" s="83" t="s">
        <v>13124</v>
      </c>
      <c r="B5451" s="83" t="s">
        <v>5017</v>
      </c>
      <c r="C5451" s="83" t="s">
        <v>13125</v>
      </c>
      <c r="D5451" s="83" t="s">
        <v>13126</v>
      </c>
    </row>
    <row r="5452" spans="1:4">
      <c r="A5452" s="83" t="s">
        <v>13124</v>
      </c>
      <c r="B5452" s="83" t="s">
        <v>5012</v>
      </c>
      <c r="C5452" s="83" t="s">
        <v>13127</v>
      </c>
      <c r="D5452" s="83" t="s">
        <v>13126</v>
      </c>
    </row>
    <row r="5453" spans="1:4">
      <c r="A5453" s="83" t="s">
        <v>13124</v>
      </c>
      <c r="B5453" s="83" t="s">
        <v>5015</v>
      </c>
      <c r="C5453" s="83" t="s">
        <v>13128</v>
      </c>
      <c r="D5453" s="83" t="s">
        <v>13126</v>
      </c>
    </row>
    <row r="5454" spans="1:4">
      <c r="A5454" s="83" t="s">
        <v>13124</v>
      </c>
      <c r="B5454" s="83" t="s">
        <v>5010</v>
      </c>
      <c r="C5454" s="83" t="s">
        <v>13129</v>
      </c>
      <c r="D5454" s="83" t="s">
        <v>13126</v>
      </c>
    </row>
    <row r="5455" spans="1:4">
      <c r="A5455" s="83" t="s">
        <v>13130</v>
      </c>
      <c r="B5455" s="83" t="s">
        <v>5017</v>
      </c>
      <c r="C5455" s="83" t="s">
        <v>13131</v>
      </c>
      <c r="D5455" s="83" t="s">
        <v>13132</v>
      </c>
    </row>
    <row r="5456" spans="1:4">
      <c r="A5456" s="83" t="s">
        <v>13130</v>
      </c>
      <c r="B5456" s="83" t="s">
        <v>5012</v>
      </c>
      <c r="C5456" s="83" t="s">
        <v>13133</v>
      </c>
      <c r="D5456" s="83" t="s">
        <v>13132</v>
      </c>
    </row>
    <row r="5457" spans="1:4">
      <c r="A5457" s="83" t="s">
        <v>13130</v>
      </c>
      <c r="B5457" s="83" t="s">
        <v>5015</v>
      </c>
      <c r="C5457" s="83" t="s">
        <v>13134</v>
      </c>
      <c r="D5457" s="83" t="s">
        <v>13132</v>
      </c>
    </row>
    <row r="5458" spans="1:4">
      <c r="A5458" s="83" t="s">
        <v>13130</v>
      </c>
      <c r="B5458" s="83" t="s">
        <v>5010</v>
      </c>
      <c r="C5458" s="83" t="s">
        <v>13135</v>
      </c>
      <c r="D5458" s="83" t="s">
        <v>13132</v>
      </c>
    </row>
    <row r="5459" spans="1:4">
      <c r="A5459" s="83" t="s">
        <v>13136</v>
      </c>
      <c r="B5459" s="83" t="s">
        <v>5017</v>
      </c>
      <c r="C5459" s="83" t="s">
        <v>13137</v>
      </c>
      <c r="D5459" s="83" t="s">
        <v>13138</v>
      </c>
    </row>
    <row r="5460" spans="1:4">
      <c r="A5460" s="83" t="s">
        <v>13136</v>
      </c>
      <c r="B5460" s="83" t="s">
        <v>5012</v>
      </c>
      <c r="C5460" s="83" t="s">
        <v>13139</v>
      </c>
      <c r="D5460" s="83" t="s">
        <v>13138</v>
      </c>
    </row>
    <row r="5461" spans="1:4">
      <c r="A5461" s="83" t="s">
        <v>13136</v>
      </c>
      <c r="B5461" s="83" t="s">
        <v>5015</v>
      </c>
      <c r="C5461" s="83" t="s">
        <v>13140</v>
      </c>
      <c r="D5461" s="83" t="s">
        <v>13138</v>
      </c>
    </row>
    <row r="5462" spans="1:4">
      <c r="A5462" s="83" t="s">
        <v>13136</v>
      </c>
      <c r="B5462" s="83" t="s">
        <v>5010</v>
      </c>
      <c r="C5462" s="83" t="s">
        <v>13141</v>
      </c>
      <c r="D5462" s="83" t="s">
        <v>13138</v>
      </c>
    </row>
    <row r="5463" spans="1:4">
      <c r="A5463" s="83" t="s">
        <v>13142</v>
      </c>
      <c r="B5463" s="83" t="s">
        <v>5017</v>
      </c>
      <c r="C5463" s="83" t="s">
        <v>13143</v>
      </c>
      <c r="D5463" s="83" t="s">
        <v>13144</v>
      </c>
    </row>
    <row r="5464" spans="1:4">
      <c r="A5464" s="83" t="s">
        <v>13142</v>
      </c>
      <c r="B5464" s="83" t="s">
        <v>5012</v>
      </c>
      <c r="C5464" s="83" t="s">
        <v>13145</v>
      </c>
      <c r="D5464" s="83" t="s">
        <v>13144</v>
      </c>
    </row>
    <row r="5465" spans="1:4">
      <c r="A5465" s="83" t="s">
        <v>13142</v>
      </c>
      <c r="B5465" s="83" t="s">
        <v>5015</v>
      </c>
      <c r="C5465" s="83" t="s">
        <v>13146</v>
      </c>
      <c r="D5465" s="83" t="s">
        <v>13144</v>
      </c>
    </row>
    <row r="5466" spans="1:4">
      <c r="A5466" s="83" t="s">
        <v>13142</v>
      </c>
      <c r="B5466" s="83" t="s">
        <v>5010</v>
      </c>
      <c r="C5466" s="83" t="s">
        <v>13147</v>
      </c>
      <c r="D5466" s="83" t="s">
        <v>13144</v>
      </c>
    </row>
    <row r="5467" spans="1:4">
      <c r="A5467" s="83" t="s">
        <v>13148</v>
      </c>
      <c r="B5467" s="83" t="s">
        <v>5017</v>
      </c>
      <c r="C5467" s="83" t="s">
        <v>13149</v>
      </c>
      <c r="D5467" s="83" t="s">
        <v>13150</v>
      </c>
    </row>
    <row r="5468" spans="1:4">
      <c r="A5468" s="83" t="s">
        <v>13148</v>
      </c>
      <c r="B5468" s="83" t="s">
        <v>5012</v>
      </c>
      <c r="C5468" s="83" t="s">
        <v>13151</v>
      </c>
      <c r="D5468" s="83" t="s">
        <v>13150</v>
      </c>
    </row>
    <row r="5469" spans="1:4">
      <c r="A5469" s="83" t="s">
        <v>13148</v>
      </c>
      <c r="B5469" s="83" t="s">
        <v>5015</v>
      </c>
      <c r="C5469" s="83" t="s">
        <v>13152</v>
      </c>
      <c r="D5469" s="83" t="s">
        <v>13150</v>
      </c>
    </row>
    <row r="5470" spans="1:4">
      <c r="A5470" s="83" t="s">
        <v>13148</v>
      </c>
      <c r="B5470" s="83" t="s">
        <v>5010</v>
      </c>
      <c r="C5470" s="83" t="s">
        <v>13153</v>
      </c>
      <c r="D5470" s="83" t="s">
        <v>13150</v>
      </c>
    </row>
    <row r="5471" spans="1:4">
      <c r="A5471" s="83" t="s">
        <v>13154</v>
      </c>
      <c r="B5471" s="83" t="s">
        <v>5017</v>
      </c>
      <c r="C5471" s="83" t="s">
        <v>13155</v>
      </c>
      <c r="D5471" s="83" t="s">
        <v>13156</v>
      </c>
    </row>
    <row r="5472" spans="1:4">
      <c r="A5472" s="83" t="s">
        <v>13154</v>
      </c>
      <c r="B5472" s="83" t="s">
        <v>5012</v>
      </c>
      <c r="C5472" s="83" t="s">
        <v>13157</v>
      </c>
      <c r="D5472" s="83" t="s">
        <v>13156</v>
      </c>
    </row>
    <row r="5473" spans="1:4">
      <c r="A5473" s="83" t="s">
        <v>13154</v>
      </c>
      <c r="B5473" s="83" t="s">
        <v>5015</v>
      </c>
      <c r="C5473" s="83" t="s">
        <v>13158</v>
      </c>
      <c r="D5473" s="83" t="s">
        <v>13156</v>
      </c>
    </row>
    <row r="5474" spans="1:4">
      <c r="A5474" s="83" t="s">
        <v>13154</v>
      </c>
      <c r="B5474" s="83" t="s">
        <v>5010</v>
      </c>
      <c r="C5474" s="83" t="s">
        <v>13159</v>
      </c>
      <c r="D5474" s="83" t="s">
        <v>13156</v>
      </c>
    </row>
    <row r="5475" spans="1:4">
      <c r="A5475" s="83" t="s">
        <v>13160</v>
      </c>
      <c r="B5475" s="83" t="s">
        <v>5017</v>
      </c>
      <c r="C5475" s="83" t="s">
        <v>13161</v>
      </c>
      <c r="D5475" s="83" t="s">
        <v>13162</v>
      </c>
    </row>
    <row r="5476" spans="1:4">
      <c r="A5476" s="83" t="s">
        <v>13160</v>
      </c>
      <c r="B5476" s="83" t="s">
        <v>5012</v>
      </c>
      <c r="C5476" s="83" t="s">
        <v>13163</v>
      </c>
      <c r="D5476" s="83" t="s">
        <v>13162</v>
      </c>
    </row>
    <row r="5477" spans="1:4">
      <c r="A5477" s="83" t="s">
        <v>13160</v>
      </c>
      <c r="B5477" s="83" t="s">
        <v>5015</v>
      </c>
      <c r="C5477" s="83" t="s">
        <v>13164</v>
      </c>
      <c r="D5477" s="83" t="s">
        <v>13162</v>
      </c>
    </row>
    <row r="5478" spans="1:4">
      <c r="A5478" s="83" t="s">
        <v>13160</v>
      </c>
      <c r="B5478" s="83" t="s">
        <v>5010</v>
      </c>
      <c r="C5478" s="83" t="s">
        <v>13165</v>
      </c>
      <c r="D5478" s="83" t="s">
        <v>13162</v>
      </c>
    </row>
    <row r="5479" spans="1:4">
      <c r="A5479" s="83" t="s">
        <v>13166</v>
      </c>
      <c r="B5479" s="83" t="s">
        <v>5017</v>
      </c>
      <c r="C5479" s="83" t="s">
        <v>13167</v>
      </c>
      <c r="D5479" s="83" t="s">
        <v>13168</v>
      </c>
    </row>
    <row r="5480" spans="1:4">
      <c r="A5480" s="83" t="s">
        <v>13166</v>
      </c>
      <c r="B5480" s="83" t="s">
        <v>5012</v>
      </c>
      <c r="C5480" s="83" t="s">
        <v>13169</v>
      </c>
      <c r="D5480" s="83" t="s">
        <v>13168</v>
      </c>
    </row>
    <row r="5481" spans="1:4">
      <c r="A5481" s="83" t="s">
        <v>13166</v>
      </c>
      <c r="B5481" s="83" t="s">
        <v>5015</v>
      </c>
      <c r="C5481" s="83" t="s">
        <v>13170</v>
      </c>
      <c r="D5481" s="83" t="s">
        <v>13168</v>
      </c>
    </row>
    <row r="5482" spans="1:4">
      <c r="A5482" s="83" t="s">
        <v>13166</v>
      </c>
      <c r="B5482" s="83" t="s">
        <v>5010</v>
      </c>
      <c r="C5482" s="83" t="s">
        <v>13171</v>
      </c>
      <c r="D5482" s="83" t="s">
        <v>13168</v>
      </c>
    </row>
    <row r="5483" spans="1:4">
      <c r="A5483" s="83" t="s">
        <v>13172</v>
      </c>
      <c r="B5483" s="83" t="s">
        <v>5017</v>
      </c>
      <c r="C5483" s="83" t="s">
        <v>13173</v>
      </c>
      <c r="D5483" s="83" t="s">
        <v>13174</v>
      </c>
    </row>
    <row r="5484" spans="1:4">
      <c r="A5484" s="83" t="s">
        <v>13172</v>
      </c>
      <c r="B5484" s="83" t="s">
        <v>5012</v>
      </c>
      <c r="C5484" s="83" t="s">
        <v>13175</v>
      </c>
      <c r="D5484" s="83" t="s">
        <v>13174</v>
      </c>
    </row>
    <row r="5485" spans="1:4">
      <c r="A5485" s="83" t="s">
        <v>13172</v>
      </c>
      <c r="B5485" s="83" t="s">
        <v>5015</v>
      </c>
      <c r="C5485" s="83" t="s">
        <v>13176</v>
      </c>
      <c r="D5485" s="83" t="s">
        <v>13174</v>
      </c>
    </row>
    <row r="5486" spans="1:4">
      <c r="A5486" s="83" t="s">
        <v>13172</v>
      </c>
      <c r="B5486" s="83" t="s">
        <v>5010</v>
      </c>
      <c r="C5486" s="83" t="s">
        <v>13177</v>
      </c>
      <c r="D5486" s="83" t="s">
        <v>13174</v>
      </c>
    </row>
    <row r="5487" spans="1:4">
      <c r="A5487" s="83" t="s">
        <v>13178</v>
      </c>
      <c r="B5487" s="83" t="s">
        <v>5017</v>
      </c>
      <c r="C5487" s="83" t="s">
        <v>13179</v>
      </c>
      <c r="D5487" s="83" t="s">
        <v>13180</v>
      </c>
    </row>
    <row r="5488" spans="1:4">
      <c r="A5488" s="83" t="s">
        <v>13178</v>
      </c>
      <c r="B5488" s="83" t="s">
        <v>5012</v>
      </c>
      <c r="C5488" s="83" t="s">
        <v>13181</v>
      </c>
      <c r="D5488" s="83" t="s">
        <v>13180</v>
      </c>
    </row>
    <row r="5489" spans="1:4">
      <c r="A5489" s="83" t="s">
        <v>13178</v>
      </c>
      <c r="B5489" s="83" t="s">
        <v>5015</v>
      </c>
      <c r="C5489" s="83" t="s">
        <v>13182</v>
      </c>
      <c r="D5489" s="83" t="s">
        <v>13180</v>
      </c>
    </row>
    <row r="5490" spans="1:4">
      <c r="A5490" s="83" t="s">
        <v>13178</v>
      </c>
      <c r="B5490" s="83" t="s">
        <v>5010</v>
      </c>
      <c r="C5490" s="83" t="s">
        <v>13183</v>
      </c>
      <c r="D5490" s="83" t="s">
        <v>13180</v>
      </c>
    </row>
    <row r="5491" spans="1:4">
      <c r="A5491" s="83" t="s">
        <v>13184</v>
      </c>
      <c r="B5491" s="83" t="s">
        <v>5017</v>
      </c>
      <c r="C5491" s="83" t="s">
        <v>13185</v>
      </c>
      <c r="D5491" s="83" t="s">
        <v>13186</v>
      </c>
    </row>
    <row r="5492" spans="1:4">
      <c r="A5492" s="83" t="s">
        <v>13184</v>
      </c>
      <c r="B5492" s="83" t="s">
        <v>5012</v>
      </c>
      <c r="C5492" s="83" t="s">
        <v>13187</v>
      </c>
      <c r="D5492" s="83" t="s">
        <v>13186</v>
      </c>
    </row>
    <row r="5493" spans="1:4">
      <c r="A5493" s="83" t="s">
        <v>13184</v>
      </c>
      <c r="B5493" s="83" t="s">
        <v>5015</v>
      </c>
      <c r="C5493" s="83" t="s">
        <v>13188</v>
      </c>
      <c r="D5493" s="83" t="s">
        <v>13186</v>
      </c>
    </row>
    <row r="5494" spans="1:4">
      <c r="A5494" s="83" t="s">
        <v>13184</v>
      </c>
      <c r="B5494" s="83" t="s">
        <v>5010</v>
      </c>
      <c r="C5494" s="83" t="s">
        <v>13189</v>
      </c>
      <c r="D5494" s="83" t="s">
        <v>13186</v>
      </c>
    </row>
    <row r="5495" spans="1:4">
      <c r="A5495" s="83" t="s">
        <v>13190</v>
      </c>
      <c r="B5495" s="83" t="s">
        <v>5017</v>
      </c>
      <c r="C5495" s="83" t="s">
        <v>13191</v>
      </c>
      <c r="D5495" s="83" t="s">
        <v>13192</v>
      </c>
    </row>
    <row r="5496" spans="1:4">
      <c r="A5496" s="83" t="s">
        <v>13190</v>
      </c>
      <c r="B5496" s="83" t="s">
        <v>5012</v>
      </c>
      <c r="C5496" s="83" t="s">
        <v>13193</v>
      </c>
      <c r="D5496" s="83" t="s">
        <v>13192</v>
      </c>
    </row>
    <row r="5497" spans="1:4">
      <c r="A5497" s="83" t="s">
        <v>13190</v>
      </c>
      <c r="B5497" s="83" t="s">
        <v>5015</v>
      </c>
      <c r="C5497" s="83" t="s">
        <v>13194</v>
      </c>
      <c r="D5497" s="83" t="s">
        <v>13192</v>
      </c>
    </row>
    <row r="5498" spans="1:4">
      <c r="A5498" s="83" t="s">
        <v>13190</v>
      </c>
      <c r="B5498" s="83" t="s">
        <v>5010</v>
      </c>
      <c r="C5498" s="83" t="s">
        <v>13195</v>
      </c>
      <c r="D5498" s="83" t="s">
        <v>13192</v>
      </c>
    </row>
    <row r="5499" spans="1:4">
      <c r="A5499" s="83" t="s">
        <v>13196</v>
      </c>
      <c r="B5499" s="83" t="s">
        <v>5017</v>
      </c>
      <c r="C5499" s="83" t="s">
        <v>13197</v>
      </c>
      <c r="D5499" s="83" t="s">
        <v>13198</v>
      </c>
    </row>
    <row r="5500" spans="1:4">
      <c r="A5500" s="83" t="s">
        <v>13196</v>
      </c>
      <c r="B5500" s="83" t="s">
        <v>5012</v>
      </c>
      <c r="C5500" s="83" t="s">
        <v>13199</v>
      </c>
      <c r="D5500" s="83" t="s">
        <v>13198</v>
      </c>
    </row>
    <row r="5501" spans="1:4">
      <c r="A5501" s="83" t="s">
        <v>13196</v>
      </c>
      <c r="B5501" s="83" t="s">
        <v>5015</v>
      </c>
      <c r="C5501" s="83" t="s">
        <v>13200</v>
      </c>
      <c r="D5501" s="83" t="s">
        <v>13198</v>
      </c>
    </row>
    <row r="5502" spans="1:4">
      <c r="A5502" s="83" t="s">
        <v>13196</v>
      </c>
      <c r="B5502" s="83" t="s">
        <v>5010</v>
      </c>
      <c r="C5502" s="83" t="s">
        <v>12640</v>
      </c>
      <c r="D5502" s="83" t="s">
        <v>13198</v>
      </c>
    </row>
    <row r="5503" spans="1:4">
      <c r="A5503" s="83" t="s">
        <v>13201</v>
      </c>
      <c r="B5503" s="83" t="s">
        <v>5017</v>
      </c>
      <c r="C5503" s="83" t="s">
        <v>13202</v>
      </c>
      <c r="D5503" s="83" t="s">
        <v>13203</v>
      </c>
    </row>
    <row r="5504" spans="1:4">
      <c r="A5504" s="83" t="s">
        <v>13201</v>
      </c>
      <c r="B5504" s="83" t="s">
        <v>5012</v>
      </c>
      <c r="C5504" s="83" t="s">
        <v>13204</v>
      </c>
      <c r="D5504" s="83" t="s">
        <v>13203</v>
      </c>
    </row>
    <row r="5505" spans="1:4">
      <c r="A5505" s="83" t="s">
        <v>13201</v>
      </c>
      <c r="B5505" s="83" t="s">
        <v>5015</v>
      </c>
      <c r="C5505" s="83" t="s">
        <v>13205</v>
      </c>
      <c r="D5505" s="83" t="s">
        <v>13203</v>
      </c>
    </row>
    <row r="5506" spans="1:4">
      <c r="A5506" s="83" t="s">
        <v>13201</v>
      </c>
      <c r="B5506" s="83" t="s">
        <v>5010</v>
      </c>
      <c r="C5506" s="83" t="s">
        <v>13206</v>
      </c>
      <c r="D5506" s="83" t="s">
        <v>13203</v>
      </c>
    </row>
    <row r="5507" spans="1:4">
      <c r="A5507" s="83" t="s">
        <v>13207</v>
      </c>
      <c r="B5507" s="83" t="s">
        <v>5017</v>
      </c>
      <c r="C5507" s="83" t="s">
        <v>13208</v>
      </c>
      <c r="D5507" s="83" t="s">
        <v>13209</v>
      </c>
    </row>
    <row r="5508" spans="1:4">
      <c r="A5508" s="83" t="s">
        <v>13207</v>
      </c>
      <c r="B5508" s="83" t="s">
        <v>5012</v>
      </c>
      <c r="C5508" s="83" t="s">
        <v>13210</v>
      </c>
      <c r="D5508" s="83" t="s">
        <v>13209</v>
      </c>
    </row>
    <row r="5509" spans="1:4">
      <c r="A5509" s="83" t="s">
        <v>13207</v>
      </c>
      <c r="B5509" s="83" t="s">
        <v>5015</v>
      </c>
      <c r="C5509" s="83" t="s">
        <v>13211</v>
      </c>
      <c r="D5509" s="83" t="s">
        <v>13209</v>
      </c>
    </row>
    <row r="5510" spans="1:4">
      <c r="A5510" s="83" t="s">
        <v>13207</v>
      </c>
      <c r="B5510" s="83" t="s">
        <v>5010</v>
      </c>
      <c r="C5510" s="83" t="s">
        <v>13212</v>
      </c>
      <c r="D5510" s="83" t="s">
        <v>13209</v>
      </c>
    </row>
    <row r="5511" spans="1:4">
      <c r="A5511" s="83" t="s">
        <v>13213</v>
      </c>
      <c r="B5511" s="83" t="s">
        <v>5017</v>
      </c>
      <c r="C5511" s="83" t="s">
        <v>13214</v>
      </c>
      <c r="D5511" s="83" t="s">
        <v>13215</v>
      </c>
    </row>
    <row r="5512" spans="1:4">
      <c r="A5512" s="83" t="s">
        <v>13213</v>
      </c>
      <c r="B5512" s="83" t="s">
        <v>5012</v>
      </c>
      <c r="C5512" s="83" t="s">
        <v>13216</v>
      </c>
      <c r="D5512" s="83" t="s">
        <v>13215</v>
      </c>
    </row>
    <row r="5513" spans="1:4">
      <c r="A5513" s="83" t="s">
        <v>13213</v>
      </c>
      <c r="B5513" s="83" t="s">
        <v>5015</v>
      </c>
      <c r="C5513" s="83" t="s">
        <v>13217</v>
      </c>
      <c r="D5513" s="83" t="s">
        <v>13215</v>
      </c>
    </row>
    <row r="5514" spans="1:4">
      <c r="A5514" s="83" t="s">
        <v>13213</v>
      </c>
      <c r="B5514" s="83" t="s">
        <v>5010</v>
      </c>
      <c r="C5514" s="83" t="s">
        <v>13218</v>
      </c>
      <c r="D5514" s="83" t="s">
        <v>13215</v>
      </c>
    </row>
    <row r="5515" spans="1:4">
      <c r="A5515" s="83" t="s">
        <v>13219</v>
      </c>
      <c r="B5515" s="83" t="s">
        <v>5017</v>
      </c>
      <c r="C5515" s="83" t="s">
        <v>13220</v>
      </c>
      <c r="D5515" s="83" t="s">
        <v>13221</v>
      </c>
    </row>
    <row r="5516" spans="1:4">
      <c r="A5516" s="83" t="s">
        <v>13219</v>
      </c>
      <c r="B5516" s="83" t="s">
        <v>5012</v>
      </c>
      <c r="C5516" s="83" t="s">
        <v>13222</v>
      </c>
      <c r="D5516" s="83" t="s">
        <v>13221</v>
      </c>
    </row>
    <row r="5517" spans="1:4">
      <c r="A5517" s="83" t="s">
        <v>13219</v>
      </c>
      <c r="B5517" s="83" t="s">
        <v>5015</v>
      </c>
      <c r="C5517" s="83" t="s">
        <v>13223</v>
      </c>
      <c r="D5517" s="83" t="s">
        <v>13221</v>
      </c>
    </row>
    <row r="5518" spans="1:4">
      <c r="A5518" s="83" t="s">
        <v>13219</v>
      </c>
      <c r="B5518" s="83" t="s">
        <v>5010</v>
      </c>
      <c r="C5518" s="83" t="s">
        <v>13224</v>
      </c>
      <c r="D5518" s="83" t="s">
        <v>13221</v>
      </c>
    </row>
    <row r="5519" spans="1:4">
      <c r="A5519" s="83" t="s">
        <v>13225</v>
      </c>
      <c r="B5519" s="83" t="s">
        <v>5017</v>
      </c>
      <c r="C5519" s="83" t="s">
        <v>13226</v>
      </c>
      <c r="D5519" s="83" t="s">
        <v>13227</v>
      </c>
    </row>
    <row r="5520" spans="1:4">
      <c r="A5520" s="83" t="s">
        <v>13225</v>
      </c>
      <c r="B5520" s="83" t="s">
        <v>5012</v>
      </c>
      <c r="C5520" s="83" t="s">
        <v>13228</v>
      </c>
      <c r="D5520" s="83" t="s">
        <v>13227</v>
      </c>
    </row>
    <row r="5521" spans="1:4">
      <c r="A5521" s="83" t="s">
        <v>13225</v>
      </c>
      <c r="B5521" s="83" t="s">
        <v>5015</v>
      </c>
      <c r="C5521" s="83" t="s">
        <v>13229</v>
      </c>
      <c r="D5521" s="83" t="s">
        <v>13227</v>
      </c>
    </row>
    <row r="5522" spans="1:4">
      <c r="A5522" s="83" t="s">
        <v>13225</v>
      </c>
      <c r="B5522" s="83" t="s">
        <v>5010</v>
      </c>
      <c r="C5522" s="83" t="s">
        <v>13230</v>
      </c>
      <c r="D5522" s="83" t="s">
        <v>13227</v>
      </c>
    </row>
    <row r="5523" spans="1:4">
      <c r="A5523" s="83" t="s">
        <v>13231</v>
      </c>
      <c r="B5523" s="83" t="s">
        <v>5017</v>
      </c>
      <c r="C5523" s="83" t="s">
        <v>13232</v>
      </c>
      <c r="D5523" s="83" t="s">
        <v>13233</v>
      </c>
    </row>
    <row r="5524" spans="1:4">
      <c r="A5524" s="83" t="s">
        <v>13231</v>
      </c>
      <c r="B5524" s="83" t="s">
        <v>5012</v>
      </c>
      <c r="C5524" s="83" t="s">
        <v>13234</v>
      </c>
      <c r="D5524" s="83" t="s">
        <v>13233</v>
      </c>
    </row>
    <row r="5525" spans="1:4">
      <c r="A5525" s="83" t="s">
        <v>13231</v>
      </c>
      <c r="B5525" s="83" t="s">
        <v>5015</v>
      </c>
      <c r="C5525" s="83" t="s">
        <v>13235</v>
      </c>
      <c r="D5525" s="83" t="s">
        <v>13233</v>
      </c>
    </row>
    <row r="5526" spans="1:4">
      <c r="A5526" s="83" t="s">
        <v>13231</v>
      </c>
      <c r="B5526" s="83" t="s">
        <v>5010</v>
      </c>
      <c r="C5526" s="83" t="s">
        <v>13236</v>
      </c>
      <c r="D5526" s="83" t="s">
        <v>13233</v>
      </c>
    </row>
    <row r="5527" spans="1:4">
      <c r="A5527" s="83" t="s">
        <v>13237</v>
      </c>
      <c r="B5527" s="83" t="s">
        <v>5017</v>
      </c>
      <c r="C5527" s="83" t="s">
        <v>13238</v>
      </c>
      <c r="D5527" s="83" t="s">
        <v>13239</v>
      </c>
    </row>
    <row r="5528" spans="1:4">
      <c r="A5528" s="83" t="s">
        <v>13237</v>
      </c>
      <c r="B5528" s="83" t="s">
        <v>5012</v>
      </c>
      <c r="C5528" s="83" t="s">
        <v>13240</v>
      </c>
      <c r="D5528" s="83" t="s">
        <v>13239</v>
      </c>
    </row>
    <row r="5529" spans="1:4">
      <c r="A5529" s="83" t="s">
        <v>13237</v>
      </c>
      <c r="B5529" s="83" t="s">
        <v>5015</v>
      </c>
      <c r="C5529" s="83" t="s">
        <v>13241</v>
      </c>
      <c r="D5529" s="83" t="s">
        <v>13239</v>
      </c>
    </row>
    <row r="5530" spans="1:4">
      <c r="A5530" s="83" t="s">
        <v>13237</v>
      </c>
      <c r="B5530" s="83" t="s">
        <v>5010</v>
      </c>
      <c r="C5530" s="83" t="s">
        <v>13242</v>
      </c>
      <c r="D5530" s="83" t="s">
        <v>13239</v>
      </c>
    </row>
    <row r="5531" spans="1:4">
      <c r="A5531" s="83" t="s">
        <v>13243</v>
      </c>
      <c r="B5531" s="83" t="s">
        <v>5017</v>
      </c>
      <c r="C5531" s="83" t="s">
        <v>13244</v>
      </c>
      <c r="D5531" s="83" t="s">
        <v>13245</v>
      </c>
    </row>
    <row r="5532" spans="1:4">
      <c r="A5532" s="83" t="s">
        <v>13243</v>
      </c>
      <c r="B5532" s="83" t="s">
        <v>5012</v>
      </c>
      <c r="C5532" s="83" t="s">
        <v>13246</v>
      </c>
      <c r="D5532" s="83" t="s">
        <v>13245</v>
      </c>
    </row>
    <row r="5533" spans="1:4">
      <c r="A5533" s="83" t="s">
        <v>13243</v>
      </c>
      <c r="B5533" s="83" t="s">
        <v>5015</v>
      </c>
      <c r="C5533" s="83" t="s">
        <v>13247</v>
      </c>
      <c r="D5533" s="83" t="s">
        <v>13245</v>
      </c>
    </row>
    <row r="5534" spans="1:4">
      <c r="A5534" s="83" t="s">
        <v>13243</v>
      </c>
      <c r="B5534" s="83" t="s">
        <v>5010</v>
      </c>
      <c r="C5534" s="83" t="s">
        <v>13248</v>
      </c>
      <c r="D5534" s="83" t="s">
        <v>13245</v>
      </c>
    </row>
    <row r="5535" spans="1:4">
      <c r="A5535" s="83" t="s">
        <v>13249</v>
      </c>
      <c r="B5535" s="83" t="s">
        <v>5017</v>
      </c>
      <c r="C5535" s="83" t="s">
        <v>13250</v>
      </c>
      <c r="D5535" s="83" t="s">
        <v>13251</v>
      </c>
    </row>
    <row r="5536" spans="1:4">
      <c r="A5536" s="83" t="s">
        <v>13249</v>
      </c>
      <c r="B5536" s="83" t="s">
        <v>5012</v>
      </c>
      <c r="C5536" s="83" t="s">
        <v>13252</v>
      </c>
      <c r="D5536" s="83" t="s">
        <v>13251</v>
      </c>
    </row>
    <row r="5537" spans="1:4">
      <c r="A5537" s="83" t="s">
        <v>13249</v>
      </c>
      <c r="B5537" s="83" t="s">
        <v>5015</v>
      </c>
      <c r="C5537" s="83" t="s">
        <v>13253</v>
      </c>
      <c r="D5537" s="83" t="s">
        <v>13251</v>
      </c>
    </row>
    <row r="5538" spans="1:4">
      <c r="A5538" s="83" t="s">
        <v>13249</v>
      </c>
      <c r="B5538" s="83" t="s">
        <v>5010</v>
      </c>
      <c r="C5538" s="83" t="s">
        <v>13254</v>
      </c>
      <c r="D5538" s="83" t="s">
        <v>13251</v>
      </c>
    </row>
    <row r="5539" spans="1:4">
      <c r="A5539" s="83" t="s">
        <v>13255</v>
      </c>
      <c r="B5539" s="83" t="s">
        <v>5017</v>
      </c>
      <c r="C5539" s="83" t="s">
        <v>13256</v>
      </c>
      <c r="D5539" s="83" t="s">
        <v>13257</v>
      </c>
    </row>
    <row r="5540" spans="1:4">
      <c r="A5540" s="83" t="s">
        <v>13255</v>
      </c>
      <c r="B5540" s="83" t="s">
        <v>5012</v>
      </c>
      <c r="C5540" s="83" t="s">
        <v>13258</v>
      </c>
      <c r="D5540" s="83" t="s">
        <v>13257</v>
      </c>
    </row>
    <row r="5541" spans="1:4">
      <c r="A5541" s="83" t="s">
        <v>13255</v>
      </c>
      <c r="B5541" s="83" t="s">
        <v>5015</v>
      </c>
      <c r="C5541" s="83" t="s">
        <v>13259</v>
      </c>
      <c r="D5541" s="83" t="s">
        <v>13257</v>
      </c>
    </row>
    <row r="5542" spans="1:4">
      <c r="A5542" s="83" t="s">
        <v>13255</v>
      </c>
      <c r="B5542" s="83" t="s">
        <v>5010</v>
      </c>
      <c r="C5542" s="83" t="s">
        <v>13260</v>
      </c>
      <c r="D5542" s="83" t="s">
        <v>13257</v>
      </c>
    </row>
    <row r="5543" spans="1:4">
      <c r="A5543" s="83" t="s">
        <v>13261</v>
      </c>
      <c r="B5543" s="83" t="s">
        <v>5017</v>
      </c>
      <c r="C5543" s="83" t="s">
        <v>13262</v>
      </c>
      <c r="D5543" s="83" t="s">
        <v>13263</v>
      </c>
    </row>
    <row r="5544" spans="1:4">
      <c r="A5544" s="83" t="s">
        <v>13261</v>
      </c>
      <c r="B5544" s="83" t="s">
        <v>5012</v>
      </c>
      <c r="C5544" s="83" t="s">
        <v>13264</v>
      </c>
      <c r="D5544" s="83" t="s">
        <v>13263</v>
      </c>
    </row>
    <row r="5545" spans="1:4">
      <c r="A5545" s="83" t="s">
        <v>13261</v>
      </c>
      <c r="B5545" s="83" t="s">
        <v>5015</v>
      </c>
      <c r="C5545" s="83" t="s">
        <v>13265</v>
      </c>
      <c r="D5545" s="83" t="s">
        <v>13263</v>
      </c>
    </row>
    <row r="5546" spans="1:4">
      <c r="A5546" s="83" t="s">
        <v>13261</v>
      </c>
      <c r="B5546" s="83" t="s">
        <v>5010</v>
      </c>
      <c r="C5546" s="83" t="s">
        <v>13266</v>
      </c>
      <c r="D5546" s="83" t="s">
        <v>13263</v>
      </c>
    </row>
    <row r="5547" spans="1:4">
      <c r="A5547" s="83" t="s">
        <v>13267</v>
      </c>
      <c r="B5547" s="83" t="s">
        <v>5017</v>
      </c>
      <c r="C5547" s="83" t="s">
        <v>13268</v>
      </c>
      <c r="D5547" s="83" t="s">
        <v>13269</v>
      </c>
    </row>
    <row r="5548" spans="1:4">
      <c r="A5548" s="83" t="s">
        <v>13267</v>
      </c>
      <c r="B5548" s="83" t="s">
        <v>5012</v>
      </c>
      <c r="C5548" s="83" t="s">
        <v>13270</v>
      </c>
      <c r="D5548" s="83" t="s">
        <v>13269</v>
      </c>
    </row>
    <row r="5549" spans="1:4">
      <c r="A5549" s="83" t="s">
        <v>13267</v>
      </c>
      <c r="B5549" s="83" t="s">
        <v>5015</v>
      </c>
      <c r="C5549" s="83" t="s">
        <v>13271</v>
      </c>
      <c r="D5549" s="83" t="s">
        <v>13269</v>
      </c>
    </row>
    <row r="5550" spans="1:4">
      <c r="A5550" s="83" t="s">
        <v>13267</v>
      </c>
      <c r="B5550" s="83" t="s">
        <v>5010</v>
      </c>
      <c r="C5550" s="83" t="s">
        <v>13272</v>
      </c>
      <c r="D5550" s="83" t="s">
        <v>13269</v>
      </c>
    </row>
    <row r="5551" spans="1:4">
      <c r="A5551" s="83" t="s">
        <v>13273</v>
      </c>
      <c r="B5551" s="83" t="s">
        <v>5017</v>
      </c>
      <c r="C5551" s="83" t="s">
        <v>13274</v>
      </c>
      <c r="D5551" s="83" t="s">
        <v>13275</v>
      </c>
    </row>
    <row r="5552" spans="1:4">
      <c r="A5552" s="83" t="s">
        <v>13273</v>
      </c>
      <c r="B5552" s="83" t="s">
        <v>5012</v>
      </c>
      <c r="C5552" s="83" t="s">
        <v>13276</v>
      </c>
      <c r="D5552" s="83" t="s">
        <v>13275</v>
      </c>
    </row>
    <row r="5553" spans="1:4">
      <c r="A5553" s="83" t="s">
        <v>13273</v>
      </c>
      <c r="B5553" s="83" t="s">
        <v>5015</v>
      </c>
      <c r="C5553" s="83" t="s">
        <v>13277</v>
      </c>
      <c r="D5553" s="83" t="s">
        <v>13275</v>
      </c>
    </row>
    <row r="5554" spans="1:4">
      <c r="A5554" s="83" t="s">
        <v>13273</v>
      </c>
      <c r="B5554" s="83" t="s">
        <v>5010</v>
      </c>
      <c r="C5554" s="83" t="s">
        <v>13278</v>
      </c>
      <c r="D5554" s="83" t="s">
        <v>13275</v>
      </c>
    </row>
    <row r="5555" spans="1:4">
      <c r="A5555" s="83" t="s">
        <v>13279</v>
      </c>
      <c r="B5555" s="83" t="s">
        <v>5017</v>
      </c>
      <c r="C5555" s="83" t="s">
        <v>13280</v>
      </c>
      <c r="D5555" s="83" t="s">
        <v>13281</v>
      </c>
    </row>
    <row r="5556" spans="1:4">
      <c r="A5556" s="83" t="s">
        <v>13279</v>
      </c>
      <c r="B5556" s="83" t="s">
        <v>5012</v>
      </c>
      <c r="C5556" s="83" t="s">
        <v>13282</v>
      </c>
      <c r="D5556" s="83" t="s">
        <v>13281</v>
      </c>
    </row>
    <row r="5557" spans="1:4">
      <c r="A5557" s="83" t="s">
        <v>13279</v>
      </c>
      <c r="B5557" s="83" t="s">
        <v>5015</v>
      </c>
      <c r="C5557" s="83" t="s">
        <v>13283</v>
      </c>
      <c r="D5557" s="83" t="s">
        <v>13281</v>
      </c>
    </row>
    <row r="5558" spans="1:4">
      <c r="A5558" s="83" t="s">
        <v>13279</v>
      </c>
      <c r="B5558" s="83" t="s">
        <v>5010</v>
      </c>
      <c r="C5558" s="83" t="s">
        <v>13284</v>
      </c>
      <c r="D5558" s="83" t="s">
        <v>13281</v>
      </c>
    </row>
    <row r="5559" spans="1:4">
      <c r="A5559" s="83" t="s">
        <v>13285</v>
      </c>
      <c r="B5559" s="83" t="s">
        <v>5017</v>
      </c>
      <c r="C5559" s="83" t="s">
        <v>13286</v>
      </c>
      <c r="D5559" s="83" t="s">
        <v>13287</v>
      </c>
    </row>
    <row r="5560" spans="1:4">
      <c r="A5560" s="83" t="s">
        <v>13285</v>
      </c>
      <c r="B5560" s="83" t="s">
        <v>5012</v>
      </c>
      <c r="C5560" s="83" t="s">
        <v>13288</v>
      </c>
      <c r="D5560" s="83" t="s">
        <v>13287</v>
      </c>
    </row>
    <row r="5561" spans="1:4">
      <c r="A5561" s="83" t="s">
        <v>13285</v>
      </c>
      <c r="B5561" s="83" t="s">
        <v>5015</v>
      </c>
      <c r="C5561" s="83" t="s">
        <v>13289</v>
      </c>
      <c r="D5561" s="83" t="s">
        <v>13287</v>
      </c>
    </row>
    <row r="5562" spans="1:4">
      <c r="A5562" s="83" t="s">
        <v>13285</v>
      </c>
      <c r="B5562" s="83" t="s">
        <v>5010</v>
      </c>
      <c r="C5562" s="83" t="s">
        <v>13290</v>
      </c>
      <c r="D5562" s="83" t="s">
        <v>13287</v>
      </c>
    </row>
    <row r="5563" spans="1:4">
      <c r="A5563" s="83" t="s">
        <v>13291</v>
      </c>
      <c r="B5563" s="83" t="s">
        <v>5017</v>
      </c>
      <c r="C5563" s="83" t="s">
        <v>13292</v>
      </c>
      <c r="D5563" s="83" t="s">
        <v>13293</v>
      </c>
    </row>
    <row r="5564" spans="1:4">
      <c r="A5564" s="83" t="s">
        <v>13291</v>
      </c>
      <c r="B5564" s="83" t="s">
        <v>5012</v>
      </c>
      <c r="C5564" s="83" t="s">
        <v>13294</v>
      </c>
      <c r="D5564" s="83" t="s">
        <v>13293</v>
      </c>
    </row>
    <row r="5565" spans="1:4">
      <c r="A5565" s="83" t="s">
        <v>13291</v>
      </c>
      <c r="B5565" s="83" t="s">
        <v>5015</v>
      </c>
      <c r="C5565" s="83" t="s">
        <v>13295</v>
      </c>
      <c r="D5565" s="83" t="s">
        <v>13293</v>
      </c>
    </row>
    <row r="5566" spans="1:4">
      <c r="A5566" s="83" t="s">
        <v>13291</v>
      </c>
      <c r="B5566" s="83" t="s">
        <v>5010</v>
      </c>
      <c r="C5566" s="83" t="s">
        <v>13296</v>
      </c>
      <c r="D5566" s="83" t="s">
        <v>13293</v>
      </c>
    </row>
    <row r="5567" spans="1:4">
      <c r="A5567" s="83" t="s">
        <v>13297</v>
      </c>
      <c r="B5567" s="83" t="s">
        <v>5017</v>
      </c>
      <c r="C5567" s="83" t="s">
        <v>13298</v>
      </c>
      <c r="D5567" s="83" t="s">
        <v>13299</v>
      </c>
    </row>
    <row r="5568" spans="1:4">
      <c r="A5568" s="83" t="s">
        <v>13297</v>
      </c>
      <c r="B5568" s="83" t="s">
        <v>5012</v>
      </c>
      <c r="C5568" s="83" t="s">
        <v>13300</v>
      </c>
      <c r="D5568" s="83" t="s">
        <v>13299</v>
      </c>
    </row>
    <row r="5569" spans="1:4">
      <c r="A5569" s="83" t="s">
        <v>13297</v>
      </c>
      <c r="B5569" s="83" t="s">
        <v>5015</v>
      </c>
      <c r="C5569" s="83" t="s">
        <v>13301</v>
      </c>
      <c r="D5569" s="83" t="s">
        <v>13299</v>
      </c>
    </row>
    <row r="5570" spans="1:4">
      <c r="A5570" s="83" t="s">
        <v>13297</v>
      </c>
      <c r="B5570" s="83" t="s">
        <v>5010</v>
      </c>
      <c r="C5570" s="83" t="s">
        <v>13302</v>
      </c>
      <c r="D5570" s="83" t="s">
        <v>13299</v>
      </c>
    </row>
    <row r="5571" spans="1:4">
      <c r="A5571" s="83" t="s">
        <v>13303</v>
      </c>
      <c r="B5571" s="83" t="s">
        <v>5017</v>
      </c>
      <c r="C5571" s="83" t="s">
        <v>13304</v>
      </c>
      <c r="D5571" s="83" t="s">
        <v>13305</v>
      </c>
    </row>
    <row r="5572" spans="1:4">
      <c r="A5572" s="83" t="s">
        <v>13303</v>
      </c>
      <c r="B5572" s="83" t="s">
        <v>5012</v>
      </c>
      <c r="C5572" s="83" t="s">
        <v>13306</v>
      </c>
      <c r="D5572" s="83" t="s">
        <v>13305</v>
      </c>
    </row>
    <row r="5573" spans="1:4">
      <c r="A5573" s="83" t="s">
        <v>13303</v>
      </c>
      <c r="B5573" s="83" t="s">
        <v>5015</v>
      </c>
      <c r="C5573" s="83" t="s">
        <v>13307</v>
      </c>
      <c r="D5573" s="83" t="s">
        <v>13305</v>
      </c>
    </row>
    <row r="5574" spans="1:4">
      <c r="A5574" s="83" t="s">
        <v>13303</v>
      </c>
      <c r="B5574" s="83" t="s">
        <v>5010</v>
      </c>
      <c r="C5574" s="83" t="s">
        <v>13308</v>
      </c>
      <c r="D5574" s="83" t="s">
        <v>13305</v>
      </c>
    </row>
    <row r="5575" spans="1:4">
      <c r="A5575" s="83" t="s">
        <v>13309</v>
      </c>
      <c r="B5575" s="83" t="s">
        <v>5017</v>
      </c>
      <c r="C5575" s="83" t="s">
        <v>13310</v>
      </c>
      <c r="D5575" s="83" t="s">
        <v>13311</v>
      </c>
    </row>
    <row r="5576" spans="1:4">
      <c r="A5576" s="83" t="s">
        <v>13309</v>
      </c>
      <c r="B5576" s="83" t="s">
        <v>5012</v>
      </c>
      <c r="C5576" s="83" t="s">
        <v>13312</v>
      </c>
      <c r="D5576" s="83" t="s">
        <v>13311</v>
      </c>
    </row>
    <row r="5577" spans="1:4">
      <c r="A5577" s="83" t="s">
        <v>13309</v>
      </c>
      <c r="B5577" s="83" t="s">
        <v>5015</v>
      </c>
      <c r="C5577" s="83" t="s">
        <v>13313</v>
      </c>
      <c r="D5577" s="83" t="s">
        <v>13311</v>
      </c>
    </row>
    <row r="5578" spans="1:4">
      <c r="A5578" s="83" t="s">
        <v>13309</v>
      </c>
      <c r="B5578" s="83" t="s">
        <v>5010</v>
      </c>
      <c r="C5578" s="83" t="s">
        <v>13314</v>
      </c>
      <c r="D5578" s="83" t="s">
        <v>13311</v>
      </c>
    </row>
    <row r="5579" spans="1:4">
      <c r="A5579" s="83" t="s">
        <v>13315</v>
      </c>
      <c r="B5579" s="83" t="s">
        <v>5017</v>
      </c>
      <c r="C5579" s="83" t="s">
        <v>13316</v>
      </c>
      <c r="D5579" s="83" t="s">
        <v>13317</v>
      </c>
    </row>
    <row r="5580" spans="1:4">
      <c r="A5580" s="83" t="s">
        <v>13315</v>
      </c>
      <c r="B5580" s="83" t="s">
        <v>5012</v>
      </c>
      <c r="C5580" s="83" t="s">
        <v>13318</v>
      </c>
      <c r="D5580" s="83" t="s">
        <v>13317</v>
      </c>
    </row>
    <row r="5581" spans="1:4">
      <c r="A5581" s="83" t="s">
        <v>13315</v>
      </c>
      <c r="B5581" s="83" t="s">
        <v>5015</v>
      </c>
      <c r="C5581" s="83" t="s">
        <v>13319</v>
      </c>
      <c r="D5581" s="83" t="s">
        <v>13317</v>
      </c>
    </row>
    <row r="5582" spans="1:4">
      <c r="A5582" s="83" t="s">
        <v>13315</v>
      </c>
      <c r="B5582" s="83" t="s">
        <v>5010</v>
      </c>
      <c r="C5582" s="83" t="s">
        <v>13320</v>
      </c>
      <c r="D5582" s="83" t="s">
        <v>13317</v>
      </c>
    </row>
    <row r="5583" spans="1:4">
      <c r="A5583" s="83" t="s">
        <v>13321</v>
      </c>
      <c r="B5583" s="83" t="s">
        <v>5017</v>
      </c>
      <c r="C5583" s="83" t="s">
        <v>13322</v>
      </c>
      <c r="D5583" s="83" t="s">
        <v>13323</v>
      </c>
    </row>
    <row r="5584" spans="1:4">
      <c r="A5584" s="83" t="s">
        <v>13321</v>
      </c>
      <c r="B5584" s="83" t="s">
        <v>5012</v>
      </c>
      <c r="C5584" s="83" t="s">
        <v>13324</v>
      </c>
      <c r="D5584" s="83" t="s">
        <v>13323</v>
      </c>
    </row>
    <row r="5585" spans="1:4">
      <c r="A5585" s="83" t="s">
        <v>13321</v>
      </c>
      <c r="B5585" s="83" t="s">
        <v>5015</v>
      </c>
      <c r="C5585" s="83" t="s">
        <v>13325</v>
      </c>
      <c r="D5585" s="83" t="s">
        <v>13323</v>
      </c>
    </row>
    <row r="5586" spans="1:4">
      <c r="A5586" s="83" t="s">
        <v>13321</v>
      </c>
      <c r="B5586" s="83" t="s">
        <v>5010</v>
      </c>
      <c r="C5586" s="83" t="s">
        <v>13326</v>
      </c>
      <c r="D5586" s="83" t="s">
        <v>13323</v>
      </c>
    </row>
    <row r="5587" spans="1:4">
      <c r="A5587" s="83" t="s">
        <v>13327</v>
      </c>
      <c r="B5587" s="83" t="s">
        <v>5017</v>
      </c>
      <c r="C5587" s="83" t="s">
        <v>13328</v>
      </c>
      <c r="D5587" s="83" t="s">
        <v>13329</v>
      </c>
    </row>
    <row r="5588" spans="1:4">
      <c r="A5588" s="83" t="s">
        <v>13327</v>
      </c>
      <c r="B5588" s="83" t="s">
        <v>5012</v>
      </c>
      <c r="C5588" s="83" t="s">
        <v>13330</v>
      </c>
      <c r="D5588" s="83" t="s">
        <v>13329</v>
      </c>
    </row>
    <row r="5589" spans="1:4">
      <c r="A5589" s="83" t="s">
        <v>13327</v>
      </c>
      <c r="B5589" s="83" t="s">
        <v>5015</v>
      </c>
      <c r="C5589" s="83" t="s">
        <v>13331</v>
      </c>
      <c r="D5589" s="83" t="s">
        <v>13329</v>
      </c>
    </row>
    <row r="5590" spans="1:4">
      <c r="A5590" s="83" t="s">
        <v>13327</v>
      </c>
      <c r="B5590" s="83" t="s">
        <v>5010</v>
      </c>
      <c r="C5590" s="83" t="s">
        <v>13332</v>
      </c>
      <c r="D5590" s="83" t="s">
        <v>13329</v>
      </c>
    </row>
    <row r="5591" spans="1:4">
      <c r="A5591" s="83" t="s">
        <v>13333</v>
      </c>
      <c r="B5591" s="83" t="s">
        <v>5017</v>
      </c>
      <c r="C5591" s="83" t="s">
        <v>13334</v>
      </c>
      <c r="D5591" s="83" t="s">
        <v>13335</v>
      </c>
    </row>
    <row r="5592" spans="1:4">
      <c r="A5592" s="83" t="s">
        <v>13333</v>
      </c>
      <c r="B5592" s="83" t="s">
        <v>5012</v>
      </c>
      <c r="C5592" s="83" t="s">
        <v>13336</v>
      </c>
      <c r="D5592" s="83" t="s">
        <v>13335</v>
      </c>
    </row>
    <row r="5593" spans="1:4">
      <c r="A5593" s="83" t="s">
        <v>13333</v>
      </c>
      <c r="B5593" s="83" t="s">
        <v>5015</v>
      </c>
      <c r="C5593" s="83" t="s">
        <v>13337</v>
      </c>
      <c r="D5593" s="83" t="s">
        <v>13335</v>
      </c>
    </row>
    <row r="5594" spans="1:4">
      <c r="A5594" s="83" t="s">
        <v>13333</v>
      </c>
      <c r="B5594" s="83" t="s">
        <v>5010</v>
      </c>
      <c r="C5594" s="83" t="s">
        <v>13338</v>
      </c>
      <c r="D5594" s="83" t="s">
        <v>13335</v>
      </c>
    </row>
    <row r="5595" spans="1:4">
      <c r="A5595" s="83" t="s">
        <v>13339</v>
      </c>
      <c r="B5595" s="83" t="s">
        <v>5017</v>
      </c>
      <c r="C5595" s="83" t="s">
        <v>13340</v>
      </c>
      <c r="D5595" s="83" t="s">
        <v>13341</v>
      </c>
    </row>
    <row r="5596" spans="1:4">
      <c r="A5596" s="83" t="s">
        <v>13339</v>
      </c>
      <c r="B5596" s="83" t="s">
        <v>5012</v>
      </c>
      <c r="C5596" s="83" t="s">
        <v>13342</v>
      </c>
      <c r="D5596" s="83" t="s">
        <v>13341</v>
      </c>
    </row>
    <row r="5597" spans="1:4">
      <c r="A5597" s="83" t="s">
        <v>13339</v>
      </c>
      <c r="B5597" s="83" t="s">
        <v>5015</v>
      </c>
      <c r="C5597" s="83" t="s">
        <v>13343</v>
      </c>
      <c r="D5597" s="83" t="s">
        <v>13341</v>
      </c>
    </row>
    <row r="5598" spans="1:4">
      <c r="A5598" s="83" t="s">
        <v>13339</v>
      </c>
      <c r="B5598" s="83" t="s">
        <v>5010</v>
      </c>
      <c r="C5598" s="83" t="s">
        <v>13344</v>
      </c>
      <c r="D5598" s="83" t="s">
        <v>13341</v>
      </c>
    </row>
    <row r="5599" spans="1:4">
      <c r="A5599" s="83" t="s">
        <v>13345</v>
      </c>
      <c r="B5599" s="83" t="s">
        <v>5017</v>
      </c>
      <c r="C5599" s="83" t="s">
        <v>13346</v>
      </c>
      <c r="D5599" s="83" t="s">
        <v>13347</v>
      </c>
    </row>
    <row r="5600" spans="1:4">
      <c r="A5600" s="83" t="s">
        <v>13345</v>
      </c>
      <c r="B5600" s="83" t="s">
        <v>5012</v>
      </c>
      <c r="C5600" s="83" t="s">
        <v>13348</v>
      </c>
      <c r="D5600" s="83" t="s">
        <v>13347</v>
      </c>
    </row>
    <row r="5601" spans="1:4">
      <c r="A5601" s="83" t="s">
        <v>13345</v>
      </c>
      <c r="B5601" s="83" t="s">
        <v>5015</v>
      </c>
      <c r="C5601" s="83" t="s">
        <v>13349</v>
      </c>
      <c r="D5601" s="83" t="s">
        <v>13347</v>
      </c>
    </row>
    <row r="5602" spans="1:4">
      <c r="A5602" s="83" t="s">
        <v>13345</v>
      </c>
      <c r="B5602" s="83" t="s">
        <v>5010</v>
      </c>
      <c r="C5602" s="83" t="s">
        <v>13350</v>
      </c>
      <c r="D5602" s="83" t="s">
        <v>13347</v>
      </c>
    </row>
    <row r="5603" spans="1:4">
      <c r="A5603" s="83" t="s">
        <v>13351</v>
      </c>
      <c r="B5603" s="83" t="s">
        <v>5017</v>
      </c>
      <c r="C5603" s="83" t="s">
        <v>13352</v>
      </c>
      <c r="D5603" s="83" t="s">
        <v>13353</v>
      </c>
    </row>
    <row r="5604" spans="1:4">
      <c r="A5604" s="83" t="s">
        <v>13351</v>
      </c>
      <c r="B5604" s="83" t="s">
        <v>5012</v>
      </c>
      <c r="C5604" s="83" t="s">
        <v>13354</v>
      </c>
      <c r="D5604" s="83" t="s">
        <v>13353</v>
      </c>
    </row>
    <row r="5605" spans="1:4">
      <c r="A5605" s="83" t="s">
        <v>13351</v>
      </c>
      <c r="B5605" s="83" t="s">
        <v>5015</v>
      </c>
      <c r="C5605" s="83" t="s">
        <v>13355</v>
      </c>
      <c r="D5605" s="83" t="s">
        <v>13353</v>
      </c>
    </row>
    <row r="5606" spans="1:4">
      <c r="A5606" s="83" t="s">
        <v>13351</v>
      </c>
      <c r="B5606" s="83" t="s">
        <v>5010</v>
      </c>
      <c r="C5606" s="83" t="s">
        <v>13356</v>
      </c>
      <c r="D5606" s="83" t="s">
        <v>13353</v>
      </c>
    </row>
    <row r="5607" spans="1:4">
      <c r="A5607" s="83" t="s">
        <v>13357</v>
      </c>
      <c r="B5607" s="83" t="s">
        <v>5017</v>
      </c>
      <c r="C5607" s="83" t="s">
        <v>13358</v>
      </c>
      <c r="D5607" s="83" t="s">
        <v>13359</v>
      </c>
    </row>
    <row r="5608" spans="1:4">
      <c r="A5608" s="83" t="s">
        <v>13357</v>
      </c>
      <c r="B5608" s="83" t="s">
        <v>5012</v>
      </c>
      <c r="C5608" s="83" t="s">
        <v>13360</v>
      </c>
      <c r="D5608" s="83" t="s">
        <v>13359</v>
      </c>
    </row>
    <row r="5609" spans="1:4">
      <c r="A5609" s="83" t="s">
        <v>13357</v>
      </c>
      <c r="B5609" s="83" t="s">
        <v>5015</v>
      </c>
      <c r="C5609" s="83" t="s">
        <v>13361</v>
      </c>
      <c r="D5609" s="83" t="s">
        <v>13359</v>
      </c>
    </row>
    <row r="5610" spans="1:4">
      <c r="A5610" s="83" t="s">
        <v>13357</v>
      </c>
      <c r="B5610" s="83" t="s">
        <v>5010</v>
      </c>
      <c r="C5610" s="83" t="s">
        <v>13362</v>
      </c>
      <c r="D5610" s="83" t="s">
        <v>13359</v>
      </c>
    </row>
    <row r="5611" spans="1:4">
      <c r="A5611" s="83" t="s">
        <v>13363</v>
      </c>
      <c r="B5611" s="83" t="s">
        <v>5017</v>
      </c>
      <c r="C5611" s="83" t="s">
        <v>13364</v>
      </c>
      <c r="D5611" s="83" t="s">
        <v>13365</v>
      </c>
    </row>
    <row r="5612" spans="1:4">
      <c r="A5612" s="83" t="s">
        <v>13363</v>
      </c>
      <c r="B5612" s="83" t="s">
        <v>5012</v>
      </c>
      <c r="C5612" s="83" t="s">
        <v>13366</v>
      </c>
      <c r="D5612" s="83" t="s">
        <v>13365</v>
      </c>
    </row>
    <row r="5613" spans="1:4">
      <c r="A5613" s="83" t="s">
        <v>13363</v>
      </c>
      <c r="B5613" s="83" t="s">
        <v>5015</v>
      </c>
      <c r="C5613" s="83" t="s">
        <v>13367</v>
      </c>
      <c r="D5613" s="83" t="s">
        <v>13365</v>
      </c>
    </row>
    <row r="5614" spans="1:4">
      <c r="A5614" s="83" t="s">
        <v>13363</v>
      </c>
      <c r="B5614" s="83" t="s">
        <v>5010</v>
      </c>
      <c r="C5614" s="83" t="s">
        <v>13368</v>
      </c>
      <c r="D5614" s="83" t="s">
        <v>13365</v>
      </c>
    </row>
    <row r="5615" spans="1:4">
      <c r="A5615" s="83" t="s">
        <v>13369</v>
      </c>
      <c r="B5615" s="83" t="s">
        <v>5017</v>
      </c>
      <c r="C5615" s="83" t="s">
        <v>13370</v>
      </c>
      <c r="D5615" s="83" t="s">
        <v>13371</v>
      </c>
    </row>
    <row r="5616" spans="1:4">
      <c r="A5616" s="83" t="s">
        <v>13369</v>
      </c>
      <c r="B5616" s="83" t="s">
        <v>5012</v>
      </c>
      <c r="C5616" s="83" t="s">
        <v>13372</v>
      </c>
      <c r="D5616" s="83" t="s">
        <v>13371</v>
      </c>
    </row>
    <row r="5617" spans="1:4">
      <c r="A5617" s="83" t="s">
        <v>13369</v>
      </c>
      <c r="B5617" s="83" t="s">
        <v>5015</v>
      </c>
      <c r="C5617" s="83" t="s">
        <v>13373</v>
      </c>
      <c r="D5617" s="83" t="s">
        <v>13371</v>
      </c>
    </row>
    <row r="5618" spans="1:4">
      <c r="A5618" s="83" t="s">
        <v>13369</v>
      </c>
      <c r="B5618" s="83" t="s">
        <v>5010</v>
      </c>
      <c r="C5618" s="83" t="s">
        <v>13374</v>
      </c>
      <c r="D5618" s="83" t="s">
        <v>13371</v>
      </c>
    </row>
    <row r="5619" spans="1:4">
      <c r="A5619" s="83" t="s">
        <v>13375</v>
      </c>
      <c r="B5619" s="83" t="s">
        <v>5017</v>
      </c>
      <c r="C5619" s="83" t="s">
        <v>13376</v>
      </c>
      <c r="D5619" s="83" t="s">
        <v>13377</v>
      </c>
    </row>
    <row r="5620" spans="1:4">
      <c r="A5620" s="83" t="s">
        <v>13375</v>
      </c>
      <c r="B5620" s="83" t="s">
        <v>5012</v>
      </c>
      <c r="C5620" s="83" t="s">
        <v>13378</v>
      </c>
      <c r="D5620" s="83" t="s">
        <v>13377</v>
      </c>
    </row>
    <row r="5621" spans="1:4">
      <c r="A5621" s="83" t="s">
        <v>13375</v>
      </c>
      <c r="B5621" s="83" t="s">
        <v>5015</v>
      </c>
      <c r="C5621" s="83" t="s">
        <v>13379</v>
      </c>
      <c r="D5621" s="83" t="s">
        <v>13377</v>
      </c>
    </row>
    <row r="5622" spans="1:4">
      <c r="A5622" s="83" t="s">
        <v>13375</v>
      </c>
      <c r="B5622" s="83" t="s">
        <v>5010</v>
      </c>
      <c r="C5622" s="83" t="s">
        <v>13380</v>
      </c>
      <c r="D5622" s="83" t="s">
        <v>13377</v>
      </c>
    </row>
    <row r="5623" spans="1:4">
      <c r="A5623" s="83" t="s">
        <v>13381</v>
      </c>
      <c r="B5623" s="83" t="s">
        <v>5017</v>
      </c>
      <c r="C5623" s="83" t="s">
        <v>13382</v>
      </c>
      <c r="D5623" s="83" t="s">
        <v>13383</v>
      </c>
    </row>
    <row r="5624" spans="1:4">
      <c r="A5624" s="83" t="s">
        <v>13381</v>
      </c>
      <c r="B5624" s="83" t="s">
        <v>5012</v>
      </c>
      <c r="C5624" s="83" t="s">
        <v>13384</v>
      </c>
      <c r="D5624" s="83" t="s">
        <v>13383</v>
      </c>
    </row>
    <row r="5625" spans="1:4">
      <c r="A5625" s="83" t="s">
        <v>13381</v>
      </c>
      <c r="B5625" s="83" t="s">
        <v>5015</v>
      </c>
      <c r="C5625" s="83" t="s">
        <v>13385</v>
      </c>
      <c r="D5625" s="83" t="s">
        <v>13383</v>
      </c>
    </row>
    <row r="5626" spans="1:4">
      <c r="A5626" s="83" t="s">
        <v>13381</v>
      </c>
      <c r="B5626" s="83" t="s">
        <v>5010</v>
      </c>
      <c r="C5626" s="83" t="s">
        <v>13386</v>
      </c>
      <c r="D5626" s="83" t="s">
        <v>13383</v>
      </c>
    </row>
    <row r="5627" spans="1:4">
      <c r="A5627" s="83" t="s">
        <v>13387</v>
      </c>
      <c r="B5627" s="83" t="s">
        <v>5017</v>
      </c>
      <c r="C5627" s="83" t="s">
        <v>13388</v>
      </c>
      <c r="D5627" s="83" t="s">
        <v>13389</v>
      </c>
    </row>
    <row r="5628" spans="1:4">
      <c r="A5628" s="83" t="s">
        <v>13387</v>
      </c>
      <c r="B5628" s="83" t="s">
        <v>5012</v>
      </c>
      <c r="C5628" s="83" t="s">
        <v>13390</v>
      </c>
      <c r="D5628" s="83" t="s">
        <v>13389</v>
      </c>
    </row>
    <row r="5629" spans="1:4">
      <c r="A5629" s="83" t="s">
        <v>13387</v>
      </c>
      <c r="B5629" s="83" t="s">
        <v>5015</v>
      </c>
      <c r="C5629" s="83" t="s">
        <v>13391</v>
      </c>
      <c r="D5629" s="83" t="s">
        <v>13389</v>
      </c>
    </row>
    <row r="5630" spans="1:4">
      <c r="A5630" s="83" t="s">
        <v>13387</v>
      </c>
      <c r="B5630" s="83" t="s">
        <v>5010</v>
      </c>
      <c r="C5630" s="83" t="s">
        <v>13392</v>
      </c>
      <c r="D5630" s="83" t="s">
        <v>13389</v>
      </c>
    </row>
    <row r="5631" spans="1:4">
      <c r="A5631" s="83" t="s">
        <v>13393</v>
      </c>
      <c r="B5631" s="83" t="s">
        <v>5017</v>
      </c>
      <c r="C5631" s="83" t="s">
        <v>13394</v>
      </c>
      <c r="D5631" s="83" t="s">
        <v>13395</v>
      </c>
    </row>
    <row r="5632" spans="1:4">
      <c r="A5632" s="83" t="s">
        <v>13393</v>
      </c>
      <c r="B5632" s="83" t="s">
        <v>5012</v>
      </c>
      <c r="C5632" s="83" t="s">
        <v>13396</v>
      </c>
      <c r="D5632" s="83" t="s">
        <v>13395</v>
      </c>
    </row>
    <row r="5633" spans="1:4">
      <c r="A5633" s="83" t="s">
        <v>13393</v>
      </c>
      <c r="B5633" s="83" t="s">
        <v>5015</v>
      </c>
      <c r="C5633" s="83" t="s">
        <v>13397</v>
      </c>
      <c r="D5633" s="83" t="s">
        <v>13395</v>
      </c>
    </row>
    <row r="5634" spans="1:4">
      <c r="A5634" s="83" t="s">
        <v>13393</v>
      </c>
      <c r="B5634" s="83" t="s">
        <v>5010</v>
      </c>
      <c r="C5634" s="83" t="s">
        <v>13398</v>
      </c>
      <c r="D5634" s="83" t="s">
        <v>13395</v>
      </c>
    </row>
    <row r="5635" spans="1:4">
      <c r="A5635" s="83" t="s">
        <v>13399</v>
      </c>
      <c r="B5635" s="83" t="s">
        <v>5017</v>
      </c>
      <c r="C5635" s="83" t="s">
        <v>13400</v>
      </c>
      <c r="D5635" s="83" t="s">
        <v>13401</v>
      </c>
    </row>
    <row r="5636" spans="1:4">
      <c r="A5636" s="83" t="s">
        <v>13399</v>
      </c>
      <c r="B5636" s="83" t="s">
        <v>5012</v>
      </c>
      <c r="C5636" s="83" t="s">
        <v>13402</v>
      </c>
      <c r="D5636" s="83" t="s">
        <v>13401</v>
      </c>
    </row>
    <row r="5637" spans="1:4">
      <c r="A5637" s="83" t="s">
        <v>13399</v>
      </c>
      <c r="B5637" s="83" t="s">
        <v>5015</v>
      </c>
      <c r="C5637" s="83" t="s">
        <v>13403</v>
      </c>
      <c r="D5637" s="83" t="s">
        <v>13401</v>
      </c>
    </row>
    <row r="5638" spans="1:4">
      <c r="A5638" s="83" t="s">
        <v>13399</v>
      </c>
      <c r="B5638" s="83" t="s">
        <v>5010</v>
      </c>
      <c r="C5638" s="83" t="s">
        <v>13404</v>
      </c>
      <c r="D5638" s="83" t="s">
        <v>13401</v>
      </c>
    </row>
    <row r="5639" spans="1:4">
      <c r="A5639" s="83" t="s">
        <v>13405</v>
      </c>
      <c r="B5639" s="83" t="s">
        <v>5017</v>
      </c>
      <c r="C5639" s="83" t="s">
        <v>13406</v>
      </c>
      <c r="D5639" s="83" t="s">
        <v>13407</v>
      </c>
    </row>
    <row r="5640" spans="1:4">
      <c r="A5640" s="83" t="s">
        <v>13405</v>
      </c>
      <c r="B5640" s="83" t="s">
        <v>5012</v>
      </c>
      <c r="C5640" s="83" t="s">
        <v>13408</v>
      </c>
      <c r="D5640" s="83" t="s">
        <v>13407</v>
      </c>
    </row>
    <row r="5641" spans="1:4">
      <c r="A5641" s="83" t="s">
        <v>13405</v>
      </c>
      <c r="B5641" s="83" t="s">
        <v>5015</v>
      </c>
      <c r="C5641" s="83" t="s">
        <v>13409</v>
      </c>
      <c r="D5641" s="83" t="s">
        <v>13407</v>
      </c>
    </row>
    <row r="5642" spans="1:4">
      <c r="A5642" s="83" t="s">
        <v>13405</v>
      </c>
      <c r="B5642" s="83" t="s">
        <v>5010</v>
      </c>
      <c r="C5642" s="83" t="s">
        <v>13410</v>
      </c>
      <c r="D5642" s="83" t="s">
        <v>13407</v>
      </c>
    </row>
    <row r="5643" spans="1:4">
      <c r="A5643" s="83" t="s">
        <v>13411</v>
      </c>
      <c r="B5643" s="83" t="s">
        <v>5017</v>
      </c>
      <c r="C5643" s="83" t="s">
        <v>13412</v>
      </c>
      <c r="D5643" s="83" t="s">
        <v>13413</v>
      </c>
    </row>
    <row r="5644" spans="1:4">
      <c r="A5644" s="83" t="s">
        <v>13411</v>
      </c>
      <c r="B5644" s="83" t="s">
        <v>5012</v>
      </c>
      <c r="C5644" s="83" t="s">
        <v>13414</v>
      </c>
      <c r="D5644" s="83" t="s">
        <v>13413</v>
      </c>
    </row>
    <row r="5645" spans="1:4">
      <c r="A5645" s="83" t="s">
        <v>13411</v>
      </c>
      <c r="B5645" s="83" t="s">
        <v>5015</v>
      </c>
      <c r="C5645" s="83" t="s">
        <v>13415</v>
      </c>
      <c r="D5645" s="83" t="s">
        <v>13413</v>
      </c>
    </row>
    <row r="5646" spans="1:4">
      <c r="A5646" s="83" t="s">
        <v>13411</v>
      </c>
      <c r="B5646" s="83" t="s">
        <v>5010</v>
      </c>
      <c r="C5646" s="83" t="s">
        <v>13416</v>
      </c>
      <c r="D5646" s="83" t="s">
        <v>13413</v>
      </c>
    </row>
    <row r="5647" spans="1:4">
      <c r="A5647" s="83" t="s">
        <v>13417</v>
      </c>
      <c r="B5647" s="83" t="s">
        <v>5017</v>
      </c>
      <c r="C5647" s="83" t="s">
        <v>13418</v>
      </c>
      <c r="D5647" s="83" t="s">
        <v>13419</v>
      </c>
    </row>
    <row r="5648" spans="1:4">
      <c r="A5648" s="83" t="s">
        <v>13417</v>
      </c>
      <c r="B5648" s="83" t="s">
        <v>5012</v>
      </c>
      <c r="C5648" s="83" t="s">
        <v>13420</v>
      </c>
      <c r="D5648" s="83" t="s">
        <v>13419</v>
      </c>
    </row>
    <row r="5649" spans="1:4">
      <c r="A5649" s="83" t="s">
        <v>13417</v>
      </c>
      <c r="B5649" s="83" t="s">
        <v>5015</v>
      </c>
      <c r="C5649" s="83" t="s">
        <v>13421</v>
      </c>
      <c r="D5649" s="83" t="s">
        <v>13419</v>
      </c>
    </row>
    <row r="5650" spans="1:4">
      <c r="A5650" s="83" t="s">
        <v>13417</v>
      </c>
      <c r="B5650" s="83" t="s">
        <v>5010</v>
      </c>
      <c r="C5650" s="83" t="s">
        <v>13422</v>
      </c>
      <c r="D5650" s="83" t="s">
        <v>13419</v>
      </c>
    </row>
    <row r="5651" spans="1:4">
      <c r="A5651" s="83" t="s">
        <v>13423</v>
      </c>
      <c r="B5651" s="83" t="s">
        <v>5017</v>
      </c>
      <c r="C5651" s="83" t="s">
        <v>13424</v>
      </c>
      <c r="D5651" s="83" t="s">
        <v>13425</v>
      </c>
    </row>
    <row r="5652" spans="1:4">
      <c r="A5652" s="83" t="s">
        <v>13423</v>
      </c>
      <c r="B5652" s="83" t="s">
        <v>5012</v>
      </c>
      <c r="C5652" s="83" t="s">
        <v>13426</v>
      </c>
      <c r="D5652" s="83" t="s">
        <v>13425</v>
      </c>
    </row>
    <row r="5653" spans="1:4">
      <c r="A5653" s="83" t="s">
        <v>13423</v>
      </c>
      <c r="B5653" s="83" t="s">
        <v>5015</v>
      </c>
      <c r="C5653" s="83" t="s">
        <v>13427</v>
      </c>
      <c r="D5653" s="83" t="s">
        <v>13425</v>
      </c>
    </row>
    <row r="5654" spans="1:4">
      <c r="A5654" s="83" t="s">
        <v>13423</v>
      </c>
      <c r="B5654" s="83" t="s">
        <v>5010</v>
      </c>
      <c r="C5654" s="83" t="s">
        <v>13428</v>
      </c>
      <c r="D5654" s="83" t="s">
        <v>13425</v>
      </c>
    </row>
    <row r="5655" spans="1:4">
      <c r="A5655" s="83" t="s">
        <v>13429</v>
      </c>
      <c r="B5655" s="83" t="s">
        <v>5017</v>
      </c>
      <c r="C5655" s="83" t="s">
        <v>13430</v>
      </c>
      <c r="D5655" s="83" t="s">
        <v>13431</v>
      </c>
    </row>
    <row r="5656" spans="1:4">
      <c r="A5656" s="83" t="s">
        <v>13429</v>
      </c>
      <c r="B5656" s="83" t="s">
        <v>5012</v>
      </c>
      <c r="C5656" s="83" t="s">
        <v>13432</v>
      </c>
      <c r="D5656" s="83" t="s">
        <v>13431</v>
      </c>
    </row>
    <row r="5657" spans="1:4">
      <c r="A5657" s="83" t="s">
        <v>13429</v>
      </c>
      <c r="B5657" s="83" t="s">
        <v>5015</v>
      </c>
      <c r="C5657" s="83" t="s">
        <v>13433</v>
      </c>
      <c r="D5657" s="83" t="s">
        <v>13431</v>
      </c>
    </row>
    <row r="5658" spans="1:4">
      <c r="A5658" s="83" t="s">
        <v>13429</v>
      </c>
      <c r="B5658" s="83" t="s">
        <v>5010</v>
      </c>
      <c r="C5658" s="83" t="s">
        <v>13434</v>
      </c>
      <c r="D5658" s="83" t="s">
        <v>13431</v>
      </c>
    </row>
    <row r="5659" spans="1:4">
      <c r="A5659" s="83" t="s">
        <v>13435</v>
      </c>
      <c r="B5659" s="83" t="s">
        <v>5017</v>
      </c>
      <c r="C5659" s="83" t="s">
        <v>13436</v>
      </c>
      <c r="D5659" s="83" t="s">
        <v>13437</v>
      </c>
    </row>
    <row r="5660" spans="1:4">
      <c r="A5660" s="83" t="s">
        <v>13435</v>
      </c>
      <c r="B5660" s="83" t="s">
        <v>5012</v>
      </c>
      <c r="C5660" s="83" t="s">
        <v>13438</v>
      </c>
      <c r="D5660" s="83" t="s">
        <v>13437</v>
      </c>
    </row>
    <row r="5661" spans="1:4">
      <c r="A5661" s="83" t="s">
        <v>13435</v>
      </c>
      <c r="B5661" s="83" t="s">
        <v>5015</v>
      </c>
      <c r="C5661" s="83" t="s">
        <v>13439</v>
      </c>
      <c r="D5661" s="83" t="s">
        <v>13437</v>
      </c>
    </row>
    <row r="5662" spans="1:4">
      <c r="A5662" s="83" t="s">
        <v>13435</v>
      </c>
      <c r="B5662" s="83" t="s">
        <v>5010</v>
      </c>
      <c r="C5662" s="83" t="s">
        <v>13440</v>
      </c>
      <c r="D5662" s="83" t="s">
        <v>13437</v>
      </c>
    </row>
    <row r="5663" spans="1:4">
      <c r="A5663" s="83" t="s">
        <v>13441</v>
      </c>
      <c r="B5663" s="83" t="s">
        <v>5017</v>
      </c>
      <c r="C5663" s="83" t="s">
        <v>13442</v>
      </c>
      <c r="D5663" s="83" t="s">
        <v>13443</v>
      </c>
    </row>
    <row r="5664" spans="1:4">
      <c r="A5664" s="83" t="s">
        <v>13441</v>
      </c>
      <c r="B5664" s="83" t="s">
        <v>5012</v>
      </c>
      <c r="C5664" s="83" t="s">
        <v>13444</v>
      </c>
      <c r="D5664" s="83" t="s">
        <v>13443</v>
      </c>
    </row>
    <row r="5665" spans="1:4">
      <c r="A5665" s="83" t="s">
        <v>13441</v>
      </c>
      <c r="B5665" s="83" t="s">
        <v>5015</v>
      </c>
      <c r="C5665" s="83" t="s">
        <v>13445</v>
      </c>
      <c r="D5665" s="83" t="s">
        <v>13443</v>
      </c>
    </row>
    <row r="5666" spans="1:4">
      <c r="A5666" s="83" t="s">
        <v>13441</v>
      </c>
      <c r="B5666" s="83" t="s">
        <v>5010</v>
      </c>
      <c r="C5666" s="83" t="s">
        <v>13446</v>
      </c>
      <c r="D5666" s="83" t="s">
        <v>13443</v>
      </c>
    </row>
    <row r="5667" spans="1:4">
      <c r="A5667" s="83" t="s">
        <v>13447</v>
      </c>
      <c r="B5667" s="83" t="s">
        <v>5017</v>
      </c>
      <c r="C5667" s="83" t="s">
        <v>13448</v>
      </c>
      <c r="D5667" s="83" t="s">
        <v>13449</v>
      </c>
    </row>
    <row r="5668" spans="1:4">
      <c r="A5668" s="83" t="s">
        <v>13447</v>
      </c>
      <c r="B5668" s="83" t="s">
        <v>5012</v>
      </c>
      <c r="C5668" s="83" t="s">
        <v>13450</v>
      </c>
      <c r="D5668" s="83" t="s">
        <v>13449</v>
      </c>
    </row>
    <row r="5669" spans="1:4">
      <c r="A5669" s="83" t="s">
        <v>13447</v>
      </c>
      <c r="B5669" s="83" t="s">
        <v>5015</v>
      </c>
      <c r="C5669" s="83" t="s">
        <v>13451</v>
      </c>
      <c r="D5669" s="83" t="s">
        <v>13449</v>
      </c>
    </row>
    <row r="5670" spans="1:4">
      <c r="A5670" s="83" t="s">
        <v>13447</v>
      </c>
      <c r="B5670" s="83" t="s">
        <v>5010</v>
      </c>
      <c r="C5670" s="83" t="s">
        <v>13452</v>
      </c>
      <c r="D5670" s="83" t="s">
        <v>13449</v>
      </c>
    </row>
    <row r="5671" spans="1:4">
      <c r="A5671" s="83" t="s">
        <v>13453</v>
      </c>
      <c r="B5671" s="83" t="s">
        <v>5017</v>
      </c>
      <c r="C5671" s="83" t="s">
        <v>13454</v>
      </c>
      <c r="D5671" s="83" t="s">
        <v>13455</v>
      </c>
    </row>
    <row r="5672" spans="1:4">
      <c r="A5672" s="83" t="s">
        <v>13453</v>
      </c>
      <c r="B5672" s="83" t="s">
        <v>5012</v>
      </c>
      <c r="C5672" s="83" t="s">
        <v>13456</v>
      </c>
      <c r="D5672" s="83" t="s">
        <v>13455</v>
      </c>
    </row>
    <row r="5673" spans="1:4">
      <c r="A5673" s="83" t="s">
        <v>13453</v>
      </c>
      <c r="B5673" s="83" t="s">
        <v>5015</v>
      </c>
      <c r="C5673" s="83" t="s">
        <v>13457</v>
      </c>
      <c r="D5673" s="83" t="s">
        <v>13455</v>
      </c>
    </row>
    <row r="5674" spans="1:4">
      <c r="A5674" s="83" t="s">
        <v>13453</v>
      </c>
      <c r="B5674" s="83" t="s">
        <v>5010</v>
      </c>
      <c r="C5674" s="83" t="s">
        <v>13458</v>
      </c>
      <c r="D5674" s="83" t="s">
        <v>13455</v>
      </c>
    </row>
    <row r="5675" spans="1:4">
      <c r="A5675" s="83" t="s">
        <v>13459</v>
      </c>
      <c r="B5675" s="83" t="s">
        <v>5017</v>
      </c>
      <c r="C5675" s="83" t="s">
        <v>13460</v>
      </c>
      <c r="D5675" s="83" t="s">
        <v>13461</v>
      </c>
    </row>
    <row r="5676" spans="1:4">
      <c r="A5676" s="83" t="s">
        <v>13459</v>
      </c>
      <c r="B5676" s="83" t="s">
        <v>5012</v>
      </c>
      <c r="C5676" s="83" t="s">
        <v>13462</v>
      </c>
      <c r="D5676" s="83" t="s">
        <v>13461</v>
      </c>
    </row>
    <row r="5677" spans="1:4">
      <c r="A5677" s="83" t="s">
        <v>13459</v>
      </c>
      <c r="B5677" s="83" t="s">
        <v>5015</v>
      </c>
      <c r="C5677" s="83" t="s">
        <v>13463</v>
      </c>
      <c r="D5677" s="83" t="s">
        <v>13461</v>
      </c>
    </row>
    <row r="5678" spans="1:4">
      <c r="A5678" s="83" t="s">
        <v>13459</v>
      </c>
      <c r="B5678" s="83" t="s">
        <v>5010</v>
      </c>
      <c r="C5678" s="83" t="s">
        <v>13464</v>
      </c>
      <c r="D5678" s="83" t="s">
        <v>13461</v>
      </c>
    </row>
    <row r="5679" spans="1:4">
      <c r="A5679" s="83" t="s">
        <v>13465</v>
      </c>
      <c r="B5679" s="83" t="s">
        <v>5017</v>
      </c>
      <c r="C5679" s="83" t="s">
        <v>13466</v>
      </c>
      <c r="D5679" s="83" t="s">
        <v>13467</v>
      </c>
    </row>
    <row r="5680" spans="1:4">
      <c r="A5680" s="83" t="s">
        <v>13465</v>
      </c>
      <c r="B5680" s="83" t="s">
        <v>5012</v>
      </c>
      <c r="C5680" s="83" t="s">
        <v>13468</v>
      </c>
      <c r="D5680" s="83" t="s">
        <v>13467</v>
      </c>
    </row>
    <row r="5681" spans="1:4">
      <c r="A5681" s="83" t="s">
        <v>13465</v>
      </c>
      <c r="B5681" s="83" t="s">
        <v>5015</v>
      </c>
      <c r="C5681" s="83" t="s">
        <v>13469</v>
      </c>
      <c r="D5681" s="83" t="s">
        <v>13467</v>
      </c>
    </row>
    <row r="5682" spans="1:4">
      <c r="A5682" s="83" t="s">
        <v>13465</v>
      </c>
      <c r="B5682" s="83" t="s">
        <v>5010</v>
      </c>
      <c r="C5682" s="83" t="s">
        <v>13470</v>
      </c>
      <c r="D5682" s="83" t="s">
        <v>13467</v>
      </c>
    </row>
    <row r="5683" spans="1:4">
      <c r="A5683" s="83" t="s">
        <v>13471</v>
      </c>
      <c r="B5683" s="83" t="s">
        <v>5017</v>
      </c>
      <c r="C5683" s="83" t="s">
        <v>13472</v>
      </c>
      <c r="D5683" s="83" t="s">
        <v>13473</v>
      </c>
    </row>
    <row r="5684" spans="1:4">
      <c r="A5684" s="83" t="s">
        <v>13471</v>
      </c>
      <c r="B5684" s="83" t="s">
        <v>5012</v>
      </c>
      <c r="C5684" s="83" t="s">
        <v>13474</v>
      </c>
      <c r="D5684" s="83" t="s">
        <v>13473</v>
      </c>
    </row>
    <row r="5685" spans="1:4">
      <c r="A5685" s="83" t="s">
        <v>13471</v>
      </c>
      <c r="B5685" s="83" t="s">
        <v>5015</v>
      </c>
      <c r="C5685" s="83" t="s">
        <v>13475</v>
      </c>
      <c r="D5685" s="83" t="s">
        <v>13473</v>
      </c>
    </row>
    <row r="5686" spans="1:4">
      <c r="A5686" s="83" t="s">
        <v>13471</v>
      </c>
      <c r="B5686" s="83" t="s">
        <v>5010</v>
      </c>
      <c r="C5686" s="83" t="s">
        <v>13476</v>
      </c>
      <c r="D5686" s="83" t="s">
        <v>13473</v>
      </c>
    </row>
    <row r="5687" spans="1:4">
      <c r="A5687" s="83" t="s">
        <v>13477</v>
      </c>
      <c r="B5687" s="83" t="s">
        <v>5017</v>
      </c>
      <c r="C5687" s="83" t="s">
        <v>13478</v>
      </c>
      <c r="D5687" s="83" t="s">
        <v>13479</v>
      </c>
    </row>
    <row r="5688" spans="1:4">
      <c r="A5688" s="83" t="s">
        <v>13477</v>
      </c>
      <c r="B5688" s="83" t="s">
        <v>5012</v>
      </c>
      <c r="C5688" s="83" t="s">
        <v>13480</v>
      </c>
      <c r="D5688" s="83" t="s">
        <v>13479</v>
      </c>
    </row>
    <row r="5689" spans="1:4">
      <c r="A5689" s="83" t="s">
        <v>13477</v>
      </c>
      <c r="B5689" s="83" t="s">
        <v>5015</v>
      </c>
      <c r="C5689" s="83" t="s">
        <v>13481</v>
      </c>
      <c r="D5689" s="83" t="s">
        <v>13479</v>
      </c>
    </row>
    <row r="5690" spans="1:4">
      <c r="A5690" s="83" t="s">
        <v>13477</v>
      </c>
      <c r="B5690" s="83" t="s">
        <v>5010</v>
      </c>
      <c r="C5690" s="83" t="s">
        <v>13482</v>
      </c>
      <c r="D5690" s="83" t="s">
        <v>13479</v>
      </c>
    </row>
    <row r="5691" spans="1:4">
      <c r="A5691" s="83" t="s">
        <v>13483</v>
      </c>
      <c r="B5691" s="83" t="s">
        <v>5017</v>
      </c>
      <c r="C5691" s="83" t="s">
        <v>13484</v>
      </c>
      <c r="D5691" s="83" t="s">
        <v>13485</v>
      </c>
    </row>
    <row r="5692" spans="1:4">
      <c r="A5692" s="83" t="s">
        <v>13483</v>
      </c>
      <c r="B5692" s="83" t="s">
        <v>5012</v>
      </c>
      <c r="C5692" s="83" t="s">
        <v>13486</v>
      </c>
      <c r="D5692" s="83" t="s">
        <v>13485</v>
      </c>
    </row>
    <row r="5693" spans="1:4">
      <c r="A5693" s="83" t="s">
        <v>13483</v>
      </c>
      <c r="B5693" s="83" t="s">
        <v>5015</v>
      </c>
      <c r="C5693" s="83" t="s">
        <v>13487</v>
      </c>
      <c r="D5693" s="83" t="s">
        <v>13485</v>
      </c>
    </row>
    <row r="5694" spans="1:4">
      <c r="A5694" s="83" t="s">
        <v>13483</v>
      </c>
      <c r="B5694" s="83" t="s">
        <v>5010</v>
      </c>
      <c r="C5694" s="83" t="s">
        <v>13488</v>
      </c>
      <c r="D5694" s="83" t="s">
        <v>13485</v>
      </c>
    </row>
    <row r="5695" spans="1:4">
      <c r="A5695" s="83" t="s">
        <v>13489</v>
      </c>
      <c r="B5695" s="83" t="s">
        <v>5017</v>
      </c>
      <c r="C5695" s="83" t="s">
        <v>13490</v>
      </c>
      <c r="D5695" s="83" t="s">
        <v>13491</v>
      </c>
    </row>
    <row r="5696" spans="1:4">
      <c r="A5696" s="83" t="s">
        <v>13489</v>
      </c>
      <c r="B5696" s="83" t="s">
        <v>5012</v>
      </c>
      <c r="C5696" s="83" t="s">
        <v>13492</v>
      </c>
      <c r="D5696" s="83" t="s">
        <v>13491</v>
      </c>
    </row>
    <row r="5697" spans="1:4">
      <c r="A5697" s="83" t="s">
        <v>13489</v>
      </c>
      <c r="B5697" s="83" t="s">
        <v>5015</v>
      </c>
      <c r="C5697" s="83" t="s">
        <v>13493</v>
      </c>
      <c r="D5697" s="83" t="s">
        <v>13491</v>
      </c>
    </row>
    <row r="5698" spans="1:4">
      <c r="A5698" s="83" t="s">
        <v>13489</v>
      </c>
      <c r="B5698" s="83" t="s">
        <v>5010</v>
      </c>
      <c r="C5698" s="83" t="s">
        <v>13494</v>
      </c>
      <c r="D5698" s="83" t="s">
        <v>13491</v>
      </c>
    </row>
    <row r="5699" spans="1:4">
      <c r="A5699" s="83" t="s">
        <v>13495</v>
      </c>
      <c r="B5699" s="83" t="s">
        <v>5017</v>
      </c>
      <c r="C5699" s="83" t="s">
        <v>13496</v>
      </c>
      <c r="D5699" s="83" t="s">
        <v>13497</v>
      </c>
    </row>
    <row r="5700" spans="1:4">
      <c r="A5700" s="83" t="s">
        <v>13495</v>
      </c>
      <c r="B5700" s="83" t="s">
        <v>5012</v>
      </c>
      <c r="C5700" s="83" t="s">
        <v>13498</v>
      </c>
      <c r="D5700" s="83" t="s">
        <v>13497</v>
      </c>
    </row>
    <row r="5701" spans="1:4">
      <c r="A5701" s="83" t="s">
        <v>13495</v>
      </c>
      <c r="B5701" s="83" t="s">
        <v>5015</v>
      </c>
      <c r="C5701" s="83" t="s">
        <v>13499</v>
      </c>
      <c r="D5701" s="83" t="s">
        <v>13497</v>
      </c>
    </row>
    <row r="5702" spans="1:4">
      <c r="A5702" s="83" t="s">
        <v>13495</v>
      </c>
      <c r="B5702" s="83" t="s">
        <v>5010</v>
      </c>
      <c r="C5702" s="83" t="s">
        <v>13500</v>
      </c>
      <c r="D5702" s="83" t="s">
        <v>13497</v>
      </c>
    </row>
    <row r="5703" spans="1:4">
      <c r="A5703" s="83" t="s">
        <v>13501</v>
      </c>
      <c r="B5703" s="83" t="s">
        <v>5017</v>
      </c>
      <c r="C5703" s="83" t="s">
        <v>13502</v>
      </c>
      <c r="D5703" s="83" t="s">
        <v>13503</v>
      </c>
    </row>
    <row r="5704" spans="1:4">
      <c r="A5704" s="83" t="s">
        <v>13501</v>
      </c>
      <c r="B5704" s="83" t="s">
        <v>5012</v>
      </c>
      <c r="C5704" s="83" t="s">
        <v>13504</v>
      </c>
      <c r="D5704" s="83" t="s">
        <v>13503</v>
      </c>
    </row>
    <row r="5705" spans="1:4">
      <c r="A5705" s="83" t="s">
        <v>13501</v>
      </c>
      <c r="B5705" s="83" t="s">
        <v>5015</v>
      </c>
      <c r="C5705" s="83" t="s">
        <v>13505</v>
      </c>
      <c r="D5705" s="83" t="s">
        <v>13503</v>
      </c>
    </row>
    <row r="5706" spans="1:4">
      <c r="A5706" s="83" t="s">
        <v>13501</v>
      </c>
      <c r="B5706" s="83" t="s">
        <v>5010</v>
      </c>
      <c r="C5706" s="83" t="s">
        <v>13506</v>
      </c>
      <c r="D5706" s="83" t="s">
        <v>13503</v>
      </c>
    </row>
    <row r="5707" spans="1:4">
      <c r="A5707" s="83" t="s">
        <v>13507</v>
      </c>
      <c r="B5707" s="83" t="s">
        <v>5017</v>
      </c>
      <c r="C5707" s="83" t="s">
        <v>13508</v>
      </c>
      <c r="D5707" s="83" t="s">
        <v>13509</v>
      </c>
    </row>
    <row r="5708" spans="1:4">
      <c r="A5708" s="83" t="s">
        <v>13507</v>
      </c>
      <c r="B5708" s="83" t="s">
        <v>5012</v>
      </c>
      <c r="C5708" s="83" t="s">
        <v>13510</v>
      </c>
      <c r="D5708" s="83" t="s">
        <v>13509</v>
      </c>
    </row>
    <row r="5709" spans="1:4">
      <c r="A5709" s="83" t="s">
        <v>13507</v>
      </c>
      <c r="B5709" s="83" t="s">
        <v>5015</v>
      </c>
      <c r="C5709" s="83" t="s">
        <v>13511</v>
      </c>
      <c r="D5709" s="83" t="s">
        <v>13509</v>
      </c>
    </row>
    <row r="5710" spans="1:4">
      <c r="A5710" s="83" t="s">
        <v>13507</v>
      </c>
      <c r="B5710" s="83" t="s">
        <v>5010</v>
      </c>
      <c r="C5710" s="83" t="s">
        <v>13512</v>
      </c>
      <c r="D5710" s="83" t="s">
        <v>13509</v>
      </c>
    </row>
    <row r="5711" spans="1:4">
      <c r="A5711" s="83" t="s">
        <v>13513</v>
      </c>
      <c r="B5711" s="83" t="s">
        <v>5017</v>
      </c>
      <c r="C5711" s="83" t="s">
        <v>13514</v>
      </c>
      <c r="D5711" s="83" t="s">
        <v>13515</v>
      </c>
    </row>
    <row r="5712" spans="1:4">
      <c r="A5712" s="83" t="s">
        <v>13513</v>
      </c>
      <c r="B5712" s="83" t="s">
        <v>5012</v>
      </c>
      <c r="C5712" s="83" t="s">
        <v>13516</v>
      </c>
      <c r="D5712" s="83" t="s">
        <v>13515</v>
      </c>
    </row>
    <row r="5713" spans="1:4">
      <c r="A5713" s="83" t="s">
        <v>13513</v>
      </c>
      <c r="B5713" s="83" t="s">
        <v>5015</v>
      </c>
      <c r="C5713" s="83" t="s">
        <v>13517</v>
      </c>
      <c r="D5713" s="83" t="s">
        <v>13515</v>
      </c>
    </row>
    <row r="5714" spans="1:4">
      <c r="A5714" s="83" t="s">
        <v>13513</v>
      </c>
      <c r="B5714" s="83" t="s">
        <v>5010</v>
      </c>
      <c r="C5714" s="83" t="s">
        <v>13518</v>
      </c>
      <c r="D5714" s="83" t="s">
        <v>13515</v>
      </c>
    </row>
    <row r="5715" spans="1:4">
      <c r="A5715" s="83" t="s">
        <v>13519</v>
      </c>
      <c r="B5715" s="83" t="s">
        <v>5017</v>
      </c>
      <c r="C5715" s="83" t="s">
        <v>13520</v>
      </c>
      <c r="D5715" s="83" t="s">
        <v>13521</v>
      </c>
    </row>
    <row r="5716" spans="1:4">
      <c r="A5716" s="83" t="s">
        <v>13519</v>
      </c>
      <c r="B5716" s="83" t="s">
        <v>5012</v>
      </c>
      <c r="C5716" s="83" t="s">
        <v>13522</v>
      </c>
      <c r="D5716" s="83" t="s">
        <v>13521</v>
      </c>
    </row>
    <row r="5717" spans="1:4">
      <c r="A5717" s="83" t="s">
        <v>13519</v>
      </c>
      <c r="B5717" s="83" t="s">
        <v>5015</v>
      </c>
      <c r="C5717" s="83" t="s">
        <v>13523</v>
      </c>
      <c r="D5717" s="83" t="s">
        <v>13521</v>
      </c>
    </row>
    <row r="5718" spans="1:4">
      <c r="A5718" s="83" t="s">
        <v>13519</v>
      </c>
      <c r="B5718" s="83" t="s">
        <v>5010</v>
      </c>
      <c r="C5718" s="83" t="s">
        <v>13524</v>
      </c>
      <c r="D5718" s="83" t="s">
        <v>13521</v>
      </c>
    </row>
    <row r="5719" spans="1:4">
      <c r="A5719" s="83" t="s">
        <v>13525</v>
      </c>
      <c r="B5719" s="83" t="s">
        <v>5017</v>
      </c>
      <c r="C5719" s="83" t="s">
        <v>13526</v>
      </c>
      <c r="D5719" s="83" t="s">
        <v>13527</v>
      </c>
    </row>
    <row r="5720" spans="1:4">
      <c r="A5720" s="83" t="s">
        <v>13525</v>
      </c>
      <c r="B5720" s="83" t="s">
        <v>5012</v>
      </c>
      <c r="C5720" s="83" t="s">
        <v>13528</v>
      </c>
      <c r="D5720" s="83" t="s">
        <v>13527</v>
      </c>
    </row>
    <row r="5721" spans="1:4">
      <c r="A5721" s="83" t="s">
        <v>13525</v>
      </c>
      <c r="B5721" s="83" t="s">
        <v>5015</v>
      </c>
      <c r="C5721" s="83" t="s">
        <v>13529</v>
      </c>
      <c r="D5721" s="83" t="s">
        <v>13527</v>
      </c>
    </row>
    <row r="5722" spans="1:4">
      <c r="A5722" s="83" t="s">
        <v>13525</v>
      </c>
      <c r="B5722" s="83" t="s">
        <v>5010</v>
      </c>
      <c r="C5722" s="83" t="s">
        <v>13530</v>
      </c>
      <c r="D5722" s="83" t="s">
        <v>13527</v>
      </c>
    </row>
    <row r="5723" spans="1:4">
      <c r="A5723" s="83" t="s">
        <v>13531</v>
      </c>
      <c r="B5723" s="83" t="s">
        <v>5017</v>
      </c>
      <c r="C5723" s="83" t="s">
        <v>13532</v>
      </c>
      <c r="D5723" s="83" t="s">
        <v>13533</v>
      </c>
    </row>
    <row r="5724" spans="1:4">
      <c r="A5724" s="83" t="s">
        <v>13531</v>
      </c>
      <c r="B5724" s="83" t="s">
        <v>5012</v>
      </c>
      <c r="C5724" s="83" t="s">
        <v>13534</v>
      </c>
      <c r="D5724" s="83" t="s">
        <v>13533</v>
      </c>
    </row>
    <row r="5725" spans="1:4">
      <c r="A5725" s="83" t="s">
        <v>13531</v>
      </c>
      <c r="B5725" s="83" t="s">
        <v>5015</v>
      </c>
      <c r="C5725" s="83" t="s">
        <v>13535</v>
      </c>
      <c r="D5725" s="83" t="s">
        <v>13533</v>
      </c>
    </row>
    <row r="5726" spans="1:4">
      <c r="A5726" s="83" t="s">
        <v>13531</v>
      </c>
      <c r="B5726" s="83" t="s">
        <v>5010</v>
      </c>
      <c r="C5726" s="83" t="s">
        <v>13536</v>
      </c>
      <c r="D5726" s="83" t="s">
        <v>13533</v>
      </c>
    </row>
    <row r="5727" spans="1:4">
      <c r="A5727" s="83" t="s">
        <v>13537</v>
      </c>
      <c r="B5727" s="83" t="s">
        <v>5017</v>
      </c>
      <c r="C5727" s="83" t="s">
        <v>13538</v>
      </c>
      <c r="D5727" s="83" t="s">
        <v>13539</v>
      </c>
    </row>
    <row r="5728" spans="1:4">
      <c r="A5728" s="83" t="s">
        <v>13537</v>
      </c>
      <c r="B5728" s="83" t="s">
        <v>5012</v>
      </c>
      <c r="C5728" s="83" t="s">
        <v>13540</v>
      </c>
      <c r="D5728" s="83" t="s">
        <v>13539</v>
      </c>
    </row>
    <row r="5729" spans="1:4">
      <c r="A5729" s="83" t="s">
        <v>13537</v>
      </c>
      <c r="B5729" s="83" t="s">
        <v>5015</v>
      </c>
      <c r="C5729" s="83" t="s">
        <v>13541</v>
      </c>
      <c r="D5729" s="83" t="s">
        <v>13539</v>
      </c>
    </row>
    <row r="5730" spans="1:4">
      <c r="A5730" s="83" t="s">
        <v>13537</v>
      </c>
      <c r="B5730" s="83" t="s">
        <v>5010</v>
      </c>
      <c r="C5730" s="83" t="s">
        <v>13542</v>
      </c>
      <c r="D5730" s="83" t="s">
        <v>13539</v>
      </c>
    </row>
    <row r="5731" spans="1:4">
      <c r="A5731" s="83" t="s">
        <v>13543</v>
      </c>
      <c r="B5731" s="83" t="s">
        <v>5017</v>
      </c>
      <c r="C5731" s="83" t="s">
        <v>13544</v>
      </c>
      <c r="D5731" s="83" t="s">
        <v>13545</v>
      </c>
    </row>
    <row r="5732" spans="1:4">
      <c r="A5732" s="83" t="s">
        <v>13543</v>
      </c>
      <c r="B5732" s="83" t="s">
        <v>5012</v>
      </c>
      <c r="C5732" s="83" t="s">
        <v>13546</v>
      </c>
      <c r="D5732" s="83" t="s">
        <v>13545</v>
      </c>
    </row>
    <row r="5733" spans="1:4">
      <c r="A5733" s="83" t="s">
        <v>13543</v>
      </c>
      <c r="B5733" s="83" t="s">
        <v>5015</v>
      </c>
      <c r="C5733" s="83" t="s">
        <v>13547</v>
      </c>
      <c r="D5733" s="83" t="s">
        <v>13545</v>
      </c>
    </row>
    <row r="5734" spans="1:4">
      <c r="A5734" s="83" t="s">
        <v>13543</v>
      </c>
      <c r="B5734" s="83" t="s">
        <v>5010</v>
      </c>
      <c r="C5734" s="83" t="s">
        <v>13548</v>
      </c>
      <c r="D5734" s="83" t="s">
        <v>13545</v>
      </c>
    </row>
    <row r="5735" spans="1:4">
      <c r="A5735" s="83" t="s">
        <v>13549</v>
      </c>
      <c r="B5735" s="83" t="s">
        <v>5017</v>
      </c>
      <c r="C5735" s="83" t="s">
        <v>13550</v>
      </c>
      <c r="D5735" s="83" t="s">
        <v>13551</v>
      </c>
    </row>
    <row r="5736" spans="1:4">
      <c r="A5736" s="83" t="s">
        <v>13549</v>
      </c>
      <c r="B5736" s="83" t="s">
        <v>5012</v>
      </c>
      <c r="C5736" s="83" t="s">
        <v>13552</v>
      </c>
      <c r="D5736" s="83" t="s">
        <v>13551</v>
      </c>
    </row>
    <row r="5737" spans="1:4">
      <c r="A5737" s="83" t="s">
        <v>13549</v>
      </c>
      <c r="B5737" s="83" t="s">
        <v>5015</v>
      </c>
      <c r="C5737" s="83" t="s">
        <v>13553</v>
      </c>
      <c r="D5737" s="83" t="s">
        <v>13551</v>
      </c>
    </row>
    <row r="5738" spans="1:4">
      <c r="A5738" s="83" t="s">
        <v>13549</v>
      </c>
      <c r="B5738" s="83" t="s">
        <v>5010</v>
      </c>
      <c r="C5738" s="83" t="s">
        <v>13554</v>
      </c>
      <c r="D5738" s="83" t="s">
        <v>13551</v>
      </c>
    </row>
    <row r="5739" spans="1:4">
      <c r="A5739" s="83" t="s">
        <v>13555</v>
      </c>
      <c r="B5739" s="83" t="s">
        <v>5017</v>
      </c>
      <c r="C5739" s="83" t="s">
        <v>13556</v>
      </c>
      <c r="D5739" s="83" t="s">
        <v>13557</v>
      </c>
    </row>
    <row r="5740" spans="1:4">
      <c r="A5740" s="83" t="s">
        <v>13555</v>
      </c>
      <c r="B5740" s="83" t="s">
        <v>5012</v>
      </c>
      <c r="C5740" s="83" t="s">
        <v>13558</v>
      </c>
      <c r="D5740" s="83" t="s">
        <v>13557</v>
      </c>
    </row>
    <row r="5741" spans="1:4">
      <c r="A5741" s="83" t="s">
        <v>13555</v>
      </c>
      <c r="B5741" s="83" t="s">
        <v>5015</v>
      </c>
      <c r="C5741" s="83" t="s">
        <v>13559</v>
      </c>
      <c r="D5741" s="83" t="s">
        <v>13557</v>
      </c>
    </row>
    <row r="5742" spans="1:4">
      <c r="A5742" s="83" t="s">
        <v>13555</v>
      </c>
      <c r="B5742" s="83" t="s">
        <v>5010</v>
      </c>
      <c r="C5742" s="83" t="s">
        <v>13560</v>
      </c>
      <c r="D5742" s="83" t="s">
        <v>13557</v>
      </c>
    </row>
    <row r="5743" spans="1:4">
      <c r="A5743" s="83" t="s">
        <v>13561</v>
      </c>
      <c r="B5743" s="83" t="s">
        <v>5017</v>
      </c>
      <c r="C5743" s="83" t="s">
        <v>13562</v>
      </c>
      <c r="D5743" s="83" t="s">
        <v>13563</v>
      </c>
    </row>
    <row r="5744" spans="1:4">
      <c r="A5744" s="83" t="s">
        <v>13561</v>
      </c>
      <c r="B5744" s="83" t="s">
        <v>5012</v>
      </c>
      <c r="C5744" s="83" t="s">
        <v>13564</v>
      </c>
      <c r="D5744" s="83" t="s">
        <v>13563</v>
      </c>
    </row>
    <row r="5745" spans="1:4">
      <c r="A5745" s="83" t="s">
        <v>13561</v>
      </c>
      <c r="B5745" s="83" t="s">
        <v>5015</v>
      </c>
      <c r="C5745" s="83" t="s">
        <v>13565</v>
      </c>
      <c r="D5745" s="83" t="s">
        <v>13563</v>
      </c>
    </row>
    <row r="5746" spans="1:4">
      <c r="A5746" s="83" t="s">
        <v>13561</v>
      </c>
      <c r="B5746" s="83" t="s">
        <v>5010</v>
      </c>
      <c r="C5746" s="83" t="s">
        <v>13566</v>
      </c>
      <c r="D5746" s="83" t="s">
        <v>13563</v>
      </c>
    </row>
    <row r="5747" spans="1:4">
      <c r="A5747" s="83" t="s">
        <v>13567</v>
      </c>
      <c r="B5747" s="83" t="s">
        <v>5017</v>
      </c>
      <c r="C5747" s="83" t="s">
        <v>13568</v>
      </c>
      <c r="D5747" s="83" t="s">
        <v>13569</v>
      </c>
    </row>
    <row r="5748" spans="1:4">
      <c r="A5748" s="83" t="s">
        <v>13567</v>
      </c>
      <c r="B5748" s="83" t="s">
        <v>5012</v>
      </c>
      <c r="C5748" s="83" t="s">
        <v>13570</v>
      </c>
      <c r="D5748" s="83" t="s">
        <v>13569</v>
      </c>
    </row>
    <row r="5749" spans="1:4">
      <c r="A5749" s="83" t="s">
        <v>13567</v>
      </c>
      <c r="B5749" s="83" t="s">
        <v>5015</v>
      </c>
      <c r="C5749" s="83" t="s">
        <v>13571</v>
      </c>
      <c r="D5749" s="83" t="s">
        <v>13569</v>
      </c>
    </row>
    <row r="5750" spans="1:4">
      <c r="A5750" s="83" t="s">
        <v>13567</v>
      </c>
      <c r="B5750" s="83" t="s">
        <v>5010</v>
      </c>
      <c r="C5750" s="83" t="s">
        <v>13572</v>
      </c>
      <c r="D5750" s="83" t="s">
        <v>13569</v>
      </c>
    </row>
    <row r="5751" spans="1:4">
      <c r="A5751" s="83" t="s">
        <v>13573</v>
      </c>
      <c r="B5751" s="83" t="s">
        <v>5017</v>
      </c>
      <c r="C5751" s="83" t="s">
        <v>13574</v>
      </c>
      <c r="D5751" s="83" t="s">
        <v>13575</v>
      </c>
    </row>
    <row r="5752" spans="1:4">
      <c r="A5752" s="83" t="s">
        <v>13573</v>
      </c>
      <c r="B5752" s="83" t="s">
        <v>5012</v>
      </c>
      <c r="C5752" s="83" t="s">
        <v>13576</v>
      </c>
      <c r="D5752" s="83" t="s">
        <v>13575</v>
      </c>
    </row>
    <row r="5753" spans="1:4">
      <c r="A5753" s="83" t="s">
        <v>13573</v>
      </c>
      <c r="B5753" s="83" t="s">
        <v>5015</v>
      </c>
      <c r="C5753" s="83" t="s">
        <v>13577</v>
      </c>
      <c r="D5753" s="83" t="s">
        <v>13575</v>
      </c>
    </row>
    <row r="5754" spans="1:4">
      <c r="A5754" s="83" t="s">
        <v>13573</v>
      </c>
      <c r="B5754" s="83" t="s">
        <v>5010</v>
      </c>
      <c r="C5754" s="83" t="s">
        <v>13578</v>
      </c>
      <c r="D5754" s="83" t="s">
        <v>13575</v>
      </c>
    </row>
    <row r="5755" spans="1:4">
      <c r="A5755" s="83" t="s">
        <v>13579</v>
      </c>
      <c r="B5755" s="83" t="s">
        <v>5017</v>
      </c>
      <c r="C5755" s="83" t="s">
        <v>13580</v>
      </c>
      <c r="D5755" s="83" t="s">
        <v>13581</v>
      </c>
    </row>
    <row r="5756" spans="1:4">
      <c r="A5756" s="83" t="s">
        <v>13579</v>
      </c>
      <c r="B5756" s="83" t="s">
        <v>5012</v>
      </c>
      <c r="C5756" s="83" t="s">
        <v>13582</v>
      </c>
      <c r="D5756" s="83" t="s">
        <v>13581</v>
      </c>
    </row>
    <row r="5757" spans="1:4">
      <c r="A5757" s="83" t="s">
        <v>13579</v>
      </c>
      <c r="B5757" s="83" t="s">
        <v>5015</v>
      </c>
      <c r="C5757" s="83" t="s">
        <v>13583</v>
      </c>
      <c r="D5757" s="83" t="s">
        <v>13581</v>
      </c>
    </row>
    <row r="5758" spans="1:4">
      <c r="A5758" s="83" t="s">
        <v>13579</v>
      </c>
      <c r="B5758" s="83" t="s">
        <v>5010</v>
      </c>
      <c r="C5758" s="83" t="s">
        <v>13584</v>
      </c>
      <c r="D5758" s="83" t="s">
        <v>13581</v>
      </c>
    </row>
    <row r="5759" spans="1:4">
      <c r="A5759" s="83" t="s">
        <v>13585</v>
      </c>
      <c r="B5759" s="83" t="s">
        <v>5017</v>
      </c>
      <c r="C5759" s="83" t="s">
        <v>13586</v>
      </c>
      <c r="D5759" s="83" t="s">
        <v>13587</v>
      </c>
    </row>
    <row r="5760" spans="1:4">
      <c r="A5760" s="83" t="s">
        <v>13585</v>
      </c>
      <c r="B5760" s="83" t="s">
        <v>5012</v>
      </c>
      <c r="C5760" s="83" t="s">
        <v>13588</v>
      </c>
      <c r="D5760" s="83" t="s">
        <v>13587</v>
      </c>
    </row>
    <row r="5761" spans="1:4">
      <c r="A5761" s="83" t="s">
        <v>13585</v>
      </c>
      <c r="B5761" s="83" t="s">
        <v>5015</v>
      </c>
      <c r="C5761" s="83" t="s">
        <v>13589</v>
      </c>
      <c r="D5761" s="83" t="s">
        <v>13587</v>
      </c>
    </row>
    <row r="5762" spans="1:4">
      <c r="A5762" s="83" t="s">
        <v>13585</v>
      </c>
      <c r="B5762" s="83" t="s">
        <v>5010</v>
      </c>
      <c r="C5762" s="83" t="s">
        <v>13590</v>
      </c>
      <c r="D5762" s="83" t="s">
        <v>13587</v>
      </c>
    </row>
    <row r="5763" spans="1:4">
      <c r="A5763" s="83" t="s">
        <v>13591</v>
      </c>
      <c r="B5763" s="83" t="s">
        <v>5017</v>
      </c>
      <c r="C5763" s="83" t="s">
        <v>13592</v>
      </c>
      <c r="D5763" s="83" t="s">
        <v>13593</v>
      </c>
    </row>
    <row r="5764" spans="1:4">
      <c r="A5764" s="83" t="s">
        <v>13591</v>
      </c>
      <c r="B5764" s="83" t="s">
        <v>5012</v>
      </c>
      <c r="C5764" s="83" t="s">
        <v>13594</v>
      </c>
      <c r="D5764" s="83" t="s">
        <v>13593</v>
      </c>
    </row>
    <row r="5765" spans="1:4">
      <c r="A5765" s="83" t="s">
        <v>13591</v>
      </c>
      <c r="B5765" s="83" t="s">
        <v>5015</v>
      </c>
      <c r="C5765" s="83" t="s">
        <v>13595</v>
      </c>
      <c r="D5765" s="83" t="s">
        <v>13593</v>
      </c>
    </row>
    <row r="5766" spans="1:4">
      <c r="A5766" s="83" t="s">
        <v>13591</v>
      </c>
      <c r="B5766" s="83" t="s">
        <v>5010</v>
      </c>
      <c r="C5766" s="83" t="s">
        <v>13596</v>
      </c>
      <c r="D5766" s="83" t="s">
        <v>13593</v>
      </c>
    </row>
    <row r="5767" spans="1:4">
      <c r="A5767" s="83" t="s">
        <v>13597</v>
      </c>
      <c r="B5767" s="83" t="s">
        <v>5017</v>
      </c>
      <c r="C5767" s="83" t="s">
        <v>13598</v>
      </c>
      <c r="D5767" s="83" t="s">
        <v>13599</v>
      </c>
    </row>
    <row r="5768" spans="1:4">
      <c r="A5768" s="83" t="s">
        <v>13597</v>
      </c>
      <c r="B5768" s="83" t="s">
        <v>5012</v>
      </c>
      <c r="C5768" s="83" t="s">
        <v>13600</v>
      </c>
      <c r="D5768" s="83" t="s">
        <v>13599</v>
      </c>
    </row>
    <row r="5769" spans="1:4">
      <c r="A5769" s="83" t="s">
        <v>13597</v>
      </c>
      <c r="B5769" s="83" t="s">
        <v>5015</v>
      </c>
      <c r="C5769" s="83" t="s">
        <v>13601</v>
      </c>
      <c r="D5769" s="83" t="s">
        <v>13599</v>
      </c>
    </row>
    <row r="5770" spans="1:4">
      <c r="A5770" s="83" t="s">
        <v>13597</v>
      </c>
      <c r="B5770" s="83" t="s">
        <v>5010</v>
      </c>
      <c r="C5770" s="83" t="s">
        <v>13602</v>
      </c>
      <c r="D5770" s="83" t="s">
        <v>13599</v>
      </c>
    </row>
    <row r="5771" spans="1:4">
      <c r="A5771" s="83" t="s">
        <v>13603</v>
      </c>
      <c r="B5771" s="83" t="s">
        <v>5017</v>
      </c>
      <c r="C5771" s="83" t="s">
        <v>13604</v>
      </c>
      <c r="D5771" s="83" t="s">
        <v>13605</v>
      </c>
    </row>
    <row r="5772" spans="1:4">
      <c r="A5772" s="83" t="s">
        <v>13603</v>
      </c>
      <c r="B5772" s="83" t="s">
        <v>5012</v>
      </c>
      <c r="C5772" s="83" t="s">
        <v>13606</v>
      </c>
      <c r="D5772" s="83" t="s">
        <v>13605</v>
      </c>
    </row>
    <row r="5773" spans="1:4">
      <c r="A5773" s="83" t="s">
        <v>13603</v>
      </c>
      <c r="B5773" s="83" t="s">
        <v>5015</v>
      </c>
      <c r="C5773" s="83" t="s">
        <v>13607</v>
      </c>
      <c r="D5773" s="83" t="s">
        <v>13605</v>
      </c>
    </row>
    <row r="5774" spans="1:4">
      <c r="A5774" s="83" t="s">
        <v>13603</v>
      </c>
      <c r="B5774" s="83" t="s">
        <v>5010</v>
      </c>
      <c r="C5774" s="83" t="s">
        <v>13608</v>
      </c>
      <c r="D5774" s="83" t="s">
        <v>13605</v>
      </c>
    </row>
    <row r="5775" spans="1:4">
      <c r="A5775" s="83" t="s">
        <v>13609</v>
      </c>
      <c r="B5775" s="83" t="s">
        <v>5017</v>
      </c>
      <c r="C5775" s="83" t="s">
        <v>13610</v>
      </c>
      <c r="D5775" s="83" t="s">
        <v>13611</v>
      </c>
    </row>
    <row r="5776" spans="1:4">
      <c r="A5776" s="83" t="s">
        <v>13609</v>
      </c>
      <c r="B5776" s="83" t="s">
        <v>5012</v>
      </c>
      <c r="C5776" s="83" t="s">
        <v>13612</v>
      </c>
      <c r="D5776" s="83" t="s">
        <v>13611</v>
      </c>
    </row>
    <row r="5777" spans="1:4">
      <c r="A5777" s="83" t="s">
        <v>13609</v>
      </c>
      <c r="B5777" s="83" t="s">
        <v>5015</v>
      </c>
      <c r="C5777" s="83" t="s">
        <v>13613</v>
      </c>
      <c r="D5777" s="83" t="s">
        <v>13611</v>
      </c>
    </row>
    <row r="5778" spans="1:4">
      <c r="A5778" s="83" t="s">
        <v>13609</v>
      </c>
      <c r="B5778" s="83" t="s">
        <v>5010</v>
      </c>
      <c r="C5778" s="83" t="s">
        <v>13614</v>
      </c>
      <c r="D5778" s="83" t="s">
        <v>13611</v>
      </c>
    </row>
    <row r="5779" spans="1:4">
      <c r="A5779" s="83" t="s">
        <v>13615</v>
      </c>
      <c r="B5779" s="83" t="s">
        <v>5017</v>
      </c>
      <c r="C5779" s="83" t="s">
        <v>13616</v>
      </c>
      <c r="D5779" s="83" t="s">
        <v>13617</v>
      </c>
    </row>
    <row r="5780" spans="1:4">
      <c r="A5780" s="83" t="s">
        <v>13615</v>
      </c>
      <c r="B5780" s="83" t="s">
        <v>5012</v>
      </c>
      <c r="C5780" s="83" t="s">
        <v>13618</v>
      </c>
      <c r="D5780" s="83" t="s">
        <v>13617</v>
      </c>
    </row>
    <row r="5781" spans="1:4">
      <c r="A5781" s="83" t="s">
        <v>13615</v>
      </c>
      <c r="B5781" s="83" t="s">
        <v>5015</v>
      </c>
      <c r="C5781" s="83" t="s">
        <v>13619</v>
      </c>
      <c r="D5781" s="83" t="s">
        <v>13617</v>
      </c>
    </row>
    <row r="5782" spans="1:4">
      <c r="A5782" s="83" t="s">
        <v>13615</v>
      </c>
      <c r="B5782" s="83" t="s">
        <v>5010</v>
      </c>
      <c r="C5782" s="83" t="s">
        <v>13620</v>
      </c>
      <c r="D5782" s="83" t="s">
        <v>13617</v>
      </c>
    </row>
    <row r="5783" spans="1:4">
      <c r="A5783" s="83" t="s">
        <v>13621</v>
      </c>
      <c r="B5783" s="83" t="s">
        <v>5017</v>
      </c>
      <c r="C5783" s="83" t="s">
        <v>13622</v>
      </c>
      <c r="D5783" s="83" t="s">
        <v>13623</v>
      </c>
    </row>
    <row r="5784" spans="1:4">
      <c r="A5784" s="83" t="s">
        <v>13621</v>
      </c>
      <c r="B5784" s="83" t="s">
        <v>5012</v>
      </c>
      <c r="C5784" s="83" t="s">
        <v>13624</v>
      </c>
      <c r="D5784" s="83" t="s">
        <v>13623</v>
      </c>
    </row>
    <row r="5785" spans="1:4">
      <c r="A5785" s="83" t="s">
        <v>13621</v>
      </c>
      <c r="B5785" s="83" t="s">
        <v>5015</v>
      </c>
      <c r="C5785" s="83" t="s">
        <v>13625</v>
      </c>
      <c r="D5785" s="83" t="s">
        <v>13623</v>
      </c>
    </row>
    <row r="5786" spans="1:4">
      <c r="A5786" s="83" t="s">
        <v>13621</v>
      </c>
      <c r="B5786" s="83" t="s">
        <v>5010</v>
      </c>
      <c r="C5786" s="83" t="s">
        <v>13626</v>
      </c>
      <c r="D5786" s="83" t="s">
        <v>13623</v>
      </c>
    </row>
    <row r="5787" spans="1:4">
      <c r="A5787" s="83" t="s">
        <v>13627</v>
      </c>
      <c r="B5787" s="83" t="s">
        <v>5017</v>
      </c>
      <c r="C5787" s="83" t="s">
        <v>13628</v>
      </c>
      <c r="D5787" s="83" t="s">
        <v>13629</v>
      </c>
    </row>
    <row r="5788" spans="1:4">
      <c r="A5788" s="83" t="s">
        <v>13627</v>
      </c>
      <c r="B5788" s="83" t="s">
        <v>5012</v>
      </c>
      <c r="C5788" s="83" t="s">
        <v>13630</v>
      </c>
      <c r="D5788" s="83" t="s">
        <v>13629</v>
      </c>
    </row>
    <row r="5789" spans="1:4">
      <c r="A5789" s="83" t="s">
        <v>13627</v>
      </c>
      <c r="B5789" s="83" t="s">
        <v>5015</v>
      </c>
      <c r="C5789" s="83" t="s">
        <v>13631</v>
      </c>
      <c r="D5789" s="83" t="s">
        <v>13629</v>
      </c>
    </row>
    <row r="5790" spans="1:4">
      <c r="A5790" s="83" t="s">
        <v>13627</v>
      </c>
      <c r="B5790" s="83" t="s">
        <v>5010</v>
      </c>
      <c r="C5790" s="83" t="s">
        <v>13632</v>
      </c>
      <c r="D5790" s="83" t="s">
        <v>13629</v>
      </c>
    </row>
    <row r="5791" spans="1:4">
      <c r="A5791" s="83" t="s">
        <v>13633</v>
      </c>
      <c r="B5791" s="83" t="s">
        <v>5017</v>
      </c>
      <c r="C5791" s="83" t="s">
        <v>13634</v>
      </c>
      <c r="D5791" s="83" t="s">
        <v>13635</v>
      </c>
    </row>
    <row r="5792" spans="1:4">
      <c r="A5792" s="83" t="s">
        <v>13633</v>
      </c>
      <c r="B5792" s="83" t="s">
        <v>5012</v>
      </c>
      <c r="C5792" s="83" t="s">
        <v>13636</v>
      </c>
      <c r="D5792" s="83" t="s">
        <v>13635</v>
      </c>
    </row>
    <row r="5793" spans="1:4">
      <c r="A5793" s="83" t="s">
        <v>13633</v>
      </c>
      <c r="B5793" s="83" t="s">
        <v>5015</v>
      </c>
      <c r="C5793" s="83" t="s">
        <v>13637</v>
      </c>
      <c r="D5793" s="83" t="s">
        <v>13635</v>
      </c>
    </row>
    <row r="5794" spans="1:4">
      <c r="A5794" s="83" t="s">
        <v>13633</v>
      </c>
      <c r="B5794" s="83" t="s">
        <v>5010</v>
      </c>
      <c r="C5794" s="83" t="s">
        <v>13638</v>
      </c>
      <c r="D5794" s="83" t="s">
        <v>13635</v>
      </c>
    </row>
    <row r="5795" spans="1:4">
      <c r="A5795" s="83" t="s">
        <v>13639</v>
      </c>
      <c r="B5795" s="83" t="s">
        <v>5017</v>
      </c>
      <c r="C5795" s="83" t="s">
        <v>13640</v>
      </c>
      <c r="D5795" s="83" t="s">
        <v>13641</v>
      </c>
    </row>
    <row r="5796" spans="1:4">
      <c r="A5796" s="83" t="s">
        <v>13639</v>
      </c>
      <c r="B5796" s="83" t="s">
        <v>5012</v>
      </c>
      <c r="C5796" s="83" t="s">
        <v>13642</v>
      </c>
      <c r="D5796" s="83" t="s">
        <v>13641</v>
      </c>
    </row>
    <row r="5797" spans="1:4">
      <c r="A5797" s="83" t="s">
        <v>13639</v>
      </c>
      <c r="B5797" s="83" t="s">
        <v>5015</v>
      </c>
      <c r="C5797" s="83" t="s">
        <v>13643</v>
      </c>
      <c r="D5797" s="83" t="s">
        <v>13641</v>
      </c>
    </row>
    <row r="5798" spans="1:4">
      <c r="A5798" s="83" t="s">
        <v>13639</v>
      </c>
      <c r="B5798" s="83" t="s">
        <v>5010</v>
      </c>
      <c r="C5798" s="83" t="s">
        <v>13644</v>
      </c>
      <c r="D5798" s="83" t="s">
        <v>13641</v>
      </c>
    </row>
    <row r="5799" spans="1:4">
      <c r="A5799" s="83" t="s">
        <v>13645</v>
      </c>
      <c r="B5799" s="83" t="s">
        <v>5017</v>
      </c>
      <c r="C5799" s="83" t="s">
        <v>13646</v>
      </c>
      <c r="D5799" s="83" t="s">
        <v>13647</v>
      </c>
    </row>
    <row r="5800" spans="1:4">
      <c r="A5800" s="83" t="s">
        <v>13645</v>
      </c>
      <c r="B5800" s="83" t="s">
        <v>5012</v>
      </c>
      <c r="C5800" s="83" t="s">
        <v>13648</v>
      </c>
      <c r="D5800" s="83" t="s">
        <v>13647</v>
      </c>
    </row>
    <row r="5801" spans="1:4">
      <c r="A5801" s="83" t="s">
        <v>13645</v>
      </c>
      <c r="B5801" s="83" t="s">
        <v>5015</v>
      </c>
      <c r="C5801" s="83" t="s">
        <v>13649</v>
      </c>
      <c r="D5801" s="83" t="s">
        <v>13647</v>
      </c>
    </row>
    <row r="5802" spans="1:4">
      <c r="A5802" s="83" t="s">
        <v>13645</v>
      </c>
      <c r="B5802" s="83" t="s">
        <v>5010</v>
      </c>
      <c r="C5802" s="83" t="s">
        <v>13650</v>
      </c>
      <c r="D5802" s="83" t="s">
        <v>13647</v>
      </c>
    </row>
    <row r="5803" spans="1:4">
      <c r="A5803" s="83" t="s">
        <v>13651</v>
      </c>
      <c r="B5803" s="83" t="s">
        <v>5017</v>
      </c>
      <c r="C5803" s="83" t="s">
        <v>13652</v>
      </c>
      <c r="D5803" s="83" t="s">
        <v>13653</v>
      </c>
    </row>
    <row r="5804" spans="1:4">
      <c r="A5804" s="83" t="s">
        <v>13651</v>
      </c>
      <c r="B5804" s="83" t="s">
        <v>5012</v>
      </c>
      <c r="C5804" s="83" t="s">
        <v>13654</v>
      </c>
      <c r="D5804" s="83" t="s">
        <v>13653</v>
      </c>
    </row>
    <row r="5805" spans="1:4">
      <c r="A5805" s="83" t="s">
        <v>13651</v>
      </c>
      <c r="B5805" s="83" t="s">
        <v>5015</v>
      </c>
      <c r="C5805" s="83" t="s">
        <v>13655</v>
      </c>
      <c r="D5805" s="83" t="s">
        <v>13653</v>
      </c>
    </row>
    <row r="5806" spans="1:4">
      <c r="A5806" s="83" t="s">
        <v>13651</v>
      </c>
      <c r="B5806" s="83" t="s">
        <v>5010</v>
      </c>
      <c r="C5806" s="83" t="s">
        <v>13656</v>
      </c>
      <c r="D5806" s="83" t="s">
        <v>13653</v>
      </c>
    </row>
    <row r="5807" spans="1:4">
      <c r="A5807" s="83" t="s">
        <v>13657</v>
      </c>
      <c r="B5807" s="83" t="s">
        <v>5017</v>
      </c>
      <c r="C5807" s="83" t="s">
        <v>13658</v>
      </c>
      <c r="D5807" s="83" t="s">
        <v>13659</v>
      </c>
    </row>
    <row r="5808" spans="1:4">
      <c r="A5808" s="83" t="s">
        <v>13657</v>
      </c>
      <c r="B5808" s="83" t="s">
        <v>5012</v>
      </c>
      <c r="C5808" s="83" t="s">
        <v>13660</v>
      </c>
      <c r="D5808" s="83" t="s">
        <v>13659</v>
      </c>
    </row>
    <row r="5809" spans="1:4">
      <c r="A5809" s="83" t="s">
        <v>13657</v>
      </c>
      <c r="B5809" s="83" t="s">
        <v>5015</v>
      </c>
      <c r="C5809" s="83" t="s">
        <v>13661</v>
      </c>
      <c r="D5809" s="83" t="s">
        <v>13659</v>
      </c>
    </row>
    <row r="5810" spans="1:4">
      <c r="A5810" s="83" t="s">
        <v>13657</v>
      </c>
      <c r="B5810" s="83" t="s">
        <v>5010</v>
      </c>
      <c r="C5810" s="83" t="s">
        <v>13662</v>
      </c>
      <c r="D5810" s="83" t="s">
        <v>13659</v>
      </c>
    </row>
    <row r="5811" spans="1:4">
      <c r="A5811" s="83" t="s">
        <v>13663</v>
      </c>
      <c r="B5811" s="83" t="s">
        <v>5017</v>
      </c>
      <c r="C5811" s="83" t="s">
        <v>13664</v>
      </c>
      <c r="D5811" s="83" t="s">
        <v>13665</v>
      </c>
    </row>
    <row r="5812" spans="1:4">
      <c r="A5812" s="83" t="s">
        <v>13663</v>
      </c>
      <c r="B5812" s="83" t="s">
        <v>5012</v>
      </c>
      <c r="C5812" s="83" t="s">
        <v>13666</v>
      </c>
      <c r="D5812" s="83" t="s">
        <v>13665</v>
      </c>
    </row>
    <row r="5813" spans="1:4">
      <c r="A5813" s="83" t="s">
        <v>13663</v>
      </c>
      <c r="B5813" s="83" t="s">
        <v>5015</v>
      </c>
      <c r="C5813" s="83" t="s">
        <v>13667</v>
      </c>
      <c r="D5813" s="83" t="s">
        <v>13665</v>
      </c>
    </row>
    <row r="5814" spans="1:4">
      <c r="A5814" s="83" t="s">
        <v>13663</v>
      </c>
      <c r="B5814" s="83" t="s">
        <v>5010</v>
      </c>
      <c r="C5814" s="83" t="s">
        <v>13668</v>
      </c>
      <c r="D5814" s="83" t="s">
        <v>13665</v>
      </c>
    </row>
    <row r="5815" spans="1:4">
      <c r="A5815" s="83" t="s">
        <v>13669</v>
      </c>
      <c r="B5815" s="83" t="s">
        <v>5017</v>
      </c>
      <c r="C5815" s="83" t="s">
        <v>13670</v>
      </c>
      <c r="D5815" s="83" t="s">
        <v>13671</v>
      </c>
    </row>
    <row r="5816" spans="1:4">
      <c r="A5816" s="83" t="s">
        <v>13669</v>
      </c>
      <c r="B5816" s="83" t="s">
        <v>5012</v>
      </c>
      <c r="C5816" s="83" t="s">
        <v>13672</v>
      </c>
      <c r="D5816" s="83" t="s">
        <v>13671</v>
      </c>
    </row>
    <row r="5817" spans="1:4">
      <c r="A5817" s="83" t="s">
        <v>13669</v>
      </c>
      <c r="B5817" s="83" t="s">
        <v>5015</v>
      </c>
      <c r="C5817" s="83" t="s">
        <v>13673</v>
      </c>
      <c r="D5817" s="83" t="s">
        <v>13671</v>
      </c>
    </row>
    <row r="5818" spans="1:4">
      <c r="A5818" s="83" t="s">
        <v>13669</v>
      </c>
      <c r="B5818" s="83" t="s">
        <v>5010</v>
      </c>
      <c r="C5818" s="83" t="s">
        <v>13674</v>
      </c>
      <c r="D5818" s="83" t="s">
        <v>13671</v>
      </c>
    </row>
    <row r="5819" spans="1:4">
      <c r="A5819" s="83" t="s">
        <v>13675</v>
      </c>
      <c r="B5819" s="83" t="s">
        <v>5017</v>
      </c>
      <c r="C5819" s="83" t="s">
        <v>13676</v>
      </c>
      <c r="D5819" s="83" t="s">
        <v>13677</v>
      </c>
    </row>
    <row r="5820" spans="1:4">
      <c r="A5820" s="83" t="s">
        <v>13675</v>
      </c>
      <c r="B5820" s="83" t="s">
        <v>5012</v>
      </c>
      <c r="C5820" s="83" t="s">
        <v>13678</v>
      </c>
      <c r="D5820" s="83" t="s">
        <v>13677</v>
      </c>
    </row>
    <row r="5821" spans="1:4">
      <c r="A5821" s="83" t="s">
        <v>13675</v>
      </c>
      <c r="B5821" s="83" t="s">
        <v>5015</v>
      </c>
      <c r="C5821" s="83" t="s">
        <v>13679</v>
      </c>
      <c r="D5821" s="83" t="s">
        <v>13677</v>
      </c>
    </row>
    <row r="5822" spans="1:4">
      <c r="A5822" s="83" t="s">
        <v>13675</v>
      </c>
      <c r="B5822" s="83" t="s">
        <v>5010</v>
      </c>
      <c r="C5822" s="83" t="s">
        <v>13680</v>
      </c>
      <c r="D5822" s="83" t="s">
        <v>13677</v>
      </c>
    </row>
    <row r="5823" spans="1:4">
      <c r="A5823" s="83" t="s">
        <v>13681</v>
      </c>
      <c r="B5823" s="83" t="s">
        <v>5017</v>
      </c>
      <c r="C5823" s="83" t="s">
        <v>13682</v>
      </c>
      <c r="D5823" s="83" t="s">
        <v>13683</v>
      </c>
    </row>
    <row r="5824" spans="1:4">
      <c r="A5824" s="83" t="s">
        <v>13681</v>
      </c>
      <c r="B5824" s="83" t="s">
        <v>5012</v>
      </c>
      <c r="C5824" s="83" t="s">
        <v>13684</v>
      </c>
      <c r="D5824" s="83" t="s">
        <v>13683</v>
      </c>
    </row>
    <row r="5825" spans="1:4">
      <c r="A5825" s="83" t="s">
        <v>13681</v>
      </c>
      <c r="B5825" s="83" t="s">
        <v>5015</v>
      </c>
      <c r="C5825" s="83" t="s">
        <v>13685</v>
      </c>
      <c r="D5825" s="83" t="s">
        <v>13683</v>
      </c>
    </row>
    <row r="5826" spans="1:4">
      <c r="A5826" s="83" t="s">
        <v>13681</v>
      </c>
      <c r="B5826" s="83" t="s">
        <v>5010</v>
      </c>
      <c r="C5826" s="83" t="s">
        <v>13686</v>
      </c>
      <c r="D5826" s="83" t="s">
        <v>13683</v>
      </c>
    </row>
    <row r="5827" spans="1:4">
      <c r="A5827" s="83" t="s">
        <v>13687</v>
      </c>
      <c r="B5827" s="83" t="s">
        <v>5017</v>
      </c>
      <c r="C5827" s="83" t="s">
        <v>13688</v>
      </c>
      <c r="D5827" s="83" t="s">
        <v>13689</v>
      </c>
    </row>
    <row r="5828" spans="1:4">
      <c r="A5828" s="83" t="s">
        <v>13687</v>
      </c>
      <c r="B5828" s="83" t="s">
        <v>5012</v>
      </c>
      <c r="C5828" s="83" t="s">
        <v>13690</v>
      </c>
      <c r="D5828" s="83" t="s">
        <v>13689</v>
      </c>
    </row>
    <row r="5829" spans="1:4">
      <c r="A5829" s="83" t="s">
        <v>13687</v>
      </c>
      <c r="B5829" s="83" t="s">
        <v>5015</v>
      </c>
      <c r="C5829" s="83" t="s">
        <v>13691</v>
      </c>
      <c r="D5829" s="83" t="s">
        <v>13689</v>
      </c>
    </row>
    <row r="5830" spans="1:4">
      <c r="A5830" s="83" t="s">
        <v>13687</v>
      </c>
      <c r="B5830" s="83" t="s">
        <v>5010</v>
      </c>
      <c r="C5830" s="83" t="s">
        <v>13692</v>
      </c>
      <c r="D5830" s="83" t="s">
        <v>13689</v>
      </c>
    </row>
    <row r="5831" spans="1:4">
      <c r="A5831" s="83" t="s">
        <v>13693</v>
      </c>
      <c r="B5831" s="83" t="s">
        <v>5017</v>
      </c>
      <c r="C5831" s="83" t="s">
        <v>13694</v>
      </c>
      <c r="D5831" s="83" t="s">
        <v>13695</v>
      </c>
    </row>
    <row r="5832" spans="1:4">
      <c r="A5832" s="83" t="s">
        <v>13693</v>
      </c>
      <c r="B5832" s="83" t="s">
        <v>5012</v>
      </c>
      <c r="C5832" s="83" t="s">
        <v>13696</v>
      </c>
      <c r="D5832" s="83" t="s">
        <v>13695</v>
      </c>
    </row>
    <row r="5833" spans="1:4">
      <c r="A5833" s="83" t="s">
        <v>13693</v>
      </c>
      <c r="B5833" s="83" t="s">
        <v>5015</v>
      </c>
      <c r="C5833" s="83" t="s">
        <v>13697</v>
      </c>
      <c r="D5833" s="83" t="s">
        <v>13695</v>
      </c>
    </row>
    <row r="5834" spans="1:4">
      <c r="A5834" s="83" t="s">
        <v>13693</v>
      </c>
      <c r="B5834" s="83" t="s">
        <v>5010</v>
      </c>
      <c r="C5834" s="83" t="s">
        <v>13698</v>
      </c>
      <c r="D5834" s="83" t="s">
        <v>13695</v>
      </c>
    </row>
    <row r="5835" spans="1:4">
      <c r="A5835" s="83" t="s">
        <v>13699</v>
      </c>
      <c r="B5835" s="83" t="s">
        <v>5017</v>
      </c>
      <c r="C5835" s="83" t="s">
        <v>13700</v>
      </c>
      <c r="D5835" s="83" t="s">
        <v>13701</v>
      </c>
    </row>
    <row r="5836" spans="1:4">
      <c r="A5836" s="83" t="s">
        <v>13699</v>
      </c>
      <c r="B5836" s="83" t="s">
        <v>5012</v>
      </c>
      <c r="C5836" s="83" t="s">
        <v>13702</v>
      </c>
      <c r="D5836" s="83" t="s">
        <v>13701</v>
      </c>
    </row>
    <row r="5837" spans="1:4">
      <c r="A5837" s="83" t="s">
        <v>13699</v>
      </c>
      <c r="B5837" s="83" t="s">
        <v>5015</v>
      </c>
      <c r="C5837" s="83" t="s">
        <v>13703</v>
      </c>
      <c r="D5837" s="83" t="s">
        <v>13701</v>
      </c>
    </row>
    <row r="5838" spans="1:4">
      <c r="A5838" s="83" t="s">
        <v>13699</v>
      </c>
      <c r="B5838" s="83" t="s">
        <v>5010</v>
      </c>
      <c r="C5838" s="83" t="s">
        <v>13704</v>
      </c>
      <c r="D5838" s="83" t="s">
        <v>13701</v>
      </c>
    </row>
    <row r="5839" spans="1:4">
      <c r="A5839" s="83" t="s">
        <v>13705</v>
      </c>
      <c r="B5839" s="83" t="s">
        <v>5017</v>
      </c>
      <c r="C5839" s="83" t="s">
        <v>13706</v>
      </c>
      <c r="D5839" s="83" t="s">
        <v>13707</v>
      </c>
    </row>
    <row r="5840" spans="1:4">
      <c r="A5840" s="83" t="s">
        <v>13705</v>
      </c>
      <c r="B5840" s="83" t="s">
        <v>5012</v>
      </c>
      <c r="C5840" s="83" t="s">
        <v>13708</v>
      </c>
      <c r="D5840" s="83" t="s">
        <v>13707</v>
      </c>
    </row>
    <row r="5841" spans="1:4">
      <c r="A5841" s="83" t="s">
        <v>13705</v>
      </c>
      <c r="B5841" s="83" t="s">
        <v>5015</v>
      </c>
      <c r="C5841" s="83" t="s">
        <v>13709</v>
      </c>
      <c r="D5841" s="83" t="s">
        <v>13707</v>
      </c>
    </row>
    <row r="5842" spans="1:4">
      <c r="A5842" s="83" t="s">
        <v>13705</v>
      </c>
      <c r="B5842" s="83" t="s">
        <v>5010</v>
      </c>
      <c r="C5842" s="83" t="s">
        <v>13710</v>
      </c>
      <c r="D5842" s="83" t="s">
        <v>13707</v>
      </c>
    </row>
    <row r="5843" spans="1:4">
      <c r="A5843" s="83" t="s">
        <v>13711</v>
      </c>
      <c r="B5843" s="83" t="s">
        <v>5017</v>
      </c>
      <c r="C5843" s="83" t="s">
        <v>13712</v>
      </c>
      <c r="D5843" s="83" t="s">
        <v>13713</v>
      </c>
    </row>
    <row r="5844" spans="1:4">
      <c r="A5844" s="83" t="s">
        <v>13711</v>
      </c>
      <c r="B5844" s="83" t="s">
        <v>5012</v>
      </c>
      <c r="C5844" s="83" t="s">
        <v>13714</v>
      </c>
      <c r="D5844" s="83" t="s">
        <v>13713</v>
      </c>
    </row>
    <row r="5845" spans="1:4">
      <c r="A5845" s="83" t="s">
        <v>13711</v>
      </c>
      <c r="B5845" s="83" t="s">
        <v>5015</v>
      </c>
      <c r="C5845" s="83" t="s">
        <v>13715</v>
      </c>
      <c r="D5845" s="83" t="s">
        <v>13713</v>
      </c>
    </row>
    <row r="5846" spans="1:4">
      <c r="A5846" s="83" t="s">
        <v>13711</v>
      </c>
      <c r="B5846" s="83" t="s">
        <v>5010</v>
      </c>
      <c r="C5846" s="83" t="s">
        <v>13716</v>
      </c>
      <c r="D5846" s="83" t="s">
        <v>13713</v>
      </c>
    </row>
    <row r="5847" spans="1:4">
      <c r="A5847" s="83" t="s">
        <v>13717</v>
      </c>
      <c r="B5847" s="83" t="s">
        <v>5017</v>
      </c>
      <c r="C5847" s="83" t="s">
        <v>13718</v>
      </c>
      <c r="D5847" s="83" t="s">
        <v>13719</v>
      </c>
    </row>
    <row r="5848" spans="1:4">
      <c r="A5848" s="83" t="s">
        <v>13717</v>
      </c>
      <c r="B5848" s="83" t="s">
        <v>5012</v>
      </c>
      <c r="C5848" s="83" t="s">
        <v>13720</v>
      </c>
      <c r="D5848" s="83" t="s">
        <v>13719</v>
      </c>
    </row>
    <row r="5849" spans="1:4">
      <c r="A5849" s="83" t="s">
        <v>13717</v>
      </c>
      <c r="B5849" s="83" t="s">
        <v>5015</v>
      </c>
      <c r="C5849" s="83" t="s">
        <v>13721</v>
      </c>
      <c r="D5849" s="83" t="s">
        <v>13719</v>
      </c>
    </row>
    <row r="5850" spans="1:4">
      <c r="A5850" s="83" t="s">
        <v>13717</v>
      </c>
      <c r="B5850" s="83" t="s">
        <v>5010</v>
      </c>
      <c r="C5850" s="83" t="s">
        <v>13722</v>
      </c>
      <c r="D5850" s="83" t="s">
        <v>13719</v>
      </c>
    </row>
    <row r="5851" spans="1:4">
      <c r="A5851" s="83" t="s">
        <v>13723</v>
      </c>
      <c r="B5851" s="83" t="s">
        <v>5017</v>
      </c>
      <c r="C5851" s="83" t="s">
        <v>13724</v>
      </c>
      <c r="D5851" s="83" t="s">
        <v>13725</v>
      </c>
    </row>
    <row r="5852" spans="1:4">
      <c r="A5852" s="83" t="s">
        <v>13723</v>
      </c>
      <c r="B5852" s="83" t="s">
        <v>5012</v>
      </c>
      <c r="C5852" s="83" t="s">
        <v>13726</v>
      </c>
      <c r="D5852" s="83" t="s">
        <v>13725</v>
      </c>
    </row>
    <row r="5853" spans="1:4">
      <c r="A5853" s="83" t="s">
        <v>13723</v>
      </c>
      <c r="B5853" s="83" t="s">
        <v>5015</v>
      </c>
      <c r="C5853" s="83" t="s">
        <v>13727</v>
      </c>
      <c r="D5853" s="83" t="s">
        <v>13725</v>
      </c>
    </row>
    <row r="5854" spans="1:4">
      <c r="A5854" s="83" t="s">
        <v>13723</v>
      </c>
      <c r="B5854" s="83" t="s">
        <v>5010</v>
      </c>
      <c r="C5854" s="83" t="s">
        <v>13728</v>
      </c>
      <c r="D5854" s="83" t="s">
        <v>13725</v>
      </c>
    </row>
    <row r="5855" spans="1:4">
      <c r="A5855" s="83" t="s">
        <v>13729</v>
      </c>
      <c r="B5855" s="83" t="s">
        <v>5017</v>
      </c>
      <c r="C5855" s="83" t="s">
        <v>13730</v>
      </c>
      <c r="D5855" s="83" t="s">
        <v>13731</v>
      </c>
    </row>
    <row r="5856" spans="1:4">
      <c r="A5856" s="83" t="s">
        <v>13729</v>
      </c>
      <c r="B5856" s="83" t="s">
        <v>5012</v>
      </c>
      <c r="C5856" s="83" t="s">
        <v>13732</v>
      </c>
      <c r="D5856" s="83" t="s">
        <v>13731</v>
      </c>
    </row>
    <row r="5857" spans="1:4">
      <c r="A5857" s="83" t="s">
        <v>13729</v>
      </c>
      <c r="B5857" s="83" t="s">
        <v>5015</v>
      </c>
      <c r="C5857" s="83" t="s">
        <v>13733</v>
      </c>
      <c r="D5857" s="83" t="s">
        <v>13731</v>
      </c>
    </row>
    <row r="5858" spans="1:4">
      <c r="A5858" s="83" t="s">
        <v>13729</v>
      </c>
      <c r="B5858" s="83" t="s">
        <v>5010</v>
      </c>
      <c r="C5858" s="83" t="s">
        <v>13734</v>
      </c>
      <c r="D5858" s="83" t="s">
        <v>13731</v>
      </c>
    </row>
    <row r="5859" spans="1:4">
      <c r="A5859" s="83" t="s">
        <v>13735</v>
      </c>
      <c r="B5859" s="83" t="s">
        <v>5017</v>
      </c>
      <c r="C5859" s="83" t="s">
        <v>13736</v>
      </c>
      <c r="D5859" s="83" t="s">
        <v>13737</v>
      </c>
    </row>
    <row r="5860" spans="1:4">
      <c r="A5860" s="83" t="s">
        <v>13735</v>
      </c>
      <c r="B5860" s="83" t="s">
        <v>5012</v>
      </c>
      <c r="C5860" s="83" t="s">
        <v>13738</v>
      </c>
      <c r="D5860" s="83" t="s">
        <v>13737</v>
      </c>
    </row>
    <row r="5861" spans="1:4">
      <c r="A5861" s="83" t="s">
        <v>13735</v>
      </c>
      <c r="B5861" s="83" t="s">
        <v>5015</v>
      </c>
      <c r="C5861" s="83" t="s">
        <v>13739</v>
      </c>
      <c r="D5861" s="83" t="s">
        <v>13737</v>
      </c>
    </row>
    <row r="5862" spans="1:4">
      <c r="A5862" s="83" t="s">
        <v>13735</v>
      </c>
      <c r="B5862" s="83" t="s">
        <v>5010</v>
      </c>
      <c r="C5862" s="83" t="s">
        <v>13740</v>
      </c>
      <c r="D5862" s="83" t="s">
        <v>13737</v>
      </c>
    </row>
    <row r="5863" spans="1:4">
      <c r="A5863" s="83" t="s">
        <v>13741</v>
      </c>
      <c r="B5863" s="83" t="s">
        <v>5017</v>
      </c>
      <c r="C5863" s="83" t="s">
        <v>13742</v>
      </c>
      <c r="D5863" s="83" t="s">
        <v>13743</v>
      </c>
    </row>
    <row r="5864" spans="1:4">
      <c r="A5864" s="83" t="s">
        <v>13741</v>
      </c>
      <c r="B5864" s="83" t="s">
        <v>5012</v>
      </c>
      <c r="C5864" s="83" t="s">
        <v>13744</v>
      </c>
      <c r="D5864" s="83" t="s">
        <v>13743</v>
      </c>
    </row>
    <row r="5865" spans="1:4">
      <c r="A5865" s="83" t="s">
        <v>13741</v>
      </c>
      <c r="B5865" s="83" t="s">
        <v>5015</v>
      </c>
      <c r="C5865" s="83" t="s">
        <v>13745</v>
      </c>
      <c r="D5865" s="83" t="s">
        <v>13743</v>
      </c>
    </row>
    <row r="5866" spans="1:4">
      <c r="A5866" s="83" t="s">
        <v>13741</v>
      </c>
      <c r="B5866" s="83" t="s">
        <v>5010</v>
      </c>
      <c r="C5866" s="83" t="s">
        <v>13746</v>
      </c>
      <c r="D5866" s="83" t="s">
        <v>13743</v>
      </c>
    </row>
    <row r="5867" spans="1:4">
      <c r="A5867" s="83" t="s">
        <v>13747</v>
      </c>
      <c r="B5867" s="83" t="s">
        <v>5017</v>
      </c>
      <c r="C5867" s="83" t="s">
        <v>13748</v>
      </c>
      <c r="D5867" s="83" t="s">
        <v>13749</v>
      </c>
    </row>
    <row r="5868" spans="1:4">
      <c r="A5868" s="83" t="s">
        <v>13747</v>
      </c>
      <c r="B5868" s="83" t="s">
        <v>5012</v>
      </c>
      <c r="C5868" s="83" t="s">
        <v>13750</v>
      </c>
      <c r="D5868" s="83" t="s">
        <v>13749</v>
      </c>
    </row>
    <row r="5869" spans="1:4">
      <c r="A5869" s="83" t="s">
        <v>13747</v>
      </c>
      <c r="B5869" s="83" t="s">
        <v>5015</v>
      </c>
      <c r="C5869" s="83" t="s">
        <v>13751</v>
      </c>
      <c r="D5869" s="83" t="s">
        <v>13749</v>
      </c>
    </row>
    <row r="5870" spans="1:4">
      <c r="A5870" s="83" t="s">
        <v>13747</v>
      </c>
      <c r="B5870" s="83" t="s">
        <v>5010</v>
      </c>
      <c r="C5870" s="83" t="s">
        <v>13752</v>
      </c>
      <c r="D5870" s="83" t="s">
        <v>13749</v>
      </c>
    </row>
    <row r="5871" spans="1:4">
      <c r="A5871" s="83" t="s">
        <v>13753</v>
      </c>
      <c r="B5871" s="83" t="s">
        <v>5017</v>
      </c>
      <c r="C5871" s="83" t="s">
        <v>13754</v>
      </c>
      <c r="D5871" s="83" t="s">
        <v>13755</v>
      </c>
    </row>
    <row r="5872" spans="1:4">
      <c r="A5872" s="83" t="s">
        <v>13753</v>
      </c>
      <c r="B5872" s="83" t="s">
        <v>5012</v>
      </c>
      <c r="C5872" s="83" t="s">
        <v>13756</v>
      </c>
      <c r="D5872" s="83" t="s">
        <v>13755</v>
      </c>
    </row>
    <row r="5873" spans="1:4">
      <c r="A5873" s="83" t="s">
        <v>13753</v>
      </c>
      <c r="B5873" s="83" t="s">
        <v>5015</v>
      </c>
      <c r="C5873" s="83" t="s">
        <v>13757</v>
      </c>
      <c r="D5873" s="83" t="s">
        <v>13755</v>
      </c>
    </row>
    <row r="5874" spans="1:4">
      <c r="A5874" s="83" t="s">
        <v>13753</v>
      </c>
      <c r="B5874" s="83" t="s">
        <v>5010</v>
      </c>
      <c r="C5874" s="83" t="s">
        <v>13758</v>
      </c>
      <c r="D5874" s="83" t="s">
        <v>13755</v>
      </c>
    </row>
    <row r="5875" spans="1:4">
      <c r="A5875" s="83" t="s">
        <v>13759</v>
      </c>
      <c r="B5875" s="83" t="s">
        <v>5017</v>
      </c>
      <c r="C5875" s="83" t="s">
        <v>13760</v>
      </c>
      <c r="D5875" s="83" t="s">
        <v>13761</v>
      </c>
    </row>
    <row r="5876" spans="1:4">
      <c r="A5876" s="83" t="s">
        <v>13759</v>
      </c>
      <c r="B5876" s="83" t="s">
        <v>5012</v>
      </c>
      <c r="C5876" s="83" t="s">
        <v>13762</v>
      </c>
      <c r="D5876" s="83" t="s">
        <v>13761</v>
      </c>
    </row>
    <row r="5877" spans="1:4">
      <c r="A5877" s="83" t="s">
        <v>13759</v>
      </c>
      <c r="B5877" s="83" t="s">
        <v>5015</v>
      </c>
      <c r="C5877" s="83" t="s">
        <v>13763</v>
      </c>
      <c r="D5877" s="83" t="s">
        <v>13761</v>
      </c>
    </row>
    <row r="5878" spans="1:4">
      <c r="A5878" s="83" t="s">
        <v>13759</v>
      </c>
      <c r="B5878" s="83" t="s">
        <v>5010</v>
      </c>
      <c r="C5878" s="83" t="s">
        <v>13764</v>
      </c>
      <c r="D5878" s="83" t="s">
        <v>13761</v>
      </c>
    </row>
    <row r="5879" spans="1:4">
      <c r="A5879" s="83" t="s">
        <v>13765</v>
      </c>
      <c r="B5879" s="83" t="s">
        <v>5017</v>
      </c>
      <c r="C5879" s="83" t="s">
        <v>13766</v>
      </c>
      <c r="D5879" s="83" t="s">
        <v>13767</v>
      </c>
    </row>
    <row r="5880" spans="1:4">
      <c r="A5880" s="83" t="s">
        <v>13765</v>
      </c>
      <c r="B5880" s="83" t="s">
        <v>5012</v>
      </c>
      <c r="C5880" s="83" t="s">
        <v>13768</v>
      </c>
      <c r="D5880" s="83" t="s">
        <v>13767</v>
      </c>
    </row>
    <row r="5881" spans="1:4">
      <c r="A5881" s="83" t="s">
        <v>13765</v>
      </c>
      <c r="B5881" s="83" t="s">
        <v>5015</v>
      </c>
      <c r="C5881" s="83" t="s">
        <v>13769</v>
      </c>
      <c r="D5881" s="83" t="s">
        <v>13767</v>
      </c>
    </row>
    <row r="5882" spans="1:4">
      <c r="A5882" s="83" t="s">
        <v>13765</v>
      </c>
      <c r="B5882" s="83" t="s">
        <v>5010</v>
      </c>
      <c r="C5882" s="83" t="s">
        <v>13770</v>
      </c>
      <c r="D5882" s="83" t="s">
        <v>13767</v>
      </c>
    </row>
    <row r="5883" spans="1:4">
      <c r="A5883" s="83" t="s">
        <v>13771</v>
      </c>
      <c r="B5883" s="83" t="s">
        <v>5017</v>
      </c>
      <c r="C5883" s="83" t="s">
        <v>13772</v>
      </c>
      <c r="D5883" s="83" t="s">
        <v>13773</v>
      </c>
    </row>
    <row r="5884" spans="1:4">
      <c r="A5884" s="83" t="s">
        <v>13771</v>
      </c>
      <c r="B5884" s="83" t="s">
        <v>5012</v>
      </c>
      <c r="C5884" s="83" t="s">
        <v>13774</v>
      </c>
      <c r="D5884" s="83" t="s">
        <v>13773</v>
      </c>
    </row>
    <row r="5885" spans="1:4">
      <c r="A5885" s="83" t="s">
        <v>13771</v>
      </c>
      <c r="B5885" s="83" t="s">
        <v>5015</v>
      </c>
      <c r="C5885" s="83" t="s">
        <v>13775</v>
      </c>
      <c r="D5885" s="83" t="s">
        <v>13773</v>
      </c>
    </row>
    <row r="5886" spans="1:4">
      <c r="A5886" s="83" t="s">
        <v>13771</v>
      </c>
      <c r="B5886" s="83" t="s">
        <v>5010</v>
      </c>
      <c r="C5886" s="83" t="s">
        <v>13776</v>
      </c>
      <c r="D5886" s="83" t="s">
        <v>13773</v>
      </c>
    </row>
    <row r="5887" spans="1:4">
      <c r="A5887" s="83" t="s">
        <v>13777</v>
      </c>
      <c r="B5887" s="83" t="s">
        <v>5017</v>
      </c>
      <c r="C5887" s="83" t="s">
        <v>13778</v>
      </c>
      <c r="D5887" s="83" t="s">
        <v>13779</v>
      </c>
    </row>
    <row r="5888" spans="1:4">
      <c r="A5888" s="83" t="s">
        <v>13777</v>
      </c>
      <c r="B5888" s="83" t="s">
        <v>5012</v>
      </c>
      <c r="C5888" s="83" t="s">
        <v>13780</v>
      </c>
      <c r="D5888" s="83" t="s">
        <v>13779</v>
      </c>
    </row>
    <row r="5889" spans="1:4">
      <c r="A5889" s="83" t="s">
        <v>13777</v>
      </c>
      <c r="B5889" s="83" t="s">
        <v>5015</v>
      </c>
      <c r="C5889" s="83" t="s">
        <v>13781</v>
      </c>
      <c r="D5889" s="83" t="s">
        <v>13779</v>
      </c>
    </row>
    <row r="5890" spans="1:4">
      <c r="A5890" s="83" t="s">
        <v>13777</v>
      </c>
      <c r="B5890" s="83" t="s">
        <v>5010</v>
      </c>
      <c r="C5890" s="83" t="s">
        <v>13782</v>
      </c>
      <c r="D5890" s="83" t="s">
        <v>13779</v>
      </c>
    </row>
    <row r="5891" spans="1:4">
      <c r="A5891" s="83" t="s">
        <v>13783</v>
      </c>
      <c r="B5891" s="83" t="s">
        <v>5017</v>
      </c>
      <c r="C5891" s="83" t="s">
        <v>13784</v>
      </c>
      <c r="D5891" s="83" t="s">
        <v>13785</v>
      </c>
    </row>
    <row r="5892" spans="1:4">
      <c r="A5892" s="83" t="s">
        <v>13783</v>
      </c>
      <c r="B5892" s="83" t="s">
        <v>5012</v>
      </c>
      <c r="C5892" s="83" t="s">
        <v>13786</v>
      </c>
      <c r="D5892" s="83" t="s">
        <v>13785</v>
      </c>
    </row>
    <row r="5893" spans="1:4">
      <c r="A5893" s="83" t="s">
        <v>13783</v>
      </c>
      <c r="B5893" s="83" t="s">
        <v>5015</v>
      </c>
      <c r="C5893" s="83" t="s">
        <v>13787</v>
      </c>
      <c r="D5893" s="83" t="s">
        <v>13785</v>
      </c>
    </row>
    <row r="5894" spans="1:4">
      <c r="A5894" s="83" t="s">
        <v>13783</v>
      </c>
      <c r="B5894" s="83" t="s">
        <v>5010</v>
      </c>
      <c r="C5894" s="83" t="s">
        <v>13788</v>
      </c>
      <c r="D5894" s="83" t="s">
        <v>13785</v>
      </c>
    </row>
    <row r="5895" spans="1:4">
      <c r="A5895" s="83" t="s">
        <v>13789</v>
      </c>
      <c r="B5895" s="83" t="s">
        <v>5017</v>
      </c>
      <c r="C5895" s="83" t="s">
        <v>13790</v>
      </c>
      <c r="D5895" s="83" t="s">
        <v>13791</v>
      </c>
    </row>
    <row r="5896" spans="1:4">
      <c r="A5896" s="83" t="s">
        <v>13789</v>
      </c>
      <c r="B5896" s="83" t="s">
        <v>5012</v>
      </c>
      <c r="C5896" s="83" t="s">
        <v>13792</v>
      </c>
      <c r="D5896" s="83" t="s">
        <v>13791</v>
      </c>
    </row>
    <row r="5897" spans="1:4">
      <c r="A5897" s="83" t="s">
        <v>13789</v>
      </c>
      <c r="B5897" s="83" t="s">
        <v>5015</v>
      </c>
      <c r="C5897" s="83" t="s">
        <v>13793</v>
      </c>
      <c r="D5897" s="83" t="s">
        <v>13791</v>
      </c>
    </row>
    <row r="5898" spans="1:4">
      <c r="A5898" s="83" t="s">
        <v>13789</v>
      </c>
      <c r="B5898" s="83" t="s">
        <v>5010</v>
      </c>
      <c r="C5898" s="83" t="s">
        <v>13794</v>
      </c>
      <c r="D5898" s="83" t="s">
        <v>13791</v>
      </c>
    </row>
    <row r="5899" spans="1:4">
      <c r="A5899" s="83" t="s">
        <v>13795</v>
      </c>
      <c r="B5899" s="83" t="s">
        <v>5017</v>
      </c>
      <c r="C5899" s="83" t="s">
        <v>13796</v>
      </c>
      <c r="D5899" s="83" t="s">
        <v>13797</v>
      </c>
    </row>
    <row r="5900" spans="1:4">
      <c r="A5900" s="83" t="s">
        <v>13795</v>
      </c>
      <c r="B5900" s="83" t="s">
        <v>5012</v>
      </c>
      <c r="C5900" s="83" t="s">
        <v>13798</v>
      </c>
      <c r="D5900" s="83" t="s">
        <v>13797</v>
      </c>
    </row>
    <row r="5901" spans="1:4">
      <c r="A5901" s="83" t="s">
        <v>13795</v>
      </c>
      <c r="B5901" s="83" t="s">
        <v>5015</v>
      </c>
      <c r="C5901" s="83" t="s">
        <v>13799</v>
      </c>
      <c r="D5901" s="83" t="s">
        <v>13797</v>
      </c>
    </row>
    <row r="5902" spans="1:4">
      <c r="A5902" s="83" t="s">
        <v>13795</v>
      </c>
      <c r="B5902" s="83" t="s">
        <v>5010</v>
      </c>
      <c r="C5902" s="83" t="s">
        <v>13800</v>
      </c>
      <c r="D5902" s="83" t="s">
        <v>13797</v>
      </c>
    </row>
    <row r="5903" spans="1:4">
      <c r="A5903" s="83" t="s">
        <v>13801</v>
      </c>
      <c r="B5903" s="83" t="s">
        <v>5017</v>
      </c>
      <c r="C5903" s="83" t="s">
        <v>13802</v>
      </c>
      <c r="D5903" s="83" t="s">
        <v>13803</v>
      </c>
    </row>
    <row r="5904" spans="1:4">
      <c r="A5904" s="83" t="s">
        <v>13801</v>
      </c>
      <c r="B5904" s="83" t="s">
        <v>5012</v>
      </c>
      <c r="C5904" s="83" t="s">
        <v>13804</v>
      </c>
      <c r="D5904" s="83" t="s">
        <v>13803</v>
      </c>
    </row>
    <row r="5905" spans="1:4">
      <c r="A5905" s="83" t="s">
        <v>13801</v>
      </c>
      <c r="B5905" s="83" t="s">
        <v>5015</v>
      </c>
      <c r="C5905" s="83" t="s">
        <v>13805</v>
      </c>
      <c r="D5905" s="83" t="s">
        <v>13803</v>
      </c>
    </row>
    <row r="5906" spans="1:4">
      <c r="A5906" s="83" t="s">
        <v>13801</v>
      </c>
      <c r="B5906" s="83" t="s">
        <v>5010</v>
      </c>
      <c r="C5906" s="83" t="s">
        <v>13806</v>
      </c>
      <c r="D5906" s="83" t="s">
        <v>13803</v>
      </c>
    </row>
    <row r="5907" spans="1:4">
      <c r="A5907" s="83" t="s">
        <v>13807</v>
      </c>
      <c r="B5907" s="83" t="s">
        <v>5017</v>
      </c>
      <c r="C5907" s="83" t="s">
        <v>13808</v>
      </c>
      <c r="D5907" s="83" t="s">
        <v>13809</v>
      </c>
    </row>
    <row r="5908" spans="1:4">
      <c r="A5908" s="83" t="s">
        <v>13807</v>
      </c>
      <c r="B5908" s="83" t="s">
        <v>5012</v>
      </c>
      <c r="C5908" s="83" t="s">
        <v>13810</v>
      </c>
      <c r="D5908" s="83" t="s">
        <v>13809</v>
      </c>
    </row>
    <row r="5909" spans="1:4">
      <c r="A5909" s="83" t="s">
        <v>13807</v>
      </c>
      <c r="B5909" s="83" t="s">
        <v>5015</v>
      </c>
      <c r="C5909" s="83" t="s">
        <v>13811</v>
      </c>
      <c r="D5909" s="83" t="s">
        <v>13809</v>
      </c>
    </row>
    <row r="5910" spans="1:4">
      <c r="A5910" s="83" t="s">
        <v>13807</v>
      </c>
      <c r="B5910" s="83" t="s">
        <v>5010</v>
      </c>
      <c r="C5910" s="83" t="s">
        <v>13812</v>
      </c>
      <c r="D5910" s="83" t="s">
        <v>13809</v>
      </c>
    </row>
    <row r="5911" spans="1:4">
      <c r="A5911" s="83" t="s">
        <v>13813</v>
      </c>
      <c r="B5911" s="83" t="s">
        <v>5017</v>
      </c>
      <c r="C5911" s="83" t="s">
        <v>13814</v>
      </c>
      <c r="D5911" s="83" t="s">
        <v>13815</v>
      </c>
    </row>
    <row r="5912" spans="1:4">
      <c r="A5912" s="83" t="s">
        <v>13813</v>
      </c>
      <c r="B5912" s="83" t="s">
        <v>5012</v>
      </c>
      <c r="C5912" s="83" t="s">
        <v>13816</v>
      </c>
      <c r="D5912" s="83" t="s">
        <v>13815</v>
      </c>
    </row>
    <row r="5913" spans="1:4">
      <c r="A5913" s="83" t="s">
        <v>13813</v>
      </c>
      <c r="B5913" s="83" t="s">
        <v>5015</v>
      </c>
      <c r="C5913" s="83" t="s">
        <v>13817</v>
      </c>
      <c r="D5913" s="83" t="s">
        <v>13815</v>
      </c>
    </row>
    <row r="5914" spans="1:4">
      <c r="A5914" s="83" t="s">
        <v>13813</v>
      </c>
      <c r="B5914" s="83" t="s">
        <v>5010</v>
      </c>
      <c r="C5914" s="83" t="s">
        <v>13818</v>
      </c>
      <c r="D5914" s="83" t="s">
        <v>13815</v>
      </c>
    </row>
    <row r="5915" spans="1:4">
      <c r="A5915" s="83" t="s">
        <v>13819</v>
      </c>
      <c r="B5915" s="83" t="s">
        <v>5017</v>
      </c>
      <c r="C5915" s="83" t="s">
        <v>13820</v>
      </c>
      <c r="D5915" s="83" t="s">
        <v>13821</v>
      </c>
    </row>
    <row r="5916" spans="1:4">
      <c r="A5916" s="83" t="s">
        <v>13819</v>
      </c>
      <c r="B5916" s="83" t="s">
        <v>5012</v>
      </c>
      <c r="C5916" s="83" t="s">
        <v>13822</v>
      </c>
      <c r="D5916" s="83" t="s">
        <v>13821</v>
      </c>
    </row>
    <row r="5917" spans="1:4">
      <c r="A5917" s="83" t="s">
        <v>13819</v>
      </c>
      <c r="B5917" s="83" t="s">
        <v>5015</v>
      </c>
      <c r="C5917" s="83" t="s">
        <v>13823</v>
      </c>
      <c r="D5917" s="83" t="s">
        <v>13821</v>
      </c>
    </row>
    <row r="5918" spans="1:4">
      <c r="A5918" s="83" t="s">
        <v>13819</v>
      </c>
      <c r="B5918" s="83" t="s">
        <v>5010</v>
      </c>
      <c r="C5918" s="83" t="s">
        <v>13824</v>
      </c>
      <c r="D5918" s="83" t="s">
        <v>13821</v>
      </c>
    </row>
    <row r="5919" spans="1:4">
      <c r="A5919" s="83" t="s">
        <v>13825</v>
      </c>
      <c r="B5919" s="83" t="s">
        <v>5017</v>
      </c>
      <c r="C5919" s="83" t="s">
        <v>13826</v>
      </c>
      <c r="D5919" s="83" t="s">
        <v>13827</v>
      </c>
    </row>
    <row r="5920" spans="1:4">
      <c r="A5920" s="83" t="s">
        <v>13825</v>
      </c>
      <c r="B5920" s="83" t="s">
        <v>5012</v>
      </c>
      <c r="C5920" s="83" t="s">
        <v>13828</v>
      </c>
      <c r="D5920" s="83" t="s">
        <v>13827</v>
      </c>
    </row>
    <row r="5921" spans="1:4">
      <c r="A5921" s="83" t="s">
        <v>13825</v>
      </c>
      <c r="B5921" s="83" t="s">
        <v>5015</v>
      </c>
      <c r="C5921" s="83" t="s">
        <v>13829</v>
      </c>
      <c r="D5921" s="83" t="s">
        <v>13827</v>
      </c>
    </row>
    <row r="5922" spans="1:4">
      <c r="A5922" s="83" t="s">
        <v>13825</v>
      </c>
      <c r="B5922" s="83" t="s">
        <v>5010</v>
      </c>
      <c r="C5922" s="83" t="s">
        <v>13830</v>
      </c>
      <c r="D5922" s="83" t="s">
        <v>13827</v>
      </c>
    </row>
    <row r="5923" spans="1:4">
      <c r="A5923" s="83" t="s">
        <v>13831</v>
      </c>
      <c r="B5923" s="83" t="s">
        <v>5017</v>
      </c>
      <c r="C5923" s="83" t="s">
        <v>13832</v>
      </c>
      <c r="D5923" s="83" t="s">
        <v>13833</v>
      </c>
    </row>
    <row r="5924" spans="1:4">
      <c r="A5924" s="83" t="s">
        <v>13831</v>
      </c>
      <c r="B5924" s="83" t="s">
        <v>5012</v>
      </c>
      <c r="C5924" s="83" t="s">
        <v>13834</v>
      </c>
      <c r="D5924" s="83" t="s">
        <v>13833</v>
      </c>
    </row>
    <row r="5925" spans="1:4">
      <c r="A5925" s="83" t="s">
        <v>13831</v>
      </c>
      <c r="B5925" s="83" t="s">
        <v>5015</v>
      </c>
      <c r="C5925" s="83" t="s">
        <v>13835</v>
      </c>
      <c r="D5925" s="83" t="s">
        <v>13833</v>
      </c>
    </row>
    <row r="5926" spans="1:4">
      <c r="A5926" s="83" t="s">
        <v>13831</v>
      </c>
      <c r="B5926" s="83" t="s">
        <v>5010</v>
      </c>
      <c r="C5926" s="83" t="s">
        <v>13836</v>
      </c>
      <c r="D5926" s="83" t="s">
        <v>13833</v>
      </c>
    </row>
    <row r="5927" spans="1:4">
      <c r="A5927" s="83" t="s">
        <v>13837</v>
      </c>
      <c r="B5927" s="83" t="s">
        <v>5017</v>
      </c>
      <c r="C5927" s="83" t="s">
        <v>13838</v>
      </c>
      <c r="D5927" s="83" t="s">
        <v>13839</v>
      </c>
    </row>
    <row r="5928" spans="1:4">
      <c r="A5928" s="83" t="s">
        <v>13837</v>
      </c>
      <c r="B5928" s="83" t="s">
        <v>5012</v>
      </c>
      <c r="C5928" s="83" t="s">
        <v>13840</v>
      </c>
      <c r="D5928" s="83" t="s">
        <v>13839</v>
      </c>
    </row>
    <row r="5929" spans="1:4">
      <c r="A5929" s="83" t="s">
        <v>13837</v>
      </c>
      <c r="B5929" s="83" t="s">
        <v>5015</v>
      </c>
      <c r="C5929" s="83" t="s">
        <v>13841</v>
      </c>
      <c r="D5929" s="83" t="s">
        <v>13839</v>
      </c>
    </row>
    <row r="5930" spans="1:4">
      <c r="A5930" s="83" t="s">
        <v>13837</v>
      </c>
      <c r="B5930" s="83" t="s">
        <v>5010</v>
      </c>
      <c r="C5930" s="83" t="s">
        <v>13842</v>
      </c>
      <c r="D5930" s="83" t="s">
        <v>13839</v>
      </c>
    </row>
    <row r="5931" spans="1:4">
      <c r="A5931" s="83" t="s">
        <v>13843</v>
      </c>
      <c r="B5931" s="83" t="s">
        <v>5017</v>
      </c>
      <c r="C5931" s="83" t="s">
        <v>13844</v>
      </c>
      <c r="D5931" s="83" t="s">
        <v>13845</v>
      </c>
    </row>
    <row r="5932" spans="1:4">
      <c r="A5932" s="83" t="s">
        <v>13843</v>
      </c>
      <c r="B5932" s="83" t="s">
        <v>5012</v>
      </c>
      <c r="C5932" s="83" t="s">
        <v>13846</v>
      </c>
      <c r="D5932" s="83" t="s">
        <v>13845</v>
      </c>
    </row>
    <row r="5933" spans="1:4">
      <c r="A5933" s="83" t="s">
        <v>13843</v>
      </c>
      <c r="B5933" s="83" t="s">
        <v>5015</v>
      </c>
      <c r="C5933" s="83" t="s">
        <v>13847</v>
      </c>
      <c r="D5933" s="83" t="s">
        <v>13845</v>
      </c>
    </row>
    <row r="5934" spans="1:4">
      <c r="A5934" s="83" t="s">
        <v>13843</v>
      </c>
      <c r="B5934" s="83" t="s">
        <v>5010</v>
      </c>
      <c r="C5934" s="83" t="s">
        <v>13848</v>
      </c>
      <c r="D5934" s="83" t="s">
        <v>13845</v>
      </c>
    </row>
    <row r="5935" spans="1:4">
      <c r="A5935" s="83" t="s">
        <v>13849</v>
      </c>
      <c r="B5935" s="83" t="s">
        <v>5017</v>
      </c>
      <c r="C5935" s="83" t="s">
        <v>13850</v>
      </c>
      <c r="D5935" s="83" t="s">
        <v>13851</v>
      </c>
    </row>
    <row r="5936" spans="1:4">
      <c r="A5936" s="83" t="s">
        <v>13849</v>
      </c>
      <c r="B5936" s="83" t="s">
        <v>5012</v>
      </c>
      <c r="C5936" s="83" t="s">
        <v>13852</v>
      </c>
      <c r="D5936" s="83" t="s">
        <v>13851</v>
      </c>
    </row>
    <row r="5937" spans="1:4">
      <c r="A5937" s="83" t="s">
        <v>13849</v>
      </c>
      <c r="B5937" s="83" t="s">
        <v>5015</v>
      </c>
      <c r="C5937" s="83" t="s">
        <v>13853</v>
      </c>
      <c r="D5937" s="83" t="s">
        <v>13851</v>
      </c>
    </row>
    <row r="5938" spans="1:4">
      <c r="A5938" s="83" t="s">
        <v>13849</v>
      </c>
      <c r="B5938" s="83" t="s">
        <v>5010</v>
      </c>
      <c r="C5938" s="83" t="s">
        <v>13854</v>
      </c>
      <c r="D5938" s="83" t="s">
        <v>13851</v>
      </c>
    </row>
    <row r="5939" spans="1:4">
      <c r="A5939" s="83" t="s">
        <v>13855</v>
      </c>
      <c r="B5939" s="83" t="s">
        <v>5017</v>
      </c>
      <c r="C5939" s="83" t="s">
        <v>13856</v>
      </c>
      <c r="D5939" s="83" t="s">
        <v>13857</v>
      </c>
    </row>
    <row r="5940" spans="1:4">
      <c r="A5940" s="83" t="s">
        <v>13855</v>
      </c>
      <c r="B5940" s="83" t="s">
        <v>5012</v>
      </c>
      <c r="C5940" s="83" t="s">
        <v>13858</v>
      </c>
      <c r="D5940" s="83" t="s">
        <v>13857</v>
      </c>
    </row>
    <row r="5941" spans="1:4">
      <c r="A5941" s="83" t="s">
        <v>13855</v>
      </c>
      <c r="B5941" s="83" t="s">
        <v>5015</v>
      </c>
      <c r="C5941" s="83" t="s">
        <v>13859</v>
      </c>
      <c r="D5941" s="83" t="s">
        <v>13857</v>
      </c>
    </row>
    <row r="5942" spans="1:4">
      <c r="A5942" s="83" t="s">
        <v>13855</v>
      </c>
      <c r="B5942" s="83" t="s">
        <v>5010</v>
      </c>
      <c r="C5942" s="83" t="s">
        <v>13860</v>
      </c>
      <c r="D5942" s="83" t="s">
        <v>13857</v>
      </c>
    </row>
    <row r="5943" spans="1:4">
      <c r="A5943" s="83" t="s">
        <v>13861</v>
      </c>
      <c r="B5943" s="83" t="s">
        <v>5017</v>
      </c>
      <c r="C5943" s="83" t="s">
        <v>13140</v>
      </c>
      <c r="D5943" s="83" t="s">
        <v>13862</v>
      </c>
    </row>
    <row r="5944" spans="1:4">
      <c r="A5944" s="83" t="s">
        <v>13861</v>
      </c>
      <c r="B5944" s="83" t="s">
        <v>5012</v>
      </c>
      <c r="C5944" s="83" t="s">
        <v>13863</v>
      </c>
      <c r="D5944" s="83" t="s">
        <v>13862</v>
      </c>
    </row>
    <row r="5945" spans="1:4">
      <c r="A5945" s="83" t="s">
        <v>13861</v>
      </c>
      <c r="B5945" s="83" t="s">
        <v>5015</v>
      </c>
      <c r="C5945" s="83" t="s">
        <v>13864</v>
      </c>
      <c r="D5945" s="83" t="s">
        <v>13862</v>
      </c>
    </row>
    <row r="5946" spans="1:4">
      <c r="A5946" s="83" t="s">
        <v>13861</v>
      </c>
      <c r="B5946" s="83" t="s">
        <v>5010</v>
      </c>
      <c r="C5946" s="83" t="s">
        <v>13865</v>
      </c>
      <c r="D5946" s="83" t="s">
        <v>13862</v>
      </c>
    </row>
    <row r="5947" spans="1:4">
      <c r="A5947" s="83" t="s">
        <v>13866</v>
      </c>
      <c r="B5947" s="83" t="s">
        <v>5017</v>
      </c>
      <c r="C5947" s="83" t="s">
        <v>13867</v>
      </c>
      <c r="D5947" s="83" t="s">
        <v>13868</v>
      </c>
    </row>
    <row r="5948" spans="1:4">
      <c r="A5948" s="83" t="s">
        <v>13866</v>
      </c>
      <c r="B5948" s="83" t="s">
        <v>5012</v>
      </c>
      <c r="C5948" s="83" t="s">
        <v>13869</v>
      </c>
      <c r="D5948" s="83" t="s">
        <v>13868</v>
      </c>
    </row>
    <row r="5949" spans="1:4">
      <c r="A5949" s="83" t="s">
        <v>13866</v>
      </c>
      <c r="B5949" s="83" t="s">
        <v>5015</v>
      </c>
      <c r="C5949" s="83" t="s">
        <v>13870</v>
      </c>
      <c r="D5949" s="83" t="s">
        <v>13868</v>
      </c>
    </row>
    <row r="5950" spans="1:4">
      <c r="A5950" s="83" t="s">
        <v>13866</v>
      </c>
      <c r="B5950" s="83" t="s">
        <v>5010</v>
      </c>
      <c r="C5950" s="83" t="s">
        <v>13871</v>
      </c>
      <c r="D5950" s="83" t="s">
        <v>13868</v>
      </c>
    </row>
    <row r="5951" spans="1:4">
      <c r="A5951" s="83" t="s">
        <v>13872</v>
      </c>
      <c r="B5951" s="83" t="s">
        <v>5017</v>
      </c>
      <c r="C5951" s="83" t="s">
        <v>13873</v>
      </c>
      <c r="D5951" s="83" t="s">
        <v>13874</v>
      </c>
    </row>
    <row r="5952" spans="1:4">
      <c r="A5952" s="83" t="s">
        <v>13872</v>
      </c>
      <c r="B5952" s="83" t="s">
        <v>5012</v>
      </c>
      <c r="C5952" s="83" t="s">
        <v>13875</v>
      </c>
      <c r="D5952" s="83" t="s">
        <v>13874</v>
      </c>
    </row>
    <row r="5953" spans="1:4">
      <c r="A5953" s="83" t="s">
        <v>13872</v>
      </c>
      <c r="B5953" s="83" t="s">
        <v>5015</v>
      </c>
      <c r="C5953" s="83" t="s">
        <v>13876</v>
      </c>
      <c r="D5953" s="83" t="s">
        <v>13874</v>
      </c>
    </row>
    <row r="5954" spans="1:4">
      <c r="A5954" s="83" t="s">
        <v>13872</v>
      </c>
      <c r="B5954" s="83" t="s">
        <v>5010</v>
      </c>
      <c r="C5954" s="83" t="s">
        <v>13877</v>
      </c>
      <c r="D5954" s="83" t="s">
        <v>13874</v>
      </c>
    </row>
    <row r="5955" spans="1:4">
      <c r="A5955" s="83" t="s">
        <v>13878</v>
      </c>
      <c r="B5955" s="83" t="s">
        <v>5017</v>
      </c>
      <c r="C5955" s="83" t="s">
        <v>13879</v>
      </c>
      <c r="D5955" s="83" t="s">
        <v>13880</v>
      </c>
    </row>
    <row r="5956" spans="1:4">
      <c r="A5956" s="83" t="s">
        <v>13878</v>
      </c>
      <c r="B5956" s="83" t="s">
        <v>5012</v>
      </c>
      <c r="C5956" s="83" t="s">
        <v>13881</v>
      </c>
      <c r="D5956" s="83" t="s">
        <v>13880</v>
      </c>
    </row>
    <row r="5957" spans="1:4">
      <c r="A5957" s="83" t="s">
        <v>13878</v>
      </c>
      <c r="B5957" s="83" t="s">
        <v>5015</v>
      </c>
      <c r="C5957" s="83" t="s">
        <v>13882</v>
      </c>
      <c r="D5957" s="83" t="s">
        <v>13880</v>
      </c>
    </row>
    <row r="5958" spans="1:4">
      <c r="A5958" s="83" t="s">
        <v>13878</v>
      </c>
      <c r="B5958" s="83" t="s">
        <v>5010</v>
      </c>
      <c r="C5958" s="83" t="s">
        <v>13883</v>
      </c>
      <c r="D5958" s="83" t="s">
        <v>13880</v>
      </c>
    </row>
    <row r="5959" spans="1:4">
      <c r="A5959" s="83" t="s">
        <v>13884</v>
      </c>
      <c r="B5959" s="83" t="s">
        <v>5017</v>
      </c>
      <c r="C5959" s="83" t="s">
        <v>13885</v>
      </c>
      <c r="D5959" s="83" t="s">
        <v>13886</v>
      </c>
    </row>
    <row r="5960" spans="1:4">
      <c r="A5960" s="83" t="s">
        <v>13884</v>
      </c>
      <c r="B5960" s="83" t="s">
        <v>5012</v>
      </c>
      <c r="C5960" s="83" t="s">
        <v>13887</v>
      </c>
      <c r="D5960" s="83" t="s">
        <v>13886</v>
      </c>
    </row>
    <row r="5961" spans="1:4">
      <c r="A5961" s="83" t="s">
        <v>13884</v>
      </c>
      <c r="B5961" s="83" t="s">
        <v>5015</v>
      </c>
      <c r="C5961" s="83" t="s">
        <v>13888</v>
      </c>
      <c r="D5961" s="83" t="s">
        <v>13886</v>
      </c>
    </row>
    <row r="5962" spans="1:4">
      <c r="A5962" s="83" t="s">
        <v>13884</v>
      </c>
      <c r="B5962" s="83" t="s">
        <v>5010</v>
      </c>
      <c r="C5962" s="83" t="s">
        <v>11941</v>
      </c>
      <c r="D5962" s="83" t="s">
        <v>13886</v>
      </c>
    </row>
    <row r="5963" spans="1:4">
      <c r="A5963" s="83" t="s">
        <v>13889</v>
      </c>
      <c r="B5963" s="83" t="s">
        <v>5017</v>
      </c>
      <c r="C5963" s="83" t="s">
        <v>13890</v>
      </c>
      <c r="D5963" s="83" t="s">
        <v>13891</v>
      </c>
    </row>
    <row r="5964" spans="1:4">
      <c r="A5964" s="83" t="s">
        <v>13889</v>
      </c>
      <c r="B5964" s="83" t="s">
        <v>5012</v>
      </c>
      <c r="C5964" s="83" t="s">
        <v>13892</v>
      </c>
      <c r="D5964" s="83" t="s">
        <v>13891</v>
      </c>
    </row>
    <row r="5965" spans="1:4">
      <c r="A5965" s="83" t="s">
        <v>13889</v>
      </c>
      <c r="B5965" s="83" t="s">
        <v>5015</v>
      </c>
      <c r="C5965" s="83" t="s">
        <v>13893</v>
      </c>
      <c r="D5965" s="83" t="s">
        <v>13891</v>
      </c>
    </row>
    <row r="5966" spans="1:4">
      <c r="A5966" s="83" t="s">
        <v>13889</v>
      </c>
      <c r="B5966" s="83" t="s">
        <v>5010</v>
      </c>
      <c r="C5966" s="83" t="s">
        <v>13894</v>
      </c>
      <c r="D5966" s="83" t="s">
        <v>13891</v>
      </c>
    </row>
    <row r="5967" spans="1:4">
      <c r="A5967" s="83" t="s">
        <v>13895</v>
      </c>
      <c r="B5967" s="83" t="s">
        <v>5017</v>
      </c>
      <c r="C5967" s="83" t="s">
        <v>13896</v>
      </c>
      <c r="D5967" s="83" t="s">
        <v>13897</v>
      </c>
    </row>
    <row r="5968" spans="1:4">
      <c r="A5968" s="83" t="s">
        <v>13895</v>
      </c>
      <c r="B5968" s="83" t="s">
        <v>5012</v>
      </c>
      <c r="C5968" s="83" t="s">
        <v>13898</v>
      </c>
      <c r="D5968" s="83" t="s">
        <v>13897</v>
      </c>
    </row>
    <row r="5969" spans="1:4">
      <c r="A5969" s="83" t="s">
        <v>13895</v>
      </c>
      <c r="B5969" s="83" t="s">
        <v>5015</v>
      </c>
      <c r="C5969" s="83" t="s">
        <v>13899</v>
      </c>
      <c r="D5969" s="83" t="s">
        <v>13897</v>
      </c>
    </row>
    <row r="5970" spans="1:4">
      <c r="A5970" s="83" t="s">
        <v>13895</v>
      </c>
      <c r="B5970" s="83" t="s">
        <v>5010</v>
      </c>
      <c r="C5970" s="83" t="s">
        <v>13900</v>
      </c>
      <c r="D5970" s="83" t="s">
        <v>13897</v>
      </c>
    </row>
    <row r="5971" spans="1:4">
      <c r="A5971" s="83" t="s">
        <v>13901</v>
      </c>
      <c r="B5971" s="83" t="s">
        <v>5017</v>
      </c>
      <c r="C5971" s="83" t="s">
        <v>13902</v>
      </c>
      <c r="D5971" s="83" t="s">
        <v>13903</v>
      </c>
    </row>
    <row r="5972" spans="1:4">
      <c r="A5972" s="83" t="s">
        <v>13901</v>
      </c>
      <c r="B5972" s="83" t="s">
        <v>5012</v>
      </c>
      <c r="C5972" s="83" t="s">
        <v>13904</v>
      </c>
      <c r="D5972" s="83" t="s">
        <v>13903</v>
      </c>
    </row>
    <row r="5973" spans="1:4">
      <c r="A5973" s="83" t="s">
        <v>13901</v>
      </c>
      <c r="B5973" s="83" t="s">
        <v>5015</v>
      </c>
      <c r="C5973" s="83" t="s">
        <v>13905</v>
      </c>
      <c r="D5973" s="83" t="s">
        <v>13903</v>
      </c>
    </row>
    <row r="5974" spans="1:4">
      <c r="A5974" s="83" t="s">
        <v>13901</v>
      </c>
      <c r="B5974" s="83" t="s">
        <v>5010</v>
      </c>
      <c r="C5974" s="83" t="s">
        <v>13906</v>
      </c>
      <c r="D5974" s="83" t="s">
        <v>13903</v>
      </c>
    </row>
    <row r="5975" spans="1:4">
      <c r="A5975" s="83" t="s">
        <v>13907</v>
      </c>
      <c r="B5975" s="83" t="s">
        <v>5017</v>
      </c>
      <c r="C5975" s="83" t="s">
        <v>13908</v>
      </c>
      <c r="D5975" s="83" t="s">
        <v>13909</v>
      </c>
    </row>
    <row r="5976" spans="1:4">
      <c r="A5976" s="83" t="s">
        <v>13907</v>
      </c>
      <c r="B5976" s="83" t="s">
        <v>5012</v>
      </c>
      <c r="C5976" s="83" t="s">
        <v>13910</v>
      </c>
      <c r="D5976" s="83" t="s">
        <v>13909</v>
      </c>
    </row>
    <row r="5977" spans="1:4">
      <c r="A5977" s="83" t="s">
        <v>13907</v>
      </c>
      <c r="B5977" s="83" t="s">
        <v>5015</v>
      </c>
      <c r="C5977" s="83" t="s">
        <v>13911</v>
      </c>
      <c r="D5977" s="83" t="s">
        <v>13909</v>
      </c>
    </row>
    <row r="5978" spans="1:4">
      <c r="A5978" s="83" t="s">
        <v>13907</v>
      </c>
      <c r="B5978" s="83" t="s">
        <v>5010</v>
      </c>
      <c r="C5978" s="83" t="s">
        <v>13912</v>
      </c>
      <c r="D5978" s="83" t="s">
        <v>13909</v>
      </c>
    </row>
    <row r="5979" spans="1:4">
      <c r="A5979" s="83" t="s">
        <v>13913</v>
      </c>
      <c r="B5979" s="83" t="s">
        <v>5017</v>
      </c>
      <c r="C5979" s="83" t="s">
        <v>13914</v>
      </c>
      <c r="D5979" s="83" t="s">
        <v>13915</v>
      </c>
    </row>
    <row r="5980" spans="1:4">
      <c r="A5980" s="83" t="s">
        <v>13913</v>
      </c>
      <c r="B5980" s="83" t="s">
        <v>5012</v>
      </c>
      <c r="C5980" s="83" t="s">
        <v>13916</v>
      </c>
      <c r="D5980" s="83" t="s">
        <v>13915</v>
      </c>
    </row>
    <row r="5981" spans="1:4">
      <c r="A5981" s="83" t="s">
        <v>13913</v>
      </c>
      <c r="B5981" s="83" t="s">
        <v>5015</v>
      </c>
      <c r="C5981" s="83" t="s">
        <v>13917</v>
      </c>
      <c r="D5981" s="83" t="s">
        <v>13915</v>
      </c>
    </row>
    <row r="5982" spans="1:4">
      <c r="A5982" s="83" t="s">
        <v>13913</v>
      </c>
      <c r="B5982" s="83" t="s">
        <v>5010</v>
      </c>
      <c r="C5982" s="83" t="s">
        <v>13918</v>
      </c>
      <c r="D5982" s="83" t="s">
        <v>13915</v>
      </c>
    </row>
    <row r="5983" spans="1:4">
      <c r="A5983" s="83" t="s">
        <v>13919</v>
      </c>
      <c r="B5983" s="83" t="s">
        <v>5017</v>
      </c>
      <c r="C5983" s="83" t="s">
        <v>13920</v>
      </c>
      <c r="D5983" s="83" t="s">
        <v>13921</v>
      </c>
    </row>
    <row r="5984" spans="1:4">
      <c r="A5984" s="83" t="s">
        <v>13919</v>
      </c>
      <c r="B5984" s="83" t="s">
        <v>5012</v>
      </c>
      <c r="C5984" s="83" t="s">
        <v>13922</v>
      </c>
      <c r="D5984" s="83" t="s">
        <v>13921</v>
      </c>
    </row>
    <row r="5985" spans="1:4">
      <c r="A5985" s="83" t="s">
        <v>13919</v>
      </c>
      <c r="B5985" s="83" t="s">
        <v>5015</v>
      </c>
      <c r="C5985" s="83" t="s">
        <v>13923</v>
      </c>
      <c r="D5985" s="83" t="s">
        <v>13921</v>
      </c>
    </row>
    <row r="5986" spans="1:4">
      <c r="A5986" s="83" t="s">
        <v>13919</v>
      </c>
      <c r="B5986" s="83" t="s">
        <v>5010</v>
      </c>
      <c r="C5986" s="83" t="s">
        <v>13924</v>
      </c>
      <c r="D5986" s="83" t="s">
        <v>13921</v>
      </c>
    </row>
    <row r="5987" spans="1:4">
      <c r="A5987" s="83" t="s">
        <v>13925</v>
      </c>
      <c r="B5987" s="83" t="s">
        <v>5017</v>
      </c>
      <c r="C5987" s="83" t="s">
        <v>13926</v>
      </c>
      <c r="D5987" s="83" t="s">
        <v>13927</v>
      </c>
    </row>
    <row r="5988" spans="1:4">
      <c r="A5988" s="83" t="s">
        <v>13925</v>
      </c>
      <c r="B5988" s="83" t="s">
        <v>5012</v>
      </c>
      <c r="C5988" s="83" t="s">
        <v>13928</v>
      </c>
      <c r="D5988" s="83" t="s">
        <v>13927</v>
      </c>
    </row>
    <row r="5989" spans="1:4">
      <c r="A5989" s="83" t="s">
        <v>13925</v>
      </c>
      <c r="B5989" s="83" t="s">
        <v>5015</v>
      </c>
      <c r="C5989" s="83" t="s">
        <v>13929</v>
      </c>
      <c r="D5989" s="83" t="s">
        <v>13927</v>
      </c>
    </row>
    <row r="5990" spans="1:4">
      <c r="A5990" s="83" t="s">
        <v>13925</v>
      </c>
      <c r="B5990" s="83" t="s">
        <v>5010</v>
      </c>
      <c r="C5990" s="83" t="s">
        <v>13930</v>
      </c>
      <c r="D5990" s="83" t="s">
        <v>13927</v>
      </c>
    </row>
    <row r="5991" spans="1:4">
      <c r="A5991" s="83" t="s">
        <v>13931</v>
      </c>
      <c r="B5991" s="83" t="s">
        <v>5017</v>
      </c>
      <c r="C5991" s="83" t="s">
        <v>13932</v>
      </c>
      <c r="D5991" s="83" t="s">
        <v>13933</v>
      </c>
    </row>
    <row r="5992" spans="1:4">
      <c r="A5992" s="83" t="s">
        <v>13931</v>
      </c>
      <c r="B5992" s="83" t="s">
        <v>5012</v>
      </c>
      <c r="C5992" s="83" t="s">
        <v>13934</v>
      </c>
      <c r="D5992" s="83" t="s">
        <v>13933</v>
      </c>
    </row>
    <row r="5993" spans="1:4">
      <c r="A5993" s="83" t="s">
        <v>13931</v>
      </c>
      <c r="B5993" s="83" t="s">
        <v>5015</v>
      </c>
      <c r="C5993" s="83" t="s">
        <v>13935</v>
      </c>
      <c r="D5993" s="83" t="s">
        <v>13933</v>
      </c>
    </row>
    <row r="5994" spans="1:4">
      <c r="A5994" s="83" t="s">
        <v>13931</v>
      </c>
      <c r="B5994" s="83" t="s">
        <v>5010</v>
      </c>
      <c r="C5994" s="83" t="s">
        <v>13936</v>
      </c>
      <c r="D5994" s="83" t="s">
        <v>13933</v>
      </c>
    </row>
    <row r="5995" spans="1:4">
      <c r="A5995" s="83" t="s">
        <v>13937</v>
      </c>
      <c r="B5995" s="83" t="s">
        <v>5017</v>
      </c>
      <c r="C5995" s="83" t="s">
        <v>13938</v>
      </c>
      <c r="D5995" s="83" t="s">
        <v>13939</v>
      </c>
    </row>
    <row r="5996" spans="1:4">
      <c r="A5996" s="83" t="s">
        <v>13937</v>
      </c>
      <c r="B5996" s="83" t="s">
        <v>5012</v>
      </c>
      <c r="C5996" s="83" t="s">
        <v>13940</v>
      </c>
      <c r="D5996" s="83" t="s">
        <v>13939</v>
      </c>
    </row>
    <row r="5997" spans="1:4">
      <c r="A5997" s="83" t="s">
        <v>13937</v>
      </c>
      <c r="B5997" s="83" t="s">
        <v>5015</v>
      </c>
      <c r="C5997" s="83" t="s">
        <v>13941</v>
      </c>
      <c r="D5997" s="83" t="s">
        <v>13939</v>
      </c>
    </row>
    <row r="5998" spans="1:4">
      <c r="A5998" s="83" t="s">
        <v>13937</v>
      </c>
      <c r="B5998" s="83" t="s">
        <v>5010</v>
      </c>
      <c r="C5998" s="83" t="s">
        <v>13942</v>
      </c>
      <c r="D5998" s="83" t="s">
        <v>13939</v>
      </c>
    </row>
    <row r="5999" spans="1:4">
      <c r="A5999" s="83" t="s">
        <v>13943</v>
      </c>
      <c r="B5999" s="83" t="s">
        <v>5017</v>
      </c>
      <c r="C5999" s="83" t="s">
        <v>13944</v>
      </c>
      <c r="D5999" s="83" t="s">
        <v>13945</v>
      </c>
    </row>
    <row r="6000" spans="1:4">
      <c r="A6000" s="83" t="s">
        <v>13943</v>
      </c>
      <c r="B6000" s="83" t="s">
        <v>5012</v>
      </c>
      <c r="C6000" s="83" t="s">
        <v>13946</v>
      </c>
      <c r="D6000" s="83" t="s">
        <v>13945</v>
      </c>
    </row>
    <row r="6001" spans="1:4">
      <c r="A6001" s="83" t="s">
        <v>13943</v>
      </c>
      <c r="B6001" s="83" t="s">
        <v>5015</v>
      </c>
      <c r="C6001" s="83" t="s">
        <v>13947</v>
      </c>
      <c r="D6001" s="83" t="s">
        <v>13945</v>
      </c>
    </row>
    <row r="6002" spans="1:4">
      <c r="A6002" s="83" t="s">
        <v>13943</v>
      </c>
      <c r="B6002" s="83" t="s">
        <v>5010</v>
      </c>
      <c r="C6002" s="83" t="s">
        <v>13948</v>
      </c>
      <c r="D6002" s="83" t="s">
        <v>13945</v>
      </c>
    </row>
    <row r="6003" spans="1:4">
      <c r="A6003" s="83" t="s">
        <v>13949</v>
      </c>
      <c r="B6003" s="83" t="s">
        <v>5017</v>
      </c>
      <c r="C6003" s="83" t="s">
        <v>13950</v>
      </c>
      <c r="D6003" s="83" t="s">
        <v>13951</v>
      </c>
    </row>
    <row r="6004" spans="1:4">
      <c r="A6004" s="83" t="s">
        <v>13949</v>
      </c>
      <c r="B6004" s="83" t="s">
        <v>5012</v>
      </c>
      <c r="C6004" s="83" t="s">
        <v>13952</v>
      </c>
      <c r="D6004" s="83" t="s">
        <v>13951</v>
      </c>
    </row>
    <row r="6005" spans="1:4">
      <c r="A6005" s="83" t="s">
        <v>13949</v>
      </c>
      <c r="B6005" s="83" t="s">
        <v>5015</v>
      </c>
      <c r="C6005" s="83" t="s">
        <v>13953</v>
      </c>
      <c r="D6005" s="83" t="s">
        <v>13951</v>
      </c>
    </row>
    <row r="6006" spans="1:4">
      <c r="A6006" s="83" t="s">
        <v>13949</v>
      </c>
      <c r="B6006" s="83" t="s">
        <v>5010</v>
      </c>
      <c r="C6006" s="83" t="s">
        <v>13954</v>
      </c>
      <c r="D6006" s="83" t="s">
        <v>13951</v>
      </c>
    </row>
    <row r="6007" spans="1:4">
      <c r="A6007" s="83" t="s">
        <v>13955</v>
      </c>
      <c r="B6007" s="83" t="s">
        <v>5017</v>
      </c>
      <c r="C6007" s="83" t="s">
        <v>13956</v>
      </c>
      <c r="D6007" s="83" t="s">
        <v>13957</v>
      </c>
    </row>
    <row r="6008" spans="1:4">
      <c r="A6008" s="83" t="s">
        <v>13955</v>
      </c>
      <c r="B6008" s="83" t="s">
        <v>5012</v>
      </c>
      <c r="C6008" s="83" t="s">
        <v>13958</v>
      </c>
      <c r="D6008" s="83" t="s">
        <v>13957</v>
      </c>
    </row>
    <row r="6009" spans="1:4">
      <c r="A6009" s="83" t="s">
        <v>13955</v>
      </c>
      <c r="B6009" s="83" t="s">
        <v>5015</v>
      </c>
      <c r="C6009" s="83" t="s">
        <v>13959</v>
      </c>
      <c r="D6009" s="83" t="s">
        <v>13957</v>
      </c>
    </row>
    <row r="6010" spans="1:4">
      <c r="A6010" s="83" t="s">
        <v>13955</v>
      </c>
      <c r="B6010" s="83" t="s">
        <v>5010</v>
      </c>
      <c r="C6010" s="83" t="s">
        <v>13960</v>
      </c>
      <c r="D6010" s="83" t="s">
        <v>13957</v>
      </c>
    </row>
    <row r="6011" spans="1:4">
      <c r="A6011" s="83" t="s">
        <v>13961</v>
      </c>
      <c r="B6011" s="83" t="s">
        <v>5017</v>
      </c>
      <c r="C6011" s="83" t="s">
        <v>13962</v>
      </c>
      <c r="D6011" s="83" t="s">
        <v>13963</v>
      </c>
    </row>
    <row r="6012" spans="1:4">
      <c r="A6012" s="83" t="s">
        <v>13961</v>
      </c>
      <c r="B6012" s="83" t="s">
        <v>5012</v>
      </c>
      <c r="C6012" s="83" t="s">
        <v>13964</v>
      </c>
      <c r="D6012" s="83" t="s">
        <v>13963</v>
      </c>
    </row>
    <row r="6013" spans="1:4">
      <c r="A6013" s="83" t="s">
        <v>13961</v>
      </c>
      <c r="B6013" s="83" t="s">
        <v>5015</v>
      </c>
      <c r="C6013" s="83" t="s">
        <v>13965</v>
      </c>
      <c r="D6013" s="83" t="s">
        <v>13963</v>
      </c>
    </row>
    <row r="6014" spans="1:4">
      <c r="A6014" s="83" t="s">
        <v>13961</v>
      </c>
      <c r="B6014" s="83" t="s">
        <v>5010</v>
      </c>
      <c r="C6014" s="83" t="s">
        <v>13966</v>
      </c>
      <c r="D6014" s="83" t="s">
        <v>13963</v>
      </c>
    </row>
    <row r="6015" spans="1:4">
      <c r="A6015" s="83" t="s">
        <v>13967</v>
      </c>
      <c r="B6015" s="83" t="s">
        <v>5017</v>
      </c>
      <c r="C6015" s="83" t="s">
        <v>13968</v>
      </c>
      <c r="D6015" s="83" t="s">
        <v>13969</v>
      </c>
    </row>
    <row r="6016" spans="1:4">
      <c r="A6016" s="83" t="s">
        <v>13967</v>
      </c>
      <c r="B6016" s="83" t="s">
        <v>5012</v>
      </c>
      <c r="C6016" s="83" t="s">
        <v>13970</v>
      </c>
      <c r="D6016" s="83" t="s">
        <v>13969</v>
      </c>
    </row>
    <row r="6017" spans="1:4">
      <c r="A6017" s="83" t="s">
        <v>13967</v>
      </c>
      <c r="B6017" s="83" t="s">
        <v>5015</v>
      </c>
      <c r="C6017" s="83" t="s">
        <v>13971</v>
      </c>
      <c r="D6017" s="83" t="s">
        <v>13969</v>
      </c>
    </row>
    <row r="6018" spans="1:4">
      <c r="A6018" s="83" t="s">
        <v>13967</v>
      </c>
      <c r="B6018" s="83" t="s">
        <v>5010</v>
      </c>
      <c r="C6018" s="83" t="s">
        <v>13972</v>
      </c>
      <c r="D6018" s="83" t="s">
        <v>13969</v>
      </c>
    </row>
    <row r="6019" spans="1:4">
      <c r="A6019" s="83" t="s">
        <v>13973</v>
      </c>
      <c r="B6019" s="83" t="s">
        <v>5017</v>
      </c>
      <c r="C6019" s="83" t="s">
        <v>13974</v>
      </c>
      <c r="D6019" s="83" t="s">
        <v>13975</v>
      </c>
    </row>
    <row r="6020" spans="1:4">
      <c r="A6020" s="83" t="s">
        <v>13973</v>
      </c>
      <c r="B6020" s="83" t="s">
        <v>5012</v>
      </c>
      <c r="C6020" s="83" t="s">
        <v>13976</v>
      </c>
      <c r="D6020" s="83" t="s">
        <v>13975</v>
      </c>
    </row>
    <row r="6021" spans="1:4">
      <c r="A6021" s="83" t="s">
        <v>13973</v>
      </c>
      <c r="B6021" s="83" t="s">
        <v>5015</v>
      </c>
      <c r="C6021" s="83" t="s">
        <v>13977</v>
      </c>
      <c r="D6021" s="83" t="s">
        <v>13975</v>
      </c>
    </row>
    <row r="6022" spans="1:4">
      <c r="A6022" s="83" t="s">
        <v>13973</v>
      </c>
      <c r="B6022" s="83" t="s">
        <v>5010</v>
      </c>
      <c r="C6022" s="83" t="s">
        <v>13978</v>
      </c>
      <c r="D6022" s="83" t="s">
        <v>13975</v>
      </c>
    </row>
    <row r="6023" spans="1:4">
      <c r="A6023" s="83" t="s">
        <v>13979</v>
      </c>
      <c r="B6023" s="83" t="s">
        <v>5017</v>
      </c>
      <c r="C6023" s="83" t="s">
        <v>13980</v>
      </c>
      <c r="D6023" s="83" t="s">
        <v>13981</v>
      </c>
    </row>
    <row r="6024" spans="1:4">
      <c r="A6024" s="83" t="s">
        <v>13979</v>
      </c>
      <c r="B6024" s="83" t="s">
        <v>5012</v>
      </c>
      <c r="C6024" s="83" t="s">
        <v>13982</v>
      </c>
      <c r="D6024" s="83" t="s">
        <v>13981</v>
      </c>
    </row>
    <row r="6025" spans="1:4">
      <c r="A6025" s="83" t="s">
        <v>13979</v>
      </c>
      <c r="B6025" s="83" t="s">
        <v>5015</v>
      </c>
      <c r="C6025" s="83" t="s">
        <v>13983</v>
      </c>
      <c r="D6025" s="83" t="s">
        <v>13981</v>
      </c>
    </row>
    <row r="6026" spans="1:4">
      <c r="A6026" s="83" t="s">
        <v>13979</v>
      </c>
      <c r="B6026" s="83" t="s">
        <v>5010</v>
      </c>
      <c r="C6026" s="83" t="s">
        <v>13984</v>
      </c>
      <c r="D6026" s="83" t="s">
        <v>13981</v>
      </c>
    </row>
    <row r="6027" spans="1:4">
      <c r="A6027" s="83" t="s">
        <v>13985</v>
      </c>
      <c r="B6027" s="83" t="s">
        <v>5017</v>
      </c>
      <c r="C6027" s="83" t="s">
        <v>13986</v>
      </c>
      <c r="D6027" s="83" t="s">
        <v>13987</v>
      </c>
    </row>
    <row r="6028" spans="1:4">
      <c r="A6028" s="83" t="s">
        <v>13985</v>
      </c>
      <c r="B6028" s="83" t="s">
        <v>5012</v>
      </c>
      <c r="C6028" s="83" t="s">
        <v>13988</v>
      </c>
      <c r="D6028" s="83" t="s">
        <v>13987</v>
      </c>
    </row>
    <row r="6029" spans="1:4">
      <c r="A6029" s="83" t="s">
        <v>13985</v>
      </c>
      <c r="B6029" s="83" t="s">
        <v>5015</v>
      </c>
      <c r="C6029" s="83" t="s">
        <v>13989</v>
      </c>
      <c r="D6029" s="83" t="s">
        <v>13987</v>
      </c>
    </row>
    <row r="6030" spans="1:4">
      <c r="A6030" s="83" t="s">
        <v>13985</v>
      </c>
      <c r="B6030" s="83" t="s">
        <v>5010</v>
      </c>
      <c r="C6030" s="83" t="s">
        <v>13990</v>
      </c>
      <c r="D6030" s="83" t="s">
        <v>13987</v>
      </c>
    </row>
    <row r="6031" spans="1:4">
      <c r="A6031" s="83" t="s">
        <v>13991</v>
      </c>
      <c r="B6031" s="83" t="s">
        <v>5017</v>
      </c>
      <c r="C6031" s="83" t="s">
        <v>13992</v>
      </c>
      <c r="D6031" s="83" t="s">
        <v>13993</v>
      </c>
    </row>
    <row r="6032" spans="1:4">
      <c r="A6032" s="83" t="s">
        <v>13991</v>
      </c>
      <c r="B6032" s="83" t="s">
        <v>5012</v>
      </c>
      <c r="C6032" s="83" t="s">
        <v>13994</v>
      </c>
      <c r="D6032" s="83" t="s">
        <v>13993</v>
      </c>
    </row>
    <row r="6033" spans="1:4">
      <c r="A6033" s="83" t="s">
        <v>13991</v>
      </c>
      <c r="B6033" s="83" t="s">
        <v>5015</v>
      </c>
      <c r="C6033" s="83" t="s">
        <v>13995</v>
      </c>
      <c r="D6033" s="83" t="s">
        <v>13993</v>
      </c>
    </row>
    <row r="6034" spans="1:4">
      <c r="A6034" s="83" t="s">
        <v>13991</v>
      </c>
      <c r="B6034" s="83" t="s">
        <v>5010</v>
      </c>
      <c r="C6034" s="83" t="s">
        <v>13996</v>
      </c>
      <c r="D6034" s="83" t="s">
        <v>13993</v>
      </c>
    </row>
    <row r="6035" spans="1:4">
      <c r="A6035" s="83" t="s">
        <v>13997</v>
      </c>
      <c r="B6035" s="83" t="s">
        <v>5017</v>
      </c>
      <c r="C6035" s="83" t="s">
        <v>13998</v>
      </c>
      <c r="D6035" s="83" t="s">
        <v>13999</v>
      </c>
    </row>
    <row r="6036" spans="1:4">
      <c r="A6036" s="83" t="s">
        <v>13997</v>
      </c>
      <c r="B6036" s="83" t="s">
        <v>5012</v>
      </c>
      <c r="C6036" s="83" t="s">
        <v>14000</v>
      </c>
      <c r="D6036" s="83" t="s">
        <v>13999</v>
      </c>
    </row>
    <row r="6037" spans="1:4">
      <c r="A6037" s="83" t="s">
        <v>13997</v>
      </c>
      <c r="B6037" s="83" t="s">
        <v>5015</v>
      </c>
      <c r="C6037" s="83" t="s">
        <v>14001</v>
      </c>
      <c r="D6037" s="83" t="s">
        <v>13999</v>
      </c>
    </row>
    <row r="6038" spans="1:4">
      <c r="A6038" s="83" t="s">
        <v>13997</v>
      </c>
      <c r="B6038" s="83" t="s">
        <v>5010</v>
      </c>
      <c r="C6038" s="83" t="s">
        <v>14002</v>
      </c>
      <c r="D6038" s="83" t="s">
        <v>13999</v>
      </c>
    </row>
    <row r="6039" spans="1:4">
      <c r="A6039" s="83" t="s">
        <v>14003</v>
      </c>
      <c r="B6039" s="83" t="s">
        <v>5017</v>
      </c>
      <c r="C6039" s="83" t="s">
        <v>14004</v>
      </c>
      <c r="D6039" s="83" t="s">
        <v>14005</v>
      </c>
    </row>
    <row r="6040" spans="1:4">
      <c r="A6040" s="83" t="s">
        <v>14003</v>
      </c>
      <c r="B6040" s="83" t="s">
        <v>5012</v>
      </c>
      <c r="C6040" s="83" t="s">
        <v>14006</v>
      </c>
      <c r="D6040" s="83" t="s">
        <v>14005</v>
      </c>
    </row>
    <row r="6041" spans="1:4">
      <c r="A6041" s="83" t="s">
        <v>14003</v>
      </c>
      <c r="B6041" s="83" t="s">
        <v>5015</v>
      </c>
      <c r="C6041" s="83" t="s">
        <v>14007</v>
      </c>
      <c r="D6041" s="83" t="s">
        <v>14005</v>
      </c>
    </row>
    <row r="6042" spans="1:4">
      <c r="A6042" s="83" t="s">
        <v>14003</v>
      </c>
      <c r="B6042" s="83" t="s">
        <v>5010</v>
      </c>
      <c r="C6042" s="83" t="s">
        <v>14008</v>
      </c>
      <c r="D6042" s="83" t="s">
        <v>14005</v>
      </c>
    </row>
    <row r="6043" spans="1:4">
      <c r="A6043" s="83" t="s">
        <v>14009</v>
      </c>
      <c r="B6043" s="83" t="s">
        <v>5017</v>
      </c>
      <c r="C6043" s="83" t="s">
        <v>14010</v>
      </c>
      <c r="D6043" s="83" t="s">
        <v>14011</v>
      </c>
    </row>
    <row r="6044" spans="1:4">
      <c r="A6044" s="83" t="s">
        <v>14009</v>
      </c>
      <c r="B6044" s="83" t="s">
        <v>5012</v>
      </c>
      <c r="C6044" s="83" t="s">
        <v>14012</v>
      </c>
      <c r="D6044" s="83" t="s">
        <v>14011</v>
      </c>
    </row>
    <row r="6045" spans="1:4">
      <c r="A6045" s="83" t="s">
        <v>14009</v>
      </c>
      <c r="B6045" s="83" t="s">
        <v>5015</v>
      </c>
      <c r="C6045" s="83" t="s">
        <v>14013</v>
      </c>
      <c r="D6045" s="83" t="s">
        <v>14011</v>
      </c>
    </row>
    <row r="6046" spans="1:4">
      <c r="A6046" s="83" t="s">
        <v>14009</v>
      </c>
      <c r="B6046" s="83" t="s">
        <v>5010</v>
      </c>
      <c r="C6046" s="83" t="s">
        <v>14014</v>
      </c>
      <c r="D6046" s="83" t="s">
        <v>14011</v>
      </c>
    </row>
    <row r="6047" spans="1:4">
      <c r="A6047" s="83" t="s">
        <v>14015</v>
      </c>
      <c r="B6047" s="83" t="s">
        <v>5017</v>
      </c>
      <c r="C6047" s="83" t="s">
        <v>14016</v>
      </c>
      <c r="D6047" s="83" t="s">
        <v>14017</v>
      </c>
    </row>
    <row r="6048" spans="1:4">
      <c r="A6048" s="83" t="s">
        <v>14015</v>
      </c>
      <c r="B6048" s="83" t="s">
        <v>5012</v>
      </c>
      <c r="C6048" s="83" t="s">
        <v>14018</v>
      </c>
      <c r="D6048" s="83" t="s">
        <v>14017</v>
      </c>
    </row>
    <row r="6049" spans="1:4">
      <c r="A6049" s="83" t="s">
        <v>14015</v>
      </c>
      <c r="B6049" s="83" t="s">
        <v>5015</v>
      </c>
      <c r="C6049" s="83" t="s">
        <v>14019</v>
      </c>
      <c r="D6049" s="83" t="s">
        <v>14017</v>
      </c>
    </row>
    <row r="6050" spans="1:4">
      <c r="A6050" s="83" t="s">
        <v>14015</v>
      </c>
      <c r="B6050" s="83" t="s">
        <v>5010</v>
      </c>
      <c r="C6050" s="83" t="s">
        <v>14020</v>
      </c>
      <c r="D6050" s="83" t="s">
        <v>14017</v>
      </c>
    </row>
    <row r="6051" spans="1:4">
      <c r="A6051" s="83" t="s">
        <v>14021</v>
      </c>
      <c r="B6051" s="83" t="s">
        <v>5017</v>
      </c>
      <c r="C6051" s="83" t="s">
        <v>14022</v>
      </c>
      <c r="D6051" s="83" t="s">
        <v>14023</v>
      </c>
    </row>
    <row r="6052" spans="1:4">
      <c r="A6052" s="83" t="s">
        <v>14021</v>
      </c>
      <c r="B6052" s="83" t="s">
        <v>5012</v>
      </c>
      <c r="C6052" s="83" t="s">
        <v>14024</v>
      </c>
      <c r="D6052" s="83" t="s">
        <v>14023</v>
      </c>
    </row>
    <row r="6053" spans="1:4">
      <c r="A6053" s="83" t="s">
        <v>14021</v>
      </c>
      <c r="B6053" s="83" t="s">
        <v>5015</v>
      </c>
      <c r="C6053" s="83" t="s">
        <v>14025</v>
      </c>
      <c r="D6053" s="83" t="s">
        <v>14023</v>
      </c>
    </row>
    <row r="6054" spans="1:4">
      <c r="A6054" s="83" t="s">
        <v>14021</v>
      </c>
      <c r="B6054" s="83" t="s">
        <v>5010</v>
      </c>
      <c r="C6054" s="83" t="s">
        <v>14026</v>
      </c>
      <c r="D6054" s="83" t="s">
        <v>14023</v>
      </c>
    </row>
    <row r="6055" spans="1:4">
      <c r="A6055" s="83" t="s">
        <v>14027</v>
      </c>
      <c r="B6055" s="83" t="s">
        <v>5017</v>
      </c>
      <c r="C6055" s="83" t="s">
        <v>14028</v>
      </c>
      <c r="D6055" s="83" t="s">
        <v>14029</v>
      </c>
    </row>
    <row r="6056" spans="1:4">
      <c r="A6056" s="83" t="s">
        <v>14027</v>
      </c>
      <c r="B6056" s="83" t="s">
        <v>5012</v>
      </c>
      <c r="C6056" s="83" t="s">
        <v>14030</v>
      </c>
      <c r="D6056" s="83" t="s">
        <v>14029</v>
      </c>
    </row>
    <row r="6057" spans="1:4">
      <c r="A6057" s="83" t="s">
        <v>14027</v>
      </c>
      <c r="B6057" s="83" t="s">
        <v>5015</v>
      </c>
      <c r="C6057" s="83" t="s">
        <v>14031</v>
      </c>
      <c r="D6057" s="83" t="s">
        <v>14029</v>
      </c>
    </row>
    <row r="6058" spans="1:4">
      <c r="A6058" s="83" t="s">
        <v>14027</v>
      </c>
      <c r="B6058" s="83" t="s">
        <v>5010</v>
      </c>
      <c r="C6058" s="83" t="s">
        <v>14032</v>
      </c>
      <c r="D6058" s="83" t="s">
        <v>14029</v>
      </c>
    </row>
    <row r="6059" spans="1:4">
      <c r="A6059" s="83" t="s">
        <v>14033</v>
      </c>
      <c r="B6059" s="83" t="s">
        <v>5017</v>
      </c>
      <c r="C6059" s="83" t="s">
        <v>14034</v>
      </c>
      <c r="D6059" s="83" t="s">
        <v>14035</v>
      </c>
    </row>
    <row r="6060" spans="1:4">
      <c r="A6060" s="83" t="s">
        <v>14033</v>
      </c>
      <c r="B6060" s="83" t="s">
        <v>5012</v>
      </c>
      <c r="C6060" s="83" t="s">
        <v>14036</v>
      </c>
      <c r="D6060" s="83" t="s">
        <v>14035</v>
      </c>
    </row>
    <row r="6061" spans="1:4">
      <c r="A6061" s="83" t="s">
        <v>14033</v>
      </c>
      <c r="B6061" s="83" t="s">
        <v>5015</v>
      </c>
      <c r="C6061" s="83" t="s">
        <v>14037</v>
      </c>
      <c r="D6061" s="83" t="s">
        <v>14035</v>
      </c>
    </row>
    <row r="6062" spans="1:4">
      <c r="A6062" s="83" t="s">
        <v>14033</v>
      </c>
      <c r="B6062" s="83" t="s">
        <v>5010</v>
      </c>
      <c r="C6062" s="83" t="s">
        <v>14038</v>
      </c>
      <c r="D6062" s="83" t="s">
        <v>14035</v>
      </c>
    </row>
    <row r="6063" spans="1:4">
      <c r="A6063" s="83" t="s">
        <v>14039</v>
      </c>
      <c r="B6063" s="83" t="s">
        <v>5017</v>
      </c>
      <c r="C6063" s="83" t="s">
        <v>14040</v>
      </c>
      <c r="D6063" s="83" t="s">
        <v>14041</v>
      </c>
    </row>
    <row r="6064" spans="1:4">
      <c r="A6064" s="83" t="s">
        <v>14039</v>
      </c>
      <c r="B6064" s="83" t="s">
        <v>5012</v>
      </c>
      <c r="C6064" s="83" t="s">
        <v>14042</v>
      </c>
      <c r="D6064" s="83" t="s">
        <v>14041</v>
      </c>
    </row>
    <row r="6065" spans="1:4">
      <c r="A6065" s="83" t="s">
        <v>14039</v>
      </c>
      <c r="B6065" s="83" t="s">
        <v>5015</v>
      </c>
      <c r="C6065" s="83" t="s">
        <v>14043</v>
      </c>
      <c r="D6065" s="83" t="s">
        <v>14041</v>
      </c>
    </row>
    <row r="6066" spans="1:4">
      <c r="A6066" s="83" t="s">
        <v>14039</v>
      </c>
      <c r="B6066" s="83" t="s">
        <v>5010</v>
      </c>
      <c r="C6066" s="83" t="s">
        <v>14044</v>
      </c>
      <c r="D6066" s="83" t="s">
        <v>14041</v>
      </c>
    </row>
    <row r="6067" spans="1:4">
      <c r="A6067" s="83" t="s">
        <v>14045</v>
      </c>
      <c r="B6067" s="83" t="s">
        <v>5017</v>
      </c>
      <c r="C6067" s="83" t="s">
        <v>14046</v>
      </c>
      <c r="D6067" s="83" t="s">
        <v>14047</v>
      </c>
    </row>
    <row r="6068" spans="1:4">
      <c r="A6068" s="83" t="s">
        <v>14045</v>
      </c>
      <c r="B6068" s="83" t="s">
        <v>5012</v>
      </c>
      <c r="C6068" s="83" t="s">
        <v>14048</v>
      </c>
      <c r="D6068" s="83" t="s">
        <v>14047</v>
      </c>
    </row>
    <row r="6069" spans="1:4">
      <c r="A6069" s="83" t="s">
        <v>14045</v>
      </c>
      <c r="B6069" s="83" t="s">
        <v>5015</v>
      </c>
      <c r="C6069" s="83" t="s">
        <v>14049</v>
      </c>
      <c r="D6069" s="83" t="s">
        <v>14047</v>
      </c>
    </row>
    <row r="6070" spans="1:4">
      <c r="A6070" s="83" t="s">
        <v>14045</v>
      </c>
      <c r="B6070" s="83" t="s">
        <v>5010</v>
      </c>
      <c r="C6070" s="83" t="s">
        <v>14050</v>
      </c>
      <c r="D6070" s="83" t="s">
        <v>14047</v>
      </c>
    </row>
    <row r="6071" spans="1:4">
      <c r="A6071" s="83" t="s">
        <v>14051</v>
      </c>
      <c r="B6071" s="83" t="s">
        <v>5017</v>
      </c>
      <c r="C6071" s="83" t="s">
        <v>14052</v>
      </c>
      <c r="D6071" s="83" t="s">
        <v>14053</v>
      </c>
    </row>
    <row r="6072" spans="1:4">
      <c r="A6072" s="83" t="s">
        <v>14051</v>
      </c>
      <c r="B6072" s="83" t="s">
        <v>5012</v>
      </c>
      <c r="C6072" s="83" t="s">
        <v>14054</v>
      </c>
      <c r="D6072" s="83" t="s">
        <v>14053</v>
      </c>
    </row>
    <row r="6073" spans="1:4">
      <c r="A6073" s="83" t="s">
        <v>14051</v>
      </c>
      <c r="B6073" s="83" t="s">
        <v>5015</v>
      </c>
      <c r="C6073" s="83" t="s">
        <v>14055</v>
      </c>
      <c r="D6073" s="83" t="s">
        <v>14053</v>
      </c>
    </row>
    <row r="6074" spans="1:4">
      <c r="A6074" s="83" t="s">
        <v>14051</v>
      </c>
      <c r="B6074" s="83" t="s">
        <v>5010</v>
      </c>
      <c r="C6074" s="83" t="s">
        <v>14056</v>
      </c>
      <c r="D6074" s="83" t="s">
        <v>14053</v>
      </c>
    </row>
    <row r="6075" spans="1:4">
      <c r="A6075" s="83" t="s">
        <v>14057</v>
      </c>
      <c r="B6075" s="83" t="s">
        <v>5017</v>
      </c>
      <c r="C6075" s="83" t="s">
        <v>14058</v>
      </c>
      <c r="D6075" s="83" t="s">
        <v>14059</v>
      </c>
    </row>
    <row r="6076" spans="1:4">
      <c r="A6076" s="83" t="s">
        <v>14057</v>
      </c>
      <c r="B6076" s="83" t="s">
        <v>5012</v>
      </c>
      <c r="C6076" s="83" t="s">
        <v>14060</v>
      </c>
      <c r="D6076" s="83" t="s">
        <v>14059</v>
      </c>
    </row>
    <row r="6077" spans="1:4">
      <c r="A6077" s="83" t="s">
        <v>14057</v>
      </c>
      <c r="B6077" s="83" t="s">
        <v>5015</v>
      </c>
      <c r="C6077" s="83" t="s">
        <v>14061</v>
      </c>
      <c r="D6077" s="83" t="s">
        <v>14059</v>
      </c>
    </row>
    <row r="6078" spans="1:4">
      <c r="A6078" s="83" t="s">
        <v>14057</v>
      </c>
      <c r="B6078" s="83" t="s">
        <v>5010</v>
      </c>
      <c r="C6078" s="83" t="s">
        <v>14062</v>
      </c>
      <c r="D6078" s="83" t="s">
        <v>14059</v>
      </c>
    </row>
    <row r="6079" spans="1:4">
      <c r="A6079" s="83" t="s">
        <v>14063</v>
      </c>
      <c r="B6079" s="83" t="s">
        <v>5017</v>
      </c>
      <c r="C6079" s="83" t="s">
        <v>14064</v>
      </c>
      <c r="D6079" s="83" t="s">
        <v>14065</v>
      </c>
    </row>
    <row r="6080" spans="1:4">
      <c r="A6080" s="83" t="s">
        <v>14063</v>
      </c>
      <c r="B6080" s="83" t="s">
        <v>5012</v>
      </c>
      <c r="C6080" s="83" t="s">
        <v>14066</v>
      </c>
      <c r="D6080" s="83" t="s">
        <v>14065</v>
      </c>
    </row>
    <row r="6081" spans="1:4">
      <c r="A6081" s="83" t="s">
        <v>14063</v>
      </c>
      <c r="B6081" s="83" t="s">
        <v>5015</v>
      </c>
      <c r="C6081" s="83" t="s">
        <v>14067</v>
      </c>
      <c r="D6081" s="83" t="s">
        <v>14065</v>
      </c>
    </row>
    <row r="6082" spans="1:4">
      <c r="A6082" s="83" t="s">
        <v>14063</v>
      </c>
      <c r="B6082" s="83" t="s">
        <v>5010</v>
      </c>
      <c r="C6082" s="83" t="s">
        <v>14068</v>
      </c>
      <c r="D6082" s="83" t="s">
        <v>14065</v>
      </c>
    </row>
    <row r="6083" spans="1:4">
      <c r="A6083" s="83" t="s">
        <v>14069</v>
      </c>
      <c r="B6083" s="83" t="s">
        <v>5017</v>
      </c>
      <c r="C6083" s="83" t="s">
        <v>14070</v>
      </c>
      <c r="D6083" s="83" t="s">
        <v>14071</v>
      </c>
    </row>
    <row r="6084" spans="1:4">
      <c r="A6084" s="83" t="s">
        <v>14069</v>
      </c>
      <c r="B6084" s="83" t="s">
        <v>5012</v>
      </c>
      <c r="C6084" s="83" t="s">
        <v>14072</v>
      </c>
      <c r="D6084" s="83" t="s">
        <v>14071</v>
      </c>
    </row>
    <row r="6085" spans="1:4">
      <c r="A6085" s="83" t="s">
        <v>14069</v>
      </c>
      <c r="B6085" s="83" t="s">
        <v>5015</v>
      </c>
      <c r="C6085" s="83" t="s">
        <v>14073</v>
      </c>
      <c r="D6085" s="83" t="s">
        <v>14071</v>
      </c>
    </row>
    <row r="6086" spans="1:4">
      <c r="A6086" s="83" t="s">
        <v>14069</v>
      </c>
      <c r="B6086" s="83" t="s">
        <v>5010</v>
      </c>
      <c r="C6086" s="83" t="s">
        <v>12886</v>
      </c>
      <c r="D6086" s="83" t="s">
        <v>14071</v>
      </c>
    </row>
    <row r="6087" spans="1:4">
      <c r="A6087" s="83" t="s">
        <v>14074</v>
      </c>
      <c r="B6087" s="83" t="s">
        <v>5017</v>
      </c>
      <c r="C6087" s="83" t="s">
        <v>14075</v>
      </c>
      <c r="D6087" s="83" t="s">
        <v>14076</v>
      </c>
    </row>
    <row r="6088" spans="1:4">
      <c r="A6088" s="83" t="s">
        <v>14074</v>
      </c>
      <c r="B6088" s="83" t="s">
        <v>5012</v>
      </c>
      <c r="C6088" s="83" t="s">
        <v>14077</v>
      </c>
      <c r="D6088" s="83" t="s">
        <v>14076</v>
      </c>
    </row>
    <row r="6089" spans="1:4">
      <c r="A6089" s="83" t="s">
        <v>14074</v>
      </c>
      <c r="B6089" s="83" t="s">
        <v>5015</v>
      </c>
      <c r="C6089" s="83" t="s">
        <v>14078</v>
      </c>
      <c r="D6089" s="83" t="s">
        <v>14076</v>
      </c>
    </row>
    <row r="6090" spans="1:4">
      <c r="A6090" s="83" t="s">
        <v>14074</v>
      </c>
      <c r="B6090" s="83" t="s">
        <v>5010</v>
      </c>
      <c r="C6090" s="83" t="s">
        <v>14079</v>
      </c>
      <c r="D6090" s="83" t="s">
        <v>14076</v>
      </c>
    </row>
    <row r="6091" spans="1:4">
      <c r="A6091" s="83" t="s">
        <v>14080</v>
      </c>
      <c r="B6091" s="83" t="s">
        <v>5017</v>
      </c>
      <c r="C6091" s="83" t="s">
        <v>14081</v>
      </c>
      <c r="D6091" s="83" t="s">
        <v>14082</v>
      </c>
    </row>
    <row r="6092" spans="1:4">
      <c r="A6092" s="83" t="s">
        <v>14080</v>
      </c>
      <c r="B6092" s="83" t="s">
        <v>5012</v>
      </c>
      <c r="C6092" s="83" t="s">
        <v>14083</v>
      </c>
      <c r="D6092" s="83" t="s">
        <v>14082</v>
      </c>
    </row>
    <row r="6093" spans="1:4">
      <c r="A6093" s="83" t="s">
        <v>14080</v>
      </c>
      <c r="B6093" s="83" t="s">
        <v>5015</v>
      </c>
      <c r="C6093" s="83" t="s">
        <v>14084</v>
      </c>
      <c r="D6093" s="83" t="s">
        <v>14082</v>
      </c>
    </row>
    <row r="6094" spans="1:4">
      <c r="A6094" s="83" t="s">
        <v>14080</v>
      </c>
      <c r="B6094" s="83" t="s">
        <v>5010</v>
      </c>
      <c r="C6094" s="83" t="s">
        <v>14085</v>
      </c>
      <c r="D6094" s="83" t="s">
        <v>14082</v>
      </c>
    </row>
    <row r="6095" spans="1:4">
      <c r="A6095" s="83" t="s">
        <v>14086</v>
      </c>
      <c r="B6095" s="83" t="s">
        <v>5017</v>
      </c>
      <c r="C6095" s="83" t="s">
        <v>14087</v>
      </c>
      <c r="D6095" s="83" t="s">
        <v>14088</v>
      </c>
    </row>
    <row r="6096" spans="1:4">
      <c r="A6096" s="83" t="s">
        <v>14086</v>
      </c>
      <c r="B6096" s="83" t="s">
        <v>5012</v>
      </c>
      <c r="C6096" s="83" t="s">
        <v>14089</v>
      </c>
      <c r="D6096" s="83" t="s">
        <v>14088</v>
      </c>
    </row>
    <row r="6097" spans="1:4">
      <c r="A6097" s="83" t="s">
        <v>14086</v>
      </c>
      <c r="B6097" s="83" t="s">
        <v>5015</v>
      </c>
      <c r="C6097" s="83" t="s">
        <v>14090</v>
      </c>
      <c r="D6097" s="83" t="s">
        <v>14088</v>
      </c>
    </row>
    <row r="6098" spans="1:4">
      <c r="A6098" s="83" t="s">
        <v>14086</v>
      </c>
      <c r="B6098" s="83" t="s">
        <v>5010</v>
      </c>
      <c r="C6098" s="83" t="s">
        <v>14091</v>
      </c>
      <c r="D6098" s="83" t="s">
        <v>14088</v>
      </c>
    </row>
    <row r="6099" spans="1:4">
      <c r="A6099" s="83" t="s">
        <v>14092</v>
      </c>
      <c r="B6099" s="83" t="s">
        <v>5017</v>
      </c>
      <c r="C6099" s="83" t="s">
        <v>14093</v>
      </c>
      <c r="D6099" s="83" t="s">
        <v>14094</v>
      </c>
    </row>
    <row r="6100" spans="1:4">
      <c r="A6100" s="83" t="s">
        <v>14092</v>
      </c>
      <c r="B6100" s="83" t="s">
        <v>5012</v>
      </c>
      <c r="C6100" s="83" t="s">
        <v>14095</v>
      </c>
      <c r="D6100" s="83" t="s">
        <v>14094</v>
      </c>
    </row>
    <row r="6101" spans="1:4">
      <c r="A6101" s="83" t="s">
        <v>14092</v>
      </c>
      <c r="B6101" s="83" t="s">
        <v>5015</v>
      </c>
      <c r="C6101" s="83" t="s">
        <v>14096</v>
      </c>
      <c r="D6101" s="83" t="s">
        <v>14094</v>
      </c>
    </row>
    <row r="6102" spans="1:4">
      <c r="A6102" s="83" t="s">
        <v>14092</v>
      </c>
      <c r="B6102" s="83" t="s">
        <v>5010</v>
      </c>
      <c r="C6102" s="83" t="s">
        <v>14097</v>
      </c>
      <c r="D6102" s="83" t="s">
        <v>14094</v>
      </c>
    </row>
    <row r="6103" spans="1:4">
      <c r="A6103" s="83" t="s">
        <v>14098</v>
      </c>
      <c r="B6103" s="83" t="s">
        <v>5017</v>
      </c>
      <c r="C6103" s="83" t="s">
        <v>14099</v>
      </c>
      <c r="D6103" s="83" t="s">
        <v>14100</v>
      </c>
    </row>
    <row r="6104" spans="1:4">
      <c r="A6104" s="83" t="s">
        <v>14098</v>
      </c>
      <c r="B6104" s="83" t="s">
        <v>5012</v>
      </c>
      <c r="C6104" s="83" t="s">
        <v>14101</v>
      </c>
      <c r="D6104" s="83" t="s">
        <v>14100</v>
      </c>
    </row>
    <row r="6105" spans="1:4">
      <c r="A6105" s="83" t="s">
        <v>14098</v>
      </c>
      <c r="B6105" s="83" t="s">
        <v>5015</v>
      </c>
      <c r="C6105" s="83" t="s">
        <v>14102</v>
      </c>
      <c r="D6105" s="83" t="s">
        <v>14100</v>
      </c>
    </row>
    <row r="6106" spans="1:4">
      <c r="A6106" s="83" t="s">
        <v>14098</v>
      </c>
      <c r="B6106" s="83" t="s">
        <v>5010</v>
      </c>
      <c r="C6106" s="83" t="s">
        <v>14103</v>
      </c>
      <c r="D6106" s="83" t="s">
        <v>14100</v>
      </c>
    </row>
    <row r="6107" spans="1:4">
      <c r="A6107" s="83" t="s">
        <v>14104</v>
      </c>
      <c r="B6107" s="83" t="s">
        <v>5017</v>
      </c>
      <c r="C6107" s="83" t="s">
        <v>14105</v>
      </c>
      <c r="D6107" s="83" t="s">
        <v>14106</v>
      </c>
    </row>
    <row r="6108" spans="1:4">
      <c r="A6108" s="83" t="s">
        <v>14104</v>
      </c>
      <c r="B6108" s="83" t="s">
        <v>5012</v>
      </c>
      <c r="C6108" s="83" t="s">
        <v>14107</v>
      </c>
      <c r="D6108" s="83" t="s">
        <v>14106</v>
      </c>
    </row>
    <row r="6109" spans="1:4">
      <c r="A6109" s="83" t="s">
        <v>14104</v>
      </c>
      <c r="B6109" s="83" t="s">
        <v>5015</v>
      </c>
      <c r="C6109" s="83" t="s">
        <v>14108</v>
      </c>
      <c r="D6109" s="83" t="s">
        <v>14106</v>
      </c>
    </row>
    <row r="6110" spans="1:4">
      <c r="A6110" s="83" t="s">
        <v>14104</v>
      </c>
      <c r="B6110" s="83" t="s">
        <v>5010</v>
      </c>
      <c r="C6110" s="83" t="s">
        <v>14109</v>
      </c>
      <c r="D6110" s="83" t="s">
        <v>14106</v>
      </c>
    </row>
    <row r="6111" spans="1:4">
      <c r="A6111" s="83" t="s">
        <v>14110</v>
      </c>
      <c r="B6111" s="83" t="s">
        <v>5017</v>
      </c>
      <c r="C6111" s="83" t="s">
        <v>14111</v>
      </c>
      <c r="D6111" s="83" t="s">
        <v>14112</v>
      </c>
    </row>
    <row r="6112" spans="1:4">
      <c r="A6112" s="83" t="s">
        <v>14110</v>
      </c>
      <c r="B6112" s="83" t="s">
        <v>5012</v>
      </c>
      <c r="C6112" s="83" t="s">
        <v>14113</v>
      </c>
      <c r="D6112" s="83" t="s">
        <v>14112</v>
      </c>
    </row>
    <row r="6113" spans="1:4">
      <c r="A6113" s="83" t="s">
        <v>14110</v>
      </c>
      <c r="B6113" s="83" t="s">
        <v>5015</v>
      </c>
      <c r="C6113" s="83" t="s">
        <v>14114</v>
      </c>
      <c r="D6113" s="83" t="s">
        <v>14112</v>
      </c>
    </row>
    <row r="6114" spans="1:4">
      <c r="A6114" s="83" t="s">
        <v>14110</v>
      </c>
      <c r="B6114" s="83" t="s">
        <v>5010</v>
      </c>
      <c r="C6114" s="83" t="s">
        <v>14115</v>
      </c>
      <c r="D6114" s="83" t="s">
        <v>14112</v>
      </c>
    </row>
    <row r="6115" spans="1:4">
      <c r="A6115" s="83" t="s">
        <v>14116</v>
      </c>
      <c r="B6115" s="83" t="s">
        <v>5017</v>
      </c>
      <c r="C6115" s="83" t="s">
        <v>14117</v>
      </c>
      <c r="D6115" s="83" t="s">
        <v>14118</v>
      </c>
    </row>
    <row r="6116" spans="1:4">
      <c r="A6116" s="83" t="s">
        <v>14116</v>
      </c>
      <c r="B6116" s="83" t="s">
        <v>5012</v>
      </c>
      <c r="C6116" s="83" t="s">
        <v>14119</v>
      </c>
      <c r="D6116" s="83" t="s">
        <v>14118</v>
      </c>
    </row>
    <row r="6117" spans="1:4">
      <c r="A6117" s="83" t="s">
        <v>14116</v>
      </c>
      <c r="B6117" s="83" t="s">
        <v>5015</v>
      </c>
      <c r="C6117" s="83" t="s">
        <v>14120</v>
      </c>
      <c r="D6117" s="83" t="s">
        <v>14118</v>
      </c>
    </row>
    <row r="6118" spans="1:4">
      <c r="A6118" s="83" t="s">
        <v>14116</v>
      </c>
      <c r="B6118" s="83" t="s">
        <v>5010</v>
      </c>
      <c r="C6118" s="83" t="s">
        <v>14121</v>
      </c>
      <c r="D6118" s="83" t="s">
        <v>14118</v>
      </c>
    </row>
    <row r="6119" spans="1:4">
      <c r="A6119" s="83" t="s">
        <v>14122</v>
      </c>
      <c r="B6119" s="83" t="s">
        <v>5017</v>
      </c>
      <c r="C6119" s="83" t="s">
        <v>14123</v>
      </c>
      <c r="D6119" s="83" t="s">
        <v>14124</v>
      </c>
    </row>
    <row r="6120" spans="1:4">
      <c r="A6120" s="83" t="s">
        <v>14122</v>
      </c>
      <c r="B6120" s="83" t="s">
        <v>5012</v>
      </c>
      <c r="C6120" s="83" t="s">
        <v>14125</v>
      </c>
      <c r="D6120" s="83" t="s">
        <v>14124</v>
      </c>
    </row>
    <row r="6121" spans="1:4">
      <c r="A6121" s="83" t="s">
        <v>14122</v>
      </c>
      <c r="B6121" s="83" t="s">
        <v>5015</v>
      </c>
      <c r="C6121" s="83" t="s">
        <v>14126</v>
      </c>
      <c r="D6121" s="83" t="s">
        <v>14124</v>
      </c>
    </row>
    <row r="6122" spans="1:4">
      <c r="A6122" s="83" t="s">
        <v>14122</v>
      </c>
      <c r="B6122" s="83" t="s">
        <v>5010</v>
      </c>
      <c r="C6122" s="83" t="s">
        <v>14127</v>
      </c>
      <c r="D6122" s="83" t="s">
        <v>14124</v>
      </c>
    </row>
    <row r="6123" spans="1:4">
      <c r="A6123" s="83" t="s">
        <v>14128</v>
      </c>
      <c r="B6123" s="83" t="s">
        <v>5017</v>
      </c>
      <c r="C6123" s="83" t="s">
        <v>14129</v>
      </c>
      <c r="D6123" s="83" t="s">
        <v>14130</v>
      </c>
    </row>
    <row r="6124" spans="1:4">
      <c r="A6124" s="83" t="s">
        <v>14128</v>
      </c>
      <c r="B6124" s="83" t="s">
        <v>5012</v>
      </c>
      <c r="C6124" s="83" t="s">
        <v>14131</v>
      </c>
      <c r="D6124" s="83" t="s">
        <v>14130</v>
      </c>
    </row>
    <row r="6125" spans="1:4">
      <c r="A6125" s="83" t="s">
        <v>14128</v>
      </c>
      <c r="B6125" s="83" t="s">
        <v>5015</v>
      </c>
      <c r="C6125" s="83" t="s">
        <v>14132</v>
      </c>
      <c r="D6125" s="83" t="s">
        <v>14130</v>
      </c>
    </row>
    <row r="6126" spans="1:4">
      <c r="A6126" s="83" t="s">
        <v>14128</v>
      </c>
      <c r="B6126" s="83" t="s">
        <v>5010</v>
      </c>
      <c r="C6126" s="83" t="s">
        <v>14133</v>
      </c>
      <c r="D6126" s="83" t="s">
        <v>14130</v>
      </c>
    </row>
    <row r="6127" spans="1:4">
      <c r="A6127" s="83" t="s">
        <v>14134</v>
      </c>
      <c r="B6127" s="83" t="s">
        <v>5017</v>
      </c>
      <c r="C6127" s="83" t="s">
        <v>14135</v>
      </c>
      <c r="D6127" s="83" t="s">
        <v>14136</v>
      </c>
    </row>
    <row r="6128" spans="1:4">
      <c r="A6128" s="83" t="s">
        <v>14134</v>
      </c>
      <c r="B6128" s="83" t="s">
        <v>5012</v>
      </c>
      <c r="C6128" s="83" t="s">
        <v>14137</v>
      </c>
      <c r="D6128" s="83" t="s">
        <v>14136</v>
      </c>
    </row>
    <row r="6129" spans="1:4">
      <c r="A6129" s="83" t="s">
        <v>14134</v>
      </c>
      <c r="B6129" s="83" t="s">
        <v>5015</v>
      </c>
      <c r="C6129" s="83" t="s">
        <v>14138</v>
      </c>
      <c r="D6129" s="83" t="s">
        <v>14136</v>
      </c>
    </row>
    <row r="6130" spans="1:4">
      <c r="A6130" s="83" t="s">
        <v>14134</v>
      </c>
      <c r="B6130" s="83" t="s">
        <v>5010</v>
      </c>
      <c r="C6130" s="83" t="s">
        <v>14139</v>
      </c>
      <c r="D6130" s="83" t="s">
        <v>14136</v>
      </c>
    </row>
    <row r="6131" spans="1:4">
      <c r="A6131" s="83" t="s">
        <v>14140</v>
      </c>
      <c r="B6131" s="83" t="s">
        <v>5017</v>
      </c>
      <c r="C6131" s="83" t="s">
        <v>14141</v>
      </c>
      <c r="D6131" s="83" t="s">
        <v>14142</v>
      </c>
    </row>
    <row r="6132" spans="1:4">
      <c r="A6132" s="83" t="s">
        <v>14140</v>
      </c>
      <c r="B6132" s="83" t="s">
        <v>5012</v>
      </c>
      <c r="C6132" s="83" t="s">
        <v>14143</v>
      </c>
      <c r="D6132" s="83" t="s">
        <v>14142</v>
      </c>
    </row>
    <row r="6133" spans="1:4">
      <c r="A6133" s="83" t="s">
        <v>14140</v>
      </c>
      <c r="B6133" s="83" t="s">
        <v>5015</v>
      </c>
      <c r="C6133" s="83" t="s">
        <v>14144</v>
      </c>
      <c r="D6133" s="83" t="s">
        <v>14142</v>
      </c>
    </row>
    <row r="6134" spans="1:4">
      <c r="A6134" s="83" t="s">
        <v>14140</v>
      </c>
      <c r="B6134" s="83" t="s">
        <v>5010</v>
      </c>
      <c r="C6134" s="83" t="s">
        <v>14145</v>
      </c>
      <c r="D6134" s="83" t="s">
        <v>14142</v>
      </c>
    </row>
    <row r="6135" spans="1:4">
      <c r="A6135" s="83" t="s">
        <v>14146</v>
      </c>
      <c r="B6135" s="83" t="s">
        <v>5017</v>
      </c>
      <c r="C6135" s="83" t="s">
        <v>14147</v>
      </c>
      <c r="D6135" s="83" t="s">
        <v>14148</v>
      </c>
    </row>
    <row r="6136" spans="1:4">
      <c r="A6136" s="83" t="s">
        <v>14146</v>
      </c>
      <c r="B6136" s="83" t="s">
        <v>5012</v>
      </c>
      <c r="C6136" s="83" t="s">
        <v>14149</v>
      </c>
      <c r="D6136" s="83" t="s">
        <v>14148</v>
      </c>
    </row>
    <row r="6137" spans="1:4">
      <c r="A6137" s="83" t="s">
        <v>14146</v>
      </c>
      <c r="B6137" s="83" t="s">
        <v>5015</v>
      </c>
      <c r="C6137" s="83" t="s">
        <v>14150</v>
      </c>
      <c r="D6137" s="83" t="s">
        <v>14148</v>
      </c>
    </row>
    <row r="6138" spans="1:4">
      <c r="A6138" s="83" t="s">
        <v>14146</v>
      </c>
      <c r="B6138" s="83" t="s">
        <v>5010</v>
      </c>
      <c r="C6138" s="83" t="s">
        <v>14151</v>
      </c>
      <c r="D6138" s="83" t="s">
        <v>14148</v>
      </c>
    </row>
    <row r="6139" spans="1:4">
      <c r="A6139" s="83" t="s">
        <v>14152</v>
      </c>
      <c r="B6139" s="83" t="s">
        <v>5017</v>
      </c>
      <c r="C6139" s="83" t="s">
        <v>14153</v>
      </c>
      <c r="D6139" s="83" t="s">
        <v>14154</v>
      </c>
    </row>
    <row r="6140" spans="1:4">
      <c r="A6140" s="83" t="s">
        <v>14152</v>
      </c>
      <c r="B6140" s="83" t="s">
        <v>5012</v>
      </c>
      <c r="C6140" s="83" t="s">
        <v>14155</v>
      </c>
      <c r="D6140" s="83" t="s">
        <v>14154</v>
      </c>
    </row>
    <row r="6141" spans="1:4">
      <c r="A6141" s="83" t="s">
        <v>14152</v>
      </c>
      <c r="B6141" s="83" t="s">
        <v>5015</v>
      </c>
      <c r="C6141" s="83" t="s">
        <v>14156</v>
      </c>
      <c r="D6141" s="83" t="s">
        <v>14154</v>
      </c>
    </row>
    <row r="6142" spans="1:4">
      <c r="A6142" s="83" t="s">
        <v>14152</v>
      </c>
      <c r="B6142" s="83" t="s">
        <v>5010</v>
      </c>
      <c r="C6142" s="83" t="s">
        <v>14157</v>
      </c>
      <c r="D6142" s="83" t="s">
        <v>14154</v>
      </c>
    </row>
    <row r="6143" spans="1:4">
      <c r="A6143" s="83" t="s">
        <v>14158</v>
      </c>
      <c r="B6143" s="83" t="s">
        <v>5017</v>
      </c>
      <c r="C6143" s="83" t="s">
        <v>14159</v>
      </c>
      <c r="D6143" s="83" t="s">
        <v>14160</v>
      </c>
    </row>
    <row r="6144" spans="1:4">
      <c r="A6144" s="83" t="s">
        <v>14158</v>
      </c>
      <c r="B6144" s="83" t="s">
        <v>5012</v>
      </c>
      <c r="C6144" s="83" t="s">
        <v>14161</v>
      </c>
      <c r="D6144" s="83" t="s">
        <v>14160</v>
      </c>
    </row>
    <row r="6145" spans="1:4">
      <c r="A6145" s="83" t="s">
        <v>14158</v>
      </c>
      <c r="B6145" s="83" t="s">
        <v>5015</v>
      </c>
      <c r="C6145" s="83" t="s">
        <v>14162</v>
      </c>
      <c r="D6145" s="83" t="s">
        <v>14160</v>
      </c>
    </row>
    <row r="6146" spans="1:4">
      <c r="A6146" s="83" t="s">
        <v>14158</v>
      </c>
      <c r="B6146" s="83" t="s">
        <v>5010</v>
      </c>
      <c r="C6146" s="83" t="s">
        <v>14163</v>
      </c>
      <c r="D6146" s="83" t="s">
        <v>14160</v>
      </c>
    </row>
    <row r="6147" spans="1:4">
      <c r="A6147" s="83" t="s">
        <v>14164</v>
      </c>
      <c r="B6147" s="83" t="s">
        <v>5017</v>
      </c>
      <c r="C6147" s="83" t="s">
        <v>14165</v>
      </c>
      <c r="D6147" s="83" t="s">
        <v>14166</v>
      </c>
    </row>
    <row r="6148" spans="1:4">
      <c r="A6148" s="83" t="s">
        <v>14164</v>
      </c>
      <c r="B6148" s="83" t="s">
        <v>5012</v>
      </c>
      <c r="C6148" s="83" t="s">
        <v>14167</v>
      </c>
      <c r="D6148" s="83" t="s">
        <v>14166</v>
      </c>
    </row>
    <row r="6149" spans="1:4">
      <c r="A6149" s="83" t="s">
        <v>14164</v>
      </c>
      <c r="B6149" s="83" t="s">
        <v>5015</v>
      </c>
      <c r="C6149" s="83" t="s">
        <v>14168</v>
      </c>
      <c r="D6149" s="83" t="s">
        <v>14166</v>
      </c>
    </row>
    <row r="6150" spans="1:4">
      <c r="A6150" s="83" t="s">
        <v>14164</v>
      </c>
      <c r="B6150" s="83" t="s">
        <v>5010</v>
      </c>
      <c r="C6150" s="83" t="s">
        <v>14169</v>
      </c>
      <c r="D6150" s="83" t="s">
        <v>14166</v>
      </c>
    </row>
    <row r="6151" spans="1:4">
      <c r="A6151" s="83" t="s">
        <v>14170</v>
      </c>
      <c r="B6151" s="83" t="s">
        <v>5017</v>
      </c>
      <c r="C6151" s="83" t="s">
        <v>14171</v>
      </c>
      <c r="D6151" s="83" t="s">
        <v>14172</v>
      </c>
    </row>
    <row r="6152" spans="1:4">
      <c r="A6152" s="83" t="s">
        <v>14170</v>
      </c>
      <c r="B6152" s="83" t="s">
        <v>5012</v>
      </c>
      <c r="C6152" s="83" t="s">
        <v>14173</v>
      </c>
      <c r="D6152" s="83" t="s">
        <v>14172</v>
      </c>
    </row>
    <row r="6153" spans="1:4">
      <c r="A6153" s="83" t="s">
        <v>14170</v>
      </c>
      <c r="B6153" s="83" t="s">
        <v>5015</v>
      </c>
      <c r="C6153" s="83" t="s">
        <v>14174</v>
      </c>
      <c r="D6153" s="83" t="s">
        <v>14172</v>
      </c>
    </row>
    <row r="6154" spans="1:4">
      <c r="A6154" s="83" t="s">
        <v>14170</v>
      </c>
      <c r="B6154" s="83" t="s">
        <v>5010</v>
      </c>
      <c r="C6154" s="83" t="s">
        <v>14175</v>
      </c>
      <c r="D6154" s="83" t="s">
        <v>14172</v>
      </c>
    </row>
    <row r="6155" spans="1:4">
      <c r="A6155" s="83" t="s">
        <v>14176</v>
      </c>
      <c r="B6155" s="83" t="s">
        <v>5017</v>
      </c>
      <c r="C6155" s="83" t="s">
        <v>14177</v>
      </c>
      <c r="D6155" s="83" t="s">
        <v>14178</v>
      </c>
    </row>
    <row r="6156" spans="1:4">
      <c r="A6156" s="83" t="s">
        <v>14176</v>
      </c>
      <c r="B6156" s="83" t="s">
        <v>5012</v>
      </c>
      <c r="C6156" s="83" t="s">
        <v>14179</v>
      </c>
      <c r="D6156" s="83" t="s">
        <v>14178</v>
      </c>
    </row>
    <row r="6157" spans="1:4">
      <c r="A6157" s="83" t="s">
        <v>14176</v>
      </c>
      <c r="B6157" s="83" t="s">
        <v>5015</v>
      </c>
      <c r="C6157" s="83" t="s">
        <v>14180</v>
      </c>
      <c r="D6157" s="83" t="s">
        <v>14178</v>
      </c>
    </row>
    <row r="6158" spans="1:4">
      <c r="A6158" s="83" t="s">
        <v>14176</v>
      </c>
      <c r="B6158" s="83" t="s">
        <v>5010</v>
      </c>
      <c r="C6158" s="83" t="s">
        <v>14181</v>
      </c>
      <c r="D6158" s="83" t="s">
        <v>14178</v>
      </c>
    </row>
    <row r="6159" spans="1:4">
      <c r="A6159" s="83" t="s">
        <v>14182</v>
      </c>
      <c r="B6159" s="83" t="s">
        <v>5017</v>
      </c>
      <c r="C6159" s="83" t="s">
        <v>14183</v>
      </c>
      <c r="D6159" s="83" t="s">
        <v>14184</v>
      </c>
    </row>
    <row r="6160" spans="1:4">
      <c r="A6160" s="83" t="s">
        <v>14182</v>
      </c>
      <c r="B6160" s="83" t="s">
        <v>5012</v>
      </c>
      <c r="C6160" s="83" t="s">
        <v>14185</v>
      </c>
      <c r="D6160" s="83" t="s">
        <v>14184</v>
      </c>
    </row>
    <row r="6161" spans="1:4">
      <c r="A6161" s="83" t="s">
        <v>14182</v>
      </c>
      <c r="B6161" s="83" t="s">
        <v>5015</v>
      </c>
      <c r="C6161" s="83" t="s">
        <v>14186</v>
      </c>
      <c r="D6161" s="83" t="s">
        <v>14184</v>
      </c>
    </row>
    <row r="6162" spans="1:4">
      <c r="A6162" s="83" t="s">
        <v>14182</v>
      </c>
      <c r="B6162" s="83" t="s">
        <v>5010</v>
      </c>
      <c r="C6162" s="83" t="s">
        <v>14187</v>
      </c>
      <c r="D6162" s="83" t="s">
        <v>14184</v>
      </c>
    </row>
    <row r="6163" spans="1:4">
      <c r="A6163" s="83" t="s">
        <v>14188</v>
      </c>
      <c r="B6163" s="83" t="s">
        <v>5017</v>
      </c>
      <c r="C6163" s="83" t="s">
        <v>14189</v>
      </c>
      <c r="D6163" s="83" t="s">
        <v>14190</v>
      </c>
    </row>
    <row r="6164" spans="1:4">
      <c r="A6164" s="83" t="s">
        <v>14188</v>
      </c>
      <c r="B6164" s="83" t="s">
        <v>5012</v>
      </c>
      <c r="C6164" s="83" t="s">
        <v>14191</v>
      </c>
      <c r="D6164" s="83" t="s">
        <v>14190</v>
      </c>
    </row>
    <row r="6165" spans="1:4">
      <c r="A6165" s="83" t="s">
        <v>14188</v>
      </c>
      <c r="B6165" s="83" t="s">
        <v>5015</v>
      </c>
      <c r="C6165" s="83" t="s">
        <v>14192</v>
      </c>
      <c r="D6165" s="83" t="s">
        <v>14190</v>
      </c>
    </row>
    <row r="6166" spans="1:4">
      <c r="A6166" s="83" t="s">
        <v>14188</v>
      </c>
      <c r="B6166" s="83" t="s">
        <v>5010</v>
      </c>
      <c r="C6166" s="83" t="s">
        <v>14193</v>
      </c>
      <c r="D6166" s="83" t="s">
        <v>14190</v>
      </c>
    </row>
    <row r="6167" spans="1:4">
      <c r="A6167" s="83" t="s">
        <v>14194</v>
      </c>
      <c r="B6167" s="83" t="s">
        <v>5017</v>
      </c>
      <c r="C6167" s="83" t="s">
        <v>14195</v>
      </c>
      <c r="D6167" s="83" t="s">
        <v>14196</v>
      </c>
    </row>
    <row r="6168" spans="1:4">
      <c r="A6168" s="83" t="s">
        <v>14194</v>
      </c>
      <c r="B6168" s="83" t="s">
        <v>5012</v>
      </c>
      <c r="C6168" s="83" t="s">
        <v>14197</v>
      </c>
      <c r="D6168" s="83" t="s">
        <v>14196</v>
      </c>
    </row>
    <row r="6169" spans="1:4">
      <c r="A6169" s="83" t="s">
        <v>14194</v>
      </c>
      <c r="B6169" s="83" t="s">
        <v>5015</v>
      </c>
      <c r="C6169" s="83" t="s">
        <v>14198</v>
      </c>
      <c r="D6169" s="83" t="s">
        <v>14196</v>
      </c>
    </row>
    <row r="6170" spans="1:4">
      <c r="A6170" s="83" t="s">
        <v>14194</v>
      </c>
      <c r="B6170" s="83" t="s">
        <v>5010</v>
      </c>
      <c r="C6170" s="83" t="s">
        <v>14199</v>
      </c>
      <c r="D6170" s="83" t="s">
        <v>14196</v>
      </c>
    </row>
    <row r="6171" spans="1:4">
      <c r="A6171" s="83" t="s">
        <v>14200</v>
      </c>
      <c r="B6171" s="83" t="s">
        <v>5017</v>
      </c>
      <c r="C6171" s="83" t="s">
        <v>14201</v>
      </c>
      <c r="D6171" s="83" t="s">
        <v>14202</v>
      </c>
    </row>
    <row r="6172" spans="1:4">
      <c r="A6172" s="83" t="s">
        <v>14200</v>
      </c>
      <c r="B6172" s="83" t="s">
        <v>5012</v>
      </c>
      <c r="C6172" s="83" t="s">
        <v>14203</v>
      </c>
      <c r="D6172" s="83" t="s">
        <v>14202</v>
      </c>
    </row>
    <row r="6173" spans="1:4">
      <c r="A6173" s="83" t="s">
        <v>14200</v>
      </c>
      <c r="B6173" s="83" t="s">
        <v>5015</v>
      </c>
      <c r="C6173" s="83" t="s">
        <v>14204</v>
      </c>
      <c r="D6173" s="83" t="s">
        <v>14202</v>
      </c>
    </row>
    <row r="6174" spans="1:4">
      <c r="A6174" s="83" t="s">
        <v>14200</v>
      </c>
      <c r="B6174" s="83" t="s">
        <v>5010</v>
      </c>
      <c r="C6174" s="83" t="s">
        <v>14205</v>
      </c>
      <c r="D6174" s="83" t="s">
        <v>14202</v>
      </c>
    </row>
    <row r="6175" spans="1:4">
      <c r="A6175" s="83" t="s">
        <v>14206</v>
      </c>
      <c r="B6175" s="83" t="s">
        <v>5017</v>
      </c>
      <c r="C6175" s="83" t="s">
        <v>14207</v>
      </c>
      <c r="D6175" s="83" t="s">
        <v>14208</v>
      </c>
    </row>
    <row r="6176" spans="1:4">
      <c r="A6176" s="83" t="s">
        <v>14206</v>
      </c>
      <c r="B6176" s="83" t="s">
        <v>5012</v>
      </c>
      <c r="C6176" s="83" t="s">
        <v>14209</v>
      </c>
      <c r="D6176" s="83" t="s">
        <v>14208</v>
      </c>
    </row>
    <row r="6177" spans="1:4">
      <c r="A6177" s="83" t="s">
        <v>14206</v>
      </c>
      <c r="B6177" s="83" t="s">
        <v>5015</v>
      </c>
      <c r="C6177" s="83" t="s">
        <v>14210</v>
      </c>
      <c r="D6177" s="83" t="s">
        <v>14208</v>
      </c>
    </row>
    <row r="6178" spans="1:4">
      <c r="A6178" s="83" t="s">
        <v>14206</v>
      </c>
      <c r="B6178" s="83" t="s">
        <v>5010</v>
      </c>
      <c r="C6178" s="83" t="s">
        <v>14211</v>
      </c>
      <c r="D6178" s="83" t="s">
        <v>14208</v>
      </c>
    </row>
    <row r="6179" spans="1:4">
      <c r="A6179" s="83" t="s">
        <v>14212</v>
      </c>
      <c r="B6179" s="83" t="s">
        <v>5017</v>
      </c>
      <c r="C6179" s="83" t="s">
        <v>14213</v>
      </c>
      <c r="D6179" s="83" t="s">
        <v>14214</v>
      </c>
    </row>
    <row r="6180" spans="1:4">
      <c r="A6180" s="83" t="s">
        <v>14212</v>
      </c>
      <c r="B6180" s="83" t="s">
        <v>5012</v>
      </c>
      <c r="C6180" s="83" t="s">
        <v>14215</v>
      </c>
      <c r="D6180" s="83" t="s">
        <v>14214</v>
      </c>
    </row>
    <row r="6181" spans="1:4">
      <c r="A6181" s="83" t="s">
        <v>14212</v>
      </c>
      <c r="B6181" s="83" t="s">
        <v>5015</v>
      </c>
      <c r="C6181" s="83" t="s">
        <v>14216</v>
      </c>
      <c r="D6181" s="83" t="s">
        <v>14214</v>
      </c>
    </row>
    <row r="6182" spans="1:4">
      <c r="A6182" s="83" t="s">
        <v>14212</v>
      </c>
      <c r="B6182" s="83" t="s">
        <v>5010</v>
      </c>
      <c r="C6182" s="83" t="s">
        <v>14217</v>
      </c>
      <c r="D6182" s="83" t="s">
        <v>14214</v>
      </c>
    </row>
    <row r="6183" spans="1:4">
      <c r="A6183" s="83" t="s">
        <v>14218</v>
      </c>
      <c r="B6183" s="83" t="s">
        <v>5017</v>
      </c>
      <c r="C6183" s="83" t="s">
        <v>14219</v>
      </c>
      <c r="D6183" s="83" t="s">
        <v>14220</v>
      </c>
    </row>
    <row r="6184" spans="1:4">
      <c r="A6184" s="83" t="s">
        <v>14218</v>
      </c>
      <c r="B6184" s="83" t="s">
        <v>5012</v>
      </c>
      <c r="C6184" s="83" t="s">
        <v>14221</v>
      </c>
      <c r="D6184" s="83" t="s">
        <v>14220</v>
      </c>
    </row>
    <row r="6185" spans="1:4">
      <c r="A6185" s="83" t="s">
        <v>14218</v>
      </c>
      <c r="B6185" s="83" t="s">
        <v>5015</v>
      </c>
      <c r="C6185" s="83" t="s">
        <v>14222</v>
      </c>
      <c r="D6185" s="83" t="s">
        <v>14220</v>
      </c>
    </row>
    <row r="6186" spans="1:4">
      <c r="A6186" s="83" t="s">
        <v>14218</v>
      </c>
      <c r="B6186" s="83" t="s">
        <v>5010</v>
      </c>
      <c r="C6186" s="83" t="s">
        <v>14223</v>
      </c>
      <c r="D6186" s="83" t="s">
        <v>14220</v>
      </c>
    </row>
    <row r="6187" spans="1:4">
      <c r="A6187" s="83" t="s">
        <v>14224</v>
      </c>
      <c r="B6187" s="83" t="s">
        <v>5017</v>
      </c>
      <c r="C6187" s="83" t="s">
        <v>14225</v>
      </c>
      <c r="D6187" s="83" t="s">
        <v>14226</v>
      </c>
    </row>
    <row r="6188" spans="1:4">
      <c r="A6188" s="83" t="s">
        <v>14224</v>
      </c>
      <c r="B6188" s="83" t="s">
        <v>5012</v>
      </c>
      <c r="C6188" s="83" t="s">
        <v>14227</v>
      </c>
      <c r="D6188" s="83" t="s">
        <v>14226</v>
      </c>
    </row>
    <row r="6189" spans="1:4">
      <c r="A6189" s="83" t="s">
        <v>14224</v>
      </c>
      <c r="B6189" s="83" t="s">
        <v>5015</v>
      </c>
      <c r="C6189" s="83" t="s">
        <v>14228</v>
      </c>
      <c r="D6189" s="83" t="s">
        <v>14226</v>
      </c>
    </row>
    <row r="6190" spans="1:4">
      <c r="A6190" s="83" t="s">
        <v>14224</v>
      </c>
      <c r="B6190" s="83" t="s">
        <v>5010</v>
      </c>
      <c r="C6190" s="83" t="s">
        <v>14229</v>
      </c>
      <c r="D6190" s="83" t="s">
        <v>14226</v>
      </c>
    </row>
    <row r="6191" spans="1:4">
      <c r="A6191" s="83" t="s">
        <v>14230</v>
      </c>
      <c r="B6191" s="83" t="s">
        <v>5017</v>
      </c>
      <c r="C6191" s="83" t="s">
        <v>14231</v>
      </c>
      <c r="D6191" s="83" t="s">
        <v>14232</v>
      </c>
    </row>
    <row r="6192" spans="1:4">
      <c r="A6192" s="83" t="s">
        <v>14230</v>
      </c>
      <c r="B6192" s="83" t="s">
        <v>5012</v>
      </c>
      <c r="C6192" s="83" t="s">
        <v>14233</v>
      </c>
      <c r="D6192" s="83" t="s">
        <v>14232</v>
      </c>
    </row>
    <row r="6193" spans="1:4">
      <c r="A6193" s="83" t="s">
        <v>14230</v>
      </c>
      <c r="B6193" s="83" t="s">
        <v>5015</v>
      </c>
      <c r="C6193" s="83" t="s">
        <v>14234</v>
      </c>
      <c r="D6193" s="83" t="s">
        <v>14232</v>
      </c>
    </row>
    <row r="6194" spans="1:4">
      <c r="A6194" s="83" t="s">
        <v>14230</v>
      </c>
      <c r="B6194" s="83" t="s">
        <v>5010</v>
      </c>
      <c r="C6194" s="83" t="s">
        <v>14235</v>
      </c>
      <c r="D6194" s="83" t="s">
        <v>14232</v>
      </c>
    </row>
    <row r="6195" spans="1:4">
      <c r="A6195" s="83" t="s">
        <v>14236</v>
      </c>
      <c r="B6195" s="83" t="s">
        <v>5017</v>
      </c>
      <c r="C6195" s="83" t="s">
        <v>14237</v>
      </c>
      <c r="D6195" s="83" t="s">
        <v>14238</v>
      </c>
    </row>
    <row r="6196" spans="1:4">
      <c r="A6196" s="83" t="s">
        <v>14236</v>
      </c>
      <c r="B6196" s="83" t="s">
        <v>5012</v>
      </c>
      <c r="C6196" s="83" t="s">
        <v>14239</v>
      </c>
      <c r="D6196" s="83" t="s">
        <v>14238</v>
      </c>
    </row>
    <row r="6197" spans="1:4">
      <c r="A6197" s="83" t="s">
        <v>14236</v>
      </c>
      <c r="B6197" s="83" t="s">
        <v>5015</v>
      </c>
      <c r="C6197" s="83" t="s">
        <v>14240</v>
      </c>
      <c r="D6197" s="83" t="s">
        <v>14238</v>
      </c>
    </row>
    <row r="6198" spans="1:4">
      <c r="A6198" s="83" t="s">
        <v>14236</v>
      </c>
      <c r="B6198" s="83" t="s">
        <v>5010</v>
      </c>
      <c r="C6198" s="83" t="s">
        <v>14241</v>
      </c>
      <c r="D6198" s="83" t="s">
        <v>14238</v>
      </c>
    </row>
    <row r="6199" spans="1:4">
      <c r="A6199" s="83" t="s">
        <v>14242</v>
      </c>
      <c r="B6199" s="83" t="s">
        <v>5017</v>
      </c>
      <c r="C6199" s="83" t="s">
        <v>14243</v>
      </c>
      <c r="D6199" s="83" t="s">
        <v>14244</v>
      </c>
    </row>
    <row r="6200" spans="1:4">
      <c r="A6200" s="83" t="s">
        <v>14242</v>
      </c>
      <c r="B6200" s="83" t="s">
        <v>5012</v>
      </c>
      <c r="C6200" s="83" t="s">
        <v>14245</v>
      </c>
      <c r="D6200" s="83" t="s">
        <v>14244</v>
      </c>
    </row>
    <row r="6201" spans="1:4">
      <c r="A6201" s="83" t="s">
        <v>14242</v>
      </c>
      <c r="B6201" s="83" t="s">
        <v>5015</v>
      </c>
      <c r="C6201" s="83" t="s">
        <v>14246</v>
      </c>
      <c r="D6201" s="83" t="s">
        <v>14244</v>
      </c>
    </row>
    <row r="6202" spans="1:4">
      <c r="A6202" s="83" t="s">
        <v>14242</v>
      </c>
      <c r="B6202" s="83" t="s">
        <v>5010</v>
      </c>
      <c r="C6202" s="83" t="s">
        <v>14247</v>
      </c>
      <c r="D6202" s="83" t="s">
        <v>14244</v>
      </c>
    </row>
    <row r="6203" spans="1:4">
      <c r="A6203" s="83" t="s">
        <v>14248</v>
      </c>
      <c r="B6203" s="83" t="s">
        <v>5017</v>
      </c>
      <c r="C6203" s="83" t="s">
        <v>14249</v>
      </c>
      <c r="D6203" s="83" t="s">
        <v>14250</v>
      </c>
    </row>
    <row r="6204" spans="1:4">
      <c r="A6204" s="83" t="s">
        <v>14248</v>
      </c>
      <c r="B6204" s="83" t="s">
        <v>5012</v>
      </c>
      <c r="C6204" s="83" t="s">
        <v>14251</v>
      </c>
      <c r="D6204" s="83" t="s">
        <v>14250</v>
      </c>
    </row>
    <row r="6205" spans="1:4">
      <c r="A6205" s="83" t="s">
        <v>14248</v>
      </c>
      <c r="B6205" s="83" t="s">
        <v>5015</v>
      </c>
      <c r="C6205" s="83" t="s">
        <v>14252</v>
      </c>
      <c r="D6205" s="83" t="s">
        <v>14250</v>
      </c>
    </row>
    <row r="6206" spans="1:4">
      <c r="A6206" s="83" t="s">
        <v>14248</v>
      </c>
      <c r="B6206" s="83" t="s">
        <v>5010</v>
      </c>
      <c r="C6206" s="83" t="s">
        <v>14253</v>
      </c>
      <c r="D6206" s="83" t="s">
        <v>14250</v>
      </c>
    </row>
    <row r="6207" spans="1:4">
      <c r="A6207" s="83" t="s">
        <v>14254</v>
      </c>
      <c r="B6207" s="83" t="s">
        <v>5017</v>
      </c>
      <c r="C6207" s="83" t="s">
        <v>14255</v>
      </c>
      <c r="D6207" s="83" t="s">
        <v>14256</v>
      </c>
    </row>
    <row r="6208" spans="1:4">
      <c r="A6208" s="83" t="s">
        <v>14254</v>
      </c>
      <c r="B6208" s="83" t="s">
        <v>5012</v>
      </c>
      <c r="C6208" s="83" t="s">
        <v>14257</v>
      </c>
      <c r="D6208" s="83" t="s">
        <v>14256</v>
      </c>
    </row>
    <row r="6209" spans="1:4">
      <c r="A6209" s="83" t="s">
        <v>14254</v>
      </c>
      <c r="B6209" s="83" t="s">
        <v>5015</v>
      </c>
      <c r="C6209" s="83" t="s">
        <v>14258</v>
      </c>
      <c r="D6209" s="83" t="s">
        <v>14256</v>
      </c>
    </row>
    <row r="6210" spans="1:4">
      <c r="A6210" s="83" t="s">
        <v>14254</v>
      </c>
      <c r="B6210" s="83" t="s">
        <v>5010</v>
      </c>
      <c r="C6210" s="83" t="s">
        <v>14259</v>
      </c>
      <c r="D6210" s="83" t="s">
        <v>14256</v>
      </c>
    </row>
    <row r="6211" spans="1:4">
      <c r="A6211" s="83" t="s">
        <v>14260</v>
      </c>
      <c r="B6211" s="83" t="s">
        <v>5017</v>
      </c>
      <c r="C6211" s="83" t="s">
        <v>14261</v>
      </c>
      <c r="D6211" s="83" t="s">
        <v>14262</v>
      </c>
    </row>
    <row r="6212" spans="1:4">
      <c r="A6212" s="83" t="s">
        <v>14260</v>
      </c>
      <c r="B6212" s="83" t="s">
        <v>5012</v>
      </c>
      <c r="C6212" s="83" t="s">
        <v>14263</v>
      </c>
      <c r="D6212" s="83" t="s">
        <v>14262</v>
      </c>
    </row>
    <row r="6213" spans="1:4">
      <c r="A6213" s="83" t="s">
        <v>14260</v>
      </c>
      <c r="B6213" s="83" t="s">
        <v>5015</v>
      </c>
      <c r="C6213" s="83" t="s">
        <v>14264</v>
      </c>
      <c r="D6213" s="83" t="s">
        <v>14262</v>
      </c>
    </row>
    <row r="6214" spans="1:4">
      <c r="A6214" s="83" t="s">
        <v>14260</v>
      </c>
      <c r="B6214" s="83" t="s">
        <v>5010</v>
      </c>
      <c r="C6214" s="83" t="s">
        <v>14265</v>
      </c>
      <c r="D6214" s="83" t="s">
        <v>14262</v>
      </c>
    </row>
    <row r="6215" spans="1:4">
      <c r="A6215" s="83" t="s">
        <v>14266</v>
      </c>
      <c r="B6215" s="83" t="s">
        <v>5017</v>
      </c>
      <c r="C6215" s="83" t="s">
        <v>14267</v>
      </c>
      <c r="D6215" s="83" t="s">
        <v>14268</v>
      </c>
    </row>
    <row r="6216" spans="1:4">
      <c r="A6216" s="83" t="s">
        <v>14266</v>
      </c>
      <c r="B6216" s="83" t="s">
        <v>5012</v>
      </c>
      <c r="C6216" s="83" t="s">
        <v>14269</v>
      </c>
      <c r="D6216" s="83" t="s">
        <v>14268</v>
      </c>
    </row>
    <row r="6217" spans="1:4">
      <c r="A6217" s="83" t="s">
        <v>14266</v>
      </c>
      <c r="B6217" s="83" t="s">
        <v>5015</v>
      </c>
      <c r="C6217" s="83" t="s">
        <v>14270</v>
      </c>
      <c r="D6217" s="83" t="s">
        <v>14268</v>
      </c>
    </row>
    <row r="6218" spans="1:4">
      <c r="A6218" s="83" t="s">
        <v>14266</v>
      </c>
      <c r="B6218" s="83" t="s">
        <v>5010</v>
      </c>
      <c r="C6218" s="83" t="s">
        <v>14271</v>
      </c>
      <c r="D6218" s="83" t="s">
        <v>14268</v>
      </c>
    </row>
    <row r="6219" spans="1:4">
      <c r="A6219" s="83" t="s">
        <v>14272</v>
      </c>
      <c r="B6219" s="83" t="s">
        <v>5017</v>
      </c>
      <c r="C6219" s="83" t="s">
        <v>14273</v>
      </c>
      <c r="D6219" s="83" t="s">
        <v>14274</v>
      </c>
    </row>
    <row r="6220" spans="1:4">
      <c r="A6220" s="83" t="s">
        <v>14272</v>
      </c>
      <c r="B6220" s="83" t="s">
        <v>5012</v>
      </c>
      <c r="C6220" s="83" t="s">
        <v>14275</v>
      </c>
      <c r="D6220" s="83" t="s">
        <v>14274</v>
      </c>
    </row>
    <row r="6221" spans="1:4">
      <c r="A6221" s="83" t="s">
        <v>14272</v>
      </c>
      <c r="B6221" s="83" t="s">
        <v>5015</v>
      </c>
      <c r="C6221" s="83" t="s">
        <v>14276</v>
      </c>
      <c r="D6221" s="83" t="s">
        <v>14274</v>
      </c>
    </row>
    <row r="6222" spans="1:4">
      <c r="A6222" s="83" t="s">
        <v>14272</v>
      </c>
      <c r="B6222" s="83" t="s">
        <v>5010</v>
      </c>
      <c r="C6222" s="83" t="s">
        <v>14277</v>
      </c>
      <c r="D6222" s="83" t="s">
        <v>14274</v>
      </c>
    </row>
    <row r="6223" spans="1:4">
      <c r="A6223" s="83" t="s">
        <v>14278</v>
      </c>
      <c r="B6223" s="83" t="s">
        <v>5017</v>
      </c>
      <c r="C6223" s="83" t="s">
        <v>14279</v>
      </c>
      <c r="D6223" s="83" t="s">
        <v>14280</v>
      </c>
    </row>
    <row r="6224" spans="1:4">
      <c r="A6224" s="83" t="s">
        <v>14278</v>
      </c>
      <c r="B6224" s="83" t="s">
        <v>5012</v>
      </c>
      <c r="C6224" s="83" t="s">
        <v>14281</v>
      </c>
      <c r="D6224" s="83" t="s">
        <v>14280</v>
      </c>
    </row>
    <row r="6225" spans="1:4">
      <c r="A6225" s="83" t="s">
        <v>14278</v>
      </c>
      <c r="B6225" s="83" t="s">
        <v>5015</v>
      </c>
      <c r="C6225" s="83" t="s">
        <v>14282</v>
      </c>
      <c r="D6225" s="83" t="s">
        <v>14280</v>
      </c>
    </row>
    <row r="6226" spans="1:4">
      <c r="A6226" s="83" t="s">
        <v>14278</v>
      </c>
      <c r="B6226" s="83" t="s">
        <v>5010</v>
      </c>
      <c r="C6226" s="83" t="s">
        <v>14283</v>
      </c>
      <c r="D6226" s="83" t="s">
        <v>14280</v>
      </c>
    </row>
    <row r="6227" spans="1:4">
      <c r="A6227" s="83" t="s">
        <v>14284</v>
      </c>
      <c r="B6227" s="83" t="s">
        <v>5017</v>
      </c>
      <c r="C6227" s="83" t="s">
        <v>14285</v>
      </c>
      <c r="D6227" s="83" t="s">
        <v>14286</v>
      </c>
    </row>
    <row r="6228" spans="1:4">
      <c r="A6228" s="83" t="s">
        <v>14284</v>
      </c>
      <c r="B6228" s="83" t="s">
        <v>5012</v>
      </c>
      <c r="C6228" s="83" t="s">
        <v>14287</v>
      </c>
      <c r="D6228" s="83" t="s">
        <v>14286</v>
      </c>
    </row>
    <row r="6229" spans="1:4">
      <c r="A6229" s="83" t="s">
        <v>14284</v>
      </c>
      <c r="B6229" s="83" t="s">
        <v>5015</v>
      </c>
      <c r="C6229" s="83" t="s">
        <v>14288</v>
      </c>
      <c r="D6229" s="83" t="s">
        <v>14286</v>
      </c>
    </row>
    <row r="6230" spans="1:4">
      <c r="A6230" s="83" t="s">
        <v>14284</v>
      </c>
      <c r="B6230" s="83" t="s">
        <v>5010</v>
      </c>
      <c r="C6230" s="83" t="s">
        <v>14289</v>
      </c>
      <c r="D6230" s="83" t="s">
        <v>14286</v>
      </c>
    </row>
    <row r="6231" spans="1:4">
      <c r="A6231" s="83" t="s">
        <v>14290</v>
      </c>
      <c r="B6231" s="83" t="s">
        <v>5017</v>
      </c>
      <c r="C6231" s="83" t="s">
        <v>14291</v>
      </c>
      <c r="D6231" s="83" t="s">
        <v>14292</v>
      </c>
    </row>
    <row r="6232" spans="1:4">
      <c r="A6232" s="83" t="s">
        <v>14290</v>
      </c>
      <c r="B6232" s="83" t="s">
        <v>5012</v>
      </c>
      <c r="C6232" s="83" t="s">
        <v>14293</v>
      </c>
      <c r="D6232" s="83" t="s">
        <v>14292</v>
      </c>
    </row>
    <row r="6233" spans="1:4">
      <c r="A6233" s="83" t="s">
        <v>14290</v>
      </c>
      <c r="B6233" s="83" t="s">
        <v>5015</v>
      </c>
      <c r="C6233" s="83" t="s">
        <v>14294</v>
      </c>
      <c r="D6233" s="83" t="s">
        <v>14292</v>
      </c>
    </row>
    <row r="6234" spans="1:4">
      <c r="A6234" s="83" t="s">
        <v>14290</v>
      </c>
      <c r="B6234" s="83" t="s">
        <v>5010</v>
      </c>
      <c r="C6234" s="83" t="s">
        <v>14295</v>
      </c>
      <c r="D6234" s="83" t="s">
        <v>14292</v>
      </c>
    </row>
    <row r="6235" spans="1:4">
      <c r="A6235" s="83" t="s">
        <v>14296</v>
      </c>
      <c r="B6235" s="83" t="s">
        <v>5017</v>
      </c>
      <c r="C6235" s="83" t="s">
        <v>14297</v>
      </c>
      <c r="D6235" s="83" t="s">
        <v>14298</v>
      </c>
    </row>
    <row r="6236" spans="1:4">
      <c r="A6236" s="83" t="s">
        <v>14296</v>
      </c>
      <c r="B6236" s="83" t="s">
        <v>5012</v>
      </c>
      <c r="C6236" s="83" t="s">
        <v>14299</v>
      </c>
      <c r="D6236" s="83" t="s">
        <v>14298</v>
      </c>
    </row>
    <row r="6237" spans="1:4">
      <c r="A6237" s="83" t="s">
        <v>14296</v>
      </c>
      <c r="B6237" s="83" t="s">
        <v>5015</v>
      </c>
      <c r="C6237" s="83" t="s">
        <v>14300</v>
      </c>
      <c r="D6237" s="83" t="s">
        <v>14298</v>
      </c>
    </row>
    <row r="6238" spans="1:4">
      <c r="A6238" s="83" t="s">
        <v>14296</v>
      </c>
      <c r="B6238" s="83" t="s">
        <v>5010</v>
      </c>
      <c r="C6238" s="83" t="s">
        <v>14301</v>
      </c>
      <c r="D6238" s="83" t="s">
        <v>14298</v>
      </c>
    </row>
    <row r="6239" spans="1:4">
      <c r="A6239" s="83" t="s">
        <v>14302</v>
      </c>
      <c r="B6239" s="83" t="s">
        <v>5017</v>
      </c>
      <c r="C6239" s="83" t="s">
        <v>14303</v>
      </c>
      <c r="D6239" s="83" t="s">
        <v>14304</v>
      </c>
    </row>
    <row r="6240" spans="1:4">
      <c r="A6240" s="83" t="s">
        <v>14302</v>
      </c>
      <c r="B6240" s="83" t="s">
        <v>5012</v>
      </c>
      <c r="C6240" s="83" t="s">
        <v>14305</v>
      </c>
      <c r="D6240" s="83" t="s">
        <v>14304</v>
      </c>
    </row>
    <row r="6241" spans="1:4">
      <c r="A6241" s="83" t="s">
        <v>14302</v>
      </c>
      <c r="B6241" s="83" t="s">
        <v>5015</v>
      </c>
      <c r="C6241" s="83" t="s">
        <v>14306</v>
      </c>
      <c r="D6241" s="83" t="s">
        <v>14304</v>
      </c>
    </row>
    <row r="6242" spans="1:4">
      <c r="A6242" s="83" t="s">
        <v>14302</v>
      </c>
      <c r="B6242" s="83" t="s">
        <v>5010</v>
      </c>
      <c r="C6242" s="83" t="s">
        <v>14307</v>
      </c>
      <c r="D6242" s="83" t="s">
        <v>14304</v>
      </c>
    </row>
    <row r="6243" spans="1:4">
      <c r="A6243" s="83" t="s">
        <v>14308</v>
      </c>
      <c r="B6243" s="83" t="s">
        <v>5017</v>
      </c>
      <c r="C6243" s="83" t="s">
        <v>14309</v>
      </c>
      <c r="D6243" s="83" t="s">
        <v>14310</v>
      </c>
    </row>
    <row r="6244" spans="1:4">
      <c r="A6244" s="83" t="s">
        <v>14308</v>
      </c>
      <c r="B6244" s="83" t="s">
        <v>5012</v>
      </c>
      <c r="C6244" s="83" t="s">
        <v>13538</v>
      </c>
      <c r="D6244" s="83" t="s">
        <v>14310</v>
      </c>
    </row>
    <row r="6245" spans="1:4">
      <c r="A6245" s="83" t="s">
        <v>14308</v>
      </c>
      <c r="B6245" s="83" t="s">
        <v>5015</v>
      </c>
      <c r="C6245" s="83" t="s">
        <v>14311</v>
      </c>
      <c r="D6245" s="83" t="s">
        <v>14310</v>
      </c>
    </row>
    <row r="6246" spans="1:4">
      <c r="A6246" s="83" t="s">
        <v>14308</v>
      </c>
      <c r="B6246" s="83" t="s">
        <v>5010</v>
      </c>
      <c r="C6246" s="83" t="s">
        <v>14312</v>
      </c>
      <c r="D6246" s="83" t="s">
        <v>14310</v>
      </c>
    </row>
    <row r="6247" spans="1:4">
      <c r="A6247" s="83" t="s">
        <v>14313</v>
      </c>
      <c r="B6247" s="83" t="s">
        <v>5017</v>
      </c>
      <c r="C6247" s="83" t="s">
        <v>14314</v>
      </c>
      <c r="D6247" s="83" t="s">
        <v>14315</v>
      </c>
    </row>
    <row r="6248" spans="1:4">
      <c r="A6248" s="83" t="s">
        <v>14313</v>
      </c>
      <c r="B6248" s="83" t="s">
        <v>5012</v>
      </c>
      <c r="C6248" s="83" t="s">
        <v>14316</v>
      </c>
      <c r="D6248" s="83" t="s">
        <v>14315</v>
      </c>
    </row>
    <row r="6249" spans="1:4">
      <c r="A6249" s="83" t="s">
        <v>14313</v>
      </c>
      <c r="B6249" s="83" t="s">
        <v>5015</v>
      </c>
      <c r="C6249" s="83" t="s">
        <v>14317</v>
      </c>
      <c r="D6249" s="83" t="s">
        <v>14315</v>
      </c>
    </row>
    <row r="6250" spans="1:4">
      <c r="A6250" s="83" t="s">
        <v>14313</v>
      </c>
      <c r="B6250" s="83" t="s">
        <v>5010</v>
      </c>
      <c r="C6250" s="83" t="s">
        <v>14318</v>
      </c>
      <c r="D6250" s="83" t="s">
        <v>14315</v>
      </c>
    </row>
    <row r="6251" spans="1:4">
      <c r="A6251" s="83" t="s">
        <v>14319</v>
      </c>
      <c r="B6251" s="83" t="s">
        <v>5017</v>
      </c>
      <c r="C6251" s="83" t="s">
        <v>14320</v>
      </c>
      <c r="D6251" s="83" t="s">
        <v>14321</v>
      </c>
    </row>
    <row r="6252" spans="1:4">
      <c r="A6252" s="83" t="s">
        <v>14319</v>
      </c>
      <c r="B6252" s="83" t="s">
        <v>5012</v>
      </c>
      <c r="C6252" s="83" t="s">
        <v>14322</v>
      </c>
      <c r="D6252" s="83" t="s">
        <v>14321</v>
      </c>
    </row>
    <row r="6253" spans="1:4">
      <c r="A6253" s="83" t="s">
        <v>14319</v>
      </c>
      <c r="B6253" s="83" t="s">
        <v>5015</v>
      </c>
      <c r="C6253" s="83" t="s">
        <v>14323</v>
      </c>
      <c r="D6253" s="83" t="s">
        <v>14321</v>
      </c>
    </row>
    <row r="6254" spans="1:4">
      <c r="A6254" s="83" t="s">
        <v>14319</v>
      </c>
      <c r="B6254" s="83" t="s">
        <v>5010</v>
      </c>
      <c r="C6254" s="83" t="s">
        <v>14324</v>
      </c>
      <c r="D6254" s="83" t="s">
        <v>14321</v>
      </c>
    </row>
    <row r="6255" spans="1:4">
      <c r="A6255" s="83" t="s">
        <v>14325</v>
      </c>
      <c r="B6255" s="83" t="s">
        <v>5017</v>
      </c>
      <c r="C6255" s="83" t="s">
        <v>14326</v>
      </c>
      <c r="D6255" s="83" t="s">
        <v>14327</v>
      </c>
    </row>
    <row r="6256" spans="1:4">
      <c r="A6256" s="83" t="s">
        <v>14325</v>
      </c>
      <c r="B6256" s="83" t="s">
        <v>5012</v>
      </c>
      <c r="C6256" s="83" t="s">
        <v>14328</v>
      </c>
      <c r="D6256" s="83" t="s">
        <v>14327</v>
      </c>
    </row>
    <row r="6257" spans="1:4">
      <c r="A6257" s="83" t="s">
        <v>14325</v>
      </c>
      <c r="B6257" s="83" t="s">
        <v>5015</v>
      </c>
      <c r="C6257" s="83" t="s">
        <v>14329</v>
      </c>
      <c r="D6257" s="83" t="s">
        <v>14327</v>
      </c>
    </row>
    <row r="6258" spans="1:4">
      <c r="A6258" s="83" t="s">
        <v>14325</v>
      </c>
      <c r="B6258" s="83" t="s">
        <v>5010</v>
      </c>
      <c r="C6258" s="83" t="s">
        <v>14330</v>
      </c>
      <c r="D6258" s="83" t="s">
        <v>14327</v>
      </c>
    </row>
    <row r="6259" spans="1:4">
      <c r="A6259" s="83" t="s">
        <v>14331</v>
      </c>
      <c r="B6259" s="83" t="s">
        <v>5017</v>
      </c>
      <c r="C6259" s="83" t="s">
        <v>14332</v>
      </c>
      <c r="D6259" s="83" t="s">
        <v>14333</v>
      </c>
    </row>
    <row r="6260" spans="1:4">
      <c r="A6260" s="83" t="s">
        <v>14331</v>
      </c>
      <c r="B6260" s="83" t="s">
        <v>5012</v>
      </c>
      <c r="C6260" s="83" t="s">
        <v>14334</v>
      </c>
      <c r="D6260" s="83" t="s">
        <v>14333</v>
      </c>
    </row>
    <row r="6261" spans="1:4">
      <c r="A6261" s="83" t="s">
        <v>14331</v>
      </c>
      <c r="B6261" s="83" t="s">
        <v>5015</v>
      </c>
      <c r="C6261" s="83" t="s">
        <v>14335</v>
      </c>
      <c r="D6261" s="83" t="s">
        <v>14333</v>
      </c>
    </row>
    <row r="6262" spans="1:4">
      <c r="A6262" s="83" t="s">
        <v>14331</v>
      </c>
      <c r="B6262" s="83" t="s">
        <v>5010</v>
      </c>
      <c r="C6262" s="83" t="s">
        <v>14336</v>
      </c>
      <c r="D6262" s="83" t="s">
        <v>14333</v>
      </c>
    </row>
    <row r="6263" spans="1:4">
      <c r="A6263" s="83" t="s">
        <v>14337</v>
      </c>
      <c r="B6263" s="83" t="s">
        <v>5017</v>
      </c>
      <c r="C6263" s="83" t="s">
        <v>14338</v>
      </c>
      <c r="D6263" s="83" t="s">
        <v>14339</v>
      </c>
    </row>
    <row r="6264" spans="1:4">
      <c r="A6264" s="83" t="s">
        <v>14337</v>
      </c>
      <c r="B6264" s="83" t="s">
        <v>5012</v>
      </c>
      <c r="C6264" s="83" t="s">
        <v>14340</v>
      </c>
      <c r="D6264" s="83" t="s">
        <v>14339</v>
      </c>
    </row>
    <row r="6265" spans="1:4">
      <c r="A6265" s="83" t="s">
        <v>14337</v>
      </c>
      <c r="B6265" s="83" t="s">
        <v>5015</v>
      </c>
      <c r="C6265" s="83" t="s">
        <v>14341</v>
      </c>
      <c r="D6265" s="83" t="s">
        <v>14339</v>
      </c>
    </row>
    <row r="6266" spans="1:4">
      <c r="A6266" s="83" t="s">
        <v>14337</v>
      </c>
      <c r="B6266" s="83" t="s">
        <v>5010</v>
      </c>
      <c r="C6266" s="83" t="s">
        <v>14342</v>
      </c>
      <c r="D6266" s="83" t="s">
        <v>14339</v>
      </c>
    </row>
    <row r="6267" spans="1:4">
      <c r="A6267" s="83" t="s">
        <v>14343</v>
      </c>
      <c r="B6267" s="83" t="s">
        <v>5017</v>
      </c>
      <c r="C6267" s="83" t="s">
        <v>14344</v>
      </c>
      <c r="D6267" s="83" t="s">
        <v>14345</v>
      </c>
    </row>
    <row r="6268" spans="1:4">
      <c r="A6268" s="83" t="s">
        <v>14343</v>
      </c>
      <c r="B6268" s="83" t="s">
        <v>5012</v>
      </c>
      <c r="C6268" s="83" t="s">
        <v>14346</v>
      </c>
      <c r="D6268" s="83" t="s">
        <v>14345</v>
      </c>
    </row>
    <row r="6269" spans="1:4">
      <c r="A6269" s="83" t="s">
        <v>14343</v>
      </c>
      <c r="B6269" s="83" t="s">
        <v>5015</v>
      </c>
      <c r="C6269" s="83" t="s">
        <v>14347</v>
      </c>
      <c r="D6269" s="83" t="s">
        <v>14345</v>
      </c>
    </row>
    <row r="6270" spans="1:4">
      <c r="A6270" s="83" t="s">
        <v>14343</v>
      </c>
      <c r="B6270" s="83" t="s">
        <v>5010</v>
      </c>
      <c r="C6270" s="83" t="s">
        <v>14348</v>
      </c>
      <c r="D6270" s="83" t="s">
        <v>14345</v>
      </c>
    </row>
    <row r="6271" spans="1:4">
      <c r="A6271" s="83" t="s">
        <v>14349</v>
      </c>
      <c r="B6271" s="83" t="s">
        <v>5017</v>
      </c>
      <c r="C6271" s="83" t="s">
        <v>14350</v>
      </c>
      <c r="D6271" s="83" t="s">
        <v>14351</v>
      </c>
    </row>
    <row r="6272" spans="1:4">
      <c r="A6272" s="83" t="s">
        <v>14349</v>
      </c>
      <c r="B6272" s="83" t="s">
        <v>5012</v>
      </c>
      <c r="C6272" s="83" t="s">
        <v>14352</v>
      </c>
      <c r="D6272" s="83" t="s">
        <v>14351</v>
      </c>
    </row>
    <row r="6273" spans="1:4">
      <c r="A6273" s="83" t="s">
        <v>14349</v>
      </c>
      <c r="B6273" s="83" t="s">
        <v>5015</v>
      </c>
      <c r="C6273" s="83" t="s">
        <v>14353</v>
      </c>
      <c r="D6273" s="83" t="s">
        <v>14351</v>
      </c>
    </row>
    <row r="6274" spans="1:4">
      <c r="A6274" s="83" t="s">
        <v>14349</v>
      </c>
      <c r="B6274" s="83" t="s">
        <v>5010</v>
      </c>
      <c r="C6274" s="83" t="s">
        <v>14354</v>
      </c>
      <c r="D6274" s="83" t="s">
        <v>14351</v>
      </c>
    </row>
    <row r="6275" spans="1:4">
      <c r="A6275" s="83" t="s">
        <v>14355</v>
      </c>
      <c r="B6275" s="83" t="s">
        <v>5017</v>
      </c>
      <c r="C6275" s="83" t="s">
        <v>14356</v>
      </c>
      <c r="D6275" s="83" t="s">
        <v>14357</v>
      </c>
    </row>
    <row r="6276" spans="1:4">
      <c r="A6276" s="83" t="s">
        <v>14355</v>
      </c>
      <c r="B6276" s="83" t="s">
        <v>5012</v>
      </c>
      <c r="C6276" s="83" t="s">
        <v>14358</v>
      </c>
      <c r="D6276" s="83" t="s">
        <v>14357</v>
      </c>
    </row>
    <row r="6277" spans="1:4">
      <c r="A6277" s="83" t="s">
        <v>14355</v>
      </c>
      <c r="B6277" s="83" t="s">
        <v>5015</v>
      </c>
      <c r="C6277" s="83" t="s">
        <v>14359</v>
      </c>
      <c r="D6277" s="83" t="s">
        <v>14357</v>
      </c>
    </row>
    <row r="6278" spans="1:4">
      <c r="A6278" s="83" t="s">
        <v>14355</v>
      </c>
      <c r="B6278" s="83" t="s">
        <v>5010</v>
      </c>
      <c r="C6278" s="83" t="s">
        <v>14360</v>
      </c>
      <c r="D6278" s="83" t="s">
        <v>14357</v>
      </c>
    </row>
    <row r="6279" spans="1:4">
      <c r="A6279" s="83" t="s">
        <v>14361</v>
      </c>
      <c r="B6279" s="83" t="s">
        <v>5017</v>
      </c>
      <c r="C6279" s="83" t="s">
        <v>14362</v>
      </c>
      <c r="D6279" s="83" t="s">
        <v>14363</v>
      </c>
    </row>
    <row r="6280" spans="1:4">
      <c r="A6280" s="83" t="s">
        <v>14361</v>
      </c>
      <c r="B6280" s="83" t="s">
        <v>5012</v>
      </c>
      <c r="C6280" s="83" t="s">
        <v>14364</v>
      </c>
      <c r="D6280" s="83" t="s">
        <v>14363</v>
      </c>
    </row>
    <row r="6281" spans="1:4">
      <c r="A6281" s="83" t="s">
        <v>14361</v>
      </c>
      <c r="B6281" s="83" t="s">
        <v>5015</v>
      </c>
      <c r="C6281" s="83" t="s">
        <v>14365</v>
      </c>
      <c r="D6281" s="83" t="s">
        <v>14363</v>
      </c>
    </row>
    <row r="6282" spans="1:4">
      <c r="A6282" s="83" t="s">
        <v>14361</v>
      </c>
      <c r="B6282" s="83" t="s">
        <v>5010</v>
      </c>
      <c r="C6282" s="83" t="s">
        <v>14366</v>
      </c>
      <c r="D6282" s="83" t="s">
        <v>14363</v>
      </c>
    </row>
    <row r="6283" spans="1:4">
      <c r="A6283" s="83" t="s">
        <v>14367</v>
      </c>
      <c r="B6283" s="83" t="s">
        <v>5017</v>
      </c>
      <c r="C6283" s="83" t="s">
        <v>14368</v>
      </c>
      <c r="D6283" s="83" t="s">
        <v>14369</v>
      </c>
    </row>
    <row r="6284" spans="1:4">
      <c r="A6284" s="83" t="s">
        <v>14367</v>
      </c>
      <c r="B6284" s="83" t="s">
        <v>5012</v>
      </c>
      <c r="C6284" s="83" t="s">
        <v>14370</v>
      </c>
      <c r="D6284" s="83" t="s">
        <v>14369</v>
      </c>
    </row>
    <row r="6285" spans="1:4">
      <c r="A6285" s="83" t="s">
        <v>14367</v>
      </c>
      <c r="B6285" s="83" t="s">
        <v>5015</v>
      </c>
      <c r="C6285" s="83" t="s">
        <v>14371</v>
      </c>
      <c r="D6285" s="83" t="s">
        <v>14369</v>
      </c>
    </row>
    <row r="6286" spans="1:4">
      <c r="A6286" s="83" t="s">
        <v>14367</v>
      </c>
      <c r="B6286" s="83" t="s">
        <v>5010</v>
      </c>
      <c r="C6286" s="83" t="s">
        <v>14372</v>
      </c>
      <c r="D6286" s="83" t="s">
        <v>14369</v>
      </c>
    </row>
    <row r="6287" spans="1:4">
      <c r="A6287" s="83" t="s">
        <v>14373</v>
      </c>
      <c r="B6287" s="83" t="s">
        <v>5017</v>
      </c>
      <c r="C6287" s="83" t="s">
        <v>14374</v>
      </c>
      <c r="D6287" s="83" t="s">
        <v>14375</v>
      </c>
    </row>
    <row r="6288" spans="1:4">
      <c r="A6288" s="83" t="s">
        <v>14373</v>
      </c>
      <c r="B6288" s="83" t="s">
        <v>5012</v>
      </c>
      <c r="C6288" s="83" t="s">
        <v>14376</v>
      </c>
      <c r="D6288" s="83" t="s">
        <v>14375</v>
      </c>
    </row>
    <row r="6289" spans="1:4">
      <c r="A6289" s="83" t="s">
        <v>14373</v>
      </c>
      <c r="B6289" s="83" t="s">
        <v>5015</v>
      </c>
      <c r="C6289" s="83" t="s">
        <v>14377</v>
      </c>
      <c r="D6289" s="83" t="s">
        <v>14375</v>
      </c>
    </row>
    <row r="6290" spans="1:4">
      <c r="A6290" s="83" t="s">
        <v>14373</v>
      </c>
      <c r="B6290" s="83" t="s">
        <v>5010</v>
      </c>
      <c r="C6290" s="83" t="s">
        <v>14378</v>
      </c>
      <c r="D6290" s="83" t="s">
        <v>14375</v>
      </c>
    </row>
    <row r="6291" spans="1:4">
      <c r="A6291" s="83" t="s">
        <v>14379</v>
      </c>
      <c r="B6291" s="83" t="s">
        <v>5017</v>
      </c>
      <c r="C6291" s="83" t="s">
        <v>14380</v>
      </c>
      <c r="D6291" s="83" t="s">
        <v>14381</v>
      </c>
    </row>
    <row r="6292" spans="1:4">
      <c r="A6292" s="83" t="s">
        <v>14379</v>
      </c>
      <c r="B6292" s="83" t="s">
        <v>5012</v>
      </c>
      <c r="C6292" s="83" t="s">
        <v>14382</v>
      </c>
      <c r="D6292" s="83" t="s">
        <v>14381</v>
      </c>
    </row>
    <row r="6293" spans="1:4">
      <c r="A6293" s="83" t="s">
        <v>14379</v>
      </c>
      <c r="B6293" s="83" t="s">
        <v>5015</v>
      </c>
      <c r="C6293" s="83" t="s">
        <v>14383</v>
      </c>
      <c r="D6293" s="83" t="s">
        <v>14381</v>
      </c>
    </row>
    <row r="6294" spans="1:4">
      <c r="A6294" s="83" t="s">
        <v>14379</v>
      </c>
      <c r="B6294" s="83" t="s">
        <v>5010</v>
      </c>
      <c r="C6294" s="83" t="s">
        <v>14384</v>
      </c>
      <c r="D6294" s="83" t="s">
        <v>14381</v>
      </c>
    </row>
    <row r="6295" spans="1:4">
      <c r="A6295" s="83" t="s">
        <v>14385</v>
      </c>
      <c r="B6295" s="83" t="s">
        <v>5017</v>
      </c>
      <c r="C6295" s="83" t="s">
        <v>14386</v>
      </c>
      <c r="D6295" s="83" t="s">
        <v>14387</v>
      </c>
    </row>
    <row r="6296" spans="1:4">
      <c r="A6296" s="83" t="s">
        <v>14385</v>
      </c>
      <c r="B6296" s="83" t="s">
        <v>5012</v>
      </c>
      <c r="C6296" s="83" t="s">
        <v>14388</v>
      </c>
      <c r="D6296" s="83" t="s">
        <v>14387</v>
      </c>
    </row>
    <row r="6297" spans="1:4">
      <c r="A6297" s="83" t="s">
        <v>14385</v>
      </c>
      <c r="B6297" s="83" t="s">
        <v>5015</v>
      </c>
      <c r="C6297" s="83" t="s">
        <v>14389</v>
      </c>
      <c r="D6297" s="83" t="s">
        <v>14387</v>
      </c>
    </row>
    <row r="6298" spans="1:4">
      <c r="A6298" s="83" t="s">
        <v>14385</v>
      </c>
      <c r="B6298" s="83" t="s">
        <v>5010</v>
      </c>
      <c r="C6298" s="83" t="s">
        <v>14390</v>
      </c>
      <c r="D6298" s="83" t="s">
        <v>14387</v>
      </c>
    </row>
    <row r="6299" spans="1:4">
      <c r="A6299" s="83" t="s">
        <v>14391</v>
      </c>
      <c r="B6299" s="83" t="s">
        <v>5017</v>
      </c>
      <c r="C6299" s="83" t="s">
        <v>14392</v>
      </c>
      <c r="D6299" s="83" t="s">
        <v>14393</v>
      </c>
    </row>
    <row r="6300" spans="1:4">
      <c r="A6300" s="83" t="s">
        <v>14391</v>
      </c>
      <c r="B6300" s="83" t="s">
        <v>5012</v>
      </c>
      <c r="C6300" s="83" t="s">
        <v>14394</v>
      </c>
      <c r="D6300" s="83" t="s">
        <v>14393</v>
      </c>
    </row>
    <row r="6301" spans="1:4">
      <c r="A6301" s="83" t="s">
        <v>14391</v>
      </c>
      <c r="B6301" s="83" t="s">
        <v>5015</v>
      </c>
      <c r="C6301" s="83" t="s">
        <v>14395</v>
      </c>
      <c r="D6301" s="83" t="s">
        <v>14393</v>
      </c>
    </row>
    <row r="6302" spans="1:4">
      <c r="A6302" s="83" t="s">
        <v>14391</v>
      </c>
      <c r="B6302" s="83" t="s">
        <v>5010</v>
      </c>
      <c r="C6302" s="83" t="s">
        <v>14396</v>
      </c>
      <c r="D6302" s="83" t="s">
        <v>14393</v>
      </c>
    </row>
    <row r="6303" spans="1:4">
      <c r="A6303" s="83" t="s">
        <v>14397</v>
      </c>
      <c r="B6303" s="83" t="s">
        <v>5017</v>
      </c>
      <c r="C6303" s="83" t="s">
        <v>14398</v>
      </c>
      <c r="D6303" s="83" t="s">
        <v>14399</v>
      </c>
    </row>
    <row r="6304" spans="1:4">
      <c r="A6304" s="83" t="s">
        <v>14397</v>
      </c>
      <c r="B6304" s="83" t="s">
        <v>5012</v>
      </c>
      <c r="C6304" s="83" t="s">
        <v>14400</v>
      </c>
      <c r="D6304" s="83" t="s">
        <v>14399</v>
      </c>
    </row>
    <row r="6305" spans="1:4">
      <c r="A6305" s="83" t="s">
        <v>14397</v>
      </c>
      <c r="B6305" s="83" t="s">
        <v>5015</v>
      </c>
      <c r="C6305" s="83" t="s">
        <v>14401</v>
      </c>
      <c r="D6305" s="83" t="s">
        <v>14399</v>
      </c>
    </row>
    <row r="6306" spans="1:4">
      <c r="A6306" s="83" t="s">
        <v>14397</v>
      </c>
      <c r="B6306" s="83" t="s">
        <v>5010</v>
      </c>
      <c r="C6306" s="83" t="s">
        <v>14402</v>
      </c>
      <c r="D6306" s="83" t="s">
        <v>14399</v>
      </c>
    </row>
    <row r="6307" spans="1:4">
      <c r="A6307" s="83" t="s">
        <v>14403</v>
      </c>
      <c r="B6307" s="83" t="s">
        <v>5017</v>
      </c>
      <c r="C6307" s="83" t="s">
        <v>14404</v>
      </c>
      <c r="D6307" s="83" t="s">
        <v>14405</v>
      </c>
    </row>
    <row r="6308" spans="1:4">
      <c r="A6308" s="83" t="s">
        <v>14403</v>
      </c>
      <c r="B6308" s="83" t="s">
        <v>5012</v>
      </c>
      <c r="C6308" s="83" t="s">
        <v>14406</v>
      </c>
      <c r="D6308" s="83" t="s">
        <v>14405</v>
      </c>
    </row>
    <row r="6309" spans="1:4">
      <c r="A6309" s="83" t="s">
        <v>14403</v>
      </c>
      <c r="B6309" s="83" t="s">
        <v>5015</v>
      </c>
      <c r="C6309" s="83" t="s">
        <v>14407</v>
      </c>
      <c r="D6309" s="83" t="s">
        <v>14405</v>
      </c>
    </row>
    <row r="6310" spans="1:4">
      <c r="A6310" s="83" t="s">
        <v>14403</v>
      </c>
      <c r="B6310" s="83" t="s">
        <v>5010</v>
      </c>
      <c r="C6310" s="83" t="s">
        <v>14408</v>
      </c>
      <c r="D6310" s="83" t="s">
        <v>14405</v>
      </c>
    </row>
    <row r="6311" spans="1:4">
      <c r="A6311" s="83" t="s">
        <v>14409</v>
      </c>
      <c r="B6311" s="83" t="s">
        <v>5017</v>
      </c>
      <c r="C6311" s="83" t="s">
        <v>14410</v>
      </c>
      <c r="D6311" s="83" t="s">
        <v>14411</v>
      </c>
    </row>
    <row r="6312" spans="1:4">
      <c r="A6312" s="83" t="s">
        <v>14409</v>
      </c>
      <c r="B6312" s="83" t="s">
        <v>5012</v>
      </c>
      <c r="C6312" s="83" t="s">
        <v>14412</v>
      </c>
      <c r="D6312" s="83" t="s">
        <v>14411</v>
      </c>
    </row>
    <row r="6313" spans="1:4">
      <c r="A6313" s="83" t="s">
        <v>14409</v>
      </c>
      <c r="B6313" s="83" t="s">
        <v>5015</v>
      </c>
      <c r="C6313" s="83" t="s">
        <v>14413</v>
      </c>
      <c r="D6313" s="83" t="s">
        <v>14411</v>
      </c>
    </row>
    <row r="6314" spans="1:4">
      <c r="A6314" s="83" t="s">
        <v>14409</v>
      </c>
      <c r="B6314" s="83" t="s">
        <v>5010</v>
      </c>
      <c r="C6314" s="83" t="s">
        <v>14414</v>
      </c>
      <c r="D6314" s="83" t="s">
        <v>14411</v>
      </c>
    </row>
    <row r="6315" spans="1:4">
      <c r="A6315" s="83" t="s">
        <v>14415</v>
      </c>
      <c r="B6315" s="83" t="s">
        <v>5017</v>
      </c>
      <c r="C6315" s="83" t="s">
        <v>14416</v>
      </c>
      <c r="D6315" s="83" t="s">
        <v>14417</v>
      </c>
    </row>
    <row r="6316" spans="1:4">
      <c r="A6316" s="83" t="s">
        <v>14415</v>
      </c>
      <c r="B6316" s="83" t="s">
        <v>5012</v>
      </c>
      <c r="C6316" s="83" t="s">
        <v>14418</v>
      </c>
      <c r="D6316" s="83" t="s">
        <v>14417</v>
      </c>
    </row>
    <row r="6317" spans="1:4">
      <c r="A6317" s="83" t="s">
        <v>14415</v>
      </c>
      <c r="B6317" s="83" t="s">
        <v>5015</v>
      </c>
      <c r="C6317" s="83" t="s">
        <v>14419</v>
      </c>
      <c r="D6317" s="83" t="s">
        <v>14417</v>
      </c>
    </row>
    <row r="6318" spans="1:4">
      <c r="A6318" s="83" t="s">
        <v>14415</v>
      </c>
      <c r="B6318" s="83" t="s">
        <v>5010</v>
      </c>
      <c r="C6318" s="83" t="s">
        <v>14420</v>
      </c>
      <c r="D6318" s="83" t="s">
        <v>14417</v>
      </c>
    </row>
    <row r="6319" spans="1:4">
      <c r="A6319" s="83" t="s">
        <v>14421</v>
      </c>
      <c r="B6319" s="83" t="s">
        <v>5017</v>
      </c>
      <c r="C6319" s="83" t="s">
        <v>14422</v>
      </c>
      <c r="D6319" s="83" t="s">
        <v>14423</v>
      </c>
    </row>
    <row r="6320" spans="1:4">
      <c r="A6320" s="83" t="s">
        <v>14421</v>
      </c>
      <c r="B6320" s="83" t="s">
        <v>5012</v>
      </c>
      <c r="C6320" s="83" t="s">
        <v>14424</v>
      </c>
      <c r="D6320" s="83" t="s">
        <v>14423</v>
      </c>
    </row>
    <row r="6321" spans="1:4">
      <c r="A6321" s="83" t="s">
        <v>14421</v>
      </c>
      <c r="B6321" s="83" t="s">
        <v>5015</v>
      </c>
      <c r="C6321" s="83" t="s">
        <v>14425</v>
      </c>
      <c r="D6321" s="83" t="s">
        <v>14423</v>
      </c>
    </row>
    <row r="6322" spans="1:4">
      <c r="A6322" s="83" t="s">
        <v>14421</v>
      </c>
      <c r="B6322" s="83" t="s">
        <v>5010</v>
      </c>
      <c r="C6322" s="83" t="s">
        <v>14426</v>
      </c>
      <c r="D6322" s="83" t="s">
        <v>14423</v>
      </c>
    </row>
    <row r="6323" spans="1:4">
      <c r="A6323" s="83" t="s">
        <v>14427</v>
      </c>
      <c r="B6323" s="83" t="s">
        <v>5017</v>
      </c>
      <c r="C6323" s="83" t="s">
        <v>14428</v>
      </c>
      <c r="D6323" s="83" t="s">
        <v>14429</v>
      </c>
    </row>
    <row r="6324" spans="1:4">
      <c r="A6324" s="83" t="s">
        <v>14427</v>
      </c>
      <c r="B6324" s="83" t="s">
        <v>5012</v>
      </c>
      <c r="C6324" s="83" t="s">
        <v>14430</v>
      </c>
      <c r="D6324" s="83" t="s">
        <v>14429</v>
      </c>
    </row>
    <row r="6325" spans="1:4">
      <c r="A6325" s="83" t="s">
        <v>14427</v>
      </c>
      <c r="B6325" s="83" t="s">
        <v>5015</v>
      </c>
      <c r="C6325" s="83" t="s">
        <v>14431</v>
      </c>
      <c r="D6325" s="83" t="s">
        <v>14429</v>
      </c>
    </row>
    <row r="6326" spans="1:4">
      <c r="A6326" s="83" t="s">
        <v>14427</v>
      </c>
      <c r="B6326" s="83" t="s">
        <v>5010</v>
      </c>
      <c r="C6326" s="83" t="s">
        <v>14432</v>
      </c>
      <c r="D6326" s="83" t="s">
        <v>14429</v>
      </c>
    </row>
    <row r="6327" spans="1:4">
      <c r="A6327" s="83" t="s">
        <v>14433</v>
      </c>
      <c r="B6327" s="83" t="s">
        <v>5017</v>
      </c>
      <c r="C6327" s="83" t="s">
        <v>14434</v>
      </c>
      <c r="D6327" s="83" t="s">
        <v>14435</v>
      </c>
    </row>
    <row r="6328" spans="1:4">
      <c r="A6328" s="83" t="s">
        <v>14433</v>
      </c>
      <c r="B6328" s="83" t="s">
        <v>5012</v>
      </c>
      <c r="C6328" s="83" t="s">
        <v>14436</v>
      </c>
      <c r="D6328" s="83" t="s">
        <v>14435</v>
      </c>
    </row>
    <row r="6329" spans="1:4">
      <c r="A6329" s="83" t="s">
        <v>14433</v>
      </c>
      <c r="B6329" s="83" t="s">
        <v>5015</v>
      </c>
      <c r="C6329" s="83" t="s">
        <v>14437</v>
      </c>
      <c r="D6329" s="83" t="s">
        <v>14435</v>
      </c>
    </row>
    <row r="6330" spans="1:4">
      <c r="A6330" s="83" t="s">
        <v>14433</v>
      </c>
      <c r="B6330" s="83" t="s">
        <v>5010</v>
      </c>
      <c r="C6330" s="83" t="s">
        <v>14438</v>
      </c>
      <c r="D6330" s="83" t="s">
        <v>14435</v>
      </c>
    </row>
    <row r="6331" spans="1:4">
      <c r="A6331" s="83" t="s">
        <v>14439</v>
      </c>
      <c r="B6331" s="83" t="s">
        <v>5017</v>
      </c>
      <c r="C6331" s="83" t="s">
        <v>14440</v>
      </c>
      <c r="D6331" s="83" t="s">
        <v>14441</v>
      </c>
    </row>
    <row r="6332" spans="1:4">
      <c r="A6332" s="83" t="s">
        <v>14439</v>
      </c>
      <c r="B6332" s="83" t="s">
        <v>5012</v>
      </c>
      <c r="C6332" s="83" t="s">
        <v>14442</v>
      </c>
      <c r="D6332" s="83" t="s">
        <v>14441</v>
      </c>
    </row>
    <row r="6333" spans="1:4">
      <c r="A6333" s="83" t="s">
        <v>14439</v>
      </c>
      <c r="B6333" s="83" t="s">
        <v>5015</v>
      </c>
      <c r="C6333" s="83" t="s">
        <v>14443</v>
      </c>
      <c r="D6333" s="83" t="s">
        <v>14441</v>
      </c>
    </row>
    <row r="6334" spans="1:4">
      <c r="A6334" s="83" t="s">
        <v>14439</v>
      </c>
      <c r="B6334" s="83" t="s">
        <v>5010</v>
      </c>
      <c r="C6334" s="83" t="s">
        <v>14444</v>
      </c>
      <c r="D6334" s="83" t="s">
        <v>14441</v>
      </c>
    </row>
    <row r="6335" spans="1:4">
      <c r="A6335" s="83" t="s">
        <v>14445</v>
      </c>
      <c r="B6335" s="83" t="s">
        <v>5017</v>
      </c>
      <c r="C6335" s="83" t="s">
        <v>14446</v>
      </c>
      <c r="D6335" s="83" t="s">
        <v>14447</v>
      </c>
    </row>
    <row r="6336" spans="1:4">
      <c r="A6336" s="83" t="s">
        <v>14445</v>
      </c>
      <c r="B6336" s="83" t="s">
        <v>5012</v>
      </c>
      <c r="C6336" s="83" t="s">
        <v>14448</v>
      </c>
      <c r="D6336" s="83" t="s">
        <v>14447</v>
      </c>
    </row>
    <row r="6337" spans="1:4">
      <c r="A6337" s="83" t="s">
        <v>14445</v>
      </c>
      <c r="B6337" s="83" t="s">
        <v>5015</v>
      </c>
      <c r="C6337" s="83" t="s">
        <v>14449</v>
      </c>
      <c r="D6337" s="83" t="s">
        <v>14447</v>
      </c>
    </row>
    <row r="6338" spans="1:4">
      <c r="A6338" s="83" t="s">
        <v>14445</v>
      </c>
      <c r="B6338" s="83" t="s">
        <v>5010</v>
      </c>
      <c r="C6338" s="83" t="s">
        <v>14450</v>
      </c>
      <c r="D6338" s="83" t="s">
        <v>14447</v>
      </c>
    </row>
    <row r="6339" spans="1:4">
      <c r="A6339" s="83" t="s">
        <v>14451</v>
      </c>
      <c r="B6339" s="83" t="s">
        <v>5017</v>
      </c>
      <c r="C6339" s="83" t="s">
        <v>14452</v>
      </c>
      <c r="D6339" s="83" t="s">
        <v>14453</v>
      </c>
    </row>
    <row r="6340" spans="1:4">
      <c r="A6340" s="83" t="s">
        <v>14451</v>
      </c>
      <c r="B6340" s="83" t="s">
        <v>5012</v>
      </c>
      <c r="C6340" s="83" t="s">
        <v>14454</v>
      </c>
      <c r="D6340" s="83" t="s">
        <v>14453</v>
      </c>
    </row>
    <row r="6341" spans="1:4">
      <c r="A6341" s="83" t="s">
        <v>14451</v>
      </c>
      <c r="B6341" s="83" t="s">
        <v>5015</v>
      </c>
      <c r="C6341" s="83" t="s">
        <v>14455</v>
      </c>
      <c r="D6341" s="83" t="s">
        <v>14453</v>
      </c>
    </row>
    <row r="6342" spans="1:4">
      <c r="A6342" s="83" t="s">
        <v>14451</v>
      </c>
      <c r="B6342" s="83" t="s">
        <v>5010</v>
      </c>
      <c r="C6342" s="83" t="s">
        <v>14456</v>
      </c>
      <c r="D6342" s="83" t="s">
        <v>14453</v>
      </c>
    </row>
    <row r="6343" spans="1:4">
      <c r="A6343" s="83" t="s">
        <v>14457</v>
      </c>
      <c r="B6343" s="83" t="s">
        <v>5017</v>
      </c>
      <c r="C6343" s="83" t="s">
        <v>14458</v>
      </c>
      <c r="D6343" s="83" t="s">
        <v>14459</v>
      </c>
    </row>
    <row r="6344" spans="1:4">
      <c r="A6344" s="83" t="s">
        <v>14457</v>
      </c>
      <c r="B6344" s="83" t="s">
        <v>5012</v>
      </c>
      <c r="C6344" s="83" t="s">
        <v>14460</v>
      </c>
      <c r="D6344" s="83" t="s">
        <v>14459</v>
      </c>
    </row>
    <row r="6345" spans="1:4">
      <c r="A6345" s="83" t="s">
        <v>14457</v>
      </c>
      <c r="B6345" s="83" t="s">
        <v>5015</v>
      </c>
      <c r="C6345" s="83" t="s">
        <v>14461</v>
      </c>
      <c r="D6345" s="83" t="s">
        <v>14459</v>
      </c>
    </row>
    <row r="6346" spans="1:4">
      <c r="A6346" s="83" t="s">
        <v>14457</v>
      </c>
      <c r="B6346" s="83" t="s">
        <v>5010</v>
      </c>
      <c r="C6346" s="83" t="s">
        <v>14462</v>
      </c>
      <c r="D6346" s="83" t="s">
        <v>14459</v>
      </c>
    </row>
    <row r="6347" spans="1:4">
      <c r="A6347" s="83" t="s">
        <v>14463</v>
      </c>
      <c r="B6347" s="83" t="s">
        <v>5017</v>
      </c>
      <c r="C6347" s="83" t="s">
        <v>14464</v>
      </c>
      <c r="D6347" s="83" t="s">
        <v>14465</v>
      </c>
    </row>
    <row r="6348" spans="1:4">
      <c r="A6348" s="83" t="s">
        <v>14463</v>
      </c>
      <c r="B6348" s="83" t="s">
        <v>5012</v>
      </c>
      <c r="C6348" s="83" t="s">
        <v>14466</v>
      </c>
      <c r="D6348" s="83" t="s">
        <v>14465</v>
      </c>
    </row>
    <row r="6349" spans="1:4">
      <c r="A6349" s="83" t="s">
        <v>14463</v>
      </c>
      <c r="B6349" s="83" t="s">
        <v>5015</v>
      </c>
      <c r="C6349" s="83" t="s">
        <v>14467</v>
      </c>
      <c r="D6349" s="83" t="s">
        <v>14465</v>
      </c>
    </row>
    <row r="6350" spans="1:4">
      <c r="A6350" s="83" t="s">
        <v>14463</v>
      </c>
      <c r="B6350" s="83" t="s">
        <v>5010</v>
      </c>
      <c r="C6350" s="83" t="s">
        <v>14468</v>
      </c>
      <c r="D6350" s="83" t="s">
        <v>14465</v>
      </c>
    </row>
    <row r="6351" spans="1:4">
      <c r="A6351" s="83" t="s">
        <v>14469</v>
      </c>
      <c r="B6351" s="83" t="s">
        <v>5017</v>
      </c>
      <c r="C6351" s="83" t="s">
        <v>14470</v>
      </c>
      <c r="D6351" s="83" t="s">
        <v>14471</v>
      </c>
    </row>
    <row r="6352" spans="1:4">
      <c r="A6352" s="83" t="s">
        <v>14469</v>
      </c>
      <c r="B6352" s="83" t="s">
        <v>5012</v>
      </c>
      <c r="C6352" s="83" t="s">
        <v>14472</v>
      </c>
      <c r="D6352" s="83" t="s">
        <v>14471</v>
      </c>
    </row>
    <row r="6353" spans="1:4">
      <c r="A6353" s="83" t="s">
        <v>14469</v>
      </c>
      <c r="B6353" s="83" t="s">
        <v>5015</v>
      </c>
      <c r="C6353" s="83" t="s">
        <v>14473</v>
      </c>
      <c r="D6353" s="83" t="s">
        <v>14471</v>
      </c>
    </row>
    <row r="6354" spans="1:4">
      <c r="A6354" s="83" t="s">
        <v>14469</v>
      </c>
      <c r="B6354" s="83" t="s">
        <v>5010</v>
      </c>
      <c r="C6354" s="83" t="s">
        <v>14474</v>
      </c>
      <c r="D6354" s="83" t="s">
        <v>14471</v>
      </c>
    </row>
    <row r="6355" spans="1:4">
      <c r="A6355" s="83" t="s">
        <v>14475</v>
      </c>
      <c r="B6355" s="83" t="s">
        <v>5017</v>
      </c>
      <c r="C6355" s="83" t="s">
        <v>14476</v>
      </c>
      <c r="D6355" s="83" t="s">
        <v>14477</v>
      </c>
    </row>
    <row r="6356" spans="1:4">
      <c r="A6356" s="83" t="s">
        <v>14475</v>
      </c>
      <c r="B6356" s="83" t="s">
        <v>5012</v>
      </c>
      <c r="C6356" s="83" t="s">
        <v>14478</v>
      </c>
      <c r="D6356" s="83" t="s">
        <v>14477</v>
      </c>
    </row>
    <row r="6357" spans="1:4">
      <c r="A6357" s="83" t="s">
        <v>14475</v>
      </c>
      <c r="B6357" s="83" t="s">
        <v>5015</v>
      </c>
      <c r="C6357" s="83" t="s">
        <v>14479</v>
      </c>
      <c r="D6357" s="83" t="s">
        <v>14477</v>
      </c>
    </row>
    <row r="6358" spans="1:4">
      <c r="A6358" s="83" t="s">
        <v>14475</v>
      </c>
      <c r="B6358" s="83" t="s">
        <v>5010</v>
      </c>
      <c r="C6358" s="83" t="s">
        <v>14480</v>
      </c>
      <c r="D6358" s="83" t="s">
        <v>14477</v>
      </c>
    </row>
    <row r="6359" spans="1:4">
      <c r="A6359" s="83" t="s">
        <v>14481</v>
      </c>
      <c r="B6359" s="83" t="s">
        <v>5017</v>
      </c>
      <c r="C6359" s="83" t="s">
        <v>14482</v>
      </c>
      <c r="D6359" s="83" t="s">
        <v>14483</v>
      </c>
    </row>
    <row r="6360" spans="1:4">
      <c r="A6360" s="83" t="s">
        <v>14481</v>
      </c>
      <c r="B6360" s="83" t="s">
        <v>5012</v>
      </c>
      <c r="C6360" s="83" t="s">
        <v>14484</v>
      </c>
      <c r="D6360" s="83" t="s">
        <v>14483</v>
      </c>
    </row>
    <row r="6361" spans="1:4">
      <c r="A6361" s="83" t="s">
        <v>14481</v>
      </c>
      <c r="B6361" s="83" t="s">
        <v>5015</v>
      </c>
      <c r="C6361" s="83" t="s">
        <v>14485</v>
      </c>
      <c r="D6361" s="83" t="s">
        <v>14483</v>
      </c>
    </row>
    <row r="6362" spans="1:4">
      <c r="A6362" s="83" t="s">
        <v>14481</v>
      </c>
      <c r="B6362" s="83" t="s">
        <v>5010</v>
      </c>
      <c r="C6362" s="83" t="s">
        <v>14486</v>
      </c>
      <c r="D6362" s="83" t="s">
        <v>14483</v>
      </c>
    </row>
    <row r="6363" spans="1:4">
      <c r="A6363" s="83" t="s">
        <v>14487</v>
      </c>
      <c r="B6363" s="83" t="s">
        <v>5017</v>
      </c>
      <c r="C6363" s="83" t="s">
        <v>14488</v>
      </c>
      <c r="D6363" s="83" t="s">
        <v>14489</v>
      </c>
    </row>
    <row r="6364" spans="1:4">
      <c r="A6364" s="83" t="s">
        <v>14487</v>
      </c>
      <c r="B6364" s="83" t="s">
        <v>5012</v>
      </c>
      <c r="C6364" s="83" t="s">
        <v>14490</v>
      </c>
      <c r="D6364" s="83" t="s">
        <v>14489</v>
      </c>
    </row>
    <row r="6365" spans="1:4">
      <c r="A6365" s="83" t="s">
        <v>14487</v>
      </c>
      <c r="B6365" s="83" t="s">
        <v>5015</v>
      </c>
      <c r="C6365" s="83" t="s">
        <v>14491</v>
      </c>
      <c r="D6365" s="83" t="s">
        <v>14489</v>
      </c>
    </row>
    <row r="6366" spans="1:4">
      <c r="A6366" s="83" t="s">
        <v>14487</v>
      </c>
      <c r="B6366" s="83" t="s">
        <v>5010</v>
      </c>
      <c r="C6366" s="83" t="s">
        <v>14492</v>
      </c>
      <c r="D6366" s="83" t="s">
        <v>14489</v>
      </c>
    </row>
    <row r="6367" spans="1:4">
      <c r="A6367" s="83" t="s">
        <v>14493</v>
      </c>
      <c r="B6367" s="83" t="s">
        <v>5017</v>
      </c>
      <c r="C6367" s="83" t="s">
        <v>14494</v>
      </c>
      <c r="D6367" s="83" t="s">
        <v>14495</v>
      </c>
    </row>
    <row r="6368" spans="1:4">
      <c r="A6368" s="83" t="s">
        <v>14493</v>
      </c>
      <c r="B6368" s="83" t="s">
        <v>5012</v>
      </c>
      <c r="C6368" s="83" t="s">
        <v>14496</v>
      </c>
      <c r="D6368" s="83" t="s">
        <v>14495</v>
      </c>
    </row>
    <row r="6369" spans="1:4">
      <c r="A6369" s="83" t="s">
        <v>14493</v>
      </c>
      <c r="B6369" s="83" t="s">
        <v>5015</v>
      </c>
      <c r="C6369" s="83" t="s">
        <v>14497</v>
      </c>
      <c r="D6369" s="83" t="s">
        <v>14495</v>
      </c>
    </row>
    <row r="6370" spans="1:4">
      <c r="A6370" s="83" t="s">
        <v>14493</v>
      </c>
      <c r="B6370" s="83" t="s">
        <v>5010</v>
      </c>
      <c r="C6370" s="83" t="s">
        <v>14498</v>
      </c>
      <c r="D6370" s="83" t="s">
        <v>14495</v>
      </c>
    </row>
    <row r="6371" spans="1:4">
      <c r="A6371" s="83" t="s">
        <v>14499</v>
      </c>
      <c r="B6371" s="83" t="s">
        <v>5017</v>
      </c>
      <c r="C6371" s="83" t="s">
        <v>14500</v>
      </c>
      <c r="D6371" s="83" t="s">
        <v>14501</v>
      </c>
    </row>
    <row r="6372" spans="1:4">
      <c r="A6372" s="83" t="s">
        <v>14499</v>
      </c>
      <c r="B6372" s="83" t="s">
        <v>5012</v>
      </c>
      <c r="C6372" s="83" t="s">
        <v>14502</v>
      </c>
      <c r="D6372" s="83" t="s">
        <v>14501</v>
      </c>
    </row>
    <row r="6373" spans="1:4">
      <c r="A6373" s="83" t="s">
        <v>14499</v>
      </c>
      <c r="B6373" s="83" t="s">
        <v>5015</v>
      </c>
      <c r="C6373" s="83" t="s">
        <v>14503</v>
      </c>
      <c r="D6373" s="83" t="s">
        <v>14501</v>
      </c>
    </row>
    <row r="6374" spans="1:4">
      <c r="A6374" s="83" t="s">
        <v>14499</v>
      </c>
      <c r="B6374" s="83" t="s">
        <v>5010</v>
      </c>
      <c r="C6374" s="83" t="s">
        <v>14504</v>
      </c>
      <c r="D6374" s="83" t="s">
        <v>14501</v>
      </c>
    </row>
    <row r="6375" spans="1:4">
      <c r="A6375" s="83" t="s">
        <v>14505</v>
      </c>
      <c r="B6375" s="83" t="s">
        <v>5017</v>
      </c>
      <c r="C6375" s="83" t="s">
        <v>14506</v>
      </c>
      <c r="D6375" s="83" t="s">
        <v>14507</v>
      </c>
    </row>
    <row r="6376" spans="1:4">
      <c r="A6376" s="83" t="s">
        <v>14505</v>
      </c>
      <c r="B6376" s="83" t="s">
        <v>5012</v>
      </c>
      <c r="C6376" s="83" t="s">
        <v>14508</v>
      </c>
      <c r="D6376" s="83" t="s">
        <v>14507</v>
      </c>
    </row>
    <row r="6377" spans="1:4">
      <c r="A6377" s="83" t="s">
        <v>14505</v>
      </c>
      <c r="B6377" s="83" t="s">
        <v>5015</v>
      </c>
      <c r="C6377" s="83" t="s">
        <v>14509</v>
      </c>
      <c r="D6377" s="83" t="s">
        <v>14507</v>
      </c>
    </row>
    <row r="6378" spans="1:4">
      <c r="A6378" s="83" t="s">
        <v>14505</v>
      </c>
      <c r="B6378" s="83" t="s">
        <v>5010</v>
      </c>
      <c r="C6378" s="83" t="s">
        <v>14510</v>
      </c>
      <c r="D6378" s="83" t="s">
        <v>14507</v>
      </c>
    </row>
    <row r="6379" spans="1:4">
      <c r="A6379" s="83" t="s">
        <v>14511</v>
      </c>
      <c r="B6379" s="83" t="s">
        <v>5017</v>
      </c>
      <c r="C6379" s="83" t="s">
        <v>14512</v>
      </c>
      <c r="D6379" s="83" t="s">
        <v>14513</v>
      </c>
    </row>
    <row r="6380" spans="1:4">
      <c r="A6380" s="83" t="s">
        <v>14511</v>
      </c>
      <c r="B6380" s="83" t="s">
        <v>5012</v>
      </c>
      <c r="C6380" s="83" t="s">
        <v>14514</v>
      </c>
      <c r="D6380" s="83" t="s">
        <v>14513</v>
      </c>
    </row>
    <row r="6381" spans="1:4">
      <c r="A6381" s="83" t="s">
        <v>14511</v>
      </c>
      <c r="B6381" s="83" t="s">
        <v>5015</v>
      </c>
      <c r="C6381" s="83" t="s">
        <v>14515</v>
      </c>
      <c r="D6381" s="83" t="s">
        <v>14513</v>
      </c>
    </row>
    <row r="6382" spans="1:4">
      <c r="A6382" s="83" t="s">
        <v>14511</v>
      </c>
      <c r="B6382" s="83" t="s">
        <v>5010</v>
      </c>
      <c r="C6382" s="83" t="s">
        <v>14516</v>
      </c>
      <c r="D6382" s="83" t="s">
        <v>14513</v>
      </c>
    </row>
    <row r="6383" spans="1:4">
      <c r="A6383" s="83" t="s">
        <v>14517</v>
      </c>
      <c r="B6383" s="83" t="s">
        <v>5017</v>
      </c>
      <c r="C6383" s="83" t="s">
        <v>14518</v>
      </c>
      <c r="D6383" s="83" t="s">
        <v>14519</v>
      </c>
    </row>
    <row r="6384" spans="1:4">
      <c r="A6384" s="83" t="s">
        <v>14517</v>
      </c>
      <c r="B6384" s="83" t="s">
        <v>5012</v>
      </c>
      <c r="C6384" s="83" t="s">
        <v>14520</v>
      </c>
      <c r="D6384" s="83" t="s">
        <v>14519</v>
      </c>
    </row>
    <row r="6385" spans="1:4">
      <c r="A6385" s="83" t="s">
        <v>14517</v>
      </c>
      <c r="B6385" s="83" t="s">
        <v>5015</v>
      </c>
      <c r="C6385" s="83" t="s">
        <v>14521</v>
      </c>
      <c r="D6385" s="83" t="s">
        <v>14519</v>
      </c>
    </row>
    <row r="6386" spans="1:4">
      <c r="A6386" s="83" t="s">
        <v>14517</v>
      </c>
      <c r="B6386" s="83" t="s">
        <v>5010</v>
      </c>
      <c r="C6386" s="83" t="s">
        <v>14522</v>
      </c>
      <c r="D6386" s="83" t="s">
        <v>14519</v>
      </c>
    </row>
    <row r="6387" spans="1:4">
      <c r="A6387" s="83" t="s">
        <v>14523</v>
      </c>
      <c r="B6387" s="83" t="s">
        <v>5017</v>
      </c>
      <c r="C6387" s="83" t="s">
        <v>14524</v>
      </c>
      <c r="D6387" s="83" t="s">
        <v>14525</v>
      </c>
    </row>
    <row r="6388" spans="1:4">
      <c r="A6388" s="83" t="s">
        <v>14523</v>
      </c>
      <c r="B6388" s="83" t="s">
        <v>5012</v>
      </c>
      <c r="C6388" s="83" t="s">
        <v>14526</v>
      </c>
      <c r="D6388" s="83" t="s">
        <v>14525</v>
      </c>
    </row>
    <row r="6389" spans="1:4">
      <c r="A6389" s="83" t="s">
        <v>14523</v>
      </c>
      <c r="B6389" s="83" t="s">
        <v>5015</v>
      </c>
      <c r="C6389" s="83" t="s">
        <v>14527</v>
      </c>
      <c r="D6389" s="83" t="s">
        <v>14525</v>
      </c>
    </row>
    <row r="6390" spans="1:4">
      <c r="A6390" s="83" t="s">
        <v>14523</v>
      </c>
      <c r="B6390" s="83" t="s">
        <v>5010</v>
      </c>
      <c r="C6390" s="83" t="s">
        <v>14528</v>
      </c>
      <c r="D6390" s="83" t="s">
        <v>14525</v>
      </c>
    </row>
    <row r="6391" spans="1:4">
      <c r="A6391" s="83" t="s">
        <v>14529</v>
      </c>
      <c r="B6391" s="83" t="s">
        <v>5017</v>
      </c>
      <c r="C6391" s="83" t="s">
        <v>14530</v>
      </c>
      <c r="D6391" s="83" t="s">
        <v>14531</v>
      </c>
    </row>
    <row r="6392" spans="1:4">
      <c r="A6392" s="83" t="s">
        <v>14529</v>
      </c>
      <c r="B6392" s="83" t="s">
        <v>5012</v>
      </c>
      <c r="C6392" s="83" t="s">
        <v>14532</v>
      </c>
      <c r="D6392" s="83" t="s">
        <v>14531</v>
      </c>
    </row>
    <row r="6393" spans="1:4">
      <c r="A6393" s="83" t="s">
        <v>14529</v>
      </c>
      <c r="B6393" s="83" t="s">
        <v>5015</v>
      </c>
      <c r="C6393" s="83" t="s">
        <v>14533</v>
      </c>
      <c r="D6393" s="83" t="s">
        <v>14531</v>
      </c>
    </row>
    <row r="6394" spans="1:4">
      <c r="A6394" s="83" t="s">
        <v>14529</v>
      </c>
      <c r="B6394" s="83" t="s">
        <v>5010</v>
      </c>
      <c r="C6394" s="83" t="s">
        <v>14534</v>
      </c>
      <c r="D6394" s="83" t="s">
        <v>14531</v>
      </c>
    </row>
    <row r="6395" spans="1:4">
      <c r="A6395" s="83" t="s">
        <v>14535</v>
      </c>
      <c r="B6395" s="83" t="s">
        <v>5017</v>
      </c>
      <c r="C6395" s="83" t="s">
        <v>14536</v>
      </c>
      <c r="D6395" s="83" t="s">
        <v>14537</v>
      </c>
    </row>
    <row r="6396" spans="1:4">
      <c r="A6396" s="83" t="s">
        <v>14535</v>
      </c>
      <c r="B6396" s="83" t="s">
        <v>5012</v>
      </c>
      <c r="C6396" s="83" t="s">
        <v>14538</v>
      </c>
      <c r="D6396" s="83" t="s">
        <v>14537</v>
      </c>
    </row>
    <row r="6397" spans="1:4">
      <c r="A6397" s="83" t="s">
        <v>14535</v>
      </c>
      <c r="B6397" s="83" t="s">
        <v>5015</v>
      </c>
      <c r="C6397" s="83" t="s">
        <v>14539</v>
      </c>
      <c r="D6397" s="83" t="s">
        <v>14537</v>
      </c>
    </row>
    <row r="6398" spans="1:4">
      <c r="A6398" s="83" t="s">
        <v>14535</v>
      </c>
      <c r="B6398" s="83" t="s">
        <v>5010</v>
      </c>
      <c r="C6398" s="83" t="s">
        <v>14540</v>
      </c>
      <c r="D6398" s="83" t="s">
        <v>14537</v>
      </c>
    </row>
    <row r="6399" spans="1:4">
      <c r="A6399" s="83" t="s">
        <v>14541</v>
      </c>
      <c r="B6399" s="83" t="s">
        <v>5017</v>
      </c>
      <c r="C6399" s="83" t="s">
        <v>14542</v>
      </c>
      <c r="D6399" s="83" t="s">
        <v>14543</v>
      </c>
    </row>
    <row r="6400" spans="1:4">
      <c r="A6400" s="83" t="s">
        <v>14541</v>
      </c>
      <c r="B6400" s="83" t="s">
        <v>5012</v>
      </c>
      <c r="C6400" s="83" t="s">
        <v>14544</v>
      </c>
      <c r="D6400" s="83" t="s">
        <v>14543</v>
      </c>
    </row>
    <row r="6401" spans="1:4">
      <c r="A6401" s="83" t="s">
        <v>14541</v>
      </c>
      <c r="B6401" s="83" t="s">
        <v>5015</v>
      </c>
      <c r="C6401" s="83" t="s">
        <v>14545</v>
      </c>
      <c r="D6401" s="83" t="s">
        <v>14543</v>
      </c>
    </row>
    <row r="6402" spans="1:4">
      <c r="A6402" s="83" t="s">
        <v>14541</v>
      </c>
      <c r="B6402" s="83" t="s">
        <v>5010</v>
      </c>
      <c r="C6402" s="83" t="s">
        <v>14546</v>
      </c>
      <c r="D6402" s="83" t="s">
        <v>14543</v>
      </c>
    </row>
    <row r="6403" spans="1:4">
      <c r="A6403" s="83" t="s">
        <v>14547</v>
      </c>
      <c r="B6403" s="83" t="s">
        <v>5017</v>
      </c>
      <c r="C6403" s="83" t="s">
        <v>14548</v>
      </c>
      <c r="D6403" s="83" t="s">
        <v>14549</v>
      </c>
    </row>
    <row r="6404" spans="1:4">
      <c r="A6404" s="83" t="s">
        <v>14547</v>
      </c>
      <c r="B6404" s="83" t="s">
        <v>5012</v>
      </c>
      <c r="C6404" s="83" t="s">
        <v>14550</v>
      </c>
      <c r="D6404" s="83" t="s">
        <v>14549</v>
      </c>
    </row>
    <row r="6405" spans="1:4">
      <c r="A6405" s="83" t="s">
        <v>14547</v>
      </c>
      <c r="B6405" s="83" t="s">
        <v>5015</v>
      </c>
      <c r="C6405" s="83" t="s">
        <v>14551</v>
      </c>
      <c r="D6405" s="83" t="s">
        <v>14549</v>
      </c>
    </row>
    <row r="6406" spans="1:4">
      <c r="A6406" s="83" t="s">
        <v>14547</v>
      </c>
      <c r="B6406" s="83" t="s">
        <v>5010</v>
      </c>
      <c r="C6406" s="83" t="s">
        <v>14552</v>
      </c>
      <c r="D6406" s="83" t="s">
        <v>14549</v>
      </c>
    </row>
    <row r="6407" spans="1:4">
      <c r="A6407" s="83" t="s">
        <v>14553</v>
      </c>
      <c r="B6407" s="83" t="s">
        <v>5017</v>
      </c>
      <c r="C6407" s="83" t="s">
        <v>14554</v>
      </c>
      <c r="D6407" s="83" t="s">
        <v>14555</v>
      </c>
    </row>
    <row r="6408" spans="1:4">
      <c r="A6408" s="83" t="s">
        <v>14553</v>
      </c>
      <c r="B6408" s="83" t="s">
        <v>5012</v>
      </c>
      <c r="C6408" s="83" t="s">
        <v>14556</v>
      </c>
      <c r="D6408" s="83" t="s">
        <v>14555</v>
      </c>
    </row>
    <row r="6409" spans="1:4">
      <c r="A6409" s="83" t="s">
        <v>14553</v>
      </c>
      <c r="B6409" s="83" t="s">
        <v>5015</v>
      </c>
      <c r="C6409" s="83" t="s">
        <v>14557</v>
      </c>
      <c r="D6409" s="83" t="s">
        <v>14555</v>
      </c>
    </row>
    <row r="6410" spans="1:4">
      <c r="A6410" s="83" t="s">
        <v>14553</v>
      </c>
      <c r="B6410" s="83" t="s">
        <v>5010</v>
      </c>
      <c r="C6410" s="83" t="s">
        <v>14558</v>
      </c>
      <c r="D6410" s="83" t="s">
        <v>14555</v>
      </c>
    </row>
    <row r="6411" spans="1:4">
      <c r="A6411" s="83" t="s">
        <v>14559</v>
      </c>
      <c r="B6411" s="83" t="s">
        <v>5017</v>
      </c>
      <c r="C6411" s="83" t="s">
        <v>14560</v>
      </c>
      <c r="D6411" s="83" t="s">
        <v>14561</v>
      </c>
    </row>
    <row r="6412" spans="1:4">
      <c r="A6412" s="83" t="s">
        <v>14559</v>
      </c>
      <c r="B6412" s="83" t="s">
        <v>5012</v>
      </c>
      <c r="C6412" s="83" t="s">
        <v>14562</v>
      </c>
      <c r="D6412" s="83" t="s">
        <v>14561</v>
      </c>
    </row>
    <row r="6413" spans="1:4">
      <c r="A6413" s="83" t="s">
        <v>14559</v>
      </c>
      <c r="B6413" s="83" t="s">
        <v>5015</v>
      </c>
      <c r="C6413" s="83" t="s">
        <v>14563</v>
      </c>
      <c r="D6413" s="83" t="s">
        <v>14561</v>
      </c>
    </row>
    <row r="6414" spans="1:4">
      <c r="A6414" s="83" t="s">
        <v>14559</v>
      </c>
      <c r="B6414" s="83" t="s">
        <v>5010</v>
      </c>
      <c r="C6414" s="83" t="s">
        <v>14564</v>
      </c>
      <c r="D6414" s="83" t="s">
        <v>14561</v>
      </c>
    </row>
    <row r="6415" spans="1:4">
      <c r="A6415" s="83" t="s">
        <v>14565</v>
      </c>
      <c r="B6415" s="83" t="s">
        <v>5017</v>
      </c>
      <c r="C6415" s="83" t="s">
        <v>14566</v>
      </c>
      <c r="D6415" s="83" t="s">
        <v>14567</v>
      </c>
    </row>
    <row r="6416" spans="1:4">
      <c r="A6416" s="83" t="s">
        <v>14565</v>
      </c>
      <c r="B6416" s="83" t="s">
        <v>5012</v>
      </c>
      <c r="C6416" s="83" t="s">
        <v>14568</v>
      </c>
      <c r="D6416" s="83" t="s">
        <v>14567</v>
      </c>
    </row>
    <row r="6417" spans="1:4">
      <c r="A6417" s="83" t="s">
        <v>14565</v>
      </c>
      <c r="B6417" s="83" t="s">
        <v>5015</v>
      </c>
      <c r="C6417" s="83" t="s">
        <v>14569</v>
      </c>
      <c r="D6417" s="83" t="s">
        <v>14567</v>
      </c>
    </row>
    <row r="6418" spans="1:4">
      <c r="A6418" s="83" t="s">
        <v>14565</v>
      </c>
      <c r="B6418" s="83" t="s">
        <v>5010</v>
      </c>
      <c r="C6418" s="83" t="s">
        <v>14570</v>
      </c>
      <c r="D6418" s="83" t="s">
        <v>14567</v>
      </c>
    </row>
    <row r="6419" spans="1:4">
      <c r="A6419" s="83" t="s">
        <v>14571</v>
      </c>
      <c r="B6419" s="83" t="s">
        <v>5017</v>
      </c>
      <c r="C6419" s="83" t="s">
        <v>14572</v>
      </c>
      <c r="D6419" s="83" t="s">
        <v>14573</v>
      </c>
    </row>
    <row r="6420" spans="1:4">
      <c r="A6420" s="83" t="s">
        <v>14571</v>
      </c>
      <c r="B6420" s="83" t="s">
        <v>5012</v>
      </c>
      <c r="C6420" s="83" t="s">
        <v>14574</v>
      </c>
      <c r="D6420" s="83" t="s">
        <v>14573</v>
      </c>
    </row>
    <row r="6421" spans="1:4">
      <c r="A6421" s="83" t="s">
        <v>14571</v>
      </c>
      <c r="B6421" s="83" t="s">
        <v>5015</v>
      </c>
      <c r="C6421" s="83" t="s">
        <v>14575</v>
      </c>
      <c r="D6421" s="83" t="s">
        <v>14573</v>
      </c>
    </row>
    <row r="6422" spans="1:4">
      <c r="A6422" s="83" t="s">
        <v>14571</v>
      </c>
      <c r="B6422" s="83" t="s">
        <v>5010</v>
      </c>
      <c r="C6422" s="83" t="s">
        <v>14576</v>
      </c>
      <c r="D6422" s="83" t="s">
        <v>14573</v>
      </c>
    </row>
    <row r="6423" spans="1:4">
      <c r="A6423" s="83" t="s">
        <v>14577</v>
      </c>
      <c r="B6423" s="83" t="s">
        <v>5017</v>
      </c>
      <c r="C6423" s="83" t="s">
        <v>14578</v>
      </c>
      <c r="D6423" s="83" t="s">
        <v>14579</v>
      </c>
    </row>
    <row r="6424" spans="1:4">
      <c r="A6424" s="83" t="s">
        <v>14577</v>
      </c>
      <c r="B6424" s="83" t="s">
        <v>5012</v>
      </c>
      <c r="C6424" s="83" t="s">
        <v>14580</v>
      </c>
      <c r="D6424" s="83" t="s">
        <v>14579</v>
      </c>
    </row>
    <row r="6425" spans="1:4">
      <c r="A6425" s="83" t="s">
        <v>14577</v>
      </c>
      <c r="B6425" s="83" t="s">
        <v>5015</v>
      </c>
      <c r="C6425" s="83" t="s">
        <v>14581</v>
      </c>
      <c r="D6425" s="83" t="s">
        <v>14579</v>
      </c>
    </row>
    <row r="6426" spans="1:4">
      <c r="A6426" s="83" t="s">
        <v>14577</v>
      </c>
      <c r="B6426" s="83" t="s">
        <v>5010</v>
      </c>
      <c r="C6426" s="83" t="s">
        <v>14582</v>
      </c>
      <c r="D6426" s="83" t="s">
        <v>14579</v>
      </c>
    </row>
    <row r="6427" spans="1:4">
      <c r="A6427" s="83" t="s">
        <v>14583</v>
      </c>
      <c r="B6427" s="83" t="s">
        <v>5017</v>
      </c>
      <c r="C6427" s="83" t="s">
        <v>14584</v>
      </c>
      <c r="D6427" s="83" t="s">
        <v>14585</v>
      </c>
    </row>
    <row r="6428" spans="1:4">
      <c r="A6428" s="83" t="s">
        <v>14583</v>
      </c>
      <c r="B6428" s="83" t="s">
        <v>5012</v>
      </c>
      <c r="C6428" s="83" t="s">
        <v>14586</v>
      </c>
      <c r="D6428" s="83" t="s">
        <v>14585</v>
      </c>
    </row>
    <row r="6429" spans="1:4">
      <c r="A6429" s="83" t="s">
        <v>14583</v>
      </c>
      <c r="B6429" s="83" t="s">
        <v>5015</v>
      </c>
      <c r="C6429" s="83" t="s">
        <v>14587</v>
      </c>
      <c r="D6429" s="83" t="s">
        <v>14585</v>
      </c>
    </row>
    <row r="6430" spans="1:4">
      <c r="A6430" s="83" t="s">
        <v>14583</v>
      </c>
      <c r="B6430" s="83" t="s">
        <v>5010</v>
      </c>
      <c r="C6430" s="83" t="s">
        <v>14588</v>
      </c>
      <c r="D6430" s="83" t="s">
        <v>14585</v>
      </c>
    </row>
    <row r="6431" spans="1:4">
      <c r="A6431" s="83" t="s">
        <v>14589</v>
      </c>
      <c r="B6431" s="83" t="s">
        <v>5017</v>
      </c>
      <c r="C6431" s="83" t="s">
        <v>14590</v>
      </c>
      <c r="D6431" s="83" t="s">
        <v>14591</v>
      </c>
    </row>
    <row r="6432" spans="1:4">
      <c r="A6432" s="83" t="s">
        <v>14589</v>
      </c>
      <c r="B6432" s="83" t="s">
        <v>5012</v>
      </c>
      <c r="C6432" s="83" t="s">
        <v>14592</v>
      </c>
      <c r="D6432" s="83" t="s">
        <v>14591</v>
      </c>
    </row>
    <row r="6433" spans="1:4">
      <c r="A6433" s="83" t="s">
        <v>14589</v>
      </c>
      <c r="B6433" s="83" t="s">
        <v>5015</v>
      </c>
      <c r="C6433" s="83" t="s">
        <v>14593</v>
      </c>
      <c r="D6433" s="83" t="s">
        <v>14591</v>
      </c>
    </row>
    <row r="6434" spans="1:4">
      <c r="A6434" s="83" t="s">
        <v>14589</v>
      </c>
      <c r="B6434" s="83" t="s">
        <v>5010</v>
      </c>
      <c r="C6434" s="83" t="s">
        <v>14594</v>
      </c>
      <c r="D6434" s="83" t="s">
        <v>14591</v>
      </c>
    </row>
    <row r="6435" spans="1:4">
      <c r="A6435" s="83" t="s">
        <v>14595</v>
      </c>
      <c r="B6435" s="83" t="s">
        <v>5017</v>
      </c>
      <c r="C6435" s="83" t="s">
        <v>14596</v>
      </c>
      <c r="D6435" s="83" t="s">
        <v>14597</v>
      </c>
    </row>
    <row r="6436" spans="1:4">
      <c r="A6436" s="83" t="s">
        <v>14595</v>
      </c>
      <c r="B6436" s="83" t="s">
        <v>5012</v>
      </c>
      <c r="C6436" s="83" t="s">
        <v>14598</v>
      </c>
      <c r="D6436" s="83" t="s">
        <v>14597</v>
      </c>
    </row>
    <row r="6437" spans="1:4">
      <c r="A6437" s="83" t="s">
        <v>14595</v>
      </c>
      <c r="B6437" s="83" t="s">
        <v>5015</v>
      </c>
      <c r="C6437" s="83" t="s">
        <v>14599</v>
      </c>
      <c r="D6437" s="83" t="s">
        <v>14597</v>
      </c>
    </row>
    <row r="6438" spans="1:4">
      <c r="A6438" s="83" t="s">
        <v>14595</v>
      </c>
      <c r="B6438" s="83" t="s">
        <v>5010</v>
      </c>
      <c r="C6438" s="83" t="s">
        <v>14600</v>
      </c>
      <c r="D6438" s="83" t="s">
        <v>14597</v>
      </c>
    </row>
    <row r="6439" spans="1:4">
      <c r="A6439" s="83" t="s">
        <v>14601</v>
      </c>
      <c r="B6439" s="83" t="s">
        <v>5017</v>
      </c>
      <c r="C6439" s="83" t="s">
        <v>14602</v>
      </c>
      <c r="D6439" s="83" t="s">
        <v>14603</v>
      </c>
    </row>
    <row r="6440" spans="1:4">
      <c r="A6440" s="83" t="s">
        <v>14601</v>
      </c>
      <c r="B6440" s="83" t="s">
        <v>5012</v>
      </c>
      <c r="C6440" s="83" t="s">
        <v>14514</v>
      </c>
      <c r="D6440" s="83" t="s">
        <v>14603</v>
      </c>
    </row>
    <row r="6441" spans="1:4">
      <c r="A6441" s="83" t="s">
        <v>14601</v>
      </c>
      <c r="B6441" s="83" t="s">
        <v>5015</v>
      </c>
      <c r="C6441" s="83" t="s">
        <v>14604</v>
      </c>
      <c r="D6441" s="83" t="s">
        <v>14603</v>
      </c>
    </row>
    <row r="6442" spans="1:4">
      <c r="A6442" s="83" t="s">
        <v>14601</v>
      </c>
      <c r="B6442" s="83" t="s">
        <v>5010</v>
      </c>
      <c r="C6442" s="83" t="s">
        <v>14605</v>
      </c>
      <c r="D6442" s="83" t="s">
        <v>14603</v>
      </c>
    </row>
    <row r="6443" spans="1:4">
      <c r="A6443" s="83" t="s">
        <v>14606</v>
      </c>
      <c r="B6443" s="83" t="s">
        <v>5017</v>
      </c>
      <c r="C6443" s="83" t="s">
        <v>14607</v>
      </c>
      <c r="D6443" s="83" t="s">
        <v>14608</v>
      </c>
    </row>
    <row r="6444" spans="1:4">
      <c r="A6444" s="83" t="s">
        <v>14606</v>
      </c>
      <c r="B6444" s="83" t="s">
        <v>5012</v>
      </c>
      <c r="C6444" s="83" t="s">
        <v>14609</v>
      </c>
      <c r="D6444" s="83" t="s">
        <v>14608</v>
      </c>
    </row>
    <row r="6445" spans="1:4">
      <c r="A6445" s="83" t="s">
        <v>14606</v>
      </c>
      <c r="B6445" s="83" t="s">
        <v>5015</v>
      </c>
      <c r="C6445" s="83" t="s">
        <v>14610</v>
      </c>
      <c r="D6445" s="83" t="s">
        <v>14608</v>
      </c>
    </row>
    <row r="6446" spans="1:4">
      <c r="A6446" s="83" t="s">
        <v>14606</v>
      </c>
      <c r="B6446" s="83" t="s">
        <v>5010</v>
      </c>
      <c r="C6446" s="83" t="s">
        <v>14611</v>
      </c>
      <c r="D6446" s="83" t="s">
        <v>14608</v>
      </c>
    </row>
    <row r="6447" spans="1:4">
      <c r="A6447" s="83" t="s">
        <v>14612</v>
      </c>
      <c r="B6447" s="83" t="s">
        <v>5017</v>
      </c>
      <c r="C6447" s="83" t="s">
        <v>14613</v>
      </c>
      <c r="D6447" s="83" t="s">
        <v>14614</v>
      </c>
    </row>
    <row r="6448" spans="1:4">
      <c r="A6448" s="83" t="s">
        <v>14612</v>
      </c>
      <c r="B6448" s="83" t="s">
        <v>5012</v>
      </c>
      <c r="C6448" s="83" t="s">
        <v>14615</v>
      </c>
      <c r="D6448" s="83" t="s">
        <v>14614</v>
      </c>
    </row>
    <row r="6449" spans="1:4">
      <c r="A6449" s="83" t="s">
        <v>14612</v>
      </c>
      <c r="B6449" s="83" t="s">
        <v>5015</v>
      </c>
      <c r="C6449" s="83" t="s">
        <v>14616</v>
      </c>
      <c r="D6449" s="83" t="s">
        <v>14614</v>
      </c>
    </row>
    <row r="6450" spans="1:4">
      <c r="A6450" s="83" t="s">
        <v>14612</v>
      </c>
      <c r="B6450" s="83" t="s">
        <v>5010</v>
      </c>
      <c r="C6450" s="83" t="s">
        <v>14617</v>
      </c>
      <c r="D6450" s="83" t="s">
        <v>14614</v>
      </c>
    </row>
    <row r="6451" spans="1:4">
      <c r="A6451" s="83" t="s">
        <v>14618</v>
      </c>
      <c r="B6451" s="83" t="s">
        <v>5017</v>
      </c>
      <c r="C6451" s="83" t="s">
        <v>14619</v>
      </c>
      <c r="D6451" s="83" t="s">
        <v>14620</v>
      </c>
    </row>
    <row r="6452" spans="1:4">
      <c r="A6452" s="83" t="s">
        <v>14618</v>
      </c>
      <c r="B6452" s="83" t="s">
        <v>5012</v>
      </c>
      <c r="C6452" s="83" t="s">
        <v>14621</v>
      </c>
      <c r="D6452" s="83" t="s">
        <v>14620</v>
      </c>
    </row>
    <row r="6453" spans="1:4">
      <c r="A6453" s="83" t="s">
        <v>14618</v>
      </c>
      <c r="B6453" s="83" t="s">
        <v>5015</v>
      </c>
      <c r="C6453" s="83" t="s">
        <v>14622</v>
      </c>
      <c r="D6453" s="83" t="s">
        <v>14620</v>
      </c>
    </row>
    <row r="6454" spans="1:4">
      <c r="A6454" s="83" t="s">
        <v>14618</v>
      </c>
      <c r="B6454" s="83" t="s">
        <v>5010</v>
      </c>
      <c r="C6454" s="83" t="s">
        <v>14623</v>
      </c>
      <c r="D6454" s="83" t="s">
        <v>14620</v>
      </c>
    </row>
    <row r="6455" spans="1:4">
      <c r="A6455" s="83" t="s">
        <v>14624</v>
      </c>
      <c r="B6455" s="83" t="s">
        <v>5017</v>
      </c>
      <c r="C6455" s="83" t="s">
        <v>14625</v>
      </c>
      <c r="D6455" s="83" t="s">
        <v>14626</v>
      </c>
    </row>
    <row r="6456" spans="1:4">
      <c r="A6456" s="83" t="s">
        <v>14624</v>
      </c>
      <c r="B6456" s="83" t="s">
        <v>5012</v>
      </c>
      <c r="C6456" s="83" t="s">
        <v>14627</v>
      </c>
      <c r="D6456" s="83" t="s">
        <v>14626</v>
      </c>
    </row>
    <row r="6457" spans="1:4">
      <c r="A6457" s="83" t="s">
        <v>14624</v>
      </c>
      <c r="B6457" s="83" t="s">
        <v>5015</v>
      </c>
      <c r="C6457" s="83" t="s">
        <v>14628</v>
      </c>
      <c r="D6457" s="83" t="s">
        <v>14626</v>
      </c>
    </row>
    <row r="6458" spans="1:4">
      <c r="A6458" s="83" t="s">
        <v>14624</v>
      </c>
      <c r="B6458" s="83" t="s">
        <v>5010</v>
      </c>
      <c r="C6458" s="83" t="s">
        <v>14629</v>
      </c>
      <c r="D6458" s="83" t="s">
        <v>14626</v>
      </c>
    </row>
    <row r="6459" spans="1:4">
      <c r="A6459" s="83" t="s">
        <v>14630</v>
      </c>
      <c r="B6459" s="83" t="s">
        <v>5017</v>
      </c>
      <c r="C6459" s="83" t="s">
        <v>14631</v>
      </c>
      <c r="D6459" s="83" t="s">
        <v>14632</v>
      </c>
    </row>
    <row r="6460" spans="1:4">
      <c r="A6460" s="83" t="s">
        <v>14630</v>
      </c>
      <c r="B6460" s="83" t="s">
        <v>5012</v>
      </c>
      <c r="C6460" s="83" t="s">
        <v>14633</v>
      </c>
      <c r="D6460" s="83" t="s">
        <v>14632</v>
      </c>
    </row>
    <row r="6461" spans="1:4">
      <c r="A6461" s="83" t="s">
        <v>14630</v>
      </c>
      <c r="B6461" s="83" t="s">
        <v>5015</v>
      </c>
      <c r="C6461" s="83" t="s">
        <v>14634</v>
      </c>
      <c r="D6461" s="83" t="s">
        <v>14632</v>
      </c>
    </row>
    <row r="6462" spans="1:4">
      <c r="A6462" s="83" t="s">
        <v>14630</v>
      </c>
      <c r="B6462" s="83" t="s">
        <v>5010</v>
      </c>
      <c r="C6462" s="83" t="s">
        <v>14635</v>
      </c>
      <c r="D6462" s="83" t="s">
        <v>14632</v>
      </c>
    </row>
    <row r="6463" spans="1:4">
      <c r="A6463" s="83" t="s">
        <v>14636</v>
      </c>
      <c r="B6463" s="83" t="s">
        <v>5017</v>
      </c>
      <c r="C6463" s="83" t="s">
        <v>14637</v>
      </c>
      <c r="D6463" s="83" t="s">
        <v>14638</v>
      </c>
    </row>
    <row r="6464" spans="1:4">
      <c r="A6464" s="83" t="s">
        <v>14636</v>
      </c>
      <c r="B6464" s="83" t="s">
        <v>5012</v>
      </c>
      <c r="C6464" s="83" t="s">
        <v>14639</v>
      </c>
      <c r="D6464" s="83" t="s">
        <v>14638</v>
      </c>
    </row>
    <row r="6465" spans="1:4">
      <c r="A6465" s="83" t="s">
        <v>14636</v>
      </c>
      <c r="B6465" s="83" t="s">
        <v>5015</v>
      </c>
      <c r="C6465" s="83" t="s">
        <v>14640</v>
      </c>
      <c r="D6465" s="83" t="s">
        <v>14638</v>
      </c>
    </row>
    <row r="6466" spans="1:4">
      <c r="A6466" s="83" t="s">
        <v>14636</v>
      </c>
      <c r="B6466" s="83" t="s">
        <v>5010</v>
      </c>
      <c r="C6466" s="83" t="s">
        <v>14641</v>
      </c>
      <c r="D6466" s="83" t="s">
        <v>14638</v>
      </c>
    </row>
    <row r="6467" spans="1:4">
      <c r="A6467" s="83" t="s">
        <v>14642</v>
      </c>
      <c r="B6467" s="83" t="s">
        <v>5017</v>
      </c>
      <c r="C6467" s="83" t="s">
        <v>14643</v>
      </c>
      <c r="D6467" s="83" t="s">
        <v>14644</v>
      </c>
    </row>
    <row r="6468" spans="1:4">
      <c r="A6468" s="83" t="s">
        <v>14642</v>
      </c>
      <c r="B6468" s="83" t="s">
        <v>5012</v>
      </c>
      <c r="C6468" s="83" t="s">
        <v>14645</v>
      </c>
      <c r="D6468" s="83" t="s">
        <v>14644</v>
      </c>
    </row>
    <row r="6469" spans="1:4">
      <c r="A6469" s="83" t="s">
        <v>14642</v>
      </c>
      <c r="B6469" s="83" t="s">
        <v>5015</v>
      </c>
      <c r="C6469" s="83" t="s">
        <v>14646</v>
      </c>
      <c r="D6469" s="83" t="s">
        <v>14644</v>
      </c>
    </row>
    <row r="6470" spans="1:4">
      <c r="A6470" s="83" t="s">
        <v>14642</v>
      </c>
      <c r="B6470" s="83" t="s">
        <v>5010</v>
      </c>
      <c r="C6470" s="83" t="s">
        <v>14647</v>
      </c>
      <c r="D6470" s="83" t="s">
        <v>14644</v>
      </c>
    </row>
    <row r="6471" spans="1:4">
      <c r="A6471" s="83" t="s">
        <v>14648</v>
      </c>
      <c r="B6471" s="83" t="s">
        <v>5017</v>
      </c>
      <c r="C6471" s="83" t="s">
        <v>14649</v>
      </c>
      <c r="D6471" s="83" t="s">
        <v>14650</v>
      </c>
    </row>
    <row r="6472" spans="1:4">
      <c r="A6472" s="83" t="s">
        <v>14648</v>
      </c>
      <c r="B6472" s="83" t="s">
        <v>5012</v>
      </c>
      <c r="C6472" s="83" t="s">
        <v>14651</v>
      </c>
      <c r="D6472" s="83" t="s">
        <v>14650</v>
      </c>
    </row>
    <row r="6473" spans="1:4">
      <c r="A6473" s="83" t="s">
        <v>14648</v>
      </c>
      <c r="B6473" s="83" t="s">
        <v>5015</v>
      </c>
      <c r="C6473" s="83" t="s">
        <v>14652</v>
      </c>
      <c r="D6473" s="83" t="s">
        <v>14650</v>
      </c>
    </row>
    <row r="6474" spans="1:4">
      <c r="A6474" s="83" t="s">
        <v>14648</v>
      </c>
      <c r="B6474" s="83" t="s">
        <v>5010</v>
      </c>
      <c r="C6474" s="83" t="s">
        <v>14653</v>
      </c>
      <c r="D6474" s="83" t="s">
        <v>14650</v>
      </c>
    </row>
    <row r="6475" spans="1:4">
      <c r="A6475" s="83" t="s">
        <v>14654</v>
      </c>
      <c r="B6475" s="83" t="s">
        <v>5017</v>
      </c>
      <c r="C6475" s="83" t="s">
        <v>14655</v>
      </c>
      <c r="D6475" s="83" t="s">
        <v>14656</v>
      </c>
    </row>
    <row r="6476" spans="1:4">
      <c r="A6476" s="83" t="s">
        <v>14654</v>
      </c>
      <c r="B6476" s="83" t="s">
        <v>5012</v>
      </c>
      <c r="C6476" s="83" t="s">
        <v>14657</v>
      </c>
      <c r="D6476" s="83" t="s">
        <v>14656</v>
      </c>
    </row>
    <row r="6477" spans="1:4">
      <c r="A6477" s="83" t="s">
        <v>14654</v>
      </c>
      <c r="B6477" s="83" t="s">
        <v>5015</v>
      </c>
      <c r="C6477" s="83" t="s">
        <v>14658</v>
      </c>
      <c r="D6477" s="83" t="s">
        <v>14656</v>
      </c>
    </row>
    <row r="6478" spans="1:4">
      <c r="A6478" s="83" t="s">
        <v>14654</v>
      </c>
      <c r="B6478" s="83" t="s">
        <v>5010</v>
      </c>
      <c r="C6478" s="83" t="s">
        <v>14659</v>
      </c>
      <c r="D6478" s="83" t="s">
        <v>14656</v>
      </c>
    </row>
    <row r="6479" spans="1:4">
      <c r="A6479" s="83" t="s">
        <v>14660</v>
      </c>
      <c r="B6479" s="83" t="s">
        <v>5017</v>
      </c>
      <c r="C6479" s="83" t="s">
        <v>14661</v>
      </c>
      <c r="D6479" s="83" t="s">
        <v>14662</v>
      </c>
    </row>
    <row r="6480" spans="1:4">
      <c r="A6480" s="83" t="s">
        <v>14660</v>
      </c>
      <c r="B6480" s="83" t="s">
        <v>5012</v>
      </c>
      <c r="C6480" s="83" t="s">
        <v>14663</v>
      </c>
      <c r="D6480" s="83" t="s">
        <v>14662</v>
      </c>
    </row>
    <row r="6481" spans="1:4">
      <c r="A6481" s="83" t="s">
        <v>14660</v>
      </c>
      <c r="B6481" s="83" t="s">
        <v>5015</v>
      </c>
      <c r="C6481" s="83" t="s">
        <v>14664</v>
      </c>
      <c r="D6481" s="83" t="s">
        <v>14662</v>
      </c>
    </row>
    <row r="6482" spans="1:4">
      <c r="A6482" s="83" t="s">
        <v>14660</v>
      </c>
      <c r="B6482" s="83" t="s">
        <v>5010</v>
      </c>
      <c r="C6482" s="83" t="s">
        <v>14665</v>
      </c>
      <c r="D6482" s="83" t="s">
        <v>14662</v>
      </c>
    </row>
    <row r="6483" spans="1:4">
      <c r="A6483" s="83" t="s">
        <v>14666</v>
      </c>
      <c r="B6483" s="83" t="s">
        <v>5017</v>
      </c>
      <c r="C6483" s="83" t="s">
        <v>14667</v>
      </c>
      <c r="D6483" s="83" t="s">
        <v>14668</v>
      </c>
    </row>
    <row r="6484" spans="1:4">
      <c r="A6484" s="83" t="s">
        <v>14666</v>
      </c>
      <c r="B6484" s="83" t="s">
        <v>5012</v>
      </c>
      <c r="C6484" s="83" t="s">
        <v>14669</v>
      </c>
      <c r="D6484" s="83" t="s">
        <v>14668</v>
      </c>
    </row>
    <row r="6485" spans="1:4">
      <c r="A6485" s="83" t="s">
        <v>14666</v>
      </c>
      <c r="B6485" s="83" t="s">
        <v>5015</v>
      </c>
      <c r="C6485" s="83" t="s">
        <v>14670</v>
      </c>
      <c r="D6485" s="83" t="s">
        <v>14668</v>
      </c>
    </row>
    <row r="6486" spans="1:4">
      <c r="A6486" s="83" t="s">
        <v>14666</v>
      </c>
      <c r="B6486" s="83" t="s">
        <v>5010</v>
      </c>
      <c r="C6486" s="83" t="s">
        <v>14671</v>
      </c>
      <c r="D6486" s="83" t="s">
        <v>14668</v>
      </c>
    </row>
    <row r="6487" spans="1:4">
      <c r="A6487" s="83" t="s">
        <v>14672</v>
      </c>
      <c r="B6487" s="83" t="s">
        <v>5017</v>
      </c>
      <c r="C6487" s="83" t="s">
        <v>14673</v>
      </c>
      <c r="D6487" s="83" t="s">
        <v>14674</v>
      </c>
    </row>
    <row r="6488" spans="1:4">
      <c r="A6488" s="83" t="s">
        <v>14672</v>
      </c>
      <c r="B6488" s="83" t="s">
        <v>5012</v>
      </c>
      <c r="C6488" s="83" t="s">
        <v>14675</v>
      </c>
      <c r="D6488" s="83" t="s">
        <v>14674</v>
      </c>
    </row>
    <row r="6489" spans="1:4">
      <c r="A6489" s="83" t="s">
        <v>14672</v>
      </c>
      <c r="B6489" s="83" t="s">
        <v>5015</v>
      </c>
      <c r="C6489" s="83" t="s">
        <v>14676</v>
      </c>
      <c r="D6489" s="83" t="s">
        <v>14674</v>
      </c>
    </row>
    <row r="6490" spans="1:4">
      <c r="A6490" s="83" t="s">
        <v>14672</v>
      </c>
      <c r="B6490" s="83" t="s">
        <v>5010</v>
      </c>
      <c r="C6490" s="83" t="s">
        <v>14677</v>
      </c>
      <c r="D6490" s="83" t="s">
        <v>14674</v>
      </c>
    </row>
    <row r="6491" spans="1:4">
      <c r="A6491" s="83" t="s">
        <v>14678</v>
      </c>
      <c r="B6491" s="83" t="s">
        <v>5017</v>
      </c>
      <c r="C6491" s="83" t="s">
        <v>14679</v>
      </c>
      <c r="D6491" s="83" t="s">
        <v>14680</v>
      </c>
    </row>
    <row r="6492" spans="1:4">
      <c r="A6492" s="83" t="s">
        <v>14678</v>
      </c>
      <c r="B6492" s="83" t="s">
        <v>5012</v>
      </c>
      <c r="C6492" s="83" t="s">
        <v>14681</v>
      </c>
      <c r="D6492" s="83" t="s">
        <v>14680</v>
      </c>
    </row>
    <row r="6493" spans="1:4">
      <c r="A6493" s="83" t="s">
        <v>14678</v>
      </c>
      <c r="B6493" s="83" t="s">
        <v>5015</v>
      </c>
      <c r="C6493" s="83" t="s">
        <v>14682</v>
      </c>
      <c r="D6493" s="83" t="s">
        <v>14680</v>
      </c>
    </row>
    <row r="6494" spans="1:4">
      <c r="A6494" s="83" t="s">
        <v>14678</v>
      </c>
      <c r="B6494" s="83" t="s">
        <v>5010</v>
      </c>
      <c r="C6494" s="83" t="s">
        <v>14683</v>
      </c>
      <c r="D6494" s="83" t="s">
        <v>14680</v>
      </c>
    </row>
    <row r="6495" spans="1:4">
      <c r="A6495" s="83" t="s">
        <v>14684</v>
      </c>
      <c r="B6495" s="83" t="s">
        <v>5017</v>
      </c>
      <c r="C6495" s="83" t="s">
        <v>14685</v>
      </c>
      <c r="D6495" s="83" t="s">
        <v>14686</v>
      </c>
    </row>
    <row r="6496" spans="1:4">
      <c r="A6496" s="83" t="s">
        <v>14684</v>
      </c>
      <c r="B6496" s="83" t="s">
        <v>5012</v>
      </c>
      <c r="C6496" s="83" t="s">
        <v>14687</v>
      </c>
      <c r="D6496" s="83" t="s">
        <v>14686</v>
      </c>
    </row>
    <row r="6497" spans="1:4">
      <c r="A6497" s="83" t="s">
        <v>14684</v>
      </c>
      <c r="B6497" s="83" t="s">
        <v>5015</v>
      </c>
      <c r="C6497" s="83" t="s">
        <v>14688</v>
      </c>
      <c r="D6497" s="83" t="s">
        <v>14686</v>
      </c>
    </row>
    <row r="6498" spans="1:4">
      <c r="A6498" s="83" t="s">
        <v>14684</v>
      </c>
      <c r="B6498" s="83" t="s">
        <v>5010</v>
      </c>
      <c r="C6498" s="83" t="s">
        <v>14689</v>
      </c>
      <c r="D6498" s="83" t="s">
        <v>14686</v>
      </c>
    </row>
    <row r="6499" spans="1:4">
      <c r="A6499" s="83" t="s">
        <v>14690</v>
      </c>
      <c r="B6499" s="83" t="s">
        <v>5017</v>
      </c>
      <c r="C6499" s="83" t="s">
        <v>14691</v>
      </c>
      <c r="D6499" s="83" t="s">
        <v>14692</v>
      </c>
    </row>
    <row r="6500" spans="1:4">
      <c r="A6500" s="83" t="s">
        <v>14690</v>
      </c>
      <c r="B6500" s="83" t="s">
        <v>5012</v>
      </c>
      <c r="C6500" s="83" t="s">
        <v>14693</v>
      </c>
      <c r="D6500" s="83" t="s">
        <v>14692</v>
      </c>
    </row>
    <row r="6501" spans="1:4">
      <c r="A6501" s="83" t="s">
        <v>14690</v>
      </c>
      <c r="B6501" s="83" t="s">
        <v>5015</v>
      </c>
      <c r="C6501" s="83" t="s">
        <v>14694</v>
      </c>
      <c r="D6501" s="83" t="s">
        <v>14692</v>
      </c>
    </row>
    <row r="6502" spans="1:4">
      <c r="A6502" s="83" t="s">
        <v>14690</v>
      </c>
      <c r="B6502" s="83" t="s">
        <v>5010</v>
      </c>
      <c r="C6502" s="83" t="s">
        <v>14695</v>
      </c>
      <c r="D6502" s="83" t="s">
        <v>14692</v>
      </c>
    </row>
    <row r="6503" spans="1:4">
      <c r="A6503" s="83" t="s">
        <v>14696</v>
      </c>
      <c r="B6503" s="83" t="s">
        <v>5017</v>
      </c>
      <c r="C6503" s="83" t="s">
        <v>14697</v>
      </c>
      <c r="D6503" s="83" t="s">
        <v>14698</v>
      </c>
    </row>
    <row r="6504" spans="1:4">
      <c r="A6504" s="83" t="s">
        <v>14696</v>
      </c>
      <c r="B6504" s="83" t="s">
        <v>5012</v>
      </c>
      <c r="C6504" s="83" t="s">
        <v>14699</v>
      </c>
      <c r="D6504" s="83" t="s">
        <v>14698</v>
      </c>
    </row>
    <row r="6505" spans="1:4">
      <c r="A6505" s="83" t="s">
        <v>14696</v>
      </c>
      <c r="B6505" s="83" t="s">
        <v>5015</v>
      </c>
      <c r="C6505" s="83" t="s">
        <v>14700</v>
      </c>
      <c r="D6505" s="83" t="s">
        <v>14698</v>
      </c>
    </row>
    <row r="6506" spans="1:4">
      <c r="A6506" s="83" t="s">
        <v>14696</v>
      </c>
      <c r="B6506" s="83" t="s">
        <v>5010</v>
      </c>
      <c r="C6506" s="83" t="s">
        <v>14701</v>
      </c>
      <c r="D6506" s="83" t="s">
        <v>14698</v>
      </c>
    </row>
    <row r="6507" spans="1:4">
      <c r="A6507" s="83" t="s">
        <v>14702</v>
      </c>
      <c r="B6507" s="83" t="s">
        <v>5017</v>
      </c>
      <c r="C6507" s="83" t="s">
        <v>14703</v>
      </c>
      <c r="D6507" s="83" t="s">
        <v>14704</v>
      </c>
    </row>
    <row r="6508" spans="1:4">
      <c r="A6508" s="83" t="s">
        <v>14702</v>
      </c>
      <c r="B6508" s="83" t="s">
        <v>5012</v>
      </c>
      <c r="C6508" s="83" t="s">
        <v>14705</v>
      </c>
      <c r="D6508" s="83" t="s">
        <v>14704</v>
      </c>
    </row>
    <row r="6509" spans="1:4">
      <c r="A6509" s="83" t="s">
        <v>14702</v>
      </c>
      <c r="B6509" s="83" t="s">
        <v>5015</v>
      </c>
      <c r="C6509" s="83" t="s">
        <v>14706</v>
      </c>
      <c r="D6509" s="83" t="s">
        <v>14704</v>
      </c>
    </row>
    <row r="6510" spans="1:4">
      <c r="A6510" s="83" t="s">
        <v>14702</v>
      </c>
      <c r="B6510" s="83" t="s">
        <v>5010</v>
      </c>
      <c r="C6510" s="83" t="s">
        <v>14707</v>
      </c>
      <c r="D6510" s="83" t="s">
        <v>14704</v>
      </c>
    </row>
    <row r="6511" spans="1:4">
      <c r="A6511" s="83" t="s">
        <v>14708</v>
      </c>
      <c r="B6511" s="83" t="s">
        <v>5017</v>
      </c>
      <c r="C6511" s="83" t="s">
        <v>14709</v>
      </c>
      <c r="D6511" s="83" t="s">
        <v>14710</v>
      </c>
    </row>
    <row r="6512" spans="1:4">
      <c r="A6512" s="83" t="s">
        <v>14708</v>
      </c>
      <c r="B6512" s="83" t="s">
        <v>5012</v>
      </c>
      <c r="C6512" s="83" t="s">
        <v>14711</v>
      </c>
      <c r="D6512" s="83" t="s">
        <v>14710</v>
      </c>
    </row>
    <row r="6513" spans="1:4">
      <c r="A6513" s="83" t="s">
        <v>14708</v>
      </c>
      <c r="B6513" s="83" t="s">
        <v>5015</v>
      </c>
      <c r="C6513" s="83" t="s">
        <v>14712</v>
      </c>
      <c r="D6513" s="83" t="s">
        <v>14710</v>
      </c>
    </row>
    <row r="6514" spans="1:4">
      <c r="A6514" s="83" t="s">
        <v>14708</v>
      </c>
      <c r="B6514" s="83" t="s">
        <v>5010</v>
      </c>
      <c r="C6514" s="83" t="s">
        <v>14713</v>
      </c>
      <c r="D6514" s="83" t="s">
        <v>14710</v>
      </c>
    </row>
    <row r="6515" spans="1:4">
      <c r="A6515" s="83" t="s">
        <v>14714</v>
      </c>
      <c r="B6515" s="83" t="s">
        <v>5017</v>
      </c>
      <c r="C6515" s="83" t="s">
        <v>14715</v>
      </c>
      <c r="D6515" s="83" t="s">
        <v>14716</v>
      </c>
    </row>
    <row r="6516" spans="1:4">
      <c r="A6516" s="83" t="s">
        <v>14714</v>
      </c>
      <c r="B6516" s="83" t="s">
        <v>5012</v>
      </c>
      <c r="C6516" s="83" t="s">
        <v>14717</v>
      </c>
      <c r="D6516" s="83" t="s">
        <v>14716</v>
      </c>
    </row>
    <row r="6517" spans="1:4">
      <c r="A6517" s="83" t="s">
        <v>14714</v>
      </c>
      <c r="B6517" s="83" t="s">
        <v>5015</v>
      </c>
      <c r="C6517" s="83" t="s">
        <v>14718</v>
      </c>
      <c r="D6517" s="83" t="s">
        <v>14716</v>
      </c>
    </row>
    <row r="6518" spans="1:4">
      <c r="A6518" s="83" t="s">
        <v>14714</v>
      </c>
      <c r="B6518" s="83" t="s">
        <v>5010</v>
      </c>
      <c r="C6518" s="83" t="s">
        <v>14719</v>
      </c>
      <c r="D6518" s="83" t="s">
        <v>14716</v>
      </c>
    </row>
    <row r="6519" spans="1:4">
      <c r="A6519" s="83" t="s">
        <v>14720</v>
      </c>
      <c r="B6519" s="83" t="s">
        <v>5017</v>
      </c>
      <c r="C6519" s="83" t="s">
        <v>14721</v>
      </c>
      <c r="D6519" s="83" t="s">
        <v>14722</v>
      </c>
    </row>
    <row r="6520" spans="1:4">
      <c r="A6520" s="83" t="s">
        <v>14720</v>
      </c>
      <c r="B6520" s="83" t="s">
        <v>5012</v>
      </c>
      <c r="C6520" s="83" t="s">
        <v>14723</v>
      </c>
      <c r="D6520" s="83" t="s">
        <v>14722</v>
      </c>
    </row>
    <row r="6521" spans="1:4">
      <c r="A6521" s="83" t="s">
        <v>14720</v>
      </c>
      <c r="B6521" s="83" t="s">
        <v>5015</v>
      </c>
      <c r="C6521" s="83" t="s">
        <v>14724</v>
      </c>
      <c r="D6521" s="83" t="s">
        <v>14722</v>
      </c>
    </row>
    <row r="6522" spans="1:4">
      <c r="A6522" s="83" t="s">
        <v>14720</v>
      </c>
      <c r="B6522" s="83" t="s">
        <v>5010</v>
      </c>
      <c r="C6522" s="83" t="s">
        <v>14725</v>
      </c>
      <c r="D6522" s="83" t="s">
        <v>14722</v>
      </c>
    </row>
    <row r="6523" spans="1:4">
      <c r="A6523" s="83" t="s">
        <v>14726</v>
      </c>
      <c r="B6523" s="83" t="s">
        <v>5017</v>
      </c>
      <c r="C6523" s="83" t="s">
        <v>14727</v>
      </c>
      <c r="D6523" s="83" t="s">
        <v>14728</v>
      </c>
    </row>
    <row r="6524" spans="1:4">
      <c r="A6524" s="83" t="s">
        <v>14726</v>
      </c>
      <c r="B6524" s="83" t="s">
        <v>5012</v>
      </c>
      <c r="C6524" s="83" t="s">
        <v>14729</v>
      </c>
      <c r="D6524" s="83" t="s">
        <v>14728</v>
      </c>
    </row>
    <row r="6525" spans="1:4">
      <c r="A6525" s="83" t="s">
        <v>14726</v>
      </c>
      <c r="B6525" s="83" t="s">
        <v>5015</v>
      </c>
      <c r="C6525" s="83" t="s">
        <v>14730</v>
      </c>
      <c r="D6525" s="83" t="s">
        <v>14728</v>
      </c>
    </row>
    <row r="6526" spans="1:4">
      <c r="A6526" s="83" t="s">
        <v>14726</v>
      </c>
      <c r="B6526" s="83" t="s">
        <v>5010</v>
      </c>
      <c r="C6526" s="83" t="s">
        <v>14731</v>
      </c>
      <c r="D6526" s="83" t="s">
        <v>14728</v>
      </c>
    </row>
    <row r="6527" spans="1:4">
      <c r="A6527" s="83" t="s">
        <v>14732</v>
      </c>
      <c r="B6527" s="83" t="s">
        <v>5017</v>
      </c>
      <c r="C6527" s="83" t="s">
        <v>14733</v>
      </c>
      <c r="D6527" s="83" t="s">
        <v>14734</v>
      </c>
    </row>
    <row r="6528" spans="1:4">
      <c r="A6528" s="83" t="s">
        <v>14732</v>
      </c>
      <c r="B6528" s="83" t="s">
        <v>5012</v>
      </c>
      <c r="C6528" s="83" t="s">
        <v>14735</v>
      </c>
      <c r="D6528" s="83" t="s">
        <v>14734</v>
      </c>
    </row>
    <row r="6529" spans="1:4">
      <c r="A6529" s="83" t="s">
        <v>14732</v>
      </c>
      <c r="B6529" s="83" t="s">
        <v>5015</v>
      </c>
      <c r="C6529" s="83" t="s">
        <v>14736</v>
      </c>
      <c r="D6529" s="83" t="s">
        <v>14734</v>
      </c>
    </row>
    <row r="6530" spans="1:4">
      <c r="A6530" s="83" t="s">
        <v>14732</v>
      </c>
      <c r="B6530" s="83" t="s">
        <v>5010</v>
      </c>
      <c r="C6530" s="83" t="s">
        <v>14737</v>
      </c>
      <c r="D6530" s="83" t="s">
        <v>14734</v>
      </c>
    </row>
    <row r="6531" spans="1:4">
      <c r="A6531" s="83" t="s">
        <v>14738</v>
      </c>
      <c r="B6531" s="83" t="s">
        <v>5017</v>
      </c>
      <c r="C6531" s="83" t="s">
        <v>14739</v>
      </c>
      <c r="D6531" s="83" t="s">
        <v>14740</v>
      </c>
    </row>
    <row r="6532" spans="1:4">
      <c r="A6532" s="83" t="s">
        <v>14738</v>
      </c>
      <c r="B6532" s="83" t="s">
        <v>5012</v>
      </c>
      <c r="C6532" s="83" t="s">
        <v>14741</v>
      </c>
      <c r="D6532" s="83" t="s">
        <v>14740</v>
      </c>
    </row>
    <row r="6533" spans="1:4">
      <c r="A6533" s="83" t="s">
        <v>14738</v>
      </c>
      <c r="B6533" s="83" t="s">
        <v>5015</v>
      </c>
      <c r="C6533" s="83" t="s">
        <v>14742</v>
      </c>
      <c r="D6533" s="83" t="s">
        <v>14740</v>
      </c>
    </row>
    <row r="6534" spans="1:4">
      <c r="A6534" s="83" t="s">
        <v>14738</v>
      </c>
      <c r="B6534" s="83" t="s">
        <v>5010</v>
      </c>
      <c r="C6534" s="83" t="s">
        <v>14743</v>
      </c>
      <c r="D6534" s="83" t="s">
        <v>14740</v>
      </c>
    </row>
    <row r="6535" spans="1:4">
      <c r="A6535" s="83" t="s">
        <v>14744</v>
      </c>
      <c r="B6535" s="83" t="s">
        <v>5017</v>
      </c>
      <c r="C6535" s="83" t="s">
        <v>14745</v>
      </c>
      <c r="D6535" s="83" t="s">
        <v>14746</v>
      </c>
    </row>
    <row r="6536" spans="1:4">
      <c r="A6536" s="83" t="s">
        <v>14744</v>
      </c>
      <c r="B6536" s="83" t="s">
        <v>5012</v>
      </c>
      <c r="C6536" s="83" t="s">
        <v>14747</v>
      </c>
      <c r="D6536" s="83" t="s">
        <v>14746</v>
      </c>
    </row>
    <row r="6537" spans="1:4">
      <c r="A6537" s="83" t="s">
        <v>14744</v>
      </c>
      <c r="B6537" s="83" t="s">
        <v>5015</v>
      </c>
      <c r="C6537" s="83" t="s">
        <v>14748</v>
      </c>
      <c r="D6537" s="83" t="s">
        <v>14746</v>
      </c>
    </row>
    <row r="6538" spans="1:4">
      <c r="A6538" s="83" t="s">
        <v>14744</v>
      </c>
      <c r="B6538" s="83" t="s">
        <v>5010</v>
      </c>
      <c r="C6538" s="83" t="s">
        <v>14749</v>
      </c>
      <c r="D6538" s="83" t="s">
        <v>14746</v>
      </c>
    </row>
    <row r="6539" spans="1:4">
      <c r="A6539" s="83" t="s">
        <v>14750</v>
      </c>
      <c r="B6539" s="83" t="s">
        <v>5017</v>
      </c>
      <c r="C6539" s="83" t="s">
        <v>14751</v>
      </c>
      <c r="D6539" s="83" t="s">
        <v>14752</v>
      </c>
    </row>
    <row r="6540" spans="1:4">
      <c r="A6540" s="83" t="s">
        <v>14750</v>
      </c>
      <c r="B6540" s="83" t="s">
        <v>5012</v>
      </c>
      <c r="C6540" s="83" t="s">
        <v>14753</v>
      </c>
      <c r="D6540" s="83" t="s">
        <v>14752</v>
      </c>
    </row>
    <row r="6541" spans="1:4">
      <c r="A6541" s="83" t="s">
        <v>14750</v>
      </c>
      <c r="B6541" s="83" t="s">
        <v>5015</v>
      </c>
      <c r="C6541" s="83" t="s">
        <v>14754</v>
      </c>
      <c r="D6541" s="83" t="s">
        <v>14752</v>
      </c>
    </row>
    <row r="6542" spans="1:4">
      <c r="A6542" s="83" t="s">
        <v>14750</v>
      </c>
      <c r="B6542" s="83" t="s">
        <v>5010</v>
      </c>
      <c r="C6542" s="83" t="s">
        <v>14755</v>
      </c>
      <c r="D6542" s="83" t="s">
        <v>14752</v>
      </c>
    </row>
    <row r="6543" spans="1:4">
      <c r="A6543" s="83" t="s">
        <v>14756</v>
      </c>
      <c r="B6543" s="83" t="s">
        <v>5017</v>
      </c>
      <c r="C6543" s="83" t="s">
        <v>14757</v>
      </c>
      <c r="D6543" s="83" t="s">
        <v>14758</v>
      </c>
    </row>
    <row r="6544" spans="1:4">
      <c r="A6544" s="83" t="s">
        <v>14756</v>
      </c>
      <c r="B6544" s="83" t="s">
        <v>5012</v>
      </c>
      <c r="C6544" s="83" t="s">
        <v>14759</v>
      </c>
      <c r="D6544" s="83" t="s">
        <v>14758</v>
      </c>
    </row>
    <row r="6545" spans="1:4">
      <c r="A6545" s="83" t="s">
        <v>14756</v>
      </c>
      <c r="B6545" s="83" t="s">
        <v>5015</v>
      </c>
      <c r="C6545" s="83" t="s">
        <v>14760</v>
      </c>
      <c r="D6545" s="83" t="s">
        <v>14758</v>
      </c>
    </row>
    <row r="6546" spans="1:4">
      <c r="A6546" s="83" t="s">
        <v>14756</v>
      </c>
      <c r="B6546" s="83" t="s">
        <v>5010</v>
      </c>
      <c r="C6546" s="83" t="s">
        <v>14761</v>
      </c>
      <c r="D6546" s="83" t="s">
        <v>14758</v>
      </c>
    </row>
    <row r="6547" spans="1:4">
      <c r="A6547" s="83" t="s">
        <v>14762</v>
      </c>
      <c r="B6547" s="83" t="s">
        <v>5017</v>
      </c>
      <c r="C6547" s="83" t="s">
        <v>14763</v>
      </c>
      <c r="D6547" s="83" t="s">
        <v>14764</v>
      </c>
    </row>
    <row r="6548" spans="1:4">
      <c r="A6548" s="83" t="s">
        <v>14762</v>
      </c>
      <c r="B6548" s="83" t="s">
        <v>5012</v>
      </c>
      <c r="C6548" s="83" t="s">
        <v>14765</v>
      </c>
      <c r="D6548" s="83" t="s">
        <v>14764</v>
      </c>
    </row>
    <row r="6549" spans="1:4">
      <c r="A6549" s="83" t="s">
        <v>14762</v>
      </c>
      <c r="B6549" s="83" t="s">
        <v>5015</v>
      </c>
      <c r="C6549" s="83" t="s">
        <v>14766</v>
      </c>
      <c r="D6549" s="83" t="s">
        <v>14764</v>
      </c>
    </row>
    <row r="6550" spans="1:4">
      <c r="A6550" s="83" t="s">
        <v>14762</v>
      </c>
      <c r="B6550" s="83" t="s">
        <v>5010</v>
      </c>
      <c r="C6550" s="83" t="s">
        <v>14767</v>
      </c>
      <c r="D6550" s="83" t="s">
        <v>14764</v>
      </c>
    </row>
    <row r="6551" spans="1:4">
      <c r="A6551" s="83" t="s">
        <v>14768</v>
      </c>
      <c r="B6551" s="83" t="s">
        <v>5017</v>
      </c>
      <c r="C6551" s="83" t="s">
        <v>14769</v>
      </c>
      <c r="D6551" s="83" t="s">
        <v>14770</v>
      </c>
    </row>
    <row r="6552" spans="1:4">
      <c r="A6552" s="83" t="s">
        <v>14768</v>
      </c>
      <c r="B6552" s="83" t="s">
        <v>5012</v>
      </c>
      <c r="C6552" s="83" t="s">
        <v>14771</v>
      </c>
      <c r="D6552" s="83" t="s">
        <v>14770</v>
      </c>
    </row>
    <row r="6553" spans="1:4">
      <c r="A6553" s="83" t="s">
        <v>14768</v>
      </c>
      <c r="B6553" s="83" t="s">
        <v>5015</v>
      </c>
      <c r="C6553" s="83" t="s">
        <v>14772</v>
      </c>
      <c r="D6553" s="83" t="s">
        <v>14770</v>
      </c>
    </row>
    <row r="6554" spans="1:4">
      <c r="A6554" s="83" t="s">
        <v>14768</v>
      </c>
      <c r="B6554" s="83" t="s">
        <v>5010</v>
      </c>
      <c r="C6554" s="83" t="s">
        <v>14773</v>
      </c>
      <c r="D6554" s="83" t="s">
        <v>14770</v>
      </c>
    </row>
    <row r="6555" spans="1:4">
      <c r="A6555" s="83" t="s">
        <v>14774</v>
      </c>
      <c r="B6555" s="83" t="s">
        <v>5017</v>
      </c>
      <c r="C6555" s="83" t="s">
        <v>14775</v>
      </c>
      <c r="D6555" s="83" t="s">
        <v>14776</v>
      </c>
    </row>
    <row r="6556" spans="1:4">
      <c r="A6556" s="83" t="s">
        <v>14774</v>
      </c>
      <c r="B6556" s="83" t="s">
        <v>5012</v>
      </c>
      <c r="C6556" s="83" t="s">
        <v>14777</v>
      </c>
      <c r="D6556" s="83" t="s">
        <v>14776</v>
      </c>
    </row>
    <row r="6557" spans="1:4">
      <c r="A6557" s="83" t="s">
        <v>14774</v>
      </c>
      <c r="B6557" s="83" t="s">
        <v>5015</v>
      </c>
      <c r="C6557" s="83" t="s">
        <v>14778</v>
      </c>
      <c r="D6557" s="83" t="s">
        <v>14776</v>
      </c>
    </row>
    <row r="6558" spans="1:4">
      <c r="A6558" s="83" t="s">
        <v>14774</v>
      </c>
      <c r="B6558" s="83" t="s">
        <v>5010</v>
      </c>
      <c r="C6558" s="83" t="s">
        <v>14779</v>
      </c>
      <c r="D6558" s="83" t="s">
        <v>14776</v>
      </c>
    </row>
    <row r="6559" spans="1:4">
      <c r="A6559" s="83" t="s">
        <v>14780</v>
      </c>
      <c r="B6559" s="83" t="s">
        <v>5017</v>
      </c>
      <c r="C6559" s="83" t="s">
        <v>14781</v>
      </c>
      <c r="D6559" s="83" t="s">
        <v>14782</v>
      </c>
    </row>
    <row r="6560" spans="1:4">
      <c r="A6560" s="83" t="s">
        <v>14780</v>
      </c>
      <c r="B6560" s="83" t="s">
        <v>5012</v>
      </c>
      <c r="C6560" s="83" t="s">
        <v>14783</v>
      </c>
      <c r="D6560" s="83" t="s">
        <v>14782</v>
      </c>
    </row>
    <row r="6561" spans="1:4">
      <c r="A6561" s="83" t="s">
        <v>14780</v>
      </c>
      <c r="B6561" s="83" t="s">
        <v>5015</v>
      </c>
      <c r="C6561" s="83" t="s">
        <v>14784</v>
      </c>
      <c r="D6561" s="83" t="s">
        <v>14782</v>
      </c>
    </row>
    <row r="6562" spans="1:4">
      <c r="A6562" s="83" t="s">
        <v>14780</v>
      </c>
      <c r="B6562" s="83" t="s">
        <v>5010</v>
      </c>
      <c r="C6562" s="83" t="s">
        <v>14785</v>
      </c>
      <c r="D6562" s="83" t="s">
        <v>14782</v>
      </c>
    </row>
    <row r="6563" spans="1:4">
      <c r="A6563" s="83" t="s">
        <v>14786</v>
      </c>
      <c r="B6563" s="83" t="s">
        <v>5017</v>
      </c>
      <c r="C6563" s="83" t="s">
        <v>14787</v>
      </c>
      <c r="D6563" s="83" t="s">
        <v>14788</v>
      </c>
    </row>
    <row r="6564" spans="1:4">
      <c r="A6564" s="83" t="s">
        <v>14786</v>
      </c>
      <c r="B6564" s="83" t="s">
        <v>5012</v>
      </c>
      <c r="C6564" s="83" t="s">
        <v>14789</v>
      </c>
      <c r="D6564" s="83" t="s">
        <v>14788</v>
      </c>
    </row>
    <row r="6565" spans="1:4">
      <c r="A6565" s="83" t="s">
        <v>14786</v>
      </c>
      <c r="B6565" s="83" t="s">
        <v>5015</v>
      </c>
      <c r="C6565" s="83" t="s">
        <v>14790</v>
      </c>
      <c r="D6565" s="83" t="s">
        <v>14788</v>
      </c>
    </row>
    <row r="6566" spans="1:4">
      <c r="A6566" s="83" t="s">
        <v>14786</v>
      </c>
      <c r="B6566" s="83" t="s">
        <v>5010</v>
      </c>
      <c r="C6566" s="83" t="s">
        <v>14791</v>
      </c>
      <c r="D6566" s="83" t="s">
        <v>14788</v>
      </c>
    </row>
    <row r="6567" spans="1:4">
      <c r="A6567" s="83" t="s">
        <v>14792</v>
      </c>
      <c r="B6567" s="83" t="s">
        <v>5017</v>
      </c>
      <c r="C6567" s="83" t="s">
        <v>14793</v>
      </c>
      <c r="D6567" s="83" t="s">
        <v>14794</v>
      </c>
    </row>
    <row r="6568" spans="1:4">
      <c r="A6568" s="83" t="s">
        <v>14792</v>
      </c>
      <c r="B6568" s="83" t="s">
        <v>5012</v>
      </c>
      <c r="C6568" s="83" t="s">
        <v>14795</v>
      </c>
      <c r="D6568" s="83" t="s">
        <v>14794</v>
      </c>
    </row>
    <row r="6569" spans="1:4">
      <c r="A6569" s="83" t="s">
        <v>14792</v>
      </c>
      <c r="B6569" s="83" t="s">
        <v>5015</v>
      </c>
      <c r="C6569" s="83" t="s">
        <v>14796</v>
      </c>
      <c r="D6569" s="83" t="s">
        <v>14794</v>
      </c>
    </row>
    <row r="6570" spans="1:4">
      <c r="A6570" s="83" t="s">
        <v>14792</v>
      </c>
      <c r="B6570" s="83" t="s">
        <v>5010</v>
      </c>
      <c r="C6570" s="83" t="s">
        <v>14797</v>
      </c>
      <c r="D6570" s="83" t="s">
        <v>14794</v>
      </c>
    </row>
    <row r="6571" spans="1:4">
      <c r="A6571" s="83" t="s">
        <v>14798</v>
      </c>
      <c r="B6571" s="83" t="s">
        <v>5017</v>
      </c>
      <c r="C6571" s="83" t="s">
        <v>14799</v>
      </c>
      <c r="D6571" s="83" t="s">
        <v>14800</v>
      </c>
    </row>
    <row r="6572" spans="1:4">
      <c r="A6572" s="83" t="s">
        <v>14798</v>
      </c>
      <c r="B6572" s="83" t="s">
        <v>5012</v>
      </c>
      <c r="C6572" s="83" t="s">
        <v>14801</v>
      </c>
      <c r="D6572" s="83" t="s">
        <v>14800</v>
      </c>
    </row>
    <row r="6573" spans="1:4">
      <c r="A6573" s="83" t="s">
        <v>14798</v>
      </c>
      <c r="B6573" s="83" t="s">
        <v>5015</v>
      </c>
      <c r="C6573" s="83" t="s">
        <v>14802</v>
      </c>
      <c r="D6573" s="83" t="s">
        <v>14800</v>
      </c>
    </row>
    <row r="6574" spans="1:4">
      <c r="A6574" s="83" t="s">
        <v>14798</v>
      </c>
      <c r="B6574" s="83" t="s">
        <v>5010</v>
      </c>
      <c r="C6574" s="83" t="s">
        <v>14803</v>
      </c>
      <c r="D6574" s="83" t="s">
        <v>14800</v>
      </c>
    </row>
    <row r="6575" spans="1:4">
      <c r="A6575" s="83" t="s">
        <v>14804</v>
      </c>
      <c r="B6575" s="83" t="s">
        <v>5017</v>
      </c>
      <c r="C6575" s="83" t="s">
        <v>14805</v>
      </c>
      <c r="D6575" s="83" t="s">
        <v>14806</v>
      </c>
    </row>
    <row r="6576" spans="1:4">
      <c r="A6576" s="83" t="s">
        <v>14804</v>
      </c>
      <c r="B6576" s="83" t="s">
        <v>5012</v>
      </c>
      <c r="C6576" s="83" t="s">
        <v>14807</v>
      </c>
      <c r="D6576" s="83" t="s">
        <v>14806</v>
      </c>
    </row>
    <row r="6577" spans="1:4">
      <c r="A6577" s="83" t="s">
        <v>14804</v>
      </c>
      <c r="B6577" s="83" t="s">
        <v>5015</v>
      </c>
      <c r="C6577" s="83" t="s">
        <v>14808</v>
      </c>
      <c r="D6577" s="83" t="s">
        <v>14806</v>
      </c>
    </row>
    <row r="6578" spans="1:4">
      <c r="A6578" s="83" t="s">
        <v>14804</v>
      </c>
      <c r="B6578" s="83" t="s">
        <v>5010</v>
      </c>
      <c r="C6578" s="83" t="s">
        <v>14809</v>
      </c>
      <c r="D6578" s="83" t="s">
        <v>14806</v>
      </c>
    </row>
    <row r="6579" spans="1:4">
      <c r="A6579" s="83" t="s">
        <v>14810</v>
      </c>
      <c r="B6579" s="83" t="s">
        <v>5017</v>
      </c>
      <c r="C6579" s="83" t="s">
        <v>14811</v>
      </c>
      <c r="D6579" s="83" t="s">
        <v>14812</v>
      </c>
    </row>
    <row r="6580" spans="1:4">
      <c r="A6580" s="83" t="s">
        <v>14810</v>
      </c>
      <c r="B6580" s="83" t="s">
        <v>5012</v>
      </c>
      <c r="C6580" s="83" t="s">
        <v>14813</v>
      </c>
      <c r="D6580" s="83" t="s">
        <v>14812</v>
      </c>
    </row>
    <row r="6581" spans="1:4">
      <c r="A6581" s="83" t="s">
        <v>14810</v>
      </c>
      <c r="B6581" s="83" t="s">
        <v>5015</v>
      </c>
      <c r="C6581" s="83" t="s">
        <v>14814</v>
      </c>
      <c r="D6581" s="83" t="s">
        <v>14812</v>
      </c>
    </row>
    <row r="6582" spans="1:4">
      <c r="A6582" s="83" t="s">
        <v>14810</v>
      </c>
      <c r="B6582" s="83" t="s">
        <v>5010</v>
      </c>
      <c r="C6582" s="83" t="s">
        <v>14815</v>
      </c>
      <c r="D6582" s="83" t="s">
        <v>14812</v>
      </c>
    </row>
    <row r="6583" spans="1:4">
      <c r="A6583" s="83" t="s">
        <v>14816</v>
      </c>
      <c r="B6583" s="83" t="s">
        <v>5017</v>
      </c>
      <c r="C6583" s="83" t="s">
        <v>14817</v>
      </c>
      <c r="D6583" s="83" t="s">
        <v>14818</v>
      </c>
    </row>
    <row r="6584" spans="1:4">
      <c r="A6584" s="83" t="s">
        <v>14816</v>
      </c>
      <c r="B6584" s="83" t="s">
        <v>5012</v>
      </c>
      <c r="C6584" s="83" t="s">
        <v>14819</v>
      </c>
      <c r="D6584" s="83" t="s">
        <v>14818</v>
      </c>
    </row>
    <row r="6585" spans="1:4">
      <c r="A6585" s="83" t="s">
        <v>14816</v>
      </c>
      <c r="B6585" s="83" t="s">
        <v>5015</v>
      </c>
      <c r="C6585" s="83" t="s">
        <v>14820</v>
      </c>
      <c r="D6585" s="83" t="s">
        <v>14818</v>
      </c>
    </row>
    <row r="6586" spans="1:4">
      <c r="A6586" s="83" t="s">
        <v>14816</v>
      </c>
      <c r="B6586" s="83" t="s">
        <v>5010</v>
      </c>
      <c r="C6586" s="83" t="s">
        <v>14821</v>
      </c>
      <c r="D6586" s="83" t="s">
        <v>14818</v>
      </c>
    </row>
    <row r="6587" spans="1:4">
      <c r="A6587" s="83" t="s">
        <v>14822</v>
      </c>
      <c r="B6587" s="83" t="s">
        <v>5017</v>
      </c>
      <c r="C6587" s="83" t="s">
        <v>14823</v>
      </c>
      <c r="D6587" s="83" t="s">
        <v>14824</v>
      </c>
    </row>
    <row r="6588" spans="1:4">
      <c r="A6588" s="83" t="s">
        <v>14822</v>
      </c>
      <c r="B6588" s="83" t="s">
        <v>5012</v>
      </c>
      <c r="C6588" s="83" t="s">
        <v>14825</v>
      </c>
      <c r="D6588" s="83" t="s">
        <v>14824</v>
      </c>
    </row>
    <row r="6589" spans="1:4">
      <c r="A6589" s="83" t="s">
        <v>14822</v>
      </c>
      <c r="B6589" s="83" t="s">
        <v>5015</v>
      </c>
      <c r="C6589" s="83" t="s">
        <v>14826</v>
      </c>
      <c r="D6589" s="83" t="s">
        <v>14824</v>
      </c>
    </row>
    <row r="6590" spans="1:4">
      <c r="A6590" s="83" t="s">
        <v>14822</v>
      </c>
      <c r="B6590" s="83" t="s">
        <v>5010</v>
      </c>
      <c r="C6590" s="83" t="s">
        <v>14827</v>
      </c>
      <c r="D6590" s="83" t="s">
        <v>14824</v>
      </c>
    </row>
    <row r="6591" spans="1:4">
      <c r="A6591" s="83" t="s">
        <v>14828</v>
      </c>
      <c r="B6591" s="83" t="s">
        <v>5017</v>
      </c>
      <c r="C6591" s="83" t="s">
        <v>14829</v>
      </c>
      <c r="D6591" s="83" t="s">
        <v>14830</v>
      </c>
    </row>
    <row r="6592" spans="1:4">
      <c r="A6592" s="83" t="s">
        <v>14828</v>
      </c>
      <c r="B6592" s="83" t="s">
        <v>5012</v>
      </c>
      <c r="C6592" s="83" t="s">
        <v>14831</v>
      </c>
      <c r="D6592" s="83" t="s">
        <v>14830</v>
      </c>
    </row>
    <row r="6593" spans="1:4">
      <c r="A6593" s="83" t="s">
        <v>14828</v>
      </c>
      <c r="B6593" s="83" t="s">
        <v>5015</v>
      </c>
      <c r="C6593" s="83" t="s">
        <v>14832</v>
      </c>
      <c r="D6593" s="83" t="s">
        <v>14830</v>
      </c>
    </row>
    <row r="6594" spans="1:4">
      <c r="A6594" s="83" t="s">
        <v>14828</v>
      </c>
      <c r="B6594" s="83" t="s">
        <v>5010</v>
      </c>
      <c r="C6594" s="83" t="s">
        <v>14833</v>
      </c>
      <c r="D6594" s="83" t="s">
        <v>14830</v>
      </c>
    </row>
    <row r="6595" spans="1:4">
      <c r="A6595" s="83" t="s">
        <v>14834</v>
      </c>
      <c r="B6595" s="83" t="s">
        <v>5017</v>
      </c>
      <c r="C6595" s="83" t="s">
        <v>14835</v>
      </c>
      <c r="D6595" s="83" t="s">
        <v>14836</v>
      </c>
    </row>
    <row r="6596" spans="1:4">
      <c r="A6596" s="83" t="s">
        <v>14834</v>
      </c>
      <c r="B6596" s="83" t="s">
        <v>5012</v>
      </c>
      <c r="C6596" s="83" t="s">
        <v>14837</v>
      </c>
      <c r="D6596" s="83" t="s">
        <v>14836</v>
      </c>
    </row>
    <row r="6597" spans="1:4">
      <c r="A6597" s="83" t="s">
        <v>14834</v>
      </c>
      <c r="B6597" s="83" t="s">
        <v>5015</v>
      </c>
      <c r="C6597" s="83" t="s">
        <v>14838</v>
      </c>
      <c r="D6597" s="83" t="s">
        <v>14836</v>
      </c>
    </row>
    <row r="6598" spans="1:4">
      <c r="A6598" s="83" t="s">
        <v>14834</v>
      </c>
      <c r="B6598" s="83" t="s">
        <v>5010</v>
      </c>
      <c r="C6598" s="83" t="s">
        <v>14839</v>
      </c>
      <c r="D6598" s="83" t="s">
        <v>14836</v>
      </c>
    </row>
    <row r="6599" spans="1:4">
      <c r="A6599" s="83" t="s">
        <v>14840</v>
      </c>
      <c r="B6599" s="83" t="s">
        <v>5017</v>
      </c>
      <c r="C6599" s="83" t="s">
        <v>14841</v>
      </c>
      <c r="D6599" s="83" t="s">
        <v>14842</v>
      </c>
    </row>
    <row r="6600" spans="1:4">
      <c r="A6600" s="83" t="s">
        <v>14840</v>
      </c>
      <c r="B6600" s="83" t="s">
        <v>5012</v>
      </c>
      <c r="C6600" s="83" t="s">
        <v>14843</v>
      </c>
      <c r="D6600" s="83" t="s">
        <v>14842</v>
      </c>
    </row>
    <row r="6601" spans="1:4">
      <c r="A6601" s="83" t="s">
        <v>14840</v>
      </c>
      <c r="B6601" s="83" t="s">
        <v>5015</v>
      </c>
      <c r="C6601" s="83" t="s">
        <v>14844</v>
      </c>
      <c r="D6601" s="83" t="s">
        <v>14842</v>
      </c>
    </row>
    <row r="6602" spans="1:4">
      <c r="A6602" s="83" t="s">
        <v>14840</v>
      </c>
      <c r="B6602" s="83" t="s">
        <v>5010</v>
      </c>
      <c r="C6602" s="83" t="s">
        <v>14845</v>
      </c>
      <c r="D6602" s="83" t="s">
        <v>14842</v>
      </c>
    </row>
    <row r="6603" spans="1:4">
      <c r="A6603" s="83" t="s">
        <v>14846</v>
      </c>
      <c r="B6603" s="83" t="s">
        <v>5017</v>
      </c>
      <c r="C6603" s="83" t="s">
        <v>14847</v>
      </c>
      <c r="D6603" s="83" t="s">
        <v>14848</v>
      </c>
    </row>
    <row r="6604" spans="1:4">
      <c r="A6604" s="83" t="s">
        <v>14846</v>
      </c>
      <c r="B6604" s="83" t="s">
        <v>5012</v>
      </c>
      <c r="C6604" s="83" t="s">
        <v>14849</v>
      </c>
      <c r="D6604" s="83" t="s">
        <v>14848</v>
      </c>
    </row>
    <row r="6605" spans="1:4">
      <c r="A6605" s="83" t="s">
        <v>14846</v>
      </c>
      <c r="B6605" s="83" t="s">
        <v>5015</v>
      </c>
      <c r="C6605" s="83" t="s">
        <v>14844</v>
      </c>
      <c r="D6605" s="83" t="s">
        <v>14848</v>
      </c>
    </row>
    <row r="6606" spans="1:4">
      <c r="A6606" s="83" t="s">
        <v>14846</v>
      </c>
      <c r="B6606" s="83" t="s">
        <v>5010</v>
      </c>
      <c r="C6606" s="83" t="s">
        <v>14850</v>
      </c>
      <c r="D6606" s="83" t="s">
        <v>14848</v>
      </c>
    </row>
    <row r="6607" spans="1:4">
      <c r="A6607" s="83" t="s">
        <v>14851</v>
      </c>
      <c r="B6607" s="83" t="s">
        <v>5017</v>
      </c>
      <c r="C6607" s="83" t="s">
        <v>14852</v>
      </c>
      <c r="D6607" s="83" t="s">
        <v>14853</v>
      </c>
    </row>
    <row r="6608" spans="1:4">
      <c r="A6608" s="83" t="s">
        <v>14851</v>
      </c>
      <c r="B6608" s="83" t="s">
        <v>5012</v>
      </c>
      <c r="C6608" s="83" t="s">
        <v>14854</v>
      </c>
      <c r="D6608" s="83" t="s">
        <v>14853</v>
      </c>
    </row>
    <row r="6609" spans="1:4">
      <c r="A6609" s="83" t="s">
        <v>14851</v>
      </c>
      <c r="B6609" s="83" t="s">
        <v>5015</v>
      </c>
      <c r="C6609" s="83" t="s">
        <v>14855</v>
      </c>
      <c r="D6609" s="83" t="s">
        <v>14853</v>
      </c>
    </row>
    <row r="6610" spans="1:4">
      <c r="A6610" s="83" t="s">
        <v>14851</v>
      </c>
      <c r="B6610" s="83" t="s">
        <v>5010</v>
      </c>
      <c r="C6610" s="83" t="s">
        <v>14856</v>
      </c>
      <c r="D6610" s="83" t="s">
        <v>14853</v>
      </c>
    </row>
    <row r="6611" spans="1:4">
      <c r="A6611" s="83" t="s">
        <v>14857</v>
      </c>
      <c r="B6611" s="83" t="s">
        <v>5017</v>
      </c>
      <c r="C6611" s="83" t="s">
        <v>14858</v>
      </c>
      <c r="D6611" s="83" t="s">
        <v>14859</v>
      </c>
    </row>
    <row r="6612" spans="1:4">
      <c r="A6612" s="83" t="s">
        <v>14857</v>
      </c>
      <c r="B6612" s="83" t="s">
        <v>5012</v>
      </c>
      <c r="C6612" s="83" t="s">
        <v>14860</v>
      </c>
      <c r="D6612" s="83" t="s">
        <v>14859</v>
      </c>
    </row>
    <row r="6613" spans="1:4">
      <c r="A6613" s="83" t="s">
        <v>14857</v>
      </c>
      <c r="B6613" s="83" t="s">
        <v>5015</v>
      </c>
      <c r="C6613" s="83" t="s">
        <v>14861</v>
      </c>
      <c r="D6613" s="83" t="s">
        <v>14859</v>
      </c>
    </row>
    <row r="6614" spans="1:4">
      <c r="A6614" s="83" t="s">
        <v>14857</v>
      </c>
      <c r="B6614" s="83" t="s">
        <v>5010</v>
      </c>
      <c r="C6614" s="83" t="s">
        <v>14862</v>
      </c>
      <c r="D6614" s="83" t="s">
        <v>14859</v>
      </c>
    </row>
    <row r="6615" spans="1:4">
      <c r="A6615" s="83" t="s">
        <v>14863</v>
      </c>
      <c r="B6615" s="83" t="s">
        <v>5017</v>
      </c>
      <c r="C6615" s="83" t="s">
        <v>14864</v>
      </c>
      <c r="D6615" s="83" t="s">
        <v>14865</v>
      </c>
    </row>
    <row r="6616" spans="1:4">
      <c r="A6616" s="83" t="s">
        <v>14863</v>
      </c>
      <c r="B6616" s="83" t="s">
        <v>5012</v>
      </c>
      <c r="C6616" s="83" t="s">
        <v>14866</v>
      </c>
      <c r="D6616" s="83" t="s">
        <v>14865</v>
      </c>
    </row>
    <row r="6617" spans="1:4">
      <c r="A6617" s="83" t="s">
        <v>14863</v>
      </c>
      <c r="B6617" s="83" t="s">
        <v>5015</v>
      </c>
      <c r="C6617" s="83" t="s">
        <v>14867</v>
      </c>
      <c r="D6617" s="83" t="s">
        <v>14865</v>
      </c>
    </row>
    <row r="6618" spans="1:4">
      <c r="A6618" s="83" t="s">
        <v>14863</v>
      </c>
      <c r="B6618" s="83" t="s">
        <v>5010</v>
      </c>
      <c r="C6618" s="83" t="s">
        <v>14868</v>
      </c>
      <c r="D6618" s="83" t="s">
        <v>14865</v>
      </c>
    </row>
    <row r="6619" spans="1:4">
      <c r="A6619" s="83" t="s">
        <v>14869</v>
      </c>
      <c r="B6619" s="83" t="s">
        <v>5017</v>
      </c>
      <c r="C6619" s="83" t="s">
        <v>14870</v>
      </c>
      <c r="D6619" s="83" t="s">
        <v>14871</v>
      </c>
    </row>
    <row r="6620" spans="1:4">
      <c r="A6620" s="83" t="s">
        <v>14869</v>
      </c>
      <c r="B6620" s="83" t="s">
        <v>5012</v>
      </c>
      <c r="C6620" s="83" t="s">
        <v>14872</v>
      </c>
      <c r="D6620" s="83" t="s">
        <v>14871</v>
      </c>
    </row>
    <row r="6621" spans="1:4">
      <c r="A6621" s="83" t="s">
        <v>14869</v>
      </c>
      <c r="B6621" s="83" t="s">
        <v>5015</v>
      </c>
      <c r="C6621" s="83" t="s">
        <v>14873</v>
      </c>
      <c r="D6621" s="83" t="s">
        <v>14871</v>
      </c>
    </row>
    <row r="6622" spans="1:4">
      <c r="A6622" s="83" t="s">
        <v>14869</v>
      </c>
      <c r="B6622" s="83" t="s">
        <v>5010</v>
      </c>
      <c r="C6622" s="83" t="s">
        <v>14874</v>
      </c>
      <c r="D6622" s="83" t="s">
        <v>14871</v>
      </c>
    </row>
    <row r="6623" spans="1:4">
      <c r="A6623" s="83" t="s">
        <v>14875</v>
      </c>
      <c r="B6623" s="83" t="s">
        <v>5017</v>
      </c>
      <c r="C6623" s="83" t="s">
        <v>14876</v>
      </c>
      <c r="D6623" s="83" t="s">
        <v>14877</v>
      </c>
    </row>
    <row r="6624" spans="1:4">
      <c r="A6624" s="83" t="s">
        <v>14875</v>
      </c>
      <c r="B6624" s="83" t="s">
        <v>5012</v>
      </c>
      <c r="C6624" s="83" t="s">
        <v>14878</v>
      </c>
      <c r="D6624" s="83" t="s">
        <v>14877</v>
      </c>
    </row>
    <row r="6625" spans="1:4">
      <c r="A6625" s="83" t="s">
        <v>14875</v>
      </c>
      <c r="B6625" s="83" t="s">
        <v>5015</v>
      </c>
      <c r="C6625" s="83" t="s">
        <v>14879</v>
      </c>
      <c r="D6625" s="83" t="s">
        <v>14877</v>
      </c>
    </row>
    <row r="6626" spans="1:4">
      <c r="A6626" s="83" t="s">
        <v>14875</v>
      </c>
      <c r="B6626" s="83" t="s">
        <v>5010</v>
      </c>
      <c r="C6626" s="83" t="s">
        <v>14880</v>
      </c>
      <c r="D6626" s="83" t="s">
        <v>14877</v>
      </c>
    </row>
    <row r="6627" spans="1:4">
      <c r="A6627" s="83" t="s">
        <v>14881</v>
      </c>
      <c r="B6627" s="83" t="s">
        <v>5017</v>
      </c>
      <c r="C6627" s="83" t="s">
        <v>14882</v>
      </c>
      <c r="D6627" s="83" t="s">
        <v>14883</v>
      </c>
    </row>
    <row r="6628" spans="1:4">
      <c r="A6628" s="83" t="s">
        <v>14881</v>
      </c>
      <c r="B6628" s="83" t="s">
        <v>5012</v>
      </c>
      <c r="C6628" s="83" t="s">
        <v>14884</v>
      </c>
      <c r="D6628" s="83" t="s">
        <v>14883</v>
      </c>
    </row>
    <row r="6629" spans="1:4">
      <c r="A6629" s="83" t="s">
        <v>14881</v>
      </c>
      <c r="B6629" s="83" t="s">
        <v>5015</v>
      </c>
      <c r="C6629" s="83" t="s">
        <v>14885</v>
      </c>
      <c r="D6629" s="83" t="s">
        <v>14883</v>
      </c>
    </row>
    <row r="6630" spans="1:4">
      <c r="A6630" s="83" t="s">
        <v>14881</v>
      </c>
      <c r="B6630" s="83" t="s">
        <v>5010</v>
      </c>
      <c r="C6630" s="83" t="s">
        <v>14886</v>
      </c>
      <c r="D6630" s="83" t="s">
        <v>14883</v>
      </c>
    </row>
    <row r="6631" spans="1:4">
      <c r="A6631" s="83" t="s">
        <v>14887</v>
      </c>
      <c r="B6631" s="83" t="s">
        <v>5017</v>
      </c>
      <c r="C6631" s="83" t="s">
        <v>14888</v>
      </c>
      <c r="D6631" s="83" t="s">
        <v>14889</v>
      </c>
    </row>
    <row r="6632" spans="1:4">
      <c r="A6632" s="83" t="s">
        <v>14887</v>
      </c>
      <c r="B6632" s="83" t="s">
        <v>5012</v>
      </c>
      <c r="C6632" s="83" t="s">
        <v>14890</v>
      </c>
      <c r="D6632" s="83" t="s">
        <v>14889</v>
      </c>
    </row>
    <row r="6633" spans="1:4">
      <c r="A6633" s="83" t="s">
        <v>14887</v>
      </c>
      <c r="B6633" s="83" t="s">
        <v>5015</v>
      </c>
      <c r="C6633" s="83" t="s">
        <v>14891</v>
      </c>
      <c r="D6633" s="83" t="s">
        <v>14889</v>
      </c>
    </row>
    <row r="6634" spans="1:4">
      <c r="A6634" s="83" t="s">
        <v>14887</v>
      </c>
      <c r="B6634" s="83" t="s">
        <v>5010</v>
      </c>
      <c r="C6634" s="83" t="s">
        <v>14892</v>
      </c>
      <c r="D6634" s="83" t="s">
        <v>14889</v>
      </c>
    </row>
    <row r="6635" spans="1:4">
      <c r="A6635" s="83" t="s">
        <v>14893</v>
      </c>
      <c r="B6635" s="83" t="s">
        <v>5017</v>
      </c>
      <c r="C6635" s="83" t="s">
        <v>14894</v>
      </c>
      <c r="D6635" s="83" t="s">
        <v>14895</v>
      </c>
    </row>
    <row r="6636" spans="1:4">
      <c r="A6636" s="83" t="s">
        <v>14893</v>
      </c>
      <c r="B6636" s="83" t="s">
        <v>5012</v>
      </c>
      <c r="C6636" s="83" t="s">
        <v>14896</v>
      </c>
      <c r="D6636" s="83" t="s">
        <v>14895</v>
      </c>
    </row>
    <row r="6637" spans="1:4">
      <c r="A6637" s="83" t="s">
        <v>14893</v>
      </c>
      <c r="B6637" s="83" t="s">
        <v>5015</v>
      </c>
      <c r="C6637" s="83" t="s">
        <v>14897</v>
      </c>
      <c r="D6637" s="83" t="s">
        <v>14895</v>
      </c>
    </row>
    <row r="6638" spans="1:4">
      <c r="A6638" s="83" t="s">
        <v>14893</v>
      </c>
      <c r="B6638" s="83" t="s">
        <v>5010</v>
      </c>
      <c r="C6638" s="83" t="s">
        <v>14898</v>
      </c>
      <c r="D6638" s="83" t="s">
        <v>14895</v>
      </c>
    </row>
    <row r="6639" spans="1:4">
      <c r="A6639" s="83" t="s">
        <v>14899</v>
      </c>
      <c r="B6639" s="83" t="s">
        <v>5017</v>
      </c>
      <c r="C6639" s="83" t="s">
        <v>14900</v>
      </c>
      <c r="D6639" s="83" t="s">
        <v>14901</v>
      </c>
    </row>
    <row r="6640" spans="1:4">
      <c r="A6640" s="83" t="s">
        <v>14899</v>
      </c>
      <c r="B6640" s="83" t="s">
        <v>5012</v>
      </c>
      <c r="C6640" s="83" t="s">
        <v>14902</v>
      </c>
      <c r="D6640" s="83" t="s">
        <v>14901</v>
      </c>
    </row>
    <row r="6641" spans="1:4">
      <c r="A6641" s="83" t="s">
        <v>14899</v>
      </c>
      <c r="B6641" s="83" t="s">
        <v>5015</v>
      </c>
      <c r="C6641" s="83" t="s">
        <v>14903</v>
      </c>
      <c r="D6641" s="83" t="s">
        <v>14901</v>
      </c>
    </row>
    <row r="6642" spans="1:4">
      <c r="A6642" s="83" t="s">
        <v>14899</v>
      </c>
      <c r="B6642" s="83" t="s">
        <v>5010</v>
      </c>
      <c r="C6642" s="83" t="s">
        <v>14904</v>
      </c>
      <c r="D6642" s="83" t="s">
        <v>14901</v>
      </c>
    </row>
    <row r="6643" spans="1:4">
      <c r="A6643" s="83" t="s">
        <v>14905</v>
      </c>
      <c r="B6643" s="83" t="s">
        <v>5017</v>
      </c>
      <c r="C6643" s="83" t="s">
        <v>14906</v>
      </c>
      <c r="D6643" s="83" t="s">
        <v>14907</v>
      </c>
    </row>
    <row r="6644" spans="1:4">
      <c r="A6644" s="83" t="s">
        <v>14905</v>
      </c>
      <c r="B6644" s="83" t="s">
        <v>5012</v>
      </c>
      <c r="C6644" s="83" t="s">
        <v>14908</v>
      </c>
      <c r="D6644" s="83" t="s">
        <v>14907</v>
      </c>
    </row>
    <row r="6645" spans="1:4">
      <c r="A6645" s="83" t="s">
        <v>14905</v>
      </c>
      <c r="B6645" s="83" t="s">
        <v>5015</v>
      </c>
      <c r="C6645" s="83" t="s">
        <v>14909</v>
      </c>
      <c r="D6645" s="83" t="s">
        <v>14907</v>
      </c>
    </row>
    <row r="6646" spans="1:4">
      <c r="A6646" s="83" t="s">
        <v>14905</v>
      </c>
      <c r="B6646" s="83" t="s">
        <v>5010</v>
      </c>
      <c r="C6646" s="83" t="s">
        <v>14910</v>
      </c>
      <c r="D6646" s="83" t="s">
        <v>14907</v>
      </c>
    </row>
    <row r="6647" spans="1:4">
      <c r="A6647" s="83" t="s">
        <v>14911</v>
      </c>
      <c r="B6647" s="83" t="s">
        <v>5017</v>
      </c>
      <c r="C6647" s="83" t="s">
        <v>14912</v>
      </c>
      <c r="D6647" s="83" t="s">
        <v>14913</v>
      </c>
    </row>
    <row r="6648" spans="1:4">
      <c r="A6648" s="83" t="s">
        <v>14911</v>
      </c>
      <c r="B6648" s="83" t="s">
        <v>5012</v>
      </c>
      <c r="C6648" s="83" t="s">
        <v>14914</v>
      </c>
      <c r="D6648" s="83" t="s">
        <v>14913</v>
      </c>
    </row>
    <row r="6649" spans="1:4">
      <c r="A6649" s="83" t="s">
        <v>14911</v>
      </c>
      <c r="B6649" s="83" t="s">
        <v>5015</v>
      </c>
      <c r="C6649" s="83" t="s">
        <v>14915</v>
      </c>
      <c r="D6649" s="83" t="s">
        <v>14913</v>
      </c>
    </row>
    <row r="6650" spans="1:4">
      <c r="A6650" s="83" t="s">
        <v>14911</v>
      </c>
      <c r="B6650" s="83" t="s">
        <v>5010</v>
      </c>
      <c r="C6650" s="83" t="s">
        <v>14916</v>
      </c>
      <c r="D6650" s="83" t="s">
        <v>14913</v>
      </c>
    </row>
    <row r="6651" spans="1:4">
      <c r="A6651" s="83" t="s">
        <v>14917</v>
      </c>
      <c r="B6651" s="83" t="s">
        <v>5017</v>
      </c>
      <c r="C6651" s="83" t="s">
        <v>14918</v>
      </c>
      <c r="D6651" s="83" t="s">
        <v>14919</v>
      </c>
    </row>
    <row r="6652" spans="1:4">
      <c r="A6652" s="83" t="s">
        <v>14917</v>
      </c>
      <c r="B6652" s="83" t="s">
        <v>5012</v>
      </c>
      <c r="C6652" s="83" t="s">
        <v>14920</v>
      </c>
      <c r="D6652" s="83" t="s">
        <v>14919</v>
      </c>
    </row>
    <row r="6653" spans="1:4">
      <c r="A6653" s="83" t="s">
        <v>14917</v>
      </c>
      <c r="B6653" s="83" t="s">
        <v>5015</v>
      </c>
      <c r="C6653" s="83" t="s">
        <v>14921</v>
      </c>
      <c r="D6653" s="83" t="s">
        <v>14919</v>
      </c>
    </row>
    <row r="6654" spans="1:4">
      <c r="A6654" s="83" t="s">
        <v>14917</v>
      </c>
      <c r="B6654" s="83" t="s">
        <v>5010</v>
      </c>
      <c r="C6654" s="83" t="s">
        <v>14922</v>
      </c>
      <c r="D6654" s="83" t="s">
        <v>14919</v>
      </c>
    </row>
    <row r="6655" spans="1:4">
      <c r="A6655" s="83" t="s">
        <v>14923</v>
      </c>
      <c r="B6655" s="83" t="s">
        <v>5017</v>
      </c>
      <c r="C6655" s="83" t="s">
        <v>14924</v>
      </c>
      <c r="D6655" s="83" t="s">
        <v>14925</v>
      </c>
    </row>
    <row r="6656" spans="1:4">
      <c r="A6656" s="83" t="s">
        <v>14923</v>
      </c>
      <c r="B6656" s="83" t="s">
        <v>5012</v>
      </c>
      <c r="C6656" s="83" t="s">
        <v>14926</v>
      </c>
      <c r="D6656" s="83" t="s">
        <v>14925</v>
      </c>
    </row>
    <row r="6657" spans="1:4">
      <c r="A6657" s="83" t="s">
        <v>14923</v>
      </c>
      <c r="B6657" s="83" t="s">
        <v>5015</v>
      </c>
      <c r="C6657" s="83" t="s">
        <v>14927</v>
      </c>
      <c r="D6657" s="83" t="s">
        <v>14925</v>
      </c>
    </row>
    <row r="6658" spans="1:4">
      <c r="A6658" s="83" t="s">
        <v>14923</v>
      </c>
      <c r="B6658" s="83" t="s">
        <v>5010</v>
      </c>
      <c r="C6658" s="83" t="s">
        <v>14928</v>
      </c>
      <c r="D6658" s="83" t="s">
        <v>14925</v>
      </c>
    </row>
    <row r="6659" spans="1:4">
      <c r="A6659" s="83" t="s">
        <v>14929</v>
      </c>
      <c r="B6659" s="83" t="s">
        <v>5017</v>
      </c>
      <c r="C6659" s="83" t="s">
        <v>14930</v>
      </c>
      <c r="D6659" s="83" t="s">
        <v>14931</v>
      </c>
    </row>
    <row r="6660" spans="1:4">
      <c r="A6660" s="83" t="s">
        <v>14929</v>
      </c>
      <c r="B6660" s="83" t="s">
        <v>5012</v>
      </c>
      <c r="C6660" s="83" t="s">
        <v>14932</v>
      </c>
      <c r="D6660" s="83" t="s">
        <v>14931</v>
      </c>
    </row>
    <row r="6661" spans="1:4">
      <c r="A6661" s="83" t="s">
        <v>14929</v>
      </c>
      <c r="B6661" s="83" t="s">
        <v>5015</v>
      </c>
      <c r="C6661" s="83" t="s">
        <v>14933</v>
      </c>
      <c r="D6661" s="83" t="s">
        <v>14931</v>
      </c>
    </row>
    <row r="6662" spans="1:4">
      <c r="A6662" s="83" t="s">
        <v>14929</v>
      </c>
      <c r="B6662" s="83" t="s">
        <v>5010</v>
      </c>
      <c r="C6662" s="83" t="s">
        <v>14934</v>
      </c>
      <c r="D6662" s="83" t="s">
        <v>14931</v>
      </c>
    </row>
    <row r="6663" spans="1:4">
      <c r="A6663" s="83" t="s">
        <v>14935</v>
      </c>
      <c r="B6663" s="83" t="s">
        <v>5017</v>
      </c>
      <c r="C6663" s="83" t="s">
        <v>14936</v>
      </c>
      <c r="D6663" s="83" t="s">
        <v>14937</v>
      </c>
    </row>
    <row r="6664" spans="1:4">
      <c r="A6664" s="83" t="s">
        <v>14935</v>
      </c>
      <c r="B6664" s="83" t="s">
        <v>5012</v>
      </c>
      <c r="C6664" s="83" t="s">
        <v>14938</v>
      </c>
      <c r="D6664" s="83" t="s">
        <v>14937</v>
      </c>
    </row>
    <row r="6665" spans="1:4">
      <c r="A6665" s="83" t="s">
        <v>14935</v>
      </c>
      <c r="B6665" s="83" t="s">
        <v>5015</v>
      </c>
      <c r="C6665" s="83" t="s">
        <v>14939</v>
      </c>
      <c r="D6665" s="83" t="s">
        <v>14937</v>
      </c>
    </row>
    <row r="6666" spans="1:4">
      <c r="A6666" s="83" t="s">
        <v>14935</v>
      </c>
      <c r="B6666" s="83" t="s">
        <v>5010</v>
      </c>
      <c r="C6666" s="83" t="s">
        <v>14940</v>
      </c>
      <c r="D6666" s="83" t="s">
        <v>14937</v>
      </c>
    </row>
    <row r="6667" spans="1:4">
      <c r="A6667" s="83" t="s">
        <v>14941</v>
      </c>
      <c r="B6667" s="83" t="s">
        <v>5017</v>
      </c>
      <c r="C6667" s="83" t="s">
        <v>14942</v>
      </c>
      <c r="D6667" s="83" t="s">
        <v>14943</v>
      </c>
    </row>
    <row r="6668" spans="1:4">
      <c r="A6668" s="83" t="s">
        <v>14941</v>
      </c>
      <c r="B6668" s="83" t="s">
        <v>5012</v>
      </c>
      <c r="C6668" s="83" t="s">
        <v>14944</v>
      </c>
      <c r="D6668" s="83" t="s">
        <v>14943</v>
      </c>
    </row>
    <row r="6669" spans="1:4">
      <c r="A6669" s="83" t="s">
        <v>14941</v>
      </c>
      <c r="B6669" s="83" t="s">
        <v>5015</v>
      </c>
      <c r="C6669" s="83" t="s">
        <v>14945</v>
      </c>
      <c r="D6669" s="83" t="s">
        <v>14943</v>
      </c>
    </row>
    <row r="6670" spans="1:4">
      <c r="A6670" s="83" t="s">
        <v>14941</v>
      </c>
      <c r="B6670" s="83" t="s">
        <v>5010</v>
      </c>
      <c r="C6670" s="83" t="s">
        <v>14946</v>
      </c>
      <c r="D6670" s="83" t="s">
        <v>14943</v>
      </c>
    </row>
    <row r="6671" spans="1:4">
      <c r="A6671" s="83" t="s">
        <v>14947</v>
      </c>
      <c r="B6671" s="83" t="s">
        <v>5017</v>
      </c>
      <c r="C6671" s="83" t="s">
        <v>14948</v>
      </c>
      <c r="D6671" s="83" t="s">
        <v>14949</v>
      </c>
    </row>
    <row r="6672" spans="1:4">
      <c r="A6672" s="83" t="s">
        <v>14947</v>
      </c>
      <c r="B6672" s="83" t="s">
        <v>5012</v>
      </c>
      <c r="C6672" s="83" t="s">
        <v>14950</v>
      </c>
      <c r="D6672" s="83" t="s">
        <v>14949</v>
      </c>
    </row>
    <row r="6673" spans="1:4">
      <c r="A6673" s="83" t="s">
        <v>14947</v>
      </c>
      <c r="B6673" s="83" t="s">
        <v>5015</v>
      </c>
      <c r="C6673" s="83" t="s">
        <v>14951</v>
      </c>
      <c r="D6673" s="83" t="s">
        <v>14949</v>
      </c>
    </row>
    <row r="6674" spans="1:4">
      <c r="A6674" s="83" t="s">
        <v>14947</v>
      </c>
      <c r="B6674" s="83" t="s">
        <v>5010</v>
      </c>
      <c r="C6674" s="83" t="s">
        <v>14952</v>
      </c>
      <c r="D6674" s="83" t="s">
        <v>14949</v>
      </c>
    </row>
    <row r="6675" spans="1:4">
      <c r="A6675" s="83" t="s">
        <v>14953</v>
      </c>
      <c r="B6675" s="83" t="s">
        <v>5017</v>
      </c>
      <c r="C6675" s="83" t="s">
        <v>14954</v>
      </c>
      <c r="D6675" s="83" t="s">
        <v>14955</v>
      </c>
    </row>
    <row r="6676" spans="1:4">
      <c r="A6676" s="83" t="s">
        <v>14953</v>
      </c>
      <c r="B6676" s="83" t="s">
        <v>5012</v>
      </c>
      <c r="C6676" s="83" t="s">
        <v>14956</v>
      </c>
      <c r="D6676" s="83" t="s">
        <v>14955</v>
      </c>
    </row>
    <row r="6677" spans="1:4">
      <c r="A6677" s="83" t="s">
        <v>14953</v>
      </c>
      <c r="B6677" s="83" t="s">
        <v>5015</v>
      </c>
      <c r="C6677" s="83" t="s">
        <v>14957</v>
      </c>
      <c r="D6677" s="83" t="s">
        <v>14955</v>
      </c>
    </row>
    <row r="6678" spans="1:4">
      <c r="A6678" s="83" t="s">
        <v>14953</v>
      </c>
      <c r="B6678" s="83" t="s">
        <v>5010</v>
      </c>
      <c r="C6678" s="83" t="s">
        <v>14958</v>
      </c>
      <c r="D6678" s="83" t="s">
        <v>14955</v>
      </c>
    </row>
    <row r="6679" spans="1:4">
      <c r="A6679" s="83" t="s">
        <v>14959</v>
      </c>
      <c r="B6679" s="83" t="s">
        <v>5017</v>
      </c>
      <c r="C6679" s="83" t="s">
        <v>14960</v>
      </c>
      <c r="D6679" s="83" t="s">
        <v>14961</v>
      </c>
    </row>
    <row r="6680" spans="1:4">
      <c r="A6680" s="83" t="s">
        <v>14959</v>
      </c>
      <c r="B6680" s="83" t="s">
        <v>5012</v>
      </c>
      <c r="C6680" s="83" t="s">
        <v>14962</v>
      </c>
      <c r="D6680" s="83" t="s">
        <v>14961</v>
      </c>
    </row>
    <row r="6681" spans="1:4">
      <c r="A6681" s="83" t="s">
        <v>14959</v>
      </c>
      <c r="B6681" s="83" t="s">
        <v>5015</v>
      </c>
      <c r="C6681" s="83" t="s">
        <v>14963</v>
      </c>
      <c r="D6681" s="83" t="s">
        <v>14961</v>
      </c>
    </row>
    <row r="6682" spans="1:4">
      <c r="A6682" s="83" t="s">
        <v>14959</v>
      </c>
      <c r="B6682" s="83" t="s">
        <v>5010</v>
      </c>
      <c r="C6682" s="83" t="s">
        <v>14964</v>
      </c>
      <c r="D6682" s="83" t="s">
        <v>14961</v>
      </c>
    </row>
    <row r="6683" spans="1:4">
      <c r="A6683" s="83" t="s">
        <v>14965</v>
      </c>
      <c r="B6683" s="83" t="s">
        <v>5017</v>
      </c>
      <c r="C6683" s="83" t="s">
        <v>14966</v>
      </c>
      <c r="D6683" s="83" t="s">
        <v>14967</v>
      </c>
    </row>
    <row r="6684" spans="1:4">
      <c r="A6684" s="83" t="s">
        <v>14965</v>
      </c>
      <c r="B6684" s="83" t="s">
        <v>5012</v>
      </c>
      <c r="C6684" s="83" t="s">
        <v>14968</v>
      </c>
      <c r="D6684" s="83" t="s">
        <v>14967</v>
      </c>
    </row>
    <row r="6685" spans="1:4">
      <c r="A6685" s="83" t="s">
        <v>14965</v>
      </c>
      <c r="B6685" s="83" t="s">
        <v>5015</v>
      </c>
      <c r="C6685" s="83" t="s">
        <v>14969</v>
      </c>
      <c r="D6685" s="83" t="s">
        <v>14967</v>
      </c>
    </row>
    <row r="6686" spans="1:4">
      <c r="A6686" s="83" t="s">
        <v>14965</v>
      </c>
      <c r="B6686" s="83" t="s">
        <v>5010</v>
      </c>
      <c r="C6686" s="83" t="s">
        <v>14970</v>
      </c>
      <c r="D6686" s="83" t="s">
        <v>14967</v>
      </c>
    </row>
    <row r="6687" spans="1:4">
      <c r="A6687" s="83" t="s">
        <v>14971</v>
      </c>
      <c r="B6687" s="83" t="s">
        <v>5017</v>
      </c>
      <c r="C6687" s="83" t="s">
        <v>14972</v>
      </c>
      <c r="D6687" s="83" t="s">
        <v>14973</v>
      </c>
    </row>
    <row r="6688" spans="1:4">
      <c r="A6688" s="83" t="s">
        <v>14971</v>
      </c>
      <c r="B6688" s="83" t="s">
        <v>5012</v>
      </c>
      <c r="C6688" s="83" t="s">
        <v>14974</v>
      </c>
      <c r="D6688" s="83" t="s">
        <v>14973</v>
      </c>
    </row>
    <row r="6689" spans="1:4">
      <c r="A6689" s="83" t="s">
        <v>14971</v>
      </c>
      <c r="B6689" s="83" t="s">
        <v>5015</v>
      </c>
      <c r="C6689" s="83" t="s">
        <v>14975</v>
      </c>
      <c r="D6689" s="83" t="s">
        <v>14973</v>
      </c>
    </row>
    <row r="6690" spans="1:4">
      <c r="A6690" s="83" t="s">
        <v>14971</v>
      </c>
      <c r="B6690" s="83" t="s">
        <v>5010</v>
      </c>
      <c r="C6690" s="83" t="s">
        <v>14976</v>
      </c>
      <c r="D6690" s="83" t="s">
        <v>14973</v>
      </c>
    </row>
    <row r="6691" spans="1:4">
      <c r="A6691" s="83" t="s">
        <v>14977</v>
      </c>
      <c r="B6691" s="83" t="s">
        <v>5017</v>
      </c>
      <c r="C6691" s="83" t="s">
        <v>14978</v>
      </c>
      <c r="D6691" s="83" t="s">
        <v>14979</v>
      </c>
    </row>
    <row r="6692" spans="1:4">
      <c r="A6692" s="83" t="s">
        <v>14977</v>
      </c>
      <c r="B6692" s="83" t="s">
        <v>5012</v>
      </c>
      <c r="C6692" s="83" t="s">
        <v>14980</v>
      </c>
      <c r="D6692" s="83" t="s">
        <v>14979</v>
      </c>
    </row>
    <row r="6693" spans="1:4">
      <c r="A6693" s="83" t="s">
        <v>14977</v>
      </c>
      <c r="B6693" s="83" t="s">
        <v>5015</v>
      </c>
      <c r="C6693" s="83" t="s">
        <v>14981</v>
      </c>
      <c r="D6693" s="83" t="s">
        <v>14979</v>
      </c>
    </row>
    <row r="6694" spans="1:4">
      <c r="A6694" s="83" t="s">
        <v>14977</v>
      </c>
      <c r="B6694" s="83" t="s">
        <v>5010</v>
      </c>
      <c r="C6694" s="83" t="s">
        <v>14982</v>
      </c>
      <c r="D6694" s="83" t="s">
        <v>14979</v>
      </c>
    </row>
    <row r="6695" spans="1:4">
      <c r="A6695" s="83" t="s">
        <v>14983</v>
      </c>
      <c r="B6695" s="83" t="s">
        <v>5017</v>
      </c>
      <c r="C6695" s="83" t="s">
        <v>14984</v>
      </c>
      <c r="D6695" s="83" t="s">
        <v>14985</v>
      </c>
    </row>
    <row r="6696" spans="1:4">
      <c r="A6696" s="83" t="s">
        <v>14983</v>
      </c>
      <c r="B6696" s="83" t="s">
        <v>5012</v>
      </c>
      <c r="C6696" s="83" t="s">
        <v>14986</v>
      </c>
      <c r="D6696" s="83" t="s">
        <v>14985</v>
      </c>
    </row>
    <row r="6697" spans="1:4">
      <c r="A6697" s="83" t="s">
        <v>14983</v>
      </c>
      <c r="B6697" s="83" t="s">
        <v>5015</v>
      </c>
      <c r="C6697" s="83" t="s">
        <v>14987</v>
      </c>
      <c r="D6697" s="83" t="s">
        <v>14985</v>
      </c>
    </row>
    <row r="6698" spans="1:4">
      <c r="A6698" s="83" t="s">
        <v>14983</v>
      </c>
      <c r="B6698" s="83" t="s">
        <v>5010</v>
      </c>
      <c r="C6698" s="83" t="s">
        <v>14988</v>
      </c>
      <c r="D6698" s="83" t="s">
        <v>14985</v>
      </c>
    </row>
    <row r="6699" spans="1:4">
      <c r="A6699" s="83" t="s">
        <v>14989</v>
      </c>
      <c r="B6699" s="83" t="s">
        <v>5017</v>
      </c>
      <c r="C6699" s="83" t="s">
        <v>14990</v>
      </c>
      <c r="D6699" s="83" t="s">
        <v>14991</v>
      </c>
    </row>
    <row r="6700" spans="1:4">
      <c r="A6700" s="83" t="s">
        <v>14989</v>
      </c>
      <c r="B6700" s="83" t="s">
        <v>5012</v>
      </c>
      <c r="C6700" s="83" t="s">
        <v>14992</v>
      </c>
      <c r="D6700" s="83" t="s">
        <v>14991</v>
      </c>
    </row>
    <row r="6701" spans="1:4">
      <c r="A6701" s="83" t="s">
        <v>14989</v>
      </c>
      <c r="B6701" s="83" t="s">
        <v>5015</v>
      </c>
      <c r="C6701" s="83" t="s">
        <v>14993</v>
      </c>
      <c r="D6701" s="83" t="s">
        <v>14991</v>
      </c>
    </row>
    <row r="6702" spans="1:4">
      <c r="A6702" s="83" t="s">
        <v>14989</v>
      </c>
      <c r="B6702" s="83" t="s">
        <v>5010</v>
      </c>
      <c r="C6702" s="83" t="s">
        <v>14994</v>
      </c>
      <c r="D6702" s="83" t="s">
        <v>14991</v>
      </c>
    </row>
    <row r="6703" spans="1:4">
      <c r="A6703" s="83" t="s">
        <v>14995</v>
      </c>
      <c r="B6703" s="83" t="s">
        <v>5017</v>
      </c>
      <c r="C6703" s="83" t="s">
        <v>14996</v>
      </c>
      <c r="D6703" s="83" t="s">
        <v>14997</v>
      </c>
    </row>
    <row r="6704" spans="1:4">
      <c r="A6704" s="83" t="s">
        <v>14995</v>
      </c>
      <c r="B6704" s="83" t="s">
        <v>5012</v>
      </c>
      <c r="C6704" s="83" t="s">
        <v>14998</v>
      </c>
      <c r="D6704" s="83" t="s">
        <v>14997</v>
      </c>
    </row>
    <row r="6705" spans="1:4">
      <c r="A6705" s="83" t="s">
        <v>14995</v>
      </c>
      <c r="B6705" s="83" t="s">
        <v>5015</v>
      </c>
      <c r="C6705" s="83" t="s">
        <v>14999</v>
      </c>
      <c r="D6705" s="83" t="s">
        <v>14997</v>
      </c>
    </row>
    <row r="6706" spans="1:4">
      <c r="A6706" s="83" t="s">
        <v>14995</v>
      </c>
      <c r="B6706" s="83" t="s">
        <v>5010</v>
      </c>
      <c r="C6706" s="83" t="s">
        <v>15000</v>
      </c>
      <c r="D6706" s="83" t="s">
        <v>14997</v>
      </c>
    </row>
    <row r="6707" spans="1:4">
      <c r="A6707" s="83" t="s">
        <v>15001</v>
      </c>
      <c r="B6707" s="83" t="s">
        <v>5017</v>
      </c>
      <c r="C6707" s="83" t="s">
        <v>15002</v>
      </c>
      <c r="D6707" s="83" t="s">
        <v>15003</v>
      </c>
    </row>
    <row r="6708" spans="1:4">
      <c r="A6708" s="83" t="s">
        <v>15001</v>
      </c>
      <c r="B6708" s="83" t="s">
        <v>5012</v>
      </c>
      <c r="C6708" s="83" t="s">
        <v>15004</v>
      </c>
      <c r="D6708" s="83" t="s">
        <v>15003</v>
      </c>
    </row>
    <row r="6709" spans="1:4">
      <c r="A6709" s="83" t="s">
        <v>15001</v>
      </c>
      <c r="B6709" s="83" t="s">
        <v>5015</v>
      </c>
      <c r="C6709" s="83" t="s">
        <v>15005</v>
      </c>
      <c r="D6709" s="83" t="s">
        <v>15003</v>
      </c>
    </row>
    <row r="6710" spans="1:4">
      <c r="A6710" s="83" t="s">
        <v>15001</v>
      </c>
      <c r="B6710" s="83" t="s">
        <v>5010</v>
      </c>
      <c r="C6710" s="83" t="s">
        <v>15006</v>
      </c>
      <c r="D6710" s="83" t="s">
        <v>15003</v>
      </c>
    </row>
    <row r="6711" spans="1:4">
      <c r="A6711" s="83" t="s">
        <v>15007</v>
      </c>
      <c r="B6711" s="83" t="s">
        <v>5017</v>
      </c>
      <c r="C6711" s="83" t="s">
        <v>15008</v>
      </c>
      <c r="D6711" s="83" t="s">
        <v>15009</v>
      </c>
    </row>
    <row r="6712" spans="1:4">
      <c r="A6712" s="83" t="s">
        <v>15007</v>
      </c>
      <c r="B6712" s="83" t="s">
        <v>5012</v>
      </c>
      <c r="C6712" s="83" t="s">
        <v>15010</v>
      </c>
      <c r="D6712" s="83" t="s">
        <v>15009</v>
      </c>
    </row>
    <row r="6713" spans="1:4">
      <c r="A6713" s="83" t="s">
        <v>15007</v>
      </c>
      <c r="B6713" s="83" t="s">
        <v>5015</v>
      </c>
      <c r="C6713" s="83" t="s">
        <v>15011</v>
      </c>
      <c r="D6713" s="83" t="s">
        <v>15009</v>
      </c>
    </row>
    <row r="6714" spans="1:4">
      <c r="A6714" s="83" t="s">
        <v>15007</v>
      </c>
      <c r="B6714" s="83" t="s">
        <v>5010</v>
      </c>
      <c r="C6714" s="83" t="s">
        <v>15012</v>
      </c>
      <c r="D6714" s="83" t="s">
        <v>15009</v>
      </c>
    </row>
    <row r="6715" spans="1:4">
      <c r="A6715" s="83" t="s">
        <v>15013</v>
      </c>
      <c r="B6715" s="83" t="s">
        <v>5017</v>
      </c>
      <c r="C6715" s="83" t="s">
        <v>15014</v>
      </c>
      <c r="D6715" s="83" t="s">
        <v>15015</v>
      </c>
    </row>
    <row r="6716" spans="1:4">
      <c r="A6716" s="83" t="s">
        <v>15013</v>
      </c>
      <c r="B6716" s="83" t="s">
        <v>5012</v>
      </c>
      <c r="C6716" s="83" t="s">
        <v>15016</v>
      </c>
      <c r="D6716" s="83" t="s">
        <v>15015</v>
      </c>
    </row>
    <row r="6717" spans="1:4">
      <c r="A6717" s="83" t="s">
        <v>15013</v>
      </c>
      <c r="B6717" s="83" t="s">
        <v>5015</v>
      </c>
      <c r="C6717" s="83" t="s">
        <v>15017</v>
      </c>
      <c r="D6717" s="83" t="s">
        <v>15015</v>
      </c>
    </row>
    <row r="6718" spans="1:4">
      <c r="A6718" s="83" t="s">
        <v>15013</v>
      </c>
      <c r="B6718" s="83" t="s">
        <v>5010</v>
      </c>
      <c r="C6718" s="83" t="s">
        <v>15018</v>
      </c>
      <c r="D6718" s="83" t="s">
        <v>15015</v>
      </c>
    </row>
    <row r="6719" spans="1:4">
      <c r="A6719" s="83" t="s">
        <v>15019</v>
      </c>
      <c r="B6719" s="83" t="s">
        <v>5017</v>
      </c>
      <c r="C6719" s="83" t="s">
        <v>15020</v>
      </c>
      <c r="D6719" s="83" t="s">
        <v>15021</v>
      </c>
    </row>
    <row r="6720" spans="1:4">
      <c r="A6720" s="83" t="s">
        <v>15019</v>
      </c>
      <c r="B6720" s="83" t="s">
        <v>5012</v>
      </c>
      <c r="C6720" s="83" t="s">
        <v>15022</v>
      </c>
      <c r="D6720" s="83" t="s">
        <v>15021</v>
      </c>
    </row>
    <row r="6721" spans="1:4">
      <c r="A6721" s="83" t="s">
        <v>15019</v>
      </c>
      <c r="B6721" s="83" t="s">
        <v>5015</v>
      </c>
      <c r="C6721" s="83" t="s">
        <v>15023</v>
      </c>
      <c r="D6721" s="83" t="s">
        <v>15021</v>
      </c>
    </row>
    <row r="6722" spans="1:4">
      <c r="A6722" s="83" t="s">
        <v>15019</v>
      </c>
      <c r="B6722" s="83" t="s">
        <v>5010</v>
      </c>
      <c r="C6722" s="83" t="s">
        <v>15024</v>
      </c>
      <c r="D6722" s="83" t="s">
        <v>15021</v>
      </c>
    </row>
    <row r="6723" spans="1:4">
      <c r="A6723" s="83" t="s">
        <v>15025</v>
      </c>
      <c r="B6723" s="83" t="s">
        <v>5017</v>
      </c>
      <c r="C6723" s="83" t="s">
        <v>15026</v>
      </c>
      <c r="D6723" s="83" t="s">
        <v>15027</v>
      </c>
    </row>
    <row r="6724" spans="1:4">
      <c r="A6724" s="83" t="s">
        <v>15025</v>
      </c>
      <c r="B6724" s="83" t="s">
        <v>5012</v>
      </c>
      <c r="C6724" s="83" t="s">
        <v>15028</v>
      </c>
      <c r="D6724" s="83" t="s">
        <v>15027</v>
      </c>
    </row>
    <row r="6725" spans="1:4">
      <c r="A6725" s="83" t="s">
        <v>15025</v>
      </c>
      <c r="B6725" s="83" t="s">
        <v>5015</v>
      </c>
      <c r="C6725" s="83" t="s">
        <v>15029</v>
      </c>
      <c r="D6725" s="83" t="s">
        <v>15027</v>
      </c>
    </row>
    <row r="6726" spans="1:4">
      <c r="A6726" s="83" t="s">
        <v>15025</v>
      </c>
      <c r="B6726" s="83" t="s">
        <v>5010</v>
      </c>
      <c r="C6726" s="83" t="s">
        <v>15030</v>
      </c>
      <c r="D6726" s="83" t="s">
        <v>15027</v>
      </c>
    </row>
    <row r="6727" spans="1:4">
      <c r="A6727" s="83" t="s">
        <v>15031</v>
      </c>
      <c r="B6727" s="83" t="s">
        <v>5017</v>
      </c>
      <c r="C6727" s="83" t="s">
        <v>15032</v>
      </c>
      <c r="D6727" s="83" t="s">
        <v>15033</v>
      </c>
    </row>
    <row r="6728" spans="1:4">
      <c r="A6728" s="83" t="s">
        <v>15031</v>
      </c>
      <c r="B6728" s="83" t="s">
        <v>5012</v>
      </c>
      <c r="C6728" s="83" t="s">
        <v>15034</v>
      </c>
      <c r="D6728" s="83" t="s">
        <v>15033</v>
      </c>
    </row>
    <row r="6729" spans="1:4">
      <c r="A6729" s="83" t="s">
        <v>15031</v>
      </c>
      <c r="B6729" s="83" t="s">
        <v>5015</v>
      </c>
      <c r="C6729" s="83" t="s">
        <v>15035</v>
      </c>
      <c r="D6729" s="83" t="s">
        <v>15033</v>
      </c>
    </row>
    <row r="6730" spans="1:4">
      <c r="A6730" s="83" t="s">
        <v>15031</v>
      </c>
      <c r="B6730" s="83" t="s">
        <v>5010</v>
      </c>
      <c r="C6730" s="83" t="s">
        <v>15036</v>
      </c>
      <c r="D6730" s="83" t="s">
        <v>15033</v>
      </c>
    </row>
    <row r="6731" spans="1:4">
      <c r="A6731" s="83" t="s">
        <v>15037</v>
      </c>
      <c r="B6731" s="83" t="s">
        <v>5017</v>
      </c>
      <c r="C6731" s="83" t="s">
        <v>15038</v>
      </c>
      <c r="D6731" s="83" t="s">
        <v>15039</v>
      </c>
    </row>
    <row r="6732" spans="1:4">
      <c r="A6732" s="83" t="s">
        <v>15037</v>
      </c>
      <c r="B6732" s="83" t="s">
        <v>5012</v>
      </c>
      <c r="C6732" s="83" t="s">
        <v>15040</v>
      </c>
      <c r="D6732" s="83" t="s">
        <v>15039</v>
      </c>
    </row>
    <row r="6733" spans="1:4">
      <c r="A6733" s="83" t="s">
        <v>15037</v>
      </c>
      <c r="B6733" s="83" t="s">
        <v>5015</v>
      </c>
      <c r="C6733" s="83" t="s">
        <v>15041</v>
      </c>
      <c r="D6733" s="83" t="s">
        <v>15039</v>
      </c>
    </row>
    <row r="6734" spans="1:4">
      <c r="A6734" s="83" t="s">
        <v>15037</v>
      </c>
      <c r="B6734" s="83" t="s">
        <v>5010</v>
      </c>
      <c r="C6734" s="83" t="s">
        <v>15042</v>
      </c>
      <c r="D6734" s="83" t="s">
        <v>15039</v>
      </c>
    </row>
    <row r="6735" spans="1:4">
      <c r="A6735" s="83" t="s">
        <v>15043</v>
      </c>
      <c r="B6735" s="83" t="s">
        <v>5017</v>
      </c>
      <c r="C6735" s="83" t="s">
        <v>15044</v>
      </c>
      <c r="D6735" s="83" t="s">
        <v>15045</v>
      </c>
    </row>
    <row r="6736" spans="1:4">
      <c r="A6736" s="83" t="s">
        <v>15043</v>
      </c>
      <c r="B6736" s="83" t="s">
        <v>5012</v>
      </c>
      <c r="C6736" s="83" t="s">
        <v>15046</v>
      </c>
      <c r="D6736" s="83" t="s">
        <v>15045</v>
      </c>
    </row>
    <row r="6737" spans="1:4">
      <c r="A6737" s="83" t="s">
        <v>15043</v>
      </c>
      <c r="B6737" s="83" t="s">
        <v>5015</v>
      </c>
      <c r="C6737" s="83" t="s">
        <v>15047</v>
      </c>
      <c r="D6737" s="83" t="s">
        <v>15045</v>
      </c>
    </row>
    <row r="6738" spans="1:4">
      <c r="A6738" s="83" t="s">
        <v>15043</v>
      </c>
      <c r="B6738" s="83" t="s">
        <v>5010</v>
      </c>
      <c r="C6738" s="83" t="s">
        <v>15048</v>
      </c>
      <c r="D6738" s="83" t="s">
        <v>15045</v>
      </c>
    </row>
    <row r="6739" spans="1:4">
      <c r="A6739" s="83" t="s">
        <v>15049</v>
      </c>
      <c r="B6739" s="83" t="s">
        <v>5017</v>
      </c>
      <c r="C6739" s="83" t="s">
        <v>15050</v>
      </c>
      <c r="D6739" s="83" t="s">
        <v>15051</v>
      </c>
    </row>
    <row r="6740" spans="1:4">
      <c r="A6740" s="83" t="s">
        <v>15049</v>
      </c>
      <c r="B6740" s="83" t="s">
        <v>5012</v>
      </c>
      <c r="C6740" s="83" t="s">
        <v>15052</v>
      </c>
      <c r="D6740" s="83" t="s">
        <v>15051</v>
      </c>
    </row>
    <row r="6741" spans="1:4">
      <c r="A6741" s="83" t="s">
        <v>15049</v>
      </c>
      <c r="B6741" s="83" t="s">
        <v>5015</v>
      </c>
      <c r="C6741" s="83" t="s">
        <v>15053</v>
      </c>
      <c r="D6741" s="83" t="s">
        <v>15051</v>
      </c>
    </row>
    <row r="6742" spans="1:4">
      <c r="A6742" s="83" t="s">
        <v>15049</v>
      </c>
      <c r="B6742" s="83" t="s">
        <v>5010</v>
      </c>
      <c r="C6742" s="83" t="s">
        <v>15054</v>
      </c>
      <c r="D6742" s="83" t="s">
        <v>15051</v>
      </c>
    </row>
    <row r="6743" spans="1:4">
      <c r="A6743" s="83" t="s">
        <v>15055</v>
      </c>
      <c r="B6743" s="83" t="s">
        <v>5017</v>
      </c>
      <c r="C6743" s="83" t="s">
        <v>15056</v>
      </c>
      <c r="D6743" s="83" t="s">
        <v>15057</v>
      </c>
    </row>
    <row r="6744" spans="1:4">
      <c r="A6744" s="83" t="s">
        <v>15055</v>
      </c>
      <c r="B6744" s="83" t="s">
        <v>5012</v>
      </c>
      <c r="C6744" s="83" t="s">
        <v>15058</v>
      </c>
      <c r="D6744" s="83" t="s">
        <v>15057</v>
      </c>
    </row>
    <row r="6745" spans="1:4">
      <c r="A6745" s="83" t="s">
        <v>15055</v>
      </c>
      <c r="B6745" s="83" t="s">
        <v>5015</v>
      </c>
      <c r="C6745" s="83" t="s">
        <v>15059</v>
      </c>
      <c r="D6745" s="83" t="s">
        <v>15057</v>
      </c>
    </row>
    <row r="6746" spans="1:4">
      <c r="A6746" s="83" t="s">
        <v>15055</v>
      </c>
      <c r="B6746" s="83" t="s">
        <v>5010</v>
      </c>
      <c r="C6746" s="83" t="s">
        <v>15060</v>
      </c>
      <c r="D6746" s="83" t="s">
        <v>15057</v>
      </c>
    </row>
    <row r="6747" spans="1:4">
      <c r="A6747" s="83" t="s">
        <v>15061</v>
      </c>
      <c r="B6747" s="83" t="s">
        <v>5017</v>
      </c>
      <c r="C6747" s="83" t="s">
        <v>15062</v>
      </c>
      <c r="D6747" s="83" t="s">
        <v>15063</v>
      </c>
    </row>
    <row r="6748" spans="1:4">
      <c r="A6748" s="83" t="s">
        <v>15061</v>
      </c>
      <c r="B6748" s="83" t="s">
        <v>5012</v>
      </c>
      <c r="C6748" s="83" t="s">
        <v>15064</v>
      </c>
      <c r="D6748" s="83" t="s">
        <v>15063</v>
      </c>
    </row>
    <row r="6749" spans="1:4">
      <c r="A6749" s="83" t="s">
        <v>15061</v>
      </c>
      <c r="B6749" s="83" t="s">
        <v>5015</v>
      </c>
      <c r="C6749" s="83" t="s">
        <v>15065</v>
      </c>
      <c r="D6749" s="83" t="s">
        <v>15063</v>
      </c>
    </row>
    <row r="6750" spans="1:4">
      <c r="A6750" s="83" t="s">
        <v>15061</v>
      </c>
      <c r="B6750" s="83" t="s">
        <v>5010</v>
      </c>
      <c r="C6750" s="83" t="s">
        <v>15066</v>
      </c>
      <c r="D6750" s="83" t="s">
        <v>15063</v>
      </c>
    </row>
    <row r="6751" spans="1:4">
      <c r="A6751" s="83" t="s">
        <v>15067</v>
      </c>
      <c r="B6751" s="83" t="s">
        <v>5017</v>
      </c>
      <c r="C6751" s="83" t="s">
        <v>15068</v>
      </c>
      <c r="D6751" s="83" t="s">
        <v>15069</v>
      </c>
    </row>
    <row r="6752" spans="1:4">
      <c r="A6752" s="83" t="s">
        <v>15067</v>
      </c>
      <c r="B6752" s="83" t="s">
        <v>5012</v>
      </c>
      <c r="C6752" s="83" t="s">
        <v>15070</v>
      </c>
      <c r="D6752" s="83" t="s">
        <v>15069</v>
      </c>
    </row>
    <row r="6753" spans="1:4">
      <c r="A6753" s="83" t="s">
        <v>15067</v>
      </c>
      <c r="B6753" s="83" t="s">
        <v>5015</v>
      </c>
      <c r="C6753" s="83" t="s">
        <v>15071</v>
      </c>
      <c r="D6753" s="83" t="s">
        <v>15069</v>
      </c>
    </row>
    <row r="6754" spans="1:4">
      <c r="A6754" s="83" t="s">
        <v>15067</v>
      </c>
      <c r="B6754" s="83" t="s">
        <v>5010</v>
      </c>
      <c r="C6754" s="83" t="s">
        <v>15072</v>
      </c>
      <c r="D6754" s="83" t="s">
        <v>15069</v>
      </c>
    </row>
    <row r="6755" spans="1:4">
      <c r="A6755" s="83" t="s">
        <v>15073</v>
      </c>
      <c r="B6755" s="83" t="s">
        <v>5017</v>
      </c>
      <c r="C6755" s="83" t="s">
        <v>15074</v>
      </c>
      <c r="D6755" s="83" t="s">
        <v>15075</v>
      </c>
    </row>
    <row r="6756" spans="1:4">
      <c r="A6756" s="83" t="s">
        <v>15073</v>
      </c>
      <c r="B6756" s="83" t="s">
        <v>5012</v>
      </c>
      <c r="C6756" s="83" t="s">
        <v>15076</v>
      </c>
      <c r="D6756" s="83" t="s">
        <v>15075</v>
      </c>
    </row>
    <row r="6757" spans="1:4">
      <c r="A6757" s="83" t="s">
        <v>15073</v>
      </c>
      <c r="B6757" s="83" t="s">
        <v>5015</v>
      </c>
      <c r="C6757" s="83" t="s">
        <v>15077</v>
      </c>
      <c r="D6757" s="83" t="s">
        <v>15075</v>
      </c>
    </row>
    <row r="6758" spans="1:4">
      <c r="A6758" s="83" t="s">
        <v>15073</v>
      </c>
      <c r="B6758" s="83" t="s">
        <v>5010</v>
      </c>
      <c r="C6758" s="83" t="s">
        <v>15078</v>
      </c>
      <c r="D6758" s="83" t="s">
        <v>15075</v>
      </c>
    </row>
    <row r="6759" spans="1:4">
      <c r="A6759" s="83" t="s">
        <v>15079</v>
      </c>
      <c r="B6759" s="83" t="s">
        <v>5017</v>
      </c>
      <c r="C6759" s="83" t="s">
        <v>15080</v>
      </c>
      <c r="D6759" s="83" t="s">
        <v>15081</v>
      </c>
    </row>
    <row r="6760" spans="1:4">
      <c r="A6760" s="83" t="s">
        <v>15079</v>
      </c>
      <c r="B6760" s="83" t="s">
        <v>5012</v>
      </c>
      <c r="C6760" s="83" t="s">
        <v>15082</v>
      </c>
      <c r="D6760" s="83" t="s">
        <v>15081</v>
      </c>
    </row>
    <row r="6761" spans="1:4">
      <c r="A6761" s="83" t="s">
        <v>15079</v>
      </c>
      <c r="B6761" s="83" t="s">
        <v>5015</v>
      </c>
      <c r="C6761" s="83" t="s">
        <v>15083</v>
      </c>
      <c r="D6761" s="83" t="s">
        <v>15081</v>
      </c>
    </row>
    <row r="6762" spans="1:4">
      <c r="A6762" s="83" t="s">
        <v>15079</v>
      </c>
      <c r="B6762" s="83" t="s">
        <v>5010</v>
      </c>
      <c r="C6762" s="83" t="s">
        <v>15084</v>
      </c>
      <c r="D6762" s="83" t="s">
        <v>15081</v>
      </c>
    </row>
    <row r="6763" spans="1:4">
      <c r="A6763" s="83" t="s">
        <v>15085</v>
      </c>
      <c r="B6763" s="83" t="s">
        <v>5017</v>
      </c>
      <c r="C6763" s="83" t="s">
        <v>15086</v>
      </c>
      <c r="D6763" s="83" t="s">
        <v>15087</v>
      </c>
    </row>
    <row r="6764" spans="1:4">
      <c r="A6764" s="83" t="s">
        <v>15085</v>
      </c>
      <c r="B6764" s="83" t="s">
        <v>5012</v>
      </c>
      <c r="C6764" s="83" t="s">
        <v>15088</v>
      </c>
      <c r="D6764" s="83" t="s">
        <v>15087</v>
      </c>
    </row>
    <row r="6765" spans="1:4">
      <c r="A6765" s="83" t="s">
        <v>15085</v>
      </c>
      <c r="B6765" s="83" t="s">
        <v>5015</v>
      </c>
      <c r="C6765" s="83" t="s">
        <v>15089</v>
      </c>
      <c r="D6765" s="83" t="s">
        <v>15087</v>
      </c>
    </row>
    <row r="6766" spans="1:4">
      <c r="A6766" s="83" t="s">
        <v>15085</v>
      </c>
      <c r="B6766" s="83" t="s">
        <v>5010</v>
      </c>
      <c r="C6766" s="83" t="s">
        <v>15090</v>
      </c>
      <c r="D6766" s="83" t="s">
        <v>15087</v>
      </c>
    </row>
    <row r="6767" spans="1:4">
      <c r="A6767" s="83" t="s">
        <v>15091</v>
      </c>
      <c r="B6767" s="83" t="s">
        <v>5017</v>
      </c>
      <c r="C6767" s="83" t="s">
        <v>15092</v>
      </c>
      <c r="D6767" s="83" t="s">
        <v>15093</v>
      </c>
    </row>
    <row r="6768" spans="1:4">
      <c r="A6768" s="83" t="s">
        <v>15091</v>
      </c>
      <c r="B6768" s="83" t="s">
        <v>5012</v>
      </c>
      <c r="C6768" s="83" t="s">
        <v>15094</v>
      </c>
      <c r="D6768" s="83" t="s">
        <v>15093</v>
      </c>
    </row>
    <row r="6769" spans="1:4">
      <c r="A6769" s="83" t="s">
        <v>15091</v>
      </c>
      <c r="B6769" s="83" t="s">
        <v>5015</v>
      </c>
      <c r="C6769" s="83" t="s">
        <v>15095</v>
      </c>
      <c r="D6769" s="83" t="s">
        <v>15093</v>
      </c>
    </row>
    <row r="6770" spans="1:4">
      <c r="A6770" s="83" t="s">
        <v>15091</v>
      </c>
      <c r="B6770" s="83" t="s">
        <v>5010</v>
      </c>
      <c r="C6770" s="83" t="s">
        <v>15096</v>
      </c>
      <c r="D6770" s="83" t="s">
        <v>15093</v>
      </c>
    </row>
    <row r="6771" spans="1:4">
      <c r="A6771" s="83" t="s">
        <v>15097</v>
      </c>
      <c r="B6771" s="83" t="s">
        <v>5017</v>
      </c>
      <c r="C6771" s="83" t="s">
        <v>15098</v>
      </c>
      <c r="D6771" s="83" t="s">
        <v>15099</v>
      </c>
    </row>
    <row r="6772" spans="1:4">
      <c r="A6772" s="83" t="s">
        <v>15097</v>
      </c>
      <c r="B6772" s="83" t="s">
        <v>5012</v>
      </c>
      <c r="C6772" s="83" t="s">
        <v>15100</v>
      </c>
      <c r="D6772" s="83" t="s">
        <v>15099</v>
      </c>
    </row>
    <row r="6773" spans="1:4">
      <c r="A6773" s="83" t="s">
        <v>15097</v>
      </c>
      <c r="B6773" s="83" t="s">
        <v>5015</v>
      </c>
      <c r="C6773" s="83" t="s">
        <v>15101</v>
      </c>
      <c r="D6773" s="83" t="s">
        <v>15099</v>
      </c>
    </row>
    <row r="6774" spans="1:4">
      <c r="A6774" s="83" t="s">
        <v>15097</v>
      </c>
      <c r="B6774" s="83" t="s">
        <v>5010</v>
      </c>
      <c r="C6774" s="83" t="s">
        <v>15102</v>
      </c>
      <c r="D6774" s="83" t="s">
        <v>15099</v>
      </c>
    </row>
    <row r="6775" spans="1:4">
      <c r="A6775" s="83" t="s">
        <v>15103</v>
      </c>
      <c r="B6775" s="83" t="s">
        <v>5017</v>
      </c>
      <c r="C6775" s="83" t="s">
        <v>15104</v>
      </c>
      <c r="D6775" s="83" t="s">
        <v>15105</v>
      </c>
    </row>
    <row r="6776" spans="1:4">
      <c r="A6776" s="83" t="s">
        <v>15103</v>
      </c>
      <c r="B6776" s="83" t="s">
        <v>5012</v>
      </c>
      <c r="C6776" s="83" t="s">
        <v>15106</v>
      </c>
      <c r="D6776" s="83" t="s">
        <v>15105</v>
      </c>
    </row>
    <row r="6777" spans="1:4">
      <c r="A6777" s="83" t="s">
        <v>15103</v>
      </c>
      <c r="B6777" s="83" t="s">
        <v>5015</v>
      </c>
      <c r="C6777" s="83" t="s">
        <v>15107</v>
      </c>
      <c r="D6777" s="83" t="s">
        <v>15105</v>
      </c>
    </row>
    <row r="6778" spans="1:4">
      <c r="A6778" s="83" t="s">
        <v>15103</v>
      </c>
      <c r="B6778" s="83" t="s">
        <v>5010</v>
      </c>
      <c r="C6778" s="83" t="s">
        <v>15108</v>
      </c>
      <c r="D6778" s="83" t="s">
        <v>15105</v>
      </c>
    </row>
    <row r="6779" spans="1:4">
      <c r="A6779" s="83" t="s">
        <v>15109</v>
      </c>
      <c r="B6779" s="83" t="s">
        <v>5017</v>
      </c>
      <c r="C6779" s="83" t="s">
        <v>15110</v>
      </c>
      <c r="D6779" s="83" t="s">
        <v>15111</v>
      </c>
    </row>
    <row r="6780" spans="1:4">
      <c r="A6780" s="83" t="s">
        <v>15109</v>
      </c>
      <c r="B6780" s="83" t="s">
        <v>5012</v>
      </c>
      <c r="C6780" s="83" t="s">
        <v>15112</v>
      </c>
      <c r="D6780" s="83" t="s">
        <v>15111</v>
      </c>
    </row>
    <row r="6781" spans="1:4">
      <c r="A6781" s="83" t="s">
        <v>15109</v>
      </c>
      <c r="B6781" s="83" t="s">
        <v>5015</v>
      </c>
      <c r="C6781" s="83" t="s">
        <v>15113</v>
      </c>
      <c r="D6781" s="83" t="s">
        <v>15111</v>
      </c>
    </row>
    <row r="6782" spans="1:4">
      <c r="A6782" s="83" t="s">
        <v>15109</v>
      </c>
      <c r="B6782" s="83" t="s">
        <v>5010</v>
      </c>
      <c r="C6782" s="83" t="s">
        <v>15114</v>
      </c>
      <c r="D6782" s="83" t="s">
        <v>15111</v>
      </c>
    </row>
    <row r="6783" spans="1:4">
      <c r="A6783" s="83" t="s">
        <v>15115</v>
      </c>
      <c r="B6783" s="83" t="s">
        <v>5017</v>
      </c>
      <c r="C6783" s="83" t="s">
        <v>15116</v>
      </c>
      <c r="D6783" s="83" t="s">
        <v>15117</v>
      </c>
    </row>
    <row r="6784" spans="1:4">
      <c r="A6784" s="83" t="s">
        <v>15115</v>
      </c>
      <c r="B6784" s="83" t="s">
        <v>5012</v>
      </c>
      <c r="C6784" s="83" t="s">
        <v>15118</v>
      </c>
      <c r="D6784" s="83" t="s">
        <v>15117</v>
      </c>
    </row>
    <row r="6785" spans="1:4">
      <c r="A6785" s="83" t="s">
        <v>15115</v>
      </c>
      <c r="B6785" s="83" t="s">
        <v>5015</v>
      </c>
      <c r="C6785" s="83" t="s">
        <v>15119</v>
      </c>
      <c r="D6785" s="83" t="s">
        <v>15117</v>
      </c>
    </row>
    <row r="6786" spans="1:4">
      <c r="A6786" s="83" t="s">
        <v>15115</v>
      </c>
      <c r="B6786" s="83" t="s">
        <v>5010</v>
      </c>
      <c r="C6786" s="83" t="s">
        <v>15120</v>
      </c>
      <c r="D6786" s="83" t="s">
        <v>15117</v>
      </c>
    </row>
    <row r="6787" spans="1:4">
      <c r="A6787" s="83" t="s">
        <v>15121</v>
      </c>
      <c r="B6787" s="83" t="s">
        <v>5017</v>
      </c>
      <c r="C6787" s="83" t="s">
        <v>15122</v>
      </c>
      <c r="D6787" s="83" t="s">
        <v>15123</v>
      </c>
    </row>
    <row r="6788" spans="1:4">
      <c r="A6788" s="83" t="s">
        <v>15121</v>
      </c>
      <c r="B6788" s="83" t="s">
        <v>5012</v>
      </c>
      <c r="C6788" s="83" t="s">
        <v>15124</v>
      </c>
      <c r="D6788" s="83" t="s">
        <v>15123</v>
      </c>
    </row>
    <row r="6789" spans="1:4">
      <c r="A6789" s="83" t="s">
        <v>15121</v>
      </c>
      <c r="B6789" s="83" t="s">
        <v>5015</v>
      </c>
      <c r="C6789" s="83" t="s">
        <v>15125</v>
      </c>
      <c r="D6789" s="83" t="s">
        <v>15123</v>
      </c>
    </row>
    <row r="6790" spans="1:4">
      <c r="A6790" s="83" t="s">
        <v>15121</v>
      </c>
      <c r="B6790" s="83" t="s">
        <v>5010</v>
      </c>
      <c r="C6790" s="83" t="s">
        <v>15126</v>
      </c>
      <c r="D6790" s="83" t="s">
        <v>15123</v>
      </c>
    </row>
    <row r="6791" spans="1:4">
      <c r="A6791" s="83" t="s">
        <v>16248</v>
      </c>
      <c r="B6791" s="83" t="s">
        <v>5017</v>
      </c>
      <c r="C6791" s="83" t="s">
        <v>16249</v>
      </c>
      <c r="D6791" s="83" t="s">
        <v>16250</v>
      </c>
    </row>
    <row r="6792" spans="1:4">
      <c r="A6792" s="83" t="s">
        <v>16248</v>
      </c>
      <c r="B6792" s="83" t="s">
        <v>5012</v>
      </c>
      <c r="C6792" s="83" t="s">
        <v>16251</v>
      </c>
      <c r="D6792" s="83" t="s">
        <v>16252</v>
      </c>
    </row>
    <row r="6793" spans="1:4">
      <c r="A6793" s="83" t="s">
        <v>16248</v>
      </c>
      <c r="B6793" s="83" t="s">
        <v>5015</v>
      </c>
      <c r="C6793" s="83" t="s">
        <v>16253</v>
      </c>
      <c r="D6793" s="83" t="s">
        <v>16254</v>
      </c>
    </row>
    <row r="6794" spans="1:4">
      <c r="A6794" s="83" t="s">
        <v>16248</v>
      </c>
      <c r="B6794" s="83" t="s">
        <v>5010</v>
      </c>
      <c r="C6794" s="83" t="s">
        <v>16255</v>
      </c>
      <c r="D6794" s="83" t="s">
        <v>16256</v>
      </c>
    </row>
    <row r="6795" spans="1:4">
      <c r="A6795" s="83" t="s">
        <v>15140</v>
      </c>
      <c r="B6795" s="83" t="s">
        <v>5017</v>
      </c>
      <c r="C6795" s="83" t="s">
        <v>16257</v>
      </c>
      <c r="D6795" s="83" t="s">
        <v>16258</v>
      </c>
    </row>
    <row r="6796" spans="1:4">
      <c r="A6796" s="83" t="s">
        <v>15140</v>
      </c>
      <c r="B6796" s="83" t="s">
        <v>5012</v>
      </c>
      <c r="C6796" s="83" t="s">
        <v>16259</v>
      </c>
      <c r="D6796" s="83" t="s">
        <v>16260</v>
      </c>
    </row>
    <row r="6797" spans="1:4">
      <c r="A6797" s="83" t="s">
        <v>15140</v>
      </c>
      <c r="B6797" s="83" t="s">
        <v>5015</v>
      </c>
      <c r="C6797" s="83" t="s">
        <v>16261</v>
      </c>
      <c r="D6797" s="83" t="s">
        <v>16262</v>
      </c>
    </row>
    <row r="6798" spans="1:4">
      <c r="A6798" s="83" t="s">
        <v>15140</v>
      </c>
      <c r="B6798" s="83" t="s">
        <v>5010</v>
      </c>
      <c r="C6798" s="83" t="s">
        <v>16263</v>
      </c>
      <c r="D6798" s="83" t="s">
        <v>16264</v>
      </c>
    </row>
    <row r="6799" spans="1:4">
      <c r="A6799" s="83" t="s">
        <v>16265</v>
      </c>
      <c r="B6799" s="83" t="s">
        <v>5017</v>
      </c>
      <c r="C6799" s="83" t="s">
        <v>16266</v>
      </c>
      <c r="D6799" s="83" t="s">
        <v>16267</v>
      </c>
    </row>
    <row r="6800" spans="1:4">
      <c r="A6800" s="83" t="s">
        <v>16265</v>
      </c>
      <c r="B6800" s="83" t="s">
        <v>5012</v>
      </c>
      <c r="C6800" s="83" t="s">
        <v>16268</v>
      </c>
      <c r="D6800" s="83" t="s">
        <v>16269</v>
      </c>
    </row>
    <row r="6801" spans="1:4">
      <c r="A6801" s="83" t="s">
        <v>16265</v>
      </c>
      <c r="B6801" s="83" t="s">
        <v>5015</v>
      </c>
      <c r="C6801" s="83" t="s">
        <v>16270</v>
      </c>
      <c r="D6801" s="83" t="s">
        <v>16271</v>
      </c>
    </row>
    <row r="6802" spans="1:4">
      <c r="A6802" s="83" t="s">
        <v>16265</v>
      </c>
      <c r="B6802" s="83" t="s">
        <v>5010</v>
      </c>
      <c r="C6802" s="83" t="s">
        <v>16272</v>
      </c>
      <c r="D6802" s="83" t="s">
        <v>16273</v>
      </c>
    </row>
  </sheetData>
  <sheetProtection algorithmName="SHA-512" hashValue="PbbwDvuIl1b9GCA45uxx2DMZLenv5KTvIZL6wKv4rhU3eMMcYvDVUhQkyPug9JfxFzAqp0CzCOWYByZnLpSC4w==" saltValue="Apyg+abPC5MOCcZJ04vZ0g==" spinCount="100000" sheet="1" scenarios="1" formatColumns="0" sort="0" autoFilter="0"/>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9F5FC-8304-48F8-A6B0-E4BA4824848F}">
  <sheetPr codeName="Sheet42"/>
  <dimension ref="A1:K2"/>
  <sheetViews>
    <sheetView workbookViewId="0"/>
  </sheetViews>
  <sheetFormatPr defaultRowHeight="12.75"/>
  <sheetData>
    <row r="1" spans="1:11">
      <c r="A1">
        <v>0</v>
      </c>
      <c r="B1">
        <v>11</v>
      </c>
      <c r="C1" t="s">
        <v>3378</v>
      </c>
    </row>
    <row r="2" spans="1:11">
      <c r="A2" t="s">
        <v>193</v>
      </c>
      <c r="B2" t="s">
        <v>181</v>
      </c>
      <c r="C2" t="s">
        <v>127</v>
      </c>
      <c r="D2" t="s">
        <v>2335</v>
      </c>
      <c r="E2" t="s">
        <v>2336</v>
      </c>
      <c r="F2" t="s">
        <v>2337</v>
      </c>
      <c r="G2" t="s">
        <v>2338</v>
      </c>
      <c r="H2" t="s">
        <v>2339</v>
      </c>
      <c r="I2" t="s">
        <v>2340</v>
      </c>
      <c r="J2" t="s">
        <v>2341</v>
      </c>
      <c r="K2" t="s">
        <v>148</v>
      </c>
    </row>
  </sheetData>
  <sheetProtection algorithmName="SHA-512" hashValue="/JKJIDerW6pVxBxQEAVuX/Q+AQkv9nR0kSwtkF/5FSuPhUU2HMnrLGgfAteANk1M75ybPTQTQliKOr3xHPRzpg==" saltValue="/PhrZgTyHKMMXd53mE3Qow==" spinCount="100000" sheet="1" scenarios="1" formatColumns="0" sort="0" autoFilter="0"/>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797E1-64DC-4740-B594-66EBE6C65118}">
  <sheetPr codeName="Sheet43"/>
  <dimension ref="A1:I63"/>
  <sheetViews>
    <sheetView workbookViewId="0"/>
  </sheetViews>
  <sheetFormatPr defaultRowHeight="12.75"/>
  <sheetData>
    <row r="1" spans="1:9">
      <c r="A1">
        <v>61</v>
      </c>
      <c r="B1">
        <v>9</v>
      </c>
      <c r="C1" t="s">
        <v>3379</v>
      </c>
    </row>
    <row r="2" spans="1:9">
      <c r="A2" t="s">
        <v>2822</v>
      </c>
      <c r="B2" t="s">
        <v>2823</v>
      </c>
      <c r="C2" t="s">
        <v>2824</v>
      </c>
      <c r="D2" t="s">
        <v>4004</v>
      </c>
      <c r="E2" t="s">
        <v>148</v>
      </c>
      <c r="F2" t="s">
        <v>2711</v>
      </c>
      <c r="G2" t="s">
        <v>2825</v>
      </c>
      <c r="H2" t="s">
        <v>2826</v>
      </c>
      <c r="I2" t="s">
        <v>2827</v>
      </c>
    </row>
    <row r="3" spans="1:9">
      <c r="A3" s="83" t="s">
        <v>15127</v>
      </c>
      <c r="B3" s="83" t="s">
        <v>15128</v>
      </c>
      <c r="C3" s="83" t="s">
        <v>15129</v>
      </c>
      <c r="D3" s="83" t="s">
        <v>15130</v>
      </c>
      <c r="E3" s="83" t="s">
        <v>15131</v>
      </c>
      <c r="F3" s="83" t="s">
        <v>15132</v>
      </c>
      <c r="I3" s="83" t="s">
        <v>15133</v>
      </c>
    </row>
    <row r="4" spans="1:9">
      <c r="A4" s="83" t="s">
        <v>15134</v>
      </c>
      <c r="B4" s="83" t="s">
        <v>15135</v>
      </c>
      <c r="C4" s="83" t="s">
        <v>15136</v>
      </c>
      <c r="D4" s="83" t="s">
        <v>15137</v>
      </c>
      <c r="E4" s="83" t="s">
        <v>15138</v>
      </c>
      <c r="F4" s="83" t="s">
        <v>15139</v>
      </c>
      <c r="G4" s="83" t="s">
        <v>15140</v>
      </c>
      <c r="I4" s="83" t="s">
        <v>15141</v>
      </c>
    </row>
    <row r="5" spans="1:9">
      <c r="A5" s="83" t="s">
        <v>15142</v>
      </c>
      <c r="B5" s="83" t="s">
        <v>15143</v>
      </c>
      <c r="C5" s="83" t="s">
        <v>15129</v>
      </c>
      <c r="D5" s="83" t="s">
        <v>15130</v>
      </c>
      <c r="E5" s="83" t="s">
        <v>15131</v>
      </c>
      <c r="F5" s="83" t="s">
        <v>15144</v>
      </c>
      <c r="I5" s="83" t="s">
        <v>15145</v>
      </c>
    </row>
    <row r="6" spans="1:9">
      <c r="A6" s="83" t="s">
        <v>15146</v>
      </c>
      <c r="B6" s="83" t="s">
        <v>15147</v>
      </c>
      <c r="C6" s="83" t="s">
        <v>15129</v>
      </c>
      <c r="D6" s="83" t="s">
        <v>15130</v>
      </c>
      <c r="E6" s="83" t="s">
        <v>15131</v>
      </c>
      <c r="F6" s="83" t="s">
        <v>15148</v>
      </c>
    </row>
    <row r="7" spans="1:9">
      <c r="A7" s="83" t="s">
        <v>15149</v>
      </c>
      <c r="B7" s="83" t="s">
        <v>15150</v>
      </c>
      <c r="C7" s="83" t="s">
        <v>15129</v>
      </c>
      <c r="D7" s="83" t="s">
        <v>15137</v>
      </c>
      <c r="E7" s="83" t="s">
        <v>15138</v>
      </c>
      <c r="F7" s="83" t="s">
        <v>15151</v>
      </c>
      <c r="G7" s="83" t="s">
        <v>15140</v>
      </c>
      <c r="I7" s="83" t="s">
        <v>15152</v>
      </c>
    </row>
    <row r="8" spans="1:9">
      <c r="A8" s="83" t="s">
        <v>15153</v>
      </c>
      <c r="B8" s="83" t="s">
        <v>15154</v>
      </c>
      <c r="C8" s="83" t="s">
        <v>15129</v>
      </c>
      <c r="D8" s="83" t="s">
        <v>15130</v>
      </c>
      <c r="E8" s="83" t="s">
        <v>15131</v>
      </c>
      <c r="F8" s="83" t="s">
        <v>15155</v>
      </c>
      <c r="H8" s="83" t="s">
        <v>4559</v>
      </c>
      <c r="I8" s="83" t="s">
        <v>15145</v>
      </c>
    </row>
    <row r="9" spans="1:9">
      <c r="A9" s="83" t="s">
        <v>15156</v>
      </c>
      <c r="B9" s="83" t="s">
        <v>15157</v>
      </c>
      <c r="C9" s="83" t="s">
        <v>4574</v>
      </c>
      <c r="D9" s="83" t="s">
        <v>15137</v>
      </c>
      <c r="E9" s="83" t="s">
        <v>15138</v>
      </c>
      <c r="F9" s="83" t="s">
        <v>15158</v>
      </c>
      <c r="G9" s="83" t="s">
        <v>15140</v>
      </c>
      <c r="H9" s="83" t="s">
        <v>4448</v>
      </c>
      <c r="I9" s="83" t="s">
        <v>15159</v>
      </c>
    </row>
    <row r="10" spans="1:9">
      <c r="A10" s="83" t="s">
        <v>15160</v>
      </c>
      <c r="B10" s="83" t="s">
        <v>15161</v>
      </c>
      <c r="C10" s="83" t="s">
        <v>4574</v>
      </c>
      <c r="D10" s="83" t="s">
        <v>15137</v>
      </c>
      <c r="E10" s="83" t="s">
        <v>15138</v>
      </c>
      <c r="F10" s="83" t="s">
        <v>15162</v>
      </c>
      <c r="G10" s="83" t="s">
        <v>15140</v>
      </c>
      <c r="H10" s="83" t="s">
        <v>15163</v>
      </c>
      <c r="I10" s="83" t="s">
        <v>15164</v>
      </c>
    </row>
    <row r="11" spans="1:9">
      <c r="A11" s="83" t="s">
        <v>15165</v>
      </c>
      <c r="B11" s="83" t="s">
        <v>15166</v>
      </c>
      <c r="C11" s="83" t="s">
        <v>4574</v>
      </c>
      <c r="D11" s="83" t="s">
        <v>15137</v>
      </c>
      <c r="E11" s="83" t="s">
        <v>15138</v>
      </c>
      <c r="F11" s="83" t="s">
        <v>15167</v>
      </c>
      <c r="G11" s="83" t="s">
        <v>15140</v>
      </c>
      <c r="H11" s="83" t="s">
        <v>4559</v>
      </c>
      <c r="I11" s="83" t="s">
        <v>15145</v>
      </c>
    </row>
    <row r="12" spans="1:9">
      <c r="A12" s="83" t="s">
        <v>15168</v>
      </c>
      <c r="B12" s="83" t="s">
        <v>15169</v>
      </c>
      <c r="C12" s="83" t="s">
        <v>4574</v>
      </c>
      <c r="D12" s="83" t="s">
        <v>15137</v>
      </c>
      <c r="E12" s="83" t="s">
        <v>15138</v>
      </c>
      <c r="F12" s="83" t="s">
        <v>15170</v>
      </c>
      <c r="G12" s="83" t="s">
        <v>15140</v>
      </c>
      <c r="H12" s="83" t="s">
        <v>15171</v>
      </c>
      <c r="I12" s="83" t="s">
        <v>15145</v>
      </c>
    </row>
    <row r="13" spans="1:9">
      <c r="A13" s="83" t="s">
        <v>15172</v>
      </c>
      <c r="B13" s="83" t="s">
        <v>15173</v>
      </c>
      <c r="C13" s="83" t="s">
        <v>4574</v>
      </c>
      <c r="D13" s="83" t="s">
        <v>15137</v>
      </c>
      <c r="E13" s="83" t="s">
        <v>15138</v>
      </c>
      <c r="F13" s="83" t="s">
        <v>15174</v>
      </c>
      <c r="G13" s="83" t="s">
        <v>15140</v>
      </c>
      <c r="H13" s="83" t="s">
        <v>4520</v>
      </c>
      <c r="I13" s="83" t="s">
        <v>15175</v>
      </c>
    </row>
    <row r="14" spans="1:9">
      <c r="A14" s="83" t="s">
        <v>15176</v>
      </c>
      <c r="B14" s="83" t="s">
        <v>15177</v>
      </c>
      <c r="C14" s="83" t="s">
        <v>15136</v>
      </c>
      <c r="D14" s="83" t="s">
        <v>15137</v>
      </c>
      <c r="E14" s="83" t="s">
        <v>15138</v>
      </c>
      <c r="F14" s="83" t="s">
        <v>15178</v>
      </c>
      <c r="G14" s="83" t="s">
        <v>15140</v>
      </c>
      <c r="H14" s="83" t="s">
        <v>4525</v>
      </c>
      <c r="I14" s="83" t="s">
        <v>15179</v>
      </c>
    </row>
    <row r="15" spans="1:9">
      <c r="A15" s="83" t="s">
        <v>15180</v>
      </c>
      <c r="B15" s="83" t="s">
        <v>15181</v>
      </c>
      <c r="C15" s="83" t="s">
        <v>4574</v>
      </c>
      <c r="D15" s="83" t="s">
        <v>15137</v>
      </c>
      <c r="E15" s="83" t="s">
        <v>15138</v>
      </c>
      <c r="F15" s="83" t="s">
        <v>15182</v>
      </c>
      <c r="G15" s="83" t="s">
        <v>15140</v>
      </c>
    </row>
    <row r="16" spans="1:9">
      <c r="A16" s="83" t="s">
        <v>15183</v>
      </c>
      <c r="B16" s="83" t="s">
        <v>15184</v>
      </c>
      <c r="C16" s="83" t="s">
        <v>4574</v>
      </c>
      <c r="D16" s="83" t="s">
        <v>15137</v>
      </c>
      <c r="E16" s="83" t="s">
        <v>15138</v>
      </c>
      <c r="F16" s="83" t="s">
        <v>15185</v>
      </c>
      <c r="G16" s="83" t="s">
        <v>15140</v>
      </c>
      <c r="I16" s="83" t="s">
        <v>15179</v>
      </c>
    </row>
    <row r="17" spans="1:9">
      <c r="A17" s="83" t="s">
        <v>15186</v>
      </c>
      <c r="B17" s="83" t="s">
        <v>15187</v>
      </c>
      <c r="C17" s="83" t="s">
        <v>15136</v>
      </c>
      <c r="D17" s="83" t="s">
        <v>15137</v>
      </c>
      <c r="E17" s="83" t="s">
        <v>15138</v>
      </c>
      <c r="F17" s="83" t="s">
        <v>15188</v>
      </c>
      <c r="G17" s="83" t="s">
        <v>15140</v>
      </c>
    </row>
    <row r="18" spans="1:9">
      <c r="A18" s="83" t="s">
        <v>15189</v>
      </c>
      <c r="B18" s="83" t="s">
        <v>15190</v>
      </c>
      <c r="C18" s="83" t="s">
        <v>15136</v>
      </c>
      <c r="D18" s="83" t="s">
        <v>15137</v>
      </c>
      <c r="E18" s="83" t="s">
        <v>15138</v>
      </c>
      <c r="F18" s="83" t="s">
        <v>15191</v>
      </c>
      <c r="G18" s="83" t="s">
        <v>15140</v>
      </c>
      <c r="I18" s="83" t="s">
        <v>15145</v>
      </c>
    </row>
    <row r="19" spans="1:9">
      <c r="A19" s="83" t="s">
        <v>15192</v>
      </c>
      <c r="B19" s="83" t="s">
        <v>15193</v>
      </c>
      <c r="C19" s="83" t="s">
        <v>15136</v>
      </c>
      <c r="D19" s="83" t="s">
        <v>15194</v>
      </c>
      <c r="E19" s="83" t="s">
        <v>15195</v>
      </c>
      <c r="F19" s="83" t="s">
        <v>15196</v>
      </c>
    </row>
    <row r="20" spans="1:9">
      <c r="A20" s="83" t="s">
        <v>15197</v>
      </c>
      <c r="B20" s="83" t="s">
        <v>15198</v>
      </c>
      <c r="C20" s="83" t="s">
        <v>15199</v>
      </c>
      <c r="D20" s="83" t="s">
        <v>15137</v>
      </c>
      <c r="E20" s="83" t="s">
        <v>15138</v>
      </c>
      <c r="F20" s="83" t="s">
        <v>15200</v>
      </c>
      <c r="G20" s="83" t="s">
        <v>15140</v>
      </c>
      <c r="I20" s="83" t="s">
        <v>15152</v>
      </c>
    </row>
    <row r="21" spans="1:9">
      <c r="A21" s="83" t="s">
        <v>15201</v>
      </c>
      <c r="B21" s="83" t="s">
        <v>15202</v>
      </c>
      <c r="C21" s="83" t="s">
        <v>15199</v>
      </c>
      <c r="D21" s="83" t="s">
        <v>15203</v>
      </c>
      <c r="E21" s="83" t="s">
        <v>15195</v>
      </c>
      <c r="F21" s="83" t="s">
        <v>15204</v>
      </c>
      <c r="I21" s="83" t="s">
        <v>15205</v>
      </c>
    </row>
    <row r="22" spans="1:9">
      <c r="A22" s="83" t="s">
        <v>15206</v>
      </c>
      <c r="B22" s="83" t="s">
        <v>15207</v>
      </c>
      <c r="C22" s="83" t="s">
        <v>15136</v>
      </c>
      <c r="D22" s="83" t="s">
        <v>15137</v>
      </c>
      <c r="E22" s="83" t="s">
        <v>15138</v>
      </c>
      <c r="F22" s="83" t="s">
        <v>15208</v>
      </c>
      <c r="G22" s="83" t="s">
        <v>15140</v>
      </c>
      <c r="H22" s="83" t="s">
        <v>4448</v>
      </c>
    </row>
    <row r="23" spans="1:9">
      <c r="A23" s="83" t="s">
        <v>15209</v>
      </c>
      <c r="B23" s="83" t="s">
        <v>15210</v>
      </c>
      <c r="C23" s="83" t="s">
        <v>15136</v>
      </c>
      <c r="D23" s="83" t="s">
        <v>15211</v>
      </c>
      <c r="E23" s="83" t="s">
        <v>15195</v>
      </c>
      <c r="F23" s="83" t="s">
        <v>15212</v>
      </c>
    </row>
    <row r="24" spans="1:9">
      <c r="A24" s="83" t="s">
        <v>15213</v>
      </c>
      <c r="B24" s="83" t="s">
        <v>15214</v>
      </c>
      <c r="C24" s="83" t="s">
        <v>15199</v>
      </c>
      <c r="D24" s="83" t="s">
        <v>15211</v>
      </c>
      <c r="E24" s="83" t="s">
        <v>15215</v>
      </c>
      <c r="F24" s="83" t="s">
        <v>15216</v>
      </c>
    </row>
    <row r="25" spans="1:9">
      <c r="A25" s="83" t="s">
        <v>15217</v>
      </c>
      <c r="B25" s="83" t="s">
        <v>15218</v>
      </c>
      <c r="C25" s="83" t="s">
        <v>15199</v>
      </c>
      <c r="D25" s="83" t="s">
        <v>15137</v>
      </c>
      <c r="E25" s="83" t="s">
        <v>15195</v>
      </c>
      <c r="F25" s="83" t="s">
        <v>15219</v>
      </c>
    </row>
    <row r="26" spans="1:9">
      <c r="A26" s="83" t="s">
        <v>15220</v>
      </c>
      <c r="B26" s="83" t="s">
        <v>15221</v>
      </c>
      <c r="C26" s="83" t="s">
        <v>15136</v>
      </c>
      <c r="D26" s="83" t="s">
        <v>15137</v>
      </c>
      <c r="E26" s="83" t="s">
        <v>15138</v>
      </c>
      <c r="F26" s="83" t="s">
        <v>15222</v>
      </c>
      <c r="G26" s="83" t="s">
        <v>15140</v>
      </c>
      <c r="I26" s="83" t="s">
        <v>15141</v>
      </c>
    </row>
    <row r="27" spans="1:9">
      <c r="A27" s="83" t="s">
        <v>15223</v>
      </c>
      <c r="B27" s="83" t="s">
        <v>15224</v>
      </c>
      <c r="C27" s="83" t="s">
        <v>15199</v>
      </c>
      <c r="D27" s="83" t="s">
        <v>15137</v>
      </c>
      <c r="E27" s="83" t="s">
        <v>15215</v>
      </c>
      <c r="F27" s="83" t="s">
        <v>15225</v>
      </c>
      <c r="I27" s="83" t="s">
        <v>15145</v>
      </c>
    </row>
    <row r="28" spans="1:9">
      <c r="A28" s="83" t="s">
        <v>15226</v>
      </c>
      <c r="B28" s="83" t="s">
        <v>15227</v>
      </c>
      <c r="C28" s="83" t="s">
        <v>15136</v>
      </c>
      <c r="D28" s="83" t="s">
        <v>15137</v>
      </c>
      <c r="E28" s="83" t="s">
        <v>15138</v>
      </c>
      <c r="F28" s="83" t="s">
        <v>15228</v>
      </c>
      <c r="G28" s="83" t="s">
        <v>15140</v>
      </c>
    </row>
    <row r="29" spans="1:9">
      <c r="A29" s="83" t="s">
        <v>15229</v>
      </c>
      <c r="B29" s="83" t="s">
        <v>15230</v>
      </c>
      <c r="C29" s="83" t="s">
        <v>15136</v>
      </c>
      <c r="D29" s="83" t="s">
        <v>15137</v>
      </c>
      <c r="E29" s="83" t="s">
        <v>15138</v>
      </c>
      <c r="F29" s="83" t="s">
        <v>15231</v>
      </c>
      <c r="G29" s="83" t="s">
        <v>15140</v>
      </c>
    </row>
    <row r="30" spans="1:9">
      <c r="A30" s="83" t="s">
        <v>15232</v>
      </c>
      <c r="B30" s="83" t="s">
        <v>15233</v>
      </c>
      <c r="C30" s="83" t="s">
        <v>15136</v>
      </c>
      <c r="D30" s="83" t="s">
        <v>15137</v>
      </c>
      <c r="E30" s="83" t="s">
        <v>15215</v>
      </c>
      <c r="F30" s="83" t="s">
        <v>15234</v>
      </c>
    </row>
    <row r="31" spans="1:9">
      <c r="A31" s="83" t="s">
        <v>15235</v>
      </c>
      <c r="B31" s="83" t="s">
        <v>15236</v>
      </c>
      <c r="C31" s="83" t="s">
        <v>15136</v>
      </c>
      <c r="D31" s="83" t="s">
        <v>15137</v>
      </c>
      <c r="E31" s="83" t="s">
        <v>15138</v>
      </c>
      <c r="F31" s="83" t="s">
        <v>15237</v>
      </c>
      <c r="G31" s="83" t="s">
        <v>15140</v>
      </c>
      <c r="I31" s="83" t="s">
        <v>15238</v>
      </c>
    </row>
    <row r="32" spans="1:9">
      <c r="A32" s="83" t="s">
        <v>15239</v>
      </c>
      <c r="B32" s="83" t="s">
        <v>15240</v>
      </c>
      <c r="C32" s="83" t="s">
        <v>15199</v>
      </c>
      <c r="D32" s="83" t="s">
        <v>15137</v>
      </c>
      <c r="E32" s="83" t="s">
        <v>15215</v>
      </c>
      <c r="F32" s="83" t="s">
        <v>15241</v>
      </c>
    </row>
    <row r="33" spans="1:9">
      <c r="A33" s="83" t="s">
        <v>15242</v>
      </c>
      <c r="B33" s="83" t="s">
        <v>15243</v>
      </c>
      <c r="C33" s="83" t="s">
        <v>15129</v>
      </c>
      <c r="D33" s="83" t="s">
        <v>15137</v>
      </c>
      <c r="E33" s="83" t="s">
        <v>15215</v>
      </c>
      <c r="F33" s="83" t="s">
        <v>15244</v>
      </c>
    </row>
    <row r="34" spans="1:9">
      <c r="A34" s="83" t="s">
        <v>15245</v>
      </c>
      <c r="B34" s="83" t="s">
        <v>15246</v>
      </c>
      <c r="C34" s="83" t="s">
        <v>15129</v>
      </c>
      <c r="D34" s="83" t="s">
        <v>15137</v>
      </c>
      <c r="E34" s="83" t="s">
        <v>15215</v>
      </c>
      <c r="F34" s="83" t="s">
        <v>15247</v>
      </c>
    </row>
    <row r="35" spans="1:9">
      <c r="A35" s="83" t="s">
        <v>15248</v>
      </c>
      <c r="B35" s="83" t="s">
        <v>15249</v>
      </c>
      <c r="C35" s="83" t="s">
        <v>4574</v>
      </c>
      <c r="D35" s="83" t="s">
        <v>15137</v>
      </c>
      <c r="E35" s="83" t="s">
        <v>15215</v>
      </c>
      <c r="F35" s="83" t="s">
        <v>15250</v>
      </c>
    </row>
    <row r="36" spans="1:9">
      <c r="A36" s="83" t="s">
        <v>15251</v>
      </c>
      <c r="B36" s="83" t="s">
        <v>15252</v>
      </c>
      <c r="C36" s="83" t="s">
        <v>4574</v>
      </c>
      <c r="D36" s="83" t="s">
        <v>15137</v>
      </c>
      <c r="E36" s="83" t="s">
        <v>15138</v>
      </c>
      <c r="F36" s="83" t="s">
        <v>15253</v>
      </c>
      <c r="G36" s="83" t="s">
        <v>15140</v>
      </c>
      <c r="H36" s="83" t="s">
        <v>15254</v>
      </c>
      <c r="I36" s="83" t="s">
        <v>15255</v>
      </c>
    </row>
    <row r="37" spans="1:9">
      <c r="A37" s="83" t="s">
        <v>15256</v>
      </c>
      <c r="B37" s="83" t="s">
        <v>15257</v>
      </c>
      <c r="C37" s="83" t="s">
        <v>15136</v>
      </c>
      <c r="D37" s="83" t="s">
        <v>15137</v>
      </c>
      <c r="E37" s="83" t="s">
        <v>15215</v>
      </c>
      <c r="F37" s="83" t="s">
        <v>15258</v>
      </c>
      <c r="H37" s="83" t="s">
        <v>4534</v>
      </c>
      <c r="I37" s="83" t="s">
        <v>15255</v>
      </c>
    </row>
    <row r="38" spans="1:9">
      <c r="A38" s="83" t="s">
        <v>15259</v>
      </c>
      <c r="B38" s="83" t="s">
        <v>15260</v>
      </c>
      <c r="C38" s="83" t="s">
        <v>15129</v>
      </c>
      <c r="D38" s="83" t="s">
        <v>15261</v>
      </c>
      <c r="E38" s="83" t="s">
        <v>15131</v>
      </c>
      <c r="F38" s="83" t="s">
        <v>15262</v>
      </c>
    </row>
    <row r="39" spans="1:9">
      <c r="A39" s="83" t="s">
        <v>15263</v>
      </c>
      <c r="B39" s="83" t="s">
        <v>15264</v>
      </c>
      <c r="C39" s="83" t="s">
        <v>4574</v>
      </c>
      <c r="D39" s="83" t="s">
        <v>15137</v>
      </c>
      <c r="E39" s="83" t="s">
        <v>15138</v>
      </c>
      <c r="F39" s="83" t="s">
        <v>15265</v>
      </c>
      <c r="G39" s="83" t="s">
        <v>15140</v>
      </c>
    </row>
    <row r="40" spans="1:9">
      <c r="A40" s="83" t="s">
        <v>15266</v>
      </c>
      <c r="B40" s="83" t="s">
        <v>15267</v>
      </c>
      <c r="C40" s="83" t="s">
        <v>4574</v>
      </c>
      <c r="D40" s="83" t="s">
        <v>15137</v>
      </c>
      <c r="E40" s="83" t="s">
        <v>15138</v>
      </c>
      <c r="F40" s="83" t="s">
        <v>15268</v>
      </c>
      <c r="G40" s="83" t="s">
        <v>15140</v>
      </c>
      <c r="H40" s="83" t="s">
        <v>4575</v>
      </c>
      <c r="I40" s="83" t="s">
        <v>15269</v>
      </c>
    </row>
    <row r="41" spans="1:9">
      <c r="A41" s="83" t="s">
        <v>15270</v>
      </c>
      <c r="B41" s="83" t="s">
        <v>15271</v>
      </c>
      <c r="C41" s="83" t="s">
        <v>4574</v>
      </c>
      <c r="D41" s="83" t="s">
        <v>15137</v>
      </c>
      <c r="E41" s="83" t="s">
        <v>15138</v>
      </c>
      <c r="F41" s="83" t="s">
        <v>15272</v>
      </c>
      <c r="G41" s="83" t="s">
        <v>15140</v>
      </c>
      <c r="H41" s="83" t="s">
        <v>4580</v>
      </c>
      <c r="I41" s="83" t="s">
        <v>15273</v>
      </c>
    </row>
    <row r="42" spans="1:9">
      <c r="A42" s="83" t="s">
        <v>15274</v>
      </c>
      <c r="B42" s="83" t="s">
        <v>15275</v>
      </c>
      <c r="C42" s="83" t="s">
        <v>4574</v>
      </c>
      <c r="D42" s="83" t="s">
        <v>15137</v>
      </c>
      <c r="E42" s="83" t="s">
        <v>15138</v>
      </c>
      <c r="F42" s="83" t="s">
        <v>15276</v>
      </c>
      <c r="G42" s="83" t="s">
        <v>15140</v>
      </c>
      <c r="I42" s="83" t="s">
        <v>15238</v>
      </c>
    </row>
    <row r="43" spans="1:9">
      <c r="A43" s="83" t="s">
        <v>15277</v>
      </c>
      <c r="B43" s="83" t="s">
        <v>15278</v>
      </c>
      <c r="C43" s="83" t="s">
        <v>15199</v>
      </c>
      <c r="D43" s="83" t="s">
        <v>15137</v>
      </c>
      <c r="E43" s="83" t="s">
        <v>15138</v>
      </c>
      <c r="F43" s="83" t="s">
        <v>15279</v>
      </c>
      <c r="G43" s="83" t="s">
        <v>15140</v>
      </c>
    </row>
    <row r="44" spans="1:9">
      <c r="A44" s="83" t="s">
        <v>15280</v>
      </c>
      <c r="B44" s="83" t="s">
        <v>15281</v>
      </c>
      <c r="C44" s="83" t="s">
        <v>15136</v>
      </c>
      <c r="D44" s="83" t="s">
        <v>15137</v>
      </c>
      <c r="E44" s="83" t="s">
        <v>15138</v>
      </c>
      <c r="F44" s="83" t="s">
        <v>15282</v>
      </c>
      <c r="G44" s="83" t="s">
        <v>15140</v>
      </c>
      <c r="H44" s="83" t="s">
        <v>4468</v>
      </c>
    </row>
    <row r="45" spans="1:9">
      <c r="A45" s="83" t="s">
        <v>15283</v>
      </c>
      <c r="B45" s="83" t="s">
        <v>15284</v>
      </c>
      <c r="C45" s="83" t="s">
        <v>15136</v>
      </c>
      <c r="D45" s="83" t="s">
        <v>15137</v>
      </c>
      <c r="E45" s="83" t="s">
        <v>15138</v>
      </c>
      <c r="F45" s="83" t="s">
        <v>15285</v>
      </c>
      <c r="G45" s="83" t="s">
        <v>15140</v>
      </c>
      <c r="H45" s="83" t="s">
        <v>4462</v>
      </c>
      <c r="I45" s="83" t="s">
        <v>15286</v>
      </c>
    </row>
    <row r="46" spans="1:9">
      <c r="A46" s="83" t="s">
        <v>15287</v>
      </c>
      <c r="B46" s="83" t="s">
        <v>15288</v>
      </c>
      <c r="C46" s="83" t="s">
        <v>15136</v>
      </c>
      <c r="D46" s="83" t="s">
        <v>15137</v>
      </c>
      <c r="E46" s="83" t="s">
        <v>15138</v>
      </c>
      <c r="F46" s="83" t="s">
        <v>15289</v>
      </c>
      <c r="G46" s="83" t="s">
        <v>15140</v>
      </c>
    </row>
    <row r="47" spans="1:9">
      <c r="A47" s="83" t="s">
        <v>15290</v>
      </c>
      <c r="B47" s="83" t="s">
        <v>15291</v>
      </c>
      <c r="C47" s="83" t="s">
        <v>15199</v>
      </c>
      <c r="D47" s="83" t="s">
        <v>15137</v>
      </c>
      <c r="E47" s="83" t="s">
        <v>15138</v>
      </c>
      <c r="F47" s="83" t="s">
        <v>15292</v>
      </c>
      <c r="G47" s="83" t="s">
        <v>15140</v>
      </c>
      <c r="H47" s="83" t="s">
        <v>4448</v>
      </c>
      <c r="I47" s="83" t="s">
        <v>15293</v>
      </c>
    </row>
    <row r="48" spans="1:9">
      <c r="A48" s="83" t="s">
        <v>15294</v>
      </c>
      <c r="B48" s="83" t="s">
        <v>15295</v>
      </c>
      <c r="C48" s="83" t="s">
        <v>15199</v>
      </c>
      <c r="D48" s="83" t="s">
        <v>15137</v>
      </c>
      <c r="E48" s="83" t="s">
        <v>15138</v>
      </c>
      <c r="F48" s="83" t="s">
        <v>15296</v>
      </c>
      <c r="G48" s="83" t="s">
        <v>15140</v>
      </c>
      <c r="I48" s="83" t="s">
        <v>15297</v>
      </c>
    </row>
    <row r="49" spans="1:9">
      <c r="A49" s="83" t="s">
        <v>15298</v>
      </c>
      <c r="B49" s="83" t="s">
        <v>15299</v>
      </c>
      <c r="C49" s="83" t="s">
        <v>15199</v>
      </c>
      <c r="D49" s="83" t="s">
        <v>15137</v>
      </c>
      <c r="E49" s="83" t="s">
        <v>15138</v>
      </c>
      <c r="F49" s="83" t="s">
        <v>15300</v>
      </c>
      <c r="G49" s="83" t="s">
        <v>15140</v>
      </c>
    </row>
    <row r="50" spans="1:9">
      <c r="A50" s="83" t="s">
        <v>15301</v>
      </c>
      <c r="B50" s="83" t="s">
        <v>15302</v>
      </c>
      <c r="C50" s="83" t="s">
        <v>15199</v>
      </c>
      <c r="D50" s="83" t="s">
        <v>15137</v>
      </c>
      <c r="E50" s="83" t="s">
        <v>15195</v>
      </c>
      <c r="F50" s="83" t="s">
        <v>15303</v>
      </c>
    </row>
    <row r="51" spans="1:9">
      <c r="A51" s="83" t="s">
        <v>15304</v>
      </c>
      <c r="B51" s="83" t="s">
        <v>15305</v>
      </c>
      <c r="C51" s="83" t="s">
        <v>15136</v>
      </c>
      <c r="D51" s="83" t="s">
        <v>15137</v>
      </c>
      <c r="E51" s="83" t="s">
        <v>15138</v>
      </c>
      <c r="F51" s="83" t="s">
        <v>15306</v>
      </c>
      <c r="G51" s="83" t="s">
        <v>15140</v>
      </c>
    </row>
    <row r="52" spans="1:9">
      <c r="A52" s="83" t="s">
        <v>15307</v>
      </c>
      <c r="B52" s="83" t="s">
        <v>15308</v>
      </c>
      <c r="C52" s="83" t="s">
        <v>4574</v>
      </c>
      <c r="D52" s="83" t="s">
        <v>15137</v>
      </c>
      <c r="E52" s="83" t="s">
        <v>15138</v>
      </c>
      <c r="F52" s="83" t="s">
        <v>15309</v>
      </c>
      <c r="G52" s="83" t="s">
        <v>15140</v>
      </c>
    </row>
    <row r="53" spans="1:9">
      <c r="A53" s="83" t="s">
        <v>15310</v>
      </c>
      <c r="B53" s="83" t="s">
        <v>15311</v>
      </c>
      <c r="C53" s="83" t="s">
        <v>4574</v>
      </c>
      <c r="D53" s="83" t="s">
        <v>15137</v>
      </c>
      <c r="E53" s="83" t="s">
        <v>15138</v>
      </c>
      <c r="F53" s="83" t="s">
        <v>15312</v>
      </c>
      <c r="G53" s="83" t="s">
        <v>15140</v>
      </c>
    </row>
    <row r="54" spans="1:9">
      <c r="A54" s="83" t="s">
        <v>15313</v>
      </c>
      <c r="B54" s="83" t="s">
        <v>15314</v>
      </c>
      <c r="C54" s="83" t="s">
        <v>15136</v>
      </c>
      <c r="D54" s="83" t="s">
        <v>15137</v>
      </c>
      <c r="E54" s="83" t="s">
        <v>15138</v>
      </c>
      <c r="F54" s="83" t="s">
        <v>15315</v>
      </c>
      <c r="G54" s="83" t="s">
        <v>15140</v>
      </c>
      <c r="H54" s="83" t="s">
        <v>15316</v>
      </c>
    </row>
    <row r="55" spans="1:9">
      <c r="A55" s="83" t="s">
        <v>15317</v>
      </c>
      <c r="B55" s="83" t="s">
        <v>15318</v>
      </c>
      <c r="C55" s="83" t="s">
        <v>15136</v>
      </c>
      <c r="D55" s="83" t="s">
        <v>15137</v>
      </c>
      <c r="E55" s="83" t="s">
        <v>15138</v>
      </c>
      <c r="F55" s="83" t="s">
        <v>15319</v>
      </c>
      <c r="G55" s="83" t="s">
        <v>15140</v>
      </c>
      <c r="H55" s="83" t="s">
        <v>4471</v>
      </c>
    </row>
    <row r="56" spans="1:9">
      <c r="A56" s="83" t="s">
        <v>15320</v>
      </c>
      <c r="B56" s="83" t="s">
        <v>15321</v>
      </c>
      <c r="C56" s="83" t="s">
        <v>15136</v>
      </c>
      <c r="D56" s="83" t="s">
        <v>15137</v>
      </c>
      <c r="E56" s="83" t="s">
        <v>15138</v>
      </c>
      <c r="F56" s="83" t="s">
        <v>15322</v>
      </c>
      <c r="G56" s="83" t="s">
        <v>15140</v>
      </c>
    </row>
    <row r="57" spans="1:9">
      <c r="A57" s="83" t="s">
        <v>15323</v>
      </c>
      <c r="B57" s="83" t="s">
        <v>15324</v>
      </c>
      <c r="C57" s="83" t="s">
        <v>4574</v>
      </c>
      <c r="D57" s="83" t="s">
        <v>15137</v>
      </c>
      <c r="E57" s="83" t="s">
        <v>15138</v>
      </c>
      <c r="F57" s="83" t="s">
        <v>15325</v>
      </c>
      <c r="G57" s="83" t="s">
        <v>15140</v>
      </c>
    </row>
    <row r="58" spans="1:9">
      <c r="A58" s="83" t="s">
        <v>15326</v>
      </c>
      <c r="B58" s="83" t="s">
        <v>15327</v>
      </c>
      <c r="C58" s="83" t="s">
        <v>4574</v>
      </c>
      <c r="D58" s="83" t="s">
        <v>15137</v>
      </c>
      <c r="E58" s="83" t="s">
        <v>15138</v>
      </c>
      <c r="F58" s="83" t="s">
        <v>15328</v>
      </c>
      <c r="G58" s="83" t="s">
        <v>15140</v>
      </c>
      <c r="I58" s="83" t="s">
        <v>15133</v>
      </c>
    </row>
    <row r="59" spans="1:9">
      <c r="A59" s="83" t="s">
        <v>15329</v>
      </c>
      <c r="B59" s="83" t="s">
        <v>15330</v>
      </c>
      <c r="C59" s="83" t="s">
        <v>15199</v>
      </c>
      <c r="D59" s="83" t="s">
        <v>15137</v>
      </c>
      <c r="E59" s="83" t="s">
        <v>15138</v>
      </c>
      <c r="F59" s="83" t="s">
        <v>15331</v>
      </c>
      <c r="G59" s="83" t="s">
        <v>15140</v>
      </c>
    </row>
    <row r="60" spans="1:9">
      <c r="A60" s="83" t="s">
        <v>15332</v>
      </c>
      <c r="B60" s="83" t="s">
        <v>15333</v>
      </c>
      <c r="C60" s="83" t="s">
        <v>15199</v>
      </c>
      <c r="D60" s="83" t="s">
        <v>15137</v>
      </c>
      <c r="E60" s="83" t="s">
        <v>15138</v>
      </c>
      <c r="F60" s="83" t="s">
        <v>15334</v>
      </c>
      <c r="G60" s="83" t="s">
        <v>15140</v>
      </c>
    </row>
    <row r="61" spans="1:9">
      <c r="A61" s="83" t="s">
        <v>15335</v>
      </c>
      <c r="B61" s="83" t="s">
        <v>15336</v>
      </c>
      <c r="C61" s="83" t="s">
        <v>4574</v>
      </c>
      <c r="D61" s="83" t="s">
        <v>15137</v>
      </c>
      <c r="E61" s="83" t="s">
        <v>15138</v>
      </c>
      <c r="F61" s="83" t="s">
        <v>15337</v>
      </c>
      <c r="G61" s="83" t="s">
        <v>15140</v>
      </c>
    </row>
    <row r="62" spans="1:9">
      <c r="A62" s="83" t="s">
        <v>15338</v>
      </c>
      <c r="B62" s="83" t="s">
        <v>15339</v>
      </c>
      <c r="C62" s="83" t="s">
        <v>4574</v>
      </c>
      <c r="D62" s="83" t="s">
        <v>15137</v>
      </c>
      <c r="E62" s="83" t="s">
        <v>15138</v>
      </c>
      <c r="F62" s="83" t="s">
        <v>15340</v>
      </c>
      <c r="G62" s="83" t="s">
        <v>15140</v>
      </c>
      <c r="H62" s="83" t="s">
        <v>4580</v>
      </c>
      <c r="I62" s="83" t="s">
        <v>15273</v>
      </c>
    </row>
    <row r="63" spans="1:9">
      <c r="A63" s="83" t="s">
        <v>15341</v>
      </c>
      <c r="B63" s="83" t="s">
        <v>15342</v>
      </c>
      <c r="C63" s="83" t="s">
        <v>4574</v>
      </c>
      <c r="D63" s="83" t="s">
        <v>15137</v>
      </c>
      <c r="E63" s="83" t="s">
        <v>15138</v>
      </c>
      <c r="F63" s="83" t="s">
        <v>15343</v>
      </c>
      <c r="G63" s="83" t="s">
        <v>15140</v>
      </c>
      <c r="H63" s="83" t="s">
        <v>4452</v>
      </c>
      <c r="I63" s="83" t="s">
        <v>15344</v>
      </c>
    </row>
  </sheetData>
  <sheetProtection algorithmName="SHA-512" hashValue="mwkwIcNGBcAXFcx6R+t/LX6UMTp0EQAY3cvs2va9LBJAv323/U5a4tBisw4Y6F9ID3dR/qyP4vqmpoRUTAyRTg==" saltValue="0hilbmF5ESB70aT3ZbOqng==" spinCount="100000" sheet="1" scenarios="1" formatColumns="0" sort="0" autoFilter="0"/>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6B8F9-AB3B-4CE2-B7B2-BE5F2B98DCB4}">
  <sheetPr codeName="Sheet44"/>
  <dimension ref="A1:O29"/>
  <sheetViews>
    <sheetView workbookViewId="0"/>
  </sheetViews>
  <sheetFormatPr defaultRowHeight="12.75"/>
  <sheetData>
    <row r="1" spans="1:15">
      <c r="A1">
        <v>27</v>
      </c>
      <c r="B1">
        <v>15</v>
      </c>
      <c r="C1" t="s">
        <v>3381</v>
      </c>
    </row>
    <row r="2" spans="1:15">
      <c r="A2" t="s">
        <v>3193</v>
      </c>
      <c r="B2" t="s">
        <v>3140</v>
      </c>
      <c r="C2" t="s">
        <v>144</v>
      </c>
      <c r="D2" t="s">
        <v>145</v>
      </c>
      <c r="E2" t="s">
        <v>3194</v>
      </c>
      <c r="F2" t="s">
        <v>146</v>
      </c>
      <c r="G2" t="s">
        <v>147</v>
      </c>
      <c r="H2" t="s">
        <v>2618</v>
      </c>
      <c r="I2" t="s">
        <v>148</v>
      </c>
      <c r="J2" t="s">
        <v>149</v>
      </c>
      <c r="K2" t="s">
        <v>3195</v>
      </c>
      <c r="L2" t="s">
        <v>2338</v>
      </c>
      <c r="M2" t="s">
        <v>3196</v>
      </c>
      <c r="N2" t="s">
        <v>3197</v>
      </c>
      <c r="O2" t="s">
        <v>3198</v>
      </c>
    </row>
    <row r="3" spans="1:15">
      <c r="A3" s="83" t="s">
        <v>4565</v>
      </c>
      <c r="B3" s="83" t="s">
        <v>15238</v>
      </c>
      <c r="C3" s="83" t="s">
        <v>15345</v>
      </c>
      <c r="D3" s="83" t="s">
        <v>15346</v>
      </c>
      <c r="E3" s="83" t="s">
        <v>15347</v>
      </c>
      <c r="F3" s="83" t="s">
        <v>4565</v>
      </c>
      <c r="G3" s="83" t="s">
        <v>4570</v>
      </c>
      <c r="H3" s="83" t="s">
        <v>15348</v>
      </c>
      <c r="I3" s="83" t="s">
        <v>15349</v>
      </c>
      <c r="J3" s="83" t="s">
        <v>23217</v>
      </c>
      <c r="K3" s="83" t="s">
        <v>15350</v>
      </c>
    </row>
    <row r="4" spans="1:15">
      <c r="A4" s="83" t="s">
        <v>15351</v>
      </c>
      <c r="B4" s="83" t="s">
        <v>15352</v>
      </c>
      <c r="C4" s="83" t="s">
        <v>15353</v>
      </c>
      <c r="D4" s="83" t="s">
        <v>15354</v>
      </c>
      <c r="E4" s="83" t="s">
        <v>15355</v>
      </c>
      <c r="F4" s="83" t="s">
        <v>4570</v>
      </c>
      <c r="G4" s="83" t="s">
        <v>4570</v>
      </c>
      <c r="H4" s="83" t="s">
        <v>15348</v>
      </c>
      <c r="I4" s="83" t="s">
        <v>15356</v>
      </c>
      <c r="J4" s="83" t="s">
        <v>23218</v>
      </c>
      <c r="K4" s="83" t="s">
        <v>15357</v>
      </c>
    </row>
    <row r="5" spans="1:15">
      <c r="A5" s="83" t="s">
        <v>15358</v>
      </c>
      <c r="B5" s="83" t="s">
        <v>15359</v>
      </c>
      <c r="C5" s="83" t="s">
        <v>15353</v>
      </c>
      <c r="D5" s="83" t="s">
        <v>15360</v>
      </c>
      <c r="E5" s="83" t="s">
        <v>15361</v>
      </c>
      <c r="F5" s="83" t="s">
        <v>4570</v>
      </c>
      <c r="G5" s="83" t="s">
        <v>4570</v>
      </c>
      <c r="H5" s="83" t="s">
        <v>15348</v>
      </c>
      <c r="I5" s="83" t="s">
        <v>15356</v>
      </c>
      <c r="J5" s="83" t="s">
        <v>23219</v>
      </c>
      <c r="K5" s="83" t="s">
        <v>15362</v>
      </c>
    </row>
    <row r="6" spans="1:15">
      <c r="A6" s="83" t="s">
        <v>15363</v>
      </c>
      <c r="B6" s="83" t="s">
        <v>15364</v>
      </c>
      <c r="C6" s="83" t="s">
        <v>15353</v>
      </c>
      <c r="D6" s="83" t="s">
        <v>15365</v>
      </c>
      <c r="E6" s="83" t="s">
        <v>15366</v>
      </c>
      <c r="F6" s="83" t="s">
        <v>4570</v>
      </c>
      <c r="G6" s="83" t="s">
        <v>4570</v>
      </c>
      <c r="H6" s="83" t="s">
        <v>15348</v>
      </c>
      <c r="I6" s="83" t="s">
        <v>15356</v>
      </c>
      <c r="J6" s="83" t="s">
        <v>15367</v>
      </c>
      <c r="K6" s="83" t="s">
        <v>21472</v>
      </c>
    </row>
    <row r="7" spans="1:15">
      <c r="A7" s="83" t="s">
        <v>15368</v>
      </c>
      <c r="B7" s="83" t="s">
        <v>15369</v>
      </c>
      <c r="C7" s="83" t="s">
        <v>15353</v>
      </c>
      <c r="D7" s="83" t="s">
        <v>15370</v>
      </c>
      <c r="E7" s="83" t="s">
        <v>15371</v>
      </c>
      <c r="F7" s="83" t="s">
        <v>4570</v>
      </c>
      <c r="G7" s="83" t="s">
        <v>4570</v>
      </c>
      <c r="H7" s="83" t="s">
        <v>15348</v>
      </c>
      <c r="I7" s="83" t="s">
        <v>15356</v>
      </c>
      <c r="J7" s="83" t="s">
        <v>15372</v>
      </c>
      <c r="K7" s="83" t="s">
        <v>15373</v>
      </c>
    </row>
    <row r="8" spans="1:15">
      <c r="A8" s="83" t="s">
        <v>15374</v>
      </c>
      <c r="B8" s="83" t="s">
        <v>15145</v>
      </c>
      <c r="C8" s="83" t="s">
        <v>4558</v>
      </c>
      <c r="D8" s="83" t="s">
        <v>15375</v>
      </c>
      <c r="E8" s="83" t="s">
        <v>15376</v>
      </c>
      <c r="F8" s="83" t="s">
        <v>4570</v>
      </c>
      <c r="G8" s="83" t="s">
        <v>4570</v>
      </c>
      <c r="H8" s="83" t="s">
        <v>15348</v>
      </c>
      <c r="I8" s="83" t="s">
        <v>15356</v>
      </c>
      <c r="J8" s="83" t="s">
        <v>23220</v>
      </c>
      <c r="K8" s="83" t="s">
        <v>15377</v>
      </c>
    </row>
    <row r="9" spans="1:15">
      <c r="A9" s="83" t="s">
        <v>15378</v>
      </c>
      <c r="B9" s="83" t="s">
        <v>15179</v>
      </c>
      <c r="C9" s="83" t="s">
        <v>15379</v>
      </c>
      <c r="D9" s="83" t="s">
        <v>15380</v>
      </c>
      <c r="E9" s="83" t="s">
        <v>15381</v>
      </c>
      <c r="F9" s="83" t="s">
        <v>4570</v>
      </c>
      <c r="G9" s="83" t="s">
        <v>4570</v>
      </c>
      <c r="H9" s="83" t="s">
        <v>15348</v>
      </c>
      <c r="I9" s="83" t="s">
        <v>15356</v>
      </c>
      <c r="J9" s="83" t="s">
        <v>16489</v>
      </c>
      <c r="K9" s="83" t="s">
        <v>15382</v>
      </c>
    </row>
    <row r="10" spans="1:15">
      <c r="A10" s="83" t="s">
        <v>15383</v>
      </c>
      <c r="B10" s="83" t="s">
        <v>15175</v>
      </c>
      <c r="C10" s="83" t="s">
        <v>15379</v>
      </c>
      <c r="D10" s="83" t="s">
        <v>15384</v>
      </c>
      <c r="E10" s="83" t="s">
        <v>15385</v>
      </c>
      <c r="F10" s="83" t="s">
        <v>4570</v>
      </c>
      <c r="G10" s="83" t="s">
        <v>4570</v>
      </c>
      <c r="H10" s="83" t="s">
        <v>15348</v>
      </c>
      <c r="I10" s="83" t="s">
        <v>15356</v>
      </c>
      <c r="J10" s="83" t="s">
        <v>16490</v>
      </c>
      <c r="K10" s="83" t="s">
        <v>15386</v>
      </c>
    </row>
    <row r="11" spans="1:15">
      <c r="A11" s="83" t="s">
        <v>15387</v>
      </c>
      <c r="B11" s="83" t="s">
        <v>15164</v>
      </c>
      <c r="C11" s="83" t="s">
        <v>15379</v>
      </c>
      <c r="D11" s="83" t="s">
        <v>15388</v>
      </c>
      <c r="E11" s="83" t="s">
        <v>15389</v>
      </c>
      <c r="F11" s="83" t="s">
        <v>4570</v>
      </c>
      <c r="G11" s="83" t="s">
        <v>4570</v>
      </c>
      <c r="H11" s="83" t="s">
        <v>15348</v>
      </c>
      <c r="I11" s="83" t="s">
        <v>15356</v>
      </c>
      <c r="J11" s="83" t="s">
        <v>15390</v>
      </c>
      <c r="K11" s="83" t="s">
        <v>15391</v>
      </c>
    </row>
    <row r="12" spans="1:15">
      <c r="A12" s="83" t="s">
        <v>4530</v>
      </c>
      <c r="B12" s="83" t="s">
        <v>15255</v>
      </c>
      <c r="C12" s="83" t="s">
        <v>15379</v>
      </c>
      <c r="D12" s="83" t="s">
        <v>15392</v>
      </c>
      <c r="E12" s="83" t="s">
        <v>15393</v>
      </c>
      <c r="F12" s="83" t="s">
        <v>4570</v>
      </c>
      <c r="G12" s="83" t="s">
        <v>4570</v>
      </c>
      <c r="H12" s="83" t="s">
        <v>15348</v>
      </c>
      <c r="I12" s="83" t="s">
        <v>15356</v>
      </c>
      <c r="J12" s="83" t="s">
        <v>16341</v>
      </c>
      <c r="K12" s="83" t="s">
        <v>15394</v>
      </c>
    </row>
    <row r="13" spans="1:15">
      <c r="A13" s="83" t="s">
        <v>15395</v>
      </c>
      <c r="B13" s="83" t="s">
        <v>15159</v>
      </c>
      <c r="C13" s="83" t="s">
        <v>15379</v>
      </c>
      <c r="D13" s="83" t="s">
        <v>15396</v>
      </c>
      <c r="E13" s="83" t="s">
        <v>15397</v>
      </c>
      <c r="F13" s="83" t="s">
        <v>4570</v>
      </c>
      <c r="G13" s="83" t="s">
        <v>4570</v>
      </c>
      <c r="H13" s="83" t="s">
        <v>15348</v>
      </c>
      <c r="I13" s="83" t="s">
        <v>15356</v>
      </c>
      <c r="J13" s="83" t="s">
        <v>23221</v>
      </c>
      <c r="K13" s="83" t="s">
        <v>15398</v>
      </c>
    </row>
    <row r="14" spans="1:15">
      <c r="A14" s="83" t="s">
        <v>15399</v>
      </c>
      <c r="B14" s="83" t="s">
        <v>15141</v>
      </c>
      <c r="C14" s="83" t="s">
        <v>15379</v>
      </c>
      <c r="D14" s="83" t="s">
        <v>15400</v>
      </c>
      <c r="E14" s="83" t="s">
        <v>15401</v>
      </c>
      <c r="F14" s="83" t="s">
        <v>4570</v>
      </c>
      <c r="G14" s="83" t="s">
        <v>4570</v>
      </c>
      <c r="H14" s="83" t="s">
        <v>15348</v>
      </c>
      <c r="I14" s="83" t="s">
        <v>15356</v>
      </c>
      <c r="J14" s="83" t="s">
        <v>23222</v>
      </c>
      <c r="K14" s="83" t="s">
        <v>15402</v>
      </c>
    </row>
    <row r="15" spans="1:15">
      <c r="A15" s="83" t="s">
        <v>15403</v>
      </c>
      <c r="B15" s="83" t="s">
        <v>15269</v>
      </c>
      <c r="C15" s="83" t="s">
        <v>15379</v>
      </c>
      <c r="D15" s="83" t="s">
        <v>15404</v>
      </c>
      <c r="E15" s="83" t="s">
        <v>15405</v>
      </c>
      <c r="F15" s="83" t="s">
        <v>4570</v>
      </c>
      <c r="G15" s="83" t="s">
        <v>4570</v>
      </c>
      <c r="H15" s="83" t="s">
        <v>15348</v>
      </c>
      <c r="I15" s="83" t="s">
        <v>15356</v>
      </c>
      <c r="J15" s="83" t="s">
        <v>23223</v>
      </c>
      <c r="K15" s="83" t="s">
        <v>15406</v>
      </c>
    </row>
    <row r="16" spans="1:15">
      <c r="A16" s="83" t="s">
        <v>15407</v>
      </c>
      <c r="B16" s="83" t="s">
        <v>15152</v>
      </c>
      <c r="C16" s="83" t="s">
        <v>15408</v>
      </c>
      <c r="D16" s="83" t="s">
        <v>15409</v>
      </c>
      <c r="E16" s="83" t="s">
        <v>15410</v>
      </c>
      <c r="F16" s="83" t="s">
        <v>4570</v>
      </c>
      <c r="G16" s="83" t="s">
        <v>4570</v>
      </c>
      <c r="H16" s="83" t="s">
        <v>15348</v>
      </c>
      <c r="I16" s="83" t="s">
        <v>15356</v>
      </c>
      <c r="J16" s="83" t="s">
        <v>15411</v>
      </c>
      <c r="K16" s="83" t="s">
        <v>15412</v>
      </c>
    </row>
    <row r="17" spans="1:11">
      <c r="A17" s="83" t="s">
        <v>15413</v>
      </c>
      <c r="B17" s="83" t="s">
        <v>15344</v>
      </c>
      <c r="C17" s="83" t="s">
        <v>15414</v>
      </c>
      <c r="D17" s="83" t="s">
        <v>15415</v>
      </c>
      <c r="E17" s="83" t="s">
        <v>15416</v>
      </c>
      <c r="F17" s="83" t="s">
        <v>4570</v>
      </c>
      <c r="G17" s="83" t="s">
        <v>4570</v>
      </c>
      <c r="H17" s="83" t="s">
        <v>15348</v>
      </c>
      <c r="I17" s="83" t="s">
        <v>15356</v>
      </c>
      <c r="J17" s="83" t="s">
        <v>23224</v>
      </c>
      <c r="K17" s="83" t="s">
        <v>22835</v>
      </c>
    </row>
    <row r="18" spans="1:11">
      <c r="A18" s="83" t="s">
        <v>15417</v>
      </c>
      <c r="B18" s="83" t="s">
        <v>15205</v>
      </c>
      <c r="C18" s="83" t="s">
        <v>15414</v>
      </c>
      <c r="D18" s="83" t="s">
        <v>15418</v>
      </c>
      <c r="E18" s="83" t="s">
        <v>20680</v>
      </c>
      <c r="F18" s="83" t="s">
        <v>4570</v>
      </c>
      <c r="G18" s="83" t="s">
        <v>4570</v>
      </c>
      <c r="H18" s="83" t="s">
        <v>15348</v>
      </c>
      <c r="I18" s="83" t="s">
        <v>15356</v>
      </c>
      <c r="J18" s="83" t="s">
        <v>23225</v>
      </c>
      <c r="K18" s="83" t="s">
        <v>22836</v>
      </c>
    </row>
    <row r="19" spans="1:11">
      <c r="A19" s="83" t="s">
        <v>15419</v>
      </c>
      <c r="B19" s="83" t="s">
        <v>15293</v>
      </c>
      <c r="C19" s="83" t="s">
        <v>15414</v>
      </c>
      <c r="D19" s="83" t="s">
        <v>15420</v>
      </c>
      <c r="E19" s="83" t="s">
        <v>22837</v>
      </c>
      <c r="F19" s="83" t="s">
        <v>4570</v>
      </c>
      <c r="G19" s="83" t="s">
        <v>4570</v>
      </c>
      <c r="H19" s="83" t="s">
        <v>15348</v>
      </c>
      <c r="I19" s="83" t="s">
        <v>15356</v>
      </c>
      <c r="J19" s="83" t="s">
        <v>23226</v>
      </c>
      <c r="K19" s="83" t="s">
        <v>22838</v>
      </c>
    </row>
    <row r="20" spans="1:11">
      <c r="A20" s="83" t="s">
        <v>15421</v>
      </c>
      <c r="B20" s="83" t="s">
        <v>15422</v>
      </c>
      <c r="C20" s="83" t="s">
        <v>15414</v>
      </c>
      <c r="D20" s="83" t="s">
        <v>15423</v>
      </c>
      <c r="E20" s="83" t="s">
        <v>15424</v>
      </c>
      <c r="F20" s="83" t="s">
        <v>4570</v>
      </c>
      <c r="G20" s="83" t="s">
        <v>4570</v>
      </c>
      <c r="H20" s="83" t="s">
        <v>15348</v>
      </c>
      <c r="I20" s="83" t="s">
        <v>15356</v>
      </c>
      <c r="J20" s="83" t="s">
        <v>23227</v>
      </c>
      <c r="K20" s="83" t="s">
        <v>15425</v>
      </c>
    </row>
    <row r="21" spans="1:11">
      <c r="A21" s="83" t="s">
        <v>15426</v>
      </c>
      <c r="B21" s="83" t="s">
        <v>15427</v>
      </c>
      <c r="C21" s="83" t="s">
        <v>15428</v>
      </c>
      <c r="D21" s="83" t="s">
        <v>15429</v>
      </c>
      <c r="E21" s="83" t="s">
        <v>15430</v>
      </c>
      <c r="F21" s="83" t="s">
        <v>4570</v>
      </c>
      <c r="G21" s="83" t="s">
        <v>4570</v>
      </c>
      <c r="H21" s="83" t="s">
        <v>15348</v>
      </c>
      <c r="I21" s="83" t="s">
        <v>15356</v>
      </c>
      <c r="J21" s="83" t="s">
        <v>16511</v>
      </c>
      <c r="K21" s="83" t="s">
        <v>15431</v>
      </c>
    </row>
    <row r="22" spans="1:11">
      <c r="A22" s="83" t="s">
        <v>15432</v>
      </c>
      <c r="B22" s="83" t="s">
        <v>15133</v>
      </c>
      <c r="C22" s="83" t="s">
        <v>15428</v>
      </c>
      <c r="D22" s="83" t="s">
        <v>15433</v>
      </c>
      <c r="E22" s="83" t="s">
        <v>15434</v>
      </c>
      <c r="F22" s="83" t="s">
        <v>15435</v>
      </c>
      <c r="G22" s="83" t="s">
        <v>4570</v>
      </c>
      <c r="H22" s="83" t="s">
        <v>15436</v>
      </c>
      <c r="I22" s="83" t="s">
        <v>15436</v>
      </c>
      <c r="J22" s="83" t="s">
        <v>15437</v>
      </c>
      <c r="K22" s="83" t="s">
        <v>15438</v>
      </c>
    </row>
    <row r="23" spans="1:11">
      <c r="A23" s="83" t="s">
        <v>15439</v>
      </c>
      <c r="B23" s="83" t="s">
        <v>15440</v>
      </c>
      <c r="C23" s="83" t="s">
        <v>15428</v>
      </c>
      <c r="D23" s="83" t="s">
        <v>15441</v>
      </c>
      <c r="E23" s="83" t="s">
        <v>15442</v>
      </c>
      <c r="F23" s="83" t="s">
        <v>4570</v>
      </c>
      <c r="G23" s="83" t="s">
        <v>4570</v>
      </c>
      <c r="H23" s="83" t="s">
        <v>15348</v>
      </c>
      <c r="I23" s="83" t="s">
        <v>15356</v>
      </c>
      <c r="J23" s="83" t="s">
        <v>15443</v>
      </c>
      <c r="K23" s="83" t="s">
        <v>15444</v>
      </c>
    </row>
    <row r="24" spans="1:11">
      <c r="A24" s="83" t="s">
        <v>15445</v>
      </c>
      <c r="B24" s="83" t="s">
        <v>15446</v>
      </c>
      <c r="C24" s="83" t="s">
        <v>15428</v>
      </c>
      <c r="D24" s="83" t="s">
        <v>15447</v>
      </c>
      <c r="E24" s="83" t="s">
        <v>15448</v>
      </c>
      <c r="F24" s="83" t="s">
        <v>4570</v>
      </c>
      <c r="G24" s="83" t="s">
        <v>4570</v>
      </c>
      <c r="H24" s="83" t="s">
        <v>15348</v>
      </c>
      <c r="I24" s="83" t="s">
        <v>15356</v>
      </c>
      <c r="J24" s="83" t="s">
        <v>15449</v>
      </c>
      <c r="K24" s="83" t="s">
        <v>15450</v>
      </c>
    </row>
    <row r="25" spans="1:11">
      <c r="A25" s="83" t="s">
        <v>15451</v>
      </c>
      <c r="B25" s="83" t="s">
        <v>15273</v>
      </c>
      <c r="C25" s="83" t="s">
        <v>15428</v>
      </c>
      <c r="D25" s="83" t="s">
        <v>15452</v>
      </c>
      <c r="E25" s="83" t="s">
        <v>15453</v>
      </c>
      <c r="F25" s="83" t="s">
        <v>4570</v>
      </c>
      <c r="G25" s="83" t="s">
        <v>4570</v>
      </c>
      <c r="H25" s="83" t="s">
        <v>15348</v>
      </c>
      <c r="I25" s="83" t="s">
        <v>15356</v>
      </c>
      <c r="J25" s="83" t="s">
        <v>15454</v>
      </c>
      <c r="K25" s="83" t="s">
        <v>15455</v>
      </c>
    </row>
    <row r="26" spans="1:11">
      <c r="A26" s="83" t="s">
        <v>15456</v>
      </c>
      <c r="B26" s="83" t="s">
        <v>15286</v>
      </c>
      <c r="C26" s="83" t="s">
        <v>15428</v>
      </c>
      <c r="D26" s="83" t="s">
        <v>15457</v>
      </c>
      <c r="E26" s="83" t="s">
        <v>15458</v>
      </c>
      <c r="F26" s="83" t="s">
        <v>4570</v>
      </c>
      <c r="G26" s="83" t="s">
        <v>4570</v>
      </c>
      <c r="H26" s="83" t="s">
        <v>15348</v>
      </c>
      <c r="I26" s="83" t="s">
        <v>15356</v>
      </c>
      <c r="J26" s="83" t="s">
        <v>23228</v>
      </c>
      <c r="K26" s="83" t="s">
        <v>15459</v>
      </c>
    </row>
    <row r="27" spans="1:11">
      <c r="A27" s="83" t="s">
        <v>17704</v>
      </c>
      <c r="B27" s="83" t="s">
        <v>20681</v>
      </c>
      <c r="C27" s="83" t="s">
        <v>20682</v>
      </c>
      <c r="D27" s="83" t="s">
        <v>20683</v>
      </c>
      <c r="E27" s="83" t="s">
        <v>20684</v>
      </c>
      <c r="F27" s="83" t="s">
        <v>4570</v>
      </c>
      <c r="G27" s="83" t="s">
        <v>4570</v>
      </c>
      <c r="H27" s="83" t="s">
        <v>15348</v>
      </c>
      <c r="I27" s="83" t="s">
        <v>15356</v>
      </c>
      <c r="J27" s="83" t="s">
        <v>20685</v>
      </c>
      <c r="K27" s="83" t="s">
        <v>20686</v>
      </c>
    </row>
    <row r="28" spans="1:11">
      <c r="A28" s="83" t="s">
        <v>17706</v>
      </c>
      <c r="B28" s="83" t="s">
        <v>20687</v>
      </c>
      <c r="C28" s="83" t="s">
        <v>15353</v>
      </c>
      <c r="D28" s="83" t="s">
        <v>20688</v>
      </c>
      <c r="E28" s="83" t="s">
        <v>20689</v>
      </c>
      <c r="F28" s="83" t="s">
        <v>4570</v>
      </c>
      <c r="G28" s="83" t="s">
        <v>4570</v>
      </c>
      <c r="H28" s="83" t="s">
        <v>15349</v>
      </c>
      <c r="I28" s="83" t="s">
        <v>15356</v>
      </c>
      <c r="J28" s="83" t="s">
        <v>20690</v>
      </c>
      <c r="K28" s="83" t="s">
        <v>21473</v>
      </c>
    </row>
    <row r="29" spans="1:11">
      <c r="A29" s="83" t="s">
        <v>17708</v>
      </c>
      <c r="B29" s="83" t="s">
        <v>21474</v>
      </c>
      <c r="C29" s="83" t="s">
        <v>15428</v>
      </c>
      <c r="D29" s="83" t="s">
        <v>21475</v>
      </c>
      <c r="E29" s="83" t="s">
        <v>21476</v>
      </c>
      <c r="F29" s="83" t="s">
        <v>4565</v>
      </c>
      <c r="G29" s="83" t="s">
        <v>4570</v>
      </c>
      <c r="H29" s="83" t="s">
        <v>15348</v>
      </c>
      <c r="I29" s="83" t="s">
        <v>15349</v>
      </c>
      <c r="J29" s="83" t="s">
        <v>23229</v>
      </c>
      <c r="K29" s="83" t="s">
        <v>21477</v>
      </c>
    </row>
  </sheetData>
  <sheetProtection algorithmName="SHA-512" hashValue="r2d0dhyUaVqTZfh5AL9pa8FBm/2enp4B5l7DCIykIfduI1h4LtRN4DlBKDfV9CpLKS1/rYw1BxlEwdQdaaAhpA==" saltValue="wRZZ7UBWGaiW8WGsRDWJhQ==" spinCount="100000" sheet="1" scenarios="1" formatColumns="0" sort="0" autoFilter="0"/>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2F596-5054-4B16-A196-D4D41225CBDD}">
  <sheetPr codeName="Sheet45"/>
  <dimension ref="A1:AD2"/>
  <sheetViews>
    <sheetView workbookViewId="0"/>
  </sheetViews>
  <sheetFormatPr defaultRowHeight="12.75"/>
  <sheetData>
    <row r="1" spans="1:30">
      <c r="A1">
        <v>0</v>
      </c>
      <c r="B1">
        <v>30</v>
      </c>
      <c r="C1" t="s">
        <v>3382</v>
      </c>
    </row>
    <row r="2" spans="1:30">
      <c r="A2" t="s">
        <v>193</v>
      </c>
      <c r="B2" t="s">
        <v>194</v>
      </c>
      <c r="C2" t="s">
        <v>195</v>
      </c>
      <c r="D2" t="s">
        <v>196</v>
      </c>
      <c r="E2" t="s">
        <v>2814</v>
      </c>
      <c r="F2" t="s">
        <v>197</v>
      </c>
      <c r="G2" t="s">
        <v>198</v>
      </c>
      <c r="H2" t="s">
        <v>199</v>
      </c>
      <c r="I2" t="s">
        <v>200</v>
      </c>
      <c r="J2" t="s">
        <v>2815</v>
      </c>
      <c r="K2" t="s">
        <v>2816</v>
      </c>
      <c r="L2" t="s">
        <v>2817</v>
      </c>
      <c r="M2" t="s">
        <v>2818</v>
      </c>
      <c r="N2" t="s">
        <v>2819</v>
      </c>
      <c r="O2" t="s">
        <v>2820</v>
      </c>
      <c r="P2" t="s">
        <v>303</v>
      </c>
      <c r="Q2" t="s">
        <v>2343</v>
      </c>
      <c r="R2" t="s">
        <v>2344</v>
      </c>
      <c r="S2" t="s">
        <v>2345</v>
      </c>
      <c r="T2" t="s">
        <v>2346</v>
      </c>
      <c r="U2" t="s">
        <v>2347</v>
      </c>
      <c r="V2" t="s">
        <v>20555</v>
      </c>
      <c r="W2" t="s">
        <v>20626</v>
      </c>
      <c r="X2" t="s">
        <v>20627</v>
      </c>
      <c r="Y2" t="s">
        <v>20628</v>
      </c>
      <c r="Z2" t="s">
        <v>20629</v>
      </c>
      <c r="AA2" t="s">
        <v>20630</v>
      </c>
      <c r="AB2" t="s">
        <v>20631</v>
      </c>
      <c r="AC2" t="s">
        <v>20632</v>
      </c>
      <c r="AD2" t="s">
        <v>20633</v>
      </c>
    </row>
  </sheetData>
  <sheetProtection algorithmName="SHA-512" hashValue="6vMQ8u1x5sAgFZHXbLiZqzfk/L/ti54SRn8/MAOlOiHPkKH/hykdozTi2PCDpfMoAuHb97fD8MR7Uz9SdYYsYw==" saltValue="D9dz55vG2UtaE2ELmBzf2Q==" spinCount="100000" sheet="1" scenarios="1" formatColumns="0" sort="0" autoFilter="0"/>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3F9B-4398-49E6-82F8-EECCBB055D7D}">
  <sheetPr codeName="Sheet46"/>
  <dimension ref="A1:P2"/>
  <sheetViews>
    <sheetView workbookViewId="0"/>
  </sheetViews>
  <sheetFormatPr defaultRowHeight="12.75"/>
  <sheetData>
    <row r="1" spans="1:16">
      <c r="A1">
        <v>0</v>
      </c>
      <c r="B1">
        <v>16</v>
      </c>
      <c r="C1" t="s">
        <v>3383</v>
      </c>
    </row>
    <row r="2" spans="1:16">
      <c r="A2" t="s">
        <v>2893</v>
      </c>
      <c r="B2" t="s">
        <v>193</v>
      </c>
      <c r="C2" t="s">
        <v>2894</v>
      </c>
      <c r="D2" t="s">
        <v>2895</v>
      </c>
      <c r="E2" t="s">
        <v>2896</v>
      </c>
      <c r="F2" t="s">
        <v>2897</v>
      </c>
      <c r="G2" t="s">
        <v>2898</v>
      </c>
      <c r="H2" t="s">
        <v>2899</v>
      </c>
      <c r="I2" t="s">
        <v>2900</v>
      </c>
      <c r="J2" t="s">
        <v>2901</v>
      </c>
      <c r="K2" t="s">
        <v>2902</v>
      </c>
      <c r="L2" t="s">
        <v>2903</v>
      </c>
      <c r="M2" t="s">
        <v>2904</v>
      </c>
      <c r="N2" t="s">
        <v>2905</v>
      </c>
      <c r="O2" t="s">
        <v>2906</v>
      </c>
      <c r="P2" t="s">
        <v>2907</v>
      </c>
    </row>
  </sheetData>
  <sheetProtection algorithmName="SHA-512" hashValue="aGv9yUF1IK71+VscEEYEinctD7TIfoVW9kV4F4vQxQawWvFNx1MvcsYSL7gE3rWlIZSP7Fxw3iFUBeIpOupU/Q==" saltValue="IUCMoAqwRZgRQMHU9CVejA==" spinCount="100000" sheet="1" scenarios="1" formatColumns="0" sort="0" autoFilter="0"/>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FE8AF-715F-4B2E-8195-26AE8E9D48BA}">
  <sheetPr codeName="Sheet47"/>
  <dimension ref="A1:H43"/>
  <sheetViews>
    <sheetView workbookViewId="0"/>
  </sheetViews>
  <sheetFormatPr defaultRowHeight="12.75"/>
  <sheetData>
    <row r="1" spans="1:8">
      <c r="A1">
        <v>41</v>
      </c>
      <c r="B1">
        <v>8</v>
      </c>
      <c r="C1" t="s">
        <v>3384</v>
      </c>
    </row>
    <row r="2" spans="1:8">
      <c r="A2" t="s">
        <v>3107</v>
      </c>
      <c r="B2" t="s">
        <v>3108</v>
      </c>
      <c r="C2" t="s">
        <v>3109</v>
      </c>
      <c r="D2" t="s">
        <v>3110</v>
      </c>
      <c r="E2" t="s">
        <v>3111</v>
      </c>
      <c r="F2" t="s">
        <v>3461</v>
      </c>
      <c r="G2" t="s">
        <v>3462</v>
      </c>
      <c r="H2" t="s">
        <v>303</v>
      </c>
    </row>
    <row r="3" spans="1:8">
      <c r="A3" s="83" t="s">
        <v>15460</v>
      </c>
      <c r="B3" s="83" t="s">
        <v>15461</v>
      </c>
      <c r="C3" s="83" t="s">
        <v>4550</v>
      </c>
      <c r="D3" s="83" t="s">
        <v>4606</v>
      </c>
      <c r="E3" s="83" t="s">
        <v>4606</v>
      </c>
      <c r="F3" s="83" t="s">
        <v>15462</v>
      </c>
      <c r="H3" s="83" t="s">
        <v>15463</v>
      </c>
    </row>
    <row r="4" spans="1:8">
      <c r="A4" s="83" t="s">
        <v>15464</v>
      </c>
      <c r="B4" s="83" t="s">
        <v>15465</v>
      </c>
      <c r="C4" s="83" t="s">
        <v>4550</v>
      </c>
      <c r="D4" s="83" t="s">
        <v>4606</v>
      </c>
      <c r="E4" s="83" t="s">
        <v>4606</v>
      </c>
      <c r="F4" s="83" t="s">
        <v>15462</v>
      </c>
      <c r="H4" s="83" t="s">
        <v>15466</v>
      </c>
    </row>
    <row r="5" spans="1:8">
      <c r="A5" s="83" t="s">
        <v>15467</v>
      </c>
      <c r="B5" s="83" t="s">
        <v>15465</v>
      </c>
      <c r="C5" s="83" t="s">
        <v>4550</v>
      </c>
      <c r="D5" s="83" t="s">
        <v>4606</v>
      </c>
      <c r="E5" s="83" t="s">
        <v>4606</v>
      </c>
      <c r="F5" s="83" t="s">
        <v>15462</v>
      </c>
    </row>
    <row r="6" spans="1:8">
      <c r="A6" s="83" t="s">
        <v>15468</v>
      </c>
      <c r="B6" s="83" t="s">
        <v>15465</v>
      </c>
      <c r="C6" s="83" t="s">
        <v>4550</v>
      </c>
      <c r="D6" s="83" t="s">
        <v>4606</v>
      </c>
      <c r="E6" s="83" t="s">
        <v>4606</v>
      </c>
      <c r="F6" s="83" t="s">
        <v>15462</v>
      </c>
      <c r="H6" s="83" t="s">
        <v>15469</v>
      </c>
    </row>
    <row r="7" spans="1:8">
      <c r="A7" s="83" t="s">
        <v>15470</v>
      </c>
      <c r="B7" s="83" t="s">
        <v>15465</v>
      </c>
      <c r="C7" s="83" t="s">
        <v>4550</v>
      </c>
      <c r="D7" s="83" t="s">
        <v>4550</v>
      </c>
      <c r="E7" s="83" t="s">
        <v>4606</v>
      </c>
      <c r="F7" s="83" t="s">
        <v>15462</v>
      </c>
      <c r="H7" s="83" t="s">
        <v>15471</v>
      </c>
    </row>
    <row r="8" spans="1:8">
      <c r="A8" s="83" t="s">
        <v>15472</v>
      </c>
      <c r="B8" s="83" t="s">
        <v>15465</v>
      </c>
      <c r="C8" s="83" t="s">
        <v>4550</v>
      </c>
      <c r="D8" s="83" t="s">
        <v>4550</v>
      </c>
      <c r="E8" s="83" t="s">
        <v>4606</v>
      </c>
      <c r="F8" s="83" t="s">
        <v>15462</v>
      </c>
      <c r="H8" s="83" t="s">
        <v>15473</v>
      </c>
    </row>
    <row r="9" spans="1:8">
      <c r="A9" s="83" t="s">
        <v>15474</v>
      </c>
      <c r="B9" s="83" t="s">
        <v>15465</v>
      </c>
      <c r="C9" s="83" t="s">
        <v>4550</v>
      </c>
      <c r="D9" s="83" t="s">
        <v>4606</v>
      </c>
      <c r="E9" s="83" t="s">
        <v>4606</v>
      </c>
      <c r="F9" s="83" t="s">
        <v>15475</v>
      </c>
      <c r="H9" s="83" t="s">
        <v>15476</v>
      </c>
    </row>
    <row r="10" spans="1:8">
      <c r="A10" s="83" t="s">
        <v>15477</v>
      </c>
      <c r="B10" s="83" t="s">
        <v>15465</v>
      </c>
      <c r="C10" s="83" t="s">
        <v>4550</v>
      </c>
      <c r="D10" s="83" t="s">
        <v>4606</v>
      </c>
      <c r="E10" s="83" t="s">
        <v>4606</v>
      </c>
      <c r="F10" s="83" t="s">
        <v>15462</v>
      </c>
    </row>
    <row r="11" spans="1:8">
      <c r="A11" s="83" t="s">
        <v>15478</v>
      </c>
      <c r="B11" s="83" t="s">
        <v>15465</v>
      </c>
      <c r="C11" s="83" t="s">
        <v>4550</v>
      </c>
      <c r="D11" s="83" t="s">
        <v>4606</v>
      </c>
      <c r="E11" s="83" t="s">
        <v>4606</v>
      </c>
      <c r="F11" s="83" t="s">
        <v>15462</v>
      </c>
      <c r="G11" s="83" t="s">
        <v>15479</v>
      </c>
      <c r="H11" s="83" t="s">
        <v>15480</v>
      </c>
    </row>
    <row r="12" spans="1:8">
      <c r="A12" s="83" t="s">
        <v>15481</v>
      </c>
      <c r="B12" s="83" t="s">
        <v>15465</v>
      </c>
      <c r="C12" s="83" t="s">
        <v>4550</v>
      </c>
      <c r="D12" s="83" t="s">
        <v>4606</v>
      </c>
      <c r="E12" s="83" t="s">
        <v>4606</v>
      </c>
      <c r="F12" s="83" t="s">
        <v>15462</v>
      </c>
      <c r="G12" s="83" t="s">
        <v>15482</v>
      </c>
      <c r="H12" s="83" t="s">
        <v>15483</v>
      </c>
    </row>
    <row r="13" spans="1:8">
      <c r="A13" s="83" t="s">
        <v>15484</v>
      </c>
      <c r="B13" s="83" t="s">
        <v>15465</v>
      </c>
      <c r="C13" s="83" t="s">
        <v>4550</v>
      </c>
      <c r="D13" s="83" t="s">
        <v>4606</v>
      </c>
      <c r="E13" s="83" t="s">
        <v>4606</v>
      </c>
      <c r="F13" s="83" t="s">
        <v>15462</v>
      </c>
      <c r="G13" s="83" t="s">
        <v>15485</v>
      </c>
      <c r="H13" s="83" t="s">
        <v>15486</v>
      </c>
    </row>
    <row r="14" spans="1:8">
      <c r="A14" s="83" t="s">
        <v>4533</v>
      </c>
      <c r="B14" s="83" t="s">
        <v>15465</v>
      </c>
      <c r="C14" s="83" t="s">
        <v>4550</v>
      </c>
      <c r="D14" s="83" t="s">
        <v>4606</v>
      </c>
      <c r="E14" s="83" t="s">
        <v>4606</v>
      </c>
      <c r="F14" s="83" t="s">
        <v>15462</v>
      </c>
      <c r="G14" s="83" t="s">
        <v>15487</v>
      </c>
      <c r="H14" s="83" t="s">
        <v>15488</v>
      </c>
    </row>
    <row r="15" spans="1:8">
      <c r="A15" s="83" t="s">
        <v>15489</v>
      </c>
      <c r="B15" s="83" t="s">
        <v>15465</v>
      </c>
      <c r="C15" s="83" t="s">
        <v>4550</v>
      </c>
      <c r="D15" s="83" t="s">
        <v>4606</v>
      </c>
      <c r="E15" s="83" t="s">
        <v>4606</v>
      </c>
      <c r="F15" s="83" t="s">
        <v>15462</v>
      </c>
      <c r="G15" s="83" t="s">
        <v>15490</v>
      </c>
      <c r="H15" s="83" t="s">
        <v>15491</v>
      </c>
    </row>
    <row r="16" spans="1:8">
      <c r="A16" s="83" t="s">
        <v>15492</v>
      </c>
      <c r="B16" s="83" t="s">
        <v>15465</v>
      </c>
      <c r="C16" s="83" t="s">
        <v>4550</v>
      </c>
      <c r="D16" s="83" t="s">
        <v>4606</v>
      </c>
      <c r="E16" s="83" t="s">
        <v>4606</v>
      </c>
      <c r="F16" s="83" t="s">
        <v>15462</v>
      </c>
      <c r="H16" s="83" t="s">
        <v>15493</v>
      </c>
    </row>
    <row r="17" spans="1:8">
      <c r="A17" s="83" t="s">
        <v>15494</v>
      </c>
      <c r="B17" s="83" t="s">
        <v>15465</v>
      </c>
      <c r="C17" s="83" t="s">
        <v>4550</v>
      </c>
      <c r="D17" s="83" t="s">
        <v>4606</v>
      </c>
      <c r="E17" s="83" t="s">
        <v>4606</v>
      </c>
      <c r="F17" s="83" t="s">
        <v>15462</v>
      </c>
      <c r="H17" s="83" t="s">
        <v>15495</v>
      </c>
    </row>
    <row r="18" spans="1:8">
      <c r="A18" s="83" t="s">
        <v>15496</v>
      </c>
      <c r="B18" s="83" t="s">
        <v>15465</v>
      </c>
      <c r="C18" s="83" t="s">
        <v>4550</v>
      </c>
      <c r="D18" s="83" t="s">
        <v>4606</v>
      </c>
      <c r="E18" s="83" t="s">
        <v>4606</v>
      </c>
      <c r="F18" s="83" t="s">
        <v>15462</v>
      </c>
      <c r="G18" s="83" t="s">
        <v>15497</v>
      </c>
      <c r="H18" s="83" t="s">
        <v>15498</v>
      </c>
    </row>
    <row r="19" spans="1:8">
      <c r="A19" s="83" t="s">
        <v>15499</v>
      </c>
      <c r="B19" s="83" t="s">
        <v>15465</v>
      </c>
      <c r="C19" s="83" t="s">
        <v>4550</v>
      </c>
      <c r="D19" s="83" t="s">
        <v>4606</v>
      </c>
      <c r="E19" s="83" t="s">
        <v>4606</v>
      </c>
      <c r="F19" s="83" t="s">
        <v>15462</v>
      </c>
    </row>
    <row r="20" spans="1:8">
      <c r="A20" s="83" t="s">
        <v>15500</v>
      </c>
      <c r="B20" s="83" t="s">
        <v>15465</v>
      </c>
      <c r="C20" s="83" t="s">
        <v>4550</v>
      </c>
      <c r="D20" s="83" t="s">
        <v>4606</v>
      </c>
      <c r="E20" s="83" t="s">
        <v>4606</v>
      </c>
      <c r="F20" s="83" t="s">
        <v>15462</v>
      </c>
    </row>
    <row r="21" spans="1:8">
      <c r="A21" s="83" t="s">
        <v>15501</v>
      </c>
      <c r="B21" s="83" t="s">
        <v>15465</v>
      </c>
      <c r="C21" s="83" t="s">
        <v>4550</v>
      </c>
      <c r="D21" s="83" t="s">
        <v>4606</v>
      </c>
      <c r="E21" s="83" t="s">
        <v>4606</v>
      </c>
      <c r="F21" s="83" t="s">
        <v>15502</v>
      </c>
    </row>
    <row r="22" spans="1:8">
      <c r="A22" s="83" t="s">
        <v>15503</v>
      </c>
      <c r="B22" s="83" t="s">
        <v>15465</v>
      </c>
      <c r="C22" s="83" t="s">
        <v>4550</v>
      </c>
      <c r="D22" s="83" t="s">
        <v>4606</v>
      </c>
      <c r="E22" s="83" t="s">
        <v>4606</v>
      </c>
      <c r="F22" s="83" t="s">
        <v>15462</v>
      </c>
    </row>
    <row r="23" spans="1:8">
      <c r="A23" s="83" t="s">
        <v>15504</v>
      </c>
      <c r="B23" s="83" t="s">
        <v>15465</v>
      </c>
      <c r="C23" s="83" t="s">
        <v>4550</v>
      </c>
      <c r="D23" s="83" t="s">
        <v>4606</v>
      </c>
      <c r="E23" s="83" t="s">
        <v>4606</v>
      </c>
      <c r="F23" s="83" t="s">
        <v>15462</v>
      </c>
      <c r="H23" s="83" t="s">
        <v>15505</v>
      </c>
    </row>
    <row r="24" spans="1:8">
      <c r="A24" s="83" t="s">
        <v>15506</v>
      </c>
      <c r="B24" s="83" t="s">
        <v>15465</v>
      </c>
      <c r="C24" s="83" t="s">
        <v>4550</v>
      </c>
      <c r="D24" s="83" t="s">
        <v>4606</v>
      </c>
      <c r="E24" s="83" t="s">
        <v>4606</v>
      </c>
      <c r="F24" s="83" t="s">
        <v>15462</v>
      </c>
    </row>
    <row r="25" spans="1:8">
      <c r="A25" s="83" t="s">
        <v>15507</v>
      </c>
      <c r="B25" s="83" t="s">
        <v>15465</v>
      </c>
      <c r="C25" s="83" t="s">
        <v>4550</v>
      </c>
      <c r="D25" s="83" t="s">
        <v>4606</v>
      </c>
      <c r="E25" s="83" t="s">
        <v>4606</v>
      </c>
      <c r="F25" s="83" t="s">
        <v>15462</v>
      </c>
    </row>
    <row r="26" spans="1:8">
      <c r="A26" s="83" t="s">
        <v>15508</v>
      </c>
      <c r="B26" s="83" t="s">
        <v>15465</v>
      </c>
      <c r="C26" s="83" t="s">
        <v>4550</v>
      </c>
      <c r="D26" s="83" t="s">
        <v>4606</v>
      </c>
      <c r="E26" s="83" t="s">
        <v>4606</v>
      </c>
      <c r="F26" s="83" t="s">
        <v>15462</v>
      </c>
    </row>
    <row r="27" spans="1:8">
      <c r="A27" s="83" t="s">
        <v>15509</v>
      </c>
      <c r="B27" s="83" t="s">
        <v>15465</v>
      </c>
      <c r="C27" s="83" t="s">
        <v>4550</v>
      </c>
      <c r="D27" s="83" t="s">
        <v>4606</v>
      </c>
      <c r="E27" s="83" t="s">
        <v>4606</v>
      </c>
      <c r="F27" s="83" t="s">
        <v>15502</v>
      </c>
      <c r="G27" s="83" t="s">
        <v>15510</v>
      </c>
      <c r="H27" s="83" t="s">
        <v>15480</v>
      </c>
    </row>
    <row r="28" spans="1:8">
      <c r="A28" s="83" t="s">
        <v>15511</v>
      </c>
      <c r="B28" s="83" t="s">
        <v>15512</v>
      </c>
      <c r="C28" s="83" t="s">
        <v>4550</v>
      </c>
      <c r="D28" s="83" t="s">
        <v>4606</v>
      </c>
      <c r="E28" s="83" t="s">
        <v>4550</v>
      </c>
      <c r="F28" s="83" t="s">
        <v>15462</v>
      </c>
      <c r="H28" s="83" t="s">
        <v>15513</v>
      </c>
    </row>
    <row r="29" spans="1:8">
      <c r="A29" s="83" t="s">
        <v>20691</v>
      </c>
      <c r="B29" s="83" t="s">
        <v>15512</v>
      </c>
      <c r="C29" s="83" t="s">
        <v>4550</v>
      </c>
      <c r="D29" s="83" t="s">
        <v>4550</v>
      </c>
      <c r="E29" s="83" t="s">
        <v>4550</v>
      </c>
      <c r="F29" s="83" t="s">
        <v>15462</v>
      </c>
      <c r="H29" s="83" t="s">
        <v>20692</v>
      </c>
    </row>
    <row r="30" spans="1:8">
      <c r="A30" s="83" t="s">
        <v>15514</v>
      </c>
      <c r="B30" s="83" t="s">
        <v>15512</v>
      </c>
      <c r="C30" s="83" t="s">
        <v>4550</v>
      </c>
      <c r="D30" s="83" t="s">
        <v>4606</v>
      </c>
      <c r="E30" s="83" t="s">
        <v>4550</v>
      </c>
      <c r="F30" s="83" t="s">
        <v>15462</v>
      </c>
      <c r="H30" s="83" t="s">
        <v>15515</v>
      </c>
    </row>
    <row r="31" spans="1:8">
      <c r="A31" s="83" t="s">
        <v>15516</v>
      </c>
      <c r="B31" s="83" t="s">
        <v>15512</v>
      </c>
      <c r="C31" s="83" t="s">
        <v>4550</v>
      </c>
      <c r="D31" s="83" t="s">
        <v>4550</v>
      </c>
      <c r="E31" s="83" t="s">
        <v>4606</v>
      </c>
      <c r="F31" s="83" t="s">
        <v>15462</v>
      </c>
      <c r="H31" s="83" t="s">
        <v>15517</v>
      </c>
    </row>
    <row r="32" spans="1:8">
      <c r="A32" s="83" t="s">
        <v>15518</v>
      </c>
      <c r="B32" s="83" t="s">
        <v>15461</v>
      </c>
      <c r="C32" s="83" t="s">
        <v>4550</v>
      </c>
      <c r="D32" s="83" t="s">
        <v>4606</v>
      </c>
      <c r="E32" s="83" t="s">
        <v>4550</v>
      </c>
      <c r="F32" s="83" t="s">
        <v>15462</v>
      </c>
      <c r="H32" s="83" t="s">
        <v>15519</v>
      </c>
    </row>
    <row r="33" spans="1:8">
      <c r="A33" s="83" t="s">
        <v>15520</v>
      </c>
      <c r="B33" s="83" t="s">
        <v>15461</v>
      </c>
      <c r="C33" s="83" t="s">
        <v>4550</v>
      </c>
      <c r="D33" s="83" t="s">
        <v>4606</v>
      </c>
      <c r="E33" s="83" t="s">
        <v>4606</v>
      </c>
      <c r="F33" s="83" t="s">
        <v>15462</v>
      </c>
      <c r="H33" s="83" t="s">
        <v>15521</v>
      </c>
    </row>
    <row r="34" spans="1:8">
      <c r="A34" s="83" t="s">
        <v>15522</v>
      </c>
      <c r="B34" s="83" t="s">
        <v>15461</v>
      </c>
      <c r="C34" s="83" t="s">
        <v>4550</v>
      </c>
      <c r="D34" s="83" t="s">
        <v>4606</v>
      </c>
      <c r="E34" s="83" t="s">
        <v>4606</v>
      </c>
      <c r="F34" s="83" t="s">
        <v>15462</v>
      </c>
      <c r="H34" s="83" t="s">
        <v>15523</v>
      </c>
    </row>
    <row r="35" spans="1:8">
      <c r="A35" s="83" t="s">
        <v>17258</v>
      </c>
      <c r="B35" s="83" t="s">
        <v>15465</v>
      </c>
      <c r="C35" s="83" t="s">
        <v>4550</v>
      </c>
      <c r="D35" s="83" t="s">
        <v>4606</v>
      </c>
      <c r="E35" s="83" t="s">
        <v>4606</v>
      </c>
      <c r="F35" s="83" t="s">
        <v>17259</v>
      </c>
      <c r="G35" s="83" t="s">
        <v>15510</v>
      </c>
      <c r="H35" s="83" t="s">
        <v>17260</v>
      </c>
    </row>
    <row r="36" spans="1:8">
      <c r="A36" s="83" t="s">
        <v>17261</v>
      </c>
      <c r="B36" s="83" t="s">
        <v>15465</v>
      </c>
      <c r="C36" s="83" t="s">
        <v>4550</v>
      </c>
      <c r="D36" s="83" t="s">
        <v>4606</v>
      </c>
      <c r="E36" s="83" t="s">
        <v>4606</v>
      </c>
      <c r="F36" s="83" t="s">
        <v>15462</v>
      </c>
      <c r="G36" s="83" t="s">
        <v>15510</v>
      </c>
      <c r="H36" s="83" t="s">
        <v>17262</v>
      </c>
    </row>
    <row r="37" spans="1:8">
      <c r="A37" s="83" t="s">
        <v>17263</v>
      </c>
      <c r="B37" s="83" t="s">
        <v>15465</v>
      </c>
      <c r="C37" s="83" t="s">
        <v>4550</v>
      </c>
      <c r="D37" s="83" t="s">
        <v>4606</v>
      </c>
      <c r="E37" s="83" t="s">
        <v>4606</v>
      </c>
      <c r="F37" s="83" t="s">
        <v>15462</v>
      </c>
      <c r="G37" s="83" t="s">
        <v>15510</v>
      </c>
      <c r="H37" s="83" t="s">
        <v>17264</v>
      </c>
    </row>
    <row r="38" spans="1:8">
      <c r="A38" s="83" t="s">
        <v>19105</v>
      </c>
      <c r="B38" s="83" t="s">
        <v>15512</v>
      </c>
      <c r="C38" s="83" t="s">
        <v>4550</v>
      </c>
      <c r="D38" s="83" t="s">
        <v>4550</v>
      </c>
      <c r="E38" s="83" t="s">
        <v>4606</v>
      </c>
      <c r="F38" s="83" t="s">
        <v>15462</v>
      </c>
      <c r="H38" s="83" t="s">
        <v>19106</v>
      </c>
    </row>
    <row r="39" spans="1:8">
      <c r="A39" s="83" t="s">
        <v>21478</v>
      </c>
      <c r="B39" s="83" t="s">
        <v>15465</v>
      </c>
      <c r="C39" s="83" t="s">
        <v>4550</v>
      </c>
      <c r="D39" s="83" t="s">
        <v>4606</v>
      </c>
      <c r="E39" s="83" t="s">
        <v>4606</v>
      </c>
      <c r="F39" s="83" t="s">
        <v>15475</v>
      </c>
      <c r="H39" s="83" t="s">
        <v>21479</v>
      </c>
    </row>
    <row r="40" spans="1:8">
      <c r="A40" s="83" t="s">
        <v>19107</v>
      </c>
      <c r="B40" s="83" t="s">
        <v>15465</v>
      </c>
      <c r="C40" s="83" t="s">
        <v>4550</v>
      </c>
      <c r="D40" s="83" t="s">
        <v>4606</v>
      </c>
      <c r="E40" s="83" t="s">
        <v>4606</v>
      </c>
      <c r="F40" s="83" t="s">
        <v>15462</v>
      </c>
      <c r="H40" s="83" t="s">
        <v>19108</v>
      </c>
    </row>
    <row r="41" spans="1:8">
      <c r="A41" s="83" t="s">
        <v>22159</v>
      </c>
      <c r="B41" s="83" t="s">
        <v>15465</v>
      </c>
      <c r="C41" s="83" t="s">
        <v>4550</v>
      </c>
      <c r="D41" s="83" t="s">
        <v>4606</v>
      </c>
      <c r="E41" s="83" t="s">
        <v>4606</v>
      </c>
      <c r="F41" s="83" t="s">
        <v>15462</v>
      </c>
      <c r="H41" s="83" t="s">
        <v>22160</v>
      </c>
    </row>
    <row r="42" spans="1:8">
      <c r="A42" s="83" t="s">
        <v>22161</v>
      </c>
      <c r="B42" s="83" t="s">
        <v>15465</v>
      </c>
      <c r="C42" s="83" t="s">
        <v>4550</v>
      </c>
      <c r="D42" s="83" t="s">
        <v>4606</v>
      </c>
      <c r="E42" s="83" t="s">
        <v>4606</v>
      </c>
      <c r="F42" s="83" t="s">
        <v>15462</v>
      </c>
      <c r="H42" s="83" t="s">
        <v>22160</v>
      </c>
    </row>
    <row r="43" spans="1:8">
      <c r="A43" s="83" t="s">
        <v>22162</v>
      </c>
      <c r="B43" s="83" t="s">
        <v>15465</v>
      </c>
      <c r="C43" s="83" t="s">
        <v>4550</v>
      </c>
      <c r="D43" s="83" t="s">
        <v>4606</v>
      </c>
      <c r="E43" s="83" t="s">
        <v>4606</v>
      </c>
      <c r="F43" s="83" t="s">
        <v>15462</v>
      </c>
      <c r="H43" s="83" t="s">
        <v>22160</v>
      </c>
    </row>
  </sheetData>
  <sheetProtection algorithmName="SHA-512" hashValue="xu7cm9P/iHgTPBHW5p7wv7FVnQqIvts5/Ne6YSvTXs836MVSDjQO7Zf/S4EHS7qJj8iuR+MqfWr/IrOvVvdTVA==" saltValue="Jx5KiiS62tGj8pygckMsaA==" spinCount="100000" sheet="1" scenarios="1" formatColumns="0" sort="0" autoFilter="0"/>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C872E-194B-44EE-A1D9-1D3248DA8766}">
  <sheetPr codeName="Sheet48"/>
  <dimension ref="A1:E36"/>
  <sheetViews>
    <sheetView workbookViewId="0"/>
  </sheetViews>
  <sheetFormatPr defaultRowHeight="12.75"/>
  <sheetData>
    <row r="1" spans="1:5">
      <c r="A1">
        <v>34</v>
      </c>
      <c r="B1">
        <v>5</v>
      </c>
      <c r="C1" t="s">
        <v>3385</v>
      </c>
    </row>
    <row r="2" spans="1:5">
      <c r="A2" t="s">
        <v>3133</v>
      </c>
      <c r="B2" t="s">
        <v>3134</v>
      </c>
      <c r="C2" t="s">
        <v>3462</v>
      </c>
      <c r="D2" t="s">
        <v>3463</v>
      </c>
      <c r="E2" t="s">
        <v>303</v>
      </c>
    </row>
    <row r="3" spans="1:5">
      <c r="A3" s="83" t="s">
        <v>15524</v>
      </c>
      <c r="B3" s="83" t="s">
        <v>15525</v>
      </c>
      <c r="C3" s="83" t="s">
        <v>15479</v>
      </c>
      <c r="E3" s="83" t="s">
        <v>15526</v>
      </c>
    </row>
    <row r="4" spans="1:5">
      <c r="A4" s="83" t="s">
        <v>15527</v>
      </c>
      <c r="B4" s="83" t="s">
        <v>15528</v>
      </c>
      <c r="C4" s="83" t="s">
        <v>15482</v>
      </c>
      <c r="E4" s="83" t="s">
        <v>15529</v>
      </c>
    </row>
    <row r="5" spans="1:5">
      <c r="A5" s="83" t="s">
        <v>15530</v>
      </c>
      <c r="B5" s="83" t="s">
        <v>15531</v>
      </c>
      <c r="C5" s="83" t="s">
        <v>15532</v>
      </c>
    </row>
    <row r="6" spans="1:5">
      <c r="A6" s="83" t="s">
        <v>15533</v>
      </c>
      <c r="B6" s="83" t="s">
        <v>15534</v>
      </c>
      <c r="C6" s="83" t="s">
        <v>15535</v>
      </c>
    </row>
    <row r="7" spans="1:5">
      <c r="A7" s="83" t="s">
        <v>15536</v>
      </c>
      <c r="B7" s="83" t="s">
        <v>15537</v>
      </c>
      <c r="C7" s="83" t="s">
        <v>15538</v>
      </c>
    </row>
    <row r="8" spans="1:5">
      <c r="A8" s="83" t="s">
        <v>15539</v>
      </c>
      <c r="B8" s="83" t="s">
        <v>15540</v>
      </c>
      <c r="C8" s="83" t="s">
        <v>15541</v>
      </c>
      <c r="E8" s="83" t="s">
        <v>15542</v>
      </c>
    </row>
    <row r="9" spans="1:5">
      <c r="A9" s="83" t="s">
        <v>15543</v>
      </c>
      <c r="B9" s="83" t="s">
        <v>15544</v>
      </c>
      <c r="C9" s="83" t="s">
        <v>15490</v>
      </c>
    </row>
    <row r="10" spans="1:5">
      <c r="A10" s="83" t="s">
        <v>15545</v>
      </c>
      <c r="B10" s="83" t="s">
        <v>15546</v>
      </c>
      <c r="C10" s="83" t="s">
        <v>15497</v>
      </c>
    </row>
    <row r="11" spans="1:5">
      <c r="A11" s="83" t="s">
        <v>15547</v>
      </c>
      <c r="B11" s="83" t="s">
        <v>15548</v>
      </c>
      <c r="C11" s="83" t="s">
        <v>15510</v>
      </c>
      <c r="D11" s="83" t="s">
        <v>15549</v>
      </c>
      <c r="E11" s="83" t="s">
        <v>15550</v>
      </c>
    </row>
    <row r="12" spans="1:5">
      <c r="A12" s="83" t="s">
        <v>15551</v>
      </c>
      <c r="B12" s="83" t="s">
        <v>15552</v>
      </c>
      <c r="D12" s="83" t="s">
        <v>15553</v>
      </c>
      <c r="E12" s="83" t="s">
        <v>15554</v>
      </c>
    </row>
    <row r="13" spans="1:5">
      <c r="A13" s="83" t="s">
        <v>15555</v>
      </c>
      <c r="B13" s="83" t="s">
        <v>15556</v>
      </c>
      <c r="E13" s="83" t="s">
        <v>15557</v>
      </c>
    </row>
    <row r="14" spans="1:5">
      <c r="A14" s="83" t="s">
        <v>15558</v>
      </c>
      <c r="B14" s="83" t="s">
        <v>15559</v>
      </c>
      <c r="C14" s="83" t="s">
        <v>15510</v>
      </c>
    </row>
    <row r="15" spans="1:5">
      <c r="A15" s="83" t="s">
        <v>15560</v>
      </c>
      <c r="B15" s="83" t="s">
        <v>15561</v>
      </c>
      <c r="C15" s="83" t="s">
        <v>15510</v>
      </c>
    </row>
    <row r="16" spans="1:5">
      <c r="A16" s="83" t="s">
        <v>15562</v>
      </c>
      <c r="B16" s="83" t="s">
        <v>15563</v>
      </c>
      <c r="C16" s="83" t="s">
        <v>15510</v>
      </c>
    </row>
    <row r="17" spans="1:5">
      <c r="A17" s="83" t="s">
        <v>15564</v>
      </c>
      <c r="B17" s="83" t="s">
        <v>15565</v>
      </c>
      <c r="C17" s="83" t="s">
        <v>15510</v>
      </c>
    </row>
    <row r="18" spans="1:5">
      <c r="A18" s="83" t="s">
        <v>15566</v>
      </c>
      <c r="B18" s="83" t="s">
        <v>15567</v>
      </c>
      <c r="C18" s="83" t="s">
        <v>15510</v>
      </c>
      <c r="E18" s="83" t="s">
        <v>15568</v>
      </c>
    </row>
    <row r="19" spans="1:5">
      <c r="A19" s="83" t="s">
        <v>15569</v>
      </c>
      <c r="B19" s="83" t="s">
        <v>15570</v>
      </c>
      <c r="E19" s="83" t="s">
        <v>15571</v>
      </c>
    </row>
    <row r="20" spans="1:5">
      <c r="A20" s="83" t="s">
        <v>17265</v>
      </c>
      <c r="B20" s="83" t="s">
        <v>17266</v>
      </c>
      <c r="C20" s="83" t="s">
        <v>15510</v>
      </c>
      <c r="E20" s="83" t="s">
        <v>17267</v>
      </c>
    </row>
    <row r="21" spans="1:5">
      <c r="A21" s="83" t="s">
        <v>17268</v>
      </c>
      <c r="B21" s="83" t="s">
        <v>17269</v>
      </c>
      <c r="C21" s="83" t="s">
        <v>15510</v>
      </c>
      <c r="E21" s="83" t="s">
        <v>17267</v>
      </c>
    </row>
    <row r="22" spans="1:5">
      <c r="A22" s="83" t="s">
        <v>17270</v>
      </c>
      <c r="B22" s="83" t="s">
        <v>17271</v>
      </c>
      <c r="C22" s="83" t="s">
        <v>15510</v>
      </c>
      <c r="E22" s="83" t="s">
        <v>17267</v>
      </c>
    </row>
    <row r="23" spans="1:5">
      <c r="A23" s="83" t="s">
        <v>17272</v>
      </c>
      <c r="B23" s="83" t="s">
        <v>4627</v>
      </c>
      <c r="C23" s="83" t="s">
        <v>15510</v>
      </c>
      <c r="E23" s="83" t="s">
        <v>17267</v>
      </c>
    </row>
    <row r="24" spans="1:5">
      <c r="A24" s="83" t="s">
        <v>17273</v>
      </c>
      <c r="B24" s="83" t="s">
        <v>4780</v>
      </c>
      <c r="C24" s="83" t="s">
        <v>15510</v>
      </c>
      <c r="E24" s="83" t="s">
        <v>17267</v>
      </c>
    </row>
    <row r="25" spans="1:5">
      <c r="A25" s="83" t="s">
        <v>17274</v>
      </c>
      <c r="B25" s="83" t="s">
        <v>4753</v>
      </c>
      <c r="C25" s="83" t="s">
        <v>15510</v>
      </c>
      <c r="E25" s="83" t="s">
        <v>17267</v>
      </c>
    </row>
    <row r="26" spans="1:5">
      <c r="A26" s="83" t="s">
        <v>17275</v>
      </c>
      <c r="B26" s="83" t="s">
        <v>17276</v>
      </c>
      <c r="C26" s="83" t="s">
        <v>15510</v>
      </c>
      <c r="E26" s="83" t="s">
        <v>17267</v>
      </c>
    </row>
    <row r="27" spans="1:5">
      <c r="A27" s="83" t="s">
        <v>17277</v>
      </c>
      <c r="B27" s="83" t="s">
        <v>4661</v>
      </c>
      <c r="C27" s="83" t="s">
        <v>15510</v>
      </c>
      <c r="E27" s="83" t="s">
        <v>17267</v>
      </c>
    </row>
    <row r="28" spans="1:5">
      <c r="A28" s="83" t="s">
        <v>17278</v>
      </c>
      <c r="B28" s="83" t="s">
        <v>17279</v>
      </c>
      <c r="C28" s="83" t="s">
        <v>15510</v>
      </c>
      <c r="E28" s="83" t="s">
        <v>17267</v>
      </c>
    </row>
    <row r="29" spans="1:5">
      <c r="A29" s="83" t="s">
        <v>17280</v>
      </c>
      <c r="B29" s="83" t="s">
        <v>17281</v>
      </c>
      <c r="C29" s="83" t="s">
        <v>15510</v>
      </c>
      <c r="E29" s="83" t="s">
        <v>17267</v>
      </c>
    </row>
    <row r="30" spans="1:5">
      <c r="A30" s="83" t="s">
        <v>17282</v>
      </c>
      <c r="B30" s="83" t="s">
        <v>17283</v>
      </c>
      <c r="C30" s="83" t="s">
        <v>15510</v>
      </c>
      <c r="E30" s="83" t="s">
        <v>17267</v>
      </c>
    </row>
    <row r="31" spans="1:5">
      <c r="A31" s="83" t="s">
        <v>17284</v>
      </c>
      <c r="B31" s="83" t="s">
        <v>17284</v>
      </c>
      <c r="C31" s="83" t="s">
        <v>15510</v>
      </c>
      <c r="E31" s="83" t="s">
        <v>17267</v>
      </c>
    </row>
    <row r="32" spans="1:5">
      <c r="A32" s="83" t="s">
        <v>17285</v>
      </c>
      <c r="B32" s="83" t="s">
        <v>17286</v>
      </c>
      <c r="C32" s="83" t="s">
        <v>15510</v>
      </c>
      <c r="E32" s="83" t="s">
        <v>17267</v>
      </c>
    </row>
    <row r="33" spans="1:5">
      <c r="A33" s="83" t="s">
        <v>17287</v>
      </c>
      <c r="B33" s="83" t="s">
        <v>17288</v>
      </c>
      <c r="C33" s="83" t="s">
        <v>15510</v>
      </c>
      <c r="E33" s="83" t="s">
        <v>17267</v>
      </c>
    </row>
    <row r="34" spans="1:5">
      <c r="A34" s="83" t="s">
        <v>17289</v>
      </c>
      <c r="B34" s="83" t="s">
        <v>17290</v>
      </c>
      <c r="C34" s="83" t="s">
        <v>15510</v>
      </c>
      <c r="E34" s="83" t="s">
        <v>17291</v>
      </c>
    </row>
    <row r="35" spans="1:5">
      <c r="A35" s="83" t="s">
        <v>17292</v>
      </c>
      <c r="B35" s="83" t="s">
        <v>17293</v>
      </c>
      <c r="C35" s="83" t="s">
        <v>15510</v>
      </c>
      <c r="E35" s="83" t="s">
        <v>17294</v>
      </c>
    </row>
    <row r="36" spans="1:5">
      <c r="A36" s="83" t="s">
        <v>20693</v>
      </c>
      <c r="B36" s="83" t="s">
        <v>20694</v>
      </c>
      <c r="E36" s="83" t="s">
        <v>20695</v>
      </c>
    </row>
  </sheetData>
  <sheetProtection algorithmName="SHA-512" hashValue="FGGBVplwF3WplZQCwRiKuaIj54oYqCTPWzMUtO2gCETVYWZYIrS0I8dOVklFyRiTRtoD21ybhGsrL+s6zcKJiw==" saltValue="G9GcHCf3f8f1I5lo6n9zuw==" spinCount="100000" sheet="1" scenarios="1" formatColumns="0" sort="0" autoFilter="0"/>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DA902-0FC2-4188-9A04-747208CFC032}">
  <sheetPr codeName="Sheet49"/>
  <dimension ref="A1:C14"/>
  <sheetViews>
    <sheetView workbookViewId="0"/>
  </sheetViews>
  <sheetFormatPr defaultRowHeight="12.75"/>
  <sheetData>
    <row r="1" spans="1:3">
      <c r="A1">
        <v>12</v>
      </c>
      <c r="B1">
        <v>3</v>
      </c>
      <c r="C1" t="s">
        <v>3386</v>
      </c>
    </row>
    <row r="2" spans="1:3">
      <c r="A2" t="s">
        <v>202</v>
      </c>
      <c r="B2" t="s">
        <v>3140</v>
      </c>
      <c r="C2" t="s">
        <v>3144</v>
      </c>
    </row>
    <row r="3" spans="1:3">
      <c r="A3" s="83" t="s">
        <v>15572</v>
      </c>
      <c r="B3" s="83" t="s">
        <v>15164</v>
      </c>
      <c r="C3" s="83" t="s">
        <v>15573</v>
      </c>
    </row>
    <row r="4" spans="1:3">
      <c r="A4" s="83" t="s">
        <v>15572</v>
      </c>
      <c r="B4" s="83" t="s">
        <v>15145</v>
      </c>
      <c r="C4" s="83" t="s">
        <v>15574</v>
      </c>
    </row>
    <row r="5" spans="1:3">
      <c r="A5" s="83" t="s">
        <v>15572</v>
      </c>
      <c r="B5" s="83" t="s">
        <v>15352</v>
      </c>
      <c r="C5" s="83" t="s">
        <v>15575</v>
      </c>
    </row>
    <row r="6" spans="1:3">
      <c r="A6" s="83" t="s">
        <v>15572</v>
      </c>
      <c r="B6" s="83" t="s">
        <v>15175</v>
      </c>
      <c r="C6" s="83" t="s">
        <v>15576</v>
      </c>
    </row>
    <row r="7" spans="1:3">
      <c r="A7" s="83" t="s">
        <v>15577</v>
      </c>
      <c r="B7" s="83" t="s">
        <v>15164</v>
      </c>
      <c r="C7" s="83" t="s">
        <v>15573</v>
      </c>
    </row>
    <row r="8" spans="1:3">
      <c r="A8" s="83" t="s">
        <v>15577</v>
      </c>
      <c r="B8" s="83" t="s">
        <v>15145</v>
      </c>
      <c r="C8" s="83" t="s">
        <v>15574</v>
      </c>
    </row>
    <row r="9" spans="1:3">
      <c r="A9" s="83" t="s">
        <v>15578</v>
      </c>
      <c r="B9" s="83" t="s">
        <v>15175</v>
      </c>
      <c r="C9" s="83" t="s">
        <v>15579</v>
      </c>
    </row>
    <row r="10" spans="1:3">
      <c r="A10" s="83" t="s">
        <v>15578</v>
      </c>
      <c r="B10" s="83" t="s">
        <v>15352</v>
      </c>
      <c r="C10" s="83" t="s">
        <v>15575</v>
      </c>
    </row>
    <row r="11" spans="1:3">
      <c r="A11" s="83" t="s">
        <v>15580</v>
      </c>
      <c r="B11" s="83" t="s">
        <v>15205</v>
      </c>
      <c r="C11" s="83" t="s">
        <v>22839</v>
      </c>
    </row>
    <row r="12" spans="1:3">
      <c r="A12" s="83" t="s">
        <v>15580</v>
      </c>
      <c r="B12" s="83" t="s">
        <v>15352</v>
      </c>
      <c r="C12" s="83" t="s">
        <v>15575</v>
      </c>
    </row>
    <row r="13" spans="1:3">
      <c r="A13" s="83" t="s">
        <v>15581</v>
      </c>
      <c r="B13" s="83" t="s">
        <v>15179</v>
      </c>
      <c r="C13" s="83" t="s">
        <v>15582</v>
      </c>
    </row>
    <row r="14" spans="1:3">
      <c r="A14" s="83" t="s">
        <v>15581</v>
      </c>
      <c r="B14" s="83" t="s">
        <v>15159</v>
      </c>
      <c r="C14" s="83" t="s">
        <v>15583</v>
      </c>
    </row>
  </sheetData>
  <sheetProtection algorithmName="SHA-512" hashValue="TGZvapW2OmlmwvPnZErHaQhBzBFSRHbNtYJuMhZXptWILbezTP1aRalngRVZ3stpeuMqscQr9QRjii5NMU2//A==" saltValue="UmDMRExeDnrsthoEqHS/HQ==" spinCount="100000" sheet="1" scenarios="1" formatColumns="0" sort="0" autoFilter="0"/>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72162-795D-4E41-92CC-C00F9FDD7816}">
  <sheetPr codeName="Sheet50"/>
  <dimension ref="A1:D40"/>
  <sheetViews>
    <sheetView workbookViewId="0"/>
  </sheetViews>
  <sheetFormatPr defaultRowHeight="12.75"/>
  <sheetData>
    <row r="1" spans="1:4">
      <c r="A1">
        <v>38</v>
      </c>
      <c r="B1">
        <v>4</v>
      </c>
      <c r="C1" t="s">
        <v>3387</v>
      </c>
    </row>
    <row r="2" spans="1:4">
      <c r="A2" t="s">
        <v>3153</v>
      </c>
      <c r="B2" t="s">
        <v>3143</v>
      </c>
      <c r="C2" t="s">
        <v>3154</v>
      </c>
      <c r="D2" t="s">
        <v>303</v>
      </c>
    </row>
    <row r="3" spans="1:4">
      <c r="A3" s="83" t="s">
        <v>4565</v>
      </c>
      <c r="B3" s="83" t="s">
        <v>15584</v>
      </c>
      <c r="C3" s="83" t="s">
        <v>15585</v>
      </c>
      <c r="D3" s="83" t="s">
        <v>15586</v>
      </c>
    </row>
    <row r="4" spans="1:4">
      <c r="A4" s="83" t="s">
        <v>15351</v>
      </c>
      <c r="B4" s="83" t="s">
        <v>15587</v>
      </c>
      <c r="C4" s="83" t="s">
        <v>15588</v>
      </c>
    </row>
    <row r="5" spans="1:4">
      <c r="A5" s="83" t="s">
        <v>15358</v>
      </c>
      <c r="B5" s="83" t="s">
        <v>15589</v>
      </c>
      <c r="C5" s="83" t="s">
        <v>15588</v>
      </c>
    </row>
    <row r="6" spans="1:4">
      <c r="A6" s="83" t="s">
        <v>15363</v>
      </c>
      <c r="B6" s="83" t="s">
        <v>15590</v>
      </c>
      <c r="C6" s="83" t="s">
        <v>15588</v>
      </c>
    </row>
    <row r="7" spans="1:4">
      <c r="A7" s="83" t="s">
        <v>15368</v>
      </c>
      <c r="B7" s="83" t="s">
        <v>15595</v>
      </c>
      <c r="C7" s="83" t="s">
        <v>15593</v>
      </c>
      <c r="D7" s="83" t="s">
        <v>20696</v>
      </c>
    </row>
    <row r="8" spans="1:4">
      <c r="A8" s="83" t="s">
        <v>15374</v>
      </c>
      <c r="B8" s="83" t="s">
        <v>15591</v>
      </c>
      <c r="C8" s="83" t="s">
        <v>15588</v>
      </c>
    </row>
    <row r="9" spans="1:4">
      <c r="A9" s="83" t="s">
        <v>15378</v>
      </c>
      <c r="B9" s="83" t="s">
        <v>15592</v>
      </c>
      <c r="C9" s="83" t="s">
        <v>15593</v>
      </c>
    </row>
    <row r="10" spans="1:4">
      <c r="A10" s="83" t="s">
        <v>15383</v>
      </c>
      <c r="B10" s="83" t="s">
        <v>15594</v>
      </c>
      <c r="C10" s="83" t="s">
        <v>15593</v>
      </c>
    </row>
    <row r="11" spans="1:4">
      <c r="A11" s="83" t="s">
        <v>15387</v>
      </c>
      <c r="B11" s="83" t="s">
        <v>21480</v>
      </c>
      <c r="C11" s="83" t="s">
        <v>15593</v>
      </c>
      <c r="D11" s="83" t="s">
        <v>21481</v>
      </c>
    </row>
    <row r="12" spans="1:4">
      <c r="A12" s="83" t="s">
        <v>4530</v>
      </c>
      <c r="B12" s="83" t="s">
        <v>15596</v>
      </c>
      <c r="C12" s="83" t="s">
        <v>15593</v>
      </c>
    </row>
    <row r="13" spans="1:4">
      <c r="A13" s="83" t="s">
        <v>15395</v>
      </c>
      <c r="B13" s="83" t="s">
        <v>15597</v>
      </c>
      <c r="C13" s="83" t="s">
        <v>15593</v>
      </c>
    </row>
    <row r="14" spans="1:4">
      <c r="A14" s="83" t="s">
        <v>15399</v>
      </c>
      <c r="B14" s="83" t="s">
        <v>20697</v>
      </c>
      <c r="C14" s="83" t="s">
        <v>15593</v>
      </c>
      <c r="D14" s="83" t="s">
        <v>20698</v>
      </c>
    </row>
    <row r="15" spans="1:4">
      <c r="A15" s="83" t="s">
        <v>15403</v>
      </c>
      <c r="B15" s="83" t="s">
        <v>20699</v>
      </c>
      <c r="C15" s="83" t="s">
        <v>15593</v>
      </c>
      <c r="D15" s="83" t="s">
        <v>20698</v>
      </c>
    </row>
    <row r="16" spans="1:4">
      <c r="A16" s="83" t="s">
        <v>15407</v>
      </c>
      <c r="B16" s="83" t="s">
        <v>20700</v>
      </c>
      <c r="C16" s="83" t="s">
        <v>15593</v>
      </c>
      <c r="D16" s="83" t="s">
        <v>20698</v>
      </c>
    </row>
    <row r="17" spans="1:4">
      <c r="A17" s="83" t="s">
        <v>15413</v>
      </c>
      <c r="B17" s="83" t="s">
        <v>15598</v>
      </c>
      <c r="C17" s="83" t="s">
        <v>15593</v>
      </c>
      <c r="D17" s="83" t="s">
        <v>15599</v>
      </c>
    </row>
    <row r="18" spans="1:4">
      <c r="A18" s="83" t="s">
        <v>15417</v>
      </c>
      <c r="B18" s="83" t="s">
        <v>15600</v>
      </c>
      <c r="C18" s="83" t="s">
        <v>15601</v>
      </c>
      <c r="D18" s="83" t="s">
        <v>15602</v>
      </c>
    </row>
    <row r="19" spans="1:4">
      <c r="A19" s="83" t="s">
        <v>15419</v>
      </c>
      <c r="B19" s="83" t="s">
        <v>15603</v>
      </c>
      <c r="C19" s="83" t="s">
        <v>15604</v>
      </c>
      <c r="D19" s="83" t="s">
        <v>15605</v>
      </c>
    </row>
    <row r="20" spans="1:4">
      <c r="A20" s="83" t="s">
        <v>15407</v>
      </c>
      <c r="B20" s="83" t="s">
        <v>18651</v>
      </c>
      <c r="C20" s="83" t="s">
        <v>18652</v>
      </c>
      <c r="D20" s="83" t="s">
        <v>18653</v>
      </c>
    </row>
    <row r="21" spans="1:4">
      <c r="A21" s="83" t="s">
        <v>15413</v>
      </c>
      <c r="B21" s="83" t="s">
        <v>18654</v>
      </c>
      <c r="C21" s="83" t="s">
        <v>18652</v>
      </c>
      <c r="D21" s="83" t="s">
        <v>18653</v>
      </c>
    </row>
    <row r="22" spans="1:4">
      <c r="A22" s="83" t="s">
        <v>15417</v>
      </c>
      <c r="B22" s="83" t="s">
        <v>18655</v>
      </c>
      <c r="C22" s="83" t="s">
        <v>18652</v>
      </c>
      <c r="D22" s="83" t="s">
        <v>18653</v>
      </c>
    </row>
    <row r="23" spans="1:4">
      <c r="A23" s="83" t="s">
        <v>15419</v>
      </c>
      <c r="B23" s="83" t="s">
        <v>18656</v>
      </c>
      <c r="C23" s="83" t="s">
        <v>18652</v>
      </c>
      <c r="D23" s="83" t="s">
        <v>18653</v>
      </c>
    </row>
    <row r="24" spans="1:4">
      <c r="A24" s="83" t="s">
        <v>15421</v>
      </c>
      <c r="B24" s="83" t="s">
        <v>18657</v>
      </c>
      <c r="C24" s="83" t="s">
        <v>18652</v>
      </c>
      <c r="D24" s="83" t="s">
        <v>18653</v>
      </c>
    </row>
    <row r="25" spans="1:4">
      <c r="A25" s="83" t="s">
        <v>15426</v>
      </c>
      <c r="B25" s="83" t="s">
        <v>18658</v>
      </c>
      <c r="C25" s="83" t="s">
        <v>18652</v>
      </c>
      <c r="D25" s="83" t="s">
        <v>18653</v>
      </c>
    </row>
    <row r="26" spans="1:4">
      <c r="A26" s="83" t="s">
        <v>15432</v>
      </c>
      <c r="B26" s="83" t="s">
        <v>18659</v>
      </c>
      <c r="C26" s="83" t="s">
        <v>18652</v>
      </c>
      <c r="D26" s="83" t="s">
        <v>18653</v>
      </c>
    </row>
    <row r="27" spans="1:4">
      <c r="A27" s="83" t="s">
        <v>15439</v>
      </c>
      <c r="B27" s="83" t="s">
        <v>18660</v>
      </c>
      <c r="C27" s="83" t="s">
        <v>18652</v>
      </c>
      <c r="D27" s="83" t="s">
        <v>18653</v>
      </c>
    </row>
    <row r="28" spans="1:4">
      <c r="A28" s="83" t="s">
        <v>15445</v>
      </c>
      <c r="B28" s="83" t="s">
        <v>18661</v>
      </c>
      <c r="C28" s="83" t="s">
        <v>18652</v>
      </c>
      <c r="D28" s="83" t="s">
        <v>18653</v>
      </c>
    </row>
    <row r="29" spans="1:4">
      <c r="A29" s="83" t="s">
        <v>15451</v>
      </c>
      <c r="B29" s="83" t="s">
        <v>18662</v>
      </c>
      <c r="C29" s="83" t="s">
        <v>18652</v>
      </c>
      <c r="D29" s="83" t="s">
        <v>18653</v>
      </c>
    </row>
    <row r="30" spans="1:4">
      <c r="A30" s="83" t="s">
        <v>15456</v>
      </c>
      <c r="B30" s="83" t="s">
        <v>18663</v>
      </c>
      <c r="C30" s="83" t="s">
        <v>18652</v>
      </c>
      <c r="D30" s="83" t="s">
        <v>18653</v>
      </c>
    </row>
    <row r="31" spans="1:4">
      <c r="A31" s="83" t="s">
        <v>17704</v>
      </c>
      <c r="B31" s="83" t="s">
        <v>18664</v>
      </c>
      <c r="C31" s="83" t="s">
        <v>18652</v>
      </c>
      <c r="D31" s="83" t="s">
        <v>18653</v>
      </c>
    </row>
    <row r="32" spans="1:4">
      <c r="A32" s="83" t="s">
        <v>17706</v>
      </c>
      <c r="B32" s="83" t="s">
        <v>18665</v>
      </c>
      <c r="C32" s="83" t="s">
        <v>18652</v>
      </c>
      <c r="D32" s="83" t="s">
        <v>18653</v>
      </c>
    </row>
    <row r="33" spans="1:4">
      <c r="A33" s="83" t="s">
        <v>17708</v>
      </c>
      <c r="B33" s="83" t="s">
        <v>18666</v>
      </c>
      <c r="C33" s="83" t="s">
        <v>18652</v>
      </c>
      <c r="D33" s="83" t="s">
        <v>18653</v>
      </c>
    </row>
    <row r="34" spans="1:4">
      <c r="A34" s="83" t="s">
        <v>17710</v>
      </c>
      <c r="B34" s="83" t="s">
        <v>18667</v>
      </c>
      <c r="C34" s="83" t="s">
        <v>18652</v>
      </c>
      <c r="D34" s="83" t="s">
        <v>18653</v>
      </c>
    </row>
    <row r="35" spans="1:4">
      <c r="A35" s="83" t="s">
        <v>17712</v>
      </c>
      <c r="B35" s="83" t="s">
        <v>18668</v>
      </c>
      <c r="C35" s="83" t="s">
        <v>18652</v>
      </c>
      <c r="D35" s="83" t="s">
        <v>18653</v>
      </c>
    </row>
    <row r="36" spans="1:4">
      <c r="B36" s="83" t="s">
        <v>20295</v>
      </c>
      <c r="C36" s="83" t="s">
        <v>18652</v>
      </c>
      <c r="D36" s="83" t="s">
        <v>20296</v>
      </c>
    </row>
    <row r="37" spans="1:4">
      <c r="A37" s="83" t="s">
        <v>15421</v>
      </c>
      <c r="B37" s="83" t="s">
        <v>20701</v>
      </c>
      <c r="C37" s="83" t="s">
        <v>20702</v>
      </c>
      <c r="D37" s="83" t="s">
        <v>20703</v>
      </c>
    </row>
    <row r="38" spans="1:4">
      <c r="A38" s="83" t="s">
        <v>15426</v>
      </c>
      <c r="B38" s="83" t="s">
        <v>20704</v>
      </c>
      <c r="C38" s="83" t="s">
        <v>20705</v>
      </c>
      <c r="D38" s="83" t="s">
        <v>20706</v>
      </c>
    </row>
    <row r="39" spans="1:4">
      <c r="A39" s="83" t="s">
        <v>15432</v>
      </c>
      <c r="B39" s="83" t="s">
        <v>20707</v>
      </c>
      <c r="C39" s="83" t="s">
        <v>20705</v>
      </c>
      <c r="D39" s="83" t="s">
        <v>20706</v>
      </c>
    </row>
    <row r="40" spans="1:4">
      <c r="A40" s="83" t="s">
        <v>15439</v>
      </c>
      <c r="B40" s="83" t="s">
        <v>21482</v>
      </c>
      <c r="C40" s="83" t="s">
        <v>21483</v>
      </c>
      <c r="D40" s="83" t="s">
        <v>21484</v>
      </c>
    </row>
  </sheetData>
  <sheetProtection algorithmName="SHA-512" hashValue="FR62brQTh9OGhnqd2Z4A0dDxd6n0AHvf6Uu5D8vuqTcJgdw9K7/kWqhW+w/5M7BuO6n8ABthrwbxe9trH75+pg==" saltValue="jBhf88RGEg1EaL+wx/Vlpg==" spinCount="100000" sheet="1" scenarios="1" formatColumns="0" sort="0" autoFilter="0"/>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00D7-B9A8-4012-A597-BEBA5528DD33}">
  <sheetPr codeName="Sheet51"/>
  <dimension ref="A1:G7"/>
  <sheetViews>
    <sheetView workbookViewId="0"/>
  </sheetViews>
  <sheetFormatPr defaultRowHeight="12.75"/>
  <sheetData>
    <row r="1" spans="1:7">
      <c r="A1">
        <v>5</v>
      </c>
      <c r="B1">
        <v>7</v>
      </c>
      <c r="C1" t="s">
        <v>3388</v>
      </c>
    </row>
    <row r="2" spans="1:7">
      <c r="A2" t="s">
        <v>128</v>
      </c>
      <c r="B2" t="s">
        <v>129</v>
      </c>
      <c r="C2" t="s">
        <v>130</v>
      </c>
      <c r="D2" t="s">
        <v>4119</v>
      </c>
      <c r="E2" t="s">
        <v>4120</v>
      </c>
      <c r="F2" t="s">
        <v>4121</v>
      </c>
      <c r="G2" t="s">
        <v>4122</v>
      </c>
    </row>
    <row r="3" spans="1:7">
      <c r="A3" s="83" t="s">
        <v>16036</v>
      </c>
      <c r="B3" s="83" t="s">
        <v>16037</v>
      </c>
      <c r="C3" s="83" t="s">
        <v>15137</v>
      </c>
      <c r="D3" s="83" t="s">
        <v>16038</v>
      </c>
      <c r="E3" s="83" t="s">
        <v>16039</v>
      </c>
      <c r="F3" s="83" t="s">
        <v>16040</v>
      </c>
      <c r="G3" s="83" t="s">
        <v>16041</v>
      </c>
    </row>
    <row r="4" spans="1:7">
      <c r="A4" s="83" t="s">
        <v>16042</v>
      </c>
      <c r="B4" s="83" t="s">
        <v>16037</v>
      </c>
      <c r="C4" s="83" t="s">
        <v>15137</v>
      </c>
      <c r="D4" s="83" t="s">
        <v>16043</v>
      </c>
      <c r="E4" s="83" t="s">
        <v>16044</v>
      </c>
      <c r="F4" s="83" t="s">
        <v>16045</v>
      </c>
      <c r="G4" s="83" t="s">
        <v>16046</v>
      </c>
    </row>
    <row r="5" spans="1:7">
      <c r="A5" s="83" t="s">
        <v>16047</v>
      </c>
      <c r="B5" s="83" t="s">
        <v>16048</v>
      </c>
      <c r="C5" s="83" t="s">
        <v>15137</v>
      </c>
      <c r="D5" s="83" t="s">
        <v>16049</v>
      </c>
      <c r="E5" s="83" t="s">
        <v>16050</v>
      </c>
      <c r="F5" s="83" t="s">
        <v>16051</v>
      </c>
      <c r="G5" s="83" t="s">
        <v>16052</v>
      </c>
    </row>
    <row r="6" spans="1:7">
      <c r="A6" s="83" t="s">
        <v>4593</v>
      </c>
      <c r="B6" s="83" t="s">
        <v>16053</v>
      </c>
      <c r="C6" s="83" t="s">
        <v>15137</v>
      </c>
      <c r="D6" s="83" t="s">
        <v>16054</v>
      </c>
      <c r="E6" s="83" t="s">
        <v>16055</v>
      </c>
      <c r="F6" s="83" t="s">
        <v>16056</v>
      </c>
      <c r="G6" s="83" t="s">
        <v>16057</v>
      </c>
    </row>
    <row r="7" spans="1:7">
      <c r="A7" s="83" t="s">
        <v>22155</v>
      </c>
      <c r="B7" s="83" t="s">
        <v>22851</v>
      </c>
      <c r="C7" s="83" t="s">
        <v>15137</v>
      </c>
      <c r="D7" s="83" t="s">
        <v>22852</v>
      </c>
      <c r="E7" s="83" t="s">
        <v>22853</v>
      </c>
      <c r="F7" s="83" t="s">
        <v>22854</v>
      </c>
      <c r="G7" s="83" t="s">
        <v>22855</v>
      </c>
    </row>
  </sheetData>
  <sheetProtection algorithmName="SHA-512" hashValue="VzFz3imLn7gvXRGTbyXdxECtAT1uvrrtaaMaHT2YZEtXfXEJrIRxpEifO1/1eSO0kZ/oHMxCVi97xWmyCq8Qiw==" saltValue="WW0zvBNmGm12sywBF/zsdA==" spinCount="100000" sheet="1" scenarios="1" formatColumns="0" sort="0" autoFilter="0"/>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DDE2D-8EEA-4CF9-BAE1-5666DDA62255}">
  <sheetPr codeName="Sheet52"/>
  <dimension ref="A1:AM43"/>
  <sheetViews>
    <sheetView workbookViewId="0"/>
  </sheetViews>
  <sheetFormatPr defaultRowHeight="12.75"/>
  <cols>
    <col min="1" max="11" width="14.7109375" customWidth="1"/>
    <col min="13" max="13" width="14.7109375" customWidth="1"/>
    <col min="14" max="14" width="36.7109375" customWidth="1"/>
    <col min="15" max="24" width="14.7109375" customWidth="1"/>
    <col min="26" max="36" width="14.7109375" customWidth="1"/>
    <col min="38" max="38" width="16.7109375" customWidth="1"/>
    <col min="39" max="39" width="40.7109375" customWidth="1"/>
  </cols>
  <sheetData>
    <row r="1" spans="1:39" ht="20.25">
      <c r="A1" s="53" t="s">
        <v>3879</v>
      </c>
    </row>
    <row r="2" spans="1:39">
      <c r="A2" s="54" t="s">
        <v>3880</v>
      </c>
    </row>
    <row r="3" spans="1:39">
      <c r="AL3" s="47" t="s">
        <v>3964</v>
      </c>
    </row>
    <row r="4" spans="1:39">
      <c r="A4" s="50" t="s">
        <v>2895</v>
      </c>
      <c r="B4" s="50" t="s">
        <v>3881</v>
      </c>
      <c r="C4" s="50" t="s">
        <v>3882</v>
      </c>
      <c r="D4" s="50" t="s">
        <v>3154</v>
      </c>
      <c r="E4" s="50" t="s">
        <v>2389</v>
      </c>
      <c r="F4" s="50" t="s">
        <v>3883</v>
      </c>
      <c r="G4" s="50" t="s">
        <v>3884</v>
      </c>
      <c r="H4" s="50" t="s">
        <v>3885</v>
      </c>
      <c r="I4" s="50" t="s">
        <v>3886</v>
      </c>
      <c r="J4" s="50" t="s">
        <v>3887</v>
      </c>
      <c r="M4" s="50" t="s">
        <v>2926</v>
      </c>
      <c r="N4" s="50" t="s">
        <v>3888</v>
      </c>
      <c r="O4" s="50" t="s">
        <v>3407</v>
      </c>
      <c r="P4" s="50" t="s">
        <v>3294</v>
      </c>
      <c r="Q4" s="50" t="s">
        <v>3412</v>
      </c>
      <c r="R4" s="50" t="s">
        <v>3415</v>
      </c>
      <c r="S4" s="50" t="s">
        <v>3295</v>
      </c>
      <c r="T4" s="50" t="s">
        <v>3889</v>
      </c>
      <c r="U4" s="50" t="s">
        <v>3890</v>
      </c>
      <c r="V4" s="50" t="s">
        <v>3891</v>
      </c>
      <c r="W4" s="50" t="s">
        <v>3892</v>
      </c>
      <c r="X4" s="50" t="s">
        <v>303</v>
      </c>
      <c r="Z4" s="50" t="s">
        <v>2895</v>
      </c>
      <c r="AA4" s="50" t="s">
        <v>3881</v>
      </c>
      <c r="AB4" s="50" t="s">
        <v>2927</v>
      </c>
      <c r="AC4" s="50" t="s">
        <v>3956</v>
      </c>
      <c r="AD4" s="50" t="s">
        <v>3957</v>
      </c>
      <c r="AE4" s="50" t="s">
        <v>3958</v>
      </c>
      <c r="AF4" s="50" t="s">
        <v>3959</v>
      </c>
      <c r="AG4" s="50" t="s">
        <v>3960</v>
      </c>
      <c r="AH4" s="50" t="s">
        <v>3961</v>
      </c>
      <c r="AI4" s="50" t="s">
        <v>3962</v>
      </c>
      <c r="AJ4" s="50" t="s">
        <v>3963</v>
      </c>
      <c r="AL4" t="s">
        <v>3965</v>
      </c>
      <c r="AM4" s="112"/>
    </row>
    <row r="5" spans="1:39">
      <c r="A5" s="112"/>
      <c r="B5" s="112"/>
      <c r="C5" s="112"/>
      <c r="D5" s="112"/>
      <c r="E5" s="112"/>
      <c r="F5" s="43"/>
      <c r="G5" s="43"/>
      <c r="H5" s="112"/>
      <c r="I5" s="112"/>
      <c r="J5" s="112"/>
      <c r="M5" s="84" t="s">
        <v>3077</v>
      </c>
      <c r="N5" s="84" t="s">
        <v>3893</v>
      </c>
      <c r="O5" s="84" t="s">
        <v>94</v>
      </c>
      <c r="P5" s="84" t="s">
        <v>94</v>
      </c>
      <c r="Q5" s="84" t="s">
        <v>94</v>
      </c>
      <c r="R5" s="84" t="s">
        <v>94</v>
      </c>
      <c r="S5" s="84" t="s">
        <v>94</v>
      </c>
      <c r="T5" s="84" t="s">
        <v>95</v>
      </c>
      <c r="U5" s="84" t="s">
        <v>95</v>
      </c>
      <c r="V5" s="84" t="s">
        <v>94</v>
      </c>
      <c r="W5" s="84" t="s">
        <v>95</v>
      </c>
      <c r="X5" s="84" t="s">
        <v>3894</v>
      </c>
      <c r="Z5" s="112"/>
      <c r="AA5" s="112"/>
      <c r="AB5" s="112"/>
      <c r="AD5" s="112"/>
      <c r="AE5" s="112"/>
      <c r="AF5" s="112"/>
      <c r="AG5" s="112"/>
      <c r="AI5" s="84"/>
      <c r="AJ5" s="112"/>
      <c r="AL5" t="s">
        <v>3966</v>
      </c>
      <c r="AM5" s="112"/>
    </row>
    <row r="6" spans="1:39">
      <c r="M6" s="84" t="s">
        <v>3074</v>
      </c>
      <c r="N6" s="84" t="s">
        <v>3895</v>
      </c>
      <c r="O6" s="84" t="s">
        <v>95</v>
      </c>
      <c r="P6" s="84" t="s">
        <v>94</v>
      </c>
      <c r="Q6" s="84" t="s">
        <v>94</v>
      </c>
      <c r="R6" s="84" t="s">
        <v>94</v>
      </c>
      <c r="S6" s="84" t="s">
        <v>95</v>
      </c>
      <c r="T6" s="84" t="s">
        <v>95</v>
      </c>
      <c r="U6" s="84" t="s">
        <v>95</v>
      </c>
      <c r="V6" s="84" t="s">
        <v>94</v>
      </c>
      <c r="W6" s="84" t="s">
        <v>95</v>
      </c>
      <c r="X6" s="84" t="s">
        <v>3896</v>
      </c>
      <c r="AL6" t="s">
        <v>3967</v>
      </c>
      <c r="AM6" s="112" t="s">
        <v>3407</v>
      </c>
    </row>
    <row r="7" spans="1:39">
      <c r="M7" s="84" t="s">
        <v>3076</v>
      </c>
      <c r="N7" s="84" t="s">
        <v>3897</v>
      </c>
      <c r="O7" s="84" t="s">
        <v>95</v>
      </c>
      <c r="P7" s="84" t="s">
        <v>94</v>
      </c>
      <c r="Q7" s="84" t="s">
        <v>94</v>
      </c>
      <c r="R7" s="84" t="s">
        <v>94</v>
      </c>
      <c r="S7" s="84" t="s">
        <v>95</v>
      </c>
      <c r="T7" s="84" t="s">
        <v>95</v>
      </c>
      <c r="U7" s="84" t="s">
        <v>95</v>
      </c>
      <c r="V7" s="84" t="s">
        <v>94</v>
      </c>
      <c r="W7" s="84" t="s">
        <v>95</v>
      </c>
      <c r="X7" s="84" t="s">
        <v>3898</v>
      </c>
      <c r="AL7" t="s">
        <v>3968</v>
      </c>
      <c r="AM7" s="112"/>
    </row>
    <row r="8" spans="1:39">
      <c r="M8" s="84" t="s">
        <v>3064</v>
      </c>
      <c r="N8" s="84" t="s">
        <v>3899</v>
      </c>
      <c r="O8" s="84" t="s">
        <v>95</v>
      </c>
      <c r="P8" s="84" t="s">
        <v>95</v>
      </c>
      <c r="Q8" s="84" t="s">
        <v>94</v>
      </c>
      <c r="R8" s="84" t="s">
        <v>94</v>
      </c>
      <c r="S8" s="84" t="s">
        <v>94</v>
      </c>
      <c r="T8" s="84" t="s">
        <v>95</v>
      </c>
      <c r="U8" s="84" t="s">
        <v>94</v>
      </c>
      <c r="V8" s="84" t="s">
        <v>94</v>
      </c>
      <c r="W8" s="84" t="s">
        <v>94</v>
      </c>
      <c r="X8" s="84" t="s">
        <v>3900</v>
      </c>
      <c r="AL8" t="s">
        <v>3969</v>
      </c>
      <c r="AM8" t="b">
        <v>0</v>
      </c>
    </row>
    <row r="9" spans="1:39">
      <c r="M9" s="84" t="s">
        <v>3478</v>
      </c>
      <c r="N9" s="84" t="s">
        <v>3901</v>
      </c>
      <c r="O9" s="84" t="s">
        <v>95</v>
      </c>
      <c r="P9" s="84" t="s">
        <v>95</v>
      </c>
      <c r="Q9" s="84" t="s">
        <v>94</v>
      </c>
      <c r="R9" s="84" t="s">
        <v>95</v>
      </c>
      <c r="S9" s="84" t="s">
        <v>95</v>
      </c>
      <c r="T9" s="84" t="s">
        <v>95</v>
      </c>
      <c r="U9" s="84" t="s">
        <v>94</v>
      </c>
      <c r="V9" s="84" t="s">
        <v>94</v>
      </c>
      <c r="W9" s="84" t="s">
        <v>95</v>
      </c>
      <c r="X9" s="84" t="s">
        <v>3902</v>
      </c>
      <c r="AL9" t="s">
        <v>3970</v>
      </c>
      <c r="AM9" t="b">
        <v>1</v>
      </c>
    </row>
    <row r="10" spans="1:39">
      <c r="M10" s="84" t="s">
        <v>3489</v>
      </c>
      <c r="N10" s="84" t="s">
        <v>3903</v>
      </c>
      <c r="O10" s="84" t="s">
        <v>95</v>
      </c>
      <c r="P10" s="84" t="s">
        <v>95</v>
      </c>
      <c r="Q10" s="84" t="s">
        <v>94</v>
      </c>
      <c r="R10" s="84" t="s">
        <v>95</v>
      </c>
      <c r="S10" s="84" t="s">
        <v>95</v>
      </c>
      <c r="T10" s="84" t="s">
        <v>95</v>
      </c>
      <c r="U10" s="84" t="s">
        <v>94</v>
      </c>
      <c r="V10" s="84" t="s">
        <v>94</v>
      </c>
      <c r="W10" s="84" t="s">
        <v>95</v>
      </c>
      <c r="X10" s="84" t="s">
        <v>2982</v>
      </c>
      <c r="AL10" t="s">
        <v>3971</v>
      </c>
      <c r="AM10" t="b">
        <v>1</v>
      </c>
    </row>
    <row r="11" spans="1:39">
      <c r="M11" s="84" t="s">
        <v>3904</v>
      </c>
      <c r="N11" s="84" t="s">
        <v>3905</v>
      </c>
      <c r="O11" s="84" t="s">
        <v>95</v>
      </c>
      <c r="P11" s="84" t="s">
        <v>95</v>
      </c>
      <c r="Q11" s="84" t="s">
        <v>94</v>
      </c>
      <c r="R11" s="84" t="s">
        <v>95</v>
      </c>
      <c r="S11" s="84" t="s">
        <v>95</v>
      </c>
      <c r="T11" s="84" t="s">
        <v>95</v>
      </c>
      <c r="U11" s="84" t="s">
        <v>94</v>
      </c>
      <c r="V11" s="84" t="s">
        <v>94</v>
      </c>
      <c r="W11" s="84" t="s">
        <v>95</v>
      </c>
      <c r="X11" s="84" t="s">
        <v>3906</v>
      </c>
      <c r="AL11" t="s">
        <v>3972</v>
      </c>
      <c r="AM11" s="112"/>
    </row>
    <row r="12" spans="1:39">
      <c r="M12" s="84" t="s">
        <v>3066</v>
      </c>
      <c r="N12" s="84" t="s">
        <v>3907</v>
      </c>
      <c r="O12" s="84" t="s">
        <v>95</v>
      </c>
      <c r="P12" s="84" t="s">
        <v>95</v>
      </c>
      <c r="Q12" s="84" t="s">
        <v>94</v>
      </c>
      <c r="R12" s="84" t="s">
        <v>95</v>
      </c>
      <c r="S12" s="84" t="s">
        <v>95</v>
      </c>
      <c r="T12" s="84" t="s">
        <v>95</v>
      </c>
      <c r="U12" s="84" t="s">
        <v>94</v>
      </c>
      <c r="V12" s="84" t="s">
        <v>94</v>
      </c>
      <c r="W12" s="84" t="s">
        <v>95</v>
      </c>
      <c r="X12" s="84" t="s">
        <v>3908</v>
      </c>
      <c r="AL12" t="s">
        <v>3973</v>
      </c>
      <c r="AM12" s="112"/>
    </row>
    <row r="13" spans="1:39">
      <c r="M13" s="84" t="s">
        <v>3069</v>
      </c>
      <c r="N13" s="84" t="s">
        <v>3909</v>
      </c>
      <c r="O13" s="84" t="s">
        <v>95</v>
      </c>
      <c r="P13" s="84" t="s">
        <v>95</v>
      </c>
      <c r="Q13" s="84" t="s">
        <v>95</v>
      </c>
      <c r="R13" s="84" t="s">
        <v>94</v>
      </c>
      <c r="S13" s="84" t="s">
        <v>95</v>
      </c>
      <c r="T13" s="84" t="s">
        <v>95</v>
      </c>
      <c r="U13" s="84" t="s">
        <v>94</v>
      </c>
      <c r="V13" s="84" t="s">
        <v>94</v>
      </c>
      <c r="W13" s="84" t="s">
        <v>95</v>
      </c>
      <c r="X13" s="84" t="s">
        <v>3910</v>
      </c>
      <c r="AL13" t="s">
        <v>3974</v>
      </c>
      <c r="AM13" s="119"/>
    </row>
    <row r="14" spans="1:39">
      <c r="M14" s="84" t="s">
        <v>3072</v>
      </c>
      <c r="N14" s="84" t="s">
        <v>3911</v>
      </c>
      <c r="O14" s="84" t="s">
        <v>95</v>
      </c>
      <c r="P14" s="84" t="s">
        <v>95</v>
      </c>
      <c r="Q14" s="84" t="s">
        <v>95</v>
      </c>
      <c r="R14" s="84" t="s">
        <v>94</v>
      </c>
      <c r="S14" s="84" t="s">
        <v>95</v>
      </c>
      <c r="T14" s="84" t="s">
        <v>95</v>
      </c>
      <c r="U14" s="84" t="s">
        <v>94</v>
      </c>
      <c r="V14" s="84" t="s">
        <v>94</v>
      </c>
      <c r="W14" s="84" t="s">
        <v>94</v>
      </c>
      <c r="X14" s="84" t="s">
        <v>3912</v>
      </c>
      <c r="AL14" t="s">
        <v>3975</v>
      </c>
      <c r="AM14" s="112"/>
    </row>
    <row r="15" spans="1:39">
      <c r="M15" s="84" t="s">
        <v>3078</v>
      </c>
      <c r="N15" s="84" t="s">
        <v>3913</v>
      </c>
      <c r="O15" s="84" t="s">
        <v>95</v>
      </c>
      <c r="P15" s="84" t="s">
        <v>95</v>
      </c>
      <c r="Q15" s="84" t="s">
        <v>95</v>
      </c>
      <c r="R15" s="84" t="s">
        <v>94</v>
      </c>
      <c r="S15" s="84" t="s">
        <v>95</v>
      </c>
      <c r="T15" s="84" t="s">
        <v>95</v>
      </c>
      <c r="U15" s="84" t="s">
        <v>95</v>
      </c>
      <c r="V15" s="84" t="s">
        <v>94</v>
      </c>
      <c r="W15" s="84" t="s">
        <v>95</v>
      </c>
      <c r="X15" s="84" t="s">
        <v>3914</v>
      </c>
      <c r="AL15" t="s">
        <v>3976</v>
      </c>
      <c r="AM15" s="112" t="s">
        <v>2655</v>
      </c>
    </row>
    <row r="16" spans="1:39">
      <c r="M16" s="84" t="s">
        <v>3915</v>
      </c>
      <c r="N16" s="84" t="s">
        <v>3916</v>
      </c>
      <c r="O16" s="84" t="s">
        <v>95</v>
      </c>
      <c r="P16" s="84" t="s">
        <v>95</v>
      </c>
      <c r="Q16" s="84" t="s">
        <v>95</v>
      </c>
      <c r="R16" s="84" t="s">
        <v>94</v>
      </c>
      <c r="S16" s="84" t="s">
        <v>95</v>
      </c>
      <c r="T16" s="84" t="s">
        <v>95</v>
      </c>
      <c r="U16" s="84" t="s">
        <v>94</v>
      </c>
      <c r="V16" s="84" t="s">
        <v>94</v>
      </c>
      <c r="W16" s="84" t="s">
        <v>95</v>
      </c>
      <c r="X16" s="84" t="s">
        <v>3917</v>
      </c>
      <c r="AL16" t="s">
        <v>3977</v>
      </c>
      <c r="AM16" t="b">
        <v>0</v>
      </c>
    </row>
    <row r="17" spans="13:39">
      <c r="M17" s="84" t="s">
        <v>3918</v>
      </c>
      <c r="N17" s="84" t="s">
        <v>3919</v>
      </c>
      <c r="O17" s="84" t="s">
        <v>95</v>
      </c>
      <c r="P17" s="84" t="s">
        <v>95</v>
      </c>
      <c r="Q17" s="84" t="s">
        <v>95</v>
      </c>
      <c r="R17" s="84" t="s">
        <v>95</v>
      </c>
      <c r="S17" s="84" t="s">
        <v>94</v>
      </c>
      <c r="T17" s="84" t="s">
        <v>94</v>
      </c>
      <c r="U17" s="84" t="s">
        <v>94</v>
      </c>
      <c r="V17" s="84" t="s">
        <v>95</v>
      </c>
      <c r="W17" s="84" t="s">
        <v>94</v>
      </c>
      <c r="X17" s="84" t="s">
        <v>3920</v>
      </c>
      <c r="AL17" t="s">
        <v>3978</v>
      </c>
      <c r="AM17" s="112"/>
    </row>
    <row r="18" spans="13:39">
      <c r="M18" s="84" t="s">
        <v>3921</v>
      </c>
      <c r="N18" s="84" t="s">
        <v>3922</v>
      </c>
      <c r="O18" s="84" t="s">
        <v>95</v>
      </c>
      <c r="P18" s="84" t="s">
        <v>95</v>
      </c>
      <c r="Q18" s="84" t="s">
        <v>95</v>
      </c>
      <c r="R18" s="84" t="s">
        <v>95</v>
      </c>
      <c r="S18" s="84" t="s">
        <v>94</v>
      </c>
      <c r="T18" s="84" t="s">
        <v>94</v>
      </c>
      <c r="U18" s="84" t="s">
        <v>94</v>
      </c>
      <c r="V18" s="84" t="s">
        <v>95</v>
      </c>
      <c r="W18" s="84" t="s">
        <v>95</v>
      </c>
      <c r="X18" s="84" t="s">
        <v>3923</v>
      </c>
      <c r="AL18" t="s">
        <v>3979</v>
      </c>
      <c r="AM18" s="112" t="s">
        <v>22879</v>
      </c>
    </row>
    <row r="19" spans="13:39">
      <c r="M19" s="84" t="s">
        <v>3924</v>
      </c>
      <c r="N19" s="84" t="s">
        <v>3925</v>
      </c>
      <c r="O19" s="84" t="s">
        <v>95</v>
      </c>
      <c r="P19" s="84" t="s">
        <v>95</v>
      </c>
      <c r="Q19" s="84" t="s">
        <v>95</v>
      </c>
      <c r="R19" s="84" t="s">
        <v>95</v>
      </c>
      <c r="S19" s="84" t="s">
        <v>94</v>
      </c>
      <c r="T19" s="84" t="s">
        <v>95</v>
      </c>
      <c r="U19" s="84" t="s">
        <v>95</v>
      </c>
      <c r="V19" s="84" t="s">
        <v>95</v>
      </c>
      <c r="W19" s="84" t="s">
        <v>95</v>
      </c>
      <c r="X19" s="84" t="s">
        <v>3926</v>
      </c>
      <c r="AL19" t="s">
        <v>3980</v>
      </c>
      <c r="AM19" s="84" t="s">
        <v>22880</v>
      </c>
    </row>
    <row r="20" spans="13:39">
      <c r="M20" s="84" t="s">
        <v>3927</v>
      </c>
      <c r="N20" s="84" t="s">
        <v>3928</v>
      </c>
      <c r="O20" s="84" t="s">
        <v>95</v>
      </c>
      <c r="P20" s="84" t="s">
        <v>95</v>
      </c>
      <c r="Q20" s="84" t="s">
        <v>95</v>
      </c>
      <c r="R20" s="84" t="s">
        <v>95</v>
      </c>
      <c r="S20" s="84" t="s">
        <v>94</v>
      </c>
      <c r="T20" s="84" t="s">
        <v>95</v>
      </c>
      <c r="U20" s="84" t="s">
        <v>95</v>
      </c>
      <c r="V20" s="84" t="s">
        <v>95</v>
      </c>
      <c r="W20" s="84" t="s">
        <v>95</v>
      </c>
      <c r="X20" s="84"/>
    </row>
    <row r="21" spans="13:39">
      <c r="M21" s="84" t="s">
        <v>3073</v>
      </c>
      <c r="N21" s="84" t="s">
        <v>3929</v>
      </c>
      <c r="O21" s="84" t="s">
        <v>95</v>
      </c>
      <c r="P21" s="84" t="s">
        <v>95</v>
      </c>
      <c r="Q21" s="84" t="s">
        <v>95</v>
      </c>
      <c r="R21" s="84" t="s">
        <v>95</v>
      </c>
      <c r="S21" s="84" t="s">
        <v>94</v>
      </c>
      <c r="T21" s="84" t="s">
        <v>94</v>
      </c>
      <c r="U21" s="84" t="s">
        <v>94</v>
      </c>
      <c r="V21" s="84" t="s">
        <v>94</v>
      </c>
      <c r="W21" s="84" t="s">
        <v>94</v>
      </c>
      <c r="X21" s="84" t="s">
        <v>3930</v>
      </c>
    </row>
    <row r="22" spans="13:39">
      <c r="M22" s="84" t="s">
        <v>3931</v>
      </c>
      <c r="N22" s="84" t="s">
        <v>3932</v>
      </c>
      <c r="O22" s="84" t="s">
        <v>95</v>
      </c>
      <c r="P22" s="84" t="s">
        <v>95</v>
      </c>
      <c r="Q22" s="84" t="s">
        <v>95</v>
      </c>
      <c r="R22" s="84" t="s">
        <v>95</v>
      </c>
      <c r="S22" s="84" t="s">
        <v>94</v>
      </c>
      <c r="T22" s="84" t="s">
        <v>94</v>
      </c>
      <c r="U22" s="84" t="s">
        <v>94</v>
      </c>
      <c r="V22" s="84" t="s">
        <v>94</v>
      </c>
      <c r="W22" s="84" t="s">
        <v>94</v>
      </c>
      <c r="X22" s="84" t="s">
        <v>20649</v>
      </c>
    </row>
    <row r="23" spans="13:39">
      <c r="M23" s="84" t="s">
        <v>3080</v>
      </c>
      <c r="N23" s="84" t="s">
        <v>3933</v>
      </c>
      <c r="O23" s="84" t="s">
        <v>95</v>
      </c>
      <c r="P23" s="84" t="s">
        <v>95</v>
      </c>
      <c r="Q23" s="84" t="s">
        <v>95</v>
      </c>
      <c r="R23" s="84" t="s">
        <v>95</v>
      </c>
      <c r="S23" s="84" t="s">
        <v>94</v>
      </c>
      <c r="T23" s="84" t="s">
        <v>94</v>
      </c>
      <c r="U23" s="84" t="s">
        <v>94</v>
      </c>
      <c r="V23" s="84" t="s">
        <v>94</v>
      </c>
      <c r="W23" s="84" t="s">
        <v>95</v>
      </c>
      <c r="X23" s="84" t="s">
        <v>3934</v>
      </c>
    </row>
    <row r="24" spans="13:39">
      <c r="M24" s="84" t="s">
        <v>3079</v>
      </c>
      <c r="N24" s="84" t="s">
        <v>3935</v>
      </c>
      <c r="O24" s="84" t="s">
        <v>95</v>
      </c>
      <c r="P24" s="84" t="s">
        <v>95</v>
      </c>
      <c r="Q24" s="84" t="s">
        <v>95</v>
      </c>
      <c r="R24" s="84" t="s">
        <v>95</v>
      </c>
      <c r="S24" s="84" t="s">
        <v>94</v>
      </c>
      <c r="T24" s="84" t="s">
        <v>94</v>
      </c>
      <c r="U24" s="84" t="s">
        <v>95</v>
      </c>
      <c r="V24" s="84" t="s">
        <v>94</v>
      </c>
      <c r="W24" s="84" t="s">
        <v>95</v>
      </c>
      <c r="X24" s="84" t="s">
        <v>3936</v>
      </c>
    </row>
    <row r="25" spans="13:39">
      <c r="M25" s="84" t="s">
        <v>3082</v>
      </c>
      <c r="N25" s="84" t="s">
        <v>3937</v>
      </c>
      <c r="O25" s="84" t="s">
        <v>95</v>
      </c>
      <c r="P25" s="84" t="s">
        <v>95</v>
      </c>
      <c r="Q25" s="84" t="s">
        <v>95</v>
      </c>
      <c r="R25" s="84" t="s">
        <v>95</v>
      </c>
      <c r="S25" s="84" t="s">
        <v>94</v>
      </c>
      <c r="T25" s="84" t="s">
        <v>95</v>
      </c>
      <c r="U25" s="84" t="s">
        <v>95</v>
      </c>
      <c r="V25" s="84" t="s">
        <v>95</v>
      </c>
      <c r="W25" s="84" t="s">
        <v>95</v>
      </c>
      <c r="X25" s="84" t="s">
        <v>3938</v>
      </c>
    </row>
    <row r="26" spans="13:39">
      <c r="M26" s="84" t="s">
        <v>3939</v>
      </c>
      <c r="N26" s="84" t="s">
        <v>3940</v>
      </c>
      <c r="O26" s="84" t="s">
        <v>95</v>
      </c>
      <c r="P26" s="84" t="s">
        <v>95</v>
      </c>
      <c r="Q26" s="84" t="s">
        <v>95</v>
      </c>
      <c r="R26" s="84" t="s">
        <v>95</v>
      </c>
      <c r="S26" s="84" t="s">
        <v>94</v>
      </c>
      <c r="T26" s="84" t="s">
        <v>94</v>
      </c>
      <c r="U26" s="84" t="s">
        <v>94</v>
      </c>
      <c r="V26" s="84" t="s">
        <v>95</v>
      </c>
      <c r="W26" s="84" t="s">
        <v>95</v>
      </c>
      <c r="X26" s="84" t="s">
        <v>3941</v>
      </c>
    </row>
    <row r="27" spans="13:39">
      <c r="M27" s="84" t="s">
        <v>3083</v>
      </c>
      <c r="N27" s="84" t="s">
        <v>3942</v>
      </c>
      <c r="O27" s="84" t="s">
        <v>95</v>
      </c>
      <c r="P27" s="84" t="s">
        <v>95</v>
      </c>
      <c r="Q27" s="84" t="s">
        <v>95</v>
      </c>
      <c r="R27" s="84" t="s">
        <v>95</v>
      </c>
      <c r="S27" s="84" t="s">
        <v>94</v>
      </c>
      <c r="T27" s="84" t="s">
        <v>95</v>
      </c>
      <c r="U27" s="84" t="s">
        <v>95</v>
      </c>
      <c r="V27" s="84" t="s">
        <v>95</v>
      </c>
      <c r="W27" s="84" t="s">
        <v>95</v>
      </c>
      <c r="X27" s="84" t="s">
        <v>3943</v>
      </c>
    </row>
    <row r="28" spans="13:39">
      <c r="M28" s="84" t="s">
        <v>3084</v>
      </c>
      <c r="N28" s="84" t="s">
        <v>3944</v>
      </c>
      <c r="O28" s="84" t="s">
        <v>95</v>
      </c>
      <c r="P28" s="84" t="s">
        <v>95</v>
      </c>
      <c r="Q28" s="84" t="s">
        <v>95</v>
      </c>
      <c r="R28" s="84" t="s">
        <v>95</v>
      </c>
      <c r="S28" s="84" t="s">
        <v>94</v>
      </c>
      <c r="T28" s="84" t="s">
        <v>95</v>
      </c>
      <c r="U28" s="84" t="s">
        <v>95</v>
      </c>
      <c r="V28" s="84" t="s">
        <v>95</v>
      </c>
      <c r="W28" s="84" t="s">
        <v>95</v>
      </c>
      <c r="X28" s="84"/>
    </row>
    <row r="29" spans="13:39">
      <c r="M29" s="84" t="s">
        <v>3945</v>
      </c>
      <c r="N29" s="84" t="s">
        <v>3946</v>
      </c>
      <c r="O29" s="84" t="s">
        <v>95</v>
      </c>
      <c r="P29" s="84" t="s">
        <v>95</v>
      </c>
      <c r="Q29" s="84" t="s">
        <v>95</v>
      </c>
      <c r="R29" s="84" t="s">
        <v>95</v>
      </c>
      <c r="S29" s="84" t="s">
        <v>94</v>
      </c>
      <c r="T29" s="84" t="s">
        <v>94</v>
      </c>
      <c r="U29" s="84" t="s">
        <v>94</v>
      </c>
      <c r="V29" s="84" t="s">
        <v>95</v>
      </c>
      <c r="W29" s="84" t="s">
        <v>95</v>
      </c>
      <c r="X29" s="84" t="s">
        <v>3947</v>
      </c>
    </row>
    <row r="30" spans="13:39">
      <c r="M30" s="84" t="s">
        <v>3470</v>
      </c>
      <c r="N30" s="84" t="s">
        <v>3948</v>
      </c>
      <c r="O30" s="84" t="s">
        <v>95</v>
      </c>
      <c r="P30" s="84" t="s">
        <v>95</v>
      </c>
      <c r="Q30" s="84" t="s">
        <v>95</v>
      </c>
      <c r="R30" s="84" t="s">
        <v>95</v>
      </c>
      <c r="S30" s="84" t="s">
        <v>94</v>
      </c>
      <c r="T30" s="84" t="s">
        <v>94</v>
      </c>
      <c r="U30" s="84" t="s">
        <v>94</v>
      </c>
      <c r="V30" s="84" t="s">
        <v>95</v>
      </c>
      <c r="W30" s="84" t="s">
        <v>95</v>
      </c>
      <c r="X30" s="84" t="s">
        <v>2976</v>
      </c>
    </row>
    <row r="31" spans="13:39">
      <c r="M31" s="84" t="s">
        <v>3472</v>
      </c>
      <c r="N31" s="84" t="s">
        <v>3949</v>
      </c>
      <c r="O31" s="84" t="s">
        <v>95</v>
      </c>
      <c r="P31" s="84" t="s">
        <v>95</v>
      </c>
      <c r="Q31" s="84" t="s">
        <v>95</v>
      </c>
      <c r="R31" s="84" t="s">
        <v>95</v>
      </c>
      <c r="S31" s="84" t="s">
        <v>94</v>
      </c>
      <c r="T31" s="84" t="s">
        <v>94</v>
      </c>
      <c r="U31" s="84" t="s">
        <v>94</v>
      </c>
      <c r="V31" s="84" t="s">
        <v>95</v>
      </c>
      <c r="W31" s="84" t="s">
        <v>95</v>
      </c>
      <c r="X31" s="84" t="s">
        <v>2979</v>
      </c>
    </row>
    <row r="32" spans="13:39">
      <c r="M32" s="84" t="s">
        <v>3488</v>
      </c>
      <c r="N32" s="84" t="s">
        <v>3950</v>
      </c>
      <c r="O32" s="84" t="s">
        <v>95</v>
      </c>
      <c r="P32" s="84" t="s">
        <v>95</v>
      </c>
      <c r="Q32" s="84" t="s">
        <v>95</v>
      </c>
      <c r="R32" s="84" t="s">
        <v>95</v>
      </c>
      <c r="S32" s="84" t="s">
        <v>94</v>
      </c>
      <c r="T32" s="84" t="s">
        <v>94</v>
      </c>
      <c r="U32" s="84" t="s">
        <v>94</v>
      </c>
      <c r="V32" s="84" t="s">
        <v>95</v>
      </c>
      <c r="W32" s="84" t="s">
        <v>95</v>
      </c>
      <c r="X32" s="84" t="s">
        <v>2981</v>
      </c>
    </row>
    <row r="33" spans="13:24">
      <c r="M33" s="84" t="s">
        <v>3491</v>
      </c>
      <c r="N33" s="84" t="s">
        <v>3951</v>
      </c>
      <c r="O33" s="84" t="s">
        <v>95</v>
      </c>
      <c r="P33" s="84" t="s">
        <v>95</v>
      </c>
      <c r="Q33" s="84" t="s">
        <v>95</v>
      </c>
      <c r="R33" s="84" t="s">
        <v>95</v>
      </c>
      <c r="S33" s="84" t="s">
        <v>94</v>
      </c>
      <c r="T33" s="84" t="s">
        <v>94</v>
      </c>
      <c r="U33" s="84" t="s">
        <v>94</v>
      </c>
      <c r="V33" s="84" t="s">
        <v>95</v>
      </c>
      <c r="W33" s="84" t="s">
        <v>95</v>
      </c>
      <c r="X33" s="84" t="s">
        <v>2987</v>
      </c>
    </row>
    <row r="34" spans="13:24">
      <c r="M34" s="84" t="s">
        <v>3490</v>
      </c>
      <c r="N34" s="84" t="s">
        <v>3952</v>
      </c>
      <c r="O34" s="84" t="s">
        <v>95</v>
      </c>
      <c r="P34" s="84" t="s">
        <v>95</v>
      </c>
      <c r="Q34" s="84" t="s">
        <v>95</v>
      </c>
      <c r="R34" s="84" t="s">
        <v>95</v>
      </c>
      <c r="S34" s="84" t="s">
        <v>94</v>
      </c>
      <c r="T34" s="84" t="s">
        <v>94</v>
      </c>
      <c r="U34" s="84" t="s">
        <v>94</v>
      </c>
      <c r="V34" s="84" t="s">
        <v>95</v>
      </c>
      <c r="W34" s="84" t="s">
        <v>95</v>
      </c>
      <c r="X34" s="84" t="s">
        <v>2984</v>
      </c>
    </row>
    <row r="35" spans="13:24">
      <c r="M35" s="84" t="s">
        <v>3480</v>
      </c>
      <c r="N35" s="84" t="s">
        <v>3953</v>
      </c>
      <c r="O35" s="84" t="s">
        <v>95</v>
      </c>
      <c r="P35" s="84" t="s">
        <v>95</v>
      </c>
      <c r="Q35" s="84" t="s">
        <v>95</v>
      </c>
      <c r="R35" s="84" t="s">
        <v>95</v>
      </c>
      <c r="S35" s="84" t="s">
        <v>94</v>
      </c>
      <c r="T35" s="84" t="s">
        <v>94</v>
      </c>
      <c r="U35" s="84" t="s">
        <v>94</v>
      </c>
      <c r="V35" s="84" t="s">
        <v>95</v>
      </c>
      <c r="W35" s="84" t="s">
        <v>95</v>
      </c>
      <c r="X35" s="84" t="s">
        <v>2996</v>
      </c>
    </row>
    <row r="36" spans="13:24">
      <c r="M36" s="84" t="s">
        <v>3484</v>
      </c>
      <c r="N36" s="84" t="s">
        <v>3954</v>
      </c>
      <c r="O36" s="84" t="s">
        <v>95</v>
      </c>
      <c r="P36" s="84" t="s">
        <v>95</v>
      </c>
      <c r="Q36" s="84" t="s">
        <v>95</v>
      </c>
      <c r="R36" s="84" t="s">
        <v>95</v>
      </c>
      <c r="S36" s="84" t="s">
        <v>94</v>
      </c>
      <c r="T36" s="84" t="s">
        <v>94</v>
      </c>
      <c r="U36" s="84" t="s">
        <v>94</v>
      </c>
      <c r="V36" s="84" t="s">
        <v>95</v>
      </c>
      <c r="W36" s="84" t="s">
        <v>95</v>
      </c>
      <c r="X36" s="84" t="s">
        <v>3955</v>
      </c>
    </row>
    <row r="37" spans="13:24">
      <c r="M37" s="84" t="s">
        <v>18641</v>
      </c>
      <c r="N37" s="84" t="s">
        <v>18640</v>
      </c>
      <c r="O37" s="84" t="s">
        <v>95</v>
      </c>
      <c r="P37" s="84" t="s">
        <v>95</v>
      </c>
      <c r="Q37" s="84" t="s">
        <v>95</v>
      </c>
      <c r="R37" s="84" t="s">
        <v>95</v>
      </c>
      <c r="S37" s="84" t="s">
        <v>94</v>
      </c>
      <c r="T37" s="84" t="s">
        <v>95</v>
      </c>
      <c r="U37" s="84" t="s">
        <v>94</v>
      </c>
      <c r="V37" s="84" t="s">
        <v>94</v>
      </c>
      <c r="W37" s="84" t="s">
        <v>94</v>
      </c>
      <c r="X37" s="84" t="s">
        <v>18642</v>
      </c>
    </row>
    <row r="38" spans="13:24">
      <c r="M38" s="84" t="s">
        <v>20647</v>
      </c>
      <c r="N38" s="84" t="s">
        <v>20646</v>
      </c>
      <c r="O38" s="84" t="s">
        <v>95</v>
      </c>
      <c r="P38" s="84" t="s">
        <v>95</v>
      </c>
      <c r="Q38" s="84" t="s">
        <v>95</v>
      </c>
      <c r="R38" s="84" t="s">
        <v>95</v>
      </c>
      <c r="S38" s="84" t="s">
        <v>94</v>
      </c>
      <c r="T38" s="84" t="s">
        <v>94</v>
      </c>
      <c r="U38" s="84" t="s">
        <v>94</v>
      </c>
      <c r="V38" s="84" t="s">
        <v>94</v>
      </c>
      <c r="W38" s="84" t="s">
        <v>94</v>
      </c>
      <c r="X38" s="84" t="s">
        <v>20648</v>
      </c>
    </row>
    <row r="39" spans="13:24">
      <c r="M39" s="84" t="s">
        <v>21421</v>
      </c>
      <c r="N39" s="84" t="s">
        <v>3895</v>
      </c>
      <c r="O39" s="84" t="s">
        <v>95</v>
      </c>
      <c r="P39" s="84" t="s">
        <v>94</v>
      </c>
      <c r="Q39" s="84" t="s">
        <v>94</v>
      </c>
      <c r="R39" s="84" t="s">
        <v>94</v>
      </c>
      <c r="S39" s="84" t="s">
        <v>95</v>
      </c>
      <c r="T39" s="84" t="s">
        <v>95</v>
      </c>
      <c r="U39" s="84" t="s">
        <v>95</v>
      </c>
      <c r="V39" s="84" t="s">
        <v>94</v>
      </c>
      <c r="W39" s="84" t="s">
        <v>95</v>
      </c>
      <c r="X39" s="84" t="s">
        <v>21422</v>
      </c>
    </row>
    <row r="40" spans="13:24">
      <c r="M40" s="84" t="s">
        <v>21424</v>
      </c>
      <c r="N40" s="84" t="s">
        <v>21423</v>
      </c>
      <c r="O40" s="84" t="s">
        <v>95</v>
      </c>
      <c r="P40" s="84" t="s">
        <v>94</v>
      </c>
      <c r="Q40" s="84" t="s">
        <v>94</v>
      </c>
      <c r="R40" s="84" t="s">
        <v>94</v>
      </c>
      <c r="S40" s="84" t="s">
        <v>95</v>
      </c>
      <c r="T40" s="84" t="s">
        <v>95</v>
      </c>
      <c r="U40" s="84" t="s">
        <v>95</v>
      </c>
      <c r="V40" s="84" t="s">
        <v>94</v>
      </c>
      <c r="W40" s="84" t="s">
        <v>95</v>
      </c>
      <c r="X40" s="84" t="s">
        <v>21425</v>
      </c>
    </row>
    <row r="41" spans="13:24">
      <c r="M41" s="84" t="s">
        <v>21426</v>
      </c>
      <c r="N41" s="84" t="s">
        <v>20884</v>
      </c>
      <c r="O41" s="84" t="s">
        <v>95</v>
      </c>
      <c r="P41" s="84" t="s">
        <v>95</v>
      </c>
      <c r="Q41" s="84" t="s">
        <v>94</v>
      </c>
      <c r="R41" s="84" t="s">
        <v>94</v>
      </c>
      <c r="S41" s="84" t="s">
        <v>95</v>
      </c>
      <c r="T41" s="84" t="s">
        <v>95</v>
      </c>
      <c r="U41" s="84" t="s">
        <v>95</v>
      </c>
      <c r="V41" s="84" t="s">
        <v>94</v>
      </c>
      <c r="W41" s="84" t="s">
        <v>95</v>
      </c>
      <c r="X41" s="84" t="s">
        <v>21427</v>
      </c>
    </row>
    <row r="42" spans="13:24">
      <c r="M42" s="84" t="s">
        <v>21429</v>
      </c>
      <c r="N42" s="84" t="s">
        <v>21428</v>
      </c>
      <c r="O42" s="84" t="s">
        <v>95</v>
      </c>
      <c r="P42" s="84" t="s">
        <v>95</v>
      </c>
      <c r="Q42" s="84" t="s">
        <v>95</v>
      </c>
      <c r="R42" s="84" t="s">
        <v>95</v>
      </c>
      <c r="S42" s="84" t="s">
        <v>94</v>
      </c>
      <c r="T42" s="84" t="s">
        <v>94</v>
      </c>
      <c r="U42" s="84" t="s">
        <v>94</v>
      </c>
      <c r="V42" s="84" t="s">
        <v>94</v>
      </c>
      <c r="W42" s="84" t="s">
        <v>94</v>
      </c>
      <c r="X42" s="84" t="s">
        <v>21430</v>
      </c>
    </row>
    <row r="43" spans="13:24">
      <c r="M43" s="84" t="s">
        <v>21432</v>
      </c>
      <c r="N43" s="84" t="s">
        <v>21431</v>
      </c>
      <c r="O43" s="84" t="s">
        <v>95</v>
      </c>
      <c r="P43" s="84" t="s">
        <v>95</v>
      </c>
      <c r="Q43" s="84" t="s">
        <v>95</v>
      </c>
      <c r="R43" s="84" t="s">
        <v>95</v>
      </c>
      <c r="S43" s="84" t="s">
        <v>94</v>
      </c>
      <c r="T43" s="84" t="s">
        <v>94</v>
      </c>
      <c r="U43" s="84" t="s">
        <v>94</v>
      </c>
      <c r="V43" s="84" t="s">
        <v>94</v>
      </c>
      <c r="W43" s="84" t="s">
        <v>94</v>
      </c>
      <c r="X43" s="84" t="s">
        <v>21433</v>
      </c>
    </row>
  </sheetData>
  <sheetProtection algorithmName="SHA-512" hashValue="rwQ5pUQZpmVS8hXticidZmonw0iaF5NZNW2Xw8Z3MfroV6XXpQ/wRg4p6WvX+wALvpsC4dvA8hLfys6FvdXV2g==" saltValue="fHQnNo3ojP3TX0D8AmuEQA==" spinCount="100000" sheet="1" scenarios="1" formatColumns="0" sort="0" autoFilter="0"/>
  <dataValidations count="1">
    <dataValidation type="list" allowBlank="1" showInputMessage="1" showErrorMessage="1" sqref="D5" xr:uid="{F718983F-D8F5-4EB3-871E-23C3B9411958}">
      <formula1>lstRole</formula1>
    </dataValidation>
  </dataValidations>
  <pageMargins left="0.7" right="0.7" top="0.75" bottom="0.75" header="0.3" footer="0.3"/>
  <tableParts count="3">
    <tablePart r:id="rId1"/>
    <tablePart r:id="rId2"/>
    <tablePart r:id="rId3"/>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38015-5964-49AC-8FDC-2EB82EF89945}">
  <sheetPr codeName="Sheet54"/>
  <dimension ref="A1:D501"/>
  <sheetViews>
    <sheetView workbookViewId="0"/>
  </sheetViews>
  <sheetFormatPr defaultRowHeight="12.75"/>
  <sheetData>
    <row r="1" spans="1:4">
      <c r="A1">
        <v>499</v>
      </c>
      <c r="B1">
        <v>4</v>
      </c>
      <c r="C1" t="s">
        <v>15606</v>
      </c>
    </row>
    <row r="2" spans="1:4">
      <c r="A2" t="s">
        <v>3497</v>
      </c>
      <c r="B2" t="s">
        <v>3502</v>
      </c>
      <c r="C2" t="s">
        <v>3503</v>
      </c>
      <c r="D2" t="s">
        <v>252</v>
      </c>
    </row>
    <row r="3" spans="1:4" ht="25.5">
      <c r="A3" s="83" t="s">
        <v>15607</v>
      </c>
      <c r="B3" s="83" t="s">
        <v>15608</v>
      </c>
      <c r="C3" s="83" t="s">
        <v>15356</v>
      </c>
      <c r="D3" s="111" t="s">
        <v>15609</v>
      </c>
    </row>
    <row r="4" spans="1:4" ht="25.5">
      <c r="A4" s="83" t="s">
        <v>15610</v>
      </c>
      <c r="B4" s="83" t="s">
        <v>15611</v>
      </c>
      <c r="C4" s="83" t="s">
        <v>15612</v>
      </c>
      <c r="D4" s="111" t="s">
        <v>15613</v>
      </c>
    </row>
    <row r="5" spans="1:4" ht="38.25">
      <c r="A5" s="83" t="s">
        <v>15614</v>
      </c>
      <c r="B5" s="83" t="s">
        <v>15615</v>
      </c>
      <c r="C5" s="83" t="s">
        <v>15616</v>
      </c>
      <c r="D5" s="111" t="s">
        <v>15617</v>
      </c>
    </row>
    <row r="6" spans="1:4" ht="25.5">
      <c r="A6" s="83" t="s">
        <v>15618</v>
      </c>
      <c r="B6" s="83" t="s">
        <v>15619</v>
      </c>
      <c r="C6" s="83" t="s">
        <v>15620</v>
      </c>
      <c r="D6" s="111" t="s">
        <v>15621</v>
      </c>
    </row>
    <row r="7" spans="1:4" ht="38.25">
      <c r="A7" s="83" t="s">
        <v>15622</v>
      </c>
      <c r="B7" s="83" t="s">
        <v>15623</v>
      </c>
      <c r="C7" s="83" t="s">
        <v>15491</v>
      </c>
      <c r="D7" s="111" t="s">
        <v>15624</v>
      </c>
    </row>
    <row r="8" spans="1:4" ht="38.25">
      <c r="A8" s="83" t="s">
        <v>15625</v>
      </c>
      <c r="B8" s="83" t="s">
        <v>15626</v>
      </c>
      <c r="C8" s="83" t="s">
        <v>15627</v>
      </c>
      <c r="D8" s="111" t="s">
        <v>15628</v>
      </c>
    </row>
    <row r="9" spans="1:4" ht="51">
      <c r="A9" s="83" t="s">
        <v>15629</v>
      </c>
      <c r="B9" s="83" t="s">
        <v>15630</v>
      </c>
      <c r="C9" s="83" t="s">
        <v>15502</v>
      </c>
      <c r="D9" s="111" t="s">
        <v>15631</v>
      </c>
    </row>
    <row r="10" spans="1:4" ht="25.5">
      <c r="A10" s="83" t="s">
        <v>15632</v>
      </c>
      <c r="B10" s="83" t="s">
        <v>15633</v>
      </c>
      <c r="C10" s="83" t="s">
        <v>15634</v>
      </c>
      <c r="D10" s="111" t="s">
        <v>15635</v>
      </c>
    </row>
    <row r="11" spans="1:4" ht="63.75">
      <c r="A11" s="83" t="s">
        <v>15636</v>
      </c>
      <c r="B11" s="83" t="s">
        <v>15637</v>
      </c>
      <c r="C11" s="83" t="s">
        <v>15638</v>
      </c>
      <c r="D11" s="111" t="s">
        <v>15639</v>
      </c>
    </row>
    <row r="12" spans="1:4" ht="153">
      <c r="A12" s="83" t="s">
        <v>15640</v>
      </c>
      <c r="B12" s="83" t="s">
        <v>15641</v>
      </c>
      <c r="C12" s="83" t="s">
        <v>15642</v>
      </c>
      <c r="D12" s="111" t="s">
        <v>15643</v>
      </c>
    </row>
    <row r="13" spans="1:4" ht="204">
      <c r="A13" s="83" t="s">
        <v>15644</v>
      </c>
      <c r="B13" s="83" t="s">
        <v>15645</v>
      </c>
      <c r="C13" s="83" t="s">
        <v>15646</v>
      </c>
      <c r="D13" s="111" t="s">
        <v>15647</v>
      </c>
    </row>
    <row r="14" spans="1:4" ht="140.25">
      <c r="A14" s="83" t="s">
        <v>15648</v>
      </c>
      <c r="B14" s="83" t="s">
        <v>15649</v>
      </c>
      <c r="C14" s="83" t="s">
        <v>15650</v>
      </c>
      <c r="D14" s="111" t="s">
        <v>15651</v>
      </c>
    </row>
    <row r="15" spans="1:4" ht="280.5">
      <c r="A15" s="83" t="s">
        <v>15652</v>
      </c>
      <c r="B15" s="83" t="s">
        <v>15653</v>
      </c>
      <c r="C15" s="83" t="s">
        <v>15654</v>
      </c>
      <c r="D15" s="111" t="s">
        <v>15655</v>
      </c>
    </row>
    <row r="16" spans="1:4" ht="409.5">
      <c r="A16" s="83" t="s">
        <v>15656</v>
      </c>
      <c r="B16" s="83" t="s">
        <v>15657</v>
      </c>
      <c r="C16" s="83" t="s">
        <v>15658</v>
      </c>
      <c r="D16" s="111" t="s">
        <v>15659</v>
      </c>
    </row>
    <row r="17" spans="1:4" ht="255">
      <c r="A17" s="83" t="s">
        <v>15660</v>
      </c>
      <c r="B17" s="83" t="s">
        <v>15661</v>
      </c>
      <c r="C17" s="83" t="s">
        <v>15662</v>
      </c>
      <c r="D17" s="111" t="s">
        <v>15663</v>
      </c>
    </row>
    <row r="18" spans="1:4" ht="89.25">
      <c r="A18" s="83" t="s">
        <v>15664</v>
      </c>
      <c r="B18" s="83" t="s">
        <v>15665</v>
      </c>
      <c r="C18" s="83" t="s">
        <v>15666</v>
      </c>
      <c r="D18" s="111" t="s">
        <v>15667</v>
      </c>
    </row>
    <row r="19" spans="1:4" ht="280.5">
      <c r="A19" s="83" t="s">
        <v>15668</v>
      </c>
      <c r="B19" s="83" t="s">
        <v>15669</v>
      </c>
      <c r="C19" s="83" t="s">
        <v>15670</v>
      </c>
      <c r="D19" s="111" t="s">
        <v>15671</v>
      </c>
    </row>
    <row r="20" spans="1:4" ht="344.25">
      <c r="A20" s="83" t="s">
        <v>15672</v>
      </c>
      <c r="B20" s="83" t="s">
        <v>15673</v>
      </c>
      <c r="C20" s="83" t="s">
        <v>15674</v>
      </c>
      <c r="D20" s="111" t="s">
        <v>15675</v>
      </c>
    </row>
    <row r="21" spans="1:4" ht="242.25">
      <c r="A21" s="83" t="s">
        <v>15676</v>
      </c>
      <c r="B21" s="83" t="s">
        <v>15677</v>
      </c>
      <c r="C21" s="83" t="s">
        <v>15678</v>
      </c>
      <c r="D21" s="111" t="s">
        <v>15679</v>
      </c>
    </row>
    <row r="22" spans="1:4" ht="409.5">
      <c r="A22" s="83" t="s">
        <v>15680</v>
      </c>
      <c r="B22" s="83" t="s">
        <v>15681</v>
      </c>
      <c r="C22" s="83" t="s">
        <v>15682</v>
      </c>
      <c r="D22" s="111" t="s">
        <v>15683</v>
      </c>
    </row>
    <row r="23" spans="1:4" ht="76.5">
      <c r="A23" s="83" t="s">
        <v>15684</v>
      </c>
      <c r="B23" s="83" t="s">
        <v>15685</v>
      </c>
      <c r="C23" s="83" t="s">
        <v>15686</v>
      </c>
      <c r="D23" s="111" t="s">
        <v>15687</v>
      </c>
    </row>
    <row r="24" spans="1:4" ht="191.25">
      <c r="A24" s="83" t="s">
        <v>15688</v>
      </c>
      <c r="B24" s="83" t="s">
        <v>15689</v>
      </c>
      <c r="C24" s="83" t="s">
        <v>15690</v>
      </c>
      <c r="D24" s="111" t="s">
        <v>15691</v>
      </c>
    </row>
    <row r="25" spans="1:4" ht="344.25">
      <c r="A25" s="83" t="s">
        <v>15692</v>
      </c>
      <c r="B25" s="83" t="s">
        <v>15693</v>
      </c>
      <c r="C25" s="83" t="s">
        <v>15694</v>
      </c>
      <c r="D25" s="111" t="s">
        <v>15695</v>
      </c>
    </row>
    <row r="26" spans="1:4" ht="409.5">
      <c r="A26" s="83" t="s">
        <v>15696</v>
      </c>
      <c r="B26" s="111" t="s">
        <v>15697</v>
      </c>
      <c r="C26" s="111" t="s">
        <v>15698</v>
      </c>
      <c r="D26" s="111" t="s">
        <v>15699</v>
      </c>
    </row>
    <row r="27" spans="1:4" ht="191.25">
      <c r="A27" s="83" t="s">
        <v>15700</v>
      </c>
      <c r="B27" s="83" t="s">
        <v>15701</v>
      </c>
      <c r="C27" s="83" t="s">
        <v>15702</v>
      </c>
      <c r="D27" s="111" t="s">
        <v>15703</v>
      </c>
    </row>
    <row r="28" spans="1:4" ht="76.5">
      <c r="A28" s="83" t="s">
        <v>15704</v>
      </c>
      <c r="B28" s="83" t="s">
        <v>15705</v>
      </c>
      <c r="C28" s="83" t="s">
        <v>15706</v>
      </c>
      <c r="D28" s="111" t="s">
        <v>15707</v>
      </c>
    </row>
    <row r="29" spans="1:4" ht="318.75">
      <c r="A29" s="83" t="s">
        <v>15708</v>
      </c>
      <c r="B29" s="83" t="s">
        <v>15709</v>
      </c>
      <c r="C29" s="83" t="s">
        <v>15710</v>
      </c>
      <c r="D29" s="111" t="s">
        <v>15711</v>
      </c>
    </row>
    <row r="30" spans="1:4" ht="102">
      <c r="A30" s="83" t="s">
        <v>15712</v>
      </c>
      <c r="B30" s="83" t="s">
        <v>15713</v>
      </c>
      <c r="C30" s="83" t="s">
        <v>15714</v>
      </c>
      <c r="D30" s="111" t="s">
        <v>15715</v>
      </c>
    </row>
    <row r="31" spans="1:4" ht="229.5">
      <c r="A31" s="83" t="s">
        <v>15716</v>
      </c>
      <c r="B31" s="83" t="s">
        <v>15717</v>
      </c>
      <c r="C31" s="83" t="s">
        <v>15718</v>
      </c>
      <c r="D31" s="111" t="s">
        <v>15719</v>
      </c>
    </row>
    <row r="32" spans="1:4" ht="191.25">
      <c r="A32" s="83" t="s">
        <v>15720</v>
      </c>
      <c r="B32" s="83" t="s">
        <v>15721</v>
      </c>
      <c r="C32" s="83" t="s">
        <v>15722</v>
      </c>
      <c r="D32" s="111" t="s">
        <v>15723</v>
      </c>
    </row>
    <row r="33" spans="1:4" ht="409.5">
      <c r="A33" s="83" t="s">
        <v>15724</v>
      </c>
      <c r="B33" s="83" t="s">
        <v>15725</v>
      </c>
      <c r="C33" s="83" t="s">
        <v>15726</v>
      </c>
      <c r="D33" s="111" t="s">
        <v>15727</v>
      </c>
    </row>
    <row r="34" spans="1:4" ht="191.25">
      <c r="A34" s="83" t="s">
        <v>15728</v>
      </c>
      <c r="B34" s="83" t="s">
        <v>15729</v>
      </c>
      <c r="C34" s="83" t="s">
        <v>15730</v>
      </c>
      <c r="D34" s="111" t="s">
        <v>15731</v>
      </c>
    </row>
    <row r="35" spans="1:4" ht="178.5">
      <c r="A35" s="83" t="s">
        <v>15732</v>
      </c>
      <c r="B35" s="83" t="s">
        <v>15733</v>
      </c>
      <c r="C35" s="83" t="s">
        <v>15734</v>
      </c>
      <c r="D35" s="111" t="s">
        <v>15735</v>
      </c>
    </row>
    <row r="36" spans="1:4" ht="409.5">
      <c r="A36" s="83" t="s">
        <v>15736</v>
      </c>
      <c r="B36" s="111" t="s">
        <v>15737</v>
      </c>
      <c r="C36" s="111" t="s">
        <v>15738</v>
      </c>
      <c r="D36" s="111" t="s">
        <v>15739</v>
      </c>
    </row>
    <row r="37" spans="1:4" ht="357">
      <c r="A37" s="83" t="s">
        <v>15740</v>
      </c>
      <c r="B37" s="83" t="s">
        <v>15741</v>
      </c>
      <c r="C37" s="83" t="s">
        <v>15742</v>
      </c>
      <c r="D37" s="111" t="s">
        <v>15743</v>
      </c>
    </row>
    <row r="38" spans="1:4" ht="267.75">
      <c r="A38" s="83" t="s">
        <v>15744</v>
      </c>
      <c r="B38" s="83" t="s">
        <v>15745</v>
      </c>
      <c r="C38" s="83" t="s">
        <v>15746</v>
      </c>
      <c r="D38" s="111" t="s">
        <v>15747</v>
      </c>
    </row>
    <row r="39" spans="1:4" ht="216.75">
      <c r="A39" s="83" t="s">
        <v>15748</v>
      </c>
      <c r="B39" s="111" t="s">
        <v>15749</v>
      </c>
      <c r="C39" s="83" t="s">
        <v>15750</v>
      </c>
      <c r="D39" s="111" t="s">
        <v>15751</v>
      </c>
    </row>
    <row r="40" spans="1:4" ht="369.75">
      <c r="A40" s="83" t="s">
        <v>15752</v>
      </c>
      <c r="B40" s="83" t="s">
        <v>15753</v>
      </c>
      <c r="C40" s="83" t="s">
        <v>15754</v>
      </c>
      <c r="D40" s="111" t="s">
        <v>15755</v>
      </c>
    </row>
    <row r="41" spans="1:4" ht="306">
      <c r="A41" s="83" t="s">
        <v>15756</v>
      </c>
      <c r="B41" s="83" t="s">
        <v>15757</v>
      </c>
      <c r="C41" s="83" t="s">
        <v>15758</v>
      </c>
      <c r="D41" s="111" t="s">
        <v>15759</v>
      </c>
    </row>
    <row r="42" spans="1:4" ht="293.25">
      <c r="A42" s="83" t="s">
        <v>15760</v>
      </c>
      <c r="B42" s="83" t="s">
        <v>15761</v>
      </c>
      <c r="C42" s="83" t="s">
        <v>15762</v>
      </c>
      <c r="D42" s="111" t="s">
        <v>15763</v>
      </c>
    </row>
    <row r="43" spans="1:4" ht="318.75">
      <c r="A43" s="83" t="s">
        <v>15764</v>
      </c>
      <c r="B43" s="83" t="s">
        <v>15765</v>
      </c>
      <c r="C43" s="83" t="s">
        <v>15766</v>
      </c>
      <c r="D43" s="111" t="s">
        <v>15767</v>
      </c>
    </row>
    <row r="44" spans="1:4" ht="318.75">
      <c r="A44" s="83" t="s">
        <v>15768</v>
      </c>
      <c r="B44" s="83" t="s">
        <v>15769</v>
      </c>
      <c r="C44" s="83" t="s">
        <v>15770</v>
      </c>
      <c r="D44" s="111" t="s">
        <v>15771</v>
      </c>
    </row>
    <row r="45" spans="1:4" ht="229.5">
      <c r="A45" s="83" t="s">
        <v>15772</v>
      </c>
      <c r="B45" s="83" t="s">
        <v>15773</v>
      </c>
      <c r="C45" s="83" t="s">
        <v>15774</v>
      </c>
      <c r="D45" s="111" t="s">
        <v>15775</v>
      </c>
    </row>
    <row r="46" spans="1:4" ht="409.5">
      <c r="A46" s="83" t="s">
        <v>15776</v>
      </c>
      <c r="B46" s="83" t="s">
        <v>15777</v>
      </c>
      <c r="C46" s="83" t="s">
        <v>15778</v>
      </c>
      <c r="D46" s="111" t="s">
        <v>15779</v>
      </c>
    </row>
    <row r="47" spans="1:4" ht="382.5">
      <c r="A47" s="83" t="s">
        <v>15780</v>
      </c>
      <c r="B47" s="83" t="s">
        <v>15781</v>
      </c>
      <c r="C47" s="83" t="s">
        <v>15782</v>
      </c>
      <c r="D47" s="111" t="s">
        <v>15783</v>
      </c>
    </row>
    <row r="48" spans="1:4" ht="409.5">
      <c r="A48" s="83" t="s">
        <v>15784</v>
      </c>
      <c r="B48" s="83" t="s">
        <v>15785</v>
      </c>
      <c r="C48" s="83" t="s">
        <v>15786</v>
      </c>
      <c r="D48" s="111" t="s">
        <v>15787</v>
      </c>
    </row>
    <row r="49" spans="1:4" ht="204">
      <c r="A49" s="83" t="s">
        <v>15788</v>
      </c>
      <c r="B49" s="83" t="s">
        <v>15789</v>
      </c>
      <c r="C49" s="83" t="s">
        <v>15790</v>
      </c>
      <c r="D49" s="111" t="s">
        <v>15791</v>
      </c>
    </row>
    <row r="50" spans="1:4" ht="409.5">
      <c r="A50" s="83" t="s">
        <v>15792</v>
      </c>
      <c r="B50" s="83" t="s">
        <v>15793</v>
      </c>
      <c r="C50" s="83" t="s">
        <v>15794</v>
      </c>
      <c r="D50" s="111" t="s">
        <v>15795</v>
      </c>
    </row>
    <row r="51" spans="1:4" ht="409.5">
      <c r="A51" s="83" t="s">
        <v>15796</v>
      </c>
      <c r="B51" s="83" t="s">
        <v>15797</v>
      </c>
      <c r="C51" s="83" t="s">
        <v>15798</v>
      </c>
      <c r="D51" s="111" t="s">
        <v>15799</v>
      </c>
    </row>
    <row r="52" spans="1:4" ht="409.5">
      <c r="A52" s="83" t="s">
        <v>15800</v>
      </c>
      <c r="B52" s="111" t="s">
        <v>15801</v>
      </c>
      <c r="C52" s="83" t="s">
        <v>15802</v>
      </c>
      <c r="D52" s="111" t="s">
        <v>15803</v>
      </c>
    </row>
    <row r="53" spans="1:4" ht="127.5">
      <c r="A53" s="83" t="s">
        <v>15804</v>
      </c>
      <c r="B53" s="83" t="s">
        <v>15805</v>
      </c>
      <c r="C53" s="83" t="s">
        <v>15806</v>
      </c>
      <c r="D53" s="111" t="s">
        <v>15807</v>
      </c>
    </row>
    <row r="54" spans="1:4" ht="51">
      <c r="A54" s="83" t="s">
        <v>15808</v>
      </c>
      <c r="B54" s="83" t="s">
        <v>15809</v>
      </c>
      <c r="C54" s="83" t="s">
        <v>15810</v>
      </c>
      <c r="D54" s="111" t="s">
        <v>15811</v>
      </c>
    </row>
    <row r="55" spans="1:4" ht="51">
      <c r="A55" s="83" t="s">
        <v>15812</v>
      </c>
      <c r="B55" s="83" t="s">
        <v>15813</v>
      </c>
      <c r="C55" s="83" t="s">
        <v>15814</v>
      </c>
      <c r="D55" s="111" t="s">
        <v>15815</v>
      </c>
    </row>
    <row r="56" spans="1:4" ht="51">
      <c r="A56" s="83" t="s">
        <v>15816</v>
      </c>
      <c r="B56" s="83" t="s">
        <v>15817</v>
      </c>
      <c r="C56" s="83" t="s">
        <v>15818</v>
      </c>
      <c r="D56" s="111" t="s">
        <v>15819</v>
      </c>
    </row>
    <row r="57" spans="1:4" ht="63.75">
      <c r="A57" s="83" t="s">
        <v>15820</v>
      </c>
      <c r="B57" s="83" t="s">
        <v>15821</v>
      </c>
      <c r="C57" s="83" t="s">
        <v>15822</v>
      </c>
      <c r="D57" s="111" t="s">
        <v>15823</v>
      </c>
    </row>
    <row r="58" spans="1:4" ht="102">
      <c r="A58" s="83" t="s">
        <v>15824</v>
      </c>
      <c r="B58" s="83" t="s">
        <v>15825</v>
      </c>
      <c r="C58" s="83" t="s">
        <v>15826</v>
      </c>
      <c r="D58" s="111" t="s">
        <v>15827</v>
      </c>
    </row>
    <row r="59" spans="1:4" ht="409.5">
      <c r="A59" s="83" t="s">
        <v>15828</v>
      </c>
      <c r="B59" s="111" t="s">
        <v>15829</v>
      </c>
      <c r="C59" s="83" t="s">
        <v>15830</v>
      </c>
      <c r="D59" s="111" t="s">
        <v>15831</v>
      </c>
    </row>
    <row r="60" spans="1:4" ht="242.25">
      <c r="A60" s="83" t="s">
        <v>15832</v>
      </c>
      <c r="B60" s="83" t="s">
        <v>15833</v>
      </c>
      <c r="C60" s="111" t="s">
        <v>15834</v>
      </c>
      <c r="D60" s="111" t="s">
        <v>15835</v>
      </c>
    </row>
    <row r="61" spans="1:4" ht="127.5">
      <c r="A61" s="83" t="s">
        <v>15836</v>
      </c>
      <c r="B61" s="83" t="s">
        <v>15837</v>
      </c>
      <c r="C61" s="111" t="s">
        <v>15838</v>
      </c>
      <c r="D61" s="111" t="s">
        <v>15839</v>
      </c>
    </row>
    <row r="62" spans="1:4" ht="102">
      <c r="A62" s="83" t="s">
        <v>15840</v>
      </c>
      <c r="B62" s="83" t="s">
        <v>15841</v>
      </c>
      <c r="C62" s="111" t="s">
        <v>15842</v>
      </c>
      <c r="D62" s="111" t="s">
        <v>15843</v>
      </c>
    </row>
    <row r="63" spans="1:4" ht="409.5">
      <c r="A63" s="83" t="s">
        <v>15844</v>
      </c>
      <c r="B63" s="83" t="s">
        <v>15845</v>
      </c>
      <c r="C63" s="111" t="s">
        <v>15846</v>
      </c>
      <c r="D63" s="111" t="s">
        <v>15847</v>
      </c>
    </row>
    <row r="64" spans="1:4" ht="229.5">
      <c r="A64" s="83" t="s">
        <v>15848</v>
      </c>
      <c r="B64" s="83" t="s">
        <v>15849</v>
      </c>
      <c r="C64" s="83" t="s">
        <v>15850</v>
      </c>
      <c r="D64" s="111" t="s">
        <v>15851</v>
      </c>
    </row>
    <row r="65" spans="1:4" ht="306">
      <c r="A65" s="83" t="s">
        <v>15852</v>
      </c>
      <c r="B65" s="83" t="s">
        <v>15853</v>
      </c>
      <c r="C65" s="83" t="s">
        <v>15854</v>
      </c>
      <c r="D65" s="111" t="s">
        <v>15855</v>
      </c>
    </row>
    <row r="66" spans="1:4" ht="409.5">
      <c r="A66" s="83" t="s">
        <v>15856</v>
      </c>
      <c r="B66" s="83" t="s">
        <v>15857</v>
      </c>
      <c r="C66" s="111" t="s">
        <v>15858</v>
      </c>
      <c r="D66" s="111" t="s">
        <v>15859</v>
      </c>
    </row>
    <row r="67" spans="1:4" ht="395.25">
      <c r="A67" s="83" t="s">
        <v>15860</v>
      </c>
      <c r="B67" s="83" t="s">
        <v>15861</v>
      </c>
      <c r="C67" s="83" t="s">
        <v>15862</v>
      </c>
      <c r="D67" s="111" t="s">
        <v>15863</v>
      </c>
    </row>
    <row r="68" spans="1:4" ht="409.5">
      <c r="A68" s="83" t="s">
        <v>15864</v>
      </c>
      <c r="B68" s="83" t="s">
        <v>15865</v>
      </c>
      <c r="C68" s="83" t="s">
        <v>15866</v>
      </c>
      <c r="D68" s="111" t="s">
        <v>15867</v>
      </c>
    </row>
    <row r="69" spans="1:4" ht="191.25">
      <c r="A69" s="83" t="s">
        <v>15868</v>
      </c>
      <c r="B69" s="83" t="s">
        <v>15869</v>
      </c>
      <c r="C69" s="83" t="s">
        <v>15870</v>
      </c>
      <c r="D69" s="111" t="s">
        <v>15871</v>
      </c>
    </row>
    <row r="70" spans="1:4" ht="331.5">
      <c r="A70" s="83" t="s">
        <v>15872</v>
      </c>
      <c r="B70" s="83" t="s">
        <v>15873</v>
      </c>
      <c r="C70" s="83" t="s">
        <v>15874</v>
      </c>
      <c r="D70" s="111" t="s">
        <v>15875</v>
      </c>
    </row>
    <row r="71" spans="1:4" ht="178.5">
      <c r="A71" s="83" t="s">
        <v>15876</v>
      </c>
      <c r="B71" s="83" t="s">
        <v>15877</v>
      </c>
      <c r="C71" s="83" t="s">
        <v>15878</v>
      </c>
      <c r="D71" s="111" t="s">
        <v>15879</v>
      </c>
    </row>
    <row r="72" spans="1:4" ht="344.25">
      <c r="A72" s="83" t="s">
        <v>15880</v>
      </c>
      <c r="B72" s="83" t="s">
        <v>15881</v>
      </c>
      <c r="C72" s="83" t="s">
        <v>15882</v>
      </c>
      <c r="D72" s="111" t="s">
        <v>15883</v>
      </c>
    </row>
    <row r="73" spans="1:4" ht="114.75">
      <c r="A73" s="83" t="s">
        <v>15884</v>
      </c>
      <c r="B73" s="83" t="s">
        <v>15885</v>
      </c>
      <c r="C73" s="83" t="s">
        <v>15886</v>
      </c>
      <c r="D73" s="111" t="s">
        <v>15887</v>
      </c>
    </row>
    <row r="74" spans="1:4" ht="306">
      <c r="A74" s="83" t="s">
        <v>15888</v>
      </c>
      <c r="B74" s="111" t="s">
        <v>15889</v>
      </c>
      <c r="C74" s="83" t="s">
        <v>15890</v>
      </c>
      <c r="D74" s="111" t="s">
        <v>15891</v>
      </c>
    </row>
    <row r="75" spans="1:4" ht="165.75">
      <c r="A75" s="83" t="s">
        <v>15892</v>
      </c>
      <c r="B75" s="83" t="s">
        <v>15893</v>
      </c>
      <c r="C75" s="83" t="s">
        <v>15894</v>
      </c>
      <c r="D75" s="111" t="s">
        <v>15895</v>
      </c>
    </row>
    <row r="76" spans="1:4" ht="165.75">
      <c r="A76" s="83" t="s">
        <v>15896</v>
      </c>
      <c r="B76" s="83" t="s">
        <v>15897</v>
      </c>
      <c r="C76" s="83" t="s">
        <v>15898</v>
      </c>
      <c r="D76" s="111" t="s">
        <v>15899</v>
      </c>
    </row>
    <row r="77" spans="1:4" ht="178.5">
      <c r="A77" s="83" t="s">
        <v>15900</v>
      </c>
      <c r="B77" s="83" t="s">
        <v>15901</v>
      </c>
      <c r="C77" s="83" t="s">
        <v>15902</v>
      </c>
      <c r="D77" s="111" t="s">
        <v>15903</v>
      </c>
    </row>
    <row r="78" spans="1:4" ht="409.5">
      <c r="A78" s="83" t="s">
        <v>15904</v>
      </c>
      <c r="B78" s="111" t="s">
        <v>22840</v>
      </c>
      <c r="C78" s="111" t="s">
        <v>22841</v>
      </c>
      <c r="D78" s="111" t="s">
        <v>22842</v>
      </c>
    </row>
    <row r="79" spans="1:4" ht="76.5">
      <c r="A79" s="83" t="s">
        <v>15905</v>
      </c>
      <c r="B79" s="83" t="s">
        <v>15906</v>
      </c>
      <c r="C79" s="83" t="s">
        <v>15907</v>
      </c>
      <c r="D79" s="111" t="s">
        <v>15908</v>
      </c>
    </row>
    <row r="80" spans="1:4" ht="51">
      <c r="A80" s="83" t="s">
        <v>15909</v>
      </c>
      <c r="B80" s="83" t="s">
        <v>15910</v>
      </c>
      <c r="C80" s="83" t="s">
        <v>15911</v>
      </c>
      <c r="D80" s="111" t="s">
        <v>15912</v>
      </c>
    </row>
    <row r="81" spans="1:4" ht="25.5">
      <c r="A81" s="83" t="s">
        <v>15913</v>
      </c>
      <c r="B81" s="83" t="s">
        <v>15914</v>
      </c>
      <c r="C81" s="83" t="s">
        <v>15915</v>
      </c>
      <c r="D81" s="111" t="s">
        <v>15916</v>
      </c>
    </row>
    <row r="82" spans="1:4" ht="153">
      <c r="A82" s="83" t="s">
        <v>15917</v>
      </c>
      <c r="B82" s="83" t="s">
        <v>15918</v>
      </c>
      <c r="C82" s="83" t="s">
        <v>15919</v>
      </c>
      <c r="D82" s="111" t="s">
        <v>15920</v>
      </c>
    </row>
    <row r="83" spans="1:4" ht="140.25">
      <c r="A83" s="83" t="s">
        <v>15921</v>
      </c>
      <c r="B83" s="83" t="s">
        <v>15922</v>
      </c>
      <c r="C83" s="83" t="s">
        <v>15923</v>
      </c>
      <c r="D83" s="111" t="s">
        <v>15924</v>
      </c>
    </row>
    <row r="84" spans="1:4" ht="409.5">
      <c r="A84" s="83" t="s">
        <v>15925</v>
      </c>
      <c r="B84" s="83" t="s">
        <v>15926</v>
      </c>
      <c r="C84" s="83" t="s">
        <v>15927</v>
      </c>
      <c r="D84" s="111" t="s">
        <v>15928</v>
      </c>
    </row>
    <row r="85" spans="1:4" ht="409.5">
      <c r="A85" s="83" t="s">
        <v>15929</v>
      </c>
      <c r="B85" s="83" t="s">
        <v>22843</v>
      </c>
      <c r="C85" s="83" t="s">
        <v>22844</v>
      </c>
      <c r="D85" s="111" t="s">
        <v>22845</v>
      </c>
    </row>
    <row r="86" spans="1:4" ht="242.25">
      <c r="A86" s="83" t="s">
        <v>15930</v>
      </c>
      <c r="B86" s="83" t="s">
        <v>15931</v>
      </c>
      <c r="C86" s="83" t="s">
        <v>15932</v>
      </c>
      <c r="D86" s="111" t="s">
        <v>15933</v>
      </c>
    </row>
    <row r="87" spans="1:4" ht="409.5">
      <c r="A87" s="83" t="s">
        <v>15934</v>
      </c>
      <c r="B87" s="83" t="s">
        <v>22861</v>
      </c>
      <c r="C87" s="83" t="s">
        <v>22862</v>
      </c>
      <c r="D87" s="111" t="s">
        <v>22863</v>
      </c>
    </row>
    <row r="88" spans="1:4" ht="409.5">
      <c r="A88" s="83" t="s">
        <v>15935</v>
      </c>
      <c r="B88" s="111" t="s">
        <v>20708</v>
      </c>
      <c r="C88" s="111" t="s">
        <v>20709</v>
      </c>
      <c r="D88" s="111" t="s">
        <v>20710</v>
      </c>
    </row>
    <row r="89" spans="1:4" ht="318.75">
      <c r="A89" s="83" t="s">
        <v>15936</v>
      </c>
      <c r="B89" s="83" t="s">
        <v>15937</v>
      </c>
      <c r="C89" s="83" t="s">
        <v>15938</v>
      </c>
      <c r="D89" s="111" t="s">
        <v>15939</v>
      </c>
    </row>
    <row r="90" spans="1:4" ht="89.25">
      <c r="A90" s="83" t="s">
        <v>15940</v>
      </c>
      <c r="B90" s="83" t="s">
        <v>15941</v>
      </c>
      <c r="C90" s="83" t="s">
        <v>15942</v>
      </c>
      <c r="D90" s="111" t="s">
        <v>15943</v>
      </c>
    </row>
    <row r="91" spans="1:4" ht="127.5">
      <c r="A91" s="83" t="s">
        <v>15944</v>
      </c>
      <c r="B91" s="83" t="s">
        <v>15945</v>
      </c>
      <c r="C91" s="83" t="s">
        <v>15946</v>
      </c>
      <c r="D91" s="111" t="s">
        <v>15947</v>
      </c>
    </row>
    <row r="92" spans="1:4" ht="76.5">
      <c r="A92" s="83" t="s">
        <v>15948</v>
      </c>
      <c r="B92" s="83" t="s">
        <v>15949</v>
      </c>
      <c r="C92" s="83" t="s">
        <v>15950</v>
      </c>
      <c r="D92" s="111" t="s">
        <v>15951</v>
      </c>
    </row>
    <row r="93" spans="1:4" ht="102">
      <c r="A93" s="83" t="s">
        <v>15952</v>
      </c>
      <c r="B93" s="83" t="s">
        <v>15953</v>
      </c>
      <c r="C93" s="83" t="s">
        <v>15954</v>
      </c>
      <c r="D93" s="111" t="s">
        <v>15955</v>
      </c>
    </row>
    <row r="94" spans="1:4" ht="140.25">
      <c r="A94" s="83" t="s">
        <v>15956</v>
      </c>
      <c r="B94" s="83" t="s">
        <v>15957</v>
      </c>
      <c r="C94" s="83" t="s">
        <v>15958</v>
      </c>
      <c r="D94" s="111" t="s">
        <v>15959</v>
      </c>
    </row>
    <row r="95" spans="1:4" ht="89.25">
      <c r="A95" s="83" t="s">
        <v>15960</v>
      </c>
      <c r="B95" s="83" t="s">
        <v>15961</v>
      </c>
      <c r="C95" s="83" t="s">
        <v>15962</v>
      </c>
      <c r="D95" s="111" t="s">
        <v>15963</v>
      </c>
    </row>
    <row r="96" spans="1:4" ht="89.25">
      <c r="A96" s="83" t="s">
        <v>15964</v>
      </c>
      <c r="B96" s="83" t="s">
        <v>15965</v>
      </c>
      <c r="C96" s="83" t="s">
        <v>15966</v>
      </c>
      <c r="D96" s="111" t="s">
        <v>15967</v>
      </c>
    </row>
    <row r="97" spans="1:4" ht="114.75">
      <c r="A97" s="83" t="s">
        <v>15968</v>
      </c>
      <c r="B97" s="83" t="s">
        <v>15969</v>
      </c>
      <c r="C97" s="83" t="s">
        <v>15970</v>
      </c>
      <c r="D97" s="111" t="s">
        <v>15971</v>
      </c>
    </row>
    <row r="98" spans="1:4" ht="89.25">
      <c r="A98" s="83" t="s">
        <v>15972</v>
      </c>
      <c r="B98" s="83" t="s">
        <v>15973</v>
      </c>
      <c r="C98" s="83" t="s">
        <v>15974</v>
      </c>
      <c r="D98" s="111" t="s">
        <v>15975</v>
      </c>
    </row>
    <row r="99" spans="1:4" ht="76.5">
      <c r="A99" s="83" t="s">
        <v>15976</v>
      </c>
      <c r="B99" s="83" t="s">
        <v>15977</v>
      </c>
      <c r="C99" s="83" t="s">
        <v>15978</v>
      </c>
      <c r="D99" s="111" t="s">
        <v>15979</v>
      </c>
    </row>
    <row r="100" spans="1:4" ht="140.25">
      <c r="A100" s="83" t="s">
        <v>15980</v>
      </c>
      <c r="B100" s="83" t="s">
        <v>15981</v>
      </c>
      <c r="C100" s="83" t="s">
        <v>15982</v>
      </c>
      <c r="D100" s="111" t="s">
        <v>15983</v>
      </c>
    </row>
    <row r="101" spans="1:4" ht="306">
      <c r="A101" s="83" t="s">
        <v>15984</v>
      </c>
      <c r="B101" s="83" t="s">
        <v>15985</v>
      </c>
      <c r="C101" s="83" t="s">
        <v>15986</v>
      </c>
      <c r="D101" s="111" t="s">
        <v>15987</v>
      </c>
    </row>
    <row r="102" spans="1:4" ht="331.5">
      <c r="A102" s="83" t="s">
        <v>15988</v>
      </c>
      <c r="B102" s="83" t="s">
        <v>15989</v>
      </c>
      <c r="C102" s="83" t="s">
        <v>15990</v>
      </c>
      <c r="D102" s="111" t="s">
        <v>15991</v>
      </c>
    </row>
    <row r="103" spans="1:4" ht="344.25">
      <c r="A103" s="83" t="s">
        <v>15992</v>
      </c>
      <c r="B103" s="83" t="s">
        <v>15993</v>
      </c>
      <c r="C103" s="83" t="s">
        <v>15994</v>
      </c>
      <c r="D103" s="111" t="s">
        <v>15995</v>
      </c>
    </row>
    <row r="104" spans="1:4" ht="127.5">
      <c r="A104" s="83" t="s">
        <v>15996</v>
      </c>
      <c r="B104" s="83" t="s">
        <v>15997</v>
      </c>
      <c r="C104" s="83" t="s">
        <v>15998</v>
      </c>
      <c r="D104" s="111" t="s">
        <v>15999</v>
      </c>
    </row>
    <row r="105" spans="1:4" ht="140.25">
      <c r="A105" s="83" t="s">
        <v>16000</v>
      </c>
      <c r="B105" s="83" t="s">
        <v>16001</v>
      </c>
      <c r="C105" s="83" t="s">
        <v>16002</v>
      </c>
      <c r="D105" s="111" t="s">
        <v>16003</v>
      </c>
    </row>
    <row r="106" spans="1:4" ht="267.75">
      <c r="A106" s="83" t="s">
        <v>16004</v>
      </c>
      <c r="B106" s="83" t="s">
        <v>16005</v>
      </c>
      <c r="C106" s="83" t="s">
        <v>16006</v>
      </c>
      <c r="D106" s="111" t="s">
        <v>16007</v>
      </c>
    </row>
    <row r="107" spans="1:4" ht="267.75">
      <c r="A107" s="83" t="s">
        <v>16008</v>
      </c>
      <c r="B107" s="83" t="s">
        <v>16009</v>
      </c>
      <c r="C107" s="83" t="s">
        <v>16010</v>
      </c>
      <c r="D107" s="111" t="s">
        <v>16011</v>
      </c>
    </row>
    <row r="108" spans="1:4" ht="178.5">
      <c r="A108" s="83" t="s">
        <v>16012</v>
      </c>
      <c r="B108" s="83" t="s">
        <v>16013</v>
      </c>
      <c r="C108" s="83" t="s">
        <v>16014</v>
      </c>
      <c r="D108" s="111" t="s">
        <v>16015</v>
      </c>
    </row>
    <row r="109" spans="1:4" ht="178.5">
      <c r="A109" s="83" t="s">
        <v>16016</v>
      </c>
      <c r="B109" s="83" t="s">
        <v>16017</v>
      </c>
      <c r="C109" s="83" t="s">
        <v>16018</v>
      </c>
      <c r="D109" s="111" t="s">
        <v>16019</v>
      </c>
    </row>
    <row r="110" spans="1:4" ht="242.25">
      <c r="A110" s="83" t="s">
        <v>16020</v>
      </c>
      <c r="B110" s="83" t="s">
        <v>16021</v>
      </c>
      <c r="C110" s="83" t="s">
        <v>16022</v>
      </c>
      <c r="D110" s="111" t="s">
        <v>16023</v>
      </c>
    </row>
    <row r="111" spans="1:4" ht="242.25">
      <c r="A111" s="83" t="s">
        <v>16024</v>
      </c>
      <c r="B111" s="83" t="s">
        <v>16025</v>
      </c>
      <c r="C111" s="83" t="s">
        <v>16026</v>
      </c>
      <c r="D111" s="111" t="s">
        <v>16027</v>
      </c>
    </row>
    <row r="112" spans="1:4" ht="229.5">
      <c r="A112" s="83" t="s">
        <v>16028</v>
      </c>
      <c r="B112" s="83" t="s">
        <v>16029</v>
      </c>
      <c r="C112" s="83" t="s">
        <v>16030</v>
      </c>
      <c r="D112" s="111" t="s">
        <v>16031</v>
      </c>
    </row>
    <row r="113" spans="1:4" ht="102">
      <c r="A113" s="83" t="s">
        <v>16032</v>
      </c>
      <c r="B113" s="83" t="s">
        <v>16033</v>
      </c>
      <c r="C113" s="83" t="s">
        <v>16034</v>
      </c>
      <c r="D113" s="111" t="s">
        <v>16035</v>
      </c>
    </row>
    <row r="114" spans="1:4" ht="140.25">
      <c r="A114" s="83" t="s">
        <v>17295</v>
      </c>
      <c r="B114" s="83" t="s">
        <v>17296</v>
      </c>
      <c r="C114" s="83" t="s">
        <v>17297</v>
      </c>
      <c r="D114" s="111" t="s">
        <v>17298</v>
      </c>
    </row>
    <row r="115" spans="1:4" ht="293.25">
      <c r="A115" s="83" t="s">
        <v>17299</v>
      </c>
      <c r="B115" s="83" t="s">
        <v>17300</v>
      </c>
      <c r="C115" s="83" t="s">
        <v>17301</v>
      </c>
      <c r="D115" s="111" t="s">
        <v>17302</v>
      </c>
    </row>
    <row r="116" spans="1:4" ht="89.25">
      <c r="A116" s="83" t="s">
        <v>17303</v>
      </c>
      <c r="B116" s="83" t="s">
        <v>17304</v>
      </c>
      <c r="C116" s="83" t="s">
        <v>17305</v>
      </c>
      <c r="D116" s="111" t="s">
        <v>17306</v>
      </c>
    </row>
    <row r="117" spans="1:4" ht="409.5">
      <c r="A117" s="83" t="s">
        <v>17307</v>
      </c>
      <c r="B117" s="83" t="s">
        <v>17308</v>
      </c>
      <c r="C117" s="83" t="s">
        <v>17309</v>
      </c>
      <c r="D117" s="111" t="s">
        <v>17310</v>
      </c>
    </row>
    <row r="118" spans="1:4" ht="395.25">
      <c r="A118" s="83" t="s">
        <v>17311</v>
      </c>
      <c r="B118" s="83" t="s">
        <v>17312</v>
      </c>
      <c r="C118" s="83" t="s">
        <v>17313</v>
      </c>
      <c r="D118" s="111" t="s">
        <v>17314</v>
      </c>
    </row>
    <row r="119" spans="1:4" ht="204">
      <c r="A119" s="83" t="s">
        <v>17315</v>
      </c>
      <c r="B119" s="83" t="s">
        <v>17316</v>
      </c>
      <c r="C119" s="83" t="s">
        <v>17317</v>
      </c>
      <c r="D119" s="111" t="s">
        <v>17318</v>
      </c>
    </row>
    <row r="120" spans="1:4" ht="51">
      <c r="A120" s="83" t="s">
        <v>17319</v>
      </c>
      <c r="B120" s="83" t="s">
        <v>17320</v>
      </c>
      <c r="C120" s="83" t="s">
        <v>17321</v>
      </c>
      <c r="D120" s="111" t="s">
        <v>17322</v>
      </c>
    </row>
    <row r="121" spans="1:4" ht="409.5">
      <c r="A121" s="83" t="s">
        <v>17323</v>
      </c>
      <c r="B121" s="83" t="s">
        <v>17324</v>
      </c>
      <c r="C121" s="83" t="s">
        <v>17325</v>
      </c>
      <c r="D121" s="111" t="s">
        <v>17326</v>
      </c>
    </row>
    <row r="122" spans="1:4" ht="51">
      <c r="A122" s="83" t="s">
        <v>17327</v>
      </c>
      <c r="B122" s="83" t="s">
        <v>17328</v>
      </c>
      <c r="C122" s="83" t="s">
        <v>17329</v>
      </c>
      <c r="D122" s="111" t="s">
        <v>17330</v>
      </c>
    </row>
    <row r="123" spans="1:4" ht="409.5">
      <c r="A123" s="83" t="s">
        <v>17331</v>
      </c>
      <c r="B123" s="83" t="s">
        <v>17332</v>
      </c>
      <c r="C123" s="83" t="s">
        <v>17333</v>
      </c>
      <c r="D123" s="111" t="s">
        <v>17334</v>
      </c>
    </row>
    <row r="124" spans="1:4" ht="409.5">
      <c r="A124" s="83" t="s">
        <v>18428</v>
      </c>
      <c r="B124" s="83" t="s">
        <v>21029</v>
      </c>
      <c r="C124" s="83" t="s">
        <v>21030</v>
      </c>
      <c r="D124" s="111" t="s">
        <v>21031</v>
      </c>
    </row>
    <row r="125" spans="1:4" ht="229.5">
      <c r="A125" s="83" t="s">
        <v>18591</v>
      </c>
      <c r="B125" s="83" t="s">
        <v>18592</v>
      </c>
      <c r="C125" s="83" t="s">
        <v>18593</v>
      </c>
      <c r="D125" s="111" t="s">
        <v>18594</v>
      </c>
    </row>
    <row r="126" spans="1:4" ht="114.75">
      <c r="A126" s="83" t="s">
        <v>18669</v>
      </c>
      <c r="B126" s="83" t="s">
        <v>18670</v>
      </c>
      <c r="C126" s="83" t="s">
        <v>18671</v>
      </c>
      <c r="D126" s="111" t="s">
        <v>18672</v>
      </c>
    </row>
    <row r="127" spans="1:4" ht="409.5">
      <c r="A127" s="83" t="s">
        <v>18673</v>
      </c>
      <c r="B127" s="83" t="s">
        <v>18674</v>
      </c>
      <c r="C127" s="83" t="s">
        <v>18675</v>
      </c>
      <c r="D127" s="111" t="s">
        <v>18676</v>
      </c>
    </row>
    <row r="128" spans="1:4" ht="25.5">
      <c r="A128" s="83" t="s">
        <v>19109</v>
      </c>
      <c r="B128" s="83" t="s">
        <v>19110</v>
      </c>
      <c r="C128" s="83" t="s">
        <v>19111</v>
      </c>
      <c r="D128" s="111" t="s">
        <v>19112</v>
      </c>
    </row>
    <row r="129" spans="1:4" ht="25.5">
      <c r="A129" s="83" t="s">
        <v>19113</v>
      </c>
      <c r="B129" s="83" t="s">
        <v>17336</v>
      </c>
      <c r="C129" s="83" t="s">
        <v>16338</v>
      </c>
      <c r="D129" s="111" t="s">
        <v>19114</v>
      </c>
    </row>
    <row r="130" spans="1:4" ht="38.25">
      <c r="A130" s="83" t="s">
        <v>19115</v>
      </c>
      <c r="B130" s="83" t="s">
        <v>17338</v>
      </c>
      <c r="C130" s="83" t="s">
        <v>16339</v>
      </c>
      <c r="D130" s="111" t="s">
        <v>19116</v>
      </c>
    </row>
    <row r="131" spans="1:4" ht="38.25">
      <c r="A131" s="83" t="s">
        <v>19117</v>
      </c>
      <c r="B131" s="83" t="s">
        <v>19959</v>
      </c>
      <c r="C131" s="83" t="s">
        <v>16340</v>
      </c>
      <c r="D131" s="111" t="s">
        <v>19960</v>
      </c>
    </row>
    <row r="132" spans="1:4" ht="25.5">
      <c r="A132" s="83" t="s">
        <v>19118</v>
      </c>
      <c r="B132" s="83" t="s">
        <v>19119</v>
      </c>
      <c r="C132" s="83" t="s">
        <v>19120</v>
      </c>
      <c r="D132" s="111" t="s">
        <v>19121</v>
      </c>
    </row>
    <row r="133" spans="1:4" ht="25.5">
      <c r="A133" s="83" t="s">
        <v>19122</v>
      </c>
      <c r="B133" s="83" t="s">
        <v>19961</v>
      </c>
      <c r="C133" s="83" t="s">
        <v>18210</v>
      </c>
      <c r="D133" s="111" t="s">
        <v>19962</v>
      </c>
    </row>
    <row r="134" spans="1:4" ht="25.5">
      <c r="A134" s="83" t="s">
        <v>19123</v>
      </c>
      <c r="B134" s="83" t="s">
        <v>19124</v>
      </c>
      <c r="C134" s="83" t="s">
        <v>18125</v>
      </c>
      <c r="D134" s="111" t="s">
        <v>19125</v>
      </c>
    </row>
    <row r="135" spans="1:4" ht="51">
      <c r="A135" s="83" t="s">
        <v>19126</v>
      </c>
      <c r="B135" s="83" t="s">
        <v>17320</v>
      </c>
      <c r="C135" s="83" t="s">
        <v>17321</v>
      </c>
      <c r="D135" s="111" t="s">
        <v>17322</v>
      </c>
    </row>
    <row r="136" spans="1:4" ht="51">
      <c r="A136" s="83" t="s">
        <v>19127</v>
      </c>
      <c r="B136" s="83" t="s">
        <v>17328</v>
      </c>
      <c r="C136" s="83" t="s">
        <v>19128</v>
      </c>
      <c r="D136" s="111" t="s">
        <v>19129</v>
      </c>
    </row>
    <row r="137" spans="1:4" ht="38.25">
      <c r="A137" s="83" t="s">
        <v>19130</v>
      </c>
      <c r="B137" s="83" t="s">
        <v>19131</v>
      </c>
      <c r="C137" s="83" t="s">
        <v>15464</v>
      </c>
      <c r="D137" s="111" t="s">
        <v>19132</v>
      </c>
    </row>
    <row r="138" spans="1:4" ht="38.25">
      <c r="A138" s="83" t="s">
        <v>19133</v>
      </c>
      <c r="B138" s="83" t="s">
        <v>17266</v>
      </c>
      <c r="C138" s="83" t="s">
        <v>17266</v>
      </c>
      <c r="D138" s="111" t="s">
        <v>19134</v>
      </c>
    </row>
    <row r="139" spans="1:4" ht="25.5">
      <c r="A139" s="83" t="s">
        <v>19135</v>
      </c>
      <c r="B139" s="83" t="s">
        <v>19136</v>
      </c>
      <c r="C139" s="83" t="s">
        <v>19137</v>
      </c>
      <c r="D139" s="111" t="s">
        <v>19138</v>
      </c>
    </row>
    <row r="140" spans="1:4" ht="51">
      <c r="A140" s="83" t="s">
        <v>19139</v>
      </c>
      <c r="B140" s="83" t="s">
        <v>19140</v>
      </c>
      <c r="C140" s="83" t="s">
        <v>19141</v>
      </c>
      <c r="D140" s="111" t="s">
        <v>19142</v>
      </c>
    </row>
    <row r="141" spans="1:4" ht="51">
      <c r="A141" s="83" t="s">
        <v>19143</v>
      </c>
      <c r="B141" s="83" t="s">
        <v>19144</v>
      </c>
      <c r="C141" s="83" t="s">
        <v>19145</v>
      </c>
      <c r="D141" s="111" t="s">
        <v>19146</v>
      </c>
    </row>
    <row r="142" spans="1:4" ht="76.5">
      <c r="A142" s="83" t="s">
        <v>19147</v>
      </c>
      <c r="B142" s="83" t="s">
        <v>19148</v>
      </c>
      <c r="C142" s="83" t="s">
        <v>19149</v>
      </c>
      <c r="D142" s="111" t="s">
        <v>19150</v>
      </c>
    </row>
    <row r="143" spans="1:4" ht="25.5">
      <c r="A143" s="83" t="s">
        <v>19151</v>
      </c>
      <c r="B143" s="83" t="s">
        <v>19152</v>
      </c>
      <c r="C143" s="83" t="s">
        <v>19153</v>
      </c>
      <c r="D143" s="111" t="s">
        <v>19154</v>
      </c>
    </row>
    <row r="144" spans="1:4" ht="89.25">
      <c r="A144" s="83" t="s">
        <v>19155</v>
      </c>
      <c r="B144" s="83" t="s">
        <v>19156</v>
      </c>
      <c r="C144" s="83" t="s">
        <v>19157</v>
      </c>
      <c r="D144" s="111" t="s">
        <v>19158</v>
      </c>
    </row>
    <row r="145" spans="1:4" ht="25.5">
      <c r="A145" s="83" t="s">
        <v>19159</v>
      </c>
      <c r="B145" s="83" t="s">
        <v>19160</v>
      </c>
      <c r="C145" s="83" t="s">
        <v>19161</v>
      </c>
      <c r="D145" s="111" t="s">
        <v>19162</v>
      </c>
    </row>
    <row r="146" spans="1:4" ht="38.25">
      <c r="A146" s="83" t="s">
        <v>19163</v>
      </c>
      <c r="B146" s="83" t="s">
        <v>19164</v>
      </c>
      <c r="C146" s="83" t="s">
        <v>19165</v>
      </c>
      <c r="D146" s="111" t="s">
        <v>19166</v>
      </c>
    </row>
    <row r="147" spans="1:4" ht="51">
      <c r="A147" s="83" t="s">
        <v>19167</v>
      </c>
      <c r="B147" s="83" t="s">
        <v>19168</v>
      </c>
      <c r="C147" s="83" t="s">
        <v>19169</v>
      </c>
      <c r="D147" s="111" t="s">
        <v>19170</v>
      </c>
    </row>
    <row r="148" spans="1:4" ht="409.5">
      <c r="A148" s="83" t="s">
        <v>19171</v>
      </c>
      <c r="B148" s="83" t="s">
        <v>19963</v>
      </c>
      <c r="C148" s="83" t="s">
        <v>19964</v>
      </c>
      <c r="D148" s="111" t="s">
        <v>19965</v>
      </c>
    </row>
    <row r="149" spans="1:4" ht="409.5">
      <c r="A149" s="83" t="s">
        <v>19172</v>
      </c>
      <c r="B149" s="83" t="s">
        <v>19173</v>
      </c>
      <c r="C149" s="83" t="s">
        <v>19174</v>
      </c>
      <c r="D149" s="111" t="s">
        <v>19175</v>
      </c>
    </row>
    <row r="150" spans="1:4" ht="216.75">
      <c r="A150" s="83" t="s">
        <v>19176</v>
      </c>
      <c r="B150" s="83" t="s">
        <v>19177</v>
      </c>
      <c r="C150" s="83" t="s">
        <v>19178</v>
      </c>
      <c r="D150" s="111" t="s">
        <v>19179</v>
      </c>
    </row>
    <row r="151" spans="1:4" ht="51">
      <c r="A151" s="83" t="s">
        <v>19180</v>
      </c>
      <c r="B151" s="83" t="s">
        <v>19181</v>
      </c>
      <c r="C151" s="83" t="s">
        <v>19182</v>
      </c>
      <c r="D151" s="111" t="s">
        <v>19183</v>
      </c>
    </row>
    <row r="152" spans="1:4" ht="38.25">
      <c r="A152" s="83" t="s">
        <v>19184</v>
      </c>
      <c r="B152" s="83" t="s">
        <v>18086</v>
      </c>
      <c r="C152" s="83" t="s">
        <v>18087</v>
      </c>
      <c r="D152" s="111" t="s">
        <v>19185</v>
      </c>
    </row>
    <row r="153" spans="1:4" ht="89.25">
      <c r="A153" s="83" t="s">
        <v>19186</v>
      </c>
      <c r="B153" s="83" t="s">
        <v>19187</v>
      </c>
      <c r="C153" s="83" t="s">
        <v>19188</v>
      </c>
      <c r="D153" s="111" t="s">
        <v>19189</v>
      </c>
    </row>
    <row r="154" spans="1:4" ht="89.25">
      <c r="A154" s="83" t="s">
        <v>19190</v>
      </c>
      <c r="B154" s="83" t="s">
        <v>19191</v>
      </c>
      <c r="C154" s="83" t="s">
        <v>19192</v>
      </c>
      <c r="D154" s="111" t="s">
        <v>19193</v>
      </c>
    </row>
    <row r="155" spans="1:4" ht="89.25">
      <c r="A155" s="83" t="s">
        <v>19194</v>
      </c>
      <c r="B155" s="83" t="s">
        <v>19195</v>
      </c>
      <c r="C155" s="83" t="s">
        <v>19196</v>
      </c>
      <c r="D155" s="111" t="s">
        <v>19197</v>
      </c>
    </row>
    <row r="156" spans="1:4" ht="89.25">
      <c r="A156" s="83" t="s">
        <v>19198</v>
      </c>
      <c r="B156" s="83" t="s">
        <v>19199</v>
      </c>
      <c r="C156" s="83" t="s">
        <v>19200</v>
      </c>
      <c r="D156" s="111" t="s">
        <v>19201</v>
      </c>
    </row>
    <row r="157" spans="1:4" ht="63.75">
      <c r="A157" s="83" t="s">
        <v>19202</v>
      </c>
      <c r="B157" s="83" t="s">
        <v>19203</v>
      </c>
      <c r="C157" s="83" t="s">
        <v>19204</v>
      </c>
      <c r="D157" s="111" t="s">
        <v>19205</v>
      </c>
    </row>
    <row r="158" spans="1:4" ht="51">
      <c r="A158" s="83" t="s">
        <v>19206</v>
      </c>
      <c r="B158" s="83" t="s">
        <v>19207</v>
      </c>
      <c r="C158" s="83" t="s">
        <v>19208</v>
      </c>
      <c r="D158" s="111" t="s">
        <v>19209</v>
      </c>
    </row>
    <row r="159" spans="1:4" ht="25.5">
      <c r="A159" s="83" t="s">
        <v>19210</v>
      </c>
      <c r="B159" s="83" t="s">
        <v>19211</v>
      </c>
      <c r="C159" s="83" t="s">
        <v>19212</v>
      </c>
      <c r="D159" s="111" t="s">
        <v>19213</v>
      </c>
    </row>
    <row r="160" spans="1:4" ht="25.5">
      <c r="A160" s="83" t="s">
        <v>19214</v>
      </c>
      <c r="B160" s="83" t="s">
        <v>19215</v>
      </c>
      <c r="C160" s="83" t="s">
        <v>17963</v>
      </c>
      <c r="D160" s="111" t="s">
        <v>19216</v>
      </c>
    </row>
    <row r="161" spans="1:4" ht="25.5">
      <c r="A161" s="83" t="s">
        <v>19217</v>
      </c>
      <c r="B161" s="83" t="s">
        <v>19218</v>
      </c>
      <c r="C161" s="83" t="s">
        <v>19219</v>
      </c>
      <c r="D161" s="111" t="s">
        <v>19220</v>
      </c>
    </row>
    <row r="162" spans="1:4" ht="51">
      <c r="A162" s="83" t="s">
        <v>19221</v>
      </c>
      <c r="B162" s="83" t="s">
        <v>19222</v>
      </c>
      <c r="C162" s="83" t="s">
        <v>19223</v>
      </c>
      <c r="D162" s="111" t="s">
        <v>19224</v>
      </c>
    </row>
    <row r="163" spans="1:4" ht="76.5">
      <c r="A163" s="83" t="s">
        <v>19225</v>
      </c>
      <c r="B163" s="83" t="s">
        <v>19226</v>
      </c>
      <c r="C163" s="83" t="s">
        <v>19227</v>
      </c>
      <c r="D163" s="111" t="s">
        <v>19228</v>
      </c>
    </row>
    <row r="164" spans="1:4" ht="114.75">
      <c r="A164" s="83" t="s">
        <v>19229</v>
      </c>
      <c r="B164" s="83" t="s">
        <v>19230</v>
      </c>
      <c r="C164" s="83" t="s">
        <v>19231</v>
      </c>
      <c r="D164" s="111" t="s">
        <v>19232</v>
      </c>
    </row>
    <row r="165" spans="1:4" ht="280.5">
      <c r="A165" s="83" t="s">
        <v>19233</v>
      </c>
      <c r="B165" s="83" t="s">
        <v>19966</v>
      </c>
      <c r="C165" s="83" t="s">
        <v>19967</v>
      </c>
      <c r="D165" s="111" t="s">
        <v>19968</v>
      </c>
    </row>
    <row r="166" spans="1:4" ht="178.5">
      <c r="A166" s="83" t="s">
        <v>19234</v>
      </c>
      <c r="B166" s="83" t="s">
        <v>19235</v>
      </c>
      <c r="C166" s="83" t="s">
        <v>19236</v>
      </c>
      <c r="D166" s="111" t="s">
        <v>19237</v>
      </c>
    </row>
    <row r="167" spans="1:4" ht="25.5">
      <c r="A167" s="83" t="s">
        <v>19238</v>
      </c>
      <c r="B167" s="83" t="s">
        <v>19239</v>
      </c>
      <c r="C167" s="83" t="s">
        <v>19240</v>
      </c>
      <c r="D167" s="111" t="s">
        <v>19241</v>
      </c>
    </row>
    <row r="168" spans="1:4" ht="25.5">
      <c r="A168" s="83" t="s">
        <v>19242</v>
      </c>
      <c r="B168" s="83" t="s">
        <v>19243</v>
      </c>
      <c r="C168" s="83" t="s">
        <v>19244</v>
      </c>
      <c r="D168" s="111" t="s">
        <v>19245</v>
      </c>
    </row>
    <row r="169" spans="1:4" ht="38.25">
      <c r="A169" s="83" t="s">
        <v>19246</v>
      </c>
      <c r="B169" s="83" t="s">
        <v>19247</v>
      </c>
      <c r="C169" s="83" t="s">
        <v>19248</v>
      </c>
      <c r="D169" s="111" t="s">
        <v>19249</v>
      </c>
    </row>
    <row r="170" spans="1:4" ht="25.5">
      <c r="A170" s="83" t="s">
        <v>19250</v>
      </c>
      <c r="B170" s="83" t="s">
        <v>19251</v>
      </c>
      <c r="C170" s="83" t="s">
        <v>19252</v>
      </c>
      <c r="D170" s="111" t="s">
        <v>19253</v>
      </c>
    </row>
    <row r="171" spans="1:4" ht="51">
      <c r="A171" s="83" t="s">
        <v>19254</v>
      </c>
      <c r="B171" s="83" t="s">
        <v>19255</v>
      </c>
      <c r="C171" s="83" t="s">
        <v>19256</v>
      </c>
      <c r="D171" s="111" t="s">
        <v>19257</v>
      </c>
    </row>
    <row r="172" spans="1:4" ht="51">
      <c r="A172" s="83" t="s">
        <v>19258</v>
      </c>
      <c r="B172" s="83" t="s">
        <v>19259</v>
      </c>
      <c r="C172" s="83" t="s">
        <v>19260</v>
      </c>
      <c r="D172" s="111" t="s">
        <v>19261</v>
      </c>
    </row>
    <row r="173" spans="1:4" ht="38.25">
      <c r="A173" s="83" t="s">
        <v>19262</v>
      </c>
      <c r="B173" s="83" t="s">
        <v>19263</v>
      </c>
      <c r="C173" s="83" t="s">
        <v>19264</v>
      </c>
      <c r="D173" s="111" t="s">
        <v>19265</v>
      </c>
    </row>
    <row r="174" spans="1:4" ht="102">
      <c r="A174" s="83" t="s">
        <v>19266</v>
      </c>
      <c r="B174" s="83" t="s">
        <v>19267</v>
      </c>
      <c r="C174" s="83" t="s">
        <v>19268</v>
      </c>
      <c r="D174" s="111" t="s">
        <v>19269</v>
      </c>
    </row>
    <row r="175" spans="1:4" ht="51">
      <c r="A175" s="83" t="s">
        <v>19270</v>
      </c>
      <c r="B175" s="83" t="s">
        <v>19271</v>
      </c>
      <c r="C175" s="83" t="s">
        <v>19272</v>
      </c>
      <c r="D175" s="111" t="s">
        <v>19273</v>
      </c>
    </row>
    <row r="176" spans="1:4" ht="51">
      <c r="A176" s="83" t="s">
        <v>19274</v>
      </c>
      <c r="B176" s="83" t="s">
        <v>19275</v>
      </c>
      <c r="C176" s="83" t="s">
        <v>19276</v>
      </c>
      <c r="D176" s="111" t="s">
        <v>19277</v>
      </c>
    </row>
    <row r="177" spans="1:4" ht="51">
      <c r="A177" s="83" t="s">
        <v>19278</v>
      </c>
      <c r="B177" s="83" t="s">
        <v>19279</v>
      </c>
      <c r="C177" s="83" t="s">
        <v>19280</v>
      </c>
      <c r="D177" s="111" t="s">
        <v>19281</v>
      </c>
    </row>
    <row r="178" spans="1:4" ht="395.25">
      <c r="A178" s="83" t="s">
        <v>19282</v>
      </c>
      <c r="B178" s="83" t="s">
        <v>19283</v>
      </c>
      <c r="C178" s="83" t="s">
        <v>19284</v>
      </c>
      <c r="D178" s="111" t="s">
        <v>19285</v>
      </c>
    </row>
    <row r="179" spans="1:4" ht="25.5">
      <c r="A179" s="83" t="s">
        <v>19286</v>
      </c>
      <c r="B179" s="83" t="s">
        <v>19287</v>
      </c>
      <c r="C179" s="83" t="s">
        <v>19288</v>
      </c>
      <c r="D179" s="111" t="s">
        <v>19289</v>
      </c>
    </row>
    <row r="180" spans="1:4" ht="51">
      <c r="A180" s="83" t="s">
        <v>19290</v>
      </c>
      <c r="B180" s="83" t="s">
        <v>19291</v>
      </c>
      <c r="C180" s="83" t="s">
        <v>19292</v>
      </c>
      <c r="D180" s="111" t="s">
        <v>19293</v>
      </c>
    </row>
    <row r="181" spans="1:4" ht="38.25">
      <c r="A181" s="83" t="s">
        <v>19294</v>
      </c>
      <c r="B181" s="83" t="s">
        <v>19295</v>
      </c>
      <c r="C181" s="83" t="s">
        <v>19296</v>
      </c>
      <c r="D181" s="111" t="s">
        <v>19297</v>
      </c>
    </row>
    <row r="182" spans="1:4" ht="38.25">
      <c r="A182" s="83" t="s">
        <v>19298</v>
      </c>
      <c r="B182" s="83" t="s">
        <v>19299</v>
      </c>
      <c r="C182" s="83" t="s">
        <v>19300</v>
      </c>
      <c r="D182" s="111" t="s">
        <v>19301</v>
      </c>
    </row>
    <row r="183" spans="1:4" ht="51">
      <c r="A183" s="83" t="s">
        <v>19302</v>
      </c>
      <c r="B183" s="83" t="s">
        <v>19140</v>
      </c>
      <c r="C183" s="83" t="s">
        <v>19141</v>
      </c>
      <c r="D183" s="111" t="s">
        <v>19142</v>
      </c>
    </row>
    <row r="184" spans="1:4" ht="25.5">
      <c r="A184" s="83" t="s">
        <v>19303</v>
      </c>
      <c r="B184" s="83" t="s">
        <v>19304</v>
      </c>
      <c r="C184" s="83" t="s">
        <v>19305</v>
      </c>
      <c r="D184" s="111" t="s">
        <v>19306</v>
      </c>
    </row>
    <row r="185" spans="1:4" ht="51">
      <c r="A185" s="83" t="s">
        <v>19307</v>
      </c>
      <c r="B185" s="83" t="s">
        <v>19308</v>
      </c>
      <c r="C185" s="83" t="s">
        <v>19309</v>
      </c>
      <c r="D185" s="111" t="s">
        <v>19310</v>
      </c>
    </row>
    <row r="186" spans="1:4" ht="38.25">
      <c r="A186" s="83" t="s">
        <v>19311</v>
      </c>
      <c r="B186" s="83" t="s">
        <v>19312</v>
      </c>
      <c r="C186" s="83" t="s">
        <v>19313</v>
      </c>
      <c r="D186" s="111" t="s">
        <v>19314</v>
      </c>
    </row>
    <row r="187" spans="1:4" ht="38.25">
      <c r="A187" s="83" t="s">
        <v>19315</v>
      </c>
      <c r="B187" s="83" t="s">
        <v>19152</v>
      </c>
      <c r="C187" s="83" t="s">
        <v>19316</v>
      </c>
      <c r="D187" s="111" t="s">
        <v>19317</v>
      </c>
    </row>
    <row r="188" spans="1:4" ht="38.25">
      <c r="A188" s="83" t="s">
        <v>19318</v>
      </c>
      <c r="B188" s="83" t="s">
        <v>19319</v>
      </c>
      <c r="C188" s="83" t="s">
        <v>19320</v>
      </c>
      <c r="D188" s="111" t="s">
        <v>19321</v>
      </c>
    </row>
    <row r="189" spans="1:4" ht="51">
      <c r="A189" s="83" t="s">
        <v>19322</v>
      </c>
      <c r="B189" s="83" t="s">
        <v>19323</v>
      </c>
      <c r="C189" s="83" t="s">
        <v>19324</v>
      </c>
      <c r="D189" s="111" t="s">
        <v>19325</v>
      </c>
    </row>
    <row r="190" spans="1:4" ht="76.5">
      <c r="A190" s="83" t="s">
        <v>19326</v>
      </c>
      <c r="B190" s="83" t="s">
        <v>19327</v>
      </c>
      <c r="C190" s="83" t="s">
        <v>19328</v>
      </c>
      <c r="D190" s="111" t="s">
        <v>19329</v>
      </c>
    </row>
    <row r="191" spans="1:4" ht="51">
      <c r="A191" s="83" t="s">
        <v>19330</v>
      </c>
      <c r="B191" s="83" t="s">
        <v>19331</v>
      </c>
      <c r="C191" s="83" t="s">
        <v>19332</v>
      </c>
      <c r="D191" s="111" t="s">
        <v>19333</v>
      </c>
    </row>
    <row r="192" spans="1:4" ht="25.5">
      <c r="A192" s="83" t="s">
        <v>19334</v>
      </c>
      <c r="B192" s="83" t="s">
        <v>19335</v>
      </c>
      <c r="C192" s="83" t="s">
        <v>19336</v>
      </c>
      <c r="D192" s="111" t="s">
        <v>19337</v>
      </c>
    </row>
    <row r="193" spans="1:4" ht="191.25">
      <c r="A193" s="83" t="s">
        <v>19338</v>
      </c>
      <c r="B193" s="83" t="s">
        <v>19339</v>
      </c>
      <c r="C193" s="83" t="s">
        <v>19340</v>
      </c>
      <c r="D193" s="111" t="s">
        <v>19341</v>
      </c>
    </row>
    <row r="194" spans="1:4" ht="191.25">
      <c r="A194" s="83" t="s">
        <v>19342</v>
      </c>
      <c r="B194" s="83" t="s">
        <v>19343</v>
      </c>
      <c r="C194" s="83" t="s">
        <v>19344</v>
      </c>
      <c r="D194" s="111" t="s">
        <v>19345</v>
      </c>
    </row>
    <row r="195" spans="1:4" ht="153">
      <c r="A195" s="83" t="s">
        <v>19346</v>
      </c>
      <c r="B195" s="83" t="s">
        <v>19347</v>
      </c>
      <c r="C195" s="83" t="s">
        <v>19348</v>
      </c>
      <c r="D195" s="111" t="s">
        <v>19349</v>
      </c>
    </row>
    <row r="196" spans="1:4" ht="102">
      <c r="A196" s="83" t="s">
        <v>19350</v>
      </c>
      <c r="B196" s="83" t="s">
        <v>19351</v>
      </c>
      <c r="C196" s="83" t="s">
        <v>19352</v>
      </c>
      <c r="D196" s="111" t="s">
        <v>19353</v>
      </c>
    </row>
    <row r="197" spans="1:4" ht="114.75">
      <c r="A197" s="83" t="s">
        <v>19354</v>
      </c>
      <c r="B197" s="83" t="s">
        <v>19355</v>
      </c>
      <c r="C197" s="83" t="s">
        <v>19356</v>
      </c>
      <c r="D197" s="111" t="s">
        <v>19357</v>
      </c>
    </row>
    <row r="198" spans="1:4" ht="114.75">
      <c r="A198" s="83" t="s">
        <v>19358</v>
      </c>
      <c r="B198" s="83" t="s">
        <v>19359</v>
      </c>
      <c r="C198" s="83" t="s">
        <v>19360</v>
      </c>
      <c r="D198" s="111" t="s">
        <v>19361</v>
      </c>
    </row>
    <row r="199" spans="1:4" ht="191.25">
      <c r="A199" s="83" t="s">
        <v>19362</v>
      </c>
      <c r="B199" s="83" t="s">
        <v>19343</v>
      </c>
      <c r="C199" s="83" t="s">
        <v>19344</v>
      </c>
      <c r="D199" s="111" t="s">
        <v>19345</v>
      </c>
    </row>
    <row r="200" spans="1:4" ht="191.25">
      <c r="A200" s="83" t="s">
        <v>19363</v>
      </c>
      <c r="B200" s="83" t="s">
        <v>19969</v>
      </c>
      <c r="C200" s="83" t="s">
        <v>19970</v>
      </c>
      <c r="D200" s="111" t="s">
        <v>19971</v>
      </c>
    </row>
    <row r="201" spans="1:4" ht="51">
      <c r="A201" s="83" t="s">
        <v>19364</v>
      </c>
      <c r="B201" s="83" t="s">
        <v>19365</v>
      </c>
      <c r="C201" s="83" t="s">
        <v>19366</v>
      </c>
      <c r="D201" s="111" t="s">
        <v>19367</v>
      </c>
    </row>
    <row r="202" spans="1:4" ht="25.5">
      <c r="A202" s="83" t="s">
        <v>19368</v>
      </c>
      <c r="B202" s="83" t="s">
        <v>19369</v>
      </c>
      <c r="C202" s="83" t="s">
        <v>18037</v>
      </c>
      <c r="D202" s="111" t="s">
        <v>19370</v>
      </c>
    </row>
    <row r="203" spans="1:4" ht="38.25">
      <c r="A203" s="83" t="s">
        <v>19371</v>
      </c>
      <c r="B203" s="83" t="s">
        <v>19372</v>
      </c>
      <c r="C203" s="83" t="s">
        <v>19373</v>
      </c>
      <c r="D203" s="111" t="s">
        <v>19374</v>
      </c>
    </row>
    <row r="204" spans="1:4" ht="25.5">
      <c r="A204" s="83" t="s">
        <v>19375</v>
      </c>
      <c r="B204" s="83" t="s">
        <v>19376</v>
      </c>
      <c r="C204" s="83" t="s">
        <v>19377</v>
      </c>
      <c r="D204" s="111" t="s">
        <v>19378</v>
      </c>
    </row>
    <row r="205" spans="1:4" ht="25.5">
      <c r="A205" s="83" t="s">
        <v>19379</v>
      </c>
      <c r="B205" s="83" t="s">
        <v>19380</v>
      </c>
      <c r="C205" s="83" t="s">
        <v>19381</v>
      </c>
      <c r="D205" s="111" t="s">
        <v>19382</v>
      </c>
    </row>
    <row r="206" spans="1:4" ht="38.25">
      <c r="A206" s="83" t="s">
        <v>19383</v>
      </c>
      <c r="B206" s="83" t="s">
        <v>19384</v>
      </c>
      <c r="C206" s="83" t="s">
        <v>19385</v>
      </c>
      <c r="D206" s="111" t="s">
        <v>19386</v>
      </c>
    </row>
    <row r="207" spans="1:4" ht="25.5">
      <c r="A207" s="83" t="s">
        <v>19387</v>
      </c>
      <c r="B207" s="83" t="s">
        <v>19388</v>
      </c>
      <c r="C207" s="83" t="s">
        <v>19389</v>
      </c>
      <c r="D207" s="111" t="s">
        <v>19390</v>
      </c>
    </row>
    <row r="208" spans="1:4" ht="38.25">
      <c r="A208" s="83" t="s">
        <v>19391</v>
      </c>
      <c r="B208" s="83" t="s">
        <v>19392</v>
      </c>
      <c r="C208" s="83" t="s">
        <v>18163</v>
      </c>
      <c r="D208" s="111" t="s">
        <v>19393</v>
      </c>
    </row>
    <row r="209" spans="1:4" ht="51">
      <c r="A209" s="83" t="s">
        <v>19394</v>
      </c>
      <c r="B209" s="83" t="s">
        <v>19395</v>
      </c>
      <c r="C209" s="83" t="s">
        <v>18175</v>
      </c>
      <c r="D209" s="111" t="s">
        <v>19396</v>
      </c>
    </row>
    <row r="210" spans="1:4" ht="76.5">
      <c r="A210" s="83" t="s">
        <v>19397</v>
      </c>
      <c r="B210" s="83" t="s">
        <v>19398</v>
      </c>
      <c r="C210" s="83" t="s">
        <v>19399</v>
      </c>
      <c r="D210" s="111" t="s">
        <v>19400</v>
      </c>
    </row>
    <row r="211" spans="1:4" ht="267.75">
      <c r="A211" s="83" t="s">
        <v>19401</v>
      </c>
      <c r="B211" s="83" t="s">
        <v>19402</v>
      </c>
      <c r="C211" s="83" t="s">
        <v>19403</v>
      </c>
      <c r="D211" s="111" t="s">
        <v>19404</v>
      </c>
    </row>
    <row r="212" spans="1:4" ht="191.25">
      <c r="A212" s="83" t="s">
        <v>19405</v>
      </c>
      <c r="B212" s="83" t="s">
        <v>19406</v>
      </c>
      <c r="C212" s="83" t="s">
        <v>19407</v>
      </c>
      <c r="D212" s="111" t="s">
        <v>19408</v>
      </c>
    </row>
    <row r="213" spans="1:4" ht="216.75">
      <c r="A213" s="83" t="s">
        <v>19409</v>
      </c>
      <c r="B213" s="83" t="s">
        <v>19410</v>
      </c>
      <c r="C213" s="83" t="s">
        <v>19411</v>
      </c>
      <c r="D213" s="111" t="s">
        <v>19412</v>
      </c>
    </row>
    <row r="214" spans="1:4" ht="293.25">
      <c r="A214" s="83" t="s">
        <v>19413</v>
      </c>
      <c r="B214" s="83" t="s">
        <v>19414</v>
      </c>
      <c r="C214" s="83" t="s">
        <v>19415</v>
      </c>
      <c r="D214" s="111" t="s">
        <v>19416</v>
      </c>
    </row>
    <row r="215" spans="1:4" ht="25.5">
      <c r="A215" s="83" t="s">
        <v>19417</v>
      </c>
      <c r="B215" s="83" t="s">
        <v>19418</v>
      </c>
      <c r="C215" s="83" t="s">
        <v>19419</v>
      </c>
      <c r="D215" s="111" t="s">
        <v>19420</v>
      </c>
    </row>
    <row r="216" spans="1:4" ht="38.25">
      <c r="A216" s="83" t="s">
        <v>19421</v>
      </c>
      <c r="B216" s="83" t="s">
        <v>19422</v>
      </c>
      <c r="C216" s="83" t="s">
        <v>19423</v>
      </c>
      <c r="D216" s="111" t="s">
        <v>19424</v>
      </c>
    </row>
    <row r="217" spans="1:4" ht="38.25">
      <c r="A217" s="83" t="s">
        <v>19425</v>
      </c>
      <c r="B217" s="83" t="s">
        <v>19426</v>
      </c>
      <c r="C217" s="83" t="s">
        <v>19427</v>
      </c>
      <c r="D217" s="111" t="s">
        <v>19428</v>
      </c>
    </row>
    <row r="218" spans="1:4" ht="25.5">
      <c r="A218" s="83" t="s">
        <v>19429</v>
      </c>
      <c r="B218" s="83" t="s">
        <v>19430</v>
      </c>
      <c r="C218" s="83" t="s">
        <v>19431</v>
      </c>
      <c r="D218" s="111" t="s">
        <v>19432</v>
      </c>
    </row>
    <row r="219" spans="1:4" ht="178.5">
      <c r="A219" s="83" t="s">
        <v>19433</v>
      </c>
      <c r="B219" s="83" t="s">
        <v>19434</v>
      </c>
      <c r="C219" s="83" t="s">
        <v>19435</v>
      </c>
      <c r="D219" s="111" t="s">
        <v>19436</v>
      </c>
    </row>
    <row r="220" spans="1:4" ht="165.75">
      <c r="A220" s="83" t="s">
        <v>19437</v>
      </c>
      <c r="B220" s="83" t="s">
        <v>19438</v>
      </c>
      <c r="C220" s="83" t="s">
        <v>19439</v>
      </c>
      <c r="D220" s="111" t="s">
        <v>19440</v>
      </c>
    </row>
    <row r="221" spans="1:4" ht="191.25">
      <c r="A221" s="83" t="s">
        <v>19441</v>
      </c>
      <c r="B221" s="83" t="s">
        <v>19442</v>
      </c>
      <c r="C221" s="83" t="s">
        <v>19443</v>
      </c>
      <c r="D221" s="111" t="s">
        <v>19444</v>
      </c>
    </row>
    <row r="222" spans="1:4" ht="51">
      <c r="A222" s="83" t="s">
        <v>19445</v>
      </c>
      <c r="B222" s="83" t="s">
        <v>19446</v>
      </c>
      <c r="C222" s="83" t="s">
        <v>19447</v>
      </c>
      <c r="D222" s="111" t="s">
        <v>19448</v>
      </c>
    </row>
    <row r="223" spans="1:4" ht="76.5">
      <c r="A223" s="83" t="s">
        <v>19449</v>
      </c>
      <c r="B223" s="83" t="s">
        <v>19450</v>
      </c>
      <c r="C223" s="83" t="s">
        <v>19451</v>
      </c>
      <c r="D223" s="111" t="s">
        <v>19452</v>
      </c>
    </row>
    <row r="224" spans="1:4" ht="51">
      <c r="A224" s="83" t="s">
        <v>19453</v>
      </c>
      <c r="B224" s="83" t="s">
        <v>19454</v>
      </c>
      <c r="C224" s="83" t="s">
        <v>19455</v>
      </c>
      <c r="D224" s="111" t="s">
        <v>19456</v>
      </c>
    </row>
    <row r="225" spans="1:4" ht="357">
      <c r="A225" s="83" t="s">
        <v>19457</v>
      </c>
      <c r="B225" s="83" t="s">
        <v>19458</v>
      </c>
      <c r="C225" s="83" t="s">
        <v>19459</v>
      </c>
      <c r="D225" s="111" t="s">
        <v>19460</v>
      </c>
    </row>
    <row r="226" spans="1:4" ht="38.25">
      <c r="A226" s="83" t="s">
        <v>19461</v>
      </c>
      <c r="B226" s="83" t="s">
        <v>19462</v>
      </c>
      <c r="C226" s="83" t="s">
        <v>19463</v>
      </c>
      <c r="D226" s="111" t="s">
        <v>19464</v>
      </c>
    </row>
    <row r="227" spans="1:4" ht="25.5">
      <c r="A227" s="83" t="s">
        <v>19465</v>
      </c>
      <c r="B227" s="83" t="s">
        <v>19466</v>
      </c>
      <c r="C227" s="83" t="s">
        <v>19467</v>
      </c>
      <c r="D227" s="111" t="s">
        <v>19468</v>
      </c>
    </row>
    <row r="228" spans="1:4" ht="25.5">
      <c r="A228" s="83" t="s">
        <v>19469</v>
      </c>
      <c r="B228" s="83" t="s">
        <v>19470</v>
      </c>
      <c r="C228" s="83" t="s">
        <v>19471</v>
      </c>
      <c r="D228" s="111" t="s">
        <v>19472</v>
      </c>
    </row>
    <row r="229" spans="1:4" ht="51">
      <c r="A229" s="83" t="s">
        <v>19473</v>
      </c>
      <c r="B229" s="83" t="s">
        <v>19474</v>
      </c>
      <c r="C229" s="83" t="s">
        <v>19475</v>
      </c>
      <c r="D229" s="111" t="s">
        <v>19476</v>
      </c>
    </row>
    <row r="230" spans="1:4" ht="63.75">
      <c r="A230" s="83" t="s">
        <v>19477</v>
      </c>
      <c r="B230" s="83" t="s">
        <v>19478</v>
      </c>
      <c r="C230" s="83" t="s">
        <v>19479</v>
      </c>
      <c r="D230" s="111" t="s">
        <v>19480</v>
      </c>
    </row>
    <row r="231" spans="1:4" ht="38.25">
      <c r="A231" s="83" t="s">
        <v>19481</v>
      </c>
      <c r="B231" s="83" t="s">
        <v>19482</v>
      </c>
      <c r="C231" s="83" t="s">
        <v>19483</v>
      </c>
      <c r="D231" s="111" t="s">
        <v>19484</v>
      </c>
    </row>
    <row r="232" spans="1:4" ht="165.75">
      <c r="A232" s="83" t="s">
        <v>19485</v>
      </c>
      <c r="B232" s="83" t="s">
        <v>19486</v>
      </c>
      <c r="C232" s="83" t="s">
        <v>19487</v>
      </c>
      <c r="D232" s="111" t="s">
        <v>19488</v>
      </c>
    </row>
    <row r="233" spans="1:4" ht="51">
      <c r="A233" s="83" t="s">
        <v>19489</v>
      </c>
      <c r="B233" s="83" t="s">
        <v>19490</v>
      </c>
      <c r="C233" s="83" t="s">
        <v>19491</v>
      </c>
      <c r="D233" s="111" t="s">
        <v>19492</v>
      </c>
    </row>
    <row r="234" spans="1:4" ht="25.5">
      <c r="A234" s="83" t="s">
        <v>19493</v>
      </c>
      <c r="B234" s="83" t="s">
        <v>19494</v>
      </c>
      <c r="C234" s="83" t="s">
        <v>19495</v>
      </c>
      <c r="D234" s="111" t="s">
        <v>19496</v>
      </c>
    </row>
    <row r="235" spans="1:4" ht="63.75">
      <c r="A235" s="83" t="s">
        <v>19497</v>
      </c>
      <c r="B235" s="83" t="s">
        <v>19498</v>
      </c>
      <c r="C235" s="83" t="s">
        <v>19499</v>
      </c>
      <c r="D235" s="111" t="s">
        <v>19500</v>
      </c>
    </row>
    <row r="236" spans="1:4" ht="76.5">
      <c r="A236" s="83" t="s">
        <v>19501</v>
      </c>
      <c r="B236" s="83" t="s">
        <v>19502</v>
      </c>
      <c r="C236" s="83" t="s">
        <v>19503</v>
      </c>
      <c r="D236" s="111" t="s">
        <v>19504</v>
      </c>
    </row>
    <row r="237" spans="1:4" ht="357">
      <c r="A237" s="83" t="s">
        <v>19505</v>
      </c>
      <c r="B237" s="83" t="s">
        <v>19506</v>
      </c>
      <c r="C237" s="83" t="s">
        <v>19507</v>
      </c>
      <c r="D237" s="111" t="s">
        <v>19508</v>
      </c>
    </row>
    <row r="238" spans="1:4" ht="63.75">
      <c r="A238" s="83" t="s">
        <v>19509</v>
      </c>
      <c r="B238" s="83" t="s">
        <v>18219</v>
      </c>
      <c r="C238" s="83" t="s">
        <v>19510</v>
      </c>
      <c r="D238" s="111" t="s">
        <v>19511</v>
      </c>
    </row>
    <row r="239" spans="1:4" ht="51">
      <c r="A239" s="83" t="s">
        <v>19512</v>
      </c>
      <c r="B239" s="83" t="s">
        <v>19513</v>
      </c>
      <c r="C239" s="83" t="s">
        <v>19514</v>
      </c>
      <c r="D239" s="111" t="s">
        <v>19515</v>
      </c>
    </row>
    <row r="240" spans="1:4" ht="51">
      <c r="A240" s="83" t="s">
        <v>19516</v>
      </c>
      <c r="B240" s="83" t="s">
        <v>19517</v>
      </c>
      <c r="C240" s="83" t="s">
        <v>19518</v>
      </c>
      <c r="D240" s="111" t="s">
        <v>19519</v>
      </c>
    </row>
    <row r="241" spans="1:4" ht="25.5">
      <c r="A241" s="83" t="s">
        <v>19520</v>
      </c>
      <c r="B241" s="83" t="s">
        <v>19521</v>
      </c>
      <c r="C241" s="83" t="s">
        <v>19522</v>
      </c>
      <c r="D241" s="111" t="s">
        <v>19523</v>
      </c>
    </row>
    <row r="242" spans="1:4" ht="51">
      <c r="A242" s="83" t="s">
        <v>19524</v>
      </c>
      <c r="B242" s="83" t="s">
        <v>19525</v>
      </c>
      <c r="C242" s="83" t="s">
        <v>19526</v>
      </c>
      <c r="D242" s="111" t="s">
        <v>19527</v>
      </c>
    </row>
    <row r="243" spans="1:4" ht="38.25">
      <c r="A243" s="83" t="s">
        <v>19528</v>
      </c>
      <c r="B243" s="83" t="s">
        <v>19529</v>
      </c>
      <c r="C243" s="83" t="s">
        <v>19530</v>
      </c>
      <c r="D243" s="111" t="s">
        <v>19531</v>
      </c>
    </row>
    <row r="244" spans="1:4" ht="51">
      <c r="A244" s="83" t="s">
        <v>19532</v>
      </c>
      <c r="B244" s="83" t="s">
        <v>19533</v>
      </c>
      <c r="C244" s="83" t="s">
        <v>19534</v>
      </c>
      <c r="D244" s="111" t="s">
        <v>19535</v>
      </c>
    </row>
    <row r="245" spans="1:4" ht="127.5">
      <c r="A245" s="83" t="s">
        <v>19536</v>
      </c>
      <c r="B245" s="83" t="s">
        <v>19537</v>
      </c>
      <c r="C245" s="83" t="s">
        <v>19538</v>
      </c>
      <c r="D245" s="111" t="s">
        <v>19539</v>
      </c>
    </row>
    <row r="246" spans="1:4" ht="357">
      <c r="A246" s="83" t="s">
        <v>19540</v>
      </c>
      <c r="B246" s="83" t="s">
        <v>19541</v>
      </c>
      <c r="C246" s="83" t="s">
        <v>19542</v>
      </c>
      <c r="D246" s="111" t="s">
        <v>19543</v>
      </c>
    </row>
    <row r="247" spans="1:4" ht="153">
      <c r="A247" s="83" t="s">
        <v>19544</v>
      </c>
      <c r="B247" s="83" t="s">
        <v>19545</v>
      </c>
      <c r="C247" s="83" t="s">
        <v>19546</v>
      </c>
      <c r="D247" s="111" t="s">
        <v>19547</v>
      </c>
    </row>
    <row r="248" spans="1:4" ht="153">
      <c r="A248" s="83" t="s">
        <v>19548</v>
      </c>
      <c r="B248" s="83" t="s">
        <v>19549</v>
      </c>
      <c r="C248" s="83" t="s">
        <v>19550</v>
      </c>
      <c r="D248" s="111" t="s">
        <v>19551</v>
      </c>
    </row>
    <row r="249" spans="1:4" ht="25.5">
      <c r="A249" s="83" t="s">
        <v>19552</v>
      </c>
      <c r="B249" s="83" t="s">
        <v>19553</v>
      </c>
      <c r="C249" s="83" t="s">
        <v>19554</v>
      </c>
      <c r="D249" s="111" t="s">
        <v>19555</v>
      </c>
    </row>
    <row r="250" spans="1:4" ht="25.5">
      <c r="A250" s="83" t="s">
        <v>19556</v>
      </c>
      <c r="B250" s="83" t="s">
        <v>19972</v>
      </c>
      <c r="C250" s="83" t="s">
        <v>19973</v>
      </c>
      <c r="D250" s="111" t="s">
        <v>19974</v>
      </c>
    </row>
    <row r="251" spans="1:4" ht="38.25">
      <c r="A251" s="83" t="s">
        <v>19557</v>
      </c>
      <c r="B251" s="83" t="s">
        <v>19558</v>
      </c>
      <c r="C251" s="83" t="s">
        <v>19559</v>
      </c>
      <c r="D251" s="111" t="s">
        <v>19560</v>
      </c>
    </row>
    <row r="252" spans="1:4" ht="51">
      <c r="A252" s="83" t="s">
        <v>19561</v>
      </c>
      <c r="B252" s="83" t="s">
        <v>19562</v>
      </c>
      <c r="C252" s="83" t="s">
        <v>19563</v>
      </c>
      <c r="D252" s="111" t="s">
        <v>19564</v>
      </c>
    </row>
    <row r="253" spans="1:4" ht="127.5">
      <c r="A253" s="83" t="s">
        <v>19565</v>
      </c>
      <c r="B253" s="83" t="s">
        <v>19975</v>
      </c>
      <c r="C253" s="83" t="s">
        <v>19976</v>
      </c>
      <c r="D253" s="111" t="s">
        <v>19977</v>
      </c>
    </row>
    <row r="254" spans="1:4" ht="178.5">
      <c r="A254" s="83" t="s">
        <v>19566</v>
      </c>
      <c r="B254" s="83" t="s">
        <v>19978</v>
      </c>
      <c r="C254" s="83" t="s">
        <v>19979</v>
      </c>
      <c r="D254" s="111" t="s">
        <v>19980</v>
      </c>
    </row>
    <row r="255" spans="1:4" ht="140.25">
      <c r="A255" s="83" t="s">
        <v>19567</v>
      </c>
      <c r="B255" s="83" t="s">
        <v>19568</v>
      </c>
      <c r="C255" s="83" t="s">
        <v>19569</v>
      </c>
      <c r="D255" s="111" t="s">
        <v>19570</v>
      </c>
    </row>
    <row r="256" spans="1:4" ht="165.75">
      <c r="A256" s="83" t="s">
        <v>19571</v>
      </c>
      <c r="B256" s="83" t="s">
        <v>19572</v>
      </c>
      <c r="C256" s="83" t="s">
        <v>19573</v>
      </c>
      <c r="D256" s="111" t="s">
        <v>19574</v>
      </c>
    </row>
    <row r="257" spans="1:4" ht="76.5">
      <c r="A257" s="83" t="s">
        <v>19575</v>
      </c>
      <c r="B257" s="83" t="s">
        <v>19981</v>
      </c>
      <c r="C257" s="83" t="s">
        <v>19982</v>
      </c>
      <c r="D257" s="111" t="s">
        <v>19983</v>
      </c>
    </row>
    <row r="258" spans="1:4" ht="51">
      <c r="A258" s="83" t="s">
        <v>19576</v>
      </c>
      <c r="B258" s="83" t="s">
        <v>19577</v>
      </c>
      <c r="C258" s="83" t="s">
        <v>19578</v>
      </c>
      <c r="D258" s="111" t="s">
        <v>19579</v>
      </c>
    </row>
    <row r="259" spans="1:4" ht="51">
      <c r="A259" s="83" t="s">
        <v>19580</v>
      </c>
      <c r="B259" s="83" t="s">
        <v>19581</v>
      </c>
      <c r="C259" s="83" t="s">
        <v>19582</v>
      </c>
      <c r="D259" s="111" t="s">
        <v>19583</v>
      </c>
    </row>
    <row r="260" spans="1:4" ht="63.75">
      <c r="A260" s="83" t="s">
        <v>19584</v>
      </c>
      <c r="B260" s="83" t="s">
        <v>19585</v>
      </c>
      <c r="C260" s="83" t="s">
        <v>19586</v>
      </c>
      <c r="D260" s="111" t="s">
        <v>19587</v>
      </c>
    </row>
    <row r="261" spans="1:4" ht="76.5">
      <c r="A261" s="83" t="s">
        <v>19588</v>
      </c>
      <c r="B261" s="83" t="s">
        <v>19589</v>
      </c>
      <c r="C261" s="83" t="s">
        <v>19590</v>
      </c>
      <c r="D261" s="111" t="s">
        <v>19591</v>
      </c>
    </row>
    <row r="262" spans="1:4" ht="63.75">
      <c r="A262" s="83" t="s">
        <v>19592</v>
      </c>
      <c r="B262" s="83" t="s">
        <v>19593</v>
      </c>
      <c r="C262" s="83" t="s">
        <v>19594</v>
      </c>
      <c r="D262" s="111" t="s">
        <v>19595</v>
      </c>
    </row>
    <row r="263" spans="1:4" ht="63.75">
      <c r="A263" s="83" t="s">
        <v>19596</v>
      </c>
      <c r="B263" s="83" t="s">
        <v>19597</v>
      </c>
      <c r="C263" s="83" t="s">
        <v>19598</v>
      </c>
      <c r="D263" s="111" t="s">
        <v>19599</v>
      </c>
    </row>
    <row r="264" spans="1:4" ht="63.75">
      <c r="A264" s="83" t="s">
        <v>19600</v>
      </c>
      <c r="B264" s="83" t="s">
        <v>19601</v>
      </c>
      <c r="C264" s="83" t="s">
        <v>19602</v>
      </c>
      <c r="D264" s="111" t="s">
        <v>19603</v>
      </c>
    </row>
    <row r="265" spans="1:4" ht="51">
      <c r="A265" s="83" t="s">
        <v>19604</v>
      </c>
      <c r="B265" s="83" t="s">
        <v>19605</v>
      </c>
      <c r="C265" s="83" t="s">
        <v>19606</v>
      </c>
      <c r="D265" s="111" t="s">
        <v>19607</v>
      </c>
    </row>
    <row r="266" spans="1:4" ht="25.5">
      <c r="A266" s="83" t="s">
        <v>19984</v>
      </c>
      <c r="B266" s="83" t="s">
        <v>17336</v>
      </c>
      <c r="C266" s="83" t="s">
        <v>16338</v>
      </c>
      <c r="D266" s="111" t="s">
        <v>19114</v>
      </c>
    </row>
    <row r="267" spans="1:4" ht="38.25">
      <c r="A267" s="83" t="s">
        <v>19985</v>
      </c>
      <c r="B267" s="83" t="s">
        <v>17338</v>
      </c>
      <c r="C267" s="83" t="s">
        <v>16339</v>
      </c>
      <c r="D267" s="111" t="s">
        <v>19116</v>
      </c>
    </row>
    <row r="268" spans="1:4" ht="38.25">
      <c r="A268" s="83" t="s">
        <v>19986</v>
      </c>
      <c r="B268" s="83" t="s">
        <v>19959</v>
      </c>
      <c r="C268" s="83" t="s">
        <v>16340</v>
      </c>
      <c r="D268" s="111" t="s">
        <v>19960</v>
      </c>
    </row>
    <row r="269" spans="1:4" ht="76.5">
      <c r="A269" s="83" t="s">
        <v>19987</v>
      </c>
      <c r="B269" s="83" t="s">
        <v>18430</v>
      </c>
      <c r="C269" s="83" t="s">
        <v>18431</v>
      </c>
      <c r="D269" s="111" t="s">
        <v>19988</v>
      </c>
    </row>
    <row r="270" spans="1:4" ht="102">
      <c r="A270" s="83" t="s">
        <v>19989</v>
      </c>
      <c r="B270" s="83" t="s">
        <v>19990</v>
      </c>
      <c r="C270" s="83" t="s">
        <v>19991</v>
      </c>
      <c r="D270" s="111" t="s">
        <v>19992</v>
      </c>
    </row>
    <row r="271" spans="1:4" ht="409.5">
      <c r="A271" s="83" t="s">
        <v>19993</v>
      </c>
      <c r="B271" s="83" t="s">
        <v>19994</v>
      </c>
      <c r="C271" s="83" t="s">
        <v>19995</v>
      </c>
      <c r="D271" s="111" t="s">
        <v>19996</v>
      </c>
    </row>
    <row r="272" spans="1:4" ht="267.75">
      <c r="A272" s="83" t="s">
        <v>19997</v>
      </c>
      <c r="B272" s="83" t="s">
        <v>19998</v>
      </c>
      <c r="C272" s="83" t="s">
        <v>19999</v>
      </c>
      <c r="D272" s="111" t="s">
        <v>20000</v>
      </c>
    </row>
    <row r="273" spans="1:4" ht="204">
      <c r="A273" s="83" t="s">
        <v>20001</v>
      </c>
      <c r="B273" s="83" t="s">
        <v>20002</v>
      </c>
      <c r="C273" s="83" t="s">
        <v>20003</v>
      </c>
      <c r="D273" s="111" t="s">
        <v>20004</v>
      </c>
    </row>
    <row r="274" spans="1:4" ht="25.5">
      <c r="A274" s="83" t="s">
        <v>20005</v>
      </c>
      <c r="B274" s="83" t="s">
        <v>20006</v>
      </c>
      <c r="C274" s="83" t="s">
        <v>20007</v>
      </c>
      <c r="D274" s="111" t="s">
        <v>20008</v>
      </c>
    </row>
    <row r="275" spans="1:4" ht="102">
      <c r="A275" s="83" t="s">
        <v>20009</v>
      </c>
      <c r="B275" s="83" t="s">
        <v>20010</v>
      </c>
      <c r="C275" s="83" t="s">
        <v>20011</v>
      </c>
      <c r="D275" s="111" t="s">
        <v>20012</v>
      </c>
    </row>
    <row r="276" spans="1:4" ht="102">
      <c r="A276" s="83" t="s">
        <v>20013</v>
      </c>
      <c r="B276" s="83" t="s">
        <v>20014</v>
      </c>
      <c r="C276" s="83" t="s">
        <v>20015</v>
      </c>
      <c r="D276" s="111" t="s">
        <v>20016</v>
      </c>
    </row>
    <row r="277" spans="1:4" ht="89.25">
      <c r="A277" s="83" t="s">
        <v>20017</v>
      </c>
      <c r="B277" s="83" t="s">
        <v>20018</v>
      </c>
      <c r="C277" s="83" t="s">
        <v>20019</v>
      </c>
      <c r="D277" s="111" t="s">
        <v>20020</v>
      </c>
    </row>
    <row r="278" spans="1:4" ht="229.5">
      <c r="A278" s="83" t="s">
        <v>20021</v>
      </c>
      <c r="B278" s="83" t="s">
        <v>20022</v>
      </c>
      <c r="C278" s="83" t="s">
        <v>20023</v>
      </c>
      <c r="D278" s="111" t="s">
        <v>20024</v>
      </c>
    </row>
    <row r="279" spans="1:4" ht="280.5">
      <c r="A279" s="83" t="s">
        <v>20025</v>
      </c>
      <c r="B279" s="83" t="s">
        <v>20026</v>
      </c>
      <c r="C279" s="83" t="s">
        <v>20027</v>
      </c>
      <c r="D279" s="111" t="s">
        <v>20028</v>
      </c>
    </row>
    <row r="280" spans="1:4" ht="51">
      <c r="A280" s="83" t="s">
        <v>20029</v>
      </c>
      <c r="B280" s="83" t="s">
        <v>20030</v>
      </c>
      <c r="C280" s="83" t="s">
        <v>20031</v>
      </c>
      <c r="D280" s="111" t="s">
        <v>20032</v>
      </c>
    </row>
    <row r="281" spans="1:4" ht="38.25">
      <c r="A281" s="83" t="s">
        <v>20033</v>
      </c>
      <c r="B281" s="83" t="s">
        <v>20034</v>
      </c>
      <c r="C281" s="83" t="s">
        <v>20035</v>
      </c>
      <c r="D281" s="111" t="s">
        <v>20036</v>
      </c>
    </row>
    <row r="282" spans="1:4" ht="127.5">
      <c r="A282" s="83" t="s">
        <v>20037</v>
      </c>
      <c r="B282" s="83" t="s">
        <v>20038</v>
      </c>
      <c r="C282" s="83" t="s">
        <v>20039</v>
      </c>
      <c r="D282" s="111" t="s">
        <v>20040</v>
      </c>
    </row>
    <row r="283" spans="1:4" ht="25.5">
      <c r="A283" s="83" t="s">
        <v>20041</v>
      </c>
      <c r="B283" s="83" t="s">
        <v>20042</v>
      </c>
      <c r="C283" s="83" t="s">
        <v>20043</v>
      </c>
      <c r="D283" s="111" t="s">
        <v>20044</v>
      </c>
    </row>
    <row r="284" spans="1:4" ht="51">
      <c r="A284" s="83" t="s">
        <v>20045</v>
      </c>
      <c r="B284" s="83" t="s">
        <v>20046</v>
      </c>
      <c r="C284" s="83" t="s">
        <v>20047</v>
      </c>
      <c r="D284" s="111" t="s">
        <v>20048</v>
      </c>
    </row>
    <row r="285" spans="1:4" ht="25.5">
      <c r="A285" s="83" t="s">
        <v>20049</v>
      </c>
      <c r="B285" s="83" t="s">
        <v>20050</v>
      </c>
      <c r="C285" s="83" t="s">
        <v>20051</v>
      </c>
      <c r="D285" s="111" t="s">
        <v>20052</v>
      </c>
    </row>
    <row r="286" spans="1:4" ht="25.5">
      <c r="A286" s="83" t="s">
        <v>20053</v>
      </c>
      <c r="B286" s="83" t="s">
        <v>20054</v>
      </c>
      <c r="C286" s="83" t="s">
        <v>20055</v>
      </c>
      <c r="D286" s="111" t="s">
        <v>20056</v>
      </c>
    </row>
    <row r="287" spans="1:4" ht="25.5">
      <c r="A287" s="83" t="s">
        <v>20057</v>
      </c>
      <c r="B287" s="83" t="s">
        <v>20058</v>
      </c>
      <c r="C287" s="83" t="s">
        <v>20059</v>
      </c>
      <c r="D287" s="111" t="s">
        <v>20060</v>
      </c>
    </row>
    <row r="288" spans="1:4" ht="89.25">
      <c r="A288" s="83" t="s">
        <v>20061</v>
      </c>
      <c r="B288" s="83" t="s">
        <v>20062</v>
      </c>
      <c r="C288" s="83" t="s">
        <v>20063</v>
      </c>
      <c r="D288" s="111" t="s">
        <v>20064</v>
      </c>
    </row>
    <row r="289" spans="1:4" ht="216.75">
      <c r="A289" s="83" t="s">
        <v>20065</v>
      </c>
      <c r="B289" s="83" t="s">
        <v>20066</v>
      </c>
      <c r="C289" s="83" t="s">
        <v>20067</v>
      </c>
      <c r="D289" s="111" t="s">
        <v>20068</v>
      </c>
    </row>
    <row r="290" spans="1:4" ht="76.5">
      <c r="A290" s="83" t="s">
        <v>20069</v>
      </c>
      <c r="B290" s="83" t="s">
        <v>20070</v>
      </c>
      <c r="C290" s="83" t="s">
        <v>20071</v>
      </c>
      <c r="D290" s="111" t="s">
        <v>20072</v>
      </c>
    </row>
    <row r="291" spans="1:4" ht="102">
      <c r="A291" s="83" t="s">
        <v>20073</v>
      </c>
      <c r="B291" s="83" t="s">
        <v>20074</v>
      </c>
      <c r="C291" s="83" t="s">
        <v>20075</v>
      </c>
      <c r="D291" s="111" t="s">
        <v>20076</v>
      </c>
    </row>
    <row r="292" spans="1:4" ht="229.5">
      <c r="A292" s="83" t="s">
        <v>20077</v>
      </c>
      <c r="B292" s="83" t="s">
        <v>20078</v>
      </c>
      <c r="C292" s="83" t="s">
        <v>20079</v>
      </c>
      <c r="D292" s="111" t="s">
        <v>20080</v>
      </c>
    </row>
    <row r="293" spans="1:4" ht="369.75">
      <c r="A293" s="83" t="s">
        <v>20081</v>
      </c>
      <c r="B293" s="83" t="s">
        <v>20082</v>
      </c>
      <c r="C293" s="83" t="s">
        <v>20083</v>
      </c>
      <c r="D293" s="111" t="s">
        <v>20084</v>
      </c>
    </row>
    <row r="294" spans="1:4" ht="409.5">
      <c r="A294" s="83" t="s">
        <v>20085</v>
      </c>
      <c r="B294" s="83" t="s">
        <v>20086</v>
      </c>
      <c r="C294" s="83" t="s">
        <v>20087</v>
      </c>
      <c r="D294" s="111" t="s">
        <v>20088</v>
      </c>
    </row>
    <row r="295" spans="1:4" ht="409.5">
      <c r="A295" s="83" t="s">
        <v>20089</v>
      </c>
      <c r="B295" s="83" t="s">
        <v>20090</v>
      </c>
      <c r="C295" s="83" t="s">
        <v>20091</v>
      </c>
      <c r="D295" s="111" t="s">
        <v>20092</v>
      </c>
    </row>
    <row r="296" spans="1:4" ht="409.5">
      <c r="A296" s="83" t="s">
        <v>20093</v>
      </c>
      <c r="B296" s="83" t="s">
        <v>20094</v>
      </c>
      <c r="C296" s="83" t="s">
        <v>20095</v>
      </c>
      <c r="D296" s="111" t="s">
        <v>20096</v>
      </c>
    </row>
    <row r="297" spans="1:4" ht="369.75">
      <c r="A297" s="83" t="s">
        <v>20097</v>
      </c>
      <c r="B297" s="83" t="s">
        <v>20098</v>
      </c>
      <c r="C297" s="83" t="s">
        <v>20099</v>
      </c>
      <c r="D297" s="111" t="s">
        <v>20100</v>
      </c>
    </row>
    <row r="298" spans="1:4" ht="25.5">
      <c r="A298" s="83" t="s">
        <v>20297</v>
      </c>
      <c r="B298" s="83" t="s">
        <v>20298</v>
      </c>
      <c r="C298" s="83" t="s">
        <v>18110</v>
      </c>
      <c r="D298" s="111" t="s">
        <v>20299</v>
      </c>
    </row>
    <row r="299" spans="1:4" ht="25.5">
      <c r="A299" s="83" t="s">
        <v>20300</v>
      </c>
      <c r="B299" s="83" t="s">
        <v>20301</v>
      </c>
      <c r="C299" s="83" t="s">
        <v>18240</v>
      </c>
      <c r="D299" s="111" t="s">
        <v>20302</v>
      </c>
    </row>
    <row r="300" spans="1:4" ht="165.75">
      <c r="A300" s="83" t="s">
        <v>20303</v>
      </c>
      <c r="B300" s="83" t="s">
        <v>20304</v>
      </c>
      <c r="C300" s="83" t="s">
        <v>20305</v>
      </c>
      <c r="D300" s="111" t="s">
        <v>20306</v>
      </c>
    </row>
    <row r="301" spans="1:4" ht="204">
      <c r="A301" s="83" t="s">
        <v>20307</v>
      </c>
      <c r="B301" s="83" t="s">
        <v>20308</v>
      </c>
      <c r="C301" s="83" t="s">
        <v>20309</v>
      </c>
      <c r="D301" s="111" t="s">
        <v>20310</v>
      </c>
    </row>
    <row r="302" spans="1:4" ht="293.25">
      <c r="A302" s="83" t="s">
        <v>20311</v>
      </c>
      <c r="B302" s="83" t="s">
        <v>20312</v>
      </c>
      <c r="C302" s="83" t="s">
        <v>20313</v>
      </c>
      <c r="D302" s="111" t="s">
        <v>20314</v>
      </c>
    </row>
    <row r="303" spans="1:4" ht="409.5">
      <c r="A303" s="83" t="s">
        <v>20315</v>
      </c>
      <c r="B303" s="83" t="s">
        <v>20316</v>
      </c>
      <c r="C303" s="83" t="s">
        <v>20317</v>
      </c>
      <c r="D303" s="111" t="s">
        <v>20318</v>
      </c>
    </row>
    <row r="304" spans="1:4" ht="318.75">
      <c r="A304" s="83" t="s">
        <v>20319</v>
      </c>
      <c r="B304" s="83" t="s">
        <v>20320</v>
      </c>
      <c r="C304" s="83" t="s">
        <v>20321</v>
      </c>
      <c r="D304" s="111" t="s">
        <v>20322</v>
      </c>
    </row>
    <row r="305" spans="1:4" ht="409.5">
      <c r="A305" s="83" t="s">
        <v>20323</v>
      </c>
      <c r="B305" s="83" t="s">
        <v>20324</v>
      </c>
      <c r="C305" s="83" t="s">
        <v>20325</v>
      </c>
      <c r="D305" s="111" t="s">
        <v>20326</v>
      </c>
    </row>
    <row r="306" spans="1:4" ht="140.25">
      <c r="A306" s="83" t="s">
        <v>20327</v>
      </c>
      <c r="B306" s="83" t="s">
        <v>20328</v>
      </c>
      <c r="C306" s="83" t="s">
        <v>20329</v>
      </c>
      <c r="D306" s="111" t="s">
        <v>20330</v>
      </c>
    </row>
    <row r="307" spans="1:4" ht="51">
      <c r="A307" s="83" t="s">
        <v>20331</v>
      </c>
      <c r="B307" s="83" t="s">
        <v>20332</v>
      </c>
      <c r="C307" s="83" t="s">
        <v>18191</v>
      </c>
      <c r="D307" s="111" t="s">
        <v>20333</v>
      </c>
    </row>
    <row r="308" spans="1:4" ht="76.5">
      <c r="A308" s="83" t="s">
        <v>20334</v>
      </c>
      <c r="B308" s="83" t="s">
        <v>20335</v>
      </c>
      <c r="C308" s="83" t="s">
        <v>20336</v>
      </c>
      <c r="D308" s="111" t="s">
        <v>20337</v>
      </c>
    </row>
    <row r="309" spans="1:4" ht="25.5">
      <c r="A309" s="83" t="s">
        <v>20338</v>
      </c>
      <c r="B309" s="83" t="s">
        <v>20339</v>
      </c>
      <c r="C309" s="83" t="s">
        <v>18087</v>
      </c>
      <c r="D309" s="111" t="s">
        <v>20340</v>
      </c>
    </row>
    <row r="310" spans="1:4" ht="38.25">
      <c r="A310" s="83" t="s">
        <v>20341</v>
      </c>
      <c r="B310" s="83" t="s">
        <v>19558</v>
      </c>
      <c r="C310" s="83" t="s">
        <v>19559</v>
      </c>
      <c r="D310" s="111" t="s">
        <v>19560</v>
      </c>
    </row>
    <row r="311" spans="1:4" ht="38.25">
      <c r="A311" s="83" t="s">
        <v>20342</v>
      </c>
      <c r="B311" s="83" t="s">
        <v>20343</v>
      </c>
      <c r="C311" s="83" t="s">
        <v>20344</v>
      </c>
      <c r="D311" s="111" t="s">
        <v>20345</v>
      </c>
    </row>
    <row r="312" spans="1:4" ht="25.5">
      <c r="A312" s="83" t="s">
        <v>20346</v>
      </c>
      <c r="B312" s="83" t="s">
        <v>20347</v>
      </c>
      <c r="C312" s="83" t="s">
        <v>20347</v>
      </c>
      <c r="D312" s="111" t="s">
        <v>20348</v>
      </c>
    </row>
    <row r="313" spans="1:4" ht="127.5">
      <c r="A313" s="83" t="s">
        <v>20349</v>
      </c>
      <c r="B313" s="83" t="s">
        <v>20350</v>
      </c>
      <c r="C313" s="83" t="s">
        <v>20351</v>
      </c>
      <c r="D313" s="111" t="s">
        <v>20352</v>
      </c>
    </row>
    <row r="314" spans="1:4" ht="102">
      <c r="A314" s="83" t="s">
        <v>20353</v>
      </c>
      <c r="B314" s="83" t="s">
        <v>20354</v>
      </c>
      <c r="C314" s="83" t="s">
        <v>20355</v>
      </c>
      <c r="D314" s="111" t="s">
        <v>20356</v>
      </c>
    </row>
    <row r="315" spans="1:4" ht="153">
      <c r="A315" s="83" t="s">
        <v>20357</v>
      </c>
      <c r="B315" s="83" t="s">
        <v>20358</v>
      </c>
      <c r="C315" s="83" t="s">
        <v>20359</v>
      </c>
      <c r="D315" s="111" t="s">
        <v>20360</v>
      </c>
    </row>
    <row r="316" spans="1:4" ht="229.5">
      <c r="A316" s="83" t="s">
        <v>20361</v>
      </c>
      <c r="B316" s="83" t="s">
        <v>20362</v>
      </c>
      <c r="C316" s="83" t="s">
        <v>20363</v>
      </c>
      <c r="D316" s="111" t="s">
        <v>20364</v>
      </c>
    </row>
    <row r="317" spans="1:4" ht="153">
      <c r="A317" s="83" t="s">
        <v>20365</v>
      </c>
      <c r="B317" s="83" t="s">
        <v>20366</v>
      </c>
      <c r="C317" s="83" t="s">
        <v>20367</v>
      </c>
      <c r="D317" s="111" t="s">
        <v>20368</v>
      </c>
    </row>
    <row r="318" spans="1:4" ht="216.75">
      <c r="A318" s="83" t="s">
        <v>20369</v>
      </c>
      <c r="B318" s="83" t="s">
        <v>20370</v>
      </c>
      <c r="C318" s="83" t="s">
        <v>20371</v>
      </c>
      <c r="D318" s="111" t="s">
        <v>20372</v>
      </c>
    </row>
    <row r="319" spans="1:4" ht="306">
      <c r="A319" s="83" t="s">
        <v>20373</v>
      </c>
      <c r="B319" s="83" t="s">
        <v>20374</v>
      </c>
      <c r="C319" s="83" t="s">
        <v>20375</v>
      </c>
      <c r="D319" s="111" t="s">
        <v>20376</v>
      </c>
    </row>
    <row r="320" spans="1:4" ht="153">
      <c r="A320" s="83" t="s">
        <v>20377</v>
      </c>
      <c r="B320" s="83" t="s">
        <v>20378</v>
      </c>
      <c r="C320" s="83" t="s">
        <v>20379</v>
      </c>
      <c r="D320" s="111" t="s">
        <v>20380</v>
      </c>
    </row>
    <row r="321" spans="1:4" ht="25.5">
      <c r="A321" s="83" t="s">
        <v>20381</v>
      </c>
      <c r="B321" s="83" t="s">
        <v>20339</v>
      </c>
      <c r="C321" s="83" t="s">
        <v>20382</v>
      </c>
      <c r="D321" s="111" t="s">
        <v>20383</v>
      </c>
    </row>
    <row r="322" spans="1:4" ht="51">
      <c r="A322" s="83" t="s">
        <v>20384</v>
      </c>
      <c r="B322" s="83" t="s">
        <v>20385</v>
      </c>
      <c r="C322" s="83" t="s">
        <v>20386</v>
      </c>
      <c r="D322" s="111" t="s">
        <v>20387</v>
      </c>
    </row>
    <row r="323" spans="1:4" ht="25.5">
      <c r="A323" s="83" t="s">
        <v>20388</v>
      </c>
      <c r="B323" s="83" t="s">
        <v>20389</v>
      </c>
      <c r="C323" s="83" t="s">
        <v>20390</v>
      </c>
      <c r="D323" s="111" t="s">
        <v>20391</v>
      </c>
    </row>
    <row r="324" spans="1:4" ht="51">
      <c r="A324" s="83" t="s">
        <v>20392</v>
      </c>
      <c r="B324" s="83" t="s">
        <v>20393</v>
      </c>
      <c r="C324" s="83" t="s">
        <v>20394</v>
      </c>
      <c r="D324" s="111" t="s">
        <v>20395</v>
      </c>
    </row>
    <row r="325" spans="1:4" ht="76.5">
      <c r="A325" s="83" t="s">
        <v>20396</v>
      </c>
      <c r="B325" s="83" t="s">
        <v>20397</v>
      </c>
      <c r="C325" s="83" t="s">
        <v>18242</v>
      </c>
      <c r="D325" s="111" t="s">
        <v>20398</v>
      </c>
    </row>
    <row r="326" spans="1:4" ht="76.5">
      <c r="A326" s="83" t="s">
        <v>20399</v>
      </c>
      <c r="B326" s="83" t="s">
        <v>20400</v>
      </c>
      <c r="C326" s="83" t="s">
        <v>18247</v>
      </c>
      <c r="D326" s="111" t="s">
        <v>20401</v>
      </c>
    </row>
    <row r="327" spans="1:4" ht="76.5">
      <c r="A327" s="83" t="s">
        <v>20402</v>
      </c>
      <c r="B327" s="83" t="s">
        <v>20403</v>
      </c>
      <c r="C327" s="83" t="s">
        <v>20404</v>
      </c>
      <c r="D327" s="111" t="s">
        <v>20405</v>
      </c>
    </row>
    <row r="328" spans="1:4" ht="63.75">
      <c r="A328" s="83" t="s">
        <v>20406</v>
      </c>
      <c r="B328" s="83" t="s">
        <v>20407</v>
      </c>
      <c r="C328" s="83" t="s">
        <v>20408</v>
      </c>
      <c r="D328" s="111" t="s">
        <v>20409</v>
      </c>
    </row>
    <row r="329" spans="1:4" ht="51">
      <c r="A329" s="83" t="s">
        <v>20410</v>
      </c>
      <c r="B329" s="83" t="s">
        <v>20411</v>
      </c>
      <c r="C329" s="83" t="s">
        <v>20412</v>
      </c>
      <c r="D329" s="111" t="s">
        <v>20413</v>
      </c>
    </row>
    <row r="330" spans="1:4" ht="153">
      <c r="A330" s="83" t="s">
        <v>20414</v>
      </c>
      <c r="B330" s="83" t="s">
        <v>20415</v>
      </c>
      <c r="C330" s="83" t="s">
        <v>20416</v>
      </c>
      <c r="D330" s="111" t="s">
        <v>20417</v>
      </c>
    </row>
    <row r="331" spans="1:4" ht="114.75">
      <c r="A331" s="83" t="s">
        <v>20418</v>
      </c>
      <c r="B331" s="83" t="s">
        <v>20419</v>
      </c>
      <c r="C331" s="83" t="s">
        <v>20420</v>
      </c>
      <c r="D331" s="111" t="s">
        <v>20421</v>
      </c>
    </row>
    <row r="332" spans="1:4" ht="102">
      <c r="A332" s="83" t="s">
        <v>20422</v>
      </c>
      <c r="B332" s="83" t="s">
        <v>20423</v>
      </c>
      <c r="C332" s="83" t="s">
        <v>20424</v>
      </c>
      <c r="D332" s="111" t="s">
        <v>20425</v>
      </c>
    </row>
    <row r="333" spans="1:4" ht="102">
      <c r="A333" s="83" t="s">
        <v>20426</v>
      </c>
      <c r="B333" s="83" t="s">
        <v>20427</v>
      </c>
      <c r="C333" s="83" t="s">
        <v>20428</v>
      </c>
      <c r="D333" s="111" t="s">
        <v>20429</v>
      </c>
    </row>
    <row r="334" spans="1:4" ht="76.5">
      <c r="A334" s="83" t="s">
        <v>20430</v>
      </c>
      <c r="B334" s="83" t="s">
        <v>20431</v>
      </c>
      <c r="C334" s="83" t="s">
        <v>18494</v>
      </c>
      <c r="D334" s="111" t="s">
        <v>20432</v>
      </c>
    </row>
    <row r="335" spans="1:4" ht="51">
      <c r="A335" s="83" t="s">
        <v>20433</v>
      </c>
      <c r="B335" s="83" t="s">
        <v>20434</v>
      </c>
      <c r="C335" s="83" t="s">
        <v>20435</v>
      </c>
      <c r="D335" s="111" t="s">
        <v>20436</v>
      </c>
    </row>
    <row r="336" spans="1:4" ht="153">
      <c r="A336" s="83" t="s">
        <v>20437</v>
      </c>
      <c r="B336" s="83" t="s">
        <v>20438</v>
      </c>
      <c r="C336" s="83" t="s">
        <v>20439</v>
      </c>
      <c r="D336" s="111" t="s">
        <v>20440</v>
      </c>
    </row>
    <row r="337" spans="1:4" ht="153">
      <c r="A337" s="83" t="s">
        <v>20441</v>
      </c>
      <c r="B337" s="83" t="s">
        <v>20442</v>
      </c>
      <c r="C337" s="83" t="s">
        <v>20443</v>
      </c>
      <c r="D337" s="111" t="s">
        <v>20444</v>
      </c>
    </row>
    <row r="338" spans="1:4" ht="409.5">
      <c r="A338" s="83" t="s">
        <v>20445</v>
      </c>
      <c r="B338" s="83" t="s">
        <v>20446</v>
      </c>
      <c r="C338" s="83" t="s">
        <v>20447</v>
      </c>
      <c r="D338" s="111" t="s">
        <v>20448</v>
      </c>
    </row>
    <row r="339" spans="1:4" ht="344.25">
      <c r="A339" s="83" t="s">
        <v>20449</v>
      </c>
      <c r="B339" s="83" t="s">
        <v>20450</v>
      </c>
      <c r="C339" s="83" t="s">
        <v>20451</v>
      </c>
      <c r="D339" s="111" t="s">
        <v>20452</v>
      </c>
    </row>
    <row r="340" spans="1:4" ht="102">
      <c r="A340" s="83" t="s">
        <v>20453</v>
      </c>
      <c r="B340" s="83" t="s">
        <v>20454</v>
      </c>
      <c r="C340" s="83" t="s">
        <v>20455</v>
      </c>
      <c r="D340" s="111" t="s">
        <v>20456</v>
      </c>
    </row>
    <row r="341" spans="1:4" ht="409.5">
      <c r="A341" s="83" t="s">
        <v>20711</v>
      </c>
      <c r="B341" s="111" t="s">
        <v>20712</v>
      </c>
      <c r="C341" s="111" t="s">
        <v>20713</v>
      </c>
      <c r="D341" s="111" t="s">
        <v>20714</v>
      </c>
    </row>
    <row r="342" spans="1:4" ht="38.25">
      <c r="A342" s="83" t="s">
        <v>21032</v>
      </c>
      <c r="B342" s="83" t="s">
        <v>21033</v>
      </c>
      <c r="C342" s="83" t="s">
        <v>18266</v>
      </c>
      <c r="D342" s="111" t="s">
        <v>21034</v>
      </c>
    </row>
    <row r="343" spans="1:4" ht="38.25">
      <c r="A343" s="83" t="s">
        <v>21035</v>
      </c>
      <c r="B343" s="83" t="s">
        <v>21036</v>
      </c>
      <c r="C343" s="83" t="s">
        <v>21037</v>
      </c>
      <c r="D343" s="111" t="s">
        <v>21038</v>
      </c>
    </row>
    <row r="344" spans="1:4" ht="25.5">
      <c r="A344" s="83" t="s">
        <v>21039</v>
      </c>
      <c r="B344" s="83" t="s">
        <v>21040</v>
      </c>
      <c r="C344" s="83" t="s">
        <v>21041</v>
      </c>
      <c r="D344" s="111" t="s">
        <v>21042</v>
      </c>
    </row>
    <row r="345" spans="1:4" ht="293.25">
      <c r="A345" s="83" t="s">
        <v>21043</v>
      </c>
      <c r="B345" s="83" t="s">
        <v>21044</v>
      </c>
      <c r="C345" s="83" t="s">
        <v>21045</v>
      </c>
      <c r="D345" s="111" t="s">
        <v>21046</v>
      </c>
    </row>
    <row r="346" spans="1:4" ht="127.5">
      <c r="A346" s="83" t="s">
        <v>21047</v>
      </c>
      <c r="B346" s="83" t="s">
        <v>21048</v>
      </c>
      <c r="C346" s="83" t="s">
        <v>21049</v>
      </c>
      <c r="D346" s="111" t="s">
        <v>21050</v>
      </c>
    </row>
    <row r="347" spans="1:4" ht="63.75">
      <c r="A347" s="83" t="s">
        <v>21051</v>
      </c>
      <c r="B347" s="83" t="s">
        <v>21052</v>
      </c>
      <c r="C347" s="83" t="s">
        <v>21053</v>
      </c>
      <c r="D347" s="111" t="s">
        <v>21054</v>
      </c>
    </row>
    <row r="348" spans="1:4" ht="409.5">
      <c r="A348" s="83" t="s">
        <v>21055</v>
      </c>
      <c r="B348" s="83" t="s">
        <v>21056</v>
      </c>
      <c r="C348" s="83" t="s">
        <v>21057</v>
      </c>
      <c r="D348" s="111" t="s">
        <v>21058</v>
      </c>
    </row>
    <row r="349" spans="1:4" ht="409.5">
      <c r="A349" s="83" t="s">
        <v>21059</v>
      </c>
      <c r="B349" s="83" t="s">
        <v>21060</v>
      </c>
      <c r="C349" s="83" t="s">
        <v>21061</v>
      </c>
      <c r="D349" s="111" t="s">
        <v>21062</v>
      </c>
    </row>
    <row r="350" spans="1:4" ht="382.5">
      <c r="A350" s="83" t="s">
        <v>21063</v>
      </c>
      <c r="B350" s="83" t="s">
        <v>21064</v>
      </c>
      <c r="C350" s="83" t="s">
        <v>21065</v>
      </c>
      <c r="D350" s="111" t="s">
        <v>21066</v>
      </c>
    </row>
    <row r="351" spans="1:4" ht="409.5">
      <c r="A351" s="83" t="s">
        <v>21067</v>
      </c>
      <c r="B351" s="83" t="s">
        <v>21068</v>
      </c>
      <c r="C351" s="83" t="s">
        <v>21069</v>
      </c>
      <c r="D351" s="111" t="s">
        <v>21070</v>
      </c>
    </row>
    <row r="352" spans="1:4" ht="38.25">
      <c r="A352" s="83" t="s">
        <v>21071</v>
      </c>
      <c r="B352" s="83" t="s">
        <v>21072</v>
      </c>
      <c r="C352" s="83" t="s">
        <v>21073</v>
      </c>
      <c r="D352" s="111" t="s">
        <v>21074</v>
      </c>
    </row>
    <row r="353" spans="1:4" ht="25.5">
      <c r="A353" s="83" t="s">
        <v>21075</v>
      </c>
      <c r="B353" s="83" t="s">
        <v>21076</v>
      </c>
      <c r="C353" s="83" t="s">
        <v>21077</v>
      </c>
      <c r="D353" s="111" t="s">
        <v>21078</v>
      </c>
    </row>
    <row r="354" spans="1:4" ht="63.75">
      <c r="A354" s="83" t="s">
        <v>21079</v>
      </c>
      <c r="B354" s="83" t="s">
        <v>21080</v>
      </c>
      <c r="C354" s="83" t="s">
        <v>21081</v>
      </c>
      <c r="D354" s="111" t="s">
        <v>21082</v>
      </c>
    </row>
    <row r="355" spans="1:4" ht="51">
      <c r="A355" s="83" t="s">
        <v>21083</v>
      </c>
      <c r="B355" s="83" t="s">
        <v>21084</v>
      </c>
      <c r="C355" s="83" t="s">
        <v>21085</v>
      </c>
      <c r="D355" s="111" t="s">
        <v>21086</v>
      </c>
    </row>
    <row r="356" spans="1:4" ht="63.75">
      <c r="A356" s="83" t="s">
        <v>21087</v>
      </c>
      <c r="B356" s="83" t="s">
        <v>21088</v>
      </c>
      <c r="C356" s="83" t="s">
        <v>21089</v>
      </c>
      <c r="D356" s="111" t="s">
        <v>21090</v>
      </c>
    </row>
    <row r="357" spans="1:4" ht="51">
      <c r="A357" s="83" t="s">
        <v>21091</v>
      </c>
      <c r="B357" s="83" t="s">
        <v>21092</v>
      </c>
      <c r="C357" s="83" t="s">
        <v>21093</v>
      </c>
      <c r="D357" s="111" t="s">
        <v>21094</v>
      </c>
    </row>
    <row r="358" spans="1:4" ht="76.5">
      <c r="A358" s="83" t="s">
        <v>21095</v>
      </c>
      <c r="B358" s="83" t="s">
        <v>21096</v>
      </c>
      <c r="C358" s="83" t="s">
        <v>21097</v>
      </c>
      <c r="D358" s="111" t="s">
        <v>21098</v>
      </c>
    </row>
    <row r="359" spans="1:4" ht="51">
      <c r="A359" s="83" t="s">
        <v>21099</v>
      </c>
      <c r="B359" s="83" t="s">
        <v>21100</v>
      </c>
      <c r="C359" s="83" t="s">
        <v>21101</v>
      </c>
      <c r="D359" s="111" t="s">
        <v>21102</v>
      </c>
    </row>
    <row r="360" spans="1:4" ht="63.75">
      <c r="A360" s="83" t="s">
        <v>21103</v>
      </c>
      <c r="B360" s="83" t="s">
        <v>21104</v>
      </c>
      <c r="C360" s="83" t="s">
        <v>21105</v>
      </c>
      <c r="D360" s="111" t="s">
        <v>21106</v>
      </c>
    </row>
    <row r="361" spans="1:4" ht="25.5">
      <c r="A361" s="83" t="s">
        <v>21107</v>
      </c>
      <c r="B361" s="83" t="s">
        <v>19466</v>
      </c>
      <c r="C361" s="83" t="s">
        <v>19467</v>
      </c>
      <c r="D361" s="111" t="s">
        <v>19468</v>
      </c>
    </row>
    <row r="362" spans="1:4" ht="178.5">
      <c r="A362" s="83" t="s">
        <v>21108</v>
      </c>
      <c r="B362" s="83" t="s">
        <v>21109</v>
      </c>
      <c r="C362" s="83" t="s">
        <v>21110</v>
      </c>
      <c r="D362" s="111" t="s">
        <v>21111</v>
      </c>
    </row>
    <row r="363" spans="1:4" ht="76.5">
      <c r="A363" s="83" t="s">
        <v>21112</v>
      </c>
      <c r="B363" s="83" t="s">
        <v>21113</v>
      </c>
      <c r="C363" s="83" t="s">
        <v>21114</v>
      </c>
      <c r="D363" s="111" t="s">
        <v>21115</v>
      </c>
    </row>
    <row r="364" spans="1:4" ht="204">
      <c r="A364" s="83" t="s">
        <v>21116</v>
      </c>
      <c r="B364" s="83" t="s">
        <v>21117</v>
      </c>
      <c r="C364" s="83" t="s">
        <v>21118</v>
      </c>
      <c r="D364" s="111" t="s">
        <v>21119</v>
      </c>
    </row>
    <row r="365" spans="1:4" ht="153">
      <c r="A365" s="83" t="s">
        <v>21120</v>
      </c>
      <c r="B365" s="83" t="s">
        <v>21121</v>
      </c>
      <c r="C365" s="83" t="s">
        <v>21122</v>
      </c>
      <c r="D365" s="111" t="s">
        <v>21123</v>
      </c>
    </row>
    <row r="366" spans="1:4" ht="204">
      <c r="A366" s="83" t="s">
        <v>21124</v>
      </c>
      <c r="B366" s="83" t="s">
        <v>21125</v>
      </c>
      <c r="C366" s="83" t="s">
        <v>21126</v>
      </c>
      <c r="D366" s="111" t="s">
        <v>21127</v>
      </c>
    </row>
    <row r="367" spans="1:4" ht="409.5">
      <c r="A367" s="83" t="s">
        <v>21128</v>
      </c>
      <c r="B367" s="83" t="s">
        <v>21129</v>
      </c>
      <c r="C367" s="83" t="s">
        <v>21130</v>
      </c>
      <c r="D367" s="111" t="s">
        <v>21131</v>
      </c>
    </row>
    <row r="368" spans="1:4" ht="409.5">
      <c r="A368" s="83" t="s">
        <v>21132</v>
      </c>
      <c r="B368" s="83" t="s">
        <v>21133</v>
      </c>
      <c r="C368" s="83" t="s">
        <v>21134</v>
      </c>
      <c r="D368" s="111" t="s">
        <v>21135</v>
      </c>
    </row>
    <row r="369" spans="1:4" ht="25.5">
      <c r="A369" s="83" t="s">
        <v>21136</v>
      </c>
      <c r="B369" s="83" t="s">
        <v>20054</v>
      </c>
      <c r="C369" s="83" t="s">
        <v>17966</v>
      </c>
      <c r="D369" s="111" t="s">
        <v>21137</v>
      </c>
    </row>
    <row r="370" spans="1:4" ht="38.25">
      <c r="A370" s="83" t="s">
        <v>21138</v>
      </c>
      <c r="B370" s="83" t="s">
        <v>21139</v>
      </c>
      <c r="C370" s="83" t="s">
        <v>21140</v>
      </c>
      <c r="D370" s="111" t="s">
        <v>21141</v>
      </c>
    </row>
    <row r="371" spans="1:4" ht="38.25">
      <c r="A371" s="83" t="s">
        <v>21142</v>
      </c>
      <c r="B371" s="83" t="s">
        <v>17266</v>
      </c>
      <c r="C371" s="83" t="s">
        <v>17266</v>
      </c>
      <c r="D371" s="111" t="s">
        <v>19134</v>
      </c>
    </row>
    <row r="372" spans="1:4" ht="25.5">
      <c r="A372" s="83" t="s">
        <v>21143</v>
      </c>
      <c r="B372" s="83" t="s">
        <v>19466</v>
      </c>
      <c r="C372" s="83" t="s">
        <v>19467</v>
      </c>
      <c r="D372" s="111" t="s">
        <v>19468</v>
      </c>
    </row>
    <row r="373" spans="1:4" ht="38.25">
      <c r="A373" s="83" t="s">
        <v>21144</v>
      </c>
      <c r="B373" s="83" t="s">
        <v>21145</v>
      </c>
      <c r="C373" s="83" t="s">
        <v>21146</v>
      </c>
      <c r="D373" s="111" t="s">
        <v>21147</v>
      </c>
    </row>
    <row r="374" spans="1:4" ht="25.5">
      <c r="A374" s="83" t="s">
        <v>21148</v>
      </c>
      <c r="B374" s="83" t="s">
        <v>21149</v>
      </c>
      <c r="C374" s="83" t="s">
        <v>21150</v>
      </c>
      <c r="D374" s="111" t="s">
        <v>21151</v>
      </c>
    </row>
    <row r="375" spans="1:4" ht="25.5">
      <c r="A375" s="83" t="s">
        <v>21152</v>
      </c>
      <c r="B375" s="83" t="s">
        <v>19494</v>
      </c>
      <c r="C375" s="83" t="s">
        <v>21153</v>
      </c>
      <c r="D375" s="111" t="s">
        <v>21154</v>
      </c>
    </row>
    <row r="376" spans="1:4" ht="25.5">
      <c r="A376" s="83" t="s">
        <v>21155</v>
      </c>
      <c r="B376" s="83" t="s">
        <v>21156</v>
      </c>
      <c r="C376" s="83" t="s">
        <v>21157</v>
      </c>
      <c r="D376" s="111" t="s">
        <v>21158</v>
      </c>
    </row>
    <row r="377" spans="1:4" ht="25.5">
      <c r="A377" s="83" t="s">
        <v>21159</v>
      </c>
      <c r="B377" s="83" t="s">
        <v>19304</v>
      </c>
      <c r="C377" s="83" t="s">
        <v>19305</v>
      </c>
      <c r="D377" s="111" t="s">
        <v>19306</v>
      </c>
    </row>
    <row r="378" spans="1:4" ht="89.25">
      <c r="A378" s="83" t="s">
        <v>21160</v>
      </c>
      <c r="B378" s="83" t="s">
        <v>21161</v>
      </c>
      <c r="C378" s="83" t="s">
        <v>21162</v>
      </c>
      <c r="D378" s="111" t="s">
        <v>21163</v>
      </c>
    </row>
    <row r="379" spans="1:4" ht="140.25">
      <c r="A379" s="83" t="s">
        <v>21164</v>
      </c>
      <c r="B379" s="83" t="s">
        <v>21165</v>
      </c>
      <c r="C379" s="83" t="s">
        <v>21166</v>
      </c>
      <c r="D379" s="111" t="s">
        <v>21167</v>
      </c>
    </row>
    <row r="380" spans="1:4" ht="178.5">
      <c r="A380" s="83" t="s">
        <v>21168</v>
      </c>
      <c r="B380" s="83" t="s">
        <v>21169</v>
      </c>
      <c r="C380" s="83" t="s">
        <v>21170</v>
      </c>
      <c r="D380" s="111" t="s">
        <v>21171</v>
      </c>
    </row>
    <row r="381" spans="1:4" ht="102">
      <c r="A381" s="83" t="s">
        <v>21172</v>
      </c>
      <c r="B381" s="83" t="s">
        <v>21173</v>
      </c>
      <c r="C381" s="83" t="s">
        <v>21174</v>
      </c>
      <c r="D381" s="111" t="s">
        <v>21175</v>
      </c>
    </row>
    <row r="382" spans="1:4" ht="409.5">
      <c r="A382" s="83" t="s">
        <v>21176</v>
      </c>
      <c r="B382" s="83" t="s">
        <v>21177</v>
      </c>
      <c r="C382" s="83" t="s">
        <v>21178</v>
      </c>
      <c r="D382" s="111" t="s">
        <v>21179</v>
      </c>
    </row>
    <row r="383" spans="1:4" ht="382.5">
      <c r="A383" s="83" t="s">
        <v>21180</v>
      </c>
      <c r="B383" s="83" t="s">
        <v>21181</v>
      </c>
      <c r="C383" s="83" t="s">
        <v>21182</v>
      </c>
      <c r="D383" s="111" t="s">
        <v>21183</v>
      </c>
    </row>
    <row r="384" spans="1:4" ht="409.5">
      <c r="A384" s="83" t="s">
        <v>21184</v>
      </c>
      <c r="B384" s="83" t="s">
        <v>21185</v>
      </c>
      <c r="C384" s="83" t="s">
        <v>21186</v>
      </c>
      <c r="D384" s="111" t="s">
        <v>21187</v>
      </c>
    </row>
    <row r="385" spans="1:4" ht="382.5">
      <c r="A385" s="83" t="s">
        <v>21188</v>
      </c>
      <c r="B385" s="111" t="s">
        <v>21189</v>
      </c>
      <c r="C385" s="111" t="s">
        <v>21190</v>
      </c>
      <c r="D385" s="111" t="s">
        <v>21191</v>
      </c>
    </row>
    <row r="386" spans="1:4" ht="409.5">
      <c r="A386" s="83" t="s">
        <v>21192</v>
      </c>
      <c r="B386" s="111" t="s">
        <v>21193</v>
      </c>
      <c r="C386" s="111" t="s">
        <v>21194</v>
      </c>
      <c r="D386" s="111" t="s">
        <v>21195</v>
      </c>
    </row>
    <row r="387" spans="1:4" ht="369.75">
      <c r="A387" s="83" t="s">
        <v>21196</v>
      </c>
      <c r="B387" s="83" t="s">
        <v>21197</v>
      </c>
      <c r="C387" s="83" t="s">
        <v>21198</v>
      </c>
      <c r="D387" s="111" t="s">
        <v>21199</v>
      </c>
    </row>
    <row r="388" spans="1:4" ht="409.5">
      <c r="A388" s="83" t="s">
        <v>21200</v>
      </c>
      <c r="B388" s="111" t="s">
        <v>21201</v>
      </c>
      <c r="C388" s="111" t="s">
        <v>21202</v>
      </c>
      <c r="D388" s="111" t="s">
        <v>21203</v>
      </c>
    </row>
    <row r="389" spans="1:4" ht="280.5">
      <c r="A389" s="83" t="s">
        <v>21204</v>
      </c>
      <c r="B389" s="83" t="s">
        <v>21205</v>
      </c>
      <c r="C389" s="83" t="s">
        <v>21206</v>
      </c>
      <c r="D389" s="111" t="s">
        <v>21207</v>
      </c>
    </row>
    <row r="390" spans="1:4" ht="102">
      <c r="A390" s="83" t="s">
        <v>21208</v>
      </c>
      <c r="B390" s="83" t="s">
        <v>21209</v>
      </c>
      <c r="C390" s="83" t="s">
        <v>21210</v>
      </c>
      <c r="D390" s="111" t="s">
        <v>21211</v>
      </c>
    </row>
    <row r="391" spans="1:4" ht="191.25">
      <c r="A391" s="83" t="s">
        <v>21212</v>
      </c>
      <c r="B391" s="83" t="s">
        <v>21213</v>
      </c>
      <c r="C391" s="83" t="s">
        <v>21214</v>
      </c>
      <c r="D391" s="111" t="s">
        <v>21215</v>
      </c>
    </row>
    <row r="392" spans="1:4" ht="127.5">
      <c r="A392" s="83" t="s">
        <v>21216</v>
      </c>
      <c r="B392" s="83" t="s">
        <v>21217</v>
      </c>
      <c r="C392" s="83" t="s">
        <v>21218</v>
      </c>
      <c r="D392" s="111" t="s">
        <v>21219</v>
      </c>
    </row>
    <row r="393" spans="1:4" ht="409.5">
      <c r="A393" s="83" t="s">
        <v>21220</v>
      </c>
      <c r="B393" s="83" t="s">
        <v>21221</v>
      </c>
      <c r="C393" s="83" t="s">
        <v>21222</v>
      </c>
      <c r="D393" s="111" t="s">
        <v>21223</v>
      </c>
    </row>
    <row r="394" spans="1:4" ht="409.5">
      <c r="A394" s="83" t="s">
        <v>21224</v>
      </c>
      <c r="B394" s="83" t="s">
        <v>21225</v>
      </c>
      <c r="C394" s="83" t="s">
        <v>21226</v>
      </c>
      <c r="D394" s="111" t="s">
        <v>21227</v>
      </c>
    </row>
    <row r="395" spans="1:4" ht="51">
      <c r="A395" s="83" t="s">
        <v>21228</v>
      </c>
      <c r="B395" s="83" t="s">
        <v>21229</v>
      </c>
      <c r="C395" s="83" t="s">
        <v>21230</v>
      </c>
      <c r="D395" s="111" t="s">
        <v>21231</v>
      </c>
    </row>
    <row r="396" spans="1:4" ht="38.25">
      <c r="A396" s="83" t="s">
        <v>21232</v>
      </c>
      <c r="B396" s="83" t="s">
        <v>21233</v>
      </c>
      <c r="C396" s="83" t="s">
        <v>21234</v>
      </c>
      <c r="D396" s="111" t="s">
        <v>21235</v>
      </c>
    </row>
    <row r="397" spans="1:4" ht="25.5">
      <c r="A397" s="83" t="s">
        <v>21236</v>
      </c>
      <c r="B397" s="83" t="s">
        <v>21237</v>
      </c>
      <c r="C397" s="83" t="s">
        <v>21238</v>
      </c>
      <c r="D397" s="111" t="s">
        <v>21239</v>
      </c>
    </row>
    <row r="398" spans="1:4" ht="25.5">
      <c r="A398" s="83" t="s">
        <v>21240</v>
      </c>
      <c r="B398" s="83" t="s">
        <v>21241</v>
      </c>
      <c r="C398" s="83" t="s">
        <v>21242</v>
      </c>
      <c r="D398" s="111" t="s">
        <v>21243</v>
      </c>
    </row>
    <row r="399" spans="1:4" ht="51">
      <c r="A399" s="83" t="s">
        <v>21244</v>
      </c>
      <c r="B399" s="83" t="s">
        <v>21245</v>
      </c>
      <c r="C399" s="83" t="s">
        <v>21246</v>
      </c>
      <c r="D399" s="111" t="s">
        <v>21247</v>
      </c>
    </row>
    <row r="400" spans="1:4" ht="76.5">
      <c r="A400" s="83" t="s">
        <v>21248</v>
      </c>
      <c r="B400" s="83" t="s">
        <v>21249</v>
      </c>
      <c r="C400" s="83" t="s">
        <v>21250</v>
      </c>
      <c r="D400" s="111" t="s">
        <v>21251</v>
      </c>
    </row>
    <row r="401" spans="1:4" ht="76.5">
      <c r="A401" s="83" t="s">
        <v>21252</v>
      </c>
      <c r="B401" s="83" t="s">
        <v>21253</v>
      </c>
      <c r="C401" s="83" t="s">
        <v>21254</v>
      </c>
      <c r="D401" s="111" t="s">
        <v>21255</v>
      </c>
    </row>
    <row r="402" spans="1:4" ht="102">
      <c r="A402" s="83" t="s">
        <v>21256</v>
      </c>
      <c r="B402" s="83" t="s">
        <v>21257</v>
      </c>
      <c r="C402" s="83" t="s">
        <v>21258</v>
      </c>
      <c r="D402" s="111" t="s">
        <v>21259</v>
      </c>
    </row>
    <row r="403" spans="1:4" ht="102">
      <c r="A403" s="83" t="s">
        <v>21260</v>
      </c>
      <c r="B403" s="83" t="s">
        <v>21261</v>
      </c>
      <c r="C403" s="83" t="s">
        <v>21262</v>
      </c>
      <c r="D403" s="111" t="s">
        <v>21263</v>
      </c>
    </row>
    <row r="404" spans="1:4" ht="25.5">
      <c r="A404" s="83" t="s">
        <v>21264</v>
      </c>
      <c r="B404" s="83" t="s">
        <v>19136</v>
      </c>
      <c r="C404" s="83" t="s">
        <v>19137</v>
      </c>
      <c r="D404" s="111" t="s">
        <v>19138</v>
      </c>
    </row>
    <row r="405" spans="1:4" ht="38.25">
      <c r="A405" s="83" t="s">
        <v>21265</v>
      </c>
      <c r="B405" s="83" t="s">
        <v>21266</v>
      </c>
      <c r="C405" s="83" t="s">
        <v>21267</v>
      </c>
      <c r="D405" s="111" t="s">
        <v>21268</v>
      </c>
    </row>
    <row r="406" spans="1:4" ht="25.5">
      <c r="A406" s="83" t="s">
        <v>21269</v>
      </c>
      <c r="B406" s="83" t="s">
        <v>21270</v>
      </c>
      <c r="C406" s="83" t="s">
        <v>21271</v>
      </c>
      <c r="D406" s="111" t="s">
        <v>21272</v>
      </c>
    </row>
    <row r="407" spans="1:4" ht="25.5">
      <c r="A407" s="83" t="s">
        <v>21273</v>
      </c>
      <c r="B407" s="83" t="s">
        <v>19494</v>
      </c>
      <c r="C407" s="83" t="s">
        <v>21153</v>
      </c>
      <c r="D407" s="111" t="s">
        <v>21154</v>
      </c>
    </row>
    <row r="408" spans="1:4" ht="102">
      <c r="A408" s="83" t="s">
        <v>21274</v>
      </c>
      <c r="B408" s="83" t="s">
        <v>21275</v>
      </c>
      <c r="C408" s="83" t="s">
        <v>21276</v>
      </c>
      <c r="D408" s="111" t="s">
        <v>21277</v>
      </c>
    </row>
    <row r="409" spans="1:4" ht="409.5">
      <c r="A409" s="83" t="s">
        <v>21278</v>
      </c>
      <c r="B409" s="83" t="s">
        <v>21279</v>
      </c>
      <c r="C409" s="83" t="s">
        <v>21280</v>
      </c>
      <c r="D409" s="111" t="s">
        <v>21281</v>
      </c>
    </row>
    <row r="410" spans="1:4" ht="216.75">
      <c r="A410" s="83" t="s">
        <v>21282</v>
      </c>
      <c r="B410" s="83" t="s">
        <v>21283</v>
      </c>
      <c r="C410" s="83" t="s">
        <v>21284</v>
      </c>
      <c r="D410" s="111" t="s">
        <v>21285</v>
      </c>
    </row>
    <row r="411" spans="1:4" ht="165.75">
      <c r="A411" s="83" t="s">
        <v>21286</v>
      </c>
      <c r="B411" s="83" t="s">
        <v>21287</v>
      </c>
      <c r="C411" s="83" t="s">
        <v>21288</v>
      </c>
      <c r="D411" s="111" t="s">
        <v>21289</v>
      </c>
    </row>
    <row r="412" spans="1:4" ht="409.5">
      <c r="A412" s="83" t="s">
        <v>21290</v>
      </c>
      <c r="B412" s="83" t="s">
        <v>21291</v>
      </c>
      <c r="C412" s="83" t="s">
        <v>21292</v>
      </c>
      <c r="D412" s="111" t="s">
        <v>21293</v>
      </c>
    </row>
    <row r="413" spans="1:4" ht="409.5">
      <c r="A413" s="83" t="s">
        <v>21488</v>
      </c>
      <c r="B413" s="83" t="s">
        <v>21489</v>
      </c>
      <c r="C413" s="83" t="s">
        <v>21490</v>
      </c>
      <c r="D413" s="111" t="s">
        <v>21491</v>
      </c>
    </row>
    <row r="414" spans="1:4" ht="51">
      <c r="A414" s="83" t="s">
        <v>22163</v>
      </c>
      <c r="B414" s="83" t="s">
        <v>22164</v>
      </c>
      <c r="C414" s="83" t="s">
        <v>22165</v>
      </c>
      <c r="D414" s="111" t="s">
        <v>22166</v>
      </c>
    </row>
    <row r="415" spans="1:4" ht="63.75">
      <c r="A415" s="83" t="s">
        <v>22167</v>
      </c>
      <c r="B415" s="83" t="s">
        <v>22168</v>
      </c>
      <c r="C415" s="83" t="s">
        <v>22169</v>
      </c>
      <c r="D415" s="111" t="s">
        <v>22170</v>
      </c>
    </row>
    <row r="416" spans="1:4" ht="38.25">
      <c r="A416" s="83" t="s">
        <v>22171</v>
      </c>
      <c r="B416" s="83" t="s">
        <v>22172</v>
      </c>
      <c r="C416" s="83" t="s">
        <v>22173</v>
      </c>
      <c r="D416" s="111" t="s">
        <v>22174</v>
      </c>
    </row>
    <row r="417" spans="1:4" ht="51">
      <c r="A417" s="83" t="s">
        <v>22175</v>
      </c>
      <c r="B417" s="83" t="s">
        <v>22176</v>
      </c>
      <c r="C417" s="83" t="s">
        <v>22177</v>
      </c>
      <c r="D417" s="111" t="s">
        <v>22178</v>
      </c>
    </row>
    <row r="418" spans="1:4" ht="293.25">
      <c r="A418" s="83" t="s">
        <v>22179</v>
      </c>
      <c r="B418" s="83" t="s">
        <v>22180</v>
      </c>
      <c r="C418" s="83" t="s">
        <v>22181</v>
      </c>
      <c r="D418" s="111" t="s">
        <v>22182</v>
      </c>
    </row>
    <row r="419" spans="1:4" ht="255">
      <c r="A419" s="83" t="s">
        <v>22183</v>
      </c>
      <c r="B419" s="83" t="s">
        <v>22184</v>
      </c>
      <c r="C419" s="83" t="s">
        <v>22185</v>
      </c>
      <c r="D419" s="111" t="s">
        <v>22186</v>
      </c>
    </row>
    <row r="420" spans="1:4" ht="306">
      <c r="A420" s="83" t="s">
        <v>22187</v>
      </c>
      <c r="B420" s="83" t="s">
        <v>22188</v>
      </c>
      <c r="C420" s="83" t="s">
        <v>22189</v>
      </c>
      <c r="D420" s="111" t="s">
        <v>22190</v>
      </c>
    </row>
    <row r="421" spans="1:4" ht="63.75">
      <c r="A421" s="83" t="s">
        <v>22191</v>
      </c>
      <c r="B421" s="83" t="s">
        <v>22192</v>
      </c>
      <c r="C421" s="83" t="s">
        <v>22193</v>
      </c>
      <c r="D421" s="111" t="s">
        <v>22194</v>
      </c>
    </row>
    <row r="422" spans="1:4" ht="51">
      <c r="A422" s="83" t="s">
        <v>22195</v>
      </c>
      <c r="B422" s="83" t="s">
        <v>22196</v>
      </c>
      <c r="C422" s="83" t="s">
        <v>22197</v>
      </c>
      <c r="D422" s="111" t="s">
        <v>22198</v>
      </c>
    </row>
    <row r="423" spans="1:4" ht="344.25">
      <c r="A423" s="83" t="s">
        <v>22199</v>
      </c>
      <c r="B423" s="83" t="s">
        <v>22200</v>
      </c>
      <c r="C423" s="83" t="s">
        <v>22201</v>
      </c>
      <c r="D423" s="111" t="s">
        <v>22202</v>
      </c>
    </row>
    <row r="424" spans="1:4" ht="267.75">
      <c r="A424" s="83" t="s">
        <v>22203</v>
      </c>
      <c r="B424" s="83" t="s">
        <v>22204</v>
      </c>
      <c r="C424" s="83" t="s">
        <v>22205</v>
      </c>
      <c r="D424" s="111" t="s">
        <v>22206</v>
      </c>
    </row>
    <row r="425" spans="1:4" ht="51">
      <c r="A425" s="83" t="s">
        <v>22207</v>
      </c>
      <c r="B425" s="83" t="s">
        <v>22208</v>
      </c>
      <c r="C425" s="83" t="s">
        <v>22209</v>
      </c>
      <c r="D425" s="111" t="s">
        <v>22210</v>
      </c>
    </row>
    <row r="426" spans="1:4" ht="25.5">
      <c r="A426" s="83" t="s">
        <v>22211</v>
      </c>
      <c r="B426" s="83" t="s">
        <v>22212</v>
      </c>
      <c r="C426" s="83" t="s">
        <v>22213</v>
      </c>
      <c r="D426" s="111" t="s">
        <v>22214</v>
      </c>
    </row>
    <row r="427" spans="1:4" ht="191.25">
      <c r="A427" s="83" t="s">
        <v>22215</v>
      </c>
      <c r="B427" s="83" t="s">
        <v>22216</v>
      </c>
      <c r="C427" s="83" t="s">
        <v>22217</v>
      </c>
      <c r="D427" s="111" t="s">
        <v>22218</v>
      </c>
    </row>
    <row r="428" spans="1:4" ht="51">
      <c r="A428" s="83" t="s">
        <v>22219</v>
      </c>
      <c r="B428" s="83" t="s">
        <v>22220</v>
      </c>
      <c r="C428" s="83" t="s">
        <v>22221</v>
      </c>
      <c r="D428" s="111" t="s">
        <v>22222</v>
      </c>
    </row>
    <row r="429" spans="1:4" ht="51">
      <c r="A429" s="83" t="s">
        <v>22223</v>
      </c>
      <c r="B429" s="83" t="s">
        <v>22224</v>
      </c>
      <c r="C429" s="83" t="s">
        <v>22225</v>
      </c>
      <c r="D429" s="111" t="s">
        <v>22226</v>
      </c>
    </row>
    <row r="430" spans="1:4" ht="51">
      <c r="A430" s="83" t="s">
        <v>22227</v>
      </c>
      <c r="B430" s="83" t="s">
        <v>22164</v>
      </c>
      <c r="C430" s="83" t="s">
        <v>22165</v>
      </c>
      <c r="D430" s="111" t="s">
        <v>22166</v>
      </c>
    </row>
    <row r="431" spans="1:4" ht="409.5">
      <c r="A431" s="83" t="s">
        <v>22228</v>
      </c>
      <c r="B431" s="83" t="s">
        <v>22229</v>
      </c>
      <c r="C431" s="83" t="s">
        <v>22230</v>
      </c>
      <c r="D431" s="111" t="s">
        <v>22231</v>
      </c>
    </row>
    <row r="432" spans="1:4" ht="409.5">
      <c r="A432" s="83" t="s">
        <v>22232</v>
      </c>
      <c r="B432" s="83" t="s">
        <v>22233</v>
      </c>
      <c r="C432" s="83" t="s">
        <v>22234</v>
      </c>
      <c r="D432" s="111" t="s">
        <v>22235</v>
      </c>
    </row>
    <row r="433" spans="1:4" ht="408">
      <c r="A433" s="83" t="s">
        <v>22236</v>
      </c>
      <c r="B433" s="83" t="s">
        <v>22237</v>
      </c>
      <c r="C433" s="83" t="s">
        <v>22238</v>
      </c>
      <c r="D433" s="111" t="s">
        <v>22239</v>
      </c>
    </row>
    <row r="434" spans="1:4" ht="140.25">
      <c r="A434" s="83" t="s">
        <v>22240</v>
      </c>
      <c r="B434" s="83" t="s">
        <v>22241</v>
      </c>
      <c r="C434" s="83" t="s">
        <v>22242</v>
      </c>
      <c r="D434" s="111" t="s">
        <v>22243</v>
      </c>
    </row>
    <row r="435" spans="1:4" ht="51">
      <c r="A435" s="83" t="s">
        <v>22244</v>
      </c>
      <c r="B435" s="83" t="s">
        <v>22245</v>
      </c>
      <c r="C435" s="83" t="s">
        <v>22246</v>
      </c>
      <c r="D435" s="111" t="s">
        <v>22247</v>
      </c>
    </row>
    <row r="436" spans="1:4" ht="51">
      <c r="A436" s="83" t="s">
        <v>22248</v>
      </c>
      <c r="B436" s="83" t="s">
        <v>22249</v>
      </c>
      <c r="C436" s="83" t="s">
        <v>22249</v>
      </c>
      <c r="D436" s="111" t="s">
        <v>22250</v>
      </c>
    </row>
    <row r="437" spans="1:4" ht="89.25">
      <c r="A437" s="83" t="s">
        <v>22251</v>
      </c>
      <c r="B437" s="83" t="s">
        <v>22252</v>
      </c>
      <c r="C437" s="83" t="s">
        <v>22253</v>
      </c>
      <c r="D437" s="111" t="s">
        <v>22254</v>
      </c>
    </row>
    <row r="438" spans="1:4" ht="114.75">
      <c r="A438" s="83" t="s">
        <v>22255</v>
      </c>
      <c r="B438" s="83" t="s">
        <v>22256</v>
      </c>
      <c r="C438" s="83" t="s">
        <v>22257</v>
      </c>
      <c r="D438" s="111" t="s">
        <v>22258</v>
      </c>
    </row>
    <row r="439" spans="1:4" ht="153">
      <c r="A439" s="83" t="s">
        <v>22259</v>
      </c>
      <c r="B439" s="83" t="s">
        <v>22260</v>
      </c>
      <c r="C439" s="83" t="s">
        <v>22261</v>
      </c>
      <c r="D439" s="111" t="s">
        <v>22262</v>
      </c>
    </row>
    <row r="440" spans="1:4" ht="140.25">
      <c r="A440" s="83" t="s">
        <v>22263</v>
      </c>
      <c r="B440" s="83" t="s">
        <v>22264</v>
      </c>
      <c r="C440" s="83" t="s">
        <v>22265</v>
      </c>
      <c r="D440" s="111" t="s">
        <v>22266</v>
      </c>
    </row>
    <row r="441" spans="1:4" ht="76.5">
      <c r="A441" s="83" t="s">
        <v>22267</v>
      </c>
      <c r="B441" s="83" t="s">
        <v>22268</v>
      </c>
      <c r="C441" s="83" t="s">
        <v>22269</v>
      </c>
      <c r="D441" s="111" t="s">
        <v>22270</v>
      </c>
    </row>
    <row r="442" spans="1:4" ht="38.25">
      <c r="A442" s="83" t="s">
        <v>22271</v>
      </c>
      <c r="B442" s="83" t="s">
        <v>22272</v>
      </c>
      <c r="C442" s="83" t="s">
        <v>22273</v>
      </c>
      <c r="D442" s="111" t="s">
        <v>22274</v>
      </c>
    </row>
    <row r="443" spans="1:4" ht="204">
      <c r="A443" s="83" t="s">
        <v>22275</v>
      </c>
      <c r="B443" s="83" t="s">
        <v>22276</v>
      </c>
      <c r="C443" s="83" t="s">
        <v>22277</v>
      </c>
      <c r="D443" s="111" t="s">
        <v>22278</v>
      </c>
    </row>
    <row r="444" spans="1:4" ht="51">
      <c r="A444" s="83" t="s">
        <v>22279</v>
      </c>
      <c r="B444" s="83" t="s">
        <v>22280</v>
      </c>
      <c r="C444" s="83" t="s">
        <v>22281</v>
      </c>
      <c r="D444" s="111" t="s">
        <v>22282</v>
      </c>
    </row>
    <row r="445" spans="1:4" ht="25.5">
      <c r="A445" s="83" t="s">
        <v>22283</v>
      </c>
      <c r="B445" s="83" t="s">
        <v>22284</v>
      </c>
      <c r="C445" s="83" t="s">
        <v>22285</v>
      </c>
      <c r="D445" s="111" t="s">
        <v>22286</v>
      </c>
    </row>
    <row r="446" spans="1:4" ht="38.25">
      <c r="A446" s="83" t="s">
        <v>22287</v>
      </c>
      <c r="B446" s="83" t="s">
        <v>22288</v>
      </c>
      <c r="C446" s="83" t="s">
        <v>22289</v>
      </c>
      <c r="D446" s="111" t="s">
        <v>22290</v>
      </c>
    </row>
    <row r="447" spans="1:4" ht="229.5">
      <c r="A447" s="83" t="s">
        <v>22291</v>
      </c>
      <c r="B447" s="83" t="s">
        <v>22292</v>
      </c>
      <c r="C447" s="83" t="s">
        <v>22293</v>
      </c>
      <c r="D447" s="111" t="s">
        <v>22294</v>
      </c>
    </row>
    <row r="448" spans="1:4" ht="38.25">
      <c r="A448" s="83" t="s">
        <v>22295</v>
      </c>
      <c r="B448" s="83" t="s">
        <v>19426</v>
      </c>
      <c r="C448" s="83" t="s">
        <v>19427</v>
      </c>
      <c r="D448" s="111" t="s">
        <v>19428</v>
      </c>
    </row>
    <row r="449" spans="1:4" ht="51">
      <c r="A449" s="83" t="s">
        <v>22296</v>
      </c>
      <c r="B449" s="83" t="s">
        <v>22297</v>
      </c>
      <c r="C449" s="83" t="s">
        <v>22298</v>
      </c>
      <c r="D449" s="111" t="s">
        <v>22299</v>
      </c>
    </row>
    <row r="450" spans="1:4" ht="38.25">
      <c r="A450" s="83" t="s">
        <v>22300</v>
      </c>
      <c r="B450" s="83" t="s">
        <v>19418</v>
      </c>
      <c r="C450" s="83" t="s">
        <v>22301</v>
      </c>
      <c r="D450" s="111" t="s">
        <v>22302</v>
      </c>
    </row>
    <row r="451" spans="1:4" ht="51">
      <c r="A451" s="83" t="s">
        <v>22303</v>
      </c>
      <c r="B451" s="83" t="s">
        <v>19422</v>
      </c>
      <c r="C451" s="83" t="s">
        <v>22304</v>
      </c>
      <c r="D451" s="111" t="s">
        <v>22305</v>
      </c>
    </row>
    <row r="452" spans="1:4" ht="293.25">
      <c r="A452" s="83" t="s">
        <v>22306</v>
      </c>
      <c r="B452" s="83" t="s">
        <v>22307</v>
      </c>
      <c r="C452" s="83" t="s">
        <v>22308</v>
      </c>
      <c r="D452" s="111" t="s">
        <v>22309</v>
      </c>
    </row>
    <row r="453" spans="1:4" ht="255">
      <c r="A453" s="83" t="s">
        <v>22310</v>
      </c>
      <c r="B453" s="83" t="s">
        <v>22311</v>
      </c>
      <c r="C453" s="83" t="s">
        <v>22312</v>
      </c>
      <c r="D453" s="111" t="s">
        <v>22313</v>
      </c>
    </row>
    <row r="454" spans="1:4" ht="102">
      <c r="A454" s="83" t="s">
        <v>22314</v>
      </c>
      <c r="B454" s="83" t="s">
        <v>22315</v>
      </c>
      <c r="C454" s="83" t="s">
        <v>22316</v>
      </c>
      <c r="D454" s="111" t="s">
        <v>22317</v>
      </c>
    </row>
    <row r="455" spans="1:4" ht="409.5">
      <c r="A455" s="83" t="s">
        <v>22318</v>
      </c>
      <c r="B455" s="83" t="s">
        <v>22319</v>
      </c>
      <c r="C455" s="83" t="s">
        <v>22320</v>
      </c>
      <c r="D455" s="111" t="s">
        <v>22321</v>
      </c>
    </row>
    <row r="456" spans="1:4" ht="409.5">
      <c r="A456" s="83" t="s">
        <v>22322</v>
      </c>
      <c r="B456" s="83" t="s">
        <v>22323</v>
      </c>
      <c r="C456" s="83" t="s">
        <v>22324</v>
      </c>
      <c r="D456" s="111" t="s">
        <v>22325</v>
      </c>
    </row>
    <row r="457" spans="1:4" ht="409.5">
      <c r="A457" s="83" t="s">
        <v>22326</v>
      </c>
      <c r="B457" s="83" t="s">
        <v>22327</v>
      </c>
      <c r="C457" s="83" t="s">
        <v>22328</v>
      </c>
      <c r="D457" s="111" t="s">
        <v>22329</v>
      </c>
    </row>
    <row r="458" spans="1:4" ht="114.75">
      <c r="A458" s="83" t="s">
        <v>22330</v>
      </c>
      <c r="B458" s="83" t="s">
        <v>22331</v>
      </c>
      <c r="C458" s="83" t="s">
        <v>22332</v>
      </c>
      <c r="D458" s="111" t="s">
        <v>22333</v>
      </c>
    </row>
    <row r="459" spans="1:4" ht="191.25">
      <c r="A459" s="83" t="s">
        <v>22334</v>
      </c>
      <c r="B459" s="83" t="s">
        <v>22335</v>
      </c>
      <c r="C459" s="83" t="s">
        <v>22336</v>
      </c>
      <c r="D459" s="111" t="s">
        <v>22337</v>
      </c>
    </row>
    <row r="460" spans="1:4" ht="63.75">
      <c r="A460" s="83" t="s">
        <v>22338</v>
      </c>
      <c r="B460" s="83" t="s">
        <v>19498</v>
      </c>
      <c r="C460" s="83" t="s">
        <v>19499</v>
      </c>
      <c r="D460" s="111" t="s">
        <v>19500</v>
      </c>
    </row>
    <row r="461" spans="1:4" ht="51">
      <c r="A461" s="83" t="s">
        <v>22339</v>
      </c>
      <c r="B461" s="83" t="s">
        <v>22340</v>
      </c>
      <c r="C461" s="83" t="s">
        <v>22341</v>
      </c>
      <c r="D461" s="111" t="s">
        <v>22342</v>
      </c>
    </row>
    <row r="462" spans="1:4" ht="51">
      <c r="A462" s="83" t="s">
        <v>22343</v>
      </c>
      <c r="B462" s="83" t="s">
        <v>22344</v>
      </c>
      <c r="C462" s="83" t="s">
        <v>22345</v>
      </c>
      <c r="D462" s="111" t="s">
        <v>22346</v>
      </c>
    </row>
    <row r="463" spans="1:4" ht="51">
      <c r="A463" s="83" t="s">
        <v>22347</v>
      </c>
      <c r="B463" s="83" t="s">
        <v>22348</v>
      </c>
      <c r="C463" s="83" t="s">
        <v>22349</v>
      </c>
      <c r="D463" s="111" t="s">
        <v>22350</v>
      </c>
    </row>
    <row r="464" spans="1:4" ht="25.5">
      <c r="A464" s="83" t="s">
        <v>22351</v>
      </c>
      <c r="B464" s="83" t="s">
        <v>22352</v>
      </c>
      <c r="C464" s="83" t="s">
        <v>22352</v>
      </c>
      <c r="D464" s="111" t="s">
        <v>22353</v>
      </c>
    </row>
    <row r="465" spans="1:4" ht="76.5">
      <c r="A465" s="83" t="s">
        <v>22354</v>
      </c>
      <c r="B465" s="83" t="s">
        <v>22355</v>
      </c>
      <c r="C465" s="83" t="s">
        <v>22356</v>
      </c>
      <c r="D465" s="111" t="s">
        <v>22357</v>
      </c>
    </row>
    <row r="466" spans="1:4" ht="178.5">
      <c r="A466" s="83" t="s">
        <v>22358</v>
      </c>
      <c r="B466" s="83" t="s">
        <v>22359</v>
      </c>
      <c r="C466" s="83" t="s">
        <v>22360</v>
      </c>
      <c r="D466" s="111" t="s">
        <v>22361</v>
      </c>
    </row>
    <row r="467" spans="1:4" ht="25.5">
      <c r="A467" s="83" t="s">
        <v>22362</v>
      </c>
      <c r="B467" s="83" t="s">
        <v>22363</v>
      </c>
      <c r="C467" s="83" t="s">
        <v>22364</v>
      </c>
      <c r="D467" s="111" t="s">
        <v>22365</v>
      </c>
    </row>
    <row r="468" spans="1:4" ht="25.5">
      <c r="A468" s="83" t="s">
        <v>22366</v>
      </c>
      <c r="B468" s="83" t="s">
        <v>22367</v>
      </c>
      <c r="C468" s="83" t="s">
        <v>22368</v>
      </c>
      <c r="D468" s="111" t="s">
        <v>22369</v>
      </c>
    </row>
    <row r="469" spans="1:4" ht="25.5">
      <c r="A469" s="83" t="s">
        <v>22370</v>
      </c>
      <c r="B469" s="83" t="s">
        <v>22371</v>
      </c>
      <c r="C469" s="83" t="s">
        <v>22371</v>
      </c>
      <c r="D469" s="111" t="s">
        <v>22372</v>
      </c>
    </row>
    <row r="470" spans="1:4" ht="38.25">
      <c r="A470" s="83" t="s">
        <v>22373</v>
      </c>
      <c r="B470" s="83" t="s">
        <v>19529</v>
      </c>
      <c r="C470" s="83" t="s">
        <v>19530</v>
      </c>
      <c r="D470" s="111" t="s">
        <v>19531</v>
      </c>
    </row>
    <row r="471" spans="1:4" ht="178.5">
      <c r="A471" s="83" t="s">
        <v>22374</v>
      </c>
      <c r="B471" s="83" t="s">
        <v>22375</v>
      </c>
      <c r="C471" s="83" t="s">
        <v>22376</v>
      </c>
      <c r="D471" s="111" t="s">
        <v>22377</v>
      </c>
    </row>
    <row r="472" spans="1:4" ht="140.25">
      <c r="A472" s="83" t="s">
        <v>22378</v>
      </c>
      <c r="B472" s="83" t="s">
        <v>22379</v>
      </c>
      <c r="C472" s="83" t="s">
        <v>22380</v>
      </c>
      <c r="D472" s="111" t="s">
        <v>22381</v>
      </c>
    </row>
    <row r="473" spans="1:4" ht="178.5">
      <c r="A473" s="83" t="s">
        <v>22382</v>
      </c>
      <c r="B473" s="83" t="s">
        <v>22383</v>
      </c>
      <c r="C473" s="83" t="s">
        <v>22384</v>
      </c>
      <c r="D473" s="111" t="s">
        <v>22385</v>
      </c>
    </row>
    <row r="474" spans="1:4" ht="280.5">
      <c r="A474" s="83" t="s">
        <v>22386</v>
      </c>
      <c r="B474" s="83" t="s">
        <v>22387</v>
      </c>
      <c r="C474" s="83" t="s">
        <v>22388</v>
      </c>
      <c r="D474" s="111" t="s">
        <v>22389</v>
      </c>
    </row>
    <row r="475" spans="1:4" ht="191.25">
      <c r="A475" s="83" t="s">
        <v>22390</v>
      </c>
      <c r="B475" s="83" t="s">
        <v>22335</v>
      </c>
      <c r="C475" s="83" t="s">
        <v>22336</v>
      </c>
      <c r="D475" s="111" t="s">
        <v>22337</v>
      </c>
    </row>
    <row r="476" spans="1:4" ht="306">
      <c r="A476" s="83" t="s">
        <v>22391</v>
      </c>
      <c r="B476" s="83" t="s">
        <v>22392</v>
      </c>
      <c r="C476" s="83" t="s">
        <v>22393</v>
      </c>
      <c r="D476" s="111" t="s">
        <v>22394</v>
      </c>
    </row>
    <row r="477" spans="1:4" ht="38.25">
      <c r="A477" s="83" t="s">
        <v>22395</v>
      </c>
      <c r="B477" s="83" t="s">
        <v>22172</v>
      </c>
      <c r="C477" s="83" t="s">
        <v>22173</v>
      </c>
      <c r="D477" s="111" t="s">
        <v>22174</v>
      </c>
    </row>
    <row r="478" spans="1:4" ht="409.5">
      <c r="A478" s="83" t="s">
        <v>22396</v>
      </c>
      <c r="B478" s="83" t="s">
        <v>22397</v>
      </c>
      <c r="C478" s="83" t="s">
        <v>22398</v>
      </c>
      <c r="D478" s="111" t="s">
        <v>22399</v>
      </c>
    </row>
    <row r="479" spans="1:4" ht="409.5">
      <c r="A479" s="83" t="s">
        <v>22400</v>
      </c>
      <c r="B479" s="83" t="s">
        <v>22401</v>
      </c>
      <c r="C479" s="83" t="s">
        <v>22402</v>
      </c>
      <c r="D479" s="111" t="s">
        <v>22403</v>
      </c>
    </row>
    <row r="480" spans="1:4" ht="409.5">
      <c r="A480" s="83" t="s">
        <v>22404</v>
      </c>
      <c r="B480" s="83" t="s">
        <v>22405</v>
      </c>
      <c r="C480" s="83" t="s">
        <v>22406</v>
      </c>
      <c r="D480" s="111" t="s">
        <v>22407</v>
      </c>
    </row>
    <row r="481" spans="1:4" ht="89.25">
      <c r="A481" s="83" t="s">
        <v>22408</v>
      </c>
      <c r="B481" s="83" t="s">
        <v>22409</v>
      </c>
      <c r="C481" s="83" t="s">
        <v>22410</v>
      </c>
      <c r="D481" s="111" t="s">
        <v>22411</v>
      </c>
    </row>
    <row r="482" spans="1:4" ht="89.25">
      <c r="A482" s="83" t="s">
        <v>22412</v>
      </c>
      <c r="B482" s="83" t="s">
        <v>22413</v>
      </c>
      <c r="C482" s="83" t="s">
        <v>22414</v>
      </c>
      <c r="D482" s="111" t="s">
        <v>22415</v>
      </c>
    </row>
    <row r="483" spans="1:4" ht="25.5">
      <c r="A483" s="83" t="s">
        <v>22416</v>
      </c>
      <c r="B483" s="83" t="s">
        <v>22417</v>
      </c>
      <c r="C483" s="83" t="s">
        <v>22418</v>
      </c>
      <c r="D483" s="111" t="s">
        <v>22419</v>
      </c>
    </row>
    <row r="484" spans="1:4" ht="63.75">
      <c r="A484" s="83" t="s">
        <v>22420</v>
      </c>
      <c r="B484" s="83" t="s">
        <v>22421</v>
      </c>
      <c r="C484" s="83" t="s">
        <v>22422</v>
      </c>
      <c r="D484" s="111" t="s">
        <v>22423</v>
      </c>
    </row>
    <row r="485" spans="1:4" ht="25.5">
      <c r="A485" s="83" t="s">
        <v>22424</v>
      </c>
      <c r="B485" s="83" t="s">
        <v>22425</v>
      </c>
      <c r="C485" s="83" t="s">
        <v>22425</v>
      </c>
      <c r="D485" s="111" t="s">
        <v>22426</v>
      </c>
    </row>
    <row r="486" spans="1:4" ht="51">
      <c r="A486" s="83" t="s">
        <v>22427</v>
      </c>
      <c r="B486" s="83" t="s">
        <v>22348</v>
      </c>
      <c r="C486" s="83" t="s">
        <v>22349</v>
      </c>
      <c r="D486" s="111" t="s">
        <v>22350</v>
      </c>
    </row>
    <row r="487" spans="1:4" ht="51">
      <c r="A487" s="83" t="s">
        <v>22428</v>
      </c>
      <c r="B487" s="83" t="s">
        <v>22429</v>
      </c>
      <c r="C487" s="83" t="s">
        <v>22430</v>
      </c>
      <c r="D487" s="111" t="s">
        <v>22431</v>
      </c>
    </row>
    <row r="488" spans="1:4" ht="89.25">
      <c r="A488" s="83" t="s">
        <v>22432</v>
      </c>
      <c r="B488" s="83" t="s">
        <v>22433</v>
      </c>
      <c r="C488" s="83" t="s">
        <v>22434</v>
      </c>
      <c r="D488" s="111" t="s">
        <v>22435</v>
      </c>
    </row>
    <row r="489" spans="1:4" ht="25.5">
      <c r="A489" s="83" t="s">
        <v>22436</v>
      </c>
      <c r="B489" s="83" t="s">
        <v>22437</v>
      </c>
      <c r="C489" s="83" t="s">
        <v>22437</v>
      </c>
      <c r="D489" s="111" t="s">
        <v>22438</v>
      </c>
    </row>
    <row r="490" spans="1:4" ht="114.75">
      <c r="A490" s="83" t="s">
        <v>22439</v>
      </c>
      <c r="B490" s="83" t="s">
        <v>22440</v>
      </c>
      <c r="C490" s="83" t="s">
        <v>22440</v>
      </c>
      <c r="D490" s="111" t="s">
        <v>22441</v>
      </c>
    </row>
    <row r="491" spans="1:4" ht="38.25">
      <c r="A491" s="83" t="s">
        <v>22442</v>
      </c>
      <c r="B491" s="83" t="s">
        <v>22443</v>
      </c>
      <c r="C491" s="83" t="s">
        <v>22443</v>
      </c>
      <c r="D491" s="111" t="s">
        <v>22444</v>
      </c>
    </row>
    <row r="492" spans="1:4" ht="127.5">
      <c r="A492" s="83" t="s">
        <v>22445</v>
      </c>
      <c r="B492" s="83" t="s">
        <v>22446</v>
      </c>
      <c r="C492" s="83" t="s">
        <v>22447</v>
      </c>
      <c r="D492" s="111" t="s">
        <v>22448</v>
      </c>
    </row>
    <row r="493" spans="1:4" ht="153">
      <c r="A493" s="83" t="s">
        <v>22449</v>
      </c>
      <c r="B493" s="83" t="s">
        <v>22450</v>
      </c>
      <c r="C493" s="83" t="s">
        <v>22451</v>
      </c>
      <c r="D493" s="111" t="s">
        <v>22452</v>
      </c>
    </row>
    <row r="494" spans="1:4" ht="114.75">
      <c r="A494" s="83" t="s">
        <v>22453</v>
      </c>
      <c r="B494" s="83" t="s">
        <v>22454</v>
      </c>
      <c r="C494" s="83" t="s">
        <v>22455</v>
      </c>
      <c r="D494" s="111" t="s">
        <v>22456</v>
      </c>
    </row>
    <row r="495" spans="1:4" ht="76.5">
      <c r="A495" s="83" t="s">
        <v>22457</v>
      </c>
      <c r="B495" s="83" t="s">
        <v>22458</v>
      </c>
      <c r="C495" s="83" t="s">
        <v>22458</v>
      </c>
      <c r="D495" s="111" t="s">
        <v>22459</v>
      </c>
    </row>
    <row r="496" spans="1:4" ht="51">
      <c r="A496" s="83" t="s">
        <v>22460</v>
      </c>
      <c r="B496" s="83" t="s">
        <v>22461</v>
      </c>
      <c r="C496" s="83" t="s">
        <v>22461</v>
      </c>
      <c r="D496" s="111" t="s">
        <v>22462</v>
      </c>
    </row>
    <row r="497" spans="1:4" ht="216.75">
      <c r="A497" s="83" t="s">
        <v>22463</v>
      </c>
      <c r="B497" s="83" t="s">
        <v>22464</v>
      </c>
      <c r="C497" s="83" t="s">
        <v>22465</v>
      </c>
      <c r="D497" s="111" t="s">
        <v>22466</v>
      </c>
    </row>
    <row r="498" spans="1:4" ht="127.5">
      <c r="A498" s="83" t="s">
        <v>22467</v>
      </c>
      <c r="B498" s="83" t="s">
        <v>22468</v>
      </c>
      <c r="C498" s="83" t="s">
        <v>22469</v>
      </c>
      <c r="D498" s="111" t="s">
        <v>22470</v>
      </c>
    </row>
    <row r="499" spans="1:4" ht="267.75">
      <c r="A499" s="83" t="s">
        <v>22471</v>
      </c>
      <c r="B499" s="83" t="s">
        <v>22472</v>
      </c>
      <c r="C499" s="83" t="s">
        <v>22473</v>
      </c>
      <c r="D499" s="111" t="s">
        <v>22474</v>
      </c>
    </row>
    <row r="500" spans="1:4" ht="229.5">
      <c r="A500" s="83" t="s">
        <v>22475</v>
      </c>
      <c r="B500" s="83" t="s">
        <v>22476</v>
      </c>
      <c r="C500" s="83" t="s">
        <v>22477</v>
      </c>
      <c r="D500" s="111" t="s">
        <v>22478</v>
      </c>
    </row>
    <row r="501" spans="1:4" ht="318.75">
      <c r="A501" s="83" t="s">
        <v>22864</v>
      </c>
      <c r="B501" s="83" t="s">
        <v>22865</v>
      </c>
      <c r="C501" s="83" t="s">
        <v>22866</v>
      </c>
      <c r="D501" s="111" t="s">
        <v>22867</v>
      </c>
    </row>
  </sheetData>
  <sheetProtection algorithmName="SHA-512" hashValue="MXuypYMGNzAo8E/cwyUkCI9FIvurApZc7Mv8OnYlmuAqzks1sFMpyyvRfvG4dIYFA+ujeHIqqnTkLdpigZLYsQ==" saltValue="iBhgv4yCUrtSqdk4Yf8dDQ==" spinCount="100000" sheet="1" scenarios="1" formatColumns="0" sort="0" autoFilter="0"/>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6F22E-5202-49DD-9FBC-68802221BEC3}">
  <sheetPr codeName="Sheet58"/>
  <dimension ref="A1:E6"/>
  <sheetViews>
    <sheetView workbookViewId="0"/>
  </sheetViews>
  <sheetFormatPr defaultRowHeight="12.75"/>
  <sheetData>
    <row r="1" spans="1:5">
      <c r="A1">
        <v>4</v>
      </c>
      <c r="B1">
        <v>5</v>
      </c>
      <c r="C1" t="s">
        <v>17335</v>
      </c>
    </row>
    <row r="2" spans="1:5">
      <c r="A2" t="s">
        <v>16543</v>
      </c>
      <c r="B2" t="s">
        <v>16544</v>
      </c>
      <c r="C2" t="s">
        <v>16545</v>
      </c>
      <c r="D2" t="s">
        <v>16546</v>
      </c>
      <c r="E2" t="s">
        <v>16547</v>
      </c>
    </row>
    <row r="3" spans="1:5">
      <c r="A3" s="83" t="s">
        <v>16338</v>
      </c>
      <c r="B3" s="83" t="s">
        <v>17336</v>
      </c>
      <c r="C3" s="83" t="s">
        <v>16338</v>
      </c>
      <c r="D3" s="83" t="s">
        <v>4565</v>
      </c>
      <c r="E3" s="83" t="s">
        <v>17337</v>
      </c>
    </row>
    <row r="4" spans="1:5">
      <c r="A4" s="83" t="s">
        <v>16339</v>
      </c>
      <c r="B4" s="83" t="s">
        <v>17338</v>
      </c>
      <c r="C4" s="83" t="s">
        <v>16339</v>
      </c>
      <c r="D4" s="83" t="s">
        <v>15351</v>
      </c>
      <c r="E4" s="83" t="s">
        <v>17339</v>
      </c>
    </row>
    <row r="5" spans="1:5">
      <c r="A5" s="83" t="s">
        <v>16340</v>
      </c>
      <c r="B5" s="83" t="s">
        <v>19959</v>
      </c>
      <c r="C5" s="83" t="s">
        <v>16340</v>
      </c>
      <c r="D5" s="83" t="s">
        <v>15358</v>
      </c>
      <c r="E5" s="83" t="s">
        <v>17340</v>
      </c>
    </row>
    <row r="6" spans="1:5">
      <c r="A6" s="83" t="s">
        <v>18429</v>
      </c>
      <c r="B6" s="83" t="s">
        <v>18430</v>
      </c>
      <c r="C6" s="83" t="s">
        <v>18431</v>
      </c>
      <c r="D6" s="83" t="s">
        <v>15363</v>
      </c>
      <c r="E6" s="83" t="s">
        <v>18432</v>
      </c>
    </row>
  </sheetData>
  <sheetProtection algorithmName="SHA-512" hashValue="OAvVlQGECEVwvUB8wElCzkq3fMwkjgIjenc9ruAfBaKBU4cybhbDnAnt1SyJejc8Cr23SWFIiQSuhyQFhT+NLg==" saltValue="p+Yj6ZQAEIIMvpwMmdEWQA==" spinCount="100000" sheet="1" scenarios="1" formatColumns="0" sort="0" autoFilter="0"/>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96408-B584-438C-85B6-BB4A70F26A36}">
  <sheetPr codeName="Sheet59"/>
  <dimension ref="A1:G28"/>
  <sheetViews>
    <sheetView workbookViewId="0"/>
  </sheetViews>
  <sheetFormatPr defaultRowHeight="12.75"/>
  <sheetData>
    <row r="1" spans="1:7">
      <c r="A1">
        <v>26</v>
      </c>
      <c r="B1">
        <v>7</v>
      </c>
      <c r="C1" t="s">
        <v>17341</v>
      </c>
    </row>
    <row r="2" spans="1:7">
      <c r="A2" t="s">
        <v>16554</v>
      </c>
      <c r="B2" t="s">
        <v>16555</v>
      </c>
      <c r="C2" t="s">
        <v>16556</v>
      </c>
      <c r="D2" t="s">
        <v>16557</v>
      </c>
      <c r="E2" t="s">
        <v>16543</v>
      </c>
      <c r="F2" t="s">
        <v>16558</v>
      </c>
      <c r="G2" t="s">
        <v>16559</v>
      </c>
    </row>
    <row r="3" spans="1:7">
      <c r="A3" s="83" t="s">
        <v>17342</v>
      </c>
      <c r="B3" s="83" t="s">
        <v>17343</v>
      </c>
      <c r="C3" s="83" t="s">
        <v>17344</v>
      </c>
      <c r="D3" s="83" t="s">
        <v>17345</v>
      </c>
      <c r="E3" s="83" t="s">
        <v>16340</v>
      </c>
      <c r="F3" s="83" t="s">
        <v>17346</v>
      </c>
      <c r="G3" s="83" t="s">
        <v>17347</v>
      </c>
    </row>
    <row r="4" spans="1:7">
      <c r="A4" s="83" t="s">
        <v>17348</v>
      </c>
      <c r="B4" s="83" t="s">
        <v>17343</v>
      </c>
      <c r="C4" s="83" t="s">
        <v>17344</v>
      </c>
      <c r="D4" s="83" t="s">
        <v>17345</v>
      </c>
      <c r="E4" s="83" t="s">
        <v>16340</v>
      </c>
      <c r="F4" s="83" t="s">
        <v>17349</v>
      </c>
      <c r="G4" s="83" t="s">
        <v>17350</v>
      </c>
    </row>
    <row r="5" spans="1:7">
      <c r="A5" s="83" t="s">
        <v>17351</v>
      </c>
      <c r="B5" s="83" t="s">
        <v>17343</v>
      </c>
      <c r="C5" s="83" t="s">
        <v>17344</v>
      </c>
      <c r="D5" s="83" t="s">
        <v>17345</v>
      </c>
      <c r="E5" s="83" t="s">
        <v>16340</v>
      </c>
      <c r="F5" s="83" t="s">
        <v>17352</v>
      </c>
      <c r="G5" s="83" t="s">
        <v>17353</v>
      </c>
    </row>
    <row r="6" spans="1:7">
      <c r="A6" s="83" t="s">
        <v>17354</v>
      </c>
      <c r="B6" s="83" t="s">
        <v>17343</v>
      </c>
      <c r="C6" s="83" t="s">
        <v>17344</v>
      </c>
      <c r="D6" s="83" t="s">
        <v>17345</v>
      </c>
      <c r="E6" s="83" t="s">
        <v>16340</v>
      </c>
      <c r="F6" s="83" t="s">
        <v>17355</v>
      </c>
      <c r="G6" s="83" t="s">
        <v>17356</v>
      </c>
    </row>
    <row r="7" spans="1:7">
      <c r="A7" s="83" t="s">
        <v>17357</v>
      </c>
      <c r="B7" s="83" t="s">
        <v>17343</v>
      </c>
      <c r="C7" s="83" t="s">
        <v>17344</v>
      </c>
      <c r="D7" s="83" t="s">
        <v>17345</v>
      </c>
      <c r="E7" s="83" t="s">
        <v>16340</v>
      </c>
      <c r="F7" s="83" t="s">
        <v>17358</v>
      </c>
      <c r="G7" s="83" t="s">
        <v>17359</v>
      </c>
    </row>
    <row r="8" spans="1:7">
      <c r="A8" s="83" t="s">
        <v>17360</v>
      </c>
      <c r="B8" s="83" t="s">
        <v>17343</v>
      </c>
      <c r="C8" s="83" t="s">
        <v>17344</v>
      </c>
      <c r="D8" s="83" t="s">
        <v>17345</v>
      </c>
      <c r="E8" s="83" t="s">
        <v>16340</v>
      </c>
      <c r="F8" s="83" t="s">
        <v>17361</v>
      </c>
      <c r="G8" s="83" t="s">
        <v>17362</v>
      </c>
    </row>
    <row r="9" spans="1:7">
      <c r="A9" s="83" t="s">
        <v>17363</v>
      </c>
      <c r="B9" s="83" t="s">
        <v>17343</v>
      </c>
      <c r="C9" s="83" t="s">
        <v>17344</v>
      </c>
      <c r="D9" s="83" t="s">
        <v>17345</v>
      </c>
      <c r="E9" s="83" t="s">
        <v>16340</v>
      </c>
      <c r="F9" s="83" t="s">
        <v>17364</v>
      </c>
      <c r="G9" s="83" t="s">
        <v>17365</v>
      </c>
    </row>
    <row r="10" spans="1:7">
      <c r="A10" s="83" t="s">
        <v>17366</v>
      </c>
      <c r="B10" s="83" t="s">
        <v>17343</v>
      </c>
      <c r="C10" s="83" t="s">
        <v>17344</v>
      </c>
      <c r="D10" s="83" t="s">
        <v>17345</v>
      </c>
      <c r="E10" s="83" t="s">
        <v>16340</v>
      </c>
      <c r="F10" s="83" t="s">
        <v>17367</v>
      </c>
      <c r="G10" s="83" t="s">
        <v>17368</v>
      </c>
    </row>
    <row r="11" spans="1:7">
      <c r="A11" s="83" t="s">
        <v>17369</v>
      </c>
      <c r="B11" s="83" t="s">
        <v>17343</v>
      </c>
      <c r="C11" s="83" t="s">
        <v>17344</v>
      </c>
      <c r="D11" s="83" t="s">
        <v>17345</v>
      </c>
      <c r="E11" s="83" t="s">
        <v>16340</v>
      </c>
      <c r="F11" s="83" t="s">
        <v>17370</v>
      </c>
      <c r="G11" s="83" t="s">
        <v>17371</v>
      </c>
    </row>
    <row r="12" spans="1:7">
      <c r="A12" s="83" t="s">
        <v>17372</v>
      </c>
      <c r="B12" s="83" t="s">
        <v>17343</v>
      </c>
      <c r="C12" s="83" t="s">
        <v>17344</v>
      </c>
      <c r="D12" s="83" t="s">
        <v>17345</v>
      </c>
      <c r="E12" s="83" t="s">
        <v>16340</v>
      </c>
      <c r="F12" s="83" t="s">
        <v>17373</v>
      </c>
      <c r="G12" s="83" t="s">
        <v>17374</v>
      </c>
    </row>
    <row r="13" spans="1:7">
      <c r="A13" s="83" t="s">
        <v>17375</v>
      </c>
      <c r="B13" s="83" t="s">
        <v>17343</v>
      </c>
      <c r="C13" s="83" t="s">
        <v>17344</v>
      </c>
      <c r="D13" s="83" t="s">
        <v>17345</v>
      </c>
      <c r="E13" s="83" t="s">
        <v>16340</v>
      </c>
      <c r="F13" s="83" t="s">
        <v>17376</v>
      </c>
      <c r="G13" s="83" t="s">
        <v>17377</v>
      </c>
    </row>
    <row r="14" spans="1:7">
      <c r="A14" s="83" t="s">
        <v>17378</v>
      </c>
      <c r="B14" s="83" t="s">
        <v>17343</v>
      </c>
      <c r="C14" s="83" t="s">
        <v>17344</v>
      </c>
      <c r="D14" s="83" t="s">
        <v>17345</v>
      </c>
      <c r="E14" s="83" t="s">
        <v>16340</v>
      </c>
      <c r="F14" s="83" t="s">
        <v>17379</v>
      </c>
      <c r="G14" s="83" t="s">
        <v>17380</v>
      </c>
    </row>
    <row r="15" spans="1:7">
      <c r="A15" s="83" t="s">
        <v>17381</v>
      </c>
      <c r="B15" s="83" t="s">
        <v>17343</v>
      </c>
      <c r="C15" s="83" t="s">
        <v>17344</v>
      </c>
      <c r="D15" s="83" t="s">
        <v>17345</v>
      </c>
      <c r="E15" s="83" t="s">
        <v>16340</v>
      </c>
      <c r="F15" s="83" t="s">
        <v>17382</v>
      </c>
      <c r="G15" s="83" t="s">
        <v>17383</v>
      </c>
    </row>
    <row r="16" spans="1:7">
      <c r="A16" s="83" t="s">
        <v>17384</v>
      </c>
      <c r="B16" s="83" t="s">
        <v>17385</v>
      </c>
      <c r="C16" s="83" t="s">
        <v>17386</v>
      </c>
      <c r="D16" s="83" t="s">
        <v>17387</v>
      </c>
      <c r="E16" s="83" t="s">
        <v>16338</v>
      </c>
      <c r="F16" s="83" t="s">
        <v>17388</v>
      </c>
      <c r="G16" s="83" t="s">
        <v>17389</v>
      </c>
    </row>
    <row r="17" spans="1:7">
      <c r="A17" s="83" t="s">
        <v>17390</v>
      </c>
      <c r="B17" s="83" t="s">
        <v>17391</v>
      </c>
      <c r="C17" s="83" t="s">
        <v>17392</v>
      </c>
      <c r="D17" s="83" t="s">
        <v>17393</v>
      </c>
      <c r="E17" s="83" t="s">
        <v>16338</v>
      </c>
      <c r="F17" s="83" t="s">
        <v>17394</v>
      </c>
      <c r="G17" s="83" t="s">
        <v>17395</v>
      </c>
    </row>
    <row r="18" spans="1:7">
      <c r="A18" s="83" t="s">
        <v>17396</v>
      </c>
      <c r="B18" s="83" t="s">
        <v>17397</v>
      </c>
      <c r="C18" s="83" t="s">
        <v>17398</v>
      </c>
      <c r="D18" s="83" t="s">
        <v>17399</v>
      </c>
      <c r="E18" s="83" t="s">
        <v>16338</v>
      </c>
      <c r="F18" s="83" t="s">
        <v>17400</v>
      </c>
      <c r="G18" s="83" t="s">
        <v>17401</v>
      </c>
    </row>
    <row r="19" spans="1:7">
      <c r="A19" s="83" t="s">
        <v>17402</v>
      </c>
      <c r="B19" s="83" t="s">
        <v>17403</v>
      </c>
      <c r="C19" s="83" t="s">
        <v>17404</v>
      </c>
      <c r="D19" s="83" t="s">
        <v>17405</v>
      </c>
      <c r="E19" s="83" t="s">
        <v>16338</v>
      </c>
      <c r="F19" s="83" t="s">
        <v>17406</v>
      </c>
      <c r="G19" s="83" t="s">
        <v>17407</v>
      </c>
    </row>
    <row r="20" spans="1:7">
      <c r="A20" s="83" t="s">
        <v>17408</v>
      </c>
      <c r="B20" s="83" t="s">
        <v>17343</v>
      </c>
      <c r="C20" s="83" t="s">
        <v>17344</v>
      </c>
      <c r="D20" s="83" t="s">
        <v>17345</v>
      </c>
      <c r="E20" s="83" t="s">
        <v>16338</v>
      </c>
      <c r="F20" s="83" t="s">
        <v>17409</v>
      </c>
      <c r="G20" s="83" t="s">
        <v>17410</v>
      </c>
    </row>
    <row r="21" spans="1:7">
      <c r="A21" s="83" t="s">
        <v>17411</v>
      </c>
      <c r="B21" s="83" t="s">
        <v>17343</v>
      </c>
      <c r="C21" s="83" t="s">
        <v>17344</v>
      </c>
      <c r="D21" s="83" t="s">
        <v>17345</v>
      </c>
      <c r="E21" s="83" t="s">
        <v>16338</v>
      </c>
      <c r="F21" s="83" t="s">
        <v>17412</v>
      </c>
      <c r="G21" s="83" t="s">
        <v>17413</v>
      </c>
    </row>
    <row r="22" spans="1:7">
      <c r="A22" s="83" t="s">
        <v>17414</v>
      </c>
      <c r="B22" s="83" t="s">
        <v>17415</v>
      </c>
      <c r="C22" s="83" t="s">
        <v>17416</v>
      </c>
      <c r="D22" s="83" t="s">
        <v>17417</v>
      </c>
      <c r="E22" s="83" t="s">
        <v>16339</v>
      </c>
      <c r="F22" s="83" t="s">
        <v>17418</v>
      </c>
      <c r="G22" s="83" t="s">
        <v>17419</v>
      </c>
    </row>
    <row r="23" spans="1:7">
      <c r="A23" s="83" t="s">
        <v>17420</v>
      </c>
      <c r="B23" s="83" t="s">
        <v>17421</v>
      </c>
      <c r="C23" s="83" t="s">
        <v>17422</v>
      </c>
      <c r="D23" s="83" t="s">
        <v>17423</v>
      </c>
      <c r="E23" s="83" t="s">
        <v>16339</v>
      </c>
      <c r="F23" s="83" t="s">
        <v>17424</v>
      </c>
      <c r="G23" s="83" t="s">
        <v>17425</v>
      </c>
    </row>
    <row r="24" spans="1:7">
      <c r="A24" s="83" t="s">
        <v>17426</v>
      </c>
      <c r="B24" s="83" t="s">
        <v>17427</v>
      </c>
      <c r="C24" s="83" t="s">
        <v>17428</v>
      </c>
      <c r="D24" s="83" t="s">
        <v>17429</v>
      </c>
      <c r="E24" s="83" t="s">
        <v>16339</v>
      </c>
      <c r="F24" s="83" t="s">
        <v>17430</v>
      </c>
      <c r="G24" s="83" t="s">
        <v>17431</v>
      </c>
    </row>
    <row r="25" spans="1:7">
      <c r="A25" s="83" t="s">
        <v>17432</v>
      </c>
      <c r="B25" s="83" t="s">
        <v>17433</v>
      </c>
      <c r="C25" s="83" t="s">
        <v>17434</v>
      </c>
      <c r="D25" s="83" t="s">
        <v>17435</v>
      </c>
      <c r="E25" s="83" t="s">
        <v>16339</v>
      </c>
      <c r="F25" s="83" t="s">
        <v>17436</v>
      </c>
      <c r="G25" s="83" t="s">
        <v>17437</v>
      </c>
    </row>
    <row r="26" spans="1:7">
      <c r="A26" s="83" t="s">
        <v>17438</v>
      </c>
      <c r="B26" s="83" t="s">
        <v>17385</v>
      </c>
      <c r="C26" s="83" t="s">
        <v>17386</v>
      </c>
      <c r="D26" s="83" t="s">
        <v>17387</v>
      </c>
      <c r="E26" s="83" t="s">
        <v>16339</v>
      </c>
      <c r="F26" s="83" t="s">
        <v>17439</v>
      </c>
      <c r="G26" s="83" t="s">
        <v>17440</v>
      </c>
    </row>
    <row r="27" spans="1:7">
      <c r="A27" s="83" t="s">
        <v>17441</v>
      </c>
      <c r="B27" s="83" t="s">
        <v>17442</v>
      </c>
      <c r="C27" s="83" t="s">
        <v>17443</v>
      </c>
      <c r="D27" s="83" t="s">
        <v>17444</v>
      </c>
      <c r="E27" s="83" t="s">
        <v>16340</v>
      </c>
      <c r="F27" s="83" t="s">
        <v>17445</v>
      </c>
      <c r="G27" s="83" t="s">
        <v>17446</v>
      </c>
    </row>
    <row r="28" spans="1:7">
      <c r="A28" s="83" t="s">
        <v>17447</v>
      </c>
      <c r="B28" s="83" t="s">
        <v>17448</v>
      </c>
      <c r="C28" s="83" t="s">
        <v>17449</v>
      </c>
      <c r="D28" s="83" t="s">
        <v>17450</v>
      </c>
      <c r="E28" s="83" t="s">
        <v>16340</v>
      </c>
      <c r="F28" s="83" t="s">
        <v>17451</v>
      </c>
      <c r="G28" s="83" t="s">
        <v>17452</v>
      </c>
    </row>
  </sheetData>
  <sheetProtection algorithmName="SHA-512" hashValue="CNwTwSMOAAp5CS+WAdWi2mEE6rTzYgxSoxq27s0Sac7Z1dv7ksUMBtNU0fkPhChvp5AG25heb+1jnSPOqLndlg==" saltValue="ufFB2P2DHBs2Ob+Zxj7HVg==" spinCount="100000" sheet="1" scenarios="1" formatColumns="0" sort="0" autoFilter="0"/>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E8627-98B5-4A45-8659-0C2490C3AF49}">
  <sheetPr codeName="Sheet60"/>
  <dimension ref="A1:I30"/>
  <sheetViews>
    <sheetView workbookViewId="0"/>
  </sheetViews>
  <sheetFormatPr defaultRowHeight="12.75"/>
  <sheetData>
    <row r="1" spans="1:9">
      <c r="A1">
        <v>28</v>
      </c>
      <c r="B1">
        <v>9</v>
      </c>
      <c r="C1" t="s">
        <v>17453</v>
      </c>
    </row>
    <row r="2" spans="1:9">
      <c r="A2" t="s">
        <v>570</v>
      </c>
      <c r="B2" t="s">
        <v>445</v>
      </c>
      <c r="C2" t="s">
        <v>418</v>
      </c>
      <c r="D2" t="s">
        <v>16643</v>
      </c>
      <c r="E2" t="s">
        <v>336</v>
      </c>
      <c r="F2" t="s">
        <v>331</v>
      </c>
      <c r="G2" t="s">
        <v>16644</v>
      </c>
      <c r="H2" t="s">
        <v>16543</v>
      </c>
      <c r="I2" t="s">
        <v>16645</v>
      </c>
    </row>
    <row r="3" spans="1:9">
      <c r="A3" s="83" t="s">
        <v>17454</v>
      </c>
      <c r="B3" s="83" t="s">
        <v>17455</v>
      </c>
      <c r="C3" s="83" t="s">
        <v>17456</v>
      </c>
      <c r="D3" s="83" t="s">
        <v>17455</v>
      </c>
      <c r="E3" s="83" t="s">
        <v>17457</v>
      </c>
      <c r="F3" s="83" t="s">
        <v>17458</v>
      </c>
      <c r="G3" s="83" t="s">
        <v>16338</v>
      </c>
      <c r="H3" s="83" t="s">
        <v>16338</v>
      </c>
      <c r="I3" s="83" t="s">
        <v>17459</v>
      </c>
    </row>
    <row r="4" spans="1:9">
      <c r="A4" s="83" t="s">
        <v>17460</v>
      </c>
      <c r="B4" s="83" t="s">
        <v>17461</v>
      </c>
      <c r="C4" s="83" t="s">
        <v>17462</v>
      </c>
      <c r="D4" s="83" t="s">
        <v>17461</v>
      </c>
      <c r="E4" s="83" t="s">
        <v>17463</v>
      </c>
      <c r="F4" s="83" t="s">
        <v>17464</v>
      </c>
      <c r="G4" s="83" t="s">
        <v>16338</v>
      </c>
      <c r="H4" s="83" t="s">
        <v>16338</v>
      </c>
      <c r="I4" s="83" t="s">
        <v>17465</v>
      </c>
    </row>
    <row r="5" spans="1:9">
      <c r="A5" s="83" t="s">
        <v>17466</v>
      </c>
      <c r="B5" s="83" t="s">
        <v>17467</v>
      </c>
      <c r="C5" s="83" t="s">
        <v>17468</v>
      </c>
      <c r="D5" s="83" t="s">
        <v>17467</v>
      </c>
      <c r="E5" s="83" t="s">
        <v>17469</v>
      </c>
      <c r="F5" s="83" t="s">
        <v>17470</v>
      </c>
      <c r="G5" s="83" t="s">
        <v>16338</v>
      </c>
      <c r="H5" s="83" t="s">
        <v>16338</v>
      </c>
      <c r="I5" s="83" t="s">
        <v>17471</v>
      </c>
    </row>
    <row r="6" spans="1:9">
      <c r="A6" s="83" t="s">
        <v>17466</v>
      </c>
      <c r="B6" s="83" t="s">
        <v>17467</v>
      </c>
      <c r="C6" s="83" t="s">
        <v>17468</v>
      </c>
      <c r="D6" s="83" t="s">
        <v>17467</v>
      </c>
      <c r="E6" s="83" t="s">
        <v>17463</v>
      </c>
      <c r="F6" s="83" t="s">
        <v>17464</v>
      </c>
      <c r="G6" s="83" t="s">
        <v>16338</v>
      </c>
      <c r="H6" s="83" t="s">
        <v>16338</v>
      </c>
      <c r="I6" s="83" t="s">
        <v>17472</v>
      </c>
    </row>
    <row r="7" spans="1:9">
      <c r="A7" s="83" t="s">
        <v>17473</v>
      </c>
      <c r="B7" s="83" t="s">
        <v>17474</v>
      </c>
      <c r="C7" s="83" t="s">
        <v>17475</v>
      </c>
      <c r="D7" s="83" t="s">
        <v>17474</v>
      </c>
      <c r="E7" s="83" t="s">
        <v>17463</v>
      </c>
      <c r="F7" s="83" t="s">
        <v>17464</v>
      </c>
      <c r="G7" s="83" t="s">
        <v>16338</v>
      </c>
      <c r="H7" s="83" t="s">
        <v>16338</v>
      </c>
      <c r="I7" s="83" t="s">
        <v>17476</v>
      </c>
    </row>
    <row r="8" spans="1:9">
      <c r="A8" s="83" t="s">
        <v>17477</v>
      </c>
      <c r="B8" s="83" t="s">
        <v>17478</v>
      </c>
      <c r="C8" s="83" t="s">
        <v>17479</v>
      </c>
      <c r="D8" s="83" t="s">
        <v>17478</v>
      </c>
      <c r="E8" s="83" t="s">
        <v>17469</v>
      </c>
      <c r="F8" s="83" t="s">
        <v>17470</v>
      </c>
      <c r="G8" s="83" t="s">
        <v>17480</v>
      </c>
      <c r="H8" s="83" t="s">
        <v>16340</v>
      </c>
      <c r="I8" s="83" t="s">
        <v>17481</v>
      </c>
    </row>
    <row r="9" spans="1:9">
      <c r="A9" s="83" t="s">
        <v>17477</v>
      </c>
      <c r="B9" s="83" t="s">
        <v>17478</v>
      </c>
      <c r="C9" s="83" t="s">
        <v>17479</v>
      </c>
      <c r="D9" s="83" t="s">
        <v>17478</v>
      </c>
      <c r="E9" s="83" t="s">
        <v>17463</v>
      </c>
      <c r="F9" s="83" t="s">
        <v>17464</v>
      </c>
      <c r="G9" s="83" t="s">
        <v>17480</v>
      </c>
      <c r="H9" s="83" t="s">
        <v>16340</v>
      </c>
      <c r="I9" s="83" t="s">
        <v>17482</v>
      </c>
    </row>
    <row r="10" spans="1:9">
      <c r="A10" s="83" t="s">
        <v>17483</v>
      </c>
      <c r="B10" s="83" t="s">
        <v>17484</v>
      </c>
      <c r="C10" s="83" t="s">
        <v>17485</v>
      </c>
      <c r="D10" s="83" t="s">
        <v>17484</v>
      </c>
      <c r="E10" s="83" t="s">
        <v>17486</v>
      </c>
      <c r="F10" s="83" t="s">
        <v>17487</v>
      </c>
      <c r="G10" s="83" t="s">
        <v>17484</v>
      </c>
      <c r="H10" s="83" t="s">
        <v>16340</v>
      </c>
      <c r="I10" s="83" t="s">
        <v>17488</v>
      </c>
    </row>
    <row r="11" spans="1:9">
      <c r="A11" s="83" t="s">
        <v>17483</v>
      </c>
      <c r="B11" s="83" t="s">
        <v>17484</v>
      </c>
      <c r="C11" s="83" t="s">
        <v>17485</v>
      </c>
      <c r="D11" s="83" t="s">
        <v>17484</v>
      </c>
      <c r="E11" s="83" t="s">
        <v>17489</v>
      </c>
      <c r="F11" s="83" t="s">
        <v>17490</v>
      </c>
      <c r="G11" s="83" t="s">
        <v>17484</v>
      </c>
      <c r="H11" s="83" t="s">
        <v>16340</v>
      </c>
      <c r="I11" s="83" t="s">
        <v>17491</v>
      </c>
    </row>
    <row r="12" spans="1:9">
      <c r="A12" s="83" t="s">
        <v>17483</v>
      </c>
      <c r="B12" s="83" t="s">
        <v>17484</v>
      </c>
      <c r="C12" s="83" t="s">
        <v>17485</v>
      </c>
      <c r="D12" s="83" t="s">
        <v>17484</v>
      </c>
      <c r="E12" s="83" t="s">
        <v>17492</v>
      </c>
      <c r="F12" s="83" t="s">
        <v>17493</v>
      </c>
      <c r="G12" s="83" t="s">
        <v>17484</v>
      </c>
      <c r="H12" s="83" t="s">
        <v>16340</v>
      </c>
      <c r="I12" s="83" t="s">
        <v>17494</v>
      </c>
    </row>
    <row r="13" spans="1:9">
      <c r="A13" s="83" t="s">
        <v>17495</v>
      </c>
      <c r="B13" s="83" t="s">
        <v>17496</v>
      </c>
      <c r="C13" s="83" t="s">
        <v>17497</v>
      </c>
      <c r="D13" s="83" t="s">
        <v>17496</v>
      </c>
      <c r="E13" s="83" t="s">
        <v>17498</v>
      </c>
      <c r="F13" s="83" t="s">
        <v>17499</v>
      </c>
      <c r="G13" s="83" t="s">
        <v>17500</v>
      </c>
      <c r="H13" s="83" t="s">
        <v>16340</v>
      </c>
      <c r="I13" s="83" t="s">
        <v>17501</v>
      </c>
    </row>
    <row r="14" spans="1:9">
      <c r="A14" s="83" t="s">
        <v>17495</v>
      </c>
      <c r="B14" s="83" t="s">
        <v>17496</v>
      </c>
      <c r="C14" s="83" t="s">
        <v>17497</v>
      </c>
      <c r="D14" s="83" t="s">
        <v>17496</v>
      </c>
      <c r="E14" s="83" t="s">
        <v>17502</v>
      </c>
      <c r="F14" s="83" t="s">
        <v>17503</v>
      </c>
      <c r="G14" s="83" t="s">
        <v>17500</v>
      </c>
      <c r="H14" s="83" t="s">
        <v>16340</v>
      </c>
      <c r="I14" s="83" t="s">
        <v>17504</v>
      </c>
    </row>
    <row r="15" spans="1:9">
      <c r="A15" s="83" t="s">
        <v>17505</v>
      </c>
      <c r="B15" s="83" t="s">
        <v>17506</v>
      </c>
      <c r="C15" s="83" t="s">
        <v>17507</v>
      </c>
      <c r="D15" s="83" t="s">
        <v>17506</v>
      </c>
      <c r="E15" s="83" t="s">
        <v>17508</v>
      </c>
      <c r="F15" s="83" t="s">
        <v>17509</v>
      </c>
      <c r="G15" s="83" t="s">
        <v>17506</v>
      </c>
      <c r="H15" s="83" t="s">
        <v>16340</v>
      </c>
      <c r="I15" s="83" t="s">
        <v>17510</v>
      </c>
    </row>
    <row r="16" spans="1:9">
      <c r="A16" s="83" t="s">
        <v>17505</v>
      </c>
      <c r="B16" s="83" t="s">
        <v>17506</v>
      </c>
      <c r="C16" s="83" t="s">
        <v>17507</v>
      </c>
      <c r="D16" s="83" t="s">
        <v>17506</v>
      </c>
      <c r="E16" s="83" t="s">
        <v>17511</v>
      </c>
      <c r="F16" s="83" t="s">
        <v>17512</v>
      </c>
      <c r="G16" s="83" t="s">
        <v>17506</v>
      </c>
      <c r="H16" s="83" t="s">
        <v>16340</v>
      </c>
      <c r="I16" s="83" t="s">
        <v>17513</v>
      </c>
    </row>
    <row r="17" spans="1:9">
      <c r="A17" s="83" t="s">
        <v>17514</v>
      </c>
      <c r="B17" s="83" t="s">
        <v>17515</v>
      </c>
      <c r="C17" s="83" t="s">
        <v>17516</v>
      </c>
      <c r="D17" s="83" t="s">
        <v>17515</v>
      </c>
      <c r="E17" s="83" t="s">
        <v>17517</v>
      </c>
      <c r="F17" s="83" t="s">
        <v>17518</v>
      </c>
      <c r="G17" s="83" t="s">
        <v>17519</v>
      </c>
      <c r="H17" s="83" t="s">
        <v>16340</v>
      </c>
      <c r="I17" s="83" t="s">
        <v>17520</v>
      </c>
    </row>
    <row r="18" spans="1:9">
      <c r="A18" s="83" t="s">
        <v>17514</v>
      </c>
      <c r="B18" s="83" t="s">
        <v>17515</v>
      </c>
      <c r="C18" s="83" t="s">
        <v>17516</v>
      </c>
      <c r="D18" s="83" t="s">
        <v>17515</v>
      </c>
      <c r="E18" s="83" t="s">
        <v>17521</v>
      </c>
      <c r="F18" s="83" t="s">
        <v>17522</v>
      </c>
      <c r="G18" s="83" t="s">
        <v>17519</v>
      </c>
      <c r="H18" s="83" t="s">
        <v>16340</v>
      </c>
      <c r="I18" s="83" t="s">
        <v>17523</v>
      </c>
    </row>
    <row r="19" spans="1:9">
      <c r="A19" s="83" t="s">
        <v>17514</v>
      </c>
      <c r="B19" s="83" t="s">
        <v>17515</v>
      </c>
      <c r="C19" s="83" t="s">
        <v>17516</v>
      </c>
      <c r="D19" s="83" t="s">
        <v>17515</v>
      </c>
      <c r="E19" s="83" t="s">
        <v>17524</v>
      </c>
      <c r="F19" s="83" t="s">
        <v>17525</v>
      </c>
      <c r="G19" s="83" t="s">
        <v>17519</v>
      </c>
      <c r="H19" s="83" t="s">
        <v>16340</v>
      </c>
      <c r="I19" s="83" t="s">
        <v>17526</v>
      </c>
    </row>
    <row r="20" spans="1:9">
      <c r="A20" s="83" t="s">
        <v>17527</v>
      </c>
      <c r="B20" s="83" t="s">
        <v>17528</v>
      </c>
      <c r="C20" s="83" t="s">
        <v>17529</v>
      </c>
      <c r="D20" s="83" t="s">
        <v>17528</v>
      </c>
      <c r="E20" s="83" t="s">
        <v>17530</v>
      </c>
      <c r="F20" s="83" t="s">
        <v>17531</v>
      </c>
      <c r="G20" s="83" t="s">
        <v>17532</v>
      </c>
      <c r="H20" s="83" t="s">
        <v>16340</v>
      </c>
      <c r="I20" s="83" t="s">
        <v>17533</v>
      </c>
    </row>
    <row r="21" spans="1:9">
      <c r="A21" s="83" t="s">
        <v>17527</v>
      </c>
      <c r="B21" s="83" t="s">
        <v>17528</v>
      </c>
      <c r="C21" s="83" t="s">
        <v>17529</v>
      </c>
      <c r="D21" s="83" t="s">
        <v>17528</v>
      </c>
      <c r="E21" s="83" t="s">
        <v>17534</v>
      </c>
      <c r="F21" s="83" t="s">
        <v>17535</v>
      </c>
      <c r="G21" s="83" t="s">
        <v>17532</v>
      </c>
      <c r="H21" s="83" t="s">
        <v>16340</v>
      </c>
      <c r="I21" s="83" t="s">
        <v>17536</v>
      </c>
    </row>
    <row r="22" spans="1:9">
      <c r="A22" s="83" t="s">
        <v>17527</v>
      </c>
      <c r="B22" s="83" t="s">
        <v>17528</v>
      </c>
      <c r="C22" s="83" t="s">
        <v>17529</v>
      </c>
      <c r="D22" s="83" t="s">
        <v>17528</v>
      </c>
      <c r="E22" s="83" t="s">
        <v>17537</v>
      </c>
      <c r="F22" s="83" t="s">
        <v>17538</v>
      </c>
      <c r="G22" s="83" t="s">
        <v>17532</v>
      </c>
      <c r="H22" s="83" t="s">
        <v>16340</v>
      </c>
      <c r="I22" s="83" t="s">
        <v>17539</v>
      </c>
    </row>
    <row r="23" spans="1:9">
      <c r="A23" s="83" t="s">
        <v>17540</v>
      </c>
      <c r="B23" s="83" t="s">
        <v>17541</v>
      </c>
      <c r="C23" s="83" t="s">
        <v>17542</v>
      </c>
      <c r="D23" s="83" t="s">
        <v>17541</v>
      </c>
      <c r="E23" s="83" t="s">
        <v>17543</v>
      </c>
      <c r="F23" s="83" t="s">
        <v>17544</v>
      </c>
      <c r="G23" s="83" t="s">
        <v>17545</v>
      </c>
      <c r="H23" s="83" t="s">
        <v>16340</v>
      </c>
      <c r="I23" s="83" t="s">
        <v>17546</v>
      </c>
    </row>
    <row r="24" spans="1:9">
      <c r="A24" s="83" t="s">
        <v>17540</v>
      </c>
      <c r="B24" s="83" t="s">
        <v>17541</v>
      </c>
      <c r="C24" s="83" t="s">
        <v>17542</v>
      </c>
      <c r="D24" s="83" t="s">
        <v>17541</v>
      </c>
      <c r="E24" s="83" t="s">
        <v>17547</v>
      </c>
      <c r="F24" s="83" t="s">
        <v>17548</v>
      </c>
      <c r="G24" s="83" t="s">
        <v>17545</v>
      </c>
      <c r="H24" s="83" t="s">
        <v>16340</v>
      </c>
      <c r="I24" s="83" t="s">
        <v>17549</v>
      </c>
    </row>
    <row r="25" spans="1:9">
      <c r="A25" s="83" t="s">
        <v>17550</v>
      </c>
      <c r="B25" s="83" t="s">
        <v>17551</v>
      </c>
      <c r="C25" s="83" t="s">
        <v>17552</v>
      </c>
      <c r="D25" s="83" t="s">
        <v>17551</v>
      </c>
      <c r="E25" s="83" t="s">
        <v>17553</v>
      </c>
      <c r="F25" s="83" t="s">
        <v>17554</v>
      </c>
      <c r="G25" s="83" t="s">
        <v>17545</v>
      </c>
      <c r="H25" s="83" t="s">
        <v>16340</v>
      </c>
      <c r="I25" s="83" t="s">
        <v>17555</v>
      </c>
    </row>
    <row r="26" spans="1:9">
      <c r="A26" s="83" t="s">
        <v>17550</v>
      </c>
      <c r="B26" s="83" t="s">
        <v>17551</v>
      </c>
      <c r="C26" s="83" t="s">
        <v>17552</v>
      </c>
      <c r="D26" s="83" t="s">
        <v>17551</v>
      </c>
      <c r="E26" s="83" t="s">
        <v>17556</v>
      </c>
      <c r="F26" s="83" t="s">
        <v>17557</v>
      </c>
      <c r="G26" s="83" t="s">
        <v>17545</v>
      </c>
      <c r="H26" s="83" t="s">
        <v>16340</v>
      </c>
      <c r="I26" s="83" t="s">
        <v>17558</v>
      </c>
    </row>
    <row r="27" spans="1:9">
      <c r="A27" s="83" t="s">
        <v>17550</v>
      </c>
      <c r="B27" s="83" t="s">
        <v>17551</v>
      </c>
      <c r="C27" s="83" t="s">
        <v>17552</v>
      </c>
      <c r="D27" s="83" t="s">
        <v>17551</v>
      </c>
      <c r="E27" s="83" t="s">
        <v>17559</v>
      </c>
      <c r="F27" s="83" t="s">
        <v>17560</v>
      </c>
      <c r="G27" s="83" t="s">
        <v>17545</v>
      </c>
      <c r="H27" s="83" t="s">
        <v>16340</v>
      </c>
      <c r="I27" s="83" t="s">
        <v>17561</v>
      </c>
    </row>
    <row r="28" spans="1:9">
      <c r="A28" s="83" t="s">
        <v>17562</v>
      </c>
      <c r="B28" s="83" t="s">
        <v>17563</v>
      </c>
      <c r="C28" s="83" t="s">
        <v>17564</v>
      </c>
      <c r="D28" s="83" t="s">
        <v>17563</v>
      </c>
      <c r="E28" s="83" t="s">
        <v>17565</v>
      </c>
      <c r="F28" s="83" t="s">
        <v>17566</v>
      </c>
      <c r="G28" s="83" t="s">
        <v>16339</v>
      </c>
      <c r="H28" s="83" t="s">
        <v>16339</v>
      </c>
      <c r="I28" s="83" t="s">
        <v>17567</v>
      </c>
    </row>
    <row r="29" spans="1:9">
      <c r="A29" s="83" t="s">
        <v>17568</v>
      </c>
      <c r="B29" s="83" t="s">
        <v>17569</v>
      </c>
      <c r="C29" s="83" t="s">
        <v>17570</v>
      </c>
      <c r="D29" s="83" t="s">
        <v>17569</v>
      </c>
      <c r="E29" s="83" t="s">
        <v>17571</v>
      </c>
      <c r="F29" s="83" t="s">
        <v>17572</v>
      </c>
      <c r="G29" s="83" t="s">
        <v>16339</v>
      </c>
      <c r="H29" s="83" t="s">
        <v>16339</v>
      </c>
      <c r="I29" s="83" t="s">
        <v>17573</v>
      </c>
    </row>
    <row r="30" spans="1:9">
      <c r="A30" s="83" t="s">
        <v>17568</v>
      </c>
      <c r="B30" s="83" t="s">
        <v>17569</v>
      </c>
      <c r="C30" s="83" t="s">
        <v>17570</v>
      </c>
      <c r="D30" s="83" t="s">
        <v>17569</v>
      </c>
      <c r="E30" s="83" t="s">
        <v>17574</v>
      </c>
      <c r="F30" s="83" t="s">
        <v>17575</v>
      </c>
      <c r="G30" s="83" t="s">
        <v>16339</v>
      </c>
      <c r="H30" s="83" t="s">
        <v>16339</v>
      </c>
      <c r="I30" s="83" t="s">
        <v>17576</v>
      </c>
    </row>
  </sheetData>
  <sheetProtection algorithmName="SHA-512" hashValue="eiPtBIX9uPLiuREQul8ocp1WRNNrh381g533rdOQvZNG8tP/xAbm1akbx+KIfWuZwIXMudBex61XlIZURNxszw==" saltValue="Wfn7h6OguRX88qvp5Db0WQ==" spinCount="100000" sheet="1" scenarios="1" formatColumns="0" sort="0" autoFilter="0"/>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5CE1B-81E5-4544-9297-D1C5D2404BDD}">
  <sheetPr codeName="Sheet61"/>
  <dimension ref="A1:C19"/>
  <sheetViews>
    <sheetView workbookViewId="0"/>
  </sheetViews>
  <sheetFormatPr defaultRowHeight="12.75"/>
  <sheetData>
    <row r="1" spans="1:3">
      <c r="A1">
        <v>17</v>
      </c>
      <c r="B1">
        <v>3</v>
      </c>
      <c r="C1" t="s">
        <v>17577</v>
      </c>
    </row>
    <row r="2" spans="1:3">
      <c r="A2" t="s">
        <v>326</v>
      </c>
      <c r="B2" t="s">
        <v>401</v>
      </c>
      <c r="C2" t="s">
        <v>499</v>
      </c>
    </row>
    <row r="3" spans="1:3">
      <c r="A3" s="83" t="s">
        <v>17578</v>
      </c>
      <c r="B3" s="83" t="s">
        <v>17579</v>
      </c>
      <c r="C3" s="83" t="s">
        <v>17580</v>
      </c>
    </row>
    <row r="4" spans="1:3">
      <c r="A4" s="83" t="s">
        <v>17581</v>
      </c>
      <c r="B4" s="83" t="s">
        <v>17582</v>
      </c>
      <c r="C4" s="83" t="s">
        <v>17583</v>
      </c>
    </row>
    <row r="5" spans="1:3">
      <c r="A5" s="83" t="s">
        <v>17584</v>
      </c>
      <c r="B5" s="83" t="s">
        <v>17585</v>
      </c>
      <c r="C5" s="83" t="s">
        <v>17586</v>
      </c>
    </row>
    <row r="6" spans="1:3">
      <c r="A6" s="83" t="s">
        <v>17587</v>
      </c>
      <c r="B6" s="83" t="s">
        <v>17588</v>
      </c>
      <c r="C6" s="83" t="s">
        <v>17589</v>
      </c>
    </row>
    <row r="7" spans="1:3">
      <c r="A7" s="83" t="s">
        <v>17590</v>
      </c>
      <c r="B7" s="83" t="s">
        <v>17591</v>
      </c>
      <c r="C7" s="83" t="s">
        <v>17592</v>
      </c>
    </row>
    <row r="8" spans="1:3">
      <c r="A8" s="83" t="s">
        <v>17593</v>
      </c>
      <c r="B8" s="83" t="s">
        <v>17594</v>
      </c>
      <c r="C8" s="83" t="s">
        <v>17595</v>
      </c>
    </row>
    <row r="9" spans="1:3">
      <c r="A9" s="83" t="s">
        <v>17596</v>
      </c>
      <c r="B9" s="83" t="s">
        <v>17597</v>
      </c>
      <c r="C9" s="83" t="s">
        <v>17598</v>
      </c>
    </row>
    <row r="10" spans="1:3">
      <c r="A10" s="83" t="s">
        <v>17599</v>
      </c>
      <c r="B10" s="83" t="s">
        <v>17600</v>
      </c>
      <c r="C10" s="83" t="s">
        <v>17601</v>
      </c>
    </row>
    <row r="11" spans="1:3">
      <c r="A11" s="83" t="s">
        <v>17602</v>
      </c>
      <c r="B11" s="83" t="s">
        <v>17603</v>
      </c>
      <c r="C11" s="83" t="s">
        <v>17604</v>
      </c>
    </row>
    <row r="12" spans="1:3">
      <c r="A12" s="83" t="s">
        <v>17605</v>
      </c>
      <c r="B12" s="83" t="s">
        <v>17606</v>
      </c>
      <c r="C12" s="83" t="s">
        <v>17607</v>
      </c>
    </row>
    <row r="13" spans="1:3">
      <c r="A13" s="83" t="s">
        <v>17608</v>
      </c>
      <c r="B13" s="83" t="s">
        <v>17609</v>
      </c>
      <c r="C13" s="83" t="s">
        <v>17610</v>
      </c>
    </row>
    <row r="14" spans="1:3">
      <c r="A14" s="83" t="s">
        <v>17611</v>
      </c>
      <c r="B14" s="83" t="s">
        <v>17612</v>
      </c>
      <c r="C14" s="83" t="s">
        <v>17613</v>
      </c>
    </row>
    <row r="15" spans="1:3">
      <c r="A15" s="83" t="s">
        <v>17614</v>
      </c>
      <c r="B15" s="83" t="s">
        <v>17615</v>
      </c>
      <c r="C15" s="83" t="s">
        <v>17616</v>
      </c>
    </row>
    <row r="16" spans="1:3">
      <c r="A16" s="83" t="s">
        <v>17617</v>
      </c>
      <c r="B16" s="83" t="s">
        <v>17618</v>
      </c>
      <c r="C16" s="83" t="s">
        <v>17619</v>
      </c>
    </row>
    <row r="17" spans="1:3">
      <c r="A17" s="83" t="s">
        <v>17620</v>
      </c>
      <c r="B17" s="83" t="s">
        <v>17621</v>
      </c>
      <c r="C17" s="83" t="s">
        <v>17622</v>
      </c>
    </row>
    <row r="18" spans="1:3">
      <c r="A18" s="83" t="s">
        <v>17623</v>
      </c>
      <c r="B18" s="83" t="s">
        <v>17624</v>
      </c>
      <c r="C18" s="83" t="s">
        <v>17625</v>
      </c>
    </row>
    <row r="19" spans="1:3">
      <c r="A19" s="83" t="s">
        <v>17626</v>
      </c>
      <c r="B19" s="83" t="s">
        <v>17627</v>
      </c>
      <c r="C19" s="83" t="s">
        <v>17628</v>
      </c>
    </row>
  </sheetData>
  <sheetProtection algorithmName="SHA-512" hashValue="ZN3BnkcDwSGNBRu49wCtKuZemlc29wScdzWc0trzvLzdI0gkqqp790H3I+jKuwMsL/XPrwbjO3cw/L1OtEfpbA==" saltValue="EXjZgmDmtAyiOAVxMJs9PQ==" spinCount="100000" sheet="1" scenarios="1" formatColumns="0" sort="0" autoFilter="0"/>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0C45D-E2C8-42CB-9E7A-C3014DC4F0D3}">
  <sheetPr codeName="Sheet62"/>
  <dimension ref="A1:D7"/>
  <sheetViews>
    <sheetView workbookViewId="0"/>
  </sheetViews>
  <sheetFormatPr defaultRowHeight="12.75"/>
  <sheetData>
    <row r="1" spans="1:4">
      <c r="A1">
        <v>5</v>
      </c>
      <c r="B1">
        <v>4</v>
      </c>
      <c r="C1" t="s">
        <v>17629</v>
      </c>
    </row>
    <row r="2" spans="1:4">
      <c r="A2" t="s">
        <v>448</v>
      </c>
      <c r="B2" t="s">
        <v>16670</v>
      </c>
      <c r="C2" t="s">
        <v>16671</v>
      </c>
      <c r="D2" t="s">
        <v>16672</v>
      </c>
    </row>
    <row r="3" spans="1:4">
      <c r="A3" s="83" t="s">
        <v>17630</v>
      </c>
      <c r="B3" s="83" t="s">
        <v>17631</v>
      </c>
      <c r="C3" s="83" t="s">
        <v>17632</v>
      </c>
      <c r="D3" s="83" t="s">
        <v>17633</v>
      </c>
    </row>
    <row r="4" spans="1:4">
      <c r="A4" s="83" t="s">
        <v>17634</v>
      </c>
      <c r="B4" s="83" t="s">
        <v>17635</v>
      </c>
      <c r="C4" s="83" t="s">
        <v>17635</v>
      </c>
      <c r="D4" s="83" t="s">
        <v>17633</v>
      </c>
    </row>
    <row r="5" spans="1:4">
      <c r="A5" s="83" t="s">
        <v>17636</v>
      </c>
      <c r="B5" s="83" t="s">
        <v>17637</v>
      </c>
      <c r="C5" s="83" t="s">
        <v>17458</v>
      </c>
      <c r="D5" s="83" t="s">
        <v>17638</v>
      </c>
    </row>
    <row r="6" spans="1:4">
      <c r="A6" s="83" t="s">
        <v>17639</v>
      </c>
      <c r="B6" s="83" t="s">
        <v>17640</v>
      </c>
      <c r="C6" s="83" t="s">
        <v>17641</v>
      </c>
      <c r="D6" s="83" t="s">
        <v>17641</v>
      </c>
    </row>
    <row r="7" spans="1:4">
      <c r="A7" s="83" t="s">
        <v>17642</v>
      </c>
      <c r="B7" s="83" t="s">
        <v>17643</v>
      </c>
      <c r="C7" s="83" t="s">
        <v>17644</v>
      </c>
      <c r="D7" s="83" t="s">
        <v>17641</v>
      </c>
    </row>
  </sheetData>
  <sheetProtection algorithmName="SHA-512" hashValue="4J2En9VXngjIdkUwlU0JEOf5oyj9pDcn+suS8Q/O3lOYD+T+Rw6SHoLpHuN9SDldX8rO85NElc1eAt7FPR2DJg==" saltValue="bM/RIVVe+1gEKX3umkrGrQ==" spinCount="100000" sheet="1" scenarios="1" formatColumns="0" sort="0" autoFilter="0"/>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A6681-EB9F-48D9-9459-5576FF99D01A}">
  <sheetPr codeName="Sheet63"/>
  <dimension ref="A1:C14"/>
  <sheetViews>
    <sheetView workbookViewId="0"/>
  </sheetViews>
  <sheetFormatPr defaultRowHeight="12.75"/>
  <sheetData>
    <row r="1" spans="1:3">
      <c r="A1">
        <v>12</v>
      </c>
      <c r="B1">
        <v>3</v>
      </c>
      <c r="C1" t="s">
        <v>17645</v>
      </c>
    </row>
    <row r="2" spans="1:3">
      <c r="A2" t="s">
        <v>427</v>
      </c>
      <c r="B2" t="s">
        <v>375</v>
      </c>
      <c r="C2" t="s">
        <v>16684</v>
      </c>
    </row>
    <row r="3" spans="1:3">
      <c r="A3" s="83" t="s">
        <v>17646</v>
      </c>
      <c r="B3" s="83" t="s">
        <v>17647</v>
      </c>
      <c r="C3" s="83" t="s">
        <v>17648</v>
      </c>
    </row>
    <row r="4" spans="1:3">
      <c r="A4" s="83" t="s">
        <v>17649</v>
      </c>
      <c r="B4" s="83" t="s">
        <v>17650</v>
      </c>
      <c r="C4" s="83" t="s">
        <v>17648</v>
      </c>
    </row>
    <row r="5" spans="1:3">
      <c r="A5" s="83" t="s">
        <v>17651</v>
      </c>
      <c r="B5" s="83" t="s">
        <v>17652</v>
      </c>
      <c r="C5" s="83" t="s">
        <v>17632</v>
      </c>
    </row>
    <row r="6" spans="1:3">
      <c r="A6" s="83" t="s">
        <v>17653</v>
      </c>
      <c r="B6" s="83" t="s">
        <v>17654</v>
      </c>
      <c r="C6" s="83" t="s">
        <v>17648</v>
      </c>
    </row>
    <row r="7" spans="1:3">
      <c r="A7" s="83" t="s">
        <v>17655</v>
      </c>
      <c r="B7" s="83" t="s">
        <v>17656</v>
      </c>
      <c r="C7" s="83" t="s">
        <v>17648</v>
      </c>
    </row>
    <row r="8" spans="1:3">
      <c r="A8" s="83" t="s">
        <v>17657</v>
      </c>
      <c r="B8" s="83" t="s">
        <v>17658</v>
      </c>
      <c r="C8" s="83" t="s">
        <v>17632</v>
      </c>
    </row>
    <row r="9" spans="1:3">
      <c r="A9" s="83" t="s">
        <v>17659</v>
      </c>
      <c r="B9" s="83" t="s">
        <v>17660</v>
      </c>
      <c r="C9" s="83" t="s">
        <v>17632</v>
      </c>
    </row>
    <row r="10" spans="1:3">
      <c r="A10" s="83" t="s">
        <v>17661</v>
      </c>
      <c r="B10" s="83" t="s">
        <v>17662</v>
      </c>
      <c r="C10" s="83" t="s">
        <v>17632</v>
      </c>
    </row>
    <row r="11" spans="1:3">
      <c r="A11" s="83" t="s">
        <v>17663</v>
      </c>
      <c r="B11" s="83" t="s">
        <v>17664</v>
      </c>
      <c r="C11" s="83" t="s">
        <v>17648</v>
      </c>
    </row>
    <row r="12" spans="1:3">
      <c r="A12" s="83" t="s">
        <v>17665</v>
      </c>
      <c r="B12" s="83" t="s">
        <v>17666</v>
      </c>
      <c r="C12" s="83" t="s">
        <v>17632</v>
      </c>
    </row>
    <row r="13" spans="1:3">
      <c r="A13" s="83" t="s">
        <v>17667</v>
      </c>
      <c r="B13" s="83" t="s">
        <v>17668</v>
      </c>
      <c r="C13" s="83" t="s">
        <v>17632</v>
      </c>
    </row>
    <row r="14" spans="1:3">
      <c r="A14" s="83" t="s">
        <v>17669</v>
      </c>
      <c r="B14" s="83" t="s">
        <v>17670</v>
      </c>
      <c r="C14" s="83" t="s">
        <v>17632</v>
      </c>
    </row>
  </sheetData>
  <sheetProtection algorithmName="SHA-512" hashValue="SiXsYQdRlaJ//W8+rKMRl6/UQPHqnJn4kLr3/Efyv+2nhJS/RxPYQzfZfdbSuDA8VJSMNr6Tosc//kipYje5wg==" saltValue="ymZxHZD18EMTKDqi/rlHRQ==" spinCount="100000" sheet="1" scenarios="1" formatColumns="0" sort="0" autoFilter="0"/>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17478-67C6-45EA-91FB-C5CE7EEFA2D3}">
  <sheetPr codeName="Sheet64"/>
  <dimension ref="A1:C83"/>
  <sheetViews>
    <sheetView workbookViewId="0"/>
  </sheetViews>
  <sheetFormatPr defaultRowHeight="12.75"/>
  <sheetData>
    <row r="1" spans="1:3">
      <c r="A1">
        <v>81</v>
      </c>
      <c r="B1">
        <v>3</v>
      </c>
      <c r="C1" t="s">
        <v>17671</v>
      </c>
    </row>
    <row r="2" spans="1:3">
      <c r="A2" t="s">
        <v>16699</v>
      </c>
      <c r="B2" t="s">
        <v>16700</v>
      </c>
      <c r="C2" t="s">
        <v>16701</v>
      </c>
    </row>
    <row r="3" spans="1:3">
      <c r="A3" s="83" t="s">
        <v>17672</v>
      </c>
      <c r="B3" s="83" t="s">
        <v>4565</v>
      </c>
      <c r="C3" s="83" t="s">
        <v>17673</v>
      </c>
    </row>
    <row r="4" spans="1:3">
      <c r="A4" s="83" t="s">
        <v>17674</v>
      </c>
      <c r="B4" s="83" t="s">
        <v>15351</v>
      </c>
      <c r="C4" s="83" t="s">
        <v>17675</v>
      </c>
    </row>
    <row r="5" spans="1:3">
      <c r="A5" s="83" t="s">
        <v>17676</v>
      </c>
      <c r="B5" s="83" t="s">
        <v>15358</v>
      </c>
      <c r="C5" s="83" t="s">
        <v>17677</v>
      </c>
    </row>
    <row r="6" spans="1:3">
      <c r="A6" s="83" t="s">
        <v>17678</v>
      </c>
      <c r="B6" s="83" t="s">
        <v>15363</v>
      </c>
      <c r="C6" s="83" t="s">
        <v>17679</v>
      </c>
    </row>
    <row r="7" spans="1:3">
      <c r="A7" s="83" t="s">
        <v>17680</v>
      </c>
      <c r="B7" s="83" t="s">
        <v>15368</v>
      </c>
      <c r="C7" s="83" t="s">
        <v>17681</v>
      </c>
    </row>
    <row r="8" spans="1:3">
      <c r="A8" s="83" t="s">
        <v>17682</v>
      </c>
      <c r="B8" s="83" t="s">
        <v>15374</v>
      </c>
      <c r="C8" s="83" t="s">
        <v>17683</v>
      </c>
    </row>
    <row r="9" spans="1:3">
      <c r="A9" s="83" t="s">
        <v>17684</v>
      </c>
      <c r="B9" s="83" t="s">
        <v>15378</v>
      </c>
      <c r="C9" s="83" t="s">
        <v>17673</v>
      </c>
    </row>
    <row r="10" spans="1:3">
      <c r="A10" s="83" t="s">
        <v>17685</v>
      </c>
      <c r="B10" s="83" t="s">
        <v>15383</v>
      </c>
      <c r="C10" s="83" t="s">
        <v>17681</v>
      </c>
    </row>
    <row r="11" spans="1:3">
      <c r="A11" s="83" t="s">
        <v>17686</v>
      </c>
      <c r="B11" s="83" t="s">
        <v>15387</v>
      </c>
      <c r="C11" s="83" t="s">
        <v>17677</v>
      </c>
    </row>
    <row r="12" spans="1:3">
      <c r="A12" s="83" t="s">
        <v>17687</v>
      </c>
      <c r="B12" s="83" t="s">
        <v>4530</v>
      </c>
      <c r="C12" s="83" t="s">
        <v>17688</v>
      </c>
    </row>
    <row r="13" spans="1:3">
      <c r="A13" s="83" t="s">
        <v>17689</v>
      </c>
      <c r="B13" s="83" t="s">
        <v>15395</v>
      </c>
      <c r="C13" s="83" t="s">
        <v>17688</v>
      </c>
    </row>
    <row r="14" spans="1:3">
      <c r="A14" s="83" t="s">
        <v>17690</v>
      </c>
      <c r="B14" s="83" t="s">
        <v>15399</v>
      </c>
      <c r="C14" s="83" t="s">
        <v>17679</v>
      </c>
    </row>
    <row r="15" spans="1:3">
      <c r="A15" s="83" t="s">
        <v>17691</v>
      </c>
      <c r="B15" s="83" t="s">
        <v>15403</v>
      </c>
      <c r="C15" s="83" t="s">
        <v>17679</v>
      </c>
    </row>
    <row r="16" spans="1:3">
      <c r="A16" s="83" t="s">
        <v>17692</v>
      </c>
      <c r="B16" s="83" t="s">
        <v>15407</v>
      </c>
      <c r="C16" s="83" t="s">
        <v>17681</v>
      </c>
    </row>
    <row r="17" spans="1:3">
      <c r="A17" s="83" t="s">
        <v>17693</v>
      </c>
      <c r="B17" s="83" t="s">
        <v>15413</v>
      </c>
      <c r="C17" s="83" t="s">
        <v>17673</v>
      </c>
    </row>
    <row r="18" spans="1:3">
      <c r="A18" s="83" t="s">
        <v>17694</v>
      </c>
      <c r="B18" s="83" t="s">
        <v>15417</v>
      </c>
      <c r="C18" s="83" t="s">
        <v>17688</v>
      </c>
    </row>
    <row r="19" spans="1:3">
      <c r="A19" s="83" t="s">
        <v>17695</v>
      </c>
      <c r="B19" s="83" t="s">
        <v>15419</v>
      </c>
      <c r="C19" s="83" t="s">
        <v>17688</v>
      </c>
    </row>
    <row r="20" spans="1:3">
      <c r="A20" s="83" t="s">
        <v>17696</v>
      </c>
      <c r="B20" s="83" t="s">
        <v>15421</v>
      </c>
      <c r="C20" s="83" t="s">
        <v>17683</v>
      </c>
    </row>
    <row r="21" spans="1:3">
      <c r="A21" s="83" t="s">
        <v>17697</v>
      </c>
      <c r="B21" s="83" t="s">
        <v>15426</v>
      </c>
      <c r="C21" s="83" t="s">
        <v>17681</v>
      </c>
    </row>
    <row r="22" spans="1:3">
      <c r="A22" s="83" t="s">
        <v>17698</v>
      </c>
      <c r="B22" s="83" t="s">
        <v>15432</v>
      </c>
      <c r="C22" s="83" t="s">
        <v>17677</v>
      </c>
    </row>
    <row r="23" spans="1:3">
      <c r="A23" s="83" t="s">
        <v>17699</v>
      </c>
      <c r="B23" s="83" t="s">
        <v>15439</v>
      </c>
      <c r="C23" s="83" t="s">
        <v>17675</v>
      </c>
    </row>
    <row r="24" spans="1:3">
      <c r="A24" s="83" t="s">
        <v>17700</v>
      </c>
      <c r="B24" s="83" t="s">
        <v>15445</v>
      </c>
      <c r="C24" s="83" t="s">
        <v>17688</v>
      </c>
    </row>
    <row r="25" spans="1:3">
      <c r="A25" s="83" t="s">
        <v>17701</v>
      </c>
      <c r="B25" s="83" t="s">
        <v>15451</v>
      </c>
      <c r="C25" s="83" t="s">
        <v>17679</v>
      </c>
    </row>
    <row r="26" spans="1:3">
      <c r="A26" s="83" t="s">
        <v>17702</v>
      </c>
      <c r="B26" s="83" t="s">
        <v>15456</v>
      </c>
      <c r="C26" s="83" t="s">
        <v>17679</v>
      </c>
    </row>
    <row r="27" spans="1:3">
      <c r="A27" s="83" t="s">
        <v>17703</v>
      </c>
      <c r="B27" s="83" t="s">
        <v>17704</v>
      </c>
      <c r="C27" s="83" t="s">
        <v>17679</v>
      </c>
    </row>
    <row r="28" spans="1:3">
      <c r="A28" s="83" t="s">
        <v>17705</v>
      </c>
      <c r="B28" s="83" t="s">
        <v>17706</v>
      </c>
      <c r="C28" s="83" t="s">
        <v>17683</v>
      </c>
    </row>
    <row r="29" spans="1:3">
      <c r="A29" s="83" t="s">
        <v>17707</v>
      </c>
      <c r="B29" s="83" t="s">
        <v>17708</v>
      </c>
      <c r="C29" s="83" t="s">
        <v>17675</v>
      </c>
    </row>
    <row r="30" spans="1:3">
      <c r="A30" s="83" t="s">
        <v>17709</v>
      </c>
      <c r="B30" s="83" t="s">
        <v>17710</v>
      </c>
      <c r="C30" s="83" t="s">
        <v>17681</v>
      </c>
    </row>
    <row r="31" spans="1:3">
      <c r="A31" s="83" t="s">
        <v>17711</v>
      </c>
      <c r="B31" s="83" t="s">
        <v>17712</v>
      </c>
      <c r="C31" s="83" t="s">
        <v>17681</v>
      </c>
    </row>
    <row r="32" spans="1:3">
      <c r="A32" s="83" t="s">
        <v>17713</v>
      </c>
      <c r="B32" s="83" t="s">
        <v>17714</v>
      </c>
      <c r="C32" s="83" t="s">
        <v>17679</v>
      </c>
    </row>
    <row r="33" spans="1:3">
      <c r="A33" s="83" t="s">
        <v>17715</v>
      </c>
      <c r="B33" s="83" t="s">
        <v>17716</v>
      </c>
      <c r="C33" s="83" t="s">
        <v>17673</v>
      </c>
    </row>
    <row r="34" spans="1:3">
      <c r="A34" s="83" t="s">
        <v>17717</v>
      </c>
      <c r="B34" s="83" t="s">
        <v>17718</v>
      </c>
      <c r="C34" s="83" t="s">
        <v>17673</v>
      </c>
    </row>
    <row r="35" spans="1:3">
      <c r="A35" s="83" t="s">
        <v>17719</v>
      </c>
      <c r="B35" s="83" t="s">
        <v>17720</v>
      </c>
      <c r="C35" s="83" t="s">
        <v>17673</v>
      </c>
    </row>
    <row r="36" spans="1:3">
      <c r="A36" s="83" t="s">
        <v>17721</v>
      </c>
      <c r="B36" s="83" t="s">
        <v>17722</v>
      </c>
      <c r="C36" s="83" t="s">
        <v>17688</v>
      </c>
    </row>
    <row r="37" spans="1:3">
      <c r="A37" s="83" t="s">
        <v>17723</v>
      </c>
      <c r="B37" s="83" t="s">
        <v>17724</v>
      </c>
      <c r="C37" s="83" t="s">
        <v>17677</v>
      </c>
    </row>
    <row r="38" spans="1:3">
      <c r="A38" s="83" t="s">
        <v>17725</v>
      </c>
      <c r="B38" s="83" t="s">
        <v>17726</v>
      </c>
      <c r="C38" s="83" t="s">
        <v>17679</v>
      </c>
    </row>
    <row r="39" spans="1:3">
      <c r="A39" s="83" t="s">
        <v>17727</v>
      </c>
      <c r="B39" s="83" t="s">
        <v>17728</v>
      </c>
      <c r="C39" s="83" t="s">
        <v>17681</v>
      </c>
    </row>
    <row r="40" spans="1:3">
      <c r="A40" s="83" t="s">
        <v>17729</v>
      </c>
      <c r="B40" s="83" t="s">
        <v>17730</v>
      </c>
      <c r="C40" s="83" t="s">
        <v>17683</v>
      </c>
    </row>
    <row r="41" spans="1:3">
      <c r="A41" s="83" t="s">
        <v>17731</v>
      </c>
      <c r="B41" s="83" t="s">
        <v>17732</v>
      </c>
      <c r="C41" s="83" t="s">
        <v>17688</v>
      </c>
    </row>
    <row r="42" spans="1:3">
      <c r="A42" s="83" t="s">
        <v>17733</v>
      </c>
      <c r="B42" s="83" t="s">
        <v>17734</v>
      </c>
      <c r="C42" s="83" t="s">
        <v>17683</v>
      </c>
    </row>
    <row r="43" spans="1:3">
      <c r="A43" s="83" t="s">
        <v>17735</v>
      </c>
      <c r="B43" s="83" t="s">
        <v>17736</v>
      </c>
      <c r="C43" s="83" t="s">
        <v>17688</v>
      </c>
    </row>
    <row r="44" spans="1:3">
      <c r="A44" s="83" t="s">
        <v>17737</v>
      </c>
      <c r="B44" s="83" t="s">
        <v>17738</v>
      </c>
      <c r="C44" s="83" t="s">
        <v>17683</v>
      </c>
    </row>
    <row r="45" spans="1:3">
      <c r="A45" s="83" t="s">
        <v>17739</v>
      </c>
      <c r="B45" s="83" t="s">
        <v>17740</v>
      </c>
      <c r="C45" s="83" t="s">
        <v>17677</v>
      </c>
    </row>
    <row r="46" spans="1:3">
      <c r="A46" s="83" t="s">
        <v>17741</v>
      </c>
      <c r="B46" s="83" t="s">
        <v>17742</v>
      </c>
      <c r="C46" s="83" t="s">
        <v>17679</v>
      </c>
    </row>
    <row r="47" spans="1:3">
      <c r="A47" s="83" t="s">
        <v>17743</v>
      </c>
      <c r="B47" s="83" t="s">
        <v>17744</v>
      </c>
      <c r="C47" s="83" t="s">
        <v>17677</v>
      </c>
    </row>
    <row r="48" spans="1:3">
      <c r="A48" s="83" t="s">
        <v>17745</v>
      </c>
      <c r="B48" s="83" t="s">
        <v>17746</v>
      </c>
      <c r="C48" s="83" t="s">
        <v>17673</v>
      </c>
    </row>
    <row r="49" spans="1:3">
      <c r="A49" s="83" t="s">
        <v>17747</v>
      </c>
      <c r="B49" s="83" t="s">
        <v>17748</v>
      </c>
      <c r="C49" s="83" t="s">
        <v>17675</v>
      </c>
    </row>
    <row r="50" spans="1:3">
      <c r="A50" s="83" t="s">
        <v>17749</v>
      </c>
      <c r="B50" s="83" t="s">
        <v>17750</v>
      </c>
      <c r="C50" s="83" t="s">
        <v>17677</v>
      </c>
    </row>
    <row r="51" spans="1:3">
      <c r="A51" s="83" t="s">
        <v>17751</v>
      </c>
      <c r="B51" s="83" t="s">
        <v>17752</v>
      </c>
      <c r="C51" s="83" t="s">
        <v>17679</v>
      </c>
    </row>
    <row r="52" spans="1:3">
      <c r="A52" s="83" t="s">
        <v>17753</v>
      </c>
      <c r="B52" s="83" t="s">
        <v>17754</v>
      </c>
      <c r="C52" s="83" t="s">
        <v>17683</v>
      </c>
    </row>
    <row r="53" spans="1:3">
      <c r="A53" s="83" t="s">
        <v>17755</v>
      </c>
      <c r="B53" s="83" t="s">
        <v>17756</v>
      </c>
      <c r="C53" s="83" t="s">
        <v>17683</v>
      </c>
    </row>
    <row r="54" spans="1:3">
      <c r="A54" s="83" t="s">
        <v>17757</v>
      </c>
      <c r="B54" s="83" t="s">
        <v>17758</v>
      </c>
      <c r="C54" s="83" t="s">
        <v>17681</v>
      </c>
    </row>
    <row r="55" spans="1:3">
      <c r="A55" s="83" t="s">
        <v>17759</v>
      </c>
      <c r="B55" s="83" t="s">
        <v>17760</v>
      </c>
      <c r="C55" s="83" t="s">
        <v>17681</v>
      </c>
    </row>
    <row r="56" spans="1:3">
      <c r="A56" s="83" t="s">
        <v>17761</v>
      </c>
      <c r="B56" s="83" t="s">
        <v>17762</v>
      </c>
      <c r="C56" s="83" t="s">
        <v>17688</v>
      </c>
    </row>
    <row r="57" spans="1:3">
      <c r="A57" s="83" t="s">
        <v>17763</v>
      </c>
      <c r="B57" s="83" t="s">
        <v>17764</v>
      </c>
      <c r="C57" s="83" t="s">
        <v>17681</v>
      </c>
    </row>
    <row r="58" spans="1:3">
      <c r="A58" s="83" t="s">
        <v>17765</v>
      </c>
      <c r="B58" s="83" t="s">
        <v>17766</v>
      </c>
      <c r="C58" s="83" t="s">
        <v>17675</v>
      </c>
    </row>
    <row r="59" spans="1:3">
      <c r="A59" s="83" t="s">
        <v>17767</v>
      </c>
      <c r="B59" s="83" t="s">
        <v>17768</v>
      </c>
      <c r="C59" s="83" t="s">
        <v>17681</v>
      </c>
    </row>
    <row r="60" spans="1:3">
      <c r="A60" s="83" t="s">
        <v>17769</v>
      </c>
      <c r="B60" s="83" t="s">
        <v>17770</v>
      </c>
      <c r="C60" s="83" t="s">
        <v>17683</v>
      </c>
    </row>
    <row r="61" spans="1:3">
      <c r="A61" s="83" t="s">
        <v>17771</v>
      </c>
      <c r="B61" s="83" t="s">
        <v>17772</v>
      </c>
      <c r="C61" s="83" t="s">
        <v>17688</v>
      </c>
    </row>
    <row r="62" spans="1:3">
      <c r="A62" s="83" t="s">
        <v>17773</v>
      </c>
      <c r="B62" s="83" t="s">
        <v>17774</v>
      </c>
      <c r="C62" s="83" t="s">
        <v>17681</v>
      </c>
    </row>
    <row r="63" spans="1:3">
      <c r="A63" s="83" t="s">
        <v>17775</v>
      </c>
      <c r="B63" s="83" t="s">
        <v>17776</v>
      </c>
      <c r="C63" s="83" t="s">
        <v>17681</v>
      </c>
    </row>
    <row r="64" spans="1:3">
      <c r="A64" s="83" t="s">
        <v>17777</v>
      </c>
      <c r="B64" s="83" t="s">
        <v>17778</v>
      </c>
      <c r="C64" s="83" t="s">
        <v>17679</v>
      </c>
    </row>
    <row r="65" spans="1:3">
      <c r="A65" s="83" t="s">
        <v>17779</v>
      </c>
      <c r="B65" s="83" t="s">
        <v>17780</v>
      </c>
      <c r="C65" s="83" t="s">
        <v>17675</v>
      </c>
    </row>
    <row r="66" spans="1:3">
      <c r="A66" s="83" t="s">
        <v>17781</v>
      </c>
      <c r="B66" s="83" t="s">
        <v>17782</v>
      </c>
      <c r="C66" s="83" t="s">
        <v>17677</v>
      </c>
    </row>
    <row r="67" spans="1:3">
      <c r="A67" s="83" t="s">
        <v>17783</v>
      </c>
      <c r="B67" s="83" t="s">
        <v>17784</v>
      </c>
      <c r="C67" s="83" t="s">
        <v>17679</v>
      </c>
    </row>
    <row r="68" spans="1:3">
      <c r="A68" s="83" t="s">
        <v>17785</v>
      </c>
      <c r="B68" s="83" t="s">
        <v>17786</v>
      </c>
      <c r="C68" s="83" t="s">
        <v>17683</v>
      </c>
    </row>
    <row r="69" spans="1:3">
      <c r="A69" s="83" t="s">
        <v>17787</v>
      </c>
      <c r="B69" s="83" t="s">
        <v>17788</v>
      </c>
      <c r="C69" s="83" t="s">
        <v>17681</v>
      </c>
    </row>
    <row r="70" spans="1:3">
      <c r="A70" s="83" t="s">
        <v>17789</v>
      </c>
      <c r="B70" s="83" t="s">
        <v>17790</v>
      </c>
      <c r="C70" s="83" t="s">
        <v>17683</v>
      </c>
    </row>
    <row r="71" spans="1:3">
      <c r="A71" s="83" t="s">
        <v>17791</v>
      </c>
      <c r="B71" s="83" t="s">
        <v>17792</v>
      </c>
      <c r="C71" s="83" t="s">
        <v>17681</v>
      </c>
    </row>
    <row r="72" spans="1:3">
      <c r="A72" s="83" t="s">
        <v>17793</v>
      </c>
      <c r="B72" s="83" t="s">
        <v>17794</v>
      </c>
      <c r="C72" s="83" t="s">
        <v>17683</v>
      </c>
    </row>
    <row r="73" spans="1:3">
      <c r="A73" s="83" t="s">
        <v>17795</v>
      </c>
      <c r="B73" s="83" t="s">
        <v>17796</v>
      </c>
      <c r="C73" s="83" t="s">
        <v>17683</v>
      </c>
    </row>
    <row r="74" spans="1:3">
      <c r="A74" s="83" t="s">
        <v>17797</v>
      </c>
      <c r="B74" s="83" t="s">
        <v>17798</v>
      </c>
      <c r="C74" s="83" t="s">
        <v>17675</v>
      </c>
    </row>
    <row r="75" spans="1:3">
      <c r="A75" s="83" t="s">
        <v>17799</v>
      </c>
      <c r="B75" s="83" t="s">
        <v>17800</v>
      </c>
      <c r="C75" s="83" t="s">
        <v>17675</v>
      </c>
    </row>
    <row r="76" spans="1:3">
      <c r="A76" s="83" t="s">
        <v>17801</v>
      </c>
      <c r="B76" s="83" t="s">
        <v>17802</v>
      </c>
      <c r="C76" s="83" t="s">
        <v>17681</v>
      </c>
    </row>
    <row r="77" spans="1:3">
      <c r="A77" s="83" t="s">
        <v>17803</v>
      </c>
      <c r="B77" s="83" t="s">
        <v>17804</v>
      </c>
      <c r="C77" s="83" t="s">
        <v>17679</v>
      </c>
    </row>
    <row r="78" spans="1:3">
      <c r="A78" s="83" t="s">
        <v>17805</v>
      </c>
      <c r="B78" s="83" t="s">
        <v>17806</v>
      </c>
      <c r="C78" s="83" t="s">
        <v>17679</v>
      </c>
    </row>
    <row r="79" spans="1:3">
      <c r="A79" s="83" t="s">
        <v>17807</v>
      </c>
      <c r="B79" s="83" t="s">
        <v>17808</v>
      </c>
      <c r="C79" s="83" t="s">
        <v>17688</v>
      </c>
    </row>
    <row r="80" spans="1:3">
      <c r="A80" s="83" t="s">
        <v>17809</v>
      </c>
      <c r="B80" s="83" t="s">
        <v>17810</v>
      </c>
      <c r="C80" s="83" t="s">
        <v>17681</v>
      </c>
    </row>
    <row r="81" spans="1:3">
      <c r="A81" s="83" t="s">
        <v>17811</v>
      </c>
      <c r="B81" s="83" t="s">
        <v>17812</v>
      </c>
      <c r="C81" s="83" t="s">
        <v>17675</v>
      </c>
    </row>
    <row r="82" spans="1:3">
      <c r="A82" s="83" t="s">
        <v>17813</v>
      </c>
      <c r="B82" s="83" t="s">
        <v>17814</v>
      </c>
      <c r="C82" s="83" t="s">
        <v>17673</v>
      </c>
    </row>
    <row r="83" spans="1:3">
      <c r="A83" s="83" t="s">
        <v>17815</v>
      </c>
      <c r="B83" s="83" t="s">
        <v>17816</v>
      </c>
      <c r="C83" s="83" t="s">
        <v>17681</v>
      </c>
    </row>
  </sheetData>
  <sheetProtection algorithmName="SHA-512" hashValue="sPScQyPOqkIV8wkzMIDxopL3905Jp3enjtq0sj9+L9Xh/w8EyXrwGlTVVUuKq3McBnxEvvah0tkw/Y/097YImA==" saltValue="1dzD3O/mLFuExWdiuKJo3Q==" spinCount="100000" sheet="1" scenarios="1" formatColumns="0" sort="0" autoFilter="0"/>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01853-476F-4730-ACF8-D14142B5EFA1}">
  <sheetPr codeName="Sheet65"/>
  <dimension ref="A1:E7"/>
  <sheetViews>
    <sheetView workbookViewId="0"/>
  </sheetViews>
  <sheetFormatPr defaultRowHeight="12.75"/>
  <sheetData>
    <row r="1" spans="1:5">
      <c r="A1">
        <v>5</v>
      </c>
      <c r="B1">
        <v>5</v>
      </c>
      <c r="C1" t="s">
        <v>17817</v>
      </c>
    </row>
    <row r="2" spans="1:5">
      <c r="A2" t="s">
        <v>127</v>
      </c>
      <c r="B2" t="s">
        <v>16771</v>
      </c>
      <c r="C2" t="s">
        <v>16772</v>
      </c>
      <c r="D2" t="s">
        <v>16546</v>
      </c>
      <c r="E2" t="s">
        <v>16773</v>
      </c>
    </row>
    <row r="3" spans="1:5">
      <c r="A3" s="83" t="s">
        <v>4507</v>
      </c>
      <c r="B3" s="83" t="s">
        <v>17818</v>
      </c>
      <c r="C3" s="83" t="s">
        <v>17819</v>
      </c>
      <c r="D3" s="83" t="s">
        <v>4565</v>
      </c>
      <c r="E3" s="83" t="s">
        <v>4550</v>
      </c>
    </row>
    <row r="4" spans="1:5">
      <c r="A4" s="83" t="s">
        <v>5010</v>
      </c>
      <c r="B4" s="83" t="s">
        <v>17820</v>
      </c>
      <c r="C4" s="83" t="s">
        <v>17821</v>
      </c>
      <c r="D4" s="83" t="s">
        <v>15351</v>
      </c>
      <c r="E4" s="83" t="s">
        <v>4606</v>
      </c>
    </row>
    <row r="5" spans="1:5">
      <c r="A5" s="83" t="s">
        <v>5012</v>
      </c>
      <c r="B5" s="83" t="s">
        <v>5014</v>
      </c>
      <c r="C5" s="83" t="s">
        <v>5014</v>
      </c>
      <c r="D5" s="83" t="s">
        <v>15358</v>
      </c>
      <c r="E5" s="83" t="s">
        <v>4606</v>
      </c>
    </row>
    <row r="6" spans="1:5">
      <c r="A6" s="83" t="s">
        <v>5015</v>
      </c>
      <c r="B6" s="83" t="s">
        <v>17822</v>
      </c>
      <c r="C6" s="83" t="s">
        <v>17823</v>
      </c>
      <c r="D6" s="83" t="s">
        <v>15363</v>
      </c>
      <c r="E6" s="83" t="s">
        <v>4606</v>
      </c>
    </row>
    <row r="7" spans="1:5">
      <c r="A7" s="83" t="s">
        <v>5017</v>
      </c>
      <c r="B7" s="83" t="s">
        <v>17824</v>
      </c>
      <c r="C7" s="83" t="s">
        <v>17825</v>
      </c>
      <c r="D7" s="83" t="s">
        <v>15368</v>
      </c>
      <c r="E7" s="83" t="s">
        <v>4606</v>
      </c>
    </row>
  </sheetData>
  <sheetProtection algorithmName="SHA-512" hashValue="6HvAx5pIXaCoz07atsw/6BuwHfLyCx5T/OYSX3RfyFzPAt3hZ1zuafJL+CsA5FA9fRRvJNDWidFzdbTwpHPLvw==" saltValue="ZLBOgu4GCndz+TR6+XFFqA==" spinCount="100000" sheet="1" scenarios="1" formatColumns="0" sort="0" autoFilter="0"/>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6043E-6EBB-41B8-8723-7703CD59945D}">
  <sheetPr codeName="Sheet66"/>
  <dimension ref="A1:D8"/>
  <sheetViews>
    <sheetView workbookViewId="0"/>
  </sheetViews>
  <sheetFormatPr defaultRowHeight="12.75"/>
  <sheetData>
    <row r="1" spans="1:4">
      <c r="A1">
        <v>6</v>
      </c>
      <c r="B1">
        <v>4</v>
      </c>
      <c r="C1" t="s">
        <v>17826</v>
      </c>
    </row>
    <row r="2" spans="1:4">
      <c r="A2" t="s">
        <v>16783</v>
      </c>
      <c r="B2" t="s">
        <v>16546</v>
      </c>
      <c r="C2" t="s">
        <v>16784</v>
      </c>
      <c r="D2" t="s">
        <v>16785</v>
      </c>
    </row>
    <row r="3" spans="1:4">
      <c r="A3" s="83" t="s">
        <v>17827</v>
      </c>
      <c r="B3" s="83" t="s">
        <v>4565</v>
      </c>
      <c r="C3" s="83" t="s">
        <v>4570</v>
      </c>
      <c r="D3" s="83" t="s">
        <v>15456</v>
      </c>
    </row>
    <row r="4" spans="1:4">
      <c r="A4" s="83" t="s">
        <v>17828</v>
      </c>
      <c r="B4" s="83" t="s">
        <v>15351</v>
      </c>
      <c r="C4" s="83" t="s">
        <v>17704</v>
      </c>
      <c r="D4" s="83" t="s">
        <v>17722</v>
      </c>
    </row>
    <row r="5" spans="1:4">
      <c r="A5" s="83" t="s">
        <v>17829</v>
      </c>
      <c r="B5" s="83" t="s">
        <v>15358</v>
      </c>
      <c r="C5" s="83" t="s">
        <v>17724</v>
      </c>
      <c r="D5" s="83" t="s">
        <v>17742</v>
      </c>
    </row>
    <row r="6" spans="1:4">
      <c r="A6" s="83" t="s">
        <v>17830</v>
      </c>
      <c r="B6" s="83" t="s">
        <v>15363</v>
      </c>
      <c r="C6" s="83" t="s">
        <v>17744</v>
      </c>
      <c r="D6" s="83" t="s">
        <v>17762</v>
      </c>
    </row>
    <row r="7" spans="1:4">
      <c r="A7" s="83" t="s">
        <v>17831</v>
      </c>
      <c r="B7" s="83" t="s">
        <v>15368</v>
      </c>
      <c r="C7" s="83" t="s">
        <v>17764</v>
      </c>
      <c r="D7" s="83" t="s">
        <v>17782</v>
      </c>
    </row>
    <row r="8" spans="1:4">
      <c r="A8" s="83" t="s">
        <v>17832</v>
      </c>
      <c r="B8" s="83" t="s">
        <v>15374</v>
      </c>
      <c r="C8" s="83" t="s">
        <v>17784</v>
      </c>
      <c r="D8" s="83" t="s">
        <v>17833</v>
      </c>
    </row>
  </sheetData>
  <sheetProtection algorithmName="SHA-512" hashValue="91oXI6Du+H3H19X36h9cEtO/8yM1xITmnhjbljvtgAdpz1JyXHINL/IRoz/cKxDAkTS2WC2iEtD6T2nlTsLe/w==" saltValue="Tz66LTj7strggINrA/8SWg==" spinCount="100000" sheet="1" scenarios="1" formatColumns="0" sort="0" autoFilter="0"/>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2FE44-B84E-4305-82B8-8B661D59B805}">
  <sheetPr codeName="Sheet67"/>
  <dimension ref="A1:D11"/>
  <sheetViews>
    <sheetView workbookViewId="0"/>
  </sheetViews>
  <sheetFormatPr defaultRowHeight="12.75"/>
  <sheetData>
    <row r="1" spans="1:4">
      <c r="A1">
        <v>9</v>
      </c>
      <c r="B1">
        <v>4</v>
      </c>
      <c r="C1" t="s">
        <v>17834</v>
      </c>
    </row>
    <row r="2" spans="1:4">
      <c r="A2" t="s">
        <v>16787</v>
      </c>
      <c r="B2" t="s">
        <v>16546</v>
      </c>
      <c r="C2" t="s">
        <v>16788</v>
      </c>
      <c r="D2" t="s">
        <v>16789</v>
      </c>
    </row>
    <row r="3" spans="1:4">
      <c r="A3" s="83" t="s">
        <v>17835</v>
      </c>
      <c r="B3" s="83" t="s">
        <v>4565</v>
      </c>
      <c r="C3" s="83" t="s">
        <v>4570</v>
      </c>
      <c r="D3" s="83" t="s">
        <v>15378</v>
      </c>
    </row>
    <row r="4" spans="1:4">
      <c r="A4" s="83" t="s">
        <v>17836</v>
      </c>
      <c r="B4" s="83" t="s">
        <v>15351</v>
      </c>
      <c r="C4" s="83" t="s">
        <v>15383</v>
      </c>
      <c r="D4" s="83" t="s">
        <v>15407</v>
      </c>
    </row>
    <row r="5" spans="1:4">
      <c r="A5" s="83" t="s">
        <v>17837</v>
      </c>
      <c r="B5" s="83" t="s">
        <v>15358</v>
      </c>
      <c r="C5" s="83" t="s">
        <v>15413</v>
      </c>
      <c r="D5" s="83" t="s">
        <v>17714</v>
      </c>
    </row>
    <row r="6" spans="1:4">
      <c r="A6" s="83" t="s">
        <v>17838</v>
      </c>
      <c r="B6" s="83" t="s">
        <v>15363</v>
      </c>
      <c r="C6" s="83" t="s">
        <v>17716</v>
      </c>
      <c r="D6" s="83" t="s">
        <v>17774</v>
      </c>
    </row>
    <row r="7" spans="1:4">
      <c r="A7" s="83" t="s">
        <v>17839</v>
      </c>
      <c r="B7" s="83" t="s">
        <v>15368</v>
      </c>
      <c r="C7" s="83" t="s">
        <v>17776</v>
      </c>
      <c r="D7" s="83" t="s">
        <v>17840</v>
      </c>
    </row>
    <row r="8" spans="1:4">
      <c r="A8" s="83" t="s">
        <v>17841</v>
      </c>
      <c r="B8" s="83" t="s">
        <v>15374</v>
      </c>
      <c r="C8" s="83" t="s">
        <v>17842</v>
      </c>
      <c r="D8" s="83" t="s">
        <v>17843</v>
      </c>
    </row>
    <row r="9" spans="1:4">
      <c r="A9" s="83" t="s">
        <v>17844</v>
      </c>
      <c r="B9" s="83" t="s">
        <v>15378</v>
      </c>
      <c r="C9" s="83" t="s">
        <v>17845</v>
      </c>
      <c r="D9" s="83" t="s">
        <v>17846</v>
      </c>
    </row>
    <row r="10" spans="1:4">
      <c r="A10" s="83" t="s">
        <v>17847</v>
      </c>
      <c r="B10" s="83" t="s">
        <v>15383</v>
      </c>
      <c r="C10" s="83" t="s">
        <v>17848</v>
      </c>
      <c r="D10" s="83" t="s">
        <v>17849</v>
      </c>
    </row>
    <row r="11" spans="1:4">
      <c r="A11" s="83" t="s">
        <v>17850</v>
      </c>
      <c r="B11" s="83" t="s">
        <v>15387</v>
      </c>
      <c r="C11" s="83" t="s">
        <v>17851</v>
      </c>
      <c r="D11" s="83" t="s">
        <v>17852</v>
      </c>
    </row>
  </sheetData>
  <sheetProtection algorithmName="SHA-512" hashValue="bvot3mncga8M2M2rfgqE9SZolbfgW65c7D5DJhtAW3+vlDQNk8TyDlldK50ObafaGbLlvCVgvmRfruQhXhkLnA==" saltValue="8b3TZn1ZlkoKoA9XVPULgg==" spinCount="100000" sheet="1" scenarios="1" formatColumns="0" sort="0" autoFilter="0"/>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0CF52-6BEC-4A3B-BDA4-51368B3B5030}">
  <sheetPr codeName="Sheet68"/>
  <dimension ref="A1:D12"/>
  <sheetViews>
    <sheetView workbookViewId="0"/>
  </sheetViews>
  <sheetFormatPr defaultRowHeight="12.75"/>
  <sheetData>
    <row r="1" spans="1:4">
      <c r="A1">
        <v>10</v>
      </c>
      <c r="B1">
        <v>4</v>
      </c>
      <c r="C1" t="s">
        <v>17853</v>
      </c>
    </row>
    <row r="2" spans="1:4">
      <c r="A2" t="s">
        <v>16800</v>
      </c>
      <c r="B2" t="s">
        <v>16546</v>
      </c>
      <c r="C2" t="s">
        <v>16801</v>
      </c>
      <c r="D2" t="s">
        <v>16802</v>
      </c>
    </row>
    <row r="3" spans="1:4">
      <c r="A3" s="83" t="s">
        <v>17854</v>
      </c>
      <c r="B3" s="83" t="s">
        <v>4565</v>
      </c>
      <c r="C3" s="83" t="s">
        <v>4570</v>
      </c>
      <c r="D3" s="83" t="s">
        <v>17855</v>
      </c>
    </row>
    <row r="4" spans="1:4">
      <c r="A4" s="83" t="s">
        <v>17856</v>
      </c>
      <c r="B4" s="83" t="s">
        <v>15351</v>
      </c>
      <c r="C4" s="83" t="s">
        <v>17857</v>
      </c>
      <c r="D4" s="83" t="s">
        <v>17858</v>
      </c>
    </row>
    <row r="5" spans="1:4">
      <c r="A5" s="83" t="s">
        <v>17859</v>
      </c>
      <c r="B5" s="83" t="s">
        <v>15358</v>
      </c>
      <c r="C5" s="83" t="s">
        <v>17860</v>
      </c>
      <c r="D5" s="83" t="s">
        <v>17861</v>
      </c>
    </row>
    <row r="6" spans="1:4">
      <c r="A6" s="83" t="s">
        <v>17862</v>
      </c>
      <c r="B6" s="83" t="s">
        <v>15363</v>
      </c>
      <c r="C6" s="83" t="s">
        <v>17863</v>
      </c>
      <c r="D6" s="83" t="s">
        <v>17864</v>
      </c>
    </row>
    <row r="7" spans="1:4">
      <c r="A7" s="83" t="s">
        <v>17865</v>
      </c>
      <c r="B7" s="83" t="s">
        <v>15368</v>
      </c>
      <c r="C7" s="83" t="s">
        <v>17866</v>
      </c>
      <c r="D7" s="83" t="s">
        <v>17867</v>
      </c>
    </row>
    <row r="8" spans="1:4">
      <c r="A8" s="83" t="s">
        <v>17868</v>
      </c>
      <c r="B8" s="83" t="s">
        <v>15374</v>
      </c>
      <c r="C8" s="83" t="s">
        <v>17869</v>
      </c>
      <c r="D8" s="83" t="s">
        <v>17870</v>
      </c>
    </row>
    <row r="9" spans="1:4">
      <c r="A9" s="83" t="s">
        <v>17871</v>
      </c>
      <c r="B9" s="83" t="s">
        <v>15378</v>
      </c>
      <c r="C9" s="83" t="s">
        <v>17872</v>
      </c>
      <c r="D9" s="83" t="s">
        <v>17873</v>
      </c>
    </row>
    <row r="10" spans="1:4">
      <c r="A10" s="83" t="s">
        <v>17874</v>
      </c>
      <c r="B10" s="83" t="s">
        <v>15383</v>
      </c>
      <c r="C10" s="83" t="s">
        <v>17875</v>
      </c>
      <c r="D10" s="83" t="s">
        <v>17876</v>
      </c>
    </row>
    <row r="11" spans="1:4">
      <c r="A11" s="83" t="s">
        <v>17877</v>
      </c>
      <c r="B11" s="83" t="s">
        <v>15387</v>
      </c>
      <c r="C11" s="83" t="s">
        <v>4576</v>
      </c>
      <c r="D11" s="83" t="s">
        <v>17878</v>
      </c>
    </row>
    <row r="12" spans="1:4">
      <c r="A12" s="83" t="s">
        <v>17879</v>
      </c>
      <c r="B12" s="83" t="s">
        <v>4570</v>
      </c>
      <c r="C12" s="83" t="s">
        <v>17880</v>
      </c>
      <c r="D12" s="83" t="s">
        <v>17881</v>
      </c>
    </row>
  </sheetData>
  <sheetProtection algorithmName="SHA-512" hashValue="+DHPvN6F5rjsyQOOXfWYeDG9yuR9mXts88ZBi2k70LXOrjepJ09+m31x7Nhuz30GXthYk7uXhrkQR5CeHmf0/w==" saltValue="UzK3dnMrMTyCwEBehepsqQ==" spinCount="100000" sheet="1" scenarios="1" formatColumns="0" sort="0" autoFilter="0"/>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5C1AA-8FB9-4364-BC47-AFA78E16AA44}">
  <sheetPr codeName="Sheet69"/>
  <dimension ref="A1:C63"/>
  <sheetViews>
    <sheetView workbookViewId="0"/>
  </sheetViews>
  <sheetFormatPr defaultRowHeight="12.75"/>
  <sheetData>
    <row r="1" spans="1:3">
      <c r="A1">
        <v>61</v>
      </c>
      <c r="B1">
        <v>3</v>
      </c>
      <c r="C1" t="s">
        <v>17882</v>
      </c>
    </row>
    <row r="2" spans="1:3">
      <c r="A2" t="s">
        <v>16814</v>
      </c>
      <c r="B2" t="s">
        <v>16815</v>
      </c>
      <c r="C2" t="s">
        <v>16546</v>
      </c>
    </row>
    <row r="3" spans="1:3">
      <c r="A3" s="83" t="s">
        <v>4570</v>
      </c>
      <c r="B3" s="83" t="s">
        <v>17883</v>
      </c>
      <c r="C3" s="83" t="s">
        <v>4570</v>
      </c>
    </row>
    <row r="4" spans="1:3">
      <c r="A4" s="83" t="s">
        <v>4565</v>
      </c>
      <c r="B4" s="83" t="s">
        <v>17884</v>
      </c>
      <c r="C4" s="83" t="s">
        <v>4565</v>
      </c>
    </row>
    <row r="5" spans="1:3">
      <c r="A5" s="83" t="s">
        <v>15351</v>
      </c>
      <c r="B5" s="83" t="s">
        <v>17885</v>
      </c>
      <c r="C5" s="83" t="s">
        <v>15351</v>
      </c>
    </row>
    <row r="6" spans="1:3">
      <c r="A6" s="83" t="s">
        <v>15358</v>
      </c>
      <c r="B6" s="83" t="s">
        <v>17886</v>
      </c>
      <c r="C6" s="83" t="s">
        <v>15358</v>
      </c>
    </row>
    <row r="7" spans="1:3">
      <c r="A7" s="83" t="s">
        <v>15363</v>
      </c>
      <c r="B7" s="83" t="s">
        <v>17887</v>
      </c>
      <c r="C7" s="83" t="s">
        <v>15363</v>
      </c>
    </row>
    <row r="8" spans="1:3">
      <c r="A8" s="83" t="s">
        <v>15368</v>
      </c>
      <c r="B8" s="83" t="s">
        <v>17888</v>
      </c>
      <c r="C8" s="83" t="s">
        <v>15368</v>
      </c>
    </row>
    <row r="9" spans="1:3">
      <c r="A9" s="83" t="s">
        <v>15374</v>
      </c>
      <c r="B9" s="83" t="s">
        <v>17889</v>
      </c>
      <c r="C9" s="83" t="s">
        <v>15374</v>
      </c>
    </row>
    <row r="10" spans="1:3">
      <c r="A10" s="83" t="s">
        <v>15378</v>
      </c>
      <c r="B10" s="83" t="s">
        <v>17890</v>
      </c>
      <c r="C10" s="83" t="s">
        <v>15378</v>
      </c>
    </row>
    <row r="11" spans="1:3">
      <c r="A11" s="83" t="s">
        <v>15383</v>
      </c>
      <c r="B11" s="83" t="s">
        <v>17891</v>
      </c>
      <c r="C11" s="83" t="s">
        <v>15383</v>
      </c>
    </row>
    <row r="12" spans="1:3">
      <c r="A12" s="83" t="s">
        <v>15387</v>
      </c>
      <c r="B12" s="83" t="s">
        <v>17892</v>
      </c>
      <c r="C12" s="83" t="s">
        <v>15387</v>
      </c>
    </row>
    <row r="13" spans="1:3">
      <c r="A13" s="83" t="s">
        <v>4530</v>
      </c>
      <c r="B13" s="83" t="s">
        <v>17893</v>
      </c>
      <c r="C13" s="83" t="s">
        <v>4530</v>
      </c>
    </row>
    <row r="14" spans="1:3">
      <c r="A14" s="83" t="s">
        <v>15395</v>
      </c>
      <c r="B14" s="83" t="s">
        <v>17894</v>
      </c>
      <c r="C14" s="83" t="s">
        <v>15395</v>
      </c>
    </row>
    <row r="15" spans="1:3">
      <c r="A15" s="83" t="s">
        <v>15399</v>
      </c>
      <c r="B15" s="83" t="s">
        <v>17895</v>
      </c>
      <c r="C15" s="83" t="s">
        <v>15399</v>
      </c>
    </row>
    <row r="16" spans="1:3">
      <c r="A16" s="83" t="s">
        <v>15403</v>
      </c>
      <c r="B16" s="83" t="s">
        <v>17896</v>
      </c>
      <c r="C16" s="83" t="s">
        <v>15403</v>
      </c>
    </row>
    <row r="17" spans="1:3">
      <c r="A17" s="83" t="s">
        <v>15407</v>
      </c>
      <c r="B17" s="83" t="s">
        <v>17897</v>
      </c>
      <c r="C17" s="83" t="s">
        <v>15407</v>
      </c>
    </row>
    <row r="18" spans="1:3">
      <c r="A18" s="83" t="s">
        <v>15413</v>
      </c>
      <c r="B18" s="83" t="s">
        <v>17898</v>
      </c>
      <c r="C18" s="83" t="s">
        <v>15413</v>
      </c>
    </row>
    <row r="19" spans="1:3">
      <c r="A19" s="83" t="s">
        <v>15417</v>
      </c>
      <c r="B19" s="83" t="s">
        <v>17899</v>
      </c>
      <c r="C19" s="83" t="s">
        <v>15417</v>
      </c>
    </row>
    <row r="20" spans="1:3">
      <c r="A20" s="83" t="s">
        <v>15419</v>
      </c>
      <c r="B20" s="83" t="s">
        <v>17900</v>
      </c>
      <c r="C20" s="83" t="s">
        <v>15419</v>
      </c>
    </row>
    <row r="21" spans="1:3">
      <c r="A21" s="83" t="s">
        <v>15421</v>
      </c>
      <c r="B21" s="83" t="s">
        <v>17901</v>
      </c>
      <c r="C21" s="83" t="s">
        <v>15421</v>
      </c>
    </row>
    <row r="22" spans="1:3">
      <c r="A22" s="83" t="s">
        <v>15426</v>
      </c>
      <c r="B22" s="83" t="s">
        <v>17902</v>
      </c>
      <c r="C22" s="83" t="s">
        <v>15426</v>
      </c>
    </row>
    <row r="23" spans="1:3">
      <c r="A23" s="83" t="s">
        <v>15432</v>
      </c>
      <c r="B23" s="83" t="s">
        <v>17903</v>
      </c>
      <c r="C23" s="83" t="s">
        <v>15432</v>
      </c>
    </row>
    <row r="24" spans="1:3">
      <c r="A24" s="83" t="s">
        <v>15439</v>
      </c>
      <c r="B24" s="83" t="s">
        <v>17904</v>
      </c>
      <c r="C24" s="83" t="s">
        <v>15439</v>
      </c>
    </row>
    <row r="25" spans="1:3">
      <c r="A25" s="83" t="s">
        <v>15445</v>
      </c>
      <c r="B25" s="83" t="s">
        <v>17905</v>
      </c>
      <c r="C25" s="83" t="s">
        <v>15445</v>
      </c>
    </row>
    <row r="26" spans="1:3">
      <c r="A26" s="83" t="s">
        <v>15451</v>
      </c>
      <c r="B26" s="83" t="s">
        <v>17906</v>
      </c>
      <c r="C26" s="83" t="s">
        <v>15451</v>
      </c>
    </row>
    <row r="27" spans="1:3">
      <c r="A27" s="83" t="s">
        <v>15456</v>
      </c>
      <c r="B27" s="83" t="s">
        <v>17907</v>
      </c>
      <c r="C27" s="83" t="s">
        <v>15456</v>
      </c>
    </row>
    <row r="28" spans="1:3">
      <c r="A28" s="83" t="s">
        <v>17704</v>
      </c>
      <c r="B28" s="83" t="s">
        <v>17908</v>
      </c>
      <c r="C28" s="83" t="s">
        <v>17704</v>
      </c>
    </row>
    <row r="29" spans="1:3">
      <c r="A29" s="83" t="s">
        <v>17706</v>
      </c>
      <c r="B29" s="83" t="s">
        <v>17909</v>
      </c>
      <c r="C29" s="83" t="s">
        <v>17706</v>
      </c>
    </row>
    <row r="30" spans="1:3">
      <c r="A30" s="83" t="s">
        <v>17708</v>
      </c>
      <c r="B30" s="83" t="s">
        <v>17910</v>
      </c>
      <c r="C30" s="83" t="s">
        <v>17708</v>
      </c>
    </row>
    <row r="31" spans="1:3">
      <c r="A31" s="83" t="s">
        <v>17710</v>
      </c>
      <c r="B31" s="83" t="s">
        <v>17911</v>
      </c>
      <c r="C31" s="83" t="s">
        <v>17710</v>
      </c>
    </row>
    <row r="32" spans="1:3">
      <c r="A32" s="83" t="s">
        <v>17712</v>
      </c>
      <c r="B32" s="83" t="s">
        <v>17912</v>
      </c>
      <c r="C32" s="83" t="s">
        <v>17712</v>
      </c>
    </row>
    <row r="33" spans="1:3">
      <c r="A33" s="83" t="s">
        <v>17714</v>
      </c>
      <c r="B33" s="83" t="s">
        <v>17913</v>
      </c>
      <c r="C33" s="83" t="s">
        <v>17714</v>
      </c>
    </row>
    <row r="34" spans="1:3">
      <c r="A34" s="83" t="s">
        <v>17716</v>
      </c>
      <c r="B34" s="83" t="s">
        <v>17914</v>
      </c>
      <c r="C34" s="83" t="s">
        <v>17716</v>
      </c>
    </row>
    <row r="35" spans="1:3">
      <c r="A35" s="83" t="s">
        <v>17718</v>
      </c>
      <c r="B35" s="83" t="s">
        <v>17915</v>
      </c>
      <c r="C35" s="83" t="s">
        <v>17718</v>
      </c>
    </row>
    <row r="36" spans="1:3">
      <c r="A36" s="83" t="s">
        <v>17720</v>
      </c>
      <c r="B36" s="83" t="s">
        <v>17916</v>
      </c>
      <c r="C36" s="83" t="s">
        <v>17720</v>
      </c>
    </row>
    <row r="37" spans="1:3">
      <c r="A37" s="83" t="s">
        <v>17722</v>
      </c>
      <c r="B37" s="83" t="s">
        <v>17917</v>
      </c>
      <c r="C37" s="83" t="s">
        <v>17722</v>
      </c>
    </row>
    <row r="38" spans="1:3">
      <c r="A38" s="83" t="s">
        <v>17724</v>
      </c>
      <c r="B38" s="83" t="s">
        <v>17918</v>
      </c>
      <c r="C38" s="83" t="s">
        <v>17724</v>
      </c>
    </row>
    <row r="39" spans="1:3">
      <c r="A39" s="83" t="s">
        <v>17726</v>
      </c>
      <c r="B39" s="83" t="s">
        <v>17919</v>
      </c>
      <c r="C39" s="83" t="s">
        <v>17726</v>
      </c>
    </row>
    <row r="40" spans="1:3">
      <c r="A40" s="83" t="s">
        <v>17728</v>
      </c>
      <c r="B40" s="83" t="s">
        <v>17920</v>
      </c>
      <c r="C40" s="83" t="s">
        <v>17728</v>
      </c>
    </row>
    <row r="41" spans="1:3">
      <c r="A41" s="83" t="s">
        <v>17730</v>
      </c>
      <c r="B41" s="83" t="s">
        <v>17921</v>
      </c>
      <c r="C41" s="83" t="s">
        <v>17730</v>
      </c>
    </row>
    <row r="42" spans="1:3">
      <c r="A42" s="83" t="s">
        <v>17732</v>
      </c>
      <c r="B42" s="83" t="s">
        <v>17922</v>
      </c>
      <c r="C42" s="83" t="s">
        <v>17732</v>
      </c>
    </row>
    <row r="43" spans="1:3">
      <c r="A43" s="83" t="s">
        <v>17734</v>
      </c>
      <c r="B43" s="83" t="s">
        <v>17923</v>
      </c>
      <c r="C43" s="83" t="s">
        <v>17734</v>
      </c>
    </row>
    <row r="44" spans="1:3">
      <c r="A44" s="83" t="s">
        <v>17736</v>
      </c>
      <c r="B44" s="83" t="s">
        <v>17924</v>
      </c>
      <c r="C44" s="83" t="s">
        <v>17736</v>
      </c>
    </row>
    <row r="45" spans="1:3">
      <c r="A45" s="83" t="s">
        <v>17738</v>
      </c>
      <c r="B45" s="83" t="s">
        <v>17925</v>
      </c>
      <c r="C45" s="83" t="s">
        <v>17738</v>
      </c>
    </row>
    <row r="46" spans="1:3">
      <c r="A46" s="83" t="s">
        <v>17740</v>
      </c>
      <c r="B46" s="83" t="s">
        <v>17926</v>
      </c>
      <c r="C46" s="83" t="s">
        <v>17740</v>
      </c>
    </row>
    <row r="47" spans="1:3">
      <c r="A47" s="83" t="s">
        <v>17742</v>
      </c>
      <c r="B47" s="83" t="s">
        <v>17927</v>
      </c>
      <c r="C47" s="83" t="s">
        <v>17742</v>
      </c>
    </row>
    <row r="48" spans="1:3">
      <c r="A48" s="83" t="s">
        <v>17744</v>
      </c>
      <c r="B48" s="83" t="s">
        <v>17928</v>
      </c>
      <c r="C48" s="83" t="s">
        <v>17744</v>
      </c>
    </row>
    <row r="49" spans="1:3">
      <c r="A49" s="83" t="s">
        <v>17746</v>
      </c>
      <c r="B49" s="83" t="s">
        <v>17929</v>
      </c>
      <c r="C49" s="83" t="s">
        <v>17746</v>
      </c>
    </row>
    <row r="50" spans="1:3">
      <c r="A50" s="83" t="s">
        <v>17748</v>
      </c>
      <c r="B50" s="83" t="s">
        <v>17930</v>
      </c>
      <c r="C50" s="83" t="s">
        <v>17748</v>
      </c>
    </row>
    <row r="51" spans="1:3">
      <c r="A51" s="83" t="s">
        <v>17750</v>
      </c>
      <c r="B51" s="83" t="s">
        <v>17931</v>
      </c>
      <c r="C51" s="83" t="s">
        <v>17750</v>
      </c>
    </row>
    <row r="52" spans="1:3">
      <c r="A52" s="83" t="s">
        <v>17752</v>
      </c>
      <c r="B52" s="83" t="s">
        <v>17932</v>
      </c>
      <c r="C52" s="83" t="s">
        <v>17752</v>
      </c>
    </row>
    <row r="53" spans="1:3">
      <c r="A53" s="83" t="s">
        <v>17754</v>
      </c>
      <c r="B53" s="83" t="s">
        <v>17933</v>
      </c>
      <c r="C53" s="83" t="s">
        <v>17754</v>
      </c>
    </row>
    <row r="54" spans="1:3">
      <c r="A54" s="83" t="s">
        <v>17756</v>
      </c>
      <c r="B54" s="83" t="s">
        <v>17934</v>
      </c>
      <c r="C54" s="83" t="s">
        <v>17756</v>
      </c>
    </row>
    <row r="55" spans="1:3">
      <c r="A55" s="83" t="s">
        <v>17758</v>
      </c>
      <c r="B55" s="83" t="s">
        <v>17935</v>
      </c>
      <c r="C55" s="83" t="s">
        <v>17758</v>
      </c>
    </row>
    <row r="56" spans="1:3">
      <c r="A56" s="83" t="s">
        <v>17760</v>
      </c>
      <c r="B56" s="83" t="s">
        <v>17936</v>
      </c>
      <c r="C56" s="83" t="s">
        <v>17760</v>
      </c>
    </row>
    <row r="57" spans="1:3">
      <c r="A57" s="83" t="s">
        <v>17762</v>
      </c>
      <c r="B57" s="83" t="s">
        <v>17937</v>
      </c>
      <c r="C57" s="83" t="s">
        <v>17762</v>
      </c>
    </row>
    <row r="58" spans="1:3">
      <c r="A58" s="83" t="s">
        <v>17764</v>
      </c>
      <c r="B58" s="83" t="s">
        <v>17938</v>
      </c>
      <c r="C58" s="83" t="s">
        <v>17764</v>
      </c>
    </row>
    <row r="59" spans="1:3">
      <c r="A59" s="83" t="s">
        <v>17766</v>
      </c>
      <c r="B59" s="83" t="s">
        <v>17939</v>
      </c>
      <c r="C59" s="83" t="s">
        <v>17766</v>
      </c>
    </row>
    <row r="60" spans="1:3">
      <c r="A60" s="83" t="s">
        <v>17768</v>
      </c>
      <c r="B60" s="83" t="s">
        <v>17940</v>
      </c>
      <c r="C60" s="83" t="s">
        <v>17768</v>
      </c>
    </row>
    <row r="61" spans="1:3">
      <c r="A61" s="83" t="s">
        <v>17770</v>
      </c>
      <c r="B61" s="83" t="s">
        <v>17941</v>
      </c>
      <c r="C61" s="83" t="s">
        <v>17770</v>
      </c>
    </row>
    <row r="62" spans="1:3">
      <c r="A62" s="83" t="s">
        <v>17772</v>
      </c>
      <c r="B62" s="83" t="s">
        <v>17942</v>
      </c>
      <c r="C62" s="83" t="s">
        <v>17772</v>
      </c>
    </row>
    <row r="63" spans="1:3">
      <c r="A63" s="83" t="s">
        <v>17774</v>
      </c>
      <c r="B63" s="83" t="s">
        <v>17943</v>
      </c>
      <c r="C63" s="83" t="s">
        <v>17774</v>
      </c>
    </row>
  </sheetData>
  <sheetProtection algorithmName="SHA-512" hashValue="eV5Ed+ivwAf4B3xKwMclGQBc//PDhrItiAzGFU7dlGlVpF01mQGTSBDnO7yb4K7hyVG+3kn/EBFhKkB74Rf8Lg==" saltValue="CHwm9r7KERTY3BrSdXDbqw==" spinCount="100000" sheet="1" scenarios="1" formatColumns="0" sort="0" autoFilter="0"/>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7DA81-99CE-4E6F-9D6A-2A2AA8D92047}">
  <sheetPr codeName="Sheet70"/>
  <dimension ref="A1:D9"/>
  <sheetViews>
    <sheetView workbookViewId="0"/>
  </sheetViews>
  <sheetFormatPr defaultRowHeight="12.75"/>
  <sheetData>
    <row r="1" spans="1:4">
      <c r="A1">
        <v>7</v>
      </c>
      <c r="B1">
        <v>4</v>
      </c>
      <c r="C1" t="s">
        <v>17944</v>
      </c>
    </row>
    <row r="2" spans="1:4">
      <c r="A2" t="s">
        <v>16878</v>
      </c>
      <c r="B2" t="s">
        <v>16546</v>
      </c>
      <c r="C2" t="s">
        <v>16879</v>
      </c>
      <c r="D2" t="s">
        <v>16880</v>
      </c>
    </row>
    <row r="3" spans="1:4">
      <c r="A3" s="83" t="s">
        <v>17945</v>
      </c>
      <c r="B3" s="83" t="s">
        <v>4565</v>
      </c>
      <c r="C3" s="83" t="s">
        <v>4570</v>
      </c>
      <c r="D3" s="83" t="s">
        <v>15358</v>
      </c>
    </row>
    <row r="4" spans="1:4">
      <c r="A4" s="83" t="s">
        <v>17946</v>
      </c>
      <c r="B4" s="83" t="s">
        <v>15351</v>
      </c>
      <c r="C4" s="83" t="s">
        <v>15363</v>
      </c>
      <c r="D4" s="83" t="s">
        <v>15374</v>
      </c>
    </row>
    <row r="5" spans="1:4">
      <c r="A5" s="83" t="s">
        <v>17947</v>
      </c>
      <c r="B5" s="83" t="s">
        <v>15358</v>
      </c>
      <c r="C5" s="83" t="s">
        <v>15378</v>
      </c>
      <c r="D5" s="83" t="s">
        <v>15399</v>
      </c>
    </row>
    <row r="6" spans="1:4">
      <c r="A6" s="83" t="s">
        <v>17948</v>
      </c>
      <c r="B6" s="83" t="s">
        <v>15363</v>
      </c>
      <c r="C6" s="83" t="s">
        <v>15403</v>
      </c>
      <c r="D6" s="83" t="s">
        <v>15456</v>
      </c>
    </row>
    <row r="7" spans="1:4">
      <c r="A7" s="83" t="s">
        <v>17949</v>
      </c>
      <c r="B7" s="83" t="s">
        <v>15368</v>
      </c>
      <c r="C7" s="83" t="s">
        <v>17704</v>
      </c>
      <c r="D7" s="83" t="s">
        <v>17774</v>
      </c>
    </row>
    <row r="8" spans="1:4">
      <c r="A8" s="83" t="s">
        <v>17950</v>
      </c>
      <c r="B8" s="83" t="s">
        <v>15374</v>
      </c>
      <c r="C8" s="83" t="s">
        <v>17776</v>
      </c>
      <c r="D8" s="83" t="s">
        <v>17951</v>
      </c>
    </row>
    <row r="9" spans="1:4">
      <c r="A9" s="83" t="s">
        <v>17952</v>
      </c>
      <c r="B9" s="83" t="s">
        <v>4570</v>
      </c>
      <c r="C9" s="83" t="s">
        <v>17953</v>
      </c>
      <c r="D9" s="83" t="s">
        <v>17852</v>
      </c>
    </row>
  </sheetData>
  <sheetProtection algorithmName="SHA-512" hashValue="lQK3jG8xPv79lCqGwFKhgP8m7VMAJoVP6QyFx3EtD4Uv4oYFs5UJAGpscRbmd2Jrr8/mrV7jMm42dX+NfoxY5w==" saltValue="stdYzxYcZR7goQNYTe0KWw==" spinCount="100000" sheet="1" scenarios="1" formatColumns="0" sort="0" autoFilter="0"/>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3641-3B3B-43AC-B83B-A1DEDA9FCC14}">
  <sheetPr codeName="Sheet71"/>
  <dimension ref="A1:E47"/>
  <sheetViews>
    <sheetView workbookViewId="0"/>
  </sheetViews>
  <sheetFormatPr defaultRowHeight="12.75"/>
  <sheetData>
    <row r="1" spans="1:5">
      <c r="A1">
        <v>45</v>
      </c>
      <c r="B1">
        <v>5</v>
      </c>
      <c r="C1" t="s">
        <v>17954</v>
      </c>
    </row>
    <row r="2" spans="1:5">
      <c r="A2" t="s">
        <v>16889</v>
      </c>
      <c r="B2" t="s">
        <v>93</v>
      </c>
      <c r="C2" t="s">
        <v>16890</v>
      </c>
      <c r="D2" t="s">
        <v>239</v>
      </c>
      <c r="E2" t="s">
        <v>4004</v>
      </c>
    </row>
    <row r="3" spans="1:5">
      <c r="A3" s="83" t="s">
        <v>17955</v>
      </c>
      <c r="B3" s="83" t="s">
        <v>4530</v>
      </c>
      <c r="C3" s="83" t="s">
        <v>17956</v>
      </c>
      <c r="D3" s="83" t="s">
        <v>17957</v>
      </c>
      <c r="E3" s="83" t="s">
        <v>17958</v>
      </c>
    </row>
    <row r="4" spans="1:5">
      <c r="A4" s="83" t="s">
        <v>17959</v>
      </c>
      <c r="B4" s="83" t="s">
        <v>15456</v>
      </c>
      <c r="C4" s="83" t="s">
        <v>17960</v>
      </c>
      <c r="D4" s="83" t="s">
        <v>17961</v>
      </c>
      <c r="E4" s="83" t="s">
        <v>17962</v>
      </c>
    </row>
    <row r="5" spans="1:5">
      <c r="A5" s="83" t="s">
        <v>17965</v>
      </c>
      <c r="B5" s="83" t="s">
        <v>17714</v>
      </c>
      <c r="C5" s="83" t="s">
        <v>17966</v>
      </c>
      <c r="D5" s="83" t="s">
        <v>17967</v>
      </c>
      <c r="E5" s="83" t="s">
        <v>17958</v>
      </c>
    </row>
    <row r="6" spans="1:5">
      <c r="A6" s="83" t="s">
        <v>17968</v>
      </c>
      <c r="B6" s="83" t="s">
        <v>15399</v>
      </c>
      <c r="C6" s="83" t="s">
        <v>17960</v>
      </c>
      <c r="D6" s="83" t="s">
        <v>17969</v>
      </c>
      <c r="E6" s="83" t="s">
        <v>17958</v>
      </c>
    </row>
    <row r="7" spans="1:5">
      <c r="A7" s="83" t="s">
        <v>17970</v>
      </c>
      <c r="B7" s="83" t="s">
        <v>15456</v>
      </c>
      <c r="C7" s="83" t="s">
        <v>17960</v>
      </c>
      <c r="D7" s="83" t="s">
        <v>17971</v>
      </c>
      <c r="E7" s="83" t="s">
        <v>17958</v>
      </c>
    </row>
    <row r="8" spans="1:5">
      <c r="A8" s="83" t="s">
        <v>17972</v>
      </c>
      <c r="B8" s="83" t="s">
        <v>15358</v>
      </c>
      <c r="C8" s="83" t="s">
        <v>17960</v>
      </c>
      <c r="D8" s="83" t="s">
        <v>17973</v>
      </c>
      <c r="E8" s="83" t="s">
        <v>17958</v>
      </c>
    </row>
    <row r="9" spans="1:5">
      <c r="A9" s="83" t="s">
        <v>17974</v>
      </c>
      <c r="B9" s="83" t="s">
        <v>15399</v>
      </c>
      <c r="C9" s="83" t="s">
        <v>17960</v>
      </c>
      <c r="D9" s="83" t="s">
        <v>17975</v>
      </c>
      <c r="E9" s="83" t="s">
        <v>17958</v>
      </c>
    </row>
    <row r="10" spans="1:5">
      <c r="A10" s="83" t="s">
        <v>17976</v>
      </c>
      <c r="B10" s="83" t="s">
        <v>17977</v>
      </c>
      <c r="C10" s="83" t="s">
        <v>17978</v>
      </c>
      <c r="D10" s="83" t="s">
        <v>17979</v>
      </c>
      <c r="E10" s="83" t="s">
        <v>17958</v>
      </c>
    </row>
    <row r="11" spans="1:5">
      <c r="A11" s="83" t="s">
        <v>17980</v>
      </c>
      <c r="B11" s="83" t="s">
        <v>4576</v>
      </c>
      <c r="C11" s="83" t="s">
        <v>4507</v>
      </c>
      <c r="D11" s="83" t="s">
        <v>17981</v>
      </c>
      <c r="E11" s="83" t="s">
        <v>17962</v>
      </c>
    </row>
    <row r="12" spans="1:5">
      <c r="A12" s="83" t="s">
        <v>18433</v>
      </c>
      <c r="B12" s="83" t="s">
        <v>17994</v>
      </c>
      <c r="C12" s="83" t="s">
        <v>17966</v>
      </c>
      <c r="D12" s="83" t="s">
        <v>18434</v>
      </c>
      <c r="E12" s="83" t="s">
        <v>17958</v>
      </c>
    </row>
    <row r="13" spans="1:5">
      <c r="A13" s="83" t="s">
        <v>18595</v>
      </c>
      <c r="B13" s="83" t="s">
        <v>4530</v>
      </c>
      <c r="C13" s="83" t="s">
        <v>17963</v>
      </c>
      <c r="D13" s="83" t="s">
        <v>18596</v>
      </c>
      <c r="E13" s="83" t="s">
        <v>17964</v>
      </c>
    </row>
    <row r="14" spans="1:5">
      <c r="A14" s="83" t="s">
        <v>18597</v>
      </c>
      <c r="B14" s="83" t="s">
        <v>17840</v>
      </c>
      <c r="C14" s="83" t="s">
        <v>17963</v>
      </c>
      <c r="D14" s="83" t="s">
        <v>18598</v>
      </c>
      <c r="E14" s="83" t="s">
        <v>17964</v>
      </c>
    </row>
    <row r="15" spans="1:5">
      <c r="A15" s="83" t="s">
        <v>18599</v>
      </c>
      <c r="B15" s="83" t="s">
        <v>4530</v>
      </c>
      <c r="C15" s="83" t="s">
        <v>17963</v>
      </c>
      <c r="D15" s="83" t="s">
        <v>18600</v>
      </c>
      <c r="E15" s="83" t="s">
        <v>17964</v>
      </c>
    </row>
    <row r="16" spans="1:5">
      <c r="A16" s="83" t="s">
        <v>18601</v>
      </c>
      <c r="B16" s="83" t="s">
        <v>17840</v>
      </c>
      <c r="C16" s="83" t="s">
        <v>17963</v>
      </c>
      <c r="D16" s="83" t="s">
        <v>18602</v>
      </c>
      <c r="E16" s="83" t="s">
        <v>17964</v>
      </c>
    </row>
    <row r="17" spans="1:5">
      <c r="A17" s="83" t="s">
        <v>18603</v>
      </c>
      <c r="B17" s="83" t="s">
        <v>4530</v>
      </c>
      <c r="C17" s="83" t="s">
        <v>17963</v>
      </c>
      <c r="D17" s="83" t="s">
        <v>18604</v>
      </c>
      <c r="E17" s="83" t="s">
        <v>17964</v>
      </c>
    </row>
    <row r="18" spans="1:5">
      <c r="A18" s="83" t="s">
        <v>18605</v>
      </c>
      <c r="B18" s="83" t="s">
        <v>17840</v>
      </c>
      <c r="C18" s="83" t="s">
        <v>17963</v>
      </c>
      <c r="D18" s="83" t="s">
        <v>18606</v>
      </c>
      <c r="E18" s="83" t="s">
        <v>17964</v>
      </c>
    </row>
    <row r="19" spans="1:5">
      <c r="A19" s="83" t="s">
        <v>18607</v>
      </c>
      <c r="B19" s="83" t="s">
        <v>4530</v>
      </c>
      <c r="C19" s="83" t="s">
        <v>17963</v>
      </c>
      <c r="D19" s="83" t="s">
        <v>18608</v>
      </c>
      <c r="E19" s="83" t="s">
        <v>17964</v>
      </c>
    </row>
    <row r="20" spans="1:5">
      <c r="A20" s="83" t="s">
        <v>18609</v>
      </c>
      <c r="B20" s="83" t="s">
        <v>17840</v>
      </c>
      <c r="C20" s="83" t="s">
        <v>17963</v>
      </c>
      <c r="D20" s="83" t="s">
        <v>18610</v>
      </c>
      <c r="E20" s="83" t="s">
        <v>17964</v>
      </c>
    </row>
    <row r="21" spans="1:5">
      <c r="A21" s="83" t="s">
        <v>19608</v>
      </c>
      <c r="B21" s="83" t="s">
        <v>17726</v>
      </c>
      <c r="C21" s="83" t="s">
        <v>17960</v>
      </c>
      <c r="D21" s="83" t="s">
        <v>19609</v>
      </c>
      <c r="E21" s="83" t="s">
        <v>17958</v>
      </c>
    </row>
    <row r="22" spans="1:5">
      <c r="A22" s="83" t="s">
        <v>19610</v>
      </c>
      <c r="B22" s="83" t="s">
        <v>15358</v>
      </c>
      <c r="C22" s="83" t="s">
        <v>17960</v>
      </c>
      <c r="D22" s="83" t="s">
        <v>19611</v>
      </c>
      <c r="E22" s="83" t="s">
        <v>17958</v>
      </c>
    </row>
    <row r="23" spans="1:5">
      <c r="A23" s="83" t="s">
        <v>19612</v>
      </c>
      <c r="B23" s="83" t="s">
        <v>19613</v>
      </c>
      <c r="C23" s="83" t="s">
        <v>18184</v>
      </c>
      <c r="D23" s="83" t="s">
        <v>19614</v>
      </c>
      <c r="E23" s="83" t="s">
        <v>17958</v>
      </c>
    </row>
    <row r="24" spans="1:5">
      <c r="A24" s="83" t="s">
        <v>19615</v>
      </c>
      <c r="B24" s="83" t="s">
        <v>15358</v>
      </c>
      <c r="C24" s="83" t="s">
        <v>17956</v>
      </c>
      <c r="D24" s="83" t="s">
        <v>19616</v>
      </c>
      <c r="E24" s="83" t="s">
        <v>17962</v>
      </c>
    </row>
    <row r="25" spans="1:5">
      <c r="A25" s="83" t="s">
        <v>19617</v>
      </c>
      <c r="B25" s="83" t="s">
        <v>15421</v>
      </c>
      <c r="C25" s="83" t="s">
        <v>17960</v>
      </c>
      <c r="D25" s="83" t="s">
        <v>19618</v>
      </c>
      <c r="E25" s="83" t="s">
        <v>17962</v>
      </c>
    </row>
    <row r="26" spans="1:5">
      <c r="A26" s="83" t="s">
        <v>19619</v>
      </c>
      <c r="B26" s="83" t="s">
        <v>17985</v>
      </c>
      <c r="C26" s="83" t="s">
        <v>19620</v>
      </c>
      <c r="D26" s="83" t="s">
        <v>20101</v>
      </c>
      <c r="E26" s="83" t="s">
        <v>17958</v>
      </c>
    </row>
    <row r="27" spans="1:5">
      <c r="A27" s="83" t="s">
        <v>20102</v>
      </c>
      <c r="B27" s="83" t="s">
        <v>20103</v>
      </c>
      <c r="C27" s="83" t="s">
        <v>18184</v>
      </c>
      <c r="D27" s="83" t="s">
        <v>20104</v>
      </c>
      <c r="E27" s="83" t="s">
        <v>17958</v>
      </c>
    </row>
    <row r="28" spans="1:5">
      <c r="A28" s="83" t="s">
        <v>20105</v>
      </c>
      <c r="B28" s="83" t="s">
        <v>4565</v>
      </c>
      <c r="C28" s="83" t="s">
        <v>18184</v>
      </c>
      <c r="D28" s="83" t="s">
        <v>20106</v>
      </c>
      <c r="E28" s="83" t="s">
        <v>17958</v>
      </c>
    </row>
    <row r="29" spans="1:5">
      <c r="A29" s="83" t="s">
        <v>20107</v>
      </c>
      <c r="B29" s="83" t="s">
        <v>20108</v>
      </c>
      <c r="C29" s="83" t="s">
        <v>18184</v>
      </c>
      <c r="D29" s="83" t="s">
        <v>20109</v>
      </c>
      <c r="E29" s="83" t="s">
        <v>17958</v>
      </c>
    </row>
    <row r="30" spans="1:5">
      <c r="A30" s="83" t="s">
        <v>20110</v>
      </c>
      <c r="B30" s="83" t="s">
        <v>15399</v>
      </c>
      <c r="C30" s="83" t="s">
        <v>17960</v>
      </c>
      <c r="D30" s="83" t="s">
        <v>20111</v>
      </c>
      <c r="E30" s="83" t="s">
        <v>17958</v>
      </c>
    </row>
    <row r="31" spans="1:5">
      <c r="A31" s="83" t="s">
        <v>20112</v>
      </c>
      <c r="B31" s="83" t="s">
        <v>17726</v>
      </c>
      <c r="C31" s="83" t="s">
        <v>17960</v>
      </c>
      <c r="D31" s="83" t="s">
        <v>20113</v>
      </c>
      <c r="E31" s="83" t="s">
        <v>17958</v>
      </c>
    </row>
    <row r="32" spans="1:5">
      <c r="A32" s="83" t="s">
        <v>20114</v>
      </c>
      <c r="B32" s="83" t="s">
        <v>20115</v>
      </c>
      <c r="C32" s="83" t="s">
        <v>18072</v>
      </c>
      <c r="D32" s="83" t="s">
        <v>20116</v>
      </c>
      <c r="E32" s="83" t="s">
        <v>17962</v>
      </c>
    </row>
    <row r="33" spans="1:5">
      <c r="A33" s="83" t="s">
        <v>20117</v>
      </c>
      <c r="B33" s="83" t="s">
        <v>20118</v>
      </c>
      <c r="C33" s="83" t="s">
        <v>18184</v>
      </c>
      <c r="D33" s="83" t="s">
        <v>20119</v>
      </c>
      <c r="E33" s="83" t="s">
        <v>17962</v>
      </c>
    </row>
    <row r="34" spans="1:5">
      <c r="A34" s="83" t="s">
        <v>20120</v>
      </c>
      <c r="B34" s="83" t="s">
        <v>18033</v>
      </c>
      <c r="C34" s="83" t="s">
        <v>18184</v>
      </c>
      <c r="D34" s="83" t="s">
        <v>20121</v>
      </c>
      <c r="E34" s="83" t="s">
        <v>17962</v>
      </c>
    </row>
    <row r="35" spans="1:5">
      <c r="A35" s="83" t="s">
        <v>20457</v>
      </c>
      <c r="B35" s="83" t="s">
        <v>20458</v>
      </c>
      <c r="C35" s="83" t="s">
        <v>20459</v>
      </c>
      <c r="D35" s="83" t="s">
        <v>20460</v>
      </c>
      <c r="E35" s="83" t="s">
        <v>17958</v>
      </c>
    </row>
    <row r="36" spans="1:5">
      <c r="A36" s="83" t="s">
        <v>20461</v>
      </c>
      <c r="B36" s="83" t="s">
        <v>20118</v>
      </c>
      <c r="C36" s="83" t="s">
        <v>18184</v>
      </c>
      <c r="D36" s="83" t="s">
        <v>20462</v>
      </c>
      <c r="E36" s="83" t="s">
        <v>17958</v>
      </c>
    </row>
    <row r="37" spans="1:5">
      <c r="A37" s="83" t="s">
        <v>20463</v>
      </c>
      <c r="B37" s="83" t="s">
        <v>15413</v>
      </c>
      <c r="C37" s="83" t="s">
        <v>20459</v>
      </c>
      <c r="D37" s="83" t="s">
        <v>20464</v>
      </c>
      <c r="E37" s="83" t="s">
        <v>17958</v>
      </c>
    </row>
    <row r="38" spans="1:5">
      <c r="A38" s="83" t="s">
        <v>20465</v>
      </c>
      <c r="B38" s="83" t="s">
        <v>17714</v>
      </c>
      <c r="C38" s="83" t="s">
        <v>20459</v>
      </c>
      <c r="D38" s="83" t="s">
        <v>20466</v>
      </c>
      <c r="E38" s="83" t="s">
        <v>17958</v>
      </c>
    </row>
    <row r="39" spans="1:5">
      <c r="A39" s="83" t="s">
        <v>20467</v>
      </c>
      <c r="B39" s="83" t="s">
        <v>20468</v>
      </c>
      <c r="C39" s="83" t="s">
        <v>18072</v>
      </c>
      <c r="D39" s="83" t="s">
        <v>20469</v>
      </c>
      <c r="E39" s="83" t="s">
        <v>17958</v>
      </c>
    </row>
    <row r="40" spans="1:5">
      <c r="A40" s="83" t="s">
        <v>21294</v>
      </c>
      <c r="B40" s="83" t="s">
        <v>15358</v>
      </c>
      <c r="C40" s="83" t="s">
        <v>21295</v>
      </c>
      <c r="D40" s="83" t="s">
        <v>21296</v>
      </c>
      <c r="E40" s="83" t="s">
        <v>17958</v>
      </c>
    </row>
    <row r="41" spans="1:5">
      <c r="A41" s="83" t="s">
        <v>21297</v>
      </c>
      <c r="B41" s="83" t="s">
        <v>20115</v>
      </c>
      <c r="C41" s="83" t="s">
        <v>21298</v>
      </c>
      <c r="D41" s="83" t="s">
        <v>21299</v>
      </c>
      <c r="E41" s="83" t="s">
        <v>17962</v>
      </c>
    </row>
    <row r="42" spans="1:5">
      <c r="A42" s="83" t="s">
        <v>21300</v>
      </c>
      <c r="B42" s="83" t="s">
        <v>15456</v>
      </c>
      <c r="C42" s="83" t="s">
        <v>17960</v>
      </c>
      <c r="D42" s="83" t="s">
        <v>21301</v>
      </c>
      <c r="E42" s="83" t="s">
        <v>17962</v>
      </c>
    </row>
    <row r="43" spans="1:5">
      <c r="A43" s="83" t="s">
        <v>21302</v>
      </c>
      <c r="B43" s="83" t="s">
        <v>4530</v>
      </c>
      <c r="C43" s="83" t="s">
        <v>21303</v>
      </c>
      <c r="D43" s="83" t="s">
        <v>21304</v>
      </c>
      <c r="E43" s="83" t="s">
        <v>17958</v>
      </c>
    </row>
    <row r="44" spans="1:5">
      <c r="A44" s="83" t="s">
        <v>22479</v>
      </c>
      <c r="B44" s="83" t="s">
        <v>15399</v>
      </c>
      <c r="C44" s="83" t="s">
        <v>22480</v>
      </c>
      <c r="D44" s="83" t="s">
        <v>22481</v>
      </c>
      <c r="E44" s="83" t="s">
        <v>17958</v>
      </c>
    </row>
    <row r="45" spans="1:5">
      <c r="A45" s="83" t="s">
        <v>22482</v>
      </c>
      <c r="B45" s="83" t="s">
        <v>22483</v>
      </c>
      <c r="C45" s="83" t="s">
        <v>18184</v>
      </c>
      <c r="D45" s="83" t="s">
        <v>22484</v>
      </c>
      <c r="E45" s="83" t="s">
        <v>17962</v>
      </c>
    </row>
    <row r="46" spans="1:5">
      <c r="A46" s="83" t="s">
        <v>22485</v>
      </c>
      <c r="B46" s="83" t="s">
        <v>4530</v>
      </c>
      <c r="C46" s="83" t="s">
        <v>20459</v>
      </c>
      <c r="D46" s="83" t="s">
        <v>22486</v>
      </c>
      <c r="E46" s="83" t="s">
        <v>17962</v>
      </c>
    </row>
    <row r="47" spans="1:5">
      <c r="A47" s="83" t="s">
        <v>22487</v>
      </c>
      <c r="B47" s="83" t="s">
        <v>15399</v>
      </c>
      <c r="C47" s="83" t="s">
        <v>22488</v>
      </c>
      <c r="D47" s="83" t="s">
        <v>22489</v>
      </c>
      <c r="E47" s="83" t="s">
        <v>17962</v>
      </c>
    </row>
  </sheetData>
  <sheetProtection algorithmName="SHA-512" hashValue="HseZE2ZYEWMKIPjKFat8xOulV0HtaHvNXrfrZtKEnHVvuNHC37BgQYQ/AnVUUdVxZSIZ4aW41mYN/MrCHLqbOg==" saltValue="X3fr0uaWH9fdkC3NGbCsww==" spinCount="100000" sheet="1" scenarios="1" formatColumns="0" sort="0" autoFilter="0"/>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CDE14-4E53-42EA-94B0-EB0A09DEE2EC}">
  <sheetPr codeName="Sheet72"/>
  <dimension ref="A1:P19"/>
  <sheetViews>
    <sheetView workbookViewId="0"/>
  </sheetViews>
  <sheetFormatPr defaultRowHeight="12.75"/>
  <sheetData>
    <row r="1" spans="1:16">
      <c r="A1">
        <v>17</v>
      </c>
      <c r="B1">
        <v>16</v>
      </c>
      <c r="C1" t="s">
        <v>17982</v>
      </c>
    </row>
    <row r="2" spans="1:16">
      <c r="A2" t="s">
        <v>16917</v>
      </c>
      <c r="B2" t="s">
        <v>16918</v>
      </c>
      <c r="C2" t="s">
        <v>16543</v>
      </c>
      <c r="D2" t="s">
        <v>3263</v>
      </c>
      <c r="E2" t="s">
        <v>16919</v>
      </c>
      <c r="F2" t="s">
        <v>15</v>
      </c>
      <c r="G2" t="s">
        <v>16920</v>
      </c>
      <c r="H2" t="s">
        <v>16921</v>
      </c>
      <c r="I2" t="s">
        <v>16922</v>
      </c>
      <c r="J2" t="s">
        <v>16923</v>
      </c>
      <c r="K2" t="s">
        <v>16924</v>
      </c>
      <c r="L2" t="s">
        <v>240</v>
      </c>
      <c r="M2" t="s">
        <v>4004</v>
      </c>
      <c r="N2" t="s">
        <v>16925</v>
      </c>
      <c r="O2" t="s">
        <v>16926</v>
      </c>
      <c r="P2" t="s">
        <v>148</v>
      </c>
    </row>
    <row r="3" spans="1:16">
      <c r="A3" s="83" t="s">
        <v>17983</v>
      </c>
      <c r="B3" s="83" t="s">
        <v>17984</v>
      </c>
      <c r="C3" s="83" t="s">
        <v>15462</v>
      </c>
      <c r="E3" s="83" t="s">
        <v>20122</v>
      </c>
      <c r="F3" s="83" t="s">
        <v>20123</v>
      </c>
      <c r="I3" s="83" t="s">
        <v>15399</v>
      </c>
      <c r="J3" s="83" t="s">
        <v>17714</v>
      </c>
      <c r="K3" s="83" t="s">
        <v>18019</v>
      </c>
      <c r="L3" s="83" t="s">
        <v>20124</v>
      </c>
      <c r="M3" s="83" t="s">
        <v>17962</v>
      </c>
      <c r="P3" s="83" t="s">
        <v>17988</v>
      </c>
    </row>
    <row r="4" spans="1:16">
      <c r="A4" s="83" t="s">
        <v>17989</v>
      </c>
      <c r="B4" s="83" t="s">
        <v>17990</v>
      </c>
      <c r="C4" s="83" t="s">
        <v>15462</v>
      </c>
      <c r="E4" s="83" t="s">
        <v>20125</v>
      </c>
      <c r="F4" s="83" t="s">
        <v>20126</v>
      </c>
      <c r="G4" s="83" t="s">
        <v>17985</v>
      </c>
      <c r="H4" s="83" t="s">
        <v>17986</v>
      </c>
      <c r="I4" s="83" t="s">
        <v>15399</v>
      </c>
      <c r="J4" s="83" t="s">
        <v>17714</v>
      </c>
      <c r="K4" s="83" t="s">
        <v>17987</v>
      </c>
      <c r="L4" s="83" t="s">
        <v>20127</v>
      </c>
      <c r="M4" s="83" t="s">
        <v>17962</v>
      </c>
      <c r="P4" s="83" t="s">
        <v>17988</v>
      </c>
    </row>
    <row r="5" spans="1:16">
      <c r="A5" s="83" t="s">
        <v>17991</v>
      </c>
      <c r="B5" s="83" t="s">
        <v>17992</v>
      </c>
      <c r="C5" s="83" t="s">
        <v>15462</v>
      </c>
      <c r="E5" s="83" t="s">
        <v>20125</v>
      </c>
      <c r="F5" s="83" t="s">
        <v>20126</v>
      </c>
      <c r="G5" s="83" t="s">
        <v>17985</v>
      </c>
      <c r="H5" s="83" t="s">
        <v>17986</v>
      </c>
      <c r="I5" s="83" t="s">
        <v>15399</v>
      </c>
      <c r="J5" s="83" t="s">
        <v>17994</v>
      </c>
      <c r="K5" s="83" t="s">
        <v>17987</v>
      </c>
      <c r="L5" s="83" t="s">
        <v>20128</v>
      </c>
      <c r="M5" s="83" t="s">
        <v>17962</v>
      </c>
      <c r="P5" s="83" t="s">
        <v>17988</v>
      </c>
    </row>
    <row r="6" spans="1:16">
      <c r="A6" s="83" t="s">
        <v>17996</v>
      </c>
      <c r="B6" s="83" t="s">
        <v>17997</v>
      </c>
      <c r="C6" s="83" t="s">
        <v>15462</v>
      </c>
      <c r="E6" s="83" t="s">
        <v>17993</v>
      </c>
      <c r="F6" s="83" t="s">
        <v>18435</v>
      </c>
      <c r="G6" s="83" t="s">
        <v>17998</v>
      </c>
      <c r="H6" s="83" t="s">
        <v>17999</v>
      </c>
      <c r="I6" s="83" t="s">
        <v>15399</v>
      </c>
      <c r="J6" s="83" t="s">
        <v>17714</v>
      </c>
      <c r="K6" s="83" t="s">
        <v>17995</v>
      </c>
      <c r="L6" s="83" t="s">
        <v>18000</v>
      </c>
      <c r="M6" s="83" t="s">
        <v>17962</v>
      </c>
      <c r="P6" s="83" t="s">
        <v>17988</v>
      </c>
    </row>
    <row r="7" spans="1:16">
      <c r="A7" s="83" t="s">
        <v>18001</v>
      </c>
      <c r="B7" s="83" t="s">
        <v>18002</v>
      </c>
      <c r="C7" s="83" t="s">
        <v>15462</v>
      </c>
      <c r="E7" s="83" t="s">
        <v>18003</v>
      </c>
      <c r="F7" s="83" t="s">
        <v>18004</v>
      </c>
      <c r="G7" s="83" t="s">
        <v>18005</v>
      </c>
      <c r="H7" s="83" t="s">
        <v>18006</v>
      </c>
      <c r="I7" s="83" t="s">
        <v>15374</v>
      </c>
      <c r="J7" s="83" t="s">
        <v>17714</v>
      </c>
      <c r="K7" s="83" t="s">
        <v>17995</v>
      </c>
      <c r="L7" s="83" t="s">
        <v>18007</v>
      </c>
      <c r="M7" s="83" t="s">
        <v>17962</v>
      </c>
      <c r="P7" s="83" t="s">
        <v>17988</v>
      </c>
    </row>
    <row r="8" spans="1:16">
      <c r="A8" s="83" t="s">
        <v>18008</v>
      </c>
      <c r="B8" s="83" t="s">
        <v>18009</v>
      </c>
      <c r="C8" s="83" t="s">
        <v>15462</v>
      </c>
      <c r="E8" s="83" t="s">
        <v>18010</v>
      </c>
      <c r="F8" s="83" t="s">
        <v>18011</v>
      </c>
      <c r="G8" s="83" t="s">
        <v>18012</v>
      </c>
      <c r="H8" s="83" t="s">
        <v>15351</v>
      </c>
      <c r="I8" s="83" t="s">
        <v>15374</v>
      </c>
      <c r="J8" s="83" t="s">
        <v>17994</v>
      </c>
      <c r="K8" s="83" t="s">
        <v>17995</v>
      </c>
      <c r="L8" s="83" t="s">
        <v>18013</v>
      </c>
      <c r="M8" s="83" t="s">
        <v>17962</v>
      </c>
      <c r="P8" s="83" t="s">
        <v>17988</v>
      </c>
    </row>
    <row r="9" spans="1:16">
      <c r="A9" s="83" t="s">
        <v>18014</v>
      </c>
      <c r="B9" s="83" t="s">
        <v>18015</v>
      </c>
      <c r="C9" s="83" t="s">
        <v>15462</v>
      </c>
      <c r="E9" s="83" t="s">
        <v>18003</v>
      </c>
      <c r="F9" s="83" t="s">
        <v>18016</v>
      </c>
      <c r="G9" s="83" t="s">
        <v>18017</v>
      </c>
      <c r="H9" s="83" t="s">
        <v>18018</v>
      </c>
      <c r="I9" s="83" t="s">
        <v>15374</v>
      </c>
      <c r="J9" s="83" t="s">
        <v>17994</v>
      </c>
      <c r="K9" s="83" t="s">
        <v>18019</v>
      </c>
      <c r="L9" s="83" t="s">
        <v>18020</v>
      </c>
      <c r="M9" s="83" t="s">
        <v>17962</v>
      </c>
      <c r="P9" s="83" t="s">
        <v>17988</v>
      </c>
    </row>
    <row r="10" spans="1:16">
      <c r="A10" s="83" t="s">
        <v>18021</v>
      </c>
      <c r="B10" s="83" t="s">
        <v>18022</v>
      </c>
      <c r="C10" s="83" t="s">
        <v>15462</v>
      </c>
      <c r="E10" s="83" t="s">
        <v>18023</v>
      </c>
      <c r="F10" s="83" t="s">
        <v>21305</v>
      </c>
      <c r="G10" s="83" t="s">
        <v>15383</v>
      </c>
      <c r="H10" s="83" t="s">
        <v>15358</v>
      </c>
      <c r="I10" s="83" t="s">
        <v>15399</v>
      </c>
      <c r="J10" s="83" t="s">
        <v>17714</v>
      </c>
      <c r="K10" s="83" t="s">
        <v>21306</v>
      </c>
      <c r="L10" s="83" t="s">
        <v>21307</v>
      </c>
      <c r="M10" s="83" t="s">
        <v>17962</v>
      </c>
      <c r="P10" s="83" t="s">
        <v>17988</v>
      </c>
    </row>
    <row r="11" spans="1:16">
      <c r="A11" s="83" t="s">
        <v>18024</v>
      </c>
      <c r="B11" s="83" t="s">
        <v>18025</v>
      </c>
      <c r="C11" s="83" t="s">
        <v>15462</v>
      </c>
      <c r="E11" s="83" t="s">
        <v>18023</v>
      </c>
      <c r="F11" s="83" t="s">
        <v>21308</v>
      </c>
      <c r="G11" s="83" t="s">
        <v>15363</v>
      </c>
      <c r="H11" s="83" t="s">
        <v>15368</v>
      </c>
      <c r="I11" s="83" t="s">
        <v>15451</v>
      </c>
      <c r="J11" s="83" t="s">
        <v>17714</v>
      </c>
      <c r="K11" s="83" t="s">
        <v>21309</v>
      </c>
      <c r="L11" s="83" t="s">
        <v>21310</v>
      </c>
      <c r="M11" s="83" t="s">
        <v>17962</v>
      </c>
      <c r="P11" s="83" t="s">
        <v>17988</v>
      </c>
    </row>
    <row r="12" spans="1:16">
      <c r="A12" s="83" t="s">
        <v>18026</v>
      </c>
      <c r="B12" s="83" t="s">
        <v>18027</v>
      </c>
      <c r="C12" s="83" t="s">
        <v>15462</v>
      </c>
      <c r="E12" s="83" t="s">
        <v>18003</v>
      </c>
      <c r="F12" s="83" t="s">
        <v>21311</v>
      </c>
      <c r="G12" s="83" t="s">
        <v>18028</v>
      </c>
      <c r="H12" s="83" t="s">
        <v>18029</v>
      </c>
      <c r="I12" s="83" t="s">
        <v>4570</v>
      </c>
      <c r="J12" s="83" t="s">
        <v>18030</v>
      </c>
      <c r="K12" s="83" t="s">
        <v>18019</v>
      </c>
      <c r="L12" s="83" t="s">
        <v>21312</v>
      </c>
      <c r="M12" s="83" t="s">
        <v>17962</v>
      </c>
      <c r="P12" s="83" t="s">
        <v>17988</v>
      </c>
    </row>
    <row r="13" spans="1:16">
      <c r="A13" s="83" t="s">
        <v>18031</v>
      </c>
      <c r="B13" s="83" t="s">
        <v>18032</v>
      </c>
      <c r="C13" s="83" t="s">
        <v>15462</v>
      </c>
      <c r="E13" s="83" t="s">
        <v>18003</v>
      </c>
      <c r="F13" s="83" t="s">
        <v>21313</v>
      </c>
      <c r="G13" s="83" t="s">
        <v>18033</v>
      </c>
      <c r="H13" s="83" t="s">
        <v>18034</v>
      </c>
      <c r="I13" s="83" t="s">
        <v>15399</v>
      </c>
      <c r="J13" s="83" t="s">
        <v>17994</v>
      </c>
      <c r="K13" s="83" t="s">
        <v>18019</v>
      </c>
      <c r="L13" s="83" t="s">
        <v>21314</v>
      </c>
      <c r="M13" s="83" t="s">
        <v>17962</v>
      </c>
      <c r="P13" s="83" t="s">
        <v>17988</v>
      </c>
    </row>
    <row r="14" spans="1:16">
      <c r="A14" s="83" t="s">
        <v>20129</v>
      </c>
      <c r="B14" s="83" t="s">
        <v>18036</v>
      </c>
      <c r="C14" s="83" t="s">
        <v>15462</v>
      </c>
      <c r="E14" s="83" t="s">
        <v>20125</v>
      </c>
      <c r="F14" s="83" t="s">
        <v>20126</v>
      </c>
      <c r="G14" s="83" t="s">
        <v>17985</v>
      </c>
      <c r="H14" s="83" t="s">
        <v>17986</v>
      </c>
      <c r="I14" s="83" t="s">
        <v>15399</v>
      </c>
      <c r="J14" s="83" t="s">
        <v>17714</v>
      </c>
      <c r="K14" s="83" t="s">
        <v>17987</v>
      </c>
      <c r="L14" s="83" t="s">
        <v>20130</v>
      </c>
      <c r="M14" s="83" t="s">
        <v>17962</v>
      </c>
      <c r="P14" s="83" t="s">
        <v>17988</v>
      </c>
    </row>
    <row r="15" spans="1:16">
      <c r="A15" s="83" t="s">
        <v>21315</v>
      </c>
      <c r="B15" s="83" t="s">
        <v>18265</v>
      </c>
      <c r="C15" s="83" t="s">
        <v>15462</v>
      </c>
      <c r="E15" s="83" t="s">
        <v>20125</v>
      </c>
      <c r="F15" s="83" t="s">
        <v>21316</v>
      </c>
      <c r="G15" s="83" t="s">
        <v>17985</v>
      </c>
      <c r="H15" s="83" t="s">
        <v>17986</v>
      </c>
      <c r="I15" s="83" t="s">
        <v>15399</v>
      </c>
      <c r="J15" s="83" t="s">
        <v>17714</v>
      </c>
      <c r="K15" s="83" t="s">
        <v>17987</v>
      </c>
      <c r="L15" s="83" t="s">
        <v>21317</v>
      </c>
      <c r="M15" s="83" t="s">
        <v>17962</v>
      </c>
      <c r="P15" s="83" t="s">
        <v>17988</v>
      </c>
    </row>
    <row r="16" spans="1:16">
      <c r="A16" s="83" t="s">
        <v>21318</v>
      </c>
      <c r="B16" s="83" t="s">
        <v>18265</v>
      </c>
      <c r="C16" s="83" t="s">
        <v>15462</v>
      </c>
      <c r="E16" s="83" t="s">
        <v>20125</v>
      </c>
      <c r="F16" s="83" t="s">
        <v>21319</v>
      </c>
      <c r="G16" s="83" t="s">
        <v>17985</v>
      </c>
      <c r="H16" s="83" t="s">
        <v>17986</v>
      </c>
      <c r="I16" s="83" t="s">
        <v>15399</v>
      </c>
      <c r="J16" s="83" t="s">
        <v>17714</v>
      </c>
      <c r="K16" s="83" t="s">
        <v>17987</v>
      </c>
      <c r="L16" s="83" t="s">
        <v>21320</v>
      </c>
      <c r="M16" s="83" t="s">
        <v>17962</v>
      </c>
      <c r="P16" s="83" t="s">
        <v>17988</v>
      </c>
    </row>
    <row r="17" spans="1:16">
      <c r="A17" s="83" t="s">
        <v>21321</v>
      </c>
      <c r="B17" s="83" t="s">
        <v>18265</v>
      </c>
      <c r="C17" s="83" t="s">
        <v>15462</v>
      </c>
      <c r="E17" s="83" t="s">
        <v>20125</v>
      </c>
      <c r="F17" s="83" t="s">
        <v>21322</v>
      </c>
      <c r="G17" s="83" t="s">
        <v>17985</v>
      </c>
      <c r="H17" s="83" t="s">
        <v>17986</v>
      </c>
      <c r="I17" s="83" t="s">
        <v>15399</v>
      </c>
      <c r="J17" s="83" t="s">
        <v>17714</v>
      </c>
      <c r="K17" s="83" t="s">
        <v>17987</v>
      </c>
      <c r="L17" s="83" t="s">
        <v>21323</v>
      </c>
      <c r="M17" s="83" t="s">
        <v>17962</v>
      </c>
      <c r="P17" s="83" t="s">
        <v>17988</v>
      </c>
    </row>
    <row r="18" spans="1:16">
      <c r="A18" s="83" t="s">
        <v>21324</v>
      </c>
      <c r="B18" s="83" t="s">
        <v>18276</v>
      </c>
      <c r="C18" s="83" t="s">
        <v>15462</v>
      </c>
      <c r="E18" s="83" t="s">
        <v>21325</v>
      </c>
      <c r="F18" s="83" t="s">
        <v>21326</v>
      </c>
      <c r="G18" s="83" t="s">
        <v>17985</v>
      </c>
      <c r="H18" s="83" t="s">
        <v>17986</v>
      </c>
      <c r="I18" s="83" t="s">
        <v>15399</v>
      </c>
      <c r="J18" s="83" t="s">
        <v>17714</v>
      </c>
      <c r="K18" s="83" t="s">
        <v>17987</v>
      </c>
      <c r="L18" s="83" t="s">
        <v>21327</v>
      </c>
      <c r="M18" s="83" t="s">
        <v>17962</v>
      </c>
      <c r="P18" s="83" t="s">
        <v>17988</v>
      </c>
    </row>
    <row r="19" spans="1:16">
      <c r="A19" s="83" t="s">
        <v>21328</v>
      </c>
      <c r="B19" s="83" t="s">
        <v>21329</v>
      </c>
      <c r="C19" s="83" t="s">
        <v>15462</v>
      </c>
      <c r="E19" s="83" t="s">
        <v>21325</v>
      </c>
      <c r="F19" s="83" t="s">
        <v>21330</v>
      </c>
      <c r="G19" s="83" t="s">
        <v>17985</v>
      </c>
      <c r="H19" s="83" t="s">
        <v>17986</v>
      </c>
      <c r="I19" s="83" t="s">
        <v>15399</v>
      </c>
      <c r="J19" s="83" t="s">
        <v>17714</v>
      </c>
      <c r="K19" s="83" t="s">
        <v>17987</v>
      </c>
      <c r="L19" s="83" t="s">
        <v>21331</v>
      </c>
      <c r="M19" s="83" t="s">
        <v>17962</v>
      </c>
      <c r="P19" s="83" t="s">
        <v>17988</v>
      </c>
    </row>
  </sheetData>
  <sheetProtection algorithmName="SHA-512" hashValue="JoDowrs2p3TArGv76PdApwxx3nKogVAGDooH40ZAKrXuGcmh7dTqa2O5Rscdu/vnQ8mRNbuC2AnUXmVOJ0+lbA==" saltValue="ix+67St6uYb9ahy+b3gT5A==" spinCount="100000" sheet="1" scenarios="1" formatColumns="0" sort="0" autoFilter="0"/>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52E77-314B-4613-A065-BE082A91BED1}">
  <sheetPr codeName="Sheet73"/>
  <dimension ref="A1:S72"/>
  <sheetViews>
    <sheetView workbookViewId="0"/>
  </sheetViews>
  <sheetFormatPr defaultRowHeight="12.75"/>
  <sheetData>
    <row r="1" spans="1:19">
      <c r="A1">
        <v>70</v>
      </c>
      <c r="B1">
        <v>19</v>
      </c>
      <c r="C1" t="s">
        <v>18035</v>
      </c>
    </row>
    <row r="2" spans="1:19">
      <c r="A2" t="s">
        <v>16918</v>
      </c>
      <c r="B2" t="s">
        <v>16967</v>
      </c>
      <c r="C2" t="s">
        <v>16968</v>
      </c>
      <c r="D2" t="s">
        <v>16969</v>
      </c>
      <c r="E2" t="s">
        <v>16970</v>
      </c>
      <c r="F2" t="s">
        <v>2504</v>
      </c>
      <c r="G2" t="s">
        <v>16971</v>
      </c>
      <c r="H2" t="s">
        <v>16972</v>
      </c>
      <c r="I2" t="s">
        <v>16890</v>
      </c>
      <c r="J2" t="s">
        <v>16973</v>
      </c>
      <c r="K2" t="s">
        <v>16974</v>
      </c>
      <c r="L2" t="s">
        <v>16975</v>
      </c>
      <c r="M2" t="s">
        <v>16976</v>
      </c>
      <c r="N2" t="s">
        <v>16977</v>
      </c>
      <c r="O2" t="s">
        <v>16923</v>
      </c>
      <c r="P2" t="s">
        <v>4004</v>
      </c>
      <c r="Q2" t="s">
        <v>128</v>
      </c>
      <c r="R2" t="s">
        <v>148</v>
      </c>
      <c r="S2" t="s">
        <v>3104</v>
      </c>
    </row>
    <row r="3" spans="1:19">
      <c r="A3" s="83" t="s">
        <v>18036</v>
      </c>
      <c r="B3" s="83" t="s">
        <v>18037</v>
      </c>
      <c r="C3" s="83" t="s">
        <v>18038</v>
      </c>
      <c r="D3" s="83" t="s">
        <v>18039</v>
      </c>
      <c r="E3" s="83" t="s">
        <v>18040</v>
      </c>
      <c r="F3" s="83" t="s">
        <v>18041</v>
      </c>
      <c r="G3" s="83" t="s">
        <v>18042</v>
      </c>
      <c r="H3" s="83" t="s">
        <v>18043</v>
      </c>
      <c r="I3" s="83" t="s">
        <v>4507</v>
      </c>
      <c r="J3" s="83" t="s">
        <v>17984</v>
      </c>
      <c r="M3" s="83" t="s">
        <v>18044</v>
      </c>
      <c r="N3" s="83" t="s">
        <v>18045</v>
      </c>
      <c r="P3" s="83" t="s">
        <v>17958</v>
      </c>
      <c r="Q3" s="83" t="s">
        <v>18046</v>
      </c>
      <c r="R3" s="83" t="s">
        <v>18047</v>
      </c>
      <c r="S3" s="83" t="s">
        <v>18436</v>
      </c>
    </row>
    <row r="4" spans="1:19">
      <c r="A4" s="83" t="s">
        <v>18048</v>
      </c>
      <c r="B4" s="83" t="s">
        <v>18037</v>
      </c>
      <c r="C4" s="83" t="s">
        <v>18049</v>
      </c>
      <c r="D4" s="83" t="s">
        <v>18050</v>
      </c>
      <c r="E4" s="83" t="s">
        <v>18051</v>
      </c>
      <c r="F4" s="83" t="s">
        <v>18052</v>
      </c>
      <c r="G4" s="83" t="s">
        <v>18053</v>
      </c>
      <c r="H4" s="83" t="s">
        <v>18043</v>
      </c>
      <c r="I4" s="83" t="s">
        <v>18054</v>
      </c>
      <c r="M4" s="83" t="s">
        <v>18055</v>
      </c>
      <c r="N4" s="83" t="s">
        <v>18045</v>
      </c>
      <c r="P4" s="83" t="s">
        <v>17958</v>
      </c>
      <c r="Q4" s="83" t="s">
        <v>18046</v>
      </c>
      <c r="R4" s="83" t="s">
        <v>18047</v>
      </c>
      <c r="S4" s="83" t="s">
        <v>18437</v>
      </c>
    </row>
    <row r="5" spans="1:19">
      <c r="A5" s="83" t="s">
        <v>18056</v>
      </c>
      <c r="B5" s="83" t="s">
        <v>18037</v>
      </c>
      <c r="C5" s="83" t="s">
        <v>18057</v>
      </c>
      <c r="D5" s="83" t="s">
        <v>18058</v>
      </c>
      <c r="E5" s="83" t="s">
        <v>18059</v>
      </c>
      <c r="F5" s="83" t="s">
        <v>18438</v>
      </c>
      <c r="G5" s="83" t="s">
        <v>18060</v>
      </c>
      <c r="H5" s="83" t="s">
        <v>18043</v>
      </c>
      <c r="I5" s="83" t="s">
        <v>4507</v>
      </c>
      <c r="M5" s="83" t="s">
        <v>18044</v>
      </c>
      <c r="N5" s="83" t="s">
        <v>18045</v>
      </c>
      <c r="P5" s="83" t="s">
        <v>17958</v>
      </c>
      <c r="Q5" s="83" t="s">
        <v>18046</v>
      </c>
      <c r="R5" s="83" t="s">
        <v>18047</v>
      </c>
      <c r="S5" s="83" t="s">
        <v>18439</v>
      </c>
    </row>
    <row r="6" spans="1:19">
      <c r="A6" s="83" t="s">
        <v>18062</v>
      </c>
      <c r="B6" s="83" t="s">
        <v>18037</v>
      </c>
      <c r="C6" s="83" t="s">
        <v>18063</v>
      </c>
      <c r="D6" s="83" t="s">
        <v>18064</v>
      </c>
      <c r="E6" s="83" t="s">
        <v>18065</v>
      </c>
      <c r="F6" s="83" t="s">
        <v>18440</v>
      </c>
      <c r="G6" s="83" t="s">
        <v>18066</v>
      </c>
      <c r="H6" s="83" t="s">
        <v>18067</v>
      </c>
      <c r="I6" s="83" t="s">
        <v>4507</v>
      </c>
      <c r="M6" s="83" t="s">
        <v>18441</v>
      </c>
      <c r="N6" s="83" t="s">
        <v>18045</v>
      </c>
      <c r="P6" s="83" t="s">
        <v>17958</v>
      </c>
      <c r="Q6" s="83" t="s">
        <v>18046</v>
      </c>
      <c r="R6" s="83" t="s">
        <v>18047</v>
      </c>
      <c r="S6" s="83" t="s">
        <v>18442</v>
      </c>
    </row>
    <row r="7" spans="1:19">
      <c r="A7" s="83" t="s">
        <v>18068</v>
      </c>
      <c r="B7" s="83" t="s">
        <v>18037</v>
      </c>
      <c r="C7" s="83" t="s">
        <v>18069</v>
      </c>
      <c r="D7" s="83" t="s">
        <v>18070</v>
      </c>
      <c r="E7" s="83" t="s">
        <v>18071</v>
      </c>
      <c r="F7" s="83" t="s">
        <v>18443</v>
      </c>
      <c r="G7" s="83" t="s">
        <v>18444</v>
      </c>
      <c r="H7" s="83" t="s">
        <v>18067</v>
      </c>
      <c r="I7" s="83" t="s">
        <v>18072</v>
      </c>
      <c r="M7" s="83" t="s">
        <v>18044</v>
      </c>
      <c r="N7" s="83" t="s">
        <v>18045</v>
      </c>
      <c r="P7" s="83" t="s">
        <v>17958</v>
      </c>
      <c r="Q7" s="83" t="s">
        <v>18046</v>
      </c>
      <c r="R7" s="83" t="s">
        <v>18047</v>
      </c>
      <c r="S7" s="83" t="s">
        <v>18445</v>
      </c>
    </row>
    <row r="8" spans="1:19">
      <c r="A8" s="83" t="s">
        <v>18073</v>
      </c>
      <c r="B8" s="83" t="s">
        <v>18037</v>
      </c>
      <c r="C8" s="83" t="s">
        <v>18074</v>
      </c>
      <c r="D8" s="83" t="s">
        <v>18075</v>
      </c>
      <c r="E8" s="83" t="s">
        <v>18076</v>
      </c>
      <c r="F8" s="83" t="s">
        <v>18446</v>
      </c>
      <c r="G8" s="83" t="s">
        <v>18447</v>
      </c>
      <c r="H8" s="83" t="s">
        <v>18043</v>
      </c>
      <c r="I8" s="83" t="s">
        <v>4507</v>
      </c>
      <c r="M8" s="83" t="s">
        <v>18448</v>
      </c>
      <c r="N8" s="83" t="s">
        <v>18045</v>
      </c>
      <c r="P8" s="83" t="s">
        <v>17958</v>
      </c>
      <c r="Q8" s="83" t="s">
        <v>18046</v>
      </c>
      <c r="R8" s="83" t="s">
        <v>18047</v>
      </c>
      <c r="S8" s="83" t="s">
        <v>18449</v>
      </c>
    </row>
    <row r="9" spans="1:19">
      <c r="A9" s="83" t="s">
        <v>18077</v>
      </c>
      <c r="B9" s="83" t="s">
        <v>18078</v>
      </c>
      <c r="C9" s="83" t="s">
        <v>18079</v>
      </c>
      <c r="D9" s="83" t="s">
        <v>18080</v>
      </c>
      <c r="E9" s="83" t="s">
        <v>18081</v>
      </c>
      <c r="F9" s="83" t="s">
        <v>18082</v>
      </c>
      <c r="G9" s="83" t="s">
        <v>18083</v>
      </c>
      <c r="H9" s="83" t="s">
        <v>18043</v>
      </c>
      <c r="I9" s="83" t="s">
        <v>17956</v>
      </c>
      <c r="M9" s="83" t="s">
        <v>18084</v>
      </c>
      <c r="N9" s="83" t="s">
        <v>18045</v>
      </c>
      <c r="P9" s="83" t="s">
        <v>17958</v>
      </c>
      <c r="Q9" s="83" t="s">
        <v>18046</v>
      </c>
      <c r="R9" s="83" t="s">
        <v>18047</v>
      </c>
      <c r="S9" s="83" t="s">
        <v>18450</v>
      </c>
    </row>
    <row r="10" spans="1:19">
      <c r="A10" s="83" t="s">
        <v>18085</v>
      </c>
      <c r="B10" s="83" t="s">
        <v>18078</v>
      </c>
      <c r="C10" s="83" t="s">
        <v>18086</v>
      </c>
      <c r="D10" s="83" t="s">
        <v>18087</v>
      </c>
      <c r="E10" s="83" t="s">
        <v>18088</v>
      </c>
      <c r="F10" s="83" t="s">
        <v>18087</v>
      </c>
      <c r="G10" s="83" t="s">
        <v>18089</v>
      </c>
      <c r="H10" s="83" t="s">
        <v>18043</v>
      </c>
      <c r="I10" s="83" t="s">
        <v>17956</v>
      </c>
      <c r="M10" s="83" t="s">
        <v>18044</v>
      </c>
      <c r="N10" s="83" t="s">
        <v>18045</v>
      </c>
      <c r="P10" s="83" t="s">
        <v>17958</v>
      </c>
      <c r="Q10" s="83" t="s">
        <v>18046</v>
      </c>
      <c r="R10" s="83" t="s">
        <v>18047</v>
      </c>
      <c r="S10" s="83" t="s">
        <v>18451</v>
      </c>
    </row>
    <row r="11" spans="1:19">
      <c r="A11" s="83" t="s">
        <v>18090</v>
      </c>
      <c r="B11" s="83" t="s">
        <v>18078</v>
      </c>
      <c r="C11" s="83" t="s">
        <v>18091</v>
      </c>
      <c r="D11" s="83" t="s">
        <v>18092</v>
      </c>
      <c r="E11" s="83" t="s">
        <v>18093</v>
      </c>
      <c r="F11" s="83" t="s">
        <v>18452</v>
      </c>
      <c r="G11" s="83" t="s">
        <v>18094</v>
      </c>
      <c r="H11" s="83" t="s">
        <v>18043</v>
      </c>
      <c r="I11" s="83" t="s">
        <v>17956</v>
      </c>
      <c r="M11" s="83" t="s">
        <v>18453</v>
      </c>
      <c r="N11" s="83" t="s">
        <v>18045</v>
      </c>
      <c r="P11" s="83" t="s">
        <v>17958</v>
      </c>
      <c r="Q11" s="83" t="s">
        <v>18046</v>
      </c>
      <c r="R11" s="83" t="s">
        <v>18047</v>
      </c>
      <c r="S11" s="83" t="s">
        <v>18454</v>
      </c>
    </row>
    <row r="12" spans="1:19">
      <c r="A12" s="83" t="s">
        <v>18095</v>
      </c>
      <c r="B12" s="83" t="s">
        <v>18078</v>
      </c>
      <c r="C12" s="83" t="s">
        <v>18096</v>
      </c>
      <c r="D12" s="83" t="s">
        <v>18097</v>
      </c>
      <c r="E12" s="83" t="s">
        <v>18098</v>
      </c>
      <c r="F12" s="83" t="s">
        <v>18455</v>
      </c>
      <c r="G12" s="83" t="s">
        <v>18089</v>
      </c>
      <c r="H12" s="83" t="s">
        <v>18043</v>
      </c>
      <c r="I12" s="83" t="s">
        <v>17956</v>
      </c>
      <c r="M12" s="83" t="s">
        <v>18044</v>
      </c>
      <c r="N12" s="83" t="s">
        <v>18045</v>
      </c>
      <c r="P12" s="83" t="s">
        <v>17958</v>
      </c>
      <c r="Q12" s="83" t="s">
        <v>18046</v>
      </c>
      <c r="R12" s="83" t="s">
        <v>18047</v>
      </c>
      <c r="S12" s="83" t="s">
        <v>18456</v>
      </c>
    </row>
    <row r="13" spans="1:19">
      <c r="A13" s="83" t="s">
        <v>18099</v>
      </c>
      <c r="B13" s="83" t="s">
        <v>18078</v>
      </c>
      <c r="C13" s="83" t="s">
        <v>18100</v>
      </c>
      <c r="D13" s="83" t="s">
        <v>18101</v>
      </c>
      <c r="E13" s="83" t="s">
        <v>18102</v>
      </c>
      <c r="F13" s="83" t="s">
        <v>18457</v>
      </c>
      <c r="G13" s="83" t="s">
        <v>18458</v>
      </c>
      <c r="H13" s="83" t="s">
        <v>18043</v>
      </c>
      <c r="I13" s="83" t="s">
        <v>17956</v>
      </c>
      <c r="M13" s="83" t="s">
        <v>18459</v>
      </c>
      <c r="N13" s="83" t="s">
        <v>18045</v>
      </c>
      <c r="P13" s="83" t="s">
        <v>17958</v>
      </c>
      <c r="Q13" s="83" t="s">
        <v>18046</v>
      </c>
      <c r="R13" s="83" t="s">
        <v>18047</v>
      </c>
      <c r="S13" s="83" t="s">
        <v>18460</v>
      </c>
    </row>
    <row r="14" spans="1:19">
      <c r="A14" s="83" t="s">
        <v>18103</v>
      </c>
      <c r="B14" s="83" t="s">
        <v>18078</v>
      </c>
      <c r="C14" s="83" t="s">
        <v>18104</v>
      </c>
      <c r="D14" s="83" t="s">
        <v>18105</v>
      </c>
      <c r="E14" s="83" t="s">
        <v>18106</v>
      </c>
      <c r="H14" s="83" t="s">
        <v>18043</v>
      </c>
      <c r="I14" s="83" t="s">
        <v>17956</v>
      </c>
      <c r="M14" s="83" t="s">
        <v>18107</v>
      </c>
      <c r="N14" s="83" t="s">
        <v>18108</v>
      </c>
      <c r="P14" s="83" t="s">
        <v>17958</v>
      </c>
      <c r="Q14" s="83" t="s">
        <v>18046</v>
      </c>
      <c r="R14" s="83" t="s">
        <v>18109</v>
      </c>
    </row>
    <row r="15" spans="1:19">
      <c r="A15" s="83" t="s">
        <v>17990</v>
      </c>
      <c r="B15" s="83" t="s">
        <v>18110</v>
      </c>
      <c r="C15" s="83" t="s">
        <v>18111</v>
      </c>
      <c r="D15" s="83" t="s">
        <v>18112</v>
      </c>
      <c r="E15" s="83" t="s">
        <v>18113</v>
      </c>
      <c r="F15" s="83" t="s">
        <v>18461</v>
      </c>
      <c r="G15" s="83" t="s">
        <v>18114</v>
      </c>
      <c r="H15" s="83" t="s">
        <v>18043</v>
      </c>
      <c r="I15" s="83" t="s">
        <v>4507</v>
      </c>
      <c r="J15" s="83" t="s">
        <v>17990</v>
      </c>
      <c r="M15" s="83" t="s">
        <v>18462</v>
      </c>
      <c r="N15" s="83" t="s">
        <v>18045</v>
      </c>
      <c r="O15" s="83" t="s">
        <v>18115</v>
      </c>
      <c r="P15" s="83" t="s">
        <v>17958</v>
      </c>
      <c r="Q15" s="83" t="s">
        <v>18046</v>
      </c>
      <c r="R15" s="83" t="s">
        <v>18047</v>
      </c>
      <c r="S15" s="83" t="s">
        <v>18463</v>
      </c>
    </row>
    <row r="16" spans="1:19">
      <c r="A16" s="83" t="s">
        <v>18116</v>
      </c>
      <c r="B16" s="83" t="s">
        <v>18110</v>
      </c>
      <c r="C16" s="83" t="s">
        <v>18117</v>
      </c>
      <c r="D16" s="83" t="s">
        <v>18118</v>
      </c>
      <c r="E16" s="83" t="s">
        <v>18119</v>
      </c>
      <c r="F16" s="83" t="s">
        <v>18464</v>
      </c>
      <c r="G16" s="83" t="s">
        <v>18114</v>
      </c>
      <c r="H16" s="83" t="s">
        <v>18043</v>
      </c>
      <c r="I16" s="83" t="s">
        <v>4507</v>
      </c>
      <c r="M16" s="83" t="s">
        <v>18462</v>
      </c>
      <c r="N16" s="83" t="s">
        <v>18045</v>
      </c>
      <c r="O16" s="83" t="s">
        <v>18115</v>
      </c>
      <c r="P16" s="83" t="s">
        <v>17958</v>
      </c>
      <c r="Q16" s="83" t="s">
        <v>18046</v>
      </c>
      <c r="R16" s="83" t="s">
        <v>18047</v>
      </c>
      <c r="S16" s="83" t="s">
        <v>18465</v>
      </c>
    </row>
    <row r="17" spans="1:19">
      <c r="A17" s="83" t="s">
        <v>17992</v>
      </c>
      <c r="B17" s="83" t="s">
        <v>18110</v>
      </c>
      <c r="C17" s="83" t="s">
        <v>18120</v>
      </c>
      <c r="D17" s="83" t="s">
        <v>18121</v>
      </c>
      <c r="E17" s="83" t="s">
        <v>18122</v>
      </c>
      <c r="F17" s="83" t="s">
        <v>18466</v>
      </c>
      <c r="G17" s="83" t="s">
        <v>18114</v>
      </c>
      <c r="H17" s="83" t="s">
        <v>18043</v>
      </c>
      <c r="I17" s="83" t="s">
        <v>4507</v>
      </c>
      <c r="M17" s="83" t="s">
        <v>18462</v>
      </c>
      <c r="N17" s="83" t="s">
        <v>18045</v>
      </c>
      <c r="O17" s="83" t="s">
        <v>18123</v>
      </c>
      <c r="P17" s="83" t="s">
        <v>17958</v>
      </c>
      <c r="Q17" s="83" t="s">
        <v>18046</v>
      </c>
      <c r="R17" s="83" t="s">
        <v>18047</v>
      </c>
      <c r="S17" s="83" t="s">
        <v>18467</v>
      </c>
    </row>
    <row r="18" spans="1:19">
      <c r="A18" s="83" t="s">
        <v>18124</v>
      </c>
      <c r="B18" s="83" t="s">
        <v>18125</v>
      </c>
      <c r="C18" s="83" t="s">
        <v>18126</v>
      </c>
      <c r="D18" s="83" t="s">
        <v>18127</v>
      </c>
      <c r="E18" s="83" t="s">
        <v>18128</v>
      </c>
      <c r="F18" s="83" t="s">
        <v>18468</v>
      </c>
      <c r="G18" s="83" t="s">
        <v>18129</v>
      </c>
      <c r="H18" s="83" t="s">
        <v>18043</v>
      </c>
      <c r="I18" s="83" t="s">
        <v>17963</v>
      </c>
      <c r="M18" s="83" t="s">
        <v>18611</v>
      </c>
      <c r="N18" s="83" t="s">
        <v>18045</v>
      </c>
      <c r="O18" s="83" t="s">
        <v>18130</v>
      </c>
      <c r="P18" s="83" t="s">
        <v>17958</v>
      </c>
      <c r="Q18" s="83" t="s">
        <v>18046</v>
      </c>
      <c r="R18" s="83" t="s">
        <v>18047</v>
      </c>
      <c r="S18" s="83" t="s">
        <v>18612</v>
      </c>
    </row>
    <row r="19" spans="1:19">
      <c r="A19" s="83" t="s">
        <v>18131</v>
      </c>
      <c r="B19" s="83" t="s">
        <v>18125</v>
      </c>
      <c r="C19" s="83" t="s">
        <v>18132</v>
      </c>
      <c r="D19" s="83" t="s">
        <v>18133</v>
      </c>
      <c r="E19" s="83" t="s">
        <v>18134</v>
      </c>
      <c r="F19" s="83" t="s">
        <v>18469</v>
      </c>
      <c r="G19" s="83" t="s">
        <v>18470</v>
      </c>
      <c r="H19" s="83" t="s">
        <v>18043</v>
      </c>
      <c r="I19" s="83" t="s">
        <v>17963</v>
      </c>
      <c r="M19" s="83" t="s">
        <v>18611</v>
      </c>
      <c r="N19" s="83" t="s">
        <v>18045</v>
      </c>
      <c r="O19" s="83" t="s">
        <v>18130</v>
      </c>
      <c r="P19" s="83" t="s">
        <v>17958</v>
      </c>
      <c r="Q19" s="83" t="s">
        <v>18046</v>
      </c>
      <c r="R19" s="83" t="s">
        <v>18047</v>
      </c>
      <c r="S19" s="83" t="s">
        <v>18613</v>
      </c>
    </row>
    <row r="20" spans="1:19">
      <c r="A20" s="83" t="s">
        <v>18135</v>
      </c>
      <c r="B20" s="83" t="s">
        <v>18125</v>
      </c>
      <c r="C20" s="83" t="s">
        <v>18136</v>
      </c>
      <c r="D20" s="83" t="s">
        <v>18137</v>
      </c>
      <c r="E20" s="83" t="s">
        <v>18138</v>
      </c>
      <c r="F20" s="83" t="s">
        <v>18471</v>
      </c>
      <c r="G20" s="83" t="s">
        <v>18472</v>
      </c>
      <c r="H20" s="83" t="s">
        <v>18043</v>
      </c>
      <c r="I20" s="83" t="s">
        <v>17963</v>
      </c>
      <c r="M20" s="83" t="s">
        <v>18611</v>
      </c>
      <c r="N20" s="83" t="s">
        <v>18045</v>
      </c>
      <c r="O20" s="83" t="s">
        <v>18130</v>
      </c>
      <c r="P20" s="83" t="s">
        <v>17958</v>
      </c>
      <c r="Q20" s="83" t="s">
        <v>18046</v>
      </c>
      <c r="R20" s="83" t="s">
        <v>18047</v>
      </c>
      <c r="S20" s="83" t="s">
        <v>18614</v>
      </c>
    </row>
    <row r="21" spans="1:19">
      <c r="A21" s="83" t="s">
        <v>18139</v>
      </c>
      <c r="B21" s="83" t="s">
        <v>18125</v>
      </c>
      <c r="C21" s="83" t="s">
        <v>18140</v>
      </c>
      <c r="D21" s="83" t="s">
        <v>18141</v>
      </c>
      <c r="E21" s="83" t="s">
        <v>18142</v>
      </c>
      <c r="F21" s="83" t="s">
        <v>18473</v>
      </c>
      <c r="G21" s="83" t="s">
        <v>18143</v>
      </c>
      <c r="H21" s="83" t="s">
        <v>18043</v>
      </c>
      <c r="I21" s="83" t="s">
        <v>17963</v>
      </c>
      <c r="M21" s="83" t="s">
        <v>18611</v>
      </c>
      <c r="N21" s="83" t="s">
        <v>18045</v>
      </c>
      <c r="O21" s="83" t="s">
        <v>18130</v>
      </c>
      <c r="P21" s="83" t="s">
        <v>17958</v>
      </c>
      <c r="Q21" s="83" t="s">
        <v>18046</v>
      </c>
      <c r="R21" s="83" t="s">
        <v>18047</v>
      </c>
      <c r="S21" s="83" t="s">
        <v>18615</v>
      </c>
    </row>
    <row r="22" spans="1:19">
      <c r="A22" s="83" t="s">
        <v>18144</v>
      </c>
      <c r="B22" s="83" t="s">
        <v>18125</v>
      </c>
      <c r="C22" s="83" t="s">
        <v>18145</v>
      </c>
      <c r="D22" s="83" t="s">
        <v>18146</v>
      </c>
      <c r="E22" s="83" t="s">
        <v>18147</v>
      </c>
      <c r="F22" s="83" t="s">
        <v>18474</v>
      </c>
      <c r="G22" s="83" t="s">
        <v>18475</v>
      </c>
      <c r="H22" s="83" t="s">
        <v>18043</v>
      </c>
      <c r="I22" s="83" t="s">
        <v>17963</v>
      </c>
      <c r="M22" s="83" t="s">
        <v>18611</v>
      </c>
      <c r="N22" s="83" t="s">
        <v>18045</v>
      </c>
      <c r="O22" s="83" t="s">
        <v>18130</v>
      </c>
      <c r="P22" s="83" t="s">
        <v>17958</v>
      </c>
      <c r="Q22" s="83" t="s">
        <v>18046</v>
      </c>
      <c r="R22" s="83" t="s">
        <v>18047</v>
      </c>
      <c r="S22" s="83" t="s">
        <v>18616</v>
      </c>
    </row>
    <row r="23" spans="1:19">
      <c r="A23" s="83" t="s">
        <v>17997</v>
      </c>
      <c r="B23" s="83" t="s">
        <v>18125</v>
      </c>
      <c r="C23" s="83" t="s">
        <v>18148</v>
      </c>
      <c r="D23" s="83" t="s">
        <v>18149</v>
      </c>
      <c r="E23" s="83" t="s">
        <v>18150</v>
      </c>
      <c r="F23" s="83" t="s">
        <v>18476</v>
      </c>
      <c r="G23" s="83" t="s">
        <v>18151</v>
      </c>
      <c r="H23" s="83" t="s">
        <v>18043</v>
      </c>
      <c r="I23" s="83" t="s">
        <v>17963</v>
      </c>
      <c r="J23" s="83" t="s">
        <v>17997</v>
      </c>
      <c r="M23" s="83" t="s">
        <v>18611</v>
      </c>
      <c r="N23" s="83" t="s">
        <v>18045</v>
      </c>
      <c r="O23" s="83" t="s">
        <v>18130</v>
      </c>
      <c r="P23" s="83" t="s">
        <v>17958</v>
      </c>
      <c r="Q23" s="83" t="s">
        <v>18046</v>
      </c>
      <c r="R23" s="83" t="s">
        <v>18047</v>
      </c>
      <c r="S23" s="83" t="s">
        <v>18617</v>
      </c>
    </row>
    <row r="24" spans="1:19">
      <c r="A24" s="83" t="s">
        <v>18002</v>
      </c>
      <c r="B24" s="83" t="s">
        <v>18125</v>
      </c>
      <c r="C24" s="83" t="s">
        <v>18152</v>
      </c>
      <c r="D24" s="83" t="s">
        <v>18153</v>
      </c>
      <c r="E24" s="83" t="s">
        <v>18154</v>
      </c>
      <c r="F24" s="83" t="s">
        <v>18618</v>
      </c>
      <c r="G24" s="83" t="s">
        <v>18477</v>
      </c>
      <c r="H24" s="83" t="s">
        <v>18043</v>
      </c>
      <c r="I24" s="83" t="s">
        <v>18072</v>
      </c>
      <c r="J24" s="83" t="s">
        <v>18002</v>
      </c>
      <c r="M24" s="83" t="s">
        <v>18619</v>
      </c>
      <c r="N24" s="83" t="s">
        <v>18045</v>
      </c>
      <c r="O24" s="83" t="s">
        <v>18115</v>
      </c>
      <c r="P24" s="83" t="s">
        <v>17958</v>
      </c>
      <c r="Q24" s="83" t="s">
        <v>18046</v>
      </c>
      <c r="R24" s="83" t="s">
        <v>18047</v>
      </c>
      <c r="S24" s="83" t="s">
        <v>18620</v>
      </c>
    </row>
    <row r="25" spans="1:19">
      <c r="A25" s="83" t="s">
        <v>17984</v>
      </c>
      <c r="B25" s="83" t="s">
        <v>18155</v>
      </c>
      <c r="C25" s="83" t="s">
        <v>18156</v>
      </c>
      <c r="D25" s="83" t="s">
        <v>18157</v>
      </c>
      <c r="E25" s="83" t="s">
        <v>18158</v>
      </c>
      <c r="F25" s="83" t="s">
        <v>19621</v>
      </c>
      <c r="G25" s="83" t="s">
        <v>19622</v>
      </c>
      <c r="H25" s="83" t="s">
        <v>18043</v>
      </c>
      <c r="I25" s="83" t="s">
        <v>4507</v>
      </c>
      <c r="J25" s="83" t="s">
        <v>17984</v>
      </c>
      <c r="M25" s="83" t="s">
        <v>19623</v>
      </c>
      <c r="N25" s="83" t="s">
        <v>18045</v>
      </c>
      <c r="P25" s="83" t="s">
        <v>17958</v>
      </c>
      <c r="Q25" s="83" t="s">
        <v>18046</v>
      </c>
      <c r="R25" s="83" t="s">
        <v>18047</v>
      </c>
      <c r="S25" s="83" t="s">
        <v>19624</v>
      </c>
    </row>
    <row r="26" spans="1:19">
      <c r="A26" s="83" t="s">
        <v>18159</v>
      </c>
      <c r="B26" s="83" t="s">
        <v>18155</v>
      </c>
      <c r="C26" s="83" t="s">
        <v>18160</v>
      </c>
      <c r="D26" s="83" t="s">
        <v>18161</v>
      </c>
      <c r="E26" s="83" t="s">
        <v>18162</v>
      </c>
      <c r="F26" s="83" t="s">
        <v>19625</v>
      </c>
      <c r="G26" s="83" t="s">
        <v>19622</v>
      </c>
      <c r="H26" s="83" t="s">
        <v>18043</v>
      </c>
      <c r="I26" s="83" t="s">
        <v>4507</v>
      </c>
      <c r="M26" s="83" t="s">
        <v>19626</v>
      </c>
      <c r="N26" s="83" t="s">
        <v>18045</v>
      </c>
      <c r="O26" s="83" t="s">
        <v>18163</v>
      </c>
      <c r="P26" s="83" t="s">
        <v>17958</v>
      </c>
      <c r="Q26" s="83" t="s">
        <v>18046</v>
      </c>
      <c r="R26" s="83" t="s">
        <v>18047</v>
      </c>
      <c r="S26" s="83" t="s">
        <v>19627</v>
      </c>
    </row>
    <row r="27" spans="1:19">
      <c r="A27" s="83" t="s">
        <v>18164</v>
      </c>
      <c r="B27" s="83" t="s">
        <v>18155</v>
      </c>
      <c r="C27" s="83" t="s">
        <v>18165</v>
      </c>
      <c r="D27" s="83" t="s">
        <v>18166</v>
      </c>
      <c r="E27" s="83" t="s">
        <v>18167</v>
      </c>
      <c r="F27" s="83" t="s">
        <v>19628</v>
      </c>
      <c r="G27" s="83" t="s">
        <v>19622</v>
      </c>
      <c r="H27" s="83" t="s">
        <v>18043</v>
      </c>
      <c r="I27" s="83" t="s">
        <v>4507</v>
      </c>
      <c r="M27" s="83" t="s">
        <v>19629</v>
      </c>
      <c r="N27" s="83" t="s">
        <v>18045</v>
      </c>
      <c r="P27" s="83" t="s">
        <v>17958</v>
      </c>
      <c r="Q27" s="83" t="s">
        <v>18046</v>
      </c>
      <c r="R27" s="83" t="s">
        <v>18047</v>
      </c>
      <c r="S27" s="83" t="s">
        <v>19630</v>
      </c>
    </row>
    <row r="28" spans="1:19">
      <c r="A28" s="83" t="s">
        <v>18168</v>
      </c>
      <c r="B28" s="83" t="s">
        <v>18155</v>
      </c>
      <c r="C28" s="83" t="s">
        <v>18169</v>
      </c>
      <c r="D28" s="83" t="s">
        <v>18170</v>
      </c>
      <c r="E28" s="83" t="s">
        <v>18171</v>
      </c>
      <c r="F28" s="83" t="s">
        <v>19631</v>
      </c>
      <c r="G28" s="83" t="s">
        <v>19632</v>
      </c>
      <c r="H28" s="83" t="s">
        <v>18043</v>
      </c>
      <c r="I28" s="83" t="s">
        <v>4507</v>
      </c>
      <c r="M28" s="83" t="s">
        <v>19633</v>
      </c>
      <c r="N28" s="83" t="s">
        <v>18045</v>
      </c>
      <c r="O28" s="83" t="s">
        <v>18172</v>
      </c>
      <c r="P28" s="83" t="s">
        <v>17958</v>
      </c>
      <c r="Q28" s="83" t="s">
        <v>18046</v>
      </c>
      <c r="R28" s="83" t="s">
        <v>18047</v>
      </c>
      <c r="S28" s="83" t="s">
        <v>19634</v>
      </c>
    </row>
    <row r="29" spans="1:19">
      <c r="A29" s="83" t="s">
        <v>18173</v>
      </c>
      <c r="B29" s="83" t="s">
        <v>18155</v>
      </c>
      <c r="C29" s="83" t="s">
        <v>18174</v>
      </c>
      <c r="D29" s="83" t="s">
        <v>18175</v>
      </c>
      <c r="E29" s="83" t="s">
        <v>18176</v>
      </c>
      <c r="F29" s="83" t="s">
        <v>19672</v>
      </c>
      <c r="G29" s="83" t="s">
        <v>19673</v>
      </c>
      <c r="H29" s="83" t="s">
        <v>18043</v>
      </c>
      <c r="I29" s="83" t="s">
        <v>18177</v>
      </c>
      <c r="M29" s="83" t="s">
        <v>19674</v>
      </c>
      <c r="N29" s="83" t="s">
        <v>18045</v>
      </c>
      <c r="O29" s="83" t="s">
        <v>18178</v>
      </c>
      <c r="P29" s="83" t="s">
        <v>17958</v>
      </c>
      <c r="Q29" s="83" t="s">
        <v>18046</v>
      </c>
      <c r="R29" s="83" t="s">
        <v>18047</v>
      </c>
      <c r="S29" s="83" t="s">
        <v>19675</v>
      </c>
    </row>
    <row r="30" spans="1:19">
      <c r="A30" s="83" t="s">
        <v>18009</v>
      </c>
      <c r="B30" s="83" t="s">
        <v>18179</v>
      </c>
      <c r="C30" s="83" t="s">
        <v>18180</v>
      </c>
      <c r="D30" s="83" t="s">
        <v>18181</v>
      </c>
      <c r="E30" s="83" t="s">
        <v>18182</v>
      </c>
      <c r="G30" s="83" t="s">
        <v>18183</v>
      </c>
      <c r="H30" s="83" t="s">
        <v>18043</v>
      </c>
      <c r="I30" s="83" t="s">
        <v>18184</v>
      </c>
      <c r="N30" s="83" t="s">
        <v>18045</v>
      </c>
      <c r="P30" s="83" t="s">
        <v>17958</v>
      </c>
      <c r="Q30" s="83" t="s">
        <v>18046</v>
      </c>
      <c r="R30" s="83" t="s">
        <v>18061</v>
      </c>
    </row>
    <row r="31" spans="1:19">
      <c r="A31" s="83" t="s">
        <v>18185</v>
      </c>
      <c r="B31" s="83" t="s">
        <v>18179</v>
      </c>
      <c r="C31" s="83" t="s">
        <v>18186</v>
      </c>
      <c r="D31" s="83" t="s">
        <v>18187</v>
      </c>
      <c r="E31" s="83" t="s">
        <v>18188</v>
      </c>
      <c r="G31" s="83" t="s">
        <v>18189</v>
      </c>
      <c r="H31" s="83" t="s">
        <v>18043</v>
      </c>
      <c r="I31" s="83" t="s">
        <v>18184</v>
      </c>
      <c r="M31" s="83" t="s">
        <v>18190</v>
      </c>
      <c r="N31" s="83" t="s">
        <v>18045</v>
      </c>
      <c r="P31" s="83" t="s">
        <v>17958</v>
      </c>
      <c r="Q31" s="83" t="s">
        <v>18046</v>
      </c>
      <c r="R31" s="83" t="s">
        <v>18061</v>
      </c>
    </row>
    <row r="32" spans="1:19">
      <c r="A32" s="83" t="s">
        <v>18015</v>
      </c>
      <c r="B32" s="83" t="s">
        <v>18191</v>
      </c>
      <c r="C32" s="83" t="s">
        <v>18192</v>
      </c>
      <c r="D32" s="83" t="s">
        <v>18193</v>
      </c>
      <c r="E32" s="83" t="s">
        <v>18194</v>
      </c>
      <c r="G32" s="83" t="s">
        <v>18195</v>
      </c>
      <c r="H32" s="83" t="s">
        <v>18043</v>
      </c>
      <c r="I32" s="83" t="s">
        <v>18177</v>
      </c>
      <c r="J32" s="83" t="s">
        <v>18015</v>
      </c>
      <c r="N32" s="83" t="s">
        <v>18045</v>
      </c>
      <c r="P32" s="83" t="s">
        <v>17958</v>
      </c>
      <c r="Q32" s="83" t="s">
        <v>18046</v>
      </c>
      <c r="R32" s="83" t="s">
        <v>18061</v>
      </c>
    </row>
    <row r="33" spans="1:19">
      <c r="A33" s="83" t="s">
        <v>18196</v>
      </c>
      <c r="B33" s="83" t="s">
        <v>18191</v>
      </c>
      <c r="C33" s="83" t="s">
        <v>18197</v>
      </c>
      <c r="D33" s="83" t="s">
        <v>18198</v>
      </c>
      <c r="E33" s="83" t="s">
        <v>18199</v>
      </c>
      <c r="F33" s="83" t="s">
        <v>20529</v>
      </c>
      <c r="G33" s="83" t="s">
        <v>20530</v>
      </c>
      <c r="H33" s="83" t="s">
        <v>18043</v>
      </c>
      <c r="I33" s="83" t="s">
        <v>18184</v>
      </c>
      <c r="M33" s="83" t="s">
        <v>20531</v>
      </c>
      <c r="N33" s="83" t="s">
        <v>18045</v>
      </c>
      <c r="P33" s="83" t="s">
        <v>17958</v>
      </c>
      <c r="Q33" s="83" t="s">
        <v>18046</v>
      </c>
      <c r="R33" s="83" t="s">
        <v>18047</v>
      </c>
      <c r="S33" s="83" t="s">
        <v>20532</v>
      </c>
    </row>
    <row r="34" spans="1:19">
      <c r="A34" s="83" t="s">
        <v>18200</v>
      </c>
      <c r="B34" s="83" t="s">
        <v>18201</v>
      </c>
      <c r="C34" s="83" t="s">
        <v>18202</v>
      </c>
      <c r="D34" s="83" t="s">
        <v>18203</v>
      </c>
      <c r="E34" s="83" t="s">
        <v>18204</v>
      </c>
      <c r="F34" s="83" t="s">
        <v>19676</v>
      </c>
      <c r="G34" s="83" t="s">
        <v>19677</v>
      </c>
      <c r="H34" s="83" t="s">
        <v>18043</v>
      </c>
      <c r="I34" s="83" t="s">
        <v>4507</v>
      </c>
      <c r="M34" s="83" t="s">
        <v>19678</v>
      </c>
      <c r="N34" s="83" t="s">
        <v>18045</v>
      </c>
      <c r="P34" s="83" t="s">
        <v>17958</v>
      </c>
      <c r="Q34" s="83" t="s">
        <v>18046</v>
      </c>
      <c r="R34" s="83" t="s">
        <v>18047</v>
      </c>
      <c r="S34" s="83" t="s">
        <v>19679</v>
      </c>
    </row>
    <row r="35" spans="1:19">
      <c r="A35" s="83" t="s">
        <v>18205</v>
      </c>
      <c r="B35" s="83" t="s">
        <v>18201</v>
      </c>
      <c r="C35" s="83" t="s">
        <v>18206</v>
      </c>
      <c r="D35" s="83" t="s">
        <v>18207</v>
      </c>
      <c r="E35" s="83" t="s">
        <v>18208</v>
      </c>
      <c r="F35" s="83" t="s">
        <v>19680</v>
      </c>
      <c r="G35" s="83" t="s">
        <v>19677</v>
      </c>
      <c r="H35" s="83" t="s">
        <v>18043</v>
      </c>
      <c r="I35" s="83" t="s">
        <v>4507</v>
      </c>
      <c r="M35" s="83" t="s">
        <v>19681</v>
      </c>
      <c r="N35" s="83" t="s">
        <v>18045</v>
      </c>
      <c r="O35" s="83" t="s">
        <v>18163</v>
      </c>
      <c r="P35" s="83" t="s">
        <v>17958</v>
      </c>
      <c r="Q35" s="83" t="s">
        <v>18046</v>
      </c>
      <c r="R35" s="83" t="s">
        <v>18047</v>
      </c>
      <c r="S35" s="83" t="s">
        <v>19682</v>
      </c>
    </row>
    <row r="36" spans="1:19">
      <c r="A36" s="83" t="s">
        <v>18209</v>
      </c>
      <c r="B36" s="83" t="s">
        <v>18210</v>
      </c>
      <c r="C36" s="83" t="s">
        <v>18211</v>
      </c>
      <c r="D36" s="83" t="s">
        <v>18212</v>
      </c>
      <c r="E36" s="83" t="s">
        <v>18213</v>
      </c>
      <c r="F36" s="83" t="s">
        <v>19808</v>
      </c>
      <c r="G36" s="83" t="s">
        <v>19809</v>
      </c>
      <c r="H36" s="83" t="s">
        <v>18043</v>
      </c>
      <c r="I36" s="83" t="s">
        <v>4507</v>
      </c>
      <c r="M36" s="83" t="s">
        <v>19810</v>
      </c>
      <c r="N36" s="83" t="s">
        <v>18045</v>
      </c>
      <c r="P36" s="83" t="s">
        <v>17958</v>
      </c>
      <c r="Q36" s="83" t="s">
        <v>18046</v>
      </c>
      <c r="R36" s="83" t="s">
        <v>18047</v>
      </c>
      <c r="S36" s="83" t="s">
        <v>19811</v>
      </c>
    </row>
    <row r="37" spans="1:19">
      <c r="A37" s="83" t="s">
        <v>18214</v>
      </c>
      <c r="B37" s="83" t="s">
        <v>18210</v>
      </c>
      <c r="C37" s="83" t="s">
        <v>18215</v>
      </c>
      <c r="D37" s="83" t="s">
        <v>18216</v>
      </c>
      <c r="E37" s="83" t="s">
        <v>18217</v>
      </c>
      <c r="F37" s="83" t="s">
        <v>19812</v>
      </c>
      <c r="G37" s="83" t="s">
        <v>19809</v>
      </c>
      <c r="H37" s="83" t="s">
        <v>18043</v>
      </c>
      <c r="I37" s="83" t="s">
        <v>4507</v>
      </c>
      <c r="M37" s="83" t="s">
        <v>19813</v>
      </c>
      <c r="N37" s="83" t="s">
        <v>18045</v>
      </c>
      <c r="P37" s="83" t="s">
        <v>17958</v>
      </c>
      <c r="Q37" s="83" t="s">
        <v>18046</v>
      </c>
      <c r="R37" s="83" t="s">
        <v>18047</v>
      </c>
      <c r="S37" s="83" t="s">
        <v>19814</v>
      </c>
    </row>
    <row r="38" spans="1:19">
      <c r="A38" s="83" t="s">
        <v>18218</v>
      </c>
      <c r="B38" s="83" t="s">
        <v>18210</v>
      </c>
      <c r="C38" s="83" t="s">
        <v>18219</v>
      </c>
      <c r="D38" s="83" t="s">
        <v>18220</v>
      </c>
      <c r="E38" s="83" t="s">
        <v>18221</v>
      </c>
      <c r="F38" s="83" t="s">
        <v>19815</v>
      </c>
      <c r="G38" s="83" t="s">
        <v>19809</v>
      </c>
      <c r="H38" s="83" t="s">
        <v>18043</v>
      </c>
      <c r="I38" s="83" t="s">
        <v>18072</v>
      </c>
      <c r="M38" s="83" t="s">
        <v>19816</v>
      </c>
      <c r="N38" s="83" t="s">
        <v>18045</v>
      </c>
      <c r="O38" s="83" t="s">
        <v>19817</v>
      </c>
      <c r="P38" s="83" t="s">
        <v>17958</v>
      </c>
      <c r="Q38" s="83" t="s">
        <v>18046</v>
      </c>
      <c r="R38" s="83" t="s">
        <v>18047</v>
      </c>
      <c r="S38" s="83" t="s">
        <v>19818</v>
      </c>
    </row>
    <row r="39" spans="1:19">
      <c r="A39" s="83" t="s">
        <v>18222</v>
      </c>
      <c r="B39" s="83" t="s">
        <v>18210</v>
      </c>
      <c r="C39" s="83" t="s">
        <v>18223</v>
      </c>
      <c r="D39" s="83" t="s">
        <v>18224</v>
      </c>
      <c r="E39" s="83" t="s">
        <v>18225</v>
      </c>
      <c r="F39" s="83" t="s">
        <v>19819</v>
      </c>
      <c r="G39" s="83" t="s">
        <v>19809</v>
      </c>
      <c r="H39" s="83" t="s">
        <v>18043</v>
      </c>
      <c r="I39" s="83" t="s">
        <v>4507</v>
      </c>
      <c r="M39" s="83" t="s">
        <v>19820</v>
      </c>
      <c r="N39" s="83" t="s">
        <v>18045</v>
      </c>
      <c r="O39" s="83" t="s">
        <v>18226</v>
      </c>
      <c r="P39" s="83" t="s">
        <v>17958</v>
      </c>
      <c r="Q39" s="83" t="s">
        <v>18046</v>
      </c>
      <c r="R39" s="83" t="s">
        <v>18047</v>
      </c>
      <c r="S39" s="83" t="s">
        <v>19821</v>
      </c>
    </row>
    <row r="40" spans="1:19">
      <c r="A40" s="83" t="s">
        <v>18227</v>
      </c>
      <c r="B40" s="83" t="s">
        <v>18110</v>
      </c>
      <c r="C40" s="83" t="s">
        <v>18228</v>
      </c>
      <c r="D40" s="83" t="s">
        <v>18229</v>
      </c>
      <c r="E40" s="83" t="s">
        <v>18230</v>
      </c>
      <c r="F40" s="83" t="s">
        <v>20533</v>
      </c>
      <c r="G40" s="83" t="s">
        <v>20530</v>
      </c>
      <c r="H40" s="83" t="s">
        <v>18043</v>
      </c>
      <c r="I40" s="83" t="s">
        <v>18177</v>
      </c>
      <c r="J40" s="83" t="s">
        <v>18227</v>
      </c>
      <c r="M40" s="83" t="s">
        <v>20534</v>
      </c>
      <c r="N40" s="83" t="s">
        <v>18045</v>
      </c>
      <c r="O40" s="83" t="s">
        <v>20535</v>
      </c>
      <c r="P40" s="83" t="s">
        <v>17958</v>
      </c>
      <c r="Q40" s="83" t="s">
        <v>18046</v>
      </c>
      <c r="R40" s="83" t="s">
        <v>18047</v>
      </c>
      <c r="S40" s="83" t="s">
        <v>20536</v>
      </c>
    </row>
    <row r="41" spans="1:19">
      <c r="A41" s="83" t="s">
        <v>18231</v>
      </c>
      <c r="B41" s="83" t="s">
        <v>18110</v>
      </c>
      <c r="C41" s="83" t="s">
        <v>18232</v>
      </c>
      <c r="D41" s="83" t="s">
        <v>18233</v>
      </c>
      <c r="E41" s="83" t="s">
        <v>18234</v>
      </c>
      <c r="F41" s="83" t="s">
        <v>20537</v>
      </c>
      <c r="G41" s="83" t="s">
        <v>20530</v>
      </c>
      <c r="H41" s="83" t="s">
        <v>18043</v>
      </c>
      <c r="I41" s="83" t="s">
        <v>18184</v>
      </c>
      <c r="M41" s="83" t="s">
        <v>20531</v>
      </c>
      <c r="N41" s="83" t="s">
        <v>18045</v>
      </c>
      <c r="O41" s="83" t="s">
        <v>20535</v>
      </c>
      <c r="P41" s="83" t="s">
        <v>17958</v>
      </c>
      <c r="Q41" s="83" t="s">
        <v>18046</v>
      </c>
      <c r="R41" s="83" t="s">
        <v>18047</v>
      </c>
      <c r="S41" s="83" t="s">
        <v>20538</v>
      </c>
    </row>
    <row r="42" spans="1:19">
      <c r="A42" s="83" t="s">
        <v>18235</v>
      </c>
      <c r="B42" s="83" t="s">
        <v>18110</v>
      </c>
      <c r="C42" s="83" t="s">
        <v>18236</v>
      </c>
      <c r="D42" s="83" t="s">
        <v>18237</v>
      </c>
      <c r="E42" s="83" t="s">
        <v>18238</v>
      </c>
      <c r="F42" s="83" t="s">
        <v>20539</v>
      </c>
      <c r="G42" s="83" t="s">
        <v>20530</v>
      </c>
      <c r="H42" s="83" t="s">
        <v>18043</v>
      </c>
      <c r="I42" s="83" t="s">
        <v>4507</v>
      </c>
      <c r="M42" s="83" t="s">
        <v>20540</v>
      </c>
      <c r="N42" s="83" t="s">
        <v>18045</v>
      </c>
      <c r="O42" s="83" t="s">
        <v>20535</v>
      </c>
      <c r="P42" s="83" t="s">
        <v>17958</v>
      </c>
      <c r="Q42" s="83" t="s">
        <v>18046</v>
      </c>
      <c r="R42" s="83" t="s">
        <v>18047</v>
      </c>
      <c r="S42" s="83" t="s">
        <v>20541</v>
      </c>
    </row>
    <row r="43" spans="1:19">
      <c r="A43" s="83" t="s">
        <v>18239</v>
      </c>
      <c r="B43" s="83" t="s">
        <v>18240</v>
      </c>
      <c r="C43" s="83" t="s">
        <v>18241</v>
      </c>
      <c r="D43" s="83" t="s">
        <v>18242</v>
      </c>
      <c r="E43" s="83" t="s">
        <v>18243</v>
      </c>
      <c r="F43" s="83" t="s">
        <v>20542</v>
      </c>
      <c r="G43" s="83" t="s">
        <v>18244</v>
      </c>
      <c r="H43" s="83" t="s">
        <v>18067</v>
      </c>
      <c r="I43" s="83" t="s">
        <v>18072</v>
      </c>
      <c r="M43" s="83" t="s">
        <v>20543</v>
      </c>
      <c r="N43" s="83" t="s">
        <v>18045</v>
      </c>
      <c r="O43" s="83" t="s">
        <v>20544</v>
      </c>
      <c r="P43" s="83" t="s">
        <v>17958</v>
      </c>
      <c r="Q43" s="83" t="s">
        <v>18046</v>
      </c>
      <c r="R43" s="83" t="s">
        <v>18047</v>
      </c>
      <c r="S43" s="83" t="s">
        <v>20545</v>
      </c>
    </row>
    <row r="44" spans="1:19">
      <c r="A44" s="83" t="s">
        <v>18245</v>
      </c>
      <c r="B44" s="83" t="s">
        <v>18240</v>
      </c>
      <c r="C44" s="83" t="s">
        <v>18246</v>
      </c>
      <c r="D44" s="83" t="s">
        <v>18247</v>
      </c>
      <c r="E44" s="83" t="s">
        <v>18248</v>
      </c>
      <c r="F44" s="83" t="s">
        <v>20546</v>
      </c>
      <c r="G44" s="83" t="s">
        <v>18249</v>
      </c>
      <c r="H44" s="83" t="s">
        <v>18067</v>
      </c>
      <c r="I44" s="83" t="s">
        <v>18072</v>
      </c>
      <c r="M44" s="83" t="s">
        <v>20547</v>
      </c>
      <c r="N44" s="83" t="s">
        <v>18045</v>
      </c>
      <c r="O44" s="83" t="s">
        <v>20544</v>
      </c>
      <c r="P44" s="83" t="s">
        <v>17958</v>
      </c>
      <c r="Q44" s="83" t="s">
        <v>18046</v>
      </c>
      <c r="R44" s="83" t="s">
        <v>18047</v>
      </c>
      <c r="S44" s="83" t="s">
        <v>20548</v>
      </c>
    </row>
    <row r="45" spans="1:19">
      <c r="A45" s="83" t="s">
        <v>18250</v>
      </c>
      <c r="B45" s="83" t="s">
        <v>18240</v>
      </c>
      <c r="C45" s="83" t="s">
        <v>18251</v>
      </c>
      <c r="D45" s="83" t="s">
        <v>18252</v>
      </c>
      <c r="E45" s="83" t="s">
        <v>18253</v>
      </c>
      <c r="F45" s="83" t="s">
        <v>20549</v>
      </c>
      <c r="G45" s="83" t="s">
        <v>20550</v>
      </c>
      <c r="H45" s="83" t="s">
        <v>18067</v>
      </c>
      <c r="I45" s="83" t="s">
        <v>18072</v>
      </c>
      <c r="M45" s="83" t="s">
        <v>20551</v>
      </c>
      <c r="N45" s="83" t="s">
        <v>18045</v>
      </c>
      <c r="O45" s="83" t="s">
        <v>20544</v>
      </c>
      <c r="P45" s="83" t="s">
        <v>17958</v>
      </c>
      <c r="Q45" s="83" t="s">
        <v>18046</v>
      </c>
      <c r="R45" s="83" t="s">
        <v>18047</v>
      </c>
      <c r="S45" s="83" t="s">
        <v>20552</v>
      </c>
    </row>
    <row r="46" spans="1:19">
      <c r="A46" s="83" t="s">
        <v>18254</v>
      </c>
      <c r="B46" s="83" t="s">
        <v>16338</v>
      </c>
      <c r="C46" s="83" t="s">
        <v>18255</v>
      </c>
      <c r="D46" s="83" t="s">
        <v>18256</v>
      </c>
      <c r="E46" s="83" t="s">
        <v>18257</v>
      </c>
      <c r="G46" s="83" t="s">
        <v>18258</v>
      </c>
      <c r="H46" s="83" t="s">
        <v>16338</v>
      </c>
      <c r="I46" s="83" t="s">
        <v>18184</v>
      </c>
      <c r="N46" s="83" t="s">
        <v>18045</v>
      </c>
      <c r="O46" s="83" t="s">
        <v>18115</v>
      </c>
      <c r="P46" s="83" t="s">
        <v>17958</v>
      </c>
      <c r="Q46" s="83" t="s">
        <v>18046</v>
      </c>
      <c r="R46" s="83" t="s">
        <v>18061</v>
      </c>
    </row>
    <row r="47" spans="1:19">
      <c r="A47" s="83" t="s">
        <v>18259</v>
      </c>
      <c r="B47" s="83" t="s">
        <v>18260</v>
      </c>
      <c r="C47" s="83" t="s">
        <v>18261</v>
      </c>
      <c r="D47" s="83" t="s">
        <v>18262</v>
      </c>
      <c r="E47" s="83" t="s">
        <v>18263</v>
      </c>
      <c r="G47" s="83" t="s">
        <v>18264</v>
      </c>
      <c r="H47" s="83" t="s">
        <v>18043</v>
      </c>
      <c r="I47" s="83" t="s">
        <v>18184</v>
      </c>
      <c r="N47" s="83" t="s">
        <v>18045</v>
      </c>
      <c r="P47" s="83" t="s">
        <v>17958</v>
      </c>
      <c r="Q47" s="83" t="s">
        <v>18046</v>
      </c>
      <c r="R47" s="83" t="s">
        <v>18061</v>
      </c>
    </row>
    <row r="48" spans="1:19">
      <c r="A48" s="83" t="s">
        <v>18265</v>
      </c>
      <c r="B48" s="83" t="s">
        <v>18266</v>
      </c>
      <c r="C48" s="83" t="s">
        <v>18267</v>
      </c>
      <c r="D48" s="83" t="s">
        <v>18268</v>
      </c>
      <c r="E48" s="83" t="s">
        <v>21332</v>
      </c>
      <c r="F48" s="83" t="s">
        <v>21333</v>
      </c>
      <c r="G48" s="83" t="s">
        <v>21334</v>
      </c>
      <c r="H48" s="83" t="s">
        <v>18043</v>
      </c>
      <c r="I48" s="83" t="s">
        <v>18269</v>
      </c>
      <c r="J48" s="83" t="s">
        <v>21335</v>
      </c>
      <c r="K48" s="83" t="s">
        <v>21336</v>
      </c>
      <c r="L48" s="83" t="s">
        <v>21337</v>
      </c>
      <c r="M48" s="83" t="s">
        <v>21338</v>
      </c>
      <c r="N48" s="83" t="s">
        <v>18045</v>
      </c>
      <c r="O48" s="83" t="s">
        <v>21339</v>
      </c>
      <c r="P48" s="83" t="s">
        <v>17962</v>
      </c>
      <c r="Q48" s="83" t="s">
        <v>18046</v>
      </c>
      <c r="R48" s="83" t="s">
        <v>18047</v>
      </c>
    </row>
    <row r="49" spans="1:19">
      <c r="A49" s="83" t="s">
        <v>18022</v>
      </c>
      <c r="B49" s="83" t="s">
        <v>18266</v>
      </c>
      <c r="C49" s="83" t="s">
        <v>18270</v>
      </c>
      <c r="D49" s="83" t="s">
        <v>18271</v>
      </c>
      <c r="E49" s="83" t="s">
        <v>21340</v>
      </c>
      <c r="F49" s="83" t="s">
        <v>21341</v>
      </c>
      <c r="G49" s="83" t="s">
        <v>18042</v>
      </c>
      <c r="H49" s="83" t="s">
        <v>18043</v>
      </c>
      <c r="I49" s="83" t="s">
        <v>21298</v>
      </c>
      <c r="J49" s="83" t="s">
        <v>18021</v>
      </c>
      <c r="K49" s="83" t="s">
        <v>21342</v>
      </c>
      <c r="L49" s="83" t="s">
        <v>21343</v>
      </c>
      <c r="M49" s="83" t="s">
        <v>21344</v>
      </c>
      <c r="N49" s="83" t="s">
        <v>18045</v>
      </c>
      <c r="O49" s="83" t="s">
        <v>21339</v>
      </c>
      <c r="P49" s="83" t="s">
        <v>17962</v>
      </c>
      <c r="Q49" s="83" t="s">
        <v>18046</v>
      </c>
      <c r="R49" s="83" t="s">
        <v>18047</v>
      </c>
    </row>
    <row r="50" spans="1:19">
      <c r="A50" s="83" t="s">
        <v>18025</v>
      </c>
      <c r="B50" s="83" t="s">
        <v>18266</v>
      </c>
      <c r="C50" s="83" t="s">
        <v>18272</v>
      </c>
      <c r="D50" s="83" t="s">
        <v>18272</v>
      </c>
      <c r="E50" s="83" t="s">
        <v>21345</v>
      </c>
      <c r="F50" s="83" t="s">
        <v>21341</v>
      </c>
      <c r="G50" s="83" t="s">
        <v>18042</v>
      </c>
      <c r="H50" s="83" t="s">
        <v>18043</v>
      </c>
      <c r="I50" s="83" t="s">
        <v>21298</v>
      </c>
      <c r="J50" s="83" t="s">
        <v>18024</v>
      </c>
      <c r="K50" s="83" t="s">
        <v>21346</v>
      </c>
      <c r="L50" s="83" t="s">
        <v>21347</v>
      </c>
      <c r="M50" s="83" t="s">
        <v>21348</v>
      </c>
      <c r="N50" s="83" t="s">
        <v>18045</v>
      </c>
      <c r="O50" s="83" t="s">
        <v>21349</v>
      </c>
      <c r="P50" s="83" t="s">
        <v>17962</v>
      </c>
      <c r="Q50" s="83" t="s">
        <v>18046</v>
      </c>
      <c r="R50" s="83" t="s">
        <v>18047</v>
      </c>
    </row>
    <row r="51" spans="1:19">
      <c r="A51" s="83" t="s">
        <v>18027</v>
      </c>
      <c r="B51" s="83" t="s">
        <v>18266</v>
      </c>
      <c r="C51" s="83" t="s">
        <v>18273</v>
      </c>
      <c r="D51" s="83" t="s">
        <v>18274</v>
      </c>
      <c r="E51" s="83" t="s">
        <v>21350</v>
      </c>
      <c r="F51" s="83" t="s">
        <v>21351</v>
      </c>
      <c r="G51" s="83" t="s">
        <v>21352</v>
      </c>
      <c r="H51" s="83" t="s">
        <v>18043</v>
      </c>
      <c r="I51" s="83" t="s">
        <v>21353</v>
      </c>
      <c r="J51" s="83" t="s">
        <v>18026</v>
      </c>
      <c r="K51" s="83" t="s">
        <v>21354</v>
      </c>
      <c r="L51" s="83" t="s">
        <v>21355</v>
      </c>
      <c r="M51" s="83" t="s">
        <v>21356</v>
      </c>
      <c r="N51" s="83" t="s">
        <v>18045</v>
      </c>
      <c r="O51" s="83" t="s">
        <v>18275</v>
      </c>
      <c r="P51" s="83" t="s">
        <v>17962</v>
      </c>
      <c r="Q51" s="83" t="s">
        <v>18046</v>
      </c>
      <c r="R51" s="83" t="s">
        <v>18047</v>
      </c>
    </row>
    <row r="52" spans="1:19">
      <c r="A52" s="83" t="s">
        <v>18276</v>
      </c>
      <c r="B52" s="83" t="s">
        <v>18266</v>
      </c>
      <c r="C52" s="83" t="s">
        <v>18277</v>
      </c>
      <c r="D52" s="83" t="s">
        <v>18278</v>
      </c>
      <c r="E52" s="83" t="s">
        <v>21357</v>
      </c>
      <c r="F52" s="83" t="s">
        <v>21358</v>
      </c>
      <c r="G52" s="83" t="s">
        <v>21352</v>
      </c>
      <c r="H52" s="83" t="s">
        <v>18043</v>
      </c>
      <c r="I52" s="83" t="s">
        <v>18184</v>
      </c>
      <c r="J52" s="83" t="s">
        <v>21324</v>
      </c>
      <c r="K52" s="83" t="s">
        <v>21359</v>
      </c>
      <c r="L52" s="83" t="s">
        <v>21360</v>
      </c>
      <c r="M52" s="83" t="s">
        <v>21344</v>
      </c>
      <c r="N52" s="83" t="s">
        <v>18045</v>
      </c>
      <c r="O52" s="83" t="s">
        <v>21339</v>
      </c>
      <c r="P52" s="83" t="s">
        <v>17962</v>
      </c>
      <c r="Q52" s="83" t="s">
        <v>18046</v>
      </c>
      <c r="R52" s="83" t="s">
        <v>18047</v>
      </c>
      <c r="S52" s="83" t="s">
        <v>21361</v>
      </c>
    </row>
    <row r="53" spans="1:19">
      <c r="A53" s="83" t="s">
        <v>18032</v>
      </c>
      <c r="B53" s="83" t="s">
        <v>18266</v>
      </c>
      <c r="C53" s="83" t="s">
        <v>21362</v>
      </c>
      <c r="D53" s="83" t="s">
        <v>18279</v>
      </c>
      <c r="E53" s="83" t="s">
        <v>21363</v>
      </c>
      <c r="F53" s="83" t="s">
        <v>21364</v>
      </c>
      <c r="G53" s="83" t="s">
        <v>21365</v>
      </c>
      <c r="H53" s="83" t="s">
        <v>18043</v>
      </c>
      <c r="I53" s="83" t="s">
        <v>21366</v>
      </c>
      <c r="J53" s="83" t="s">
        <v>18031</v>
      </c>
      <c r="K53" s="83" t="s">
        <v>21367</v>
      </c>
      <c r="L53" s="83" t="s">
        <v>21368</v>
      </c>
      <c r="M53" s="83" t="s">
        <v>21369</v>
      </c>
      <c r="N53" s="83" t="s">
        <v>18045</v>
      </c>
      <c r="O53" s="83" t="s">
        <v>21370</v>
      </c>
      <c r="P53" s="83" t="s">
        <v>17962</v>
      </c>
      <c r="Q53" s="83" t="s">
        <v>18046</v>
      </c>
      <c r="R53" s="83" t="s">
        <v>18047</v>
      </c>
    </row>
    <row r="54" spans="1:19">
      <c r="A54" s="83" t="s">
        <v>18280</v>
      </c>
      <c r="B54" s="83" t="s">
        <v>18281</v>
      </c>
      <c r="C54" s="83" t="s">
        <v>18282</v>
      </c>
      <c r="D54" s="83" t="s">
        <v>18283</v>
      </c>
      <c r="E54" s="83" t="s">
        <v>18284</v>
      </c>
      <c r="H54" s="83" t="s">
        <v>18043</v>
      </c>
      <c r="I54" s="83" t="s">
        <v>18285</v>
      </c>
      <c r="N54" s="83" t="s">
        <v>18286</v>
      </c>
      <c r="P54" s="83" t="s">
        <v>17958</v>
      </c>
      <c r="Q54" s="83" t="s">
        <v>18046</v>
      </c>
      <c r="R54" s="83" t="s">
        <v>18109</v>
      </c>
    </row>
    <row r="55" spans="1:19">
      <c r="A55" s="83" t="s">
        <v>18287</v>
      </c>
      <c r="B55" s="83" t="s">
        <v>18281</v>
      </c>
      <c r="C55" s="83" t="s">
        <v>18288</v>
      </c>
      <c r="D55" s="83" t="s">
        <v>18289</v>
      </c>
      <c r="E55" s="83" t="s">
        <v>18290</v>
      </c>
      <c r="H55" s="83" t="s">
        <v>18043</v>
      </c>
      <c r="I55" s="83" t="s">
        <v>18072</v>
      </c>
      <c r="N55" s="83" t="s">
        <v>18291</v>
      </c>
      <c r="P55" s="83" t="s">
        <v>17958</v>
      </c>
      <c r="Q55" s="83" t="s">
        <v>18046</v>
      </c>
      <c r="R55" s="83" t="s">
        <v>18109</v>
      </c>
    </row>
    <row r="56" spans="1:19">
      <c r="A56" s="83" t="s">
        <v>18292</v>
      </c>
      <c r="B56" s="83" t="s">
        <v>18281</v>
      </c>
      <c r="C56" s="83" t="s">
        <v>18293</v>
      </c>
      <c r="D56" s="83" t="s">
        <v>18294</v>
      </c>
      <c r="E56" s="83" t="s">
        <v>18295</v>
      </c>
      <c r="H56" s="83" t="s">
        <v>18043</v>
      </c>
      <c r="I56" s="83" t="s">
        <v>4507</v>
      </c>
      <c r="N56" s="83" t="s">
        <v>18296</v>
      </c>
      <c r="P56" s="83" t="s">
        <v>17958</v>
      </c>
      <c r="Q56" s="83" t="s">
        <v>18046</v>
      </c>
      <c r="R56" s="83" t="s">
        <v>18109</v>
      </c>
    </row>
    <row r="57" spans="1:19">
      <c r="A57" s="83" t="s">
        <v>18478</v>
      </c>
      <c r="B57" s="83" t="s">
        <v>18037</v>
      </c>
      <c r="C57" s="83" t="s">
        <v>18479</v>
      </c>
      <c r="D57" s="83" t="s">
        <v>18480</v>
      </c>
      <c r="E57" s="83" t="s">
        <v>18481</v>
      </c>
      <c r="F57" s="83" t="s">
        <v>18482</v>
      </c>
      <c r="G57" s="83" t="s">
        <v>18483</v>
      </c>
      <c r="H57" s="83" t="s">
        <v>18043</v>
      </c>
      <c r="I57" s="83" t="s">
        <v>18054</v>
      </c>
      <c r="M57" s="83" t="s">
        <v>18055</v>
      </c>
      <c r="N57" s="83" t="s">
        <v>18045</v>
      </c>
      <c r="P57" s="83" t="s">
        <v>17958</v>
      </c>
      <c r="Q57" s="83" t="s">
        <v>18046</v>
      </c>
      <c r="R57" s="83" t="s">
        <v>18047</v>
      </c>
      <c r="S57" s="83" t="s">
        <v>18484</v>
      </c>
    </row>
    <row r="58" spans="1:19">
      <c r="A58" s="83" t="s">
        <v>18485</v>
      </c>
      <c r="B58" s="83" t="s">
        <v>18037</v>
      </c>
      <c r="C58" s="83" t="s">
        <v>18486</v>
      </c>
      <c r="D58" s="83" t="s">
        <v>18487</v>
      </c>
      <c r="E58" s="83" t="s">
        <v>18488</v>
      </c>
      <c r="F58" s="83" t="s">
        <v>18489</v>
      </c>
      <c r="G58" s="83" t="s">
        <v>18490</v>
      </c>
      <c r="H58" s="83" t="s">
        <v>18043</v>
      </c>
      <c r="I58" s="83" t="s">
        <v>18054</v>
      </c>
      <c r="M58" s="83" t="s">
        <v>18055</v>
      </c>
      <c r="N58" s="83" t="s">
        <v>18045</v>
      </c>
      <c r="P58" s="83" t="s">
        <v>17958</v>
      </c>
      <c r="Q58" s="83" t="s">
        <v>18046</v>
      </c>
      <c r="R58" s="83" t="s">
        <v>18047</v>
      </c>
      <c r="S58" s="83" t="s">
        <v>18491</v>
      </c>
    </row>
    <row r="59" spans="1:19">
      <c r="A59" s="83" t="s">
        <v>18492</v>
      </c>
      <c r="B59" s="83" t="s">
        <v>18037</v>
      </c>
      <c r="C59" s="83" t="s">
        <v>18493</v>
      </c>
      <c r="D59" s="83" t="s">
        <v>18494</v>
      </c>
      <c r="E59" s="83" t="s">
        <v>18495</v>
      </c>
      <c r="F59" s="83" t="s">
        <v>18496</v>
      </c>
      <c r="G59" s="83" t="s">
        <v>18497</v>
      </c>
      <c r="H59" s="83" t="s">
        <v>18067</v>
      </c>
      <c r="I59" s="83" t="s">
        <v>18072</v>
      </c>
      <c r="M59" s="83" t="s">
        <v>18044</v>
      </c>
      <c r="N59" s="83" t="s">
        <v>18045</v>
      </c>
      <c r="P59" s="83" t="s">
        <v>17958</v>
      </c>
      <c r="Q59" s="83" t="s">
        <v>18046</v>
      </c>
      <c r="R59" s="83" t="s">
        <v>18047</v>
      </c>
      <c r="S59" s="83" t="s">
        <v>18498</v>
      </c>
    </row>
    <row r="60" spans="1:19">
      <c r="A60" s="83" t="s">
        <v>18499</v>
      </c>
      <c r="B60" s="83" t="s">
        <v>18078</v>
      </c>
      <c r="C60" s="83" t="s">
        <v>18500</v>
      </c>
      <c r="D60" s="83" t="s">
        <v>18501</v>
      </c>
      <c r="E60" s="83" t="s">
        <v>18502</v>
      </c>
      <c r="F60" s="83" t="s">
        <v>18503</v>
      </c>
      <c r="G60" s="83" t="s">
        <v>18504</v>
      </c>
      <c r="H60" s="83" t="s">
        <v>18043</v>
      </c>
      <c r="I60" s="83" t="s">
        <v>17966</v>
      </c>
      <c r="M60" s="83" t="s">
        <v>18044</v>
      </c>
      <c r="N60" s="83" t="s">
        <v>18045</v>
      </c>
      <c r="P60" s="83" t="s">
        <v>17958</v>
      </c>
      <c r="Q60" s="83" t="s">
        <v>18046</v>
      </c>
      <c r="R60" s="83" t="s">
        <v>18047</v>
      </c>
      <c r="S60" s="83" t="s">
        <v>18505</v>
      </c>
    </row>
    <row r="61" spans="1:19">
      <c r="A61" s="83" t="s">
        <v>18506</v>
      </c>
      <c r="B61" s="83" t="s">
        <v>18110</v>
      </c>
      <c r="C61" s="83" t="s">
        <v>18507</v>
      </c>
      <c r="D61" s="83" t="s">
        <v>18508</v>
      </c>
      <c r="E61" s="83" t="s">
        <v>18509</v>
      </c>
      <c r="F61" s="83" t="s">
        <v>18510</v>
      </c>
      <c r="G61" s="83" t="s">
        <v>18114</v>
      </c>
      <c r="H61" s="83" t="s">
        <v>18043</v>
      </c>
      <c r="I61" s="83" t="s">
        <v>4507</v>
      </c>
      <c r="M61" s="83" t="s">
        <v>18044</v>
      </c>
      <c r="N61" s="83" t="s">
        <v>18045</v>
      </c>
      <c r="O61" s="83" t="s">
        <v>18115</v>
      </c>
      <c r="P61" s="83" t="s">
        <v>17958</v>
      </c>
      <c r="Q61" s="83" t="s">
        <v>18046</v>
      </c>
      <c r="R61" s="83" t="s">
        <v>18047</v>
      </c>
      <c r="S61" s="83" t="s">
        <v>18511</v>
      </c>
    </row>
    <row r="62" spans="1:19">
      <c r="A62" s="83" t="s">
        <v>18512</v>
      </c>
      <c r="B62" s="83" t="s">
        <v>18110</v>
      </c>
      <c r="C62" s="83" t="s">
        <v>18513</v>
      </c>
      <c r="D62" s="83" t="s">
        <v>18514</v>
      </c>
      <c r="E62" s="83" t="s">
        <v>18515</v>
      </c>
      <c r="F62" s="83" t="s">
        <v>18516</v>
      </c>
      <c r="G62" s="83" t="s">
        <v>18042</v>
      </c>
      <c r="H62" s="83" t="s">
        <v>18043</v>
      </c>
      <c r="I62" s="83" t="s">
        <v>4507</v>
      </c>
      <c r="M62" s="83" t="s">
        <v>18044</v>
      </c>
      <c r="N62" s="83" t="s">
        <v>18045</v>
      </c>
      <c r="O62" s="83" t="s">
        <v>18130</v>
      </c>
      <c r="P62" s="83" t="s">
        <v>17958</v>
      </c>
      <c r="Q62" s="83" t="s">
        <v>18046</v>
      </c>
      <c r="R62" s="83" t="s">
        <v>18047</v>
      </c>
      <c r="S62" s="83" t="s">
        <v>18517</v>
      </c>
    </row>
    <row r="63" spans="1:19">
      <c r="A63" s="83" t="s">
        <v>18518</v>
      </c>
      <c r="B63" s="83" t="s">
        <v>18519</v>
      </c>
      <c r="C63" s="83" t="s">
        <v>18520</v>
      </c>
      <c r="D63" s="83" t="s">
        <v>18521</v>
      </c>
      <c r="E63" s="83" t="s">
        <v>18522</v>
      </c>
      <c r="F63" s="83" t="s">
        <v>18621</v>
      </c>
      <c r="G63" s="83" t="s">
        <v>18523</v>
      </c>
      <c r="H63" s="83" t="s">
        <v>18043</v>
      </c>
      <c r="I63" s="83" t="s">
        <v>17956</v>
      </c>
      <c r="M63" s="83" t="s">
        <v>18524</v>
      </c>
      <c r="N63" s="83" t="s">
        <v>18045</v>
      </c>
      <c r="P63" s="83" t="s">
        <v>17958</v>
      </c>
      <c r="Q63" s="83" t="s">
        <v>18046</v>
      </c>
      <c r="R63" s="83" t="s">
        <v>18047</v>
      </c>
      <c r="S63" s="83" t="s">
        <v>18622</v>
      </c>
    </row>
    <row r="64" spans="1:19">
      <c r="A64" s="83" t="s">
        <v>18525</v>
      </c>
      <c r="B64" s="83" t="s">
        <v>18519</v>
      </c>
      <c r="C64" s="83" t="s">
        <v>18526</v>
      </c>
      <c r="D64" s="83" t="s">
        <v>18527</v>
      </c>
      <c r="E64" s="83" t="s">
        <v>18528</v>
      </c>
      <c r="F64" s="83" t="s">
        <v>18529</v>
      </c>
      <c r="G64" s="83" t="s">
        <v>18523</v>
      </c>
      <c r="H64" s="83" t="s">
        <v>18043</v>
      </c>
      <c r="I64" s="83" t="s">
        <v>18530</v>
      </c>
      <c r="N64" s="83" t="s">
        <v>18045</v>
      </c>
      <c r="P64" s="83" t="s">
        <v>17958</v>
      </c>
      <c r="Q64" s="83" t="s">
        <v>18046</v>
      </c>
      <c r="R64" s="83" t="s">
        <v>18047</v>
      </c>
      <c r="S64" s="83" t="s">
        <v>18531</v>
      </c>
    </row>
    <row r="65" spans="1:19">
      <c r="A65" s="83" t="s">
        <v>18532</v>
      </c>
      <c r="B65" s="83" t="s">
        <v>18519</v>
      </c>
      <c r="C65" s="83" t="s">
        <v>18533</v>
      </c>
      <c r="D65" s="83" t="s">
        <v>18534</v>
      </c>
      <c r="E65" s="83" t="s">
        <v>18535</v>
      </c>
      <c r="F65" s="83" t="s">
        <v>18536</v>
      </c>
      <c r="G65" s="83" t="s">
        <v>15566</v>
      </c>
      <c r="H65" s="83" t="s">
        <v>18043</v>
      </c>
      <c r="I65" s="83" t="s">
        <v>4605</v>
      </c>
      <c r="N65" s="83" t="s">
        <v>18045</v>
      </c>
      <c r="P65" s="83" t="s">
        <v>17958</v>
      </c>
      <c r="Q65" s="83" t="s">
        <v>18046</v>
      </c>
      <c r="R65" s="83" t="s">
        <v>18047</v>
      </c>
      <c r="S65" s="83" t="s">
        <v>18537</v>
      </c>
    </row>
    <row r="66" spans="1:19">
      <c r="A66" s="83" t="s">
        <v>18538</v>
      </c>
      <c r="B66" s="83" t="s">
        <v>18519</v>
      </c>
      <c r="C66" s="83" t="s">
        <v>18430</v>
      </c>
      <c r="D66" s="83" t="s">
        <v>18431</v>
      </c>
      <c r="E66" s="83" t="s">
        <v>18539</v>
      </c>
      <c r="F66" s="83" t="s">
        <v>18540</v>
      </c>
      <c r="G66" s="83" t="s">
        <v>18541</v>
      </c>
      <c r="H66" s="83" t="s">
        <v>18043</v>
      </c>
      <c r="I66" s="83" t="s">
        <v>17956</v>
      </c>
      <c r="M66" s="83" t="s">
        <v>18542</v>
      </c>
      <c r="N66" s="83" t="s">
        <v>18045</v>
      </c>
      <c r="P66" s="83" t="s">
        <v>17958</v>
      </c>
      <c r="Q66" s="83" t="s">
        <v>18046</v>
      </c>
      <c r="R66" s="83" t="s">
        <v>18047</v>
      </c>
      <c r="S66" s="83" t="s">
        <v>18543</v>
      </c>
    </row>
    <row r="67" spans="1:19">
      <c r="A67" s="83" t="s">
        <v>18544</v>
      </c>
      <c r="B67" s="83" t="s">
        <v>18519</v>
      </c>
      <c r="C67" s="83" t="s">
        <v>18545</v>
      </c>
      <c r="D67" s="83" t="s">
        <v>18546</v>
      </c>
      <c r="E67" s="83" t="s">
        <v>18547</v>
      </c>
      <c r="F67" s="83" t="s">
        <v>18548</v>
      </c>
      <c r="G67" s="83" t="s">
        <v>18549</v>
      </c>
      <c r="H67" s="83" t="s">
        <v>18043</v>
      </c>
      <c r="I67" s="83" t="s">
        <v>4605</v>
      </c>
      <c r="N67" s="83" t="s">
        <v>18045</v>
      </c>
      <c r="O67" s="83" t="s">
        <v>18550</v>
      </c>
      <c r="P67" s="83" t="s">
        <v>17958</v>
      </c>
      <c r="Q67" s="83" t="s">
        <v>18046</v>
      </c>
      <c r="R67" s="83" t="s">
        <v>18047</v>
      </c>
      <c r="S67" s="83" t="s">
        <v>18551</v>
      </c>
    </row>
    <row r="68" spans="1:19">
      <c r="A68" s="83" t="s">
        <v>18552</v>
      </c>
      <c r="B68" s="83" t="s">
        <v>18519</v>
      </c>
      <c r="C68" s="83" t="s">
        <v>18553</v>
      </c>
      <c r="D68" s="83" t="s">
        <v>18554</v>
      </c>
      <c r="E68" s="83" t="s">
        <v>18555</v>
      </c>
      <c r="F68" s="83" t="s">
        <v>18556</v>
      </c>
      <c r="G68" s="83" t="s">
        <v>18557</v>
      </c>
      <c r="H68" s="83" t="s">
        <v>18043</v>
      </c>
      <c r="I68" s="83" t="s">
        <v>17956</v>
      </c>
      <c r="N68" s="83" t="s">
        <v>18045</v>
      </c>
      <c r="P68" s="83" t="s">
        <v>17958</v>
      </c>
      <c r="Q68" s="83" t="s">
        <v>18046</v>
      </c>
      <c r="R68" s="83" t="s">
        <v>18047</v>
      </c>
      <c r="S68" s="83" t="s">
        <v>18558</v>
      </c>
    </row>
    <row r="69" spans="1:19">
      <c r="A69" s="83" t="s">
        <v>19683</v>
      </c>
      <c r="B69" s="83" t="s">
        <v>18155</v>
      </c>
      <c r="C69" s="83" t="s">
        <v>19684</v>
      </c>
      <c r="D69" s="83" t="s">
        <v>19685</v>
      </c>
      <c r="E69" s="83" t="s">
        <v>19686</v>
      </c>
      <c r="F69" s="83" t="s">
        <v>19687</v>
      </c>
      <c r="G69" s="83" t="s">
        <v>19673</v>
      </c>
      <c r="H69" s="83" t="s">
        <v>18043</v>
      </c>
      <c r="I69" s="83" t="s">
        <v>4507</v>
      </c>
      <c r="M69" s="83" t="s">
        <v>19688</v>
      </c>
      <c r="N69" s="83" t="s">
        <v>18045</v>
      </c>
      <c r="O69" s="83" t="s">
        <v>18178</v>
      </c>
      <c r="Q69" s="83" t="s">
        <v>18046</v>
      </c>
      <c r="R69" s="83" t="s">
        <v>18047</v>
      </c>
      <c r="S69" s="83" t="s">
        <v>19689</v>
      </c>
    </row>
    <row r="70" spans="1:19">
      <c r="A70" s="83" t="s">
        <v>19822</v>
      </c>
      <c r="B70" s="83" t="s">
        <v>18125</v>
      </c>
      <c r="C70" s="83" t="s">
        <v>19823</v>
      </c>
      <c r="D70" s="83" t="s">
        <v>19824</v>
      </c>
      <c r="E70" s="83" t="s">
        <v>19825</v>
      </c>
      <c r="F70" s="83" t="s">
        <v>19826</v>
      </c>
      <c r="G70" s="83" t="s">
        <v>19827</v>
      </c>
      <c r="H70" s="83" t="s">
        <v>18043</v>
      </c>
      <c r="I70" s="83" t="s">
        <v>17956</v>
      </c>
      <c r="M70" s="83" t="s">
        <v>19828</v>
      </c>
      <c r="N70" s="83" t="s">
        <v>18045</v>
      </c>
      <c r="Q70" s="83" t="s">
        <v>18046</v>
      </c>
      <c r="R70" s="83" t="s">
        <v>18047</v>
      </c>
      <c r="S70" s="83" t="s">
        <v>19829</v>
      </c>
    </row>
    <row r="71" spans="1:19">
      <c r="A71" s="83" t="s">
        <v>21329</v>
      </c>
      <c r="B71" s="83" t="s">
        <v>18266</v>
      </c>
      <c r="C71" s="83" t="s">
        <v>21371</v>
      </c>
      <c r="D71" s="83" t="s">
        <v>21372</v>
      </c>
      <c r="E71" s="83" t="s">
        <v>21373</v>
      </c>
      <c r="F71" s="83" t="s">
        <v>21374</v>
      </c>
      <c r="G71" s="83" t="s">
        <v>4610</v>
      </c>
      <c r="H71" s="83" t="s">
        <v>18043</v>
      </c>
      <c r="I71" s="83" t="s">
        <v>18184</v>
      </c>
      <c r="J71" s="83" t="s">
        <v>21328</v>
      </c>
      <c r="K71" s="83" t="s">
        <v>21359</v>
      </c>
      <c r="L71" s="83" t="s">
        <v>21375</v>
      </c>
      <c r="M71" s="83" t="s">
        <v>21344</v>
      </c>
      <c r="N71" s="83" t="s">
        <v>18045</v>
      </c>
      <c r="O71" s="83" t="s">
        <v>21339</v>
      </c>
      <c r="P71" s="83" t="s">
        <v>17962</v>
      </c>
      <c r="Q71" s="83" t="s">
        <v>18046</v>
      </c>
      <c r="R71" s="83" t="s">
        <v>18047</v>
      </c>
      <c r="S71" s="83" t="s">
        <v>21376</v>
      </c>
    </row>
    <row r="72" spans="1:19">
      <c r="A72" s="83" t="s">
        <v>21377</v>
      </c>
      <c r="B72" s="83" t="s">
        <v>18266</v>
      </c>
      <c r="C72" s="83" t="s">
        <v>21378</v>
      </c>
      <c r="D72" s="83" t="s">
        <v>21379</v>
      </c>
      <c r="E72" s="83" t="s">
        <v>21380</v>
      </c>
      <c r="F72" s="83" t="s">
        <v>21381</v>
      </c>
      <c r="G72" s="83" t="s">
        <v>21382</v>
      </c>
      <c r="H72" s="83" t="s">
        <v>18043</v>
      </c>
      <c r="I72" s="83" t="s">
        <v>21383</v>
      </c>
      <c r="J72" s="83" t="s">
        <v>21384</v>
      </c>
      <c r="K72" s="83" t="s">
        <v>21385</v>
      </c>
      <c r="L72" s="83" t="s">
        <v>21386</v>
      </c>
      <c r="M72" s="83" t="s">
        <v>21387</v>
      </c>
      <c r="N72" s="83" t="s">
        <v>18045</v>
      </c>
      <c r="O72" s="83" t="s">
        <v>21382</v>
      </c>
      <c r="P72" s="83" t="s">
        <v>17962</v>
      </c>
      <c r="Q72" s="83" t="s">
        <v>18046</v>
      </c>
      <c r="R72" s="83" t="s">
        <v>18047</v>
      </c>
    </row>
  </sheetData>
  <sheetProtection algorithmName="SHA-512" hashValue="7iH3vx9583R6F4PaLvvdJT+1k7vNJ7CNQPiOe+zae5KtO3OOuEy4A819ReRyVixnEVmkGCtAKY9+o9m0OWTajw==" saltValue="llEXpF85dcuUpwyqhyTBxw==" spinCount="100000" sheet="1" scenarios="1" formatColumns="0" sort="0" autoFilter="0"/>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EF65D-4627-4B66-A6FE-73C226A8AB86}">
  <sheetPr codeName="Sheet78"/>
  <dimension ref="A1:NJ20005"/>
  <sheetViews>
    <sheetView workbookViewId="0"/>
  </sheetViews>
  <sheetFormatPr defaultRowHeight="12.75"/>
  <cols>
    <col min="1" max="1" width="16.5703125" bestFit="1" customWidth="1"/>
    <col min="2" max="2" width="13" bestFit="1" customWidth="1"/>
    <col min="3" max="3" width="9.28515625" bestFit="1" customWidth="1"/>
    <col min="4" max="4" width="12.7109375" bestFit="1" customWidth="1"/>
    <col min="5" max="5" width="16.28515625" bestFit="1" customWidth="1"/>
    <col min="6" max="6" width="12.28515625" bestFit="1" customWidth="1"/>
    <col min="7" max="7" width="15.42578125" bestFit="1" customWidth="1"/>
    <col min="8" max="8" width="13.5703125" bestFit="1" customWidth="1"/>
    <col min="9" max="10" width="12.140625" bestFit="1" customWidth="1"/>
    <col min="11" max="11" width="13.28515625" bestFit="1" customWidth="1"/>
    <col min="12" max="12" width="6.28515625" bestFit="1" customWidth="1"/>
    <col min="13" max="13" width="14.5703125" bestFit="1" customWidth="1"/>
    <col min="14" max="14" width="23.85546875" bestFit="1" customWidth="1"/>
    <col min="15" max="15" width="22.140625" bestFit="1" customWidth="1"/>
    <col min="16" max="16" width="24.140625" bestFit="1" customWidth="1"/>
    <col min="17" max="17" width="28.5703125" bestFit="1" customWidth="1"/>
    <col min="18" max="18" width="24.7109375" bestFit="1" customWidth="1"/>
    <col min="19" max="19" width="12.85546875" bestFit="1" customWidth="1"/>
    <col min="22" max="22" width="30.28515625" bestFit="1" customWidth="1"/>
    <col min="23" max="23" width="16.140625" bestFit="1" customWidth="1"/>
    <col min="24" max="24" width="6.28515625" bestFit="1" customWidth="1"/>
    <col min="25" max="25" width="14.7109375" bestFit="1" customWidth="1"/>
    <col min="26" max="26" width="9.28515625" bestFit="1" customWidth="1"/>
    <col min="27" max="27" width="6.28515625" bestFit="1" customWidth="1"/>
    <col min="30" max="30" width="16.5703125" bestFit="1" customWidth="1"/>
    <col min="31" max="31" width="13" bestFit="1" customWidth="1"/>
    <col min="32" max="32" width="28.140625" bestFit="1" customWidth="1"/>
    <col min="33" max="33" width="28.28515625" bestFit="1" customWidth="1"/>
    <col min="34" max="37" width="26.5703125" bestFit="1" customWidth="1"/>
    <col min="38" max="38" width="34.42578125" bestFit="1" customWidth="1"/>
    <col min="39" max="39" width="34.5703125" bestFit="1" customWidth="1"/>
    <col min="40" max="43" width="32.7109375" bestFit="1" customWidth="1"/>
    <col min="44" max="44" width="31.7109375" bestFit="1" customWidth="1"/>
    <col min="45" max="45" width="31.85546875" bestFit="1" customWidth="1"/>
    <col min="46" max="49" width="30.140625" bestFit="1" customWidth="1"/>
    <col min="50" max="50" width="29.7109375" bestFit="1" customWidth="1"/>
    <col min="51" max="51" width="29.85546875" bestFit="1" customWidth="1"/>
    <col min="52" max="55" width="28" bestFit="1" customWidth="1"/>
    <col min="56" max="56" width="32.28515625" bestFit="1" customWidth="1"/>
    <col min="57" max="57" width="32.42578125" bestFit="1" customWidth="1"/>
    <col min="58" max="61" width="30.7109375" bestFit="1" customWidth="1"/>
    <col min="62" max="62" width="25.85546875" bestFit="1" customWidth="1"/>
    <col min="63" max="63" width="26" bestFit="1" customWidth="1"/>
    <col min="64" max="67" width="24.140625" bestFit="1" customWidth="1"/>
    <col min="68" max="68" width="37.7109375" bestFit="1" customWidth="1"/>
    <col min="69" max="69" width="28.5703125" bestFit="1" customWidth="1"/>
    <col min="72" max="72" width="16.5703125" bestFit="1" customWidth="1"/>
    <col min="73" max="73" width="28.140625" bestFit="1" customWidth="1"/>
    <col min="74" max="74" width="28.28515625" bestFit="1" customWidth="1"/>
    <col min="75" max="78" width="26.5703125" bestFit="1" customWidth="1"/>
    <col min="79" max="79" width="34.42578125" bestFit="1" customWidth="1"/>
    <col min="80" max="80" width="34.5703125" bestFit="1" customWidth="1"/>
    <col min="81" max="84" width="32.7109375" bestFit="1" customWidth="1"/>
    <col min="85" max="85" width="31.7109375" bestFit="1" customWidth="1"/>
    <col min="86" max="86" width="31.85546875" bestFit="1" customWidth="1"/>
    <col min="87" max="90" width="30.140625" bestFit="1" customWidth="1"/>
    <col min="91" max="91" width="29.7109375" bestFit="1" customWidth="1"/>
    <col min="92" max="92" width="29.85546875" bestFit="1" customWidth="1"/>
    <col min="93" max="96" width="28" bestFit="1" customWidth="1"/>
    <col min="97" max="97" width="32.28515625" bestFit="1" customWidth="1"/>
    <col min="98" max="98" width="32.42578125" bestFit="1" customWidth="1"/>
    <col min="99" max="102" width="30.7109375" bestFit="1" customWidth="1"/>
    <col min="103" max="103" width="25.85546875" bestFit="1" customWidth="1"/>
    <col min="104" max="104" width="26" bestFit="1" customWidth="1"/>
    <col min="105" max="108" width="24.140625" bestFit="1" customWidth="1"/>
    <col min="109" max="109" width="37.7109375" bestFit="1" customWidth="1"/>
    <col min="110" max="110" width="28.5703125" bestFit="1" customWidth="1"/>
    <col min="113" max="113" width="26" bestFit="1" customWidth="1"/>
    <col min="114" max="114" width="11.42578125" bestFit="1" customWidth="1"/>
    <col min="115" max="115" width="36" bestFit="1" customWidth="1"/>
    <col min="116" max="116" width="42.28515625" bestFit="1" customWidth="1"/>
    <col min="117" max="117" width="39.5703125" bestFit="1" customWidth="1"/>
    <col min="118" max="118" width="37.42578125" bestFit="1" customWidth="1"/>
    <col min="119" max="119" width="40.140625" bestFit="1" customWidth="1"/>
    <col min="120" max="120" width="33.5703125" bestFit="1" customWidth="1"/>
    <col min="124" max="124" width="13.85546875" bestFit="1" customWidth="1"/>
    <col min="125" max="125" width="9.28515625" bestFit="1" customWidth="1"/>
    <col min="127" max="127" width="12.28515625" bestFit="1" customWidth="1"/>
    <col min="128" max="128" width="9.28515625" bestFit="1" customWidth="1"/>
    <col min="129" max="129" width="14.5703125" bestFit="1" customWidth="1"/>
    <col min="183" max="183" width="16.5703125" bestFit="1" customWidth="1"/>
    <col min="184" max="184" width="13" bestFit="1" customWidth="1"/>
    <col min="185" max="185" width="28.140625" bestFit="1" customWidth="1"/>
    <col min="186" max="186" width="28.28515625" bestFit="1" customWidth="1"/>
    <col min="187" max="190" width="26.5703125" bestFit="1" customWidth="1"/>
    <col min="191" max="191" width="34.42578125" bestFit="1" customWidth="1"/>
    <col min="192" max="192" width="34.5703125" bestFit="1" customWidth="1"/>
    <col min="193" max="196" width="32.7109375" bestFit="1" customWidth="1"/>
    <col min="197" max="197" width="31.7109375" bestFit="1" customWidth="1"/>
    <col min="198" max="198" width="31.85546875" bestFit="1" customWidth="1"/>
    <col min="199" max="202" width="30.140625" bestFit="1" customWidth="1"/>
    <col min="203" max="203" width="29.7109375" bestFit="1" customWidth="1"/>
    <col min="204" max="204" width="29.85546875" bestFit="1" customWidth="1"/>
    <col min="205" max="208" width="28" bestFit="1" customWidth="1"/>
    <col min="209" max="209" width="32.28515625" bestFit="1" customWidth="1"/>
    <col min="210" max="210" width="32.42578125" bestFit="1" customWidth="1"/>
    <col min="211" max="214" width="30.7109375" bestFit="1" customWidth="1"/>
    <col min="215" max="215" width="25.85546875" bestFit="1" customWidth="1"/>
    <col min="216" max="216" width="26" bestFit="1" customWidth="1"/>
    <col min="217" max="220" width="24.140625" bestFit="1" customWidth="1"/>
    <col min="221" max="221" width="37.7109375" bestFit="1" customWidth="1"/>
    <col min="222" max="222" width="28.5703125" bestFit="1" customWidth="1"/>
    <col min="226" max="226" width="16.5703125" bestFit="1" customWidth="1"/>
    <col min="227" max="227" width="28.140625" bestFit="1" customWidth="1"/>
    <col min="228" max="228" width="28.28515625" bestFit="1" customWidth="1"/>
    <col min="229" max="232" width="26.5703125" bestFit="1" customWidth="1"/>
    <col min="233" max="233" width="34.42578125" bestFit="1" customWidth="1"/>
    <col min="234" max="234" width="34.5703125" bestFit="1" customWidth="1"/>
    <col min="235" max="238" width="32.7109375" bestFit="1" customWidth="1"/>
    <col min="239" max="239" width="31.7109375" bestFit="1" customWidth="1"/>
    <col min="240" max="240" width="31.85546875" bestFit="1" customWidth="1"/>
    <col min="241" max="244" width="30.140625" bestFit="1" customWidth="1"/>
    <col min="245" max="245" width="29.7109375" bestFit="1" customWidth="1"/>
    <col min="246" max="246" width="29.85546875" bestFit="1" customWidth="1"/>
    <col min="247" max="250" width="28" bestFit="1" customWidth="1"/>
    <col min="251" max="251" width="32.28515625" bestFit="1" customWidth="1"/>
    <col min="252" max="252" width="32.42578125" bestFit="1" customWidth="1"/>
    <col min="253" max="256" width="30.7109375" bestFit="1" customWidth="1"/>
    <col min="257" max="257" width="25.85546875" bestFit="1" customWidth="1"/>
    <col min="258" max="258" width="26" bestFit="1" customWidth="1"/>
    <col min="259" max="262" width="24.140625" bestFit="1" customWidth="1"/>
    <col min="263" max="263" width="37.7109375" bestFit="1" customWidth="1"/>
    <col min="264" max="264" width="28.5703125" bestFit="1" customWidth="1"/>
    <col min="268" max="268" width="17" bestFit="1" customWidth="1"/>
    <col min="269" max="269" width="11.42578125" bestFit="1" customWidth="1"/>
    <col min="270" max="270" width="36" bestFit="1" customWidth="1"/>
    <col min="271" max="271" width="42.28515625" bestFit="1" customWidth="1"/>
    <col min="272" max="272" width="39.5703125" bestFit="1" customWidth="1"/>
    <col min="273" max="273" width="37.42578125" bestFit="1" customWidth="1"/>
    <col min="274" max="274" width="40.140625" bestFit="1" customWidth="1"/>
    <col min="275" max="275" width="33.5703125" bestFit="1" customWidth="1"/>
    <col min="279" max="279" width="18" bestFit="1" customWidth="1"/>
    <col min="280" max="280" width="11.140625" bestFit="1" customWidth="1"/>
    <col min="281" max="281" width="9.28515625" bestFit="1" customWidth="1"/>
    <col min="282" max="282" width="13.140625" bestFit="1" customWidth="1"/>
    <col min="283" max="283" width="19.140625" bestFit="1" customWidth="1"/>
    <col min="284" max="284" width="17.7109375" bestFit="1" customWidth="1"/>
    <col min="285" max="285" width="19.28515625" bestFit="1" customWidth="1"/>
    <col min="286" max="286" width="12.85546875" bestFit="1" customWidth="1"/>
    <col min="287" max="287" width="19.85546875" bestFit="1" customWidth="1"/>
    <col min="291" max="291" width="16.5703125" bestFit="1" customWidth="1"/>
    <col min="292" max="292" width="16.85546875" bestFit="1" customWidth="1"/>
    <col min="293" max="293" width="6.28515625" bestFit="1" customWidth="1"/>
    <col min="294" max="294" width="23.85546875" bestFit="1" customWidth="1"/>
    <col min="295" max="295" width="25.7109375" bestFit="1" customWidth="1"/>
    <col min="296" max="296" width="22.140625" bestFit="1" customWidth="1"/>
    <col min="301" max="301" width="11" customWidth="1"/>
    <col min="311" max="311" width="16.5703125" bestFit="1" customWidth="1"/>
    <col min="312" max="312" width="16.140625" bestFit="1" customWidth="1"/>
    <col min="314" max="314" width="11.28515625" bestFit="1" customWidth="1"/>
    <col min="315" max="315" width="14.5703125" bestFit="1" customWidth="1"/>
    <col min="318" max="318" width="32" bestFit="1" customWidth="1"/>
    <col min="319" max="319" width="16.140625" bestFit="1" customWidth="1"/>
    <col min="321" max="321" width="17.42578125" bestFit="1" customWidth="1"/>
    <col min="322" max="322" width="14.5703125" bestFit="1" customWidth="1"/>
    <col min="365" max="365" width="16.5703125" bestFit="1" customWidth="1"/>
    <col min="366" max="366" width="16.140625" bestFit="1" customWidth="1"/>
    <col min="367" max="367" width="13" bestFit="1" customWidth="1"/>
    <col min="368" max="368" width="9.28515625" bestFit="1" customWidth="1"/>
    <col min="369" max="369" width="14.5703125" bestFit="1" customWidth="1"/>
    <col min="370" max="370" width="6.28515625" bestFit="1" customWidth="1"/>
    <col min="371" max="371" width="23.85546875" bestFit="1" customWidth="1"/>
    <col min="372" max="372" width="20.140625" bestFit="1" customWidth="1"/>
    <col min="373" max="373" width="24" bestFit="1" customWidth="1"/>
    <col min="374" max="374" width="25" bestFit="1" customWidth="1"/>
  </cols>
  <sheetData>
    <row r="1" spans="1:374">
      <c r="A1" t="s">
        <v>19076</v>
      </c>
      <c r="FA1" t="str">
        <f>IF(N(AN_Trend!$AB$4)&gt;=_xlfn.XLOOKUP("MinMonthsForCharts",AnParam[Param],AnParam[Value],12),"",SUBSTITUTE(SUBSTITUTE(SUBSTITUTE(_xlfn.XLOOKUP("AN_EMPTY",tblUIText[Key],tblUIText[TR],"AN_EMPTY"),": ",":"&amp;CHAR(10)),"{0}",N(AN_Trend!$AB$4)),"{1}",_xlfn.XLOOKUP("MinMonthsForCharts",AnParam[Param],AnParam[Value],12))&amp;CHAR(10)&amp;SUBSTITUTE(SUBSTITUTE(SUBSTITUTE(_xlfn.XLOOKUP("AN_EMPTY",tblUIText[Key],tblUIText[EN],"AN_EMPTY"),": ",":"&amp;CHAR(10)),"{0}",N(AN_Trend!$AB$4)),"{1}",_xlfn.XLOOKUP("MinMonthsForCharts",AnParam[Param],AnParam[Value],12)))</f>
        <v>VERİ YETERSİZ:
0 ay veri var, grafikler için en az 12 ay gerekir
INSUFFICIENT DATA:
0 months of data, the charts need at least 12</v>
      </c>
      <c r="FB1">
        <f>IF($FA$1="",NA(),1)</f>
        <v>1</v>
      </c>
      <c r="FC1" t="str">
        <f>IF($FA$1=""," ",$FA$1)</f>
        <v>VERİ YETERSİZ:
0 ay veri var, grafikler için en az 12 ay gerekir
INSUFFICIENT DATA:
0 months of data, the charts need at least 12</v>
      </c>
      <c r="FD1" t="str">
        <f>SUBSTITUTE(SUBSTITUTE(SUBSTITUTE(_xlfn.XLOOKUP("AN_EMPTY",tblUIText[Key],tblUIText[TR],"AN_EMPTY"),": ",":"&amp;CHAR(10)),"{0}",10),"{1}",_xlfn.XLOOKUP("MinMonthsForCharts",AnParam[Param],AnParam[Value],12))&amp;CHAR(10)&amp;SUBSTITUTE(SUBSTITUTE(SUBSTITUTE(_xlfn.XLOOKUP("AN_EMPTY",tblUIText[Key],tblUIText[EN],"AN_EMPTY"),": ",":"&amp;CHAR(10)),"{0}",10),"{1}",_xlfn.XLOOKUP("MinMonthsForCharts",AnParam[Param],AnParam[Value],12))</f>
        <v>VERİ YETERSİZ:
10 ay veri var, grafikler için en az 12 ay gerekir
INSUFFICIENT DATA:
10 months of data, the charts need at least 12</v>
      </c>
    </row>
    <row r="2" spans="1:374">
      <c r="GA2" s="44" t="s">
        <v>2487</v>
      </c>
      <c r="GB2" t="s" vm="7">
        <v>18943</v>
      </c>
      <c r="HR2" s="44" t="s">
        <v>2487</v>
      </c>
      <c r="HS2" t="s" vm="7">
        <v>18943</v>
      </c>
      <c r="JH2" s="44" t="s">
        <v>2487</v>
      </c>
      <c r="JI2" t="s" vm="7">
        <v>18943</v>
      </c>
    </row>
    <row r="3" spans="1:374">
      <c r="A3" s="44" t="s">
        <v>2487</v>
      </c>
      <c r="B3" t="s" vm="7">
        <v>18943</v>
      </c>
      <c r="V3" s="44" t="s">
        <v>2487</v>
      </c>
      <c r="W3" t="s" vm="7">
        <v>18943</v>
      </c>
      <c r="AD3" s="44" t="s">
        <v>2487</v>
      </c>
      <c r="AE3" t="s" vm="7">
        <v>18943</v>
      </c>
      <c r="BT3" s="44" t="s">
        <v>2487</v>
      </c>
      <c r="BU3" t="s" vm="7">
        <v>18943</v>
      </c>
      <c r="DI3" s="44" t="s">
        <v>2487</v>
      </c>
      <c r="DJ3" t="s" vm="7">
        <v>18943</v>
      </c>
      <c r="GA3" s="44" t="s">
        <v>18961</v>
      </c>
      <c r="GB3" t="s" vm="6">
        <v>20145</v>
      </c>
      <c r="HR3" s="44" t="s">
        <v>18961</v>
      </c>
      <c r="HS3" t="s" vm="6">
        <v>20145</v>
      </c>
      <c r="JH3" s="44" t="s">
        <v>18961</v>
      </c>
      <c r="JI3" t="s" vm="6">
        <v>20145</v>
      </c>
      <c r="JS3" s="44" t="s">
        <v>2487</v>
      </c>
      <c r="JT3" t="s" vm="7">
        <v>18943</v>
      </c>
      <c r="KE3" s="44" t="s">
        <v>2487</v>
      </c>
      <c r="KF3" t="s" vm="7">
        <v>18943</v>
      </c>
      <c r="KY3" s="44" t="s">
        <v>2487</v>
      </c>
      <c r="KZ3" t="s" vm="7">
        <v>18943</v>
      </c>
      <c r="LF3" s="44" t="s">
        <v>2487</v>
      </c>
      <c r="LG3" t="s" vm="7">
        <v>18943</v>
      </c>
      <c r="NA3" s="44" t="s">
        <v>2487</v>
      </c>
      <c r="NB3" t="s" vm="7">
        <v>18943</v>
      </c>
    </row>
    <row r="4" spans="1:374">
      <c r="KN4" t="s">
        <v>20290</v>
      </c>
      <c r="LM4" t="s">
        <v>21010</v>
      </c>
    </row>
    <row r="5" spans="1:374">
      <c r="A5" s="44" t="s">
        <v>16543</v>
      </c>
      <c r="B5" s="44" t="s">
        <v>2479</v>
      </c>
      <c r="C5" t="s">
        <v>16983</v>
      </c>
      <c r="D5" t="s">
        <v>19077</v>
      </c>
      <c r="E5" t="s">
        <v>19078</v>
      </c>
      <c r="F5" t="s">
        <v>19079</v>
      </c>
      <c r="G5" t="s">
        <v>19080</v>
      </c>
      <c r="H5" t="s">
        <v>19067</v>
      </c>
      <c r="I5" t="s">
        <v>19081</v>
      </c>
      <c r="J5" t="s">
        <v>19082</v>
      </c>
      <c r="K5" t="s">
        <v>19083</v>
      </c>
      <c r="L5" t="s">
        <v>17025</v>
      </c>
      <c r="M5" t="s">
        <v>211</v>
      </c>
      <c r="N5" t="s">
        <v>18330</v>
      </c>
      <c r="O5" t="s">
        <v>19084</v>
      </c>
      <c r="P5" t="s">
        <v>19085</v>
      </c>
      <c r="Q5" t="s">
        <v>19086</v>
      </c>
      <c r="R5" t="s">
        <v>19087</v>
      </c>
      <c r="S5" t="s">
        <v>18307</v>
      </c>
      <c r="V5" s="44" t="s">
        <v>16543</v>
      </c>
      <c r="W5" s="44" t="s">
        <v>2479</v>
      </c>
      <c r="X5" s="44" t="s">
        <v>16555</v>
      </c>
      <c r="Y5" s="44" t="s">
        <v>16554</v>
      </c>
      <c r="Z5" t="s">
        <v>16983</v>
      </c>
      <c r="AA5" t="s">
        <v>17025</v>
      </c>
      <c r="AD5" s="44" t="s">
        <v>16543</v>
      </c>
      <c r="AE5" s="44" t="s">
        <v>2479</v>
      </c>
      <c r="AF5" t="s">
        <v>19712</v>
      </c>
      <c r="AG5" t="s">
        <v>19713</v>
      </c>
      <c r="AH5" t="s">
        <v>19714</v>
      </c>
      <c r="AI5" t="s">
        <v>19715</v>
      </c>
      <c r="AJ5" t="s">
        <v>19716</v>
      </c>
      <c r="AK5" t="s">
        <v>19717</v>
      </c>
      <c r="AL5" t="s">
        <v>19718</v>
      </c>
      <c r="AM5" t="s">
        <v>19719</v>
      </c>
      <c r="AN5" t="s">
        <v>19720</v>
      </c>
      <c r="AO5" t="s">
        <v>19721</v>
      </c>
      <c r="AP5" t="s">
        <v>19722</v>
      </c>
      <c r="AQ5" t="s">
        <v>19723</v>
      </c>
      <c r="AR5" t="s">
        <v>19724</v>
      </c>
      <c r="AS5" t="s">
        <v>19725</v>
      </c>
      <c r="AT5" t="s">
        <v>19726</v>
      </c>
      <c r="AU5" t="s">
        <v>19727</v>
      </c>
      <c r="AV5" t="s">
        <v>19728</v>
      </c>
      <c r="AW5" t="s">
        <v>19729</v>
      </c>
      <c r="AX5" t="s">
        <v>19730</v>
      </c>
      <c r="AY5" t="s">
        <v>19731</v>
      </c>
      <c r="AZ5" t="s">
        <v>19732</v>
      </c>
      <c r="BA5" t="s">
        <v>19733</v>
      </c>
      <c r="BB5" t="s">
        <v>19734</v>
      </c>
      <c r="BC5" t="s">
        <v>19735</v>
      </c>
      <c r="BD5" t="s">
        <v>19736</v>
      </c>
      <c r="BE5" t="s">
        <v>19737</v>
      </c>
      <c r="BF5" t="s">
        <v>19738</v>
      </c>
      <c r="BG5" t="s">
        <v>19739</v>
      </c>
      <c r="BH5" t="s">
        <v>19740</v>
      </c>
      <c r="BI5" t="s">
        <v>19741</v>
      </c>
      <c r="BJ5" t="s">
        <v>19742</v>
      </c>
      <c r="BK5" t="s">
        <v>19743</v>
      </c>
      <c r="BL5" t="s">
        <v>19085</v>
      </c>
      <c r="BM5" t="s">
        <v>19744</v>
      </c>
      <c r="BN5" t="s">
        <v>19745</v>
      </c>
      <c r="BO5" t="s">
        <v>19746</v>
      </c>
      <c r="BP5" t="s">
        <v>19747</v>
      </c>
      <c r="BQ5" t="s">
        <v>19086</v>
      </c>
      <c r="BT5" s="44" t="s">
        <v>16543</v>
      </c>
      <c r="BU5" t="s">
        <v>19712</v>
      </c>
      <c r="BV5" t="s">
        <v>19713</v>
      </c>
      <c r="BW5" t="s">
        <v>19714</v>
      </c>
      <c r="BX5" t="s">
        <v>19715</v>
      </c>
      <c r="BY5" t="s">
        <v>19716</v>
      </c>
      <c r="BZ5" t="s">
        <v>19717</v>
      </c>
      <c r="CA5" t="s">
        <v>19718</v>
      </c>
      <c r="CB5" t="s">
        <v>19719</v>
      </c>
      <c r="CC5" t="s">
        <v>19720</v>
      </c>
      <c r="CD5" t="s">
        <v>19721</v>
      </c>
      <c r="CE5" t="s">
        <v>19722</v>
      </c>
      <c r="CF5" t="s">
        <v>19723</v>
      </c>
      <c r="CG5" t="s">
        <v>19724</v>
      </c>
      <c r="CH5" t="s">
        <v>19725</v>
      </c>
      <c r="CI5" t="s">
        <v>19726</v>
      </c>
      <c r="CJ5" t="s">
        <v>19727</v>
      </c>
      <c r="CK5" t="s">
        <v>19728</v>
      </c>
      <c r="CL5" t="s">
        <v>19729</v>
      </c>
      <c r="CM5" t="s">
        <v>19730</v>
      </c>
      <c r="CN5" t="s">
        <v>19731</v>
      </c>
      <c r="CO5" t="s">
        <v>19732</v>
      </c>
      <c r="CP5" t="s">
        <v>19733</v>
      </c>
      <c r="CQ5" t="s">
        <v>19734</v>
      </c>
      <c r="CR5" t="s">
        <v>19735</v>
      </c>
      <c r="CS5" t="s">
        <v>19736</v>
      </c>
      <c r="CT5" t="s">
        <v>19737</v>
      </c>
      <c r="CU5" t="s">
        <v>19738</v>
      </c>
      <c r="CV5" t="s">
        <v>19739</v>
      </c>
      <c r="CW5" t="s">
        <v>19740</v>
      </c>
      <c r="CX5" t="s">
        <v>19741</v>
      </c>
      <c r="CY5" t="s">
        <v>19742</v>
      </c>
      <c r="CZ5" t="s">
        <v>19743</v>
      </c>
      <c r="DA5" t="s">
        <v>19085</v>
      </c>
      <c r="DB5" t="s">
        <v>19744</v>
      </c>
      <c r="DC5" t="s">
        <v>19745</v>
      </c>
      <c r="DD5" t="s">
        <v>19746</v>
      </c>
      <c r="DE5" t="s">
        <v>19747</v>
      </c>
      <c r="DF5" t="s">
        <v>19086</v>
      </c>
      <c r="DI5" s="44" t="s">
        <v>16543</v>
      </c>
      <c r="DJ5" s="44" t="s">
        <v>16787</v>
      </c>
      <c r="DK5" t="s">
        <v>19760</v>
      </c>
      <c r="DL5" t="s">
        <v>19761</v>
      </c>
      <c r="DM5" t="s">
        <v>19762</v>
      </c>
      <c r="DN5" t="s">
        <v>19763</v>
      </c>
      <c r="DO5" t="s">
        <v>19764</v>
      </c>
      <c r="DP5" t="s">
        <v>19765</v>
      </c>
      <c r="DT5" s="44" t="s">
        <v>16543</v>
      </c>
      <c r="DU5" s="44" t="s">
        <v>181</v>
      </c>
      <c r="DV5" s="44" t="s">
        <v>19766</v>
      </c>
      <c r="DW5" s="44" t="s">
        <v>16814</v>
      </c>
      <c r="DX5" t="s">
        <v>16983</v>
      </c>
      <c r="DY5" t="s">
        <v>211</v>
      </c>
      <c r="EB5" t="s">
        <v>19088</v>
      </c>
      <c r="EC5" t="s">
        <v>19089</v>
      </c>
      <c r="GA5" s="44" t="s">
        <v>16543</v>
      </c>
      <c r="GB5" s="44" t="s">
        <v>2479</v>
      </c>
      <c r="GC5" t="s">
        <v>19712</v>
      </c>
      <c r="GD5" t="s">
        <v>19713</v>
      </c>
      <c r="GE5" t="s">
        <v>19714</v>
      </c>
      <c r="GF5" t="s">
        <v>19715</v>
      </c>
      <c r="GG5" t="s">
        <v>19716</v>
      </c>
      <c r="GH5" t="s">
        <v>19717</v>
      </c>
      <c r="GI5" t="s">
        <v>19718</v>
      </c>
      <c r="GJ5" t="s">
        <v>19719</v>
      </c>
      <c r="GK5" t="s">
        <v>19720</v>
      </c>
      <c r="GL5" t="s">
        <v>19721</v>
      </c>
      <c r="GM5" t="s">
        <v>19722</v>
      </c>
      <c r="GN5" t="s">
        <v>19723</v>
      </c>
      <c r="GO5" t="s">
        <v>19724</v>
      </c>
      <c r="GP5" t="s">
        <v>19725</v>
      </c>
      <c r="GQ5" t="s">
        <v>19726</v>
      </c>
      <c r="GR5" t="s">
        <v>19727</v>
      </c>
      <c r="GS5" t="s">
        <v>19728</v>
      </c>
      <c r="GT5" t="s">
        <v>19729</v>
      </c>
      <c r="GU5" t="s">
        <v>19730</v>
      </c>
      <c r="GV5" t="s">
        <v>19731</v>
      </c>
      <c r="GW5" t="s">
        <v>19732</v>
      </c>
      <c r="GX5" t="s">
        <v>19733</v>
      </c>
      <c r="GY5" t="s">
        <v>19734</v>
      </c>
      <c r="GZ5" t="s">
        <v>19735</v>
      </c>
      <c r="HA5" t="s">
        <v>19736</v>
      </c>
      <c r="HB5" t="s">
        <v>19737</v>
      </c>
      <c r="HC5" t="s">
        <v>19738</v>
      </c>
      <c r="HD5" t="s">
        <v>19739</v>
      </c>
      <c r="HE5" t="s">
        <v>19740</v>
      </c>
      <c r="HF5" t="s">
        <v>19741</v>
      </c>
      <c r="HG5" t="s">
        <v>19742</v>
      </c>
      <c r="HH5" t="s">
        <v>19743</v>
      </c>
      <c r="HI5" t="s">
        <v>19085</v>
      </c>
      <c r="HJ5" t="s">
        <v>19744</v>
      </c>
      <c r="HK5" t="s">
        <v>19745</v>
      </c>
      <c r="HL5" t="s">
        <v>19746</v>
      </c>
      <c r="HM5" t="s">
        <v>19747</v>
      </c>
      <c r="HN5" t="s">
        <v>19086</v>
      </c>
      <c r="HR5" s="44" t="s">
        <v>16543</v>
      </c>
      <c r="HS5" t="s">
        <v>19712</v>
      </c>
      <c r="HT5" t="s">
        <v>19713</v>
      </c>
      <c r="HU5" t="s">
        <v>19714</v>
      </c>
      <c r="HV5" t="s">
        <v>19715</v>
      </c>
      <c r="HW5" t="s">
        <v>19716</v>
      </c>
      <c r="HX5" t="s">
        <v>19717</v>
      </c>
      <c r="HY5" t="s">
        <v>19718</v>
      </c>
      <c r="HZ5" t="s">
        <v>19719</v>
      </c>
      <c r="IA5" t="s">
        <v>19720</v>
      </c>
      <c r="IB5" t="s">
        <v>19721</v>
      </c>
      <c r="IC5" t="s">
        <v>19722</v>
      </c>
      <c r="ID5" t="s">
        <v>19723</v>
      </c>
      <c r="IE5" t="s">
        <v>19724</v>
      </c>
      <c r="IF5" t="s">
        <v>19725</v>
      </c>
      <c r="IG5" t="s">
        <v>19726</v>
      </c>
      <c r="IH5" t="s">
        <v>19727</v>
      </c>
      <c r="II5" t="s">
        <v>19728</v>
      </c>
      <c r="IJ5" t="s">
        <v>19729</v>
      </c>
      <c r="IK5" t="s">
        <v>19730</v>
      </c>
      <c r="IL5" t="s">
        <v>19731</v>
      </c>
      <c r="IM5" t="s">
        <v>19732</v>
      </c>
      <c r="IN5" t="s">
        <v>19733</v>
      </c>
      <c r="IO5" t="s">
        <v>19734</v>
      </c>
      <c r="IP5" t="s">
        <v>19735</v>
      </c>
      <c r="IQ5" t="s">
        <v>19736</v>
      </c>
      <c r="IR5" t="s">
        <v>19737</v>
      </c>
      <c r="IS5" t="s">
        <v>19738</v>
      </c>
      <c r="IT5" t="s">
        <v>19739</v>
      </c>
      <c r="IU5" t="s">
        <v>19740</v>
      </c>
      <c r="IV5" t="s">
        <v>19741</v>
      </c>
      <c r="IW5" t="s">
        <v>19742</v>
      </c>
      <c r="IX5" t="s">
        <v>19743</v>
      </c>
      <c r="IY5" t="s">
        <v>19085</v>
      </c>
      <c r="IZ5" t="s">
        <v>19744</v>
      </c>
      <c r="JA5" t="s">
        <v>19745</v>
      </c>
      <c r="JB5" t="s">
        <v>19746</v>
      </c>
      <c r="JC5" t="s">
        <v>19747</v>
      </c>
      <c r="JD5" t="s">
        <v>19086</v>
      </c>
      <c r="JH5" s="44" t="s">
        <v>16543</v>
      </c>
      <c r="JI5" s="44" t="s">
        <v>16787</v>
      </c>
      <c r="JJ5" t="s">
        <v>19760</v>
      </c>
      <c r="JK5" t="s">
        <v>19761</v>
      </c>
      <c r="JL5" t="s">
        <v>19762</v>
      </c>
      <c r="JM5" t="s">
        <v>19763</v>
      </c>
      <c r="JN5" t="s">
        <v>19764</v>
      </c>
      <c r="JO5" t="s">
        <v>19765</v>
      </c>
      <c r="JS5" s="44" t="s">
        <v>16543</v>
      </c>
      <c r="JT5" s="44" t="s">
        <v>2446</v>
      </c>
      <c r="JU5" t="s">
        <v>16983</v>
      </c>
      <c r="JV5" t="s">
        <v>16993</v>
      </c>
      <c r="JW5" t="s">
        <v>20494</v>
      </c>
      <c r="JX5" t="s">
        <v>20495</v>
      </c>
      <c r="JY5" t="s">
        <v>20496</v>
      </c>
      <c r="JZ5" t="s">
        <v>18307</v>
      </c>
      <c r="KA5" t="s">
        <v>18309</v>
      </c>
      <c r="KE5" s="44" t="s">
        <v>16543</v>
      </c>
      <c r="KF5" s="44" t="s">
        <v>19766</v>
      </c>
      <c r="KG5" t="s">
        <v>17025</v>
      </c>
      <c r="KH5" t="s">
        <v>18330</v>
      </c>
      <c r="KI5" t="s">
        <v>18333</v>
      </c>
      <c r="KJ5" t="s">
        <v>19084</v>
      </c>
      <c r="KN5" t="s">
        <v>18961</v>
      </c>
      <c r="KO5" t="s">
        <v>62</v>
      </c>
      <c r="KY5" s="44" t="s">
        <v>16543</v>
      </c>
      <c r="KZ5" s="44" t="s">
        <v>181</v>
      </c>
      <c r="LA5" s="44" t="s">
        <v>2479</v>
      </c>
      <c r="LB5" s="44" t="s">
        <v>21009</v>
      </c>
      <c r="LC5" t="s">
        <v>211</v>
      </c>
      <c r="LF5" s="44" t="s">
        <v>16543</v>
      </c>
      <c r="LG5" s="44" t="s">
        <v>181</v>
      </c>
      <c r="LH5" s="44" t="s">
        <v>2479</v>
      </c>
      <c r="LI5" s="44" t="s">
        <v>16555</v>
      </c>
      <c r="LJ5" t="s">
        <v>211</v>
      </c>
      <c r="NA5" s="44" t="s">
        <v>16543</v>
      </c>
      <c r="NB5" s="44" t="s">
        <v>181</v>
      </c>
      <c r="NC5" s="44" t="s">
        <v>2479</v>
      </c>
      <c r="ND5" t="s">
        <v>16983</v>
      </c>
      <c r="NE5" t="s">
        <v>211</v>
      </c>
      <c r="NF5" t="s">
        <v>17025</v>
      </c>
      <c r="NG5" t="s">
        <v>18330</v>
      </c>
      <c r="NH5" t="s">
        <v>21006</v>
      </c>
      <c r="NI5" t="s">
        <v>21007</v>
      </c>
      <c r="NJ5" t="s">
        <v>21008</v>
      </c>
    </row>
    <row r="6" spans="1:374">
      <c r="AD6" t="s">
        <v>113</v>
      </c>
      <c r="AE6" t="s">
        <v>22893</v>
      </c>
      <c r="AF6" s="46">
        <v>0</v>
      </c>
      <c r="AG6" s="113"/>
      <c r="AH6" s="113"/>
      <c r="AI6" s="113"/>
      <c r="AJ6" s="113"/>
      <c r="AK6" s="113"/>
      <c r="AL6" s="46">
        <v>0</v>
      </c>
      <c r="AM6" s="113"/>
      <c r="AN6" s="113"/>
      <c r="AO6" s="113"/>
      <c r="AP6" s="113"/>
      <c r="AQ6" s="113"/>
      <c r="AR6" s="46">
        <v>0</v>
      </c>
      <c r="AS6" s="113"/>
      <c r="AT6" s="113"/>
      <c r="AU6" s="113"/>
      <c r="AV6" s="113"/>
      <c r="AW6" s="113"/>
      <c r="AX6" s="46">
        <v>0</v>
      </c>
      <c r="AY6" s="113"/>
      <c r="AZ6" s="113"/>
      <c r="BA6" s="113"/>
      <c r="BB6" s="113"/>
      <c r="BC6" s="113"/>
      <c r="BD6" s="46">
        <v>0</v>
      </c>
      <c r="BE6" s="113"/>
      <c r="BF6" s="113"/>
      <c r="BG6" s="113"/>
      <c r="BH6" s="113"/>
      <c r="BI6" s="113"/>
      <c r="BJ6" s="46">
        <v>0</v>
      </c>
      <c r="BK6" s="113"/>
      <c r="BL6" s="113"/>
      <c r="BM6" s="113"/>
      <c r="BN6" s="113"/>
      <c r="BO6" s="113"/>
      <c r="BP6" s="121"/>
      <c r="BQ6" s="121"/>
      <c r="BT6" t="s">
        <v>113</v>
      </c>
      <c r="BU6" s="46">
        <v>0</v>
      </c>
      <c r="BV6" s="113"/>
      <c r="BW6" s="113"/>
      <c r="BX6" s="113"/>
      <c r="BY6" s="113"/>
      <c r="BZ6" s="113"/>
      <c r="CA6" s="46">
        <v>0</v>
      </c>
      <c r="CB6" s="113"/>
      <c r="CC6" s="113"/>
      <c r="CD6" s="113"/>
      <c r="CE6" s="113"/>
      <c r="CF6" s="113"/>
      <c r="CG6" s="46">
        <v>0</v>
      </c>
      <c r="CH6" s="113"/>
      <c r="CI6" s="113"/>
      <c r="CJ6" s="113"/>
      <c r="CK6" s="113"/>
      <c r="CL6" s="113"/>
      <c r="CM6" s="46">
        <v>0</v>
      </c>
      <c r="CN6" s="113"/>
      <c r="CO6" s="113"/>
      <c r="CP6" s="113"/>
      <c r="CQ6" s="113"/>
      <c r="CR6" s="113"/>
      <c r="CS6" s="46">
        <v>0</v>
      </c>
      <c r="CT6" s="113"/>
      <c r="CU6" s="113"/>
      <c r="CV6" s="113"/>
      <c r="CW6" s="113"/>
      <c r="CX6" s="113"/>
      <c r="CY6" s="46">
        <v>0</v>
      </c>
      <c r="CZ6" s="113"/>
      <c r="DA6" s="113"/>
      <c r="DB6" s="113"/>
      <c r="DC6" s="113"/>
      <c r="DD6" s="113"/>
      <c r="DE6" s="121"/>
      <c r="DF6" s="121"/>
      <c r="EB6" t="str" cm="1">
        <f t="array" ref="EB6">_xlfn.LET(_xlpm.m,_xlfn._xlws.FILTER(anSM_YM,(anSM_Lines&lt;&gt;"")*(anSM_YM&lt;&gt;""),""),_xlpm.lab,_xlfn.XLOOKUP("AN_LBL_LATEST",tblUIText[Key],tblUIText[TR],"AN_LBL_LATEST")&amp;" / "&amp;_xlfn.XLOOKUP("AN_LBL_LATEST",tblUIText[Key],tblUIText[EN],""),IF(INDEX(_xlpm.m,1)="",_xlpm.lab,_xlfn.VSTACK(_xlpm.lab,_xlfn._xlws.SORT(_xlfn.UNIQUE(_xlpm.m),,-1))))</f>
        <v>Son ay / Latest</v>
      </c>
      <c r="EC6" t="str" cm="1">
        <f t="array" ref="EC6">_xlfn._xlws.SORT(_xlfn.UNIQUE(_xlfn._xlws.FILTER(anSM_YM,(anSM_Lines&lt;&gt;"")*(anSM_YM&lt;&gt;""),"")))</f>
        <v/>
      </c>
      <c r="GA6" t="s">
        <v>113</v>
      </c>
      <c r="GB6" t="s">
        <v>22893</v>
      </c>
      <c r="GC6" s="46">
        <v>0</v>
      </c>
      <c r="GD6" s="113"/>
      <c r="GE6" s="113"/>
      <c r="GF6" s="113"/>
      <c r="GG6" s="113"/>
      <c r="GH6" s="113"/>
      <c r="GI6" s="46">
        <v>0</v>
      </c>
      <c r="GJ6" s="113"/>
      <c r="GK6" s="113"/>
      <c r="GL6" s="113"/>
      <c r="GM6" s="113"/>
      <c r="GN6" s="113"/>
      <c r="GO6" s="46">
        <v>0</v>
      </c>
      <c r="GP6" s="113"/>
      <c r="GQ6" s="113"/>
      <c r="GR6" s="113"/>
      <c r="GS6" s="113"/>
      <c r="GT6" s="113"/>
      <c r="GU6" s="46">
        <v>0</v>
      </c>
      <c r="GV6" s="113"/>
      <c r="GW6" s="113"/>
      <c r="GX6" s="113"/>
      <c r="GY6" s="113"/>
      <c r="GZ6" s="113"/>
      <c r="HA6" s="46">
        <v>0</v>
      </c>
      <c r="HB6" s="113"/>
      <c r="HC6" s="113"/>
      <c r="HD6" s="113"/>
      <c r="HE6" s="113"/>
      <c r="HF6" s="113"/>
      <c r="HG6" s="46">
        <v>0</v>
      </c>
      <c r="HH6" s="113"/>
      <c r="HI6" s="113"/>
      <c r="HJ6" s="113"/>
      <c r="HK6" s="113"/>
      <c r="HL6" s="113"/>
      <c r="HM6" s="121"/>
      <c r="HN6" s="121"/>
      <c r="HR6" t="s">
        <v>113</v>
      </c>
      <c r="HS6" s="46">
        <v>0</v>
      </c>
      <c r="HT6" s="113"/>
      <c r="HU6" s="113"/>
      <c r="HV6" s="113"/>
      <c r="HW6" s="113"/>
      <c r="HX6" s="113"/>
      <c r="HY6" s="46">
        <v>0</v>
      </c>
      <c r="HZ6" s="113"/>
      <c r="IA6" s="113"/>
      <c r="IB6" s="113"/>
      <c r="IC6" s="113"/>
      <c r="ID6" s="113"/>
      <c r="IE6" s="46">
        <v>0</v>
      </c>
      <c r="IF6" s="113"/>
      <c r="IG6" s="113"/>
      <c r="IH6" s="113"/>
      <c r="II6" s="113"/>
      <c r="IJ6" s="113"/>
      <c r="IK6" s="46">
        <v>0</v>
      </c>
      <c r="IL6" s="113"/>
      <c r="IM6" s="113"/>
      <c r="IN6" s="113"/>
      <c r="IO6" s="113"/>
      <c r="IP6" s="113"/>
      <c r="IQ6" s="46">
        <v>0</v>
      </c>
      <c r="IR6" s="113"/>
      <c r="IS6" s="113"/>
      <c r="IT6" s="113"/>
      <c r="IU6" s="113"/>
      <c r="IV6" s="113"/>
      <c r="IW6" s="46">
        <v>0</v>
      </c>
      <c r="IX6" s="113"/>
      <c r="IY6" s="113"/>
      <c r="IZ6" s="113"/>
      <c r="JA6" s="113"/>
      <c r="JB6" s="113"/>
      <c r="JC6" s="121"/>
      <c r="JD6" s="121"/>
      <c r="KN6">
        <v>0</v>
      </c>
      <c r="KO6" t="s">
        <v>20291</v>
      </c>
      <c r="LM6" t="str" cm="1">
        <f t="array" ref="LM6:LM3005">IF(anCM_YM="","",anMK(anCM_YM))</f>
        <v/>
      </c>
      <c r="LN6" t="str" cm="1">
        <f t="array" ref="LN6:LN20005">IF(anDIG_YM="","",anMK(anDIG_YM))</f>
        <v/>
      </c>
      <c r="LO6" t="str" cm="1">
        <f t="array" ref="LO6:LO15005">IF(anCMN_YM="","",anMK(anCMN_YM))</f>
        <v/>
      </c>
    </row>
    <row r="7" spans="1:374">
      <c r="AD7" t="s">
        <v>113</v>
      </c>
      <c r="AE7" t="s">
        <v>22894</v>
      </c>
      <c r="AF7" s="46">
        <v>0</v>
      </c>
      <c r="AG7" s="113"/>
      <c r="AH7" s="113"/>
      <c r="AI7" s="113"/>
      <c r="AJ7" s="113"/>
      <c r="AK7" s="113"/>
      <c r="AL7" s="46">
        <v>0</v>
      </c>
      <c r="AM7" s="113"/>
      <c r="AN7" s="113"/>
      <c r="AO7" s="113"/>
      <c r="AP7" s="113"/>
      <c r="AQ7" s="113"/>
      <c r="AR7" s="46">
        <v>0</v>
      </c>
      <c r="AS7" s="113"/>
      <c r="AT7" s="113"/>
      <c r="AU7" s="113"/>
      <c r="AV7" s="113"/>
      <c r="AW7" s="113"/>
      <c r="AX7" s="46">
        <v>0</v>
      </c>
      <c r="AY7" s="113"/>
      <c r="AZ7" s="113"/>
      <c r="BA7" s="113"/>
      <c r="BB7" s="113"/>
      <c r="BC7" s="113"/>
      <c r="BD7" s="46">
        <v>0</v>
      </c>
      <c r="BE7" s="113"/>
      <c r="BF7" s="113"/>
      <c r="BG7" s="113"/>
      <c r="BH7" s="113"/>
      <c r="BI7" s="113"/>
      <c r="BJ7" s="46">
        <v>0</v>
      </c>
      <c r="BK7" s="113"/>
      <c r="BL7" s="113"/>
      <c r="BM7" s="113"/>
      <c r="BN7" s="113"/>
      <c r="BO7" s="113"/>
      <c r="BP7" s="121"/>
      <c r="BQ7" s="121"/>
      <c r="BT7" t="s">
        <v>112</v>
      </c>
      <c r="BU7" s="46">
        <v>0</v>
      </c>
      <c r="BV7" s="113"/>
      <c r="BW7" s="113"/>
      <c r="BX7" s="113"/>
      <c r="BY7" s="113"/>
      <c r="BZ7" s="113"/>
      <c r="CA7" s="46">
        <v>0</v>
      </c>
      <c r="CB7" s="113"/>
      <c r="CC7" s="113"/>
      <c r="CD7" s="113"/>
      <c r="CE7" s="113"/>
      <c r="CF7" s="113"/>
      <c r="CG7" s="46">
        <v>0</v>
      </c>
      <c r="CH7" s="113"/>
      <c r="CI7" s="113"/>
      <c r="CJ7" s="113"/>
      <c r="CK7" s="113"/>
      <c r="CL7" s="113"/>
      <c r="CM7" s="46">
        <v>0</v>
      </c>
      <c r="CN7" s="113"/>
      <c r="CO7" s="113"/>
      <c r="CP7" s="113"/>
      <c r="CQ7" s="113"/>
      <c r="CR7" s="113"/>
      <c r="CS7" s="46">
        <v>0</v>
      </c>
      <c r="CT7" s="113"/>
      <c r="CU7" s="113"/>
      <c r="CV7" s="113"/>
      <c r="CW7" s="113"/>
      <c r="CX7" s="113"/>
      <c r="CY7" s="46">
        <v>0</v>
      </c>
      <c r="CZ7" s="113"/>
      <c r="DA7" s="113"/>
      <c r="DB7" s="113"/>
      <c r="DC7" s="113"/>
      <c r="DD7" s="113"/>
      <c r="DE7" s="121"/>
      <c r="DF7" s="121"/>
      <c r="GA7" t="s">
        <v>113</v>
      </c>
      <c r="GB7" t="s">
        <v>22894</v>
      </c>
      <c r="GC7" s="46">
        <v>0</v>
      </c>
      <c r="GD7" s="113"/>
      <c r="GE7" s="113"/>
      <c r="GF7" s="113"/>
      <c r="GG7" s="113"/>
      <c r="GH7" s="113"/>
      <c r="GI7" s="46">
        <v>0</v>
      </c>
      <c r="GJ7" s="113"/>
      <c r="GK7" s="113"/>
      <c r="GL7" s="113"/>
      <c r="GM7" s="113"/>
      <c r="GN7" s="113"/>
      <c r="GO7" s="46">
        <v>0</v>
      </c>
      <c r="GP7" s="113"/>
      <c r="GQ7" s="113"/>
      <c r="GR7" s="113"/>
      <c r="GS7" s="113"/>
      <c r="GT7" s="113"/>
      <c r="GU7" s="46">
        <v>0</v>
      </c>
      <c r="GV7" s="113"/>
      <c r="GW7" s="113"/>
      <c r="GX7" s="113"/>
      <c r="GY7" s="113"/>
      <c r="GZ7" s="113"/>
      <c r="HA7" s="46">
        <v>0</v>
      </c>
      <c r="HB7" s="113"/>
      <c r="HC7" s="113"/>
      <c r="HD7" s="113"/>
      <c r="HE7" s="113"/>
      <c r="HF7" s="113"/>
      <c r="HG7" s="46">
        <v>0</v>
      </c>
      <c r="HH7" s="113"/>
      <c r="HI7" s="113"/>
      <c r="HJ7" s="113"/>
      <c r="HK7" s="113"/>
      <c r="HL7" s="113"/>
      <c r="HM7" s="121"/>
      <c r="HN7" s="121"/>
      <c r="HR7" t="s">
        <v>112</v>
      </c>
      <c r="HS7" s="46">
        <v>0</v>
      </c>
      <c r="HT7" s="113"/>
      <c r="HU7" s="113"/>
      <c r="HV7" s="113"/>
      <c r="HW7" s="113"/>
      <c r="HX7" s="113"/>
      <c r="HY7" s="46">
        <v>0</v>
      </c>
      <c r="HZ7" s="113"/>
      <c r="IA7" s="113"/>
      <c r="IB7" s="113"/>
      <c r="IC7" s="113"/>
      <c r="ID7" s="113"/>
      <c r="IE7" s="46">
        <v>0</v>
      </c>
      <c r="IF7" s="113"/>
      <c r="IG7" s="113"/>
      <c r="IH7" s="113"/>
      <c r="II7" s="113"/>
      <c r="IJ7" s="113"/>
      <c r="IK7" s="46">
        <v>0</v>
      </c>
      <c r="IL7" s="113"/>
      <c r="IM7" s="113"/>
      <c r="IN7" s="113"/>
      <c r="IO7" s="113"/>
      <c r="IP7" s="113"/>
      <c r="IQ7" s="46">
        <v>0</v>
      </c>
      <c r="IR7" s="113"/>
      <c r="IS7" s="113"/>
      <c r="IT7" s="113"/>
      <c r="IU7" s="113"/>
      <c r="IV7" s="113"/>
      <c r="IW7" s="46">
        <v>0</v>
      </c>
      <c r="IX7" s="113"/>
      <c r="IY7" s="113"/>
      <c r="IZ7" s="113"/>
      <c r="JA7" s="113"/>
      <c r="JB7" s="113"/>
      <c r="JC7" s="121"/>
      <c r="JD7" s="121"/>
      <c r="KN7">
        <v>1</v>
      </c>
      <c r="KO7" t="s">
        <v>20292</v>
      </c>
      <c r="LM7" t="str">
        <v/>
      </c>
      <c r="LN7" t="str">
        <v/>
      </c>
      <c r="LO7" t="str">
        <v/>
      </c>
    </row>
    <row r="8" spans="1:374">
      <c r="AD8" t="s">
        <v>113</v>
      </c>
      <c r="AE8" t="s">
        <v>22895</v>
      </c>
      <c r="AF8" s="46">
        <v>0</v>
      </c>
      <c r="AG8" s="113"/>
      <c r="AH8" s="113"/>
      <c r="AI8" s="113"/>
      <c r="AJ8" s="113"/>
      <c r="AK8" s="113"/>
      <c r="AL8" s="46">
        <v>0</v>
      </c>
      <c r="AM8" s="113"/>
      <c r="AN8" s="113"/>
      <c r="AO8" s="113"/>
      <c r="AP8" s="113"/>
      <c r="AQ8" s="113"/>
      <c r="AR8" s="46">
        <v>0</v>
      </c>
      <c r="AS8" s="113"/>
      <c r="AT8" s="113"/>
      <c r="AU8" s="113"/>
      <c r="AV8" s="113"/>
      <c r="AW8" s="113"/>
      <c r="AX8" s="46">
        <v>0</v>
      </c>
      <c r="AY8" s="113"/>
      <c r="AZ8" s="113"/>
      <c r="BA8" s="113"/>
      <c r="BB8" s="113"/>
      <c r="BC8" s="113"/>
      <c r="BD8" s="46">
        <v>0</v>
      </c>
      <c r="BE8" s="113"/>
      <c r="BF8" s="113"/>
      <c r="BG8" s="113"/>
      <c r="BH8" s="113"/>
      <c r="BI8" s="113"/>
      <c r="BJ8" s="46">
        <v>0</v>
      </c>
      <c r="BK8" s="113"/>
      <c r="BL8" s="113"/>
      <c r="BM8" s="113"/>
      <c r="BN8" s="113"/>
      <c r="BO8" s="113"/>
      <c r="BP8" s="121"/>
      <c r="BQ8" s="121"/>
      <c r="BT8" t="s">
        <v>114</v>
      </c>
      <c r="BU8" s="46">
        <v>0</v>
      </c>
      <c r="BV8" s="113"/>
      <c r="BW8" s="113"/>
      <c r="BX8" s="113"/>
      <c r="BY8" s="113"/>
      <c r="BZ8" s="113"/>
      <c r="CA8" s="46">
        <v>0</v>
      </c>
      <c r="CB8" s="113"/>
      <c r="CC8" s="113"/>
      <c r="CD8" s="113"/>
      <c r="CE8" s="113"/>
      <c r="CF8" s="113"/>
      <c r="CG8" s="46">
        <v>0</v>
      </c>
      <c r="CH8" s="113"/>
      <c r="CI8" s="113"/>
      <c r="CJ8" s="113"/>
      <c r="CK8" s="113"/>
      <c r="CL8" s="113"/>
      <c r="CM8" s="46">
        <v>0</v>
      </c>
      <c r="CN8" s="113"/>
      <c r="CO8" s="113"/>
      <c r="CP8" s="113"/>
      <c r="CQ8" s="113"/>
      <c r="CR8" s="113"/>
      <c r="CS8" s="46">
        <v>0</v>
      </c>
      <c r="CT8" s="113"/>
      <c r="CU8" s="113"/>
      <c r="CV8" s="113"/>
      <c r="CW8" s="113"/>
      <c r="CX8" s="113"/>
      <c r="CY8" s="46">
        <v>0</v>
      </c>
      <c r="CZ8" s="113"/>
      <c r="DA8" s="113"/>
      <c r="DB8" s="113"/>
      <c r="DC8" s="113"/>
      <c r="DD8" s="113"/>
      <c r="DE8" s="121"/>
      <c r="DF8" s="121"/>
      <c r="GA8" t="s">
        <v>113</v>
      </c>
      <c r="GB8" t="s">
        <v>22895</v>
      </c>
      <c r="GC8" s="46">
        <v>0</v>
      </c>
      <c r="GD8" s="113"/>
      <c r="GE8" s="113"/>
      <c r="GF8" s="113"/>
      <c r="GG8" s="113"/>
      <c r="GH8" s="113"/>
      <c r="GI8" s="46">
        <v>0</v>
      </c>
      <c r="GJ8" s="113"/>
      <c r="GK8" s="113"/>
      <c r="GL8" s="113"/>
      <c r="GM8" s="113"/>
      <c r="GN8" s="113"/>
      <c r="GO8" s="46">
        <v>0</v>
      </c>
      <c r="GP8" s="113"/>
      <c r="GQ8" s="113"/>
      <c r="GR8" s="113"/>
      <c r="GS8" s="113"/>
      <c r="GT8" s="113"/>
      <c r="GU8" s="46">
        <v>0</v>
      </c>
      <c r="GV8" s="113"/>
      <c r="GW8" s="113"/>
      <c r="GX8" s="113"/>
      <c r="GY8" s="113"/>
      <c r="GZ8" s="113"/>
      <c r="HA8" s="46">
        <v>0</v>
      </c>
      <c r="HB8" s="113"/>
      <c r="HC8" s="113"/>
      <c r="HD8" s="113"/>
      <c r="HE8" s="113"/>
      <c r="HF8" s="113"/>
      <c r="HG8" s="46">
        <v>0</v>
      </c>
      <c r="HH8" s="113"/>
      <c r="HI8" s="113"/>
      <c r="HJ8" s="113"/>
      <c r="HK8" s="113"/>
      <c r="HL8" s="113"/>
      <c r="HM8" s="121"/>
      <c r="HN8" s="121"/>
      <c r="HR8" t="s">
        <v>114</v>
      </c>
      <c r="HS8" s="46">
        <v>0</v>
      </c>
      <c r="HT8" s="113"/>
      <c r="HU8" s="113"/>
      <c r="HV8" s="113"/>
      <c r="HW8" s="113"/>
      <c r="HX8" s="113"/>
      <c r="HY8" s="46">
        <v>0</v>
      </c>
      <c r="HZ8" s="113"/>
      <c r="IA8" s="113"/>
      <c r="IB8" s="113"/>
      <c r="IC8" s="113"/>
      <c r="ID8" s="113"/>
      <c r="IE8" s="46">
        <v>0</v>
      </c>
      <c r="IF8" s="113"/>
      <c r="IG8" s="113"/>
      <c r="IH8" s="113"/>
      <c r="II8" s="113"/>
      <c r="IJ8" s="113"/>
      <c r="IK8" s="46">
        <v>0</v>
      </c>
      <c r="IL8" s="113"/>
      <c r="IM8" s="113"/>
      <c r="IN8" s="113"/>
      <c r="IO8" s="113"/>
      <c r="IP8" s="113"/>
      <c r="IQ8" s="46">
        <v>0</v>
      </c>
      <c r="IR8" s="113"/>
      <c r="IS8" s="113"/>
      <c r="IT8" s="113"/>
      <c r="IU8" s="113"/>
      <c r="IV8" s="113"/>
      <c r="IW8" s="46">
        <v>0</v>
      </c>
      <c r="IX8" s="113"/>
      <c r="IY8" s="113"/>
      <c r="IZ8" s="113"/>
      <c r="JA8" s="113"/>
      <c r="JB8" s="113"/>
      <c r="JC8" s="121"/>
      <c r="JD8" s="121"/>
      <c r="LM8" t="str">
        <v/>
      </c>
      <c r="LN8" t="str">
        <v/>
      </c>
      <c r="LO8" t="str">
        <v/>
      </c>
    </row>
    <row r="9" spans="1:374">
      <c r="AD9" t="s">
        <v>113</v>
      </c>
      <c r="AE9" t="s">
        <v>22896</v>
      </c>
      <c r="AF9" s="46">
        <v>0</v>
      </c>
      <c r="AG9" s="113"/>
      <c r="AH9" s="113"/>
      <c r="AI9" s="113"/>
      <c r="AJ9" s="113"/>
      <c r="AK9" s="113"/>
      <c r="AL9" s="46">
        <v>0</v>
      </c>
      <c r="AM9" s="113"/>
      <c r="AN9" s="113"/>
      <c r="AO9" s="113"/>
      <c r="AP9" s="113"/>
      <c r="AQ9" s="113"/>
      <c r="AR9" s="46">
        <v>0</v>
      </c>
      <c r="AS9" s="113"/>
      <c r="AT9" s="113"/>
      <c r="AU9" s="113"/>
      <c r="AV9" s="113"/>
      <c r="AW9" s="113"/>
      <c r="AX9" s="46">
        <v>0</v>
      </c>
      <c r="AY9" s="113"/>
      <c r="AZ9" s="113"/>
      <c r="BA9" s="113"/>
      <c r="BB9" s="113"/>
      <c r="BC9" s="113"/>
      <c r="BD9" s="46">
        <v>0</v>
      </c>
      <c r="BE9" s="113"/>
      <c r="BF9" s="113"/>
      <c r="BG9" s="113"/>
      <c r="BH9" s="113"/>
      <c r="BI9" s="113"/>
      <c r="BJ9" s="46">
        <v>0</v>
      </c>
      <c r="BK9" s="113"/>
      <c r="BL9" s="113"/>
      <c r="BM9" s="113"/>
      <c r="BN9" s="113"/>
      <c r="BO9" s="113"/>
      <c r="BP9" s="121"/>
      <c r="BQ9" s="121"/>
      <c r="BT9" t="s">
        <v>18300</v>
      </c>
      <c r="BU9" s="46">
        <v>0</v>
      </c>
      <c r="BV9" s="113"/>
      <c r="BW9" s="113"/>
      <c r="BX9" s="113"/>
      <c r="BY9" s="113"/>
      <c r="BZ9" s="113"/>
      <c r="CA9" s="46">
        <v>0</v>
      </c>
      <c r="CB9" s="113"/>
      <c r="CC9" s="113"/>
      <c r="CD9" s="113"/>
      <c r="CE9" s="113"/>
      <c r="CF9" s="113"/>
      <c r="CG9" s="46">
        <v>0</v>
      </c>
      <c r="CH9" s="113"/>
      <c r="CI9" s="113"/>
      <c r="CJ9" s="113"/>
      <c r="CK9" s="113"/>
      <c r="CL9" s="113"/>
      <c r="CM9" s="46">
        <v>0</v>
      </c>
      <c r="CN9" s="113"/>
      <c r="CO9" s="113"/>
      <c r="CP9" s="113"/>
      <c r="CQ9" s="113"/>
      <c r="CR9" s="113"/>
      <c r="CS9" s="46">
        <v>0</v>
      </c>
      <c r="CT9" s="113"/>
      <c r="CU9" s="113"/>
      <c r="CV9" s="113"/>
      <c r="CW9" s="113"/>
      <c r="CX9" s="113"/>
      <c r="CY9" s="46">
        <v>0</v>
      </c>
      <c r="CZ9" s="113"/>
      <c r="DA9" s="113"/>
      <c r="DB9" s="113"/>
      <c r="DC9" s="113"/>
      <c r="DD9" s="113"/>
      <c r="DE9" s="121"/>
      <c r="DF9" s="121"/>
      <c r="GA9" t="s">
        <v>113</v>
      </c>
      <c r="GB9" t="s">
        <v>22896</v>
      </c>
      <c r="GC9" s="46">
        <v>0</v>
      </c>
      <c r="GD9" s="113"/>
      <c r="GE9" s="113"/>
      <c r="GF9" s="113"/>
      <c r="GG9" s="113"/>
      <c r="GH9" s="113"/>
      <c r="GI9" s="46">
        <v>0</v>
      </c>
      <c r="GJ9" s="113"/>
      <c r="GK9" s="113"/>
      <c r="GL9" s="113"/>
      <c r="GM9" s="113"/>
      <c r="GN9" s="113"/>
      <c r="GO9" s="46">
        <v>0</v>
      </c>
      <c r="GP9" s="113"/>
      <c r="GQ9" s="113"/>
      <c r="GR9" s="113"/>
      <c r="GS9" s="113"/>
      <c r="GT9" s="113"/>
      <c r="GU9" s="46">
        <v>0</v>
      </c>
      <c r="GV9" s="113"/>
      <c r="GW9" s="113"/>
      <c r="GX9" s="113"/>
      <c r="GY9" s="113"/>
      <c r="GZ9" s="113"/>
      <c r="HA9" s="46">
        <v>0</v>
      </c>
      <c r="HB9" s="113"/>
      <c r="HC9" s="113"/>
      <c r="HD9" s="113"/>
      <c r="HE9" s="113"/>
      <c r="HF9" s="113"/>
      <c r="HG9" s="46">
        <v>0</v>
      </c>
      <c r="HH9" s="113"/>
      <c r="HI9" s="113"/>
      <c r="HJ9" s="113"/>
      <c r="HK9" s="113"/>
      <c r="HL9" s="113"/>
      <c r="HM9" s="121"/>
      <c r="HN9" s="121"/>
      <c r="HR9" t="s">
        <v>18300</v>
      </c>
      <c r="HS9" s="46">
        <v>0</v>
      </c>
      <c r="HT9" s="113"/>
      <c r="HU9" s="113"/>
      <c r="HV9" s="113"/>
      <c r="HW9" s="113"/>
      <c r="HX9" s="113"/>
      <c r="HY9" s="46">
        <v>0</v>
      </c>
      <c r="HZ9" s="113"/>
      <c r="IA9" s="113"/>
      <c r="IB9" s="113"/>
      <c r="IC9" s="113"/>
      <c r="ID9" s="113"/>
      <c r="IE9" s="46">
        <v>0</v>
      </c>
      <c r="IF9" s="113"/>
      <c r="IG9" s="113"/>
      <c r="IH9" s="113"/>
      <c r="II9" s="113"/>
      <c r="IJ9" s="113"/>
      <c r="IK9" s="46">
        <v>0</v>
      </c>
      <c r="IL9" s="113"/>
      <c r="IM9" s="113"/>
      <c r="IN9" s="113"/>
      <c r="IO9" s="113"/>
      <c r="IP9" s="113"/>
      <c r="IQ9" s="46">
        <v>0</v>
      </c>
      <c r="IR9" s="113"/>
      <c r="IS9" s="113"/>
      <c r="IT9" s="113"/>
      <c r="IU9" s="113"/>
      <c r="IV9" s="113"/>
      <c r="IW9" s="46">
        <v>0</v>
      </c>
      <c r="IX9" s="113"/>
      <c r="IY9" s="113"/>
      <c r="IZ9" s="113"/>
      <c r="JA9" s="113"/>
      <c r="JB9" s="113"/>
      <c r="JC9" s="121"/>
      <c r="JD9" s="121"/>
      <c r="LM9" t="str">
        <v/>
      </c>
      <c r="LN9" t="str">
        <v/>
      </c>
      <c r="LO9" t="str">
        <v/>
      </c>
    </row>
    <row r="10" spans="1:374">
      <c r="AD10" t="s">
        <v>113</v>
      </c>
      <c r="AE10" t="s">
        <v>22897</v>
      </c>
      <c r="AF10" s="46">
        <v>0</v>
      </c>
      <c r="AG10" s="113"/>
      <c r="AH10" s="113"/>
      <c r="AI10" s="113"/>
      <c r="AJ10" s="113"/>
      <c r="AK10" s="113"/>
      <c r="AL10" s="46">
        <v>0</v>
      </c>
      <c r="AM10" s="113"/>
      <c r="AN10" s="113"/>
      <c r="AO10" s="113"/>
      <c r="AP10" s="113"/>
      <c r="AQ10" s="113"/>
      <c r="AR10" s="46">
        <v>0</v>
      </c>
      <c r="AS10" s="113"/>
      <c r="AT10" s="113"/>
      <c r="AU10" s="113"/>
      <c r="AV10" s="113"/>
      <c r="AW10" s="113"/>
      <c r="AX10" s="46">
        <v>0</v>
      </c>
      <c r="AY10" s="113"/>
      <c r="AZ10" s="113"/>
      <c r="BA10" s="113"/>
      <c r="BB10" s="113"/>
      <c r="BC10" s="113"/>
      <c r="BD10" s="46">
        <v>0</v>
      </c>
      <c r="BE10" s="113"/>
      <c r="BF10" s="113"/>
      <c r="BG10" s="113"/>
      <c r="BH10" s="113"/>
      <c r="BI10" s="113"/>
      <c r="BJ10" s="46">
        <v>0</v>
      </c>
      <c r="BK10" s="113"/>
      <c r="BL10" s="113"/>
      <c r="BM10" s="113"/>
      <c r="BN10" s="113"/>
      <c r="BO10" s="113"/>
      <c r="BP10" s="121"/>
      <c r="BQ10" s="121"/>
      <c r="GA10" t="s">
        <v>113</v>
      </c>
      <c r="GB10" t="s">
        <v>22897</v>
      </c>
      <c r="GC10" s="46">
        <v>0</v>
      </c>
      <c r="GD10" s="113"/>
      <c r="GE10" s="113"/>
      <c r="GF10" s="113"/>
      <c r="GG10" s="113"/>
      <c r="GH10" s="113"/>
      <c r="GI10" s="46">
        <v>0</v>
      </c>
      <c r="GJ10" s="113"/>
      <c r="GK10" s="113"/>
      <c r="GL10" s="113"/>
      <c r="GM10" s="113"/>
      <c r="GN10" s="113"/>
      <c r="GO10" s="46">
        <v>0</v>
      </c>
      <c r="GP10" s="113"/>
      <c r="GQ10" s="113"/>
      <c r="GR10" s="113"/>
      <c r="GS10" s="113"/>
      <c r="GT10" s="113"/>
      <c r="GU10" s="46">
        <v>0</v>
      </c>
      <c r="GV10" s="113"/>
      <c r="GW10" s="113"/>
      <c r="GX10" s="113"/>
      <c r="GY10" s="113"/>
      <c r="GZ10" s="113"/>
      <c r="HA10" s="46">
        <v>0</v>
      </c>
      <c r="HB10" s="113"/>
      <c r="HC10" s="113"/>
      <c r="HD10" s="113"/>
      <c r="HE10" s="113"/>
      <c r="HF10" s="113"/>
      <c r="HG10" s="46">
        <v>0</v>
      </c>
      <c r="HH10" s="113"/>
      <c r="HI10" s="113"/>
      <c r="HJ10" s="113"/>
      <c r="HK10" s="113"/>
      <c r="HL10" s="113"/>
      <c r="HM10" s="121"/>
      <c r="HN10" s="121"/>
      <c r="LM10" t="str">
        <v/>
      </c>
      <c r="LN10" t="str">
        <v/>
      </c>
      <c r="LO10" t="str">
        <v/>
      </c>
    </row>
    <row r="11" spans="1:374">
      <c r="AD11" t="s">
        <v>113</v>
      </c>
      <c r="AE11" t="s">
        <v>22898</v>
      </c>
      <c r="AF11" s="46">
        <v>0</v>
      </c>
      <c r="AG11" s="113"/>
      <c r="AH11" s="113"/>
      <c r="AI11" s="113"/>
      <c r="AJ11" s="113"/>
      <c r="AK11" s="113"/>
      <c r="AL11" s="46">
        <v>0</v>
      </c>
      <c r="AM11" s="113"/>
      <c r="AN11" s="113"/>
      <c r="AO11" s="113"/>
      <c r="AP11" s="113"/>
      <c r="AQ11" s="113"/>
      <c r="AR11" s="46">
        <v>0</v>
      </c>
      <c r="AS11" s="113"/>
      <c r="AT11" s="113"/>
      <c r="AU11" s="113"/>
      <c r="AV11" s="113"/>
      <c r="AW11" s="113"/>
      <c r="AX11" s="46">
        <v>0</v>
      </c>
      <c r="AY11" s="113"/>
      <c r="AZ11" s="113"/>
      <c r="BA11" s="113"/>
      <c r="BB11" s="113"/>
      <c r="BC11" s="113"/>
      <c r="BD11" s="46">
        <v>0</v>
      </c>
      <c r="BE11" s="113"/>
      <c r="BF11" s="113"/>
      <c r="BG11" s="113"/>
      <c r="BH11" s="113"/>
      <c r="BI11" s="113"/>
      <c r="BJ11" s="46">
        <v>0</v>
      </c>
      <c r="BK11" s="113"/>
      <c r="BL11" s="113"/>
      <c r="BM11" s="113"/>
      <c r="BN11" s="113"/>
      <c r="BO11" s="113"/>
      <c r="BP11" s="121"/>
      <c r="BQ11" s="121"/>
      <c r="GA11" t="s">
        <v>113</v>
      </c>
      <c r="GB11" t="s">
        <v>22898</v>
      </c>
      <c r="GC11" s="46">
        <v>0</v>
      </c>
      <c r="GD11" s="113"/>
      <c r="GE11" s="113"/>
      <c r="GF11" s="113"/>
      <c r="GG11" s="113"/>
      <c r="GH11" s="113"/>
      <c r="GI11" s="46">
        <v>0</v>
      </c>
      <c r="GJ11" s="113"/>
      <c r="GK11" s="113"/>
      <c r="GL11" s="113"/>
      <c r="GM11" s="113"/>
      <c r="GN11" s="113"/>
      <c r="GO11" s="46">
        <v>0</v>
      </c>
      <c r="GP11" s="113"/>
      <c r="GQ11" s="113"/>
      <c r="GR11" s="113"/>
      <c r="GS11" s="113"/>
      <c r="GT11" s="113"/>
      <c r="GU11" s="46">
        <v>0</v>
      </c>
      <c r="GV11" s="113"/>
      <c r="GW11" s="113"/>
      <c r="GX11" s="113"/>
      <c r="GY11" s="113"/>
      <c r="GZ11" s="113"/>
      <c r="HA11" s="46">
        <v>0</v>
      </c>
      <c r="HB11" s="113"/>
      <c r="HC11" s="113"/>
      <c r="HD11" s="113"/>
      <c r="HE11" s="113"/>
      <c r="HF11" s="113"/>
      <c r="HG11" s="46">
        <v>0</v>
      </c>
      <c r="HH11" s="113"/>
      <c r="HI11" s="113"/>
      <c r="HJ11" s="113"/>
      <c r="HK11" s="113"/>
      <c r="HL11" s="113"/>
      <c r="HM11" s="121"/>
      <c r="HN11" s="121"/>
      <c r="LM11" t="str">
        <v/>
      </c>
      <c r="LN11" t="str">
        <v/>
      </c>
      <c r="LO11" t="str">
        <v/>
      </c>
    </row>
    <row r="12" spans="1:374">
      <c r="AD12" t="s">
        <v>113</v>
      </c>
      <c r="AE12" t="s">
        <v>22899</v>
      </c>
      <c r="AF12" s="46">
        <v>0</v>
      </c>
      <c r="AG12" s="113"/>
      <c r="AH12" s="113"/>
      <c r="AI12" s="113"/>
      <c r="AJ12" s="113"/>
      <c r="AK12" s="113"/>
      <c r="AL12" s="46">
        <v>0</v>
      </c>
      <c r="AM12" s="113"/>
      <c r="AN12" s="113"/>
      <c r="AO12" s="113"/>
      <c r="AP12" s="113"/>
      <c r="AQ12" s="113"/>
      <c r="AR12" s="46">
        <v>0</v>
      </c>
      <c r="AS12" s="113"/>
      <c r="AT12" s="113"/>
      <c r="AU12" s="113"/>
      <c r="AV12" s="113"/>
      <c r="AW12" s="113"/>
      <c r="AX12" s="46">
        <v>0</v>
      </c>
      <c r="AY12" s="113"/>
      <c r="AZ12" s="113"/>
      <c r="BA12" s="113"/>
      <c r="BB12" s="113"/>
      <c r="BC12" s="113"/>
      <c r="BD12" s="46">
        <v>0</v>
      </c>
      <c r="BE12" s="113"/>
      <c r="BF12" s="113"/>
      <c r="BG12" s="113"/>
      <c r="BH12" s="113"/>
      <c r="BI12" s="113"/>
      <c r="BJ12" s="46">
        <v>0</v>
      </c>
      <c r="BK12" s="113"/>
      <c r="BL12" s="113"/>
      <c r="BM12" s="113"/>
      <c r="BN12" s="113"/>
      <c r="BO12" s="113"/>
      <c r="BP12" s="121"/>
      <c r="BQ12" s="121"/>
      <c r="GA12" t="s">
        <v>113</v>
      </c>
      <c r="GB12" t="s">
        <v>22899</v>
      </c>
      <c r="GC12" s="46">
        <v>0</v>
      </c>
      <c r="GD12" s="113"/>
      <c r="GE12" s="113"/>
      <c r="GF12" s="113"/>
      <c r="GG12" s="113"/>
      <c r="GH12" s="113"/>
      <c r="GI12" s="46">
        <v>0</v>
      </c>
      <c r="GJ12" s="113"/>
      <c r="GK12" s="113"/>
      <c r="GL12" s="113"/>
      <c r="GM12" s="113"/>
      <c r="GN12" s="113"/>
      <c r="GO12" s="46">
        <v>0</v>
      </c>
      <c r="GP12" s="113"/>
      <c r="GQ12" s="113"/>
      <c r="GR12" s="113"/>
      <c r="GS12" s="113"/>
      <c r="GT12" s="113"/>
      <c r="GU12" s="46">
        <v>0</v>
      </c>
      <c r="GV12" s="113"/>
      <c r="GW12" s="113"/>
      <c r="GX12" s="113"/>
      <c r="GY12" s="113"/>
      <c r="GZ12" s="113"/>
      <c r="HA12" s="46">
        <v>0</v>
      </c>
      <c r="HB12" s="113"/>
      <c r="HC12" s="113"/>
      <c r="HD12" s="113"/>
      <c r="HE12" s="113"/>
      <c r="HF12" s="113"/>
      <c r="HG12" s="46">
        <v>0</v>
      </c>
      <c r="HH12" s="113"/>
      <c r="HI12" s="113"/>
      <c r="HJ12" s="113"/>
      <c r="HK12" s="113"/>
      <c r="HL12" s="113"/>
      <c r="HM12" s="121"/>
      <c r="HN12" s="121"/>
      <c r="LM12" t="str">
        <v/>
      </c>
      <c r="LN12" t="str">
        <v/>
      </c>
      <c r="LO12" t="str">
        <v/>
      </c>
    </row>
    <row r="13" spans="1:374">
      <c r="AD13" t="s">
        <v>113</v>
      </c>
      <c r="AE13" t="s">
        <v>22900</v>
      </c>
      <c r="AF13" s="46">
        <v>0</v>
      </c>
      <c r="AG13" s="113"/>
      <c r="AH13" s="113"/>
      <c r="AI13" s="113"/>
      <c r="AJ13" s="113"/>
      <c r="AK13" s="113"/>
      <c r="AL13" s="46">
        <v>0</v>
      </c>
      <c r="AM13" s="113"/>
      <c r="AN13" s="113"/>
      <c r="AO13" s="113"/>
      <c r="AP13" s="113"/>
      <c r="AQ13" s="113"/>
      <c r="AR13" s="46">
        <v>0</v>
      </c>
      <c r="AS13" s="113"/>
      <c r="AT13" s="113"/>
      <c r="AU13" s="113"/>
      <c r="AV13" s="113"/>
      <c r="AW13" s="113"/>
      <c r="AX13" s="46">
        <v>0</v>
      </c>
      <c r="AY13" s="113"/>
      <c r="AZ13" s="113"/>
      <c r="BA13" s="113"/>
      <c r="BB13" s="113"/>
      <c r="BC13" s="113"/>
      <c r="BD13" s="46">
        <v>0</v>
      </c>
      <c r="BE13" s="113"/>
      <c r="BF13" s="113"/>
      <c r="BG13" s="113"/>
      <c r="BH13" s="113"/>
      <c r="BI13" s="113"/>
      <c r="BJ13" s="46">
        <v>0</v>
      </c>
      <c r="BK13" s="113"/>
      <c r="BL13" s="113"/>
      <c r="BM13" s="113"/>
      <c r="BN13" s="113"/>
      <c r="BO13" s="113"/>
      <c r="BP13" s="121"/>
      <c r="BQ13" s="121"/>
      <c r="GA13" t="s">
        <v>113</v>
      </c>
      <c r="GB13" t="s">
        <v>22900</v>
      </c>
      <c r="GC13" s="46">
        <v>0</v>
      </c>
      <c r="GD13" s="113"/>
      <c r="GE13" s="113"/>
      <c r="GF13" s="113"/>
      <c r="GG13" s="113"/>
      <c r="GH13" s="113"/>
      <c r="GI13" s="46">
        <v>0</v>
      </c>
      <c r="GJ13" s="113"/>
      <c r="GK13" s="113"/>
      <c r="GL13" s="113"/>
      <c r="GM13" s="113"/>
      <c r="GN13" s="113"/>
      <c r="GO13" s="46">
        <v>0</v>
      </c>
      <c r="GP13" s="113"/>
      <c r="GQ13" s="113"/>
      <c r="GR13" s="113"/>
      <c r="GS13" s="113"/>
      <c r="GT13" s="113"/>
      <c r="GU13" s="46">
        <v>0</v>
      </c>
      <c r="GV13" s="113"/>
      <c r="GW13" s="113"/>
      <c r="GX13" s="113"/>
      <c r="GY13" s="113"/>
      <c r="GZ13" s="113"/>
      <c r="HA13" s="46">
        <v>0</v>
      </c>
      <c r="HB13" s="113"/>
      <c r="HC13" s="113"/>
      <c r="HD13" s="113"/>
      <c r="HE13" s="113"/>
      <c r="HF13" s="113"/>
      <c r="HG13" s="46">
        <v>0</v>
      </c>
      <c r="HH13" s="113"/>
      <c r="HI13" s="113"/>
      <c r="HJ13" s="113"/>
      <c r="HK13" s="113"/>
      <c r="HL13" s="113"/>
      <c r="HM13" s="121"/>
      <c r="HN13" s="121"/>
      <c r="LM13" t="str">
        <v/>
      </c>
      <c r="LN13" t="str">
        <v/>
      </c>
      <c r="LO13" t="str">
        <v/>
      </c>
    </row>
    <row r="14" spans="1:374">
      <c r="AD14" t="s">
        <v>113</v>
      </c>
      <c r="AE14" t="s">
        <v>22901</v>
      </c>
      <c r="AF14" s="46">
        <v>0</v>
      </c>
      <c r="AG14" s="113"/>
      <c r="AH14" s="113"/>
      <c r="AI14" s="113"/>
      <c r="AJ14" s="113"/>
      <c r="AK14" s="113"/>
      <c r="AL14" s="46">
        <v>0</v>
      </c>
      <c r="AM14" s="113"/>
      <c r="AN14" s="113"/>
      <c r="AO14" s="113"/>
      <c r="AP14" s="113"/>
      <c r="AQ14" s="113"/>
      <c r="AR14" s="46">
        <v>0</v>
      </c>
      <c r="AS14" s="113"/>
      <c r="AT14" s="113"/>
      <c r="AU14" s="113"/>
      <c r="AV14" s="113"/>
      <c r="AW14" s="113"/>
      <c r="AX14" s="46">
        <v>0</v>
      </c>
      <c r="AY14" s="113"/>
      <c r="AZ14" s="113"/>
      <c r="BA14" s="113"/>
      <c r="BB14" s="113"/>
      <c r="BC14" s="113"/>
      <c r="BD14" s="46">
        <v>0</v>
      </c>
      <c r="BE14" s="113"/>
      <c r="BF14" s="113"/>
      <c r="BG14" s="113"/>
      <c r="BH14" s="113"/>
      <c r="BI14" s="113"/>
      <c r="BJ14" s="46">
        <v>0</v>
      </c>
      <c r="BK14" s="113"/>
      <c r="BL14" s="113"/>
      <c r="BM14" s="113"/>
      <c r="BN14" s="113"/>
      <c r="BO14" s="113"/>
      <c r="BP14" s="121"/>
      <c r="BQ14" s="121"/>
      <c r="GA14" t="s">
        <v>113</v>
      </c>
      <c r="GB14" t="s">
        <v>22901</v>
      </c>
      <c r="GC14" s="46">
        <v>0</v>
      </c>
      <c r="GD14" s="113"/>
      <c r="GE14" s="113"/>
      <c r="GF14" s="113"/>
      <c r="GG14" s="113"/>
      <c r="GH14" s="113"/>
      <c r="GI14" s="46">
        <v>0</v>
      </c>
      <c r="GJ14" s="113"/>
      <c r="GK14" s="113"/>
      <c r="GL14" s="113"/>
      <c r="GM14" s="113"/>
      <c r="GN14" s="113"/>
      <c r="GO14" s="46">
        <v>0</v>
      </c>
      <c r="GP14" s="113"/>
      <c r="GQ14" s="113"/>
      <c r="GR14" s="113"/>
      <c r="GS14" s="113"/>
      <c r="GT14" s="113"/>
      <c r="GU14" s="46">
        <v>0</v>
      </c>
      <c r="GV14" s="113"/>
      <c r="GW14" s="113"/>
      <c r="GX14" s="113"/>
      <c r="GY14" s="113"/>
      <c r="GZ14" s="113"/>
      <c r="HA14" s="46">
        <v>0</v>
      </c>
      <c r="HB14" s="113"/>
      <c r="HC14" s="113"/>
      <c r="HD14" s="113"/>
      <c r="HE14" s="113"/>
      <c r="HF14" s="113"/>
      <c r="HG14" s="46">
        <v>0</v>
      </c>
      <c r="HH14" s="113"/>
      <c r="HI14" s="113"/>
      <c r="HJ14" s="113"/>
      <c r="HK14" s="113"/>
      <c r="HL14" s="113"/>
      <c r="HM14" s="121"/>
      <c r="HN14" s="121"/>
      <c r="LM14" t="str">
        <v/>
      </c>
      <c r="LN14" t="str">
        <v/>
      </c>
      <c r="LO14" t="str">
        <v/>
      </c>
    </row>
    <row r="15" spans="1:374">
      <c r="AD15" t="s">
        <v>113</v>
      </c>
      <c r="AE15" t="s">
        <v>22902</v>
      </c>
      <c r="AF15" s="46">
        <v>0</v>
      </c>
      <c r="AG15" s="113"/>
      <c r="AH15" s="113"/>
      <c r="AI15" s="113"/>
      <c r="AJ15" s="113"/>
      <c r="AK15" s="113"/>
      <c r="AL15" s="46">
        <v>0</v>
      </c>
      <c r="AM15" s="113"/>
      <c r="AN15" s="113"/>
      <c r="AO15" s="113"/>
      <c r="AP15" s="113"/>
      <c r="AQ15" s="113"/>
      <c r="AR15" s="46">
        <v>0</v>
      </c>
      <c r="AS15" s="113"/>
      <c r="AT15" s="113"/>
      <c r="AU15" s="113"/>
      <c r="AV15" s="113"/>
      <c r="AW15" s="113"/>
      <c r="AX15" s="46">
        <v>0</v>
      </c>
      <c r="AY15" s="113"/>
      <c r="AZ15" s="113"/>
      <c r="BA15" s="113"/>
      <c r="BB15" s="113"/>
      <c r="BC15" s="113"/>
      <c r="BD15" s="46">
        <v>0</v>
      </c>
      <c r="BE15" s="113"/>
      <c r="BF15" s="113"/>
      <c r="BG15" s="113"/>
      <c r="BH15" s="113"/>
      <c r="BI15" s="113"/>
      <c r="BJ15" s="46">
        <v>0</v>
      </c>
      <c r="BK15" s="113"/>
      <c r="BL15" s="113"/>
      <c r="BM15" s="113"/>
      <c r="BN15" s="113"/>
      <c r="BO15" s="113"/>
      <c r="BP15" s="121"/>
      <c r="BQ15" s="121"/>
      <c r="GA15" t="s">
        <v>113</v>
      </c>
      <c r="GB15" t="s">
        <v>22902</v>
      </c>
      <c r="GC15" s="46">
        <v>0</v>
      </c>
      <c r="GD15" s="113"/>
      <c r="GE15" s="113"/>
      <c r="GF15" s="113"/>
      <c r="GG15" s="113"/>
      <c r="GH15" s="113"/>
      <c r="GI15" s="46">
        <v>0</v>
      </c>
      <c r="GJ15" s="113"/>
      <c r="GK15" s="113"/>
      <c r="GL15" s="113"/>
      <c r="GM15" s="113"/>
      <c r="GN15" s="113"/>
      <c r="GO15" s="46">
        <v>0</v>
      </c>
      <c r="GP15" s="113"/>
      <c r="GQ15" s="113"/>
      <c r="GR15" s="113"/>
      <c r="GS15" s="113"/>
      <c r="GT15" s="113"/>
      <c r="GU15" s="46">
        <v>0</v>
      </c>
      <c r="GV15" s="113"/>
      <c r="GW15" s="113"/>
      <c r="GX15" s="113"/>
      <c r="GY15" s="113"/>
      <c r="GZ15" s="113"/>
      <c r="HA15" s="46">
        <v>0</v>
      </c>
      <c r="HB15" s="113"/>
      <c r="HC15" s="113"/>
      <c r="HD15" s="113"/>
      <c r="HE15" s="113"/>
      <c r="HF15" s="113"/>
      <c r="HG15" s="46">
        <v>0</v>
      </c>
      <c r="HH15" s="113"/>
      <c r="HI15" s="113"/>
      <c r="HJ15" s="113"/>
      <c r="HK15" s="113"/>
      <c r="HL15" s="113"/>
      <c r="HM15" s="121"/>
      <c r="HN15" s="121"/>
      <c r="LM15" t="str">
        <v/>
      </c>
      <c r="LN15" t="str">
        <v/>
      </c>
      <c r="LO15" t="str">
        <v/>
      </c>
    </row>
    <row r="16" spans="1:374">
      <c r="AD16" t="s">
        <v>113</v>
      </c>
      <c r="AE16" t="s">
        <v>22903</v>
      </c>
      <c r="AF16" s="46">
        <v>0</v>
      </c>
      <c r="AG16" s="113"/>
      <c r="AH16" s="113"/>
      <c r="AI16" s="113"/>
      <c r="AJ16" s="113"/>
      <c r="AK16" s="113"/>
      <c r="AL16" s="46">
        <v>0</v>
      </c>
      <c r="AM16" s="113"/>
      <c r="AN16" s="113"/>
      <c r="AO16" s="113"/>
      <c r="AP16" s="113"/>
      <c r="AQ16" s="113"/>
      <c r="AR16" s="46">
        <v>0</v>
      </c>
      <c r="AS16" s="113"/>
      <c r="AT16" s="113"/>
      <c r="AU16" s="113"/>
      <c r="AV16" s="113"/>
      <c r="AW16" s="113"/>
      <c r="AX16" s="46">
        <v>0</v>
      </c>
      <c r="AY16" s="113"/>
      <c r="AZ16" s="113"/>
      <c r="BA16" s="113"/>
      <c r="BB16" s="113"/>
      <c r="BC16" s="113"/>
      <c r="BD16" s="46">
        <v>0</v>
      </c>
      <c r="BE16" s="113"/>
      <c r="BF16" s="113"/>
      <c r="BG16" s="113"/>
      <c r="BH16" s="113"/>
      <c r="BI16" s="113"/>
      <c r="BJ16" s="46">
        <v>0</v>
      </c>
      <c r="BK16" s="113"/>
      <c r="BL16" s="113"/>
      <c r="BM16" s="113"/>
      <c r="BN16" s="113"/>
      <c r="BO16" s="113"/>
      <c r="BP16" s="121"/>
      <c r="BQ16" s="121"/>
      <c r="GA16" t="s">
        <v>113</v>
      </c>
      <c r="GB16" t="s">
        <v>22903</v>
      </c>
      <c r="GC16" s="46">
        <v>0</v>
      </c>
      <c r="GD16" s="113"/>
      <c r="GE16" s="113"/>
      <c r="GF16" s="113"/>
      <c r="GG16" s="113"/>
      <c r="GH16" s="113"/>
      <c r="GI16" s="46">
        <v>0</v>
      </c>
      <c r="GJ16" s="113"/>
      <c r="GK16" s="113"/>
      <c r="GL16" s="113"/>
      <c r="GM16" s="113"/>
      <c r="GN16" s="113"/>
      <c r="GO16" s="46">
        <v>0</v>
      </c>
      <c r="GP16" s="113"/>
      <c r="GQ16" s="113"/>
      <c r="GR16" s="113"/>
      <c r="GS16" s="113"/>
      <c r="GT16" s="113"/>
      <c r="GU16" s="46">
        <v>0</v>
      </c>
      <c r="GV16" s="113"/>
      <c r="GW16" s="113"/>
      <c r="GX16" s="113"/>
      <c r="GY16" s="113"/>
      <c r="GZ16" s="113"/>
      <c r="HA16" s="46">
        <v>0</v>
      </c>
      <c r="HB16" s="113"/>
      <c r="HC16" s="113"/>
      <c r="HD16" s="113"/>
      <c r="HE16" s="113"/>
      <c r="HF16" s="113"/>
      <c r="HG16" s="46">
        <v>0</v>
      </c>
      <c r="HH16" s="113"/>
      <c r="HI16" s="113"/>
      <c r="HJ16" s="113"/>
      <c r="HK16" s="113"/>
      <c r="HL16" s="113"/>
      <c r="HM16" s="121"/>
      <c r="HN16" s="121"/>
      <c r="LM16" t="str">
        <v/>
      </c>
      <c r="LN16" t="str">
        <v/>
      </c>
      <c r="LO16" t="str">
        <v/>
      </c>
    </row>
    <row r="17" spans="30:327">
      <c r="AD17" t="s">
        <v>113</v>
      </c>
      <c r="AE17" t="s">
        <v>22904</v>
      </c>
      <c r="AF17" s="46">
        <v>0</v>
      </c>
      <c r="AG17" s="113"/>
      <c r="AH17" s="113"/>
      <c r="AI17" s="113"/>
      <c r="AJ17" s="113"/>
      <c r="AK17" s="113"/>
      <c r="AL17" s="46">
        <v>0</v>
      </c>
      <c r="AM17" s="113"/>
      <c r="AN17" s="113"/>
      <c r="AO17" s="113"/>
      <c r="AP17" s="113"/>
      <c r="AQ17" s="113"/>
      <c r="AR17" s="46">
        <v>0</v>
      </c>
      <c r="AS17" s="113"/>
      <c r="AT17" s="113"/>
      <c r="AU17" s="113"/>
      <c r="AV17" s="113"/>
      <c r="AW17" s="113"/>
      <c r="AX17" s="46">
        <v>0</v>
      </c>
      <c r="AY17" s="113"/>
      <c r="AZ17" s="113"/>
      <c r="BA17" s="113"/>
      <c r="BB17" s="113"/>
      <c r="BC17" s="113"/>
      <c r="BD17" s="46">
        <v>0</v>
      </c>
      <c r="BE17" s="113"/>
      <c r="BF17" s="113"/>
      <c r="BG17" s="113"/>
      <c r="BH17" s="113"/>
      <c r="BI17" s="113"/>
      <c r="BJ17" s="46">
        <v>0</v>
      </c>
      <c r="BK17" s="113"/>
      <c r="BL17" s="113"/>
      <c r="BM17" s="113"/>
      <c r="BN17" s="113"/>
      <c r="BO17" s="113"/>
      <c r="BP17" s="121"/>
      <c r="BQ17" s="121"/>
      <c r="GA17" t="s">
        <v>113</v>
      </c>
      <c r="GB17" t="s">
        <v>22904</v>
      </c>
      <c r="GC17" s="46">
        <v>0</v>
      </c>
      <c r="GD17" s="113"/>
      <c r="GE17" s="113"/>
      <c r="GF17" s="113"/>
      <c r="GG17" s="113"/>
      <c r="GH17" s="113"/>
      <c r="GI17" s="46">
        <v>0</v>
      </c>
      <c r="GJ17" s="113"/>
      <c r="GK17" s="113"/>
      <c r="GL17" s="113"/>
      <c r="GM17" s="113"/>
      <c r="GN17" s="113"/>
      <c r="GO17" s="46">
        <v>0</v>
      </c>
      <c r="GP17" s="113"/>
      <c r="GQ17" s="113"/>
      <c r="GR17" s="113"/>
      <c r="GS17" s="113"/>
      <c r="GT17" s="113"/>
      <c r="GU17" s="46">
        <v>0</v>
      </c>
      <c r="GV17" s="113"/>
      <c r="GW17" s="113"/>
      <c r="GX17" s="113"/>
      <c r="GY17" s="113"/>
      <c r="GZ17" s="113"/>
      <c r="HA17" s="46">
        <v>0</v>
      </c>
      <c r="HB17" s="113"/>
      <c r="HC17" s="113"/>
      <c r="HD17" s="113"/>
      <c r="HE17" s="113"/>
      <c r="HF17" s="113"/>
      <c r="HG17" s="46">
        <v>0</v>
      </c>
      <c r="HH17" s="113"/>
      <c r="HI17" s="113"/>
      <c r="HJ17" s="113"/>
      <c r="HK17" s="113"/>
      <c r="HL17" s="113"/>
      <c r="HM17" s="121"/>
      <c r="HN17" s="121"/>
      <c r="LM17" t="str">
        <v/>
      </c>
      <c r="LN17" t="str">
        <v/>
      </c>
      <c r="LO17" t="str">
        <v/>
      </c>
    </row>
    <row r="18" spans="30:327">
      <c r="AD18" t="s">
        <v>113</v>
      </c>
      <c r="AE18" t="s">
        <v>22905</v>
      </c>
      <c r="AF18" s="46">
        <v>0</v>
      </c>
      <c r="AG18" s="113"/>
      <c r="AH18" s="113"/>
      <c r="AI18" s="113"/>
      <c r="AJ18" s="113"/>
      <c r="AK18" s="113"/>
      <c r="AL18" s="46">
        <v>0</v>
      </c>
      <c r="AM18" s="113"/>
      <c r="AN18" s="113"/>
      <c r="AO18" s="113"/>
      <c r="AP18" s="113"/>
      <c r="AQ18" s="113"/>
      <c r="AR18" s="46">
        <v>0</v>
      </c>
      <c r="AS18" s="113"/>
      <c r="AT18" s="113"/>
      <c r="AU18" s="113"/>
      <c r="AV18" s="113"/>
      <c r="AW18" s="113"/>
      <c r="AX18" s="46">
        <v>0</v>
      </c>
      <c r="AY18" s="113"/>
      <c r="AZ18" s="113"/>
      <c r="BA18" s="113"/>
      <c r="BB18" s="113"/>
      <c r="BC18" s="113"/>
      <c r="BD18" s="46">
        <v>0</v>
      </c>
      <c r="BE18" s="113"/>
      <c r="BF18" s="113"/>
      <c r="BG18" s="113"/>
      <c r="BH18" s="113"/>
      <c r="BI18" s="113"/>
      <c r="BJ18" s="46">
        <v>0</v>
      </c>
      <c r="BK18" s="113"/>
      <c r="BL18" s="113"/>
      <c r="BM18" s="113"/>
      <c r="BN18" s="113"/>
      <c r="BO18" s="113"/>
      <c r="BP18" s="121"/>
      <c r="BQ18" s="121"/>
      <c r="GA18" t="s">
        <v>113</v>
      </c>
      <c r="GB18" t="s">
        <v>22905</v>
      </c>
      <c r="GC18" s="46">
        <v>0</v>
      </c>
      <c r="GD18" s="113"/>
      <c r="GE18" s="113"/>
      <c r="GF18" s="113"/>
      <c r="GG18" s="113"/>
      <c r="GH18" s="113"/>
      <c r="GI18" s="46">
        <v>0</v>
      </c>
      <c r="GJ18" s="113"/>
      <c r="GK18" s="113"/>
      <c r="GL18" s="113"/>
      <c r="GM18" s="113"/>
      <c r="GN18" s="113"/>
      <c r="GO18" s="46">
        <v>0</v>
      </c>
      <c r="GP18" s="113"/>
      <c r="GQ18" s="113"/>
      <c r="GR18" s="113"/>
      <c r="GS18" s="113"/>
      <c r="GT18" s="113"/>
      <c r="GU18" s="46">
        <v>0</v>
      </c>
      <c r="GV18" s="113"/>
      <c r="GW18" s="113"/>
      <c r="GX18" s="113"/>
      <c r="GY18" s="113"/>
      <c r="GZ18" s="113"/>
      <c r="HA18" s="46">
        <v>0</v>
      </c>
      <c r="HB18" s="113"/>
      <c r="HC18" s="113"/>
      <c r="HD18" s="113"/>
      <c r="HE18" s="113"/>
      <c r="HF18" s="113"/>
      <c r="HG18" s="46">
        <v>0</v>
      </c>
      <c r="HH18" s="113"/>
      <c r="HI18" s="113"/>
      <c r="HJ18" s="113"/>
      <c r="HK18" s="113"/>
      <c r="HL18" s="113"/>
      <c r="HM18" s="121"/>
      <c r="HN18" s="121"/>
      <c r="LM18" t="str">
        <v/>
      </c>
      <c r="LN18" t="str">
        <v/>
      </c>
      <c r="LO18" t="str">
        <v/>
      </c>
    </row>
    <row r="19" spans="30:327">
      <c r="AD19" t="s">
        <v>113</v>
      </c>
      <c r="AE19" t="s">
        <v>22906</v>
      </c>
      <c r="AF19" s="46">
        <v>0</v>
      </c>
      <c r="AG19" s="113"/>
      <c r="AH19" s="113"/>
      <c r="AI19" s="113"/>
      <c r="AJ19" s="113"/>
      <c r="AK19" s="113"/>
      <c r="AL19" s="46">
        <v>0</v>
      </c>
      <c r="AM19" s="113"/>
      <c r="AN19" s="113"/>
      <c r="AO19" s="113"/>
      <c r="AP19" s="113"/>
      <c r="AQ19" s="113"/>
      <c r="AR19" s="46">
        <v>0</v>
      </c>
      <c r="AS19" s="113"/>
      <c r="AT19" s="113"/>
      <c r="AU19" s="113"/>
      <c r="AV19" s="113"/>
      <c r="AW19" s="113"/>
      <c r="AX19" s="46">
        <v>0</v>
      </c>
      <c r="AY19" s="113"/>
      <c r="AZ19" s="113"/>
      <c r="BA19" s="113"/>
      <c r="BB19" s="113"/>
      <c r="BC19" s="113"/>
      <c r="BD19" s="46">
        <v>0</v>
      </c>
      <c r="BE19" s="113"/>
      <c r="BF19" s="113"/>
      <c r="BG19" s="113"/>
      <c r="BH19" s="113"/>
      <c r="BI19" s="113"/>
      <c r="BJ19" s="46">
        <v>0</v>
      </c>
      <c r="BK19" s="113"/>
      <c r="BL19" s="113"/>
      <c r="BM19" s="113"/>
      <c r="BN19" s="113"/>
      <c r="BO19" s="113"/>
      <c r="BP19" s="121"/>
      <c r="BQ19" s="121"/>
      <c r="GA19" t="s">
        <v>113</v>
      </c>
      <c r="GB19" t="s">
        <v>22906</v>
      </c>
      <c r="GC19" s="46">
        <v>0</v>
      </c>
      <c r="GD19" s="113"/>
      <c r="GE19" s="113"/>
      <c r="GF19" s="113"/>
      <c r="GG19" s="113"/>
      <c r="GH19" s="113"/>
      <c r="GI19" s="46">
        <v>0</v>
      </c>
      <c r="GJ19" s="113"/>
      <c r="GK19" s="113"/>
      <c r="GL19" s="113"/>
      <c r="GM19" s="113"/>
      <c r="GN19" s="113"/>
      <c r="GO19" s="46">
        <v>0</v>
      </c>
      <c r="GP19" s="113"/>
      <c r="GQ19" s="113"/>
      <c r="GR19" s="113"/>
      <c r="GS19" s="113"/>
      <c r="GT19" s="113"/>
      <c r="GU19" s="46">
        <v>0</v>
      </c>
      <c r="GV19" s="113"/>
      <c r="GW19" s="113"/>
      <c r="GX19" s="113"/>
      <c r="GY19" s="113"/>
      <c r="GZ19" s="113"/>
      <c r="HA19" s="46">
        <v>0</v>
      </c>
      <c r="HB19" s="113"/>
      <c r="HC19" s="113"/>
      <c r="HD19" s="113"/>
      <c r="HE19" s="113"/>
      <c r="HF19" s="113"/>
      <c r="HG19" s="46">
        <v>0</v>
      </c>
      <c r="HH19" s="113"/>
      <c r="HI19" s="113"/>
      <c r="HJ19" s="113"/>
      <c r="HK19" s="113"/>
      <c r="HL19" s="113"/>
      <c r="HM19" s="121"/>
      <c r="HN19" s="121"/>
      <c r="LM19" t="str">
        <v/>
      </c>
      <c r="LN19" t="str">
        <v/>
      </c>
      <c r="LO19" t="str">
        <v/>
      </c>
    </row>
    <row r="20" spans="30:327">
      <c r="AD20" t="s">
        <v>113</v>
      </c>
      <c r="AE20" t="s">
        <v>22907</v>
      </c>
      <c r="AF20" s="46">
        <v>0</v>
      </c>
      <c r="AG20" s="113"/>
      <c r="AH20" s="113"/>
      <c r="AI20" s="113"/>
      <c r="AJ20" s="113"/>
      <c r="AK20" s="113"/>
      <c r="AL20" s="46">
        <v>0</v>
      </c>
      <c r="AM20" s="113"/>
      <c r="AN20" s="113"/>
      <c r="AO20" s="113"/>
      <c r="AP20" s="113"/>
      <c r="AQ20" s="113"/>
      <c r="AR20" s="46">
        <v>0</v>
      </c>
      <c r="AS20" s="113"/>
      <c r="AT20" s="113"/>
      <c r="AU20" s="113"/>
      <c r="AV20" s="113"/>
      <c r="AW20" s="113"/>
      <c r="AX20" s="46">
        <v>0</v>
      </c>
      <c r="AY20" s="113"/>
      <c r="AZ20" s="113"/>
      <c r="BA20" s="113"/>
      <c r="BB20" s="113"/>
      <c r="BC20" s="113"/>
      <c r="BD20" s="46">
        <v>0</v>
      </c>
      <c r="BE20" s="113"/>
      <c r="BF20" s="113"/>
      <c r="BG20" s="113"/>
      <c r="BH20" s="113"/>
      <c r="BI20" s="113"/>
      <c r="BJ20" s="46">
        <v>0</v>
      </c>
      <c r="BK20" s="113"/>
      <c r="BL20" s="113"/>
      <c r="BM20" s="113"/>
      <c r="BN20" s="113"/>
      <c r="BO20" s="113"/>
      <c r="BP20" s="121"/>
      <c r="BQ20" s="121"/>
      <c r="GA20" t="s">
        <v>113</v>
      </c>
      <c r="GB20" t="s">
        <v>22907</v>
      </c>
      <c r="GC20" s="46">
        <v>0</v>
      </c>
      <c r="GD20" s="113"/>
      <c r="GE20" s="113"/>
      <c r="GF20" s="113"/>
      <c r="GG20" s="113"/>
      <c r="GH20" s="113"/>
      <c r="GI20" s="46">
        <v>0</v>
      </c>
      <c r="GJ20" s="113"/>
      <c r="GK20" s="113"/>
      <c r="GL20" s="113"/>
      <c r="GM20" s="113"/>
      <c r="GN20" s="113"/>
      <c r="GO20" s="46">
        <v>0</v>
      </c>
      <c r="GP20" s="113"/>
      <c r="GQ20" s="113"/>
      <c r="GR20" s="113"/>
      <c r="GS20" s="113"/>
      <c r="GT20" s="113"/>
      <c r="GU20" s="46">
        <v>0</v>
      </c>
      <c r="GV20" s="113"/>
      <c r="GW20" s="113"/>
      <c r="GX20" s="113"/>
      <c r="GY20" s="113"/>
      <c r="GZ20" s="113"/>
      <c r="HA20" s="46">
        <v>0</v>
      </c>
      <c r="HB20" s="113"/>
      <c r="HC20" s="113"/>
      <c r="HD20" s="113"/>
      <c r="HE20" s="113"/>
      <c r="HF20" s="113"/>
      <c r="HG20" s="46">
        <v>0</v>
      </c>
      <c r="HH20" s="113"/>
      <c r="HI20" s="113"/>
      <c r="HJ20" s="113"/>
      <c r="HK20" s="113"/>
      <c r="HL20" s="113"/>
      <c r="HM20" s="121"/>
      <c r="HN20" s="121"/>
      <c r="LM20" t="str">
        <v/>
      </c>
      <c r="LN20" t="str">
        <v/>
      </c>
      <c r="LO20" t="str">
        <v/>
      </c>
    </row>
    <row r="21" spans="30:327">
      <c r="AD21" t="s">
        <v>113</v>
      </c>
      <c r="AE21" t="s">
        <v>22908</v>
      </c>
      <c r="AF21" s="46">
        <v>0</v>
      </c>
      <c r="AG21" s="113"/>
      <c r="AH21" s="113"/>
      <c r="AI21" s="113"/>
      <c r="AJ21" s="113"/>
      <c r="AK21" s="113"/>
      <c r="AL21" s="46">
        <v>0</v>
      </c>
      <c r="AM21" s="113"/>
      <c r="AN21" s="113"/>
      <c r="AO21" s="113"/>
      <c r="AP21" s="113"/>
      <c r="AQ21" s="113"/>
      <c r="AR21" s="46">
        <v>0</v>
      </c>
      <c r="AS21" s="113"/>
      <c r="AT21" s="113"/>
      <c r="AU21" s="113"/>
      <c r="AV21" s="113"/>
      <c r="AW21" s="113"/>
      <c r="AX21" s="46">
        <v>0</v>
      </c>
      <c r="AY21" s="113"/>
      <c r="AZ21" s="113"/>
      <c r="BA21" s="113"/>
      <c r="BB21" s="113"/>
      <c r="BC21" s="113"/>
      <c r="BD21" s="46">
        <v>0</v>
      </c>
      <c r="BE21" s="113"/>
      <c r="BF21" s="113"/>
      <c r="BG21" s="113"/>
      <c r="BH21" s="113"/>
      <c r="BI21" s="113"/>
      <c r="BJ21" s="46">
        <v>0</v>
      </c>
      <c r="BK21" s="113"/>
      <c r="BL21" s="113"/>
      <c r="BM21" s="113"/>
      <c r="BN21" s="113"/>
      <c r="BO21" s="113"/>
      <c r="BP21" s="121"/>
      <c r="BQ21" s="121"/>
      <c r="GA21" t="s">
        <v>113</v>
      </c>
      <c r="GB21" t="s">
        <v>22908</v>
      </c>
      <c r="GC21" s="46">
        <v>0</v>
      </c>
      <c r="GD21" s="113"/>
      <c r="GE21" s="113"/>
      <c r="GF21" s="113"/>
      <c r="GG21" s="113"/>
      <c r="GH21" s="113"/>
      <c r="GI21" s="46">
        <v>0</v>
      </c>
      <c r="GJ21" s="113"/>
      <c r="GK21" s="113"/>
      <c r="GL21" s="113"/>
      <c r="GM21" s="113"/>
      <c r="GN21" s="113"/>
      <c r="GO21" s="46">
        <v>0</v>
      </c>
      <c r="GP21" s="113"/>
      <c r="GQ21" s="113"/>
      <c r="GR21" s="113"/>
      <c r="GS21" s="113"/>
      <c r="GT21" s="113"/>
      <c r="GU21" s="46">
        <v>0</v>
      </c>
      <c r="GV21" s="113"/>
      <c r="GW21" s="113"/>
      <c r="GX21" s="113"/>
      <c r="GY21" s="113"/>
      <c r="GZ21" s="113"/>
      <c r="HA21" s="46">
        <v>0</v>
      </c>
      <c r="HB21" s="113"/>
      <c r="HC21" s="113"/>
      <c r="HD21" s="113"/>
      <c r="HE21" s="113"/>
      <c r="HF21" s="113"/>
      <c r="HG21" s="46">
        <v>0</v>
      </c>
      <c r="HH21" s="113"/>
      <c r="HI21" s="113"/>
      <c r="HJ21" s="113"/>
      <c r="HK21" s="113"/>
      <c r="HL21" s="113"/>
      <c r="HM21" s="121"/>
      <c r="HN21" s="121"/>
      <c r="LM21" t="str">
        <v/>
      </c>
      <c r="LN21" t="str">
        <v/>
      </c>
      <c r="LO21" t="str">
        <v/>
      </c>
    </row>
    <row r="22" spans="30:327">
      <c r="AD22" t="s">
        <v>113</v>
      </c>
      <c r="AE22" t="s">
        <v>22909</v>
      </c>
      <c r="AF22" s="46">
        <v>0</v>
      </c>
      <c r="AG22" s="113"/>
      <c r="AH22" s="113"/>
      <c r="AI22" s="113"/>
      <c r="AJ22" s="113"/>
      <c r="AK22" s="113"/>
      <c r="AL22" s="46">
        <v>0</v>
      </c>
      <c r="AM22" s="113"/>
      <c r="AN22" s="113"/>
      <c r="AO22" s="113"/>
      <c r="AP22" s="113"/>
      <c r="AQ22" s="113"/>
      <c r="AR22" s="46">
        <v>0</v>
      </c>
      <c r="AS22" s="113"/>
      <c r="AT22" s="113"/>
      <c r="AU22" s="113"/>
      <c r="AV22" s="113"/>
      <c r="AW22" s="113"/>
      <c r="AX22" s="46">
        <v>0</v>
      </c>
      <c r="AY22" s="113"/>
      <c r="AZ22" s="113"/>
      <c r="BA22" s="113"/>
      <c r="BB22" s="113"/>
      <c r="BC22" s="113"/>
      <c r="BD22" s="46">
        <v>0</v>
      </c>
      <c r="BE22" s="113"/>
      <c r="BF22" s="113"/>
      <c r="BG22" s="113"/>
      <c r="BH22" s="113"/>
      <c r="BI22" s="113"/>
      <c r="BJ22" s="46">
        <v>0</v>
      </c>
      <c r="BK22" s="113"/>
      <c r="BL22" s="113"/>
      <c r="BM22" s="113"/>
      <c r="BN22" s="113"/>
      <c r="BO22" s="113"/>
      <c r="BP22" s="121"/>
      <c r="BQ22" s="121"/>
      <c r="GA22" t="s">
        <v>113</v>
      </c>
      <c r="GB22" t="s">
        <v>22909</v>
      </c>
      <c r="GC22" s="46">
        <v>0</v>
      </c>
      <c r="GD22" s="113"/>
      <c r="GE22" s="113"/>
      <c r="GF22" s="113"/>
      <c r="GG22" s="113"/>
      <c r="GH22" s="113"/>
      <c r="GI22" s="46">
        <v>0</v>
      </c>
      <c r="GJ22" s="113"/>
      <c r="GK22" s="113"/>
      <c r="GL22" s="113"/>
      <c r="GM22" s="113"/>
      <c r="GN22" s="113"/>
      <c r="GO22" s="46">
        <v>0</v>
      </c>
      <c r="GP22" s="113"/>
      <c r="GQ22" s="113"/>
      <c r="GR22" s="113"/>
      <c r="GS22" s="113"/>
      <c r="GT22" s="113"/>
      <c r="GU22" s="46">
        <v>0</v>
      </c>
      <c r="GV22" s="113"/>
      <c r="GW22" s="113"/>
      <c r="GX22" s="113"/>
      <c r="GY22" s="113"/>
      <c r="GZ22" s="113"/>
      <c r="HA22" s="46">
        <v>0</v>
      </c>
      <c r="HB22" s="113"/>
      <c r="HC22" s="113"/>
      <c r="HD22" s="113"/>
      <c r="HE22" s="113"/>
      <c r="HF22" s="113"/>
      <c r="HG22" s="46">
        <v>0</v>
      </c>
      <c r="HH22" s="113"/>
      <c r="HI22" s="113"/>
      <c r="HJ22" s="113"/>
      <c r="HK22" s="113"/>
      <c r="HL22" s="113"/>
      <c r="HM22" s="121"/>
      <c r="HN22" s="121"/>
      <c r="LM22" t="str">
        <v/>
      </c>
      <c r="LN22" t="str">
        <v/>
      </c>
      <c r="LO22" t="str">
        <v/>
      </c>
    </row>
    <row r="23" spans="30:327">
      <c r="AD23" t="s">
        <v>113</v>
      </c>
      <c r="AE23" t="s">
        <v>22910</v>
      </c>
      <c r="AF23" s="46">
        <v>0</v>
      </c>
      <c r="AG23" s="113"/>
      <c r="AH23" s="113"/>
      <c r="AI23" s="113"/>
      <c r="AJ23" s="113"/>
      <c r="AK23" s="113"/>
      <c r="AL23" s="46">
        <v>0</v>
      </c>
      <c r="AM23" s="113"/>
      <c r="AN23" s="113"/>
      <c r="AO23" s="113"/>
      <c r="AP23" s="113"/>
      <c r="AQ23" s="113"/>
      <c r="AR23" s="46">
        <v>0</v>
      </c>
      <c r="AS23" s="113"/>
      <c r="AT23" s="113"/>
      <c r="AU23" s="113"/>
      <c r="AV23" s="113"/>
      <c r="AW23" s="113"/>
      <c r="AX23" s="46">
        <v>0</v>
      </c>
      <c r="AY23" s="113"/>
      <c r="AZ23" s="113"/>
      <c r="BA23" s="113"/>
      <c r="BB23" s="113"/>
      <c r="BC23" s="113"/>
      <c r="BD23" s="46">
        <v>0</v>
      </c>
      <c r="BE23" s="113"/>
      <c r="BF23" s="113"/>
      <c r="BG23" s="113"/>
      <c r="BH23" s="113"/>
      <c r="BI23" s="113"/>
      <c r="BJ23" s="46">
        <v>0</v>
      </c>
      <c r="BK23" s="113"/>
      <c r="BL23" s="113"/>
      <c r="BM23" s="113"/>
      <c r="BN23" s="113"/>
      <c r="BO23" s="113"/>
      <c r="BP23" s="121"/>
      <c r="BQ23" s="121"/>
      <c r="GA23" t="s">
        <v>113</v>
      </c>
      <c r="GB23" t="s">
        <v>22910</v>
      </c>
      <c r="GC23" s="46">
        <v>0</v>
      </c>
      <c r="GD23" s="113"/>
      <c r="GE23" s="113"/>
      <c r="GF23" s="113"/>
      <c r="GG23" s="113"/>
      <c r="GH23" s="113"/>
      <c r="GI23" s="46">
        <v>0</v>
      </c>
      <c r="GJ23" s="113"/>
      <c r="GK23" s="113"/>
      <c r="GL23" s="113"/>
      <c r="GM23" s="113"/>
      <c r="GN23" s="113"/>
      <c r="GO23" s="46">
        <v>0</v>
      </c>
      <c r="GP23" s="113"/>
      <c r="GQ23" s="113"/>
      <c r="GR23" s="113"/>
      <c r="GS23" s="113"/>
      <c r="GT23" s="113"/>
      <c r="GU23" s="46">
        <v>0</v>
      </c>
      <c r="GV23" s="113"/>
      <c r="GW23" s="113"/>
      <c r="GX23" s="113"/>
      <c r="GY23" s="113"/>
      <c r="GZ23" s="113"/>
      <c r="HA23" s="46">
        <v>0</v>
      </c>
      <c r="HB23" s="113"/>
      <c r="HC23" s="113"/>
      <c r="HD23" s="113"/>
      <c r="HE23" s="113"/>
      <c r="HF23" s="113"/>
      <c r="HG23" s="46">
        <v>0</v>
      </c>
      <c r="HH23" s="113"/>
      <c r="HI23" s="113"/>
      <c r="HJ23" s="113"/>
      <c r="HK23" s="113"/>
      <c r="HL23" s="113"/>
      <c r="HM23" s="121"/>
      <c r="HN23" s="121"/>
      <c r="LM23" t="str">
        <v/>
      </c>
      <c r="LN23" t="str">
        <v/>
      </c>
      <c r="LO23" t="str">
        <v/>
      </c>
    </row>
    <row r="24" spans="30:327">
      <c r="AD24" t="s">
        <v>113</v>
      </c>
      <c r="AE24" t="s">
        <v>22911</v>
      </c>
      <c r="AF24" s="46">
        <v>0</v>
      </c>
      <c r="AG24" s="113"/>
      <c r="AH24" s="113"/>
      <c r="AI24" s="113"/>
      <c r="AJ24" s="113"/>
      <c r="AK24" s="113"/>
      <c r="AL24" s="46">
        <v>0</v>
      </c>
      <c r="AM24" s="113"/>
      <c r="AN24" s="113"/>
      <c r="AO24" s="113"/>
      <c r="AP24" s="113"/>
      <c r="AQ24" s="113"/>
      <c r="AR24" s="46">
        <v>0</v>
      </c>
      <c r="AS24" s="113"/>
      <c r="AT24" s="113"/>
      <c r="AU24" s="113"/>
      <c r="AV24" s="113"/>
      <c r="AW24" s="113"/>
      <c r="AX24" s="46">
        <v>0</v>
      </c>
      <c r="AY24" s="113"/>
      <c r="AZ24" s="113"/>
      <c r="BA24" s="113"/>
      <c r="BB24" s="113"/>
      <c r="BC24" s="113"/>
      <c r="BD24" s="46">
        <v>0</v>
      </c>
      <c r="BE24" s="113"/>
      <c r="BF24" s="113"/>
      <c r="BG24" s="113"/>
      <c r="BH24" s="113"/>
      <c r="BI24" s="113"/>
      <c r="BJ24" s="46">
        <v>0</v>
      </c>
      <c r="BK24" s="113"/>
      <c r="BL24" s="113"/>
      <c r="BM24" s="113"/>
      <c r="BN24" s="113"/>
      <c r="BO24" s="113"/>
      <c r="BP24" s="121"/>
      <c r="BQ24" s="121"/>
      <c r="GA24" t="s">
        <v>113</v>
      </c>
      <c r="GB24" t="s">
        <v>22911</v>
      </c>
      <c r="GC24" s="46">
        <v>0</v>
      </c>
      <c r="GD24" s="113"/>
      <c r="GE24" s="113"/>
      <c r="GF24" s="113"/>
      <c r="GG24" s="113"/>
      <c r="GH24" s="113"/>
      <c r="GI24" s="46">
        <v>0</v>
      </c>
      <c r="GJ24" s="113"/>
      <c r="GK24" s="113"/>
      <c r="GL24" s="113"/>
      <c r="GM24" s="113"/>
      <c r="GN24" s="113"/>
      <c r="GO24" s="46">
        <v>0</v>
      </c>
      <c r="GP24" s="113"/>
      <c r="GQ24" s="113"/>
      <c r="GR24" s="113"/>
      <c r="GS24" s="113"/>
      <c r="GT24" s="113"/>
      <c r="GU24" s="46">
        <v>0</v>
      </c>
      <c r="GV24" s="113"/>
      <c r="GW24" s="113"/>
      <c r="GX24" s="113"/>
      <c r="GY24" s="113"/>
      <c r="GZ24" s="113"/>
      <c r="HA24" s="46">
        <v>0</v>
      </c>
      <c r="HB24" s="113"/>
      <c r="HC24" s="113"/>
      <c r="HD24" s="113"/>
      <c r="HE24" s="113"/>
      <c r="HF24" s="113"/>
      <c r="HG24" s="46">
        <v>0</v>
      </c>
      <c r="HH24" s="113"/>
      <c r="HI24" s="113"/>
      <c r="HJ24" s="113"/>
      <c r="HK24" s="113"/>
      <c r="HL24" s="113"/>
      <c r="HM24" s="121"/>
      <c r="HN24" s="121"/>
      <c r="LM24" t="str">
        <v/>
      </c>
      <c r="LN24" t="str">
        <v/>
      </c>
      <c r="LO24" t="str">
        <v/>
      </c>
    </row>
    <row r="25" spans="30:327">
      <c r="AD25" t="s">
        <v>113</v>
      </c>
      <c r="AE25" t="s">
        <v>22912</v>
      </c>
      <c r="AF25" s="46">
        <v>0</v>
      </c>
      <c r="AG25" s="113"/>
      <c r="AH25" s="113"/>
      <c r="AI25" s="113"/>
      <c r="AJ25" s="113"/>
      <c r="AK25" s="113"/>
      <c r="AL25" s="46">
        <v>0</v>
      </c>
      <c r="AM25" s="113"/>
      <c r="AN25" s="113"/>
      <c r="AO25" s="113"/>
      <c r="AP25" s="113"/>
      <c r="AQ25" s="113"/>
      <c r="AR25" s="46">
        <v>0</v>
      </c>
      <c r="AS25" s="113"/>
      <c r="AT25" s="113"/>
      <c r="AU25" s="113"/>
      <c r="AV25" s="113"/>
      <c r="AW25" s="113"/>
      <c r="AX25" s="46">
        <v>0</v>
      </c>
      <c r="AY25" s="113"/>
      <c r="AZ25" s="113"/>
      <c r="BA25" s="113"/>
      <c r="BB25" s="113"/>
      <c r="BC25" s="113"/>
      <c r="BD25" s="46">
        <v>0</v>
      </c>
      <c r="BE25" s="113"/>
      <c r="BF25" s="113"/>
      <c r="BG25" s="113"/>
      <c r="BH25" s="113"/>
      <c r="BI25" s="113"/>
      <c r="BJ25" s="46">
        <v>0</v>
      </c>
      <c r="BK25" s="113"/>
      <c r="BL25" s="113"/>
      <c r="BM25" s="113"/>
      <c r="BN25" s="113"/>
      <c r="BO25" s="113"/>
      <c r="BP25" s="121"/>
      <c r="BQ25" s="121"/>
      <c r="GA25" t="s">
        <v>113</v>
      </c>
      <c r="GB25" t="s">
        <v>22912</v>
      </c>
      <c r="GC25" s="46">
        <v>0</v>
      </c>
      <c r="GD25" s="113"/>
      <c r="GE25" s="113"/>
      <c r="GF25" s="113"/>
      <c r="GG25" s="113"/>
      <c r="GH25" s="113"/>
      <c r="GI25" s="46">
        <v>0</v>
      </c>
      <c r="GJ25" s="113"/>
      <c r="GK25" s="113"/>
      <c r="GL25" s="113"/>
      <c r="GM25" s="113"/>
      <c r="GN25" s="113"/>
      <c r="GO25" s="46">
        <v>0</v>
      </c>
      <c r="GP25" s="113"/>
      <c r="GQ25" s="113"/>
      <c r="GR25" s="113"/>
      <c r="GS25" s="113"/>
      <c r="GT25" s="113"/>
      <c r="GU25" s="46">
        <v>0</v>
      </c>
      <c r="GV25" s="113"/>
      <c r="GW25" s="113"/>
      <c r="GX25" s="113"/>
      <c r="GY25" s="113"/>
      <c r="GZ25" s="113"/>
      <c r="HA25" s="46">
        <v>0</v>
      </c>
      <c r="HB25" s="113"/>
      <c r="HC25" s="113"/>
      <c r="HD25" s="113"/>
      <c r="HE25" s="113"/>
      <c r="HF25" s="113"/>
      <c r="HG25" s="46">
        <v>0</v>
      </c>
      <c r="HH25" s="113"/>
      <c r="HI25" s="113"/>
      <c r="HJ25" s="113"/>
      <c r="HK25" s="113"/>
      <c r="HL25" s="113"/>
      <c r="HM25" s="121"/>
      <c r="HN25" s="121"/>
      <c r="LM25" t="str">
        <v/>
      </c>
      <c r="LN25" t="str">
        <v/>
      </c>
      <c r="LO25" t="str">
        <v/>
      </c>
    </row>
    <row r="26" spans="30:327">
      <c r="AD26" t="s">
        <v>113</v>
      </c>
      <c r="AE26" t="s">
        <v>22913</v>
      </c>
      <c r="AF26" s="46">
        <v>0</v>
      </c>
      <c r="AG26" s="113"/>
      <c r="AH26" s="113"/>
      <c r="AI26" s="113"/>
      <c r="AJ26" s="113"/>
      <c r="AK26" s="113"/>
      <c r="AL26" s="46">
        <v>0</v>
      </c>
      <c r="AM26" s="113"/>
      <c r="AN26" s="113"/>
      <c r="AO26" s="113"/>
      <c r="AP26" s="113"/>
      <c r="AQ26" s="113"/>
      <c r="AR26" s="46">
        <v>0</v>
      </c>
      <c r="AS26" s="113"/>
      <c r="AT26" s="113"/>
      <c r="AU26" s="113"/>
      <c r="AV26" s="113"/>
      <c r="AW26" s="113"/>
      <c r="AX26" s="46">
        <v>0</v>
      </c>
      <c r="AY26" s="113"/>
      <c r="AZ26" s="113"/>
      <c r="BA26" s="113"/>
      <c r="BB26" s="113"/>
      <c r="BC26" s="113"/>
      <c r="BD26" s="46">
        <v>0</v>
      </c>
      <c r="BE26" s="113"/>
      <c r="BF26" s="113"/>
      <c r="BG26" s="113"/>
      <c r="BH26" s="113"/>
      <c r="BI26" s="113"/>
      <c r="BJ26" s="46">
        <v>0</v>
      </c>
      <c r="BK26" s="113"/>
      <c r="BL26" s="113"/>
      <c r="BM26" s="113"/>
      <c r="BN26" s="113"/>
      <c r="BO26" s="113"/>
      <c r="BP26" s="121"/>
      <c r="BQ26" s="121"/>
      <c r="GA26" t="s">
        <v>113</v>
      </c>
      <c r="GB26" t="s">
        <v>22913</v>
      </c>
      <c r="GC26" s="46">
        <v>0</v>
      </c>
      <c r="GD26" s="113"/>
      <c r="GE26" s="113"/>
      <c r="GF26" s="113"/>
      <c r="GG26" s="113"/>
      <c r="GH26" s="113"/>
      <c r="GI26" s="46">
        <v>0</v>
      </c>
      <c r="GJ26" s="113"/>
      <c r="GK26" s="113"/>
      <c r="GL26" s="113"/>
      <c r="GM26" s="113"/>
      <c r="GN26" s="113"/>
      <c r="GO26" s="46">
        <v>0</v>
      </c>
      <c r="GP26" s="113"/>
      <c r="GQ26" s="113"/>
      <c r="GR26" s="113"/>
      <c r="GS26" s="113"/>
      <c r="GT26" s="113"/>
      <c r="GU26" s="46">
        <v>0</v>
      </c>
      <c r="GV26" s="113"/>
      <c r="GW26" s="113"/>
      <c r="GX26" s="113"/>
      <c r="GY26" s="113"/>
      <c r="GZ26" s="113"/>
      <c r="HA26" s="46">
        <v>0</v>
      </c>
      <c r="HB26" s="113"/>
      <c r="HC26" s="113"/>
      <c r="HD26" s="113"/>
      <c r="HE26" s="113"/>
      <c r="HF26" s="113"/>
      <c r="HG26" s="46">
        <v>0</v>
      </c>
      <c r="HH26" s="113"/>
      <c r="HI26" s="113"/>
      <c r="HJ26" s="113"/>
      <c r="HK26" s="113"/>
      <c r="HL26" s="113"/>
      <c r="HM26" s="121"/>
      <c r="HN26" s="121"/>
      <c r="LM26" t="str">
        <v/>
      </c>
      <c r="LN26" t="str">
        <v/>
      </c>
      <c r="LO26" t="str">
        <v/>
      </c>
    </row>
    <row r="27" spans="30:327">
      <c r="AD27" t="s">
        <v>113</v>
      </c>
      <c r="AE27" t="s">
        <v>22914</v>
      </c>
      <c r="AF27" s="46">
        <v>0</v>
      </c>
      <c r="AG27" s="113"/>
      <c r="AH27" s="113"/>
      <c r="AI27" s="113"/>
      <c r="AJ27" s="113"/>
      <c r="AK27" s="113"/>
      <c r="AL27" s="46">
        <v>0</v>
      </c>
      <c r="AM27" s="113"/>
      <c r="AN27" s="113"/>
      <c r="AO27" s="113"/>
      <c r="AP27" s="113"/>
      <c r="AQ27" s="113"/>
      <c r="AR27" s="46">
        <v>0</v>
      </c>
      <c r="AS27" s="113"/>
      <c r="AT27" s="113"/>
      <c r="AU27" s="113"/>
      <c r="AV27" s="113"/>
      <c r="AW27" s="113"/>
      <c r="AX27" s="46">
        <v>0</v>
      </c>
      <c r="AY27" s="113"/>
      <c r="AZ27" s="113"/>
      <c r="BA27" s="113"/>
      <c r="BB27" s="113"/>
      <c r="BC27" s="113"/>
      <c r="BD27" s="46">
        <v>0</v>
      </c>
      <c r="BE27" s="113"/>
      <c r="BF27" s="113"/>
      <c r="BG27" s="113"/>
      <c r="BH27" s="113"/>
      <c r="BI27" s="113"/>
      <c r="BJ27" s="46">
        <v>0</v>
      </c>
      <c r="BK27" s="113"/>
      <c r="BL27" s="113"/>
      <c r="BM27" s="113"/>
      <c r="BN27" s="113"/>
      <c r="BO27" s="113"/>
      <c r="BP27" s="121"/>
      <c r="BQ27" s="121"/>
      <c r="GA27" t="s">
        <v>113</v>
      </c>
      <c r="GB27" t="s">
        <v>22914</v>
      </c>
      <c r="GC27" s="46">
        <v>0</v>
      </c>
      <c r="GD27" s="113"/>
      <c r="GE27" s="113"/>
      <c r="GF27" s="113"/>
      <c r="GG27" s="113"/>
      <c r="GH27" s="113"/>
      <c r="GI27" s="46">
        <v>0</v>
      </c>
      <c r="GJ27" s="113"/>
      <c r="GK27" s="113"/>
      <c r="GL27" s="113"/>
      <c r="GM27" s="113"/>
      <c r="GN27" s="113"/>
      <c r="GO27" s="46">
        <v>0</v>
      </c>
      <c r="GP27" s="113"/>
      <c r="GQ27" s="113"/>
      <c r="GR27" s="113"/>
      <c r="GS27" s="113"/>
      <c r="GT27" s="113"/>
      <c r="GU27" s="46">
        <v>0</v>
      </c>
      <c r="GV27" s="113"/>
      <c r="GW27" s="113"/>
      <c r="GX27" s="113"/>
      <c r="GY27" s="113"/>
      <c r="GZ27" s="113"/>
      <c r="HA27" s="46">
        <v>0</v>
      </c>
      <c r="HB27" s="113"/>
      <c r="HC27" s="113"/>
      <c r="HD27" s="113"/>
      <c r="HE27" s="113"/>
      <c r="HF27" s="113"/>
      <c r="HG27" s="46">
        <v>0</v>
      </c>
      <c r="HH27" s="113"/>
      <c r="HI27" s="113"/>
      <c r="HJ27" s="113"/>
      <c r="HK27" s="113"/>
      <c r="HL27" s="113"/>
      <c r="HM27" s="121"/>
      <c r="HN27" s="121"/>
      <c r="LM27" t="str">
        <v/>
      </c>
      <c r="LN27" t="str">
        <v/>
      </c>
      <c r="LO27" t="str">
        <v/>
      </c>
    </row>
    <row r="28" spans="30:327">
      <c r="AD28" t="s">
        <v>113</v>
      </c>
      <c r="AE28" t="s">
        <v>22915</v>
      </c>
      <c r="AF28" s="46">
        <v>0</v>
      </c>
      <c r="AG28" s="113"/>
      <c r="AH28" s="113"/>
      <c r="AI28" s="113"/>
      <c r="AJ28" s="113"/>
      <c r="AK28" s="113"/>
      <c r="AL28" s="46">
        <v>0</v>
      </c>
      <c r="AM28" s="113"/>
      <c r="AN28" s="113"/>
      <c r="AO28" s="113"/>
      <c r="AP28" s="113"/>
      <c r="AQ28" s="113"/>
      <c r="AR28" s="46">
        <v>0</v>
      </c>
      <c r="AS28" s="113"/>
      <c r="AT28" s="113"/>
      <c r="AU28" s="113"/>
      <c r="AV28" s="113"/>
      <c r="AW28" s="113"/>
      <c r="AX28" s="46">
        <v>0</v>
      </c>
      <c r="AY28" s="113"/>
      <c r="AZ28" s="113"/>
      <c r="BA28" s="113"/>
      <c r="BB28" s="113"/>
      <c r="BC28" s="113"/>
      <c r="BD28" s="46">
        <v>0</v>
      </c>
      <c r="BE28" s="113"/>
      <c r="BF28" s="113"/>
      <c r="BG28" s="113"/>
      <c r="BH28" s="113"/>
      <c r="BI28" s="113"/>
      <c r="BJ28" s="46">
        <v>0</v>
      </c>
      <c r="BK28" s="113"/>
      <c r="BL28" s="113"/>
      <c r="BM28" s="113"/>
      <c r="BN28" s="113"/>
      <c r="BO28" s="113"/>
      <c r="BP28" s="121"/>
      <c r="BQ28" s="121"/>
      <c r="GA28" t="s">
        <v>113</v>
      </c>
      <c r="GB28" t="s">
        <v>22915</v>
      </c>
      <c r="GC28" s="46">
        <v>0</v>
      </c>
      <c r="GD28" s="113"/>
      <c r="GE28" s="113"/>
      <c r="GF28" s="113"/>
      <c r="GG28" s="113"/>
      <c r="GH28" s="113"/>
      <c r="GI28" s="46">
        <v>0</v>
      </c>
      <c r="GJ28" s="113"/>
      <c r="GK28" s="113"/>
      <c r="GL28" s="113"/>
      <c r="GM28" s="113"/>
      <c r="GN28" s="113"/>
      <c r="GO28" s="46">
        <v>0</v>
      </c>
      <c r="GP28" s="113"/>
      <c r="GQ28" s="113"/>
      <c r="GR28" s="113"/>
      <c r="GS28" s="113"/>
      <c r="GT28" s="113"/>
      <c r="GU28" s="46">
        <v>0</v>
      </c>
      <c r="GV28" s="113"/>
      <c r="GW28" s="113"/>
      <c r="GX28" s="113"/>
      <c r="GY28" s="113"/>
      <c r="GZ28" s="113"/>
      <c r="HA28" s="46">
        <v>0</v>
      </c>
      <c r="HB28" s="113"/>
      <c r="HC28" s="113"/>
      <c r="HD28" s="113"/>
      <c r="HE28" s="113"/>
      <c r="HF28" s="113"/>
      <c r="HG28" s="46">
        <v>0</v>
      </c>
      <c r="HH28" s="113"/>
      <c r="HI28" s="113"/>
      <c r="HJ28" s="113"/>
      <c r="HK28" s="113"/>
      <c r="HL28" s="113"/>
      <c r="HM28" s="121"/>
      <c r="HN28" s="121"/>
      <c r="LM28" t="str">
        <v/>
      </c>
      <c r="LN28" t="str">
        <v/>
      </c>
      <c r="LO28" t="str">
        <v/>
      </c>
    </row>
    <row r="29" spans="30:327">
      <c r="AD29" t="s">
        <v>113</v>
      </c>
      <c r="AE29" t="s">
        <v>22916</v>
      </c>
      <c r="AF29" s="46">
        <v>0</v>
      </c>
      <c r="AG29" s="113"/>
      <c r="AH29" s="113"/>
      <c r="AI29" s="113"/>
      <c r="AJ29" s="113"/>
      <c r="AK29" s="113"/>
      <c r="AL29" s="46">
        <v>0</v>
      </c>
      <c r="AM29" s="113"/>
      <c r="AN29" s="113"/>
      <c r="AO29" s="113"/>
      <c r="AP29" s="113"/>
      <c r="AQ29" s="113"/>
      <c r="AR29" s="46">
        <v>0</v>
      </c>
      <c r="AS29" s="113"/>
      <c r="AT29" s="113"/>
      <c r="AU29" s="113"/>
      <c r="AV29" s="113"/>
      <c r="AW29" s="113"/>
      <c r="AX29" s="46">
        <v>0</v>
      </c>
      <c r="AY29" s="113"/>
      <c r="AZ29" s="113"/>
      <c r="BA29" s="113"/>
      <c r="BB29" s="113"/>
      <c r="BC29" s="113"/>
      <c r="BD29" s="46">
        <v>0</v>
      </c>
      <c r="BE29" s="113"/>
      <c r="BF29" s="113"/>
      <c r="BG29" s="113"/>
      <c r="BH29" s="113"/>
      <c r="BI29" s="113"/>
      <c r="BJ29" s="46">
        <v>0</v>
      </c>
      <c r="BK29" s="113"/>
      <c r="BL29" s="113"/>
      <c r="BM29" s="113"/>
      <c r="BN29" s="113"/>
      <c r="BO29" s="113"/>
      <c r="BP29" s="121"/>
      <c r="BQ29" s="121"/>
      <c r="GA29" t="s">
        <v>113</v>
      </c>
      <c r="GB29" t="s">
        <v>22916</v>
      </c>
      <c r="GC29" s="46">
        <v>0</v>
      </c>
      <c r="GD29" s="113"/>
      <c r="GE29" s="113"/>
      <c r="GF29" s="113"/>
      <c r="GG29" s="113"/>
      <c r="GH29" s="113"/>
      <c r="GI29" s="46">
        <v>0</v>
      </c>
      <c r="GJ29" s="113"/>
      <c r="GK29" s="113"/>
      <c r="GL29" s="113"/>
      <c r="GM29" s="113"/>
      <c r="GN29" s="113"/>
      <c r="GO29" s="46">
        <v>0</v>
      </c>
      <c r="GP29" s="113"/>
      <c r="GQ29" s="113"/>
      <c r="GR29" s="113"/>
      <c r="GS29" s="113"/>
      <c r="GT29" s="113"/>
      <c r="GU29" s="46">
        <v>0</v>
      </c>
      <c r="GV29" s="113"/>
      <c r="GW29" s="113"/>
      <c r="GX29" s="113"/>
      <c r="GY29" s="113"/>
      <c r="GZ29" s="113"/>
      <c r="HA29" s="46">
        <v>0</v>
      </c>
      <c r="HB29" s="113"/>
      <c r="HC29" s="113"/>
      <c r="HD29" s="113"/>
      <c r="HE29" s="113"/>
      <c r="HF29" s="113"/>
      <c r="HG29" s="46">
        <v>0</v>
      </c>
      <c r="HH29" s="113"/>
      <c r="HI29" s="113"/>
      <c r="HJ29" s="113"/>
      <c r="HK29" s="113"/>
      <c r="HL29" s="113"/>
      <c r="HM29" s="121"/>
      <c r="HN29" s="121"/>
      <c r="LM29" t="str">
        <v/>
      </c>
      <c r="LN29" t="str">
        <v/>
      </c>
      <c r="LO29" t="str">
        <v/>
      </c>
    </row>
    <row r="30" spans="30:327">
      <c r="AD30" t="s">
        <v>113</v>
      </c>
      <c r="AE30" t="s">
        <v>22917</v>
      </c>
      <c r="AF30" s="46">
        <v>0</v>
      </c>
      <c r="AG30" s="113"/>
      <c r="AH30" s="113"/>
      <c r="AI30" s="113"/>
      <c r="AJ30" s="113"/>
      <c r="AK30" s="113"/>
      <c r="AL30" s="46">
        <v>0</v>
      </c>
      <c r="AM30" s="113"/>
      <c r="AN30" s="113"/>
      <c r="AO30" s="113"/>
      <c r="AP30" s="113"/>
      <c r="AQ30" s="113"/>
      <c r="AR30" s="46">
        <v>0</v>
      </c>
      <c r="AS30" s="113"/>
      <c r="AT30" s="113"/>
      <c r="AU30" s="113"/>
      <c r="AV30" s="113"/>
      <c r="AW30" s="113"/>
      <c r="AX30" s="46">
        <v>0</v>
      </c>
      <c r="AY30" s="113"/>
      <c r="AZ30" s="113"/>
      <c r="BA30" s="113"/>
      <c r="BB30" s="113"/>
      <c r="BC30" s="113"/>
      <c r="BD30" s="46">
        <v>0</v>
      </c>
      <c r="BE30" s="113"/>
      <c r="BF30" s="113"/>
      <c r="BG30" s="113"/>
      <c r="BH30" s="113"/>
      <c r="BI30" s="113"/>
      <c r="BJ30" s="46">
        <v>0</v>
      </c>
      <c r="BK30" s="113"/>
      <c r="BL30" s="113"/>
      <c r="BM30" s="113"/>
      <c r="BN30" s="113"/>
      <c r="BO30" s="113"/>
      <c r="BP30" s="121"/>
      <c r="BQ30" s="121"/>
      <c r="GA30" t="s">
        <v>113</v>
      </c>
      <c r="GB30" t="s">
        <v>22917</v>
      </c>
      <c r="GC30" s="46">
        <v>0</v>
      </c>
      <c r="GD30" s="113"/>
      <c r="GE30" s="113"/>
      <c r="GF30" s="113"/>
      <c r="GG30" s="113"/>
      <c r="GH30" s="113"/>
      <c r="GI30" s="46">
        <v>0</v>
      </c>
      <c r="GJ30" s="113"/>
      <c r="GK30" s="113"/>
      <c r="GL30" s="113"/>
      <c r="GM30" s="113"/>
      <c r="GN30" s="113"/>
      <c r="GO30" s="46">
        <v>0</v>
      </c>
      <c r="GP30" s="113"/>
      <c r="GQ30" s="113"/>
      <c r="GR30" s="113"/>
      <c r="GS30" s="113"/>
      <c r="GT30" s="113"/>
      <c r="GU30" s="46">
        <v>0</v>
      </c>
      <c r="GV30" s="113"/>
      <c r="GW30" s="113"/>
      <c r="GX30" s="113"/>
      <c r="GY30" s="113"/>
      <c r="GZ30" s="113"/>
      <c r="HA30" s="46">
        <v>0</v>
      </c>
      <c r="HB30" s="113"/>
      <c r="HC30" s="113"/>
      <c r="HD30" s="113"/>
      <c r="HE30" s="113"/>
      <c r="HF30" s="113"/>
      <c r="HG30" s="46">
        <v>0</v>
      </c>
      <c r="HH30" s="113"/>
      <c r="HI30" s="113"/>
      <c r="HJ30" s="113"/>
      <c r="HK30" s="113"/>
      <c r="HL30" s="113"/>
      <c r="HM30" s="121"/>
      <c r="HN30" s="121"/>
      <c r="LM30" t="str">
        <v/>
      </c>
      <c r="LN30" t="str">
        <v/>
      </c>
      <c r="LO30" t="str">
        <v/>
      </c>
    </row>
    <row r="31" spans="30:327">
      <c r="AD31" t="s">
        <v>113</v>
      </c>
      <c r="AE31" t="s">
        <v>22918</v>
      </c>
      <c r="AF31" s="46">
        <v>0</v>
      </c>
      <c r="AG31" s="113"/>
      <c r="AH31" s="113"/>
      <c r="AI31" s="113"/>
      <c r="AJ31" s="113"/>
      <c r="AK31" s="113"/>
      <c r="AL31" s="46">
        <v>0</v>
      </c>
      <c r="AM31" s="113"/>
      <c r="AN31" s="113"/>
      <c r="AO31" s="113"/>
      <c r="AP31" s="113"/>
      <c r="AQ31" s="113"/>
      <c r="AR31" s="46">
        <v>0</v>
      </c>
      <c r="AS31" s="113"/>
      <c r="AT31" s="113"/>
      <c r="AU31" s="113"/>
      <c r="AV31" s="113"/>
      <c r="AW31" s="113"/>
      <c r="AX31" s="46">
        <v>0</v>
      </c>
      <c r="AY31" s="113"/>
      <c r="AZ31" s="113"/>
      <c r="BA31" s="113"/>
      <c r="BB31" s="113"/>
      <c r="BC31" s="113"/>
      <c r="BD31" s="46">
        <v>0</v>
      </c>
      <c r="BE31" s="113"/>
      <c r="BF31" s="113"/>
      <c r="BG31" s="113"/>
      <c r="BH31" s="113"/>
      <c r="BI31" s="113"/>
      <c r="BJ31" s="46">
        <v>0</v>
      </c>
      <c r="BK31" s="113"/>
      <c r="BL31" s="113"/>
      <c r="BM31" s="113"/>
      <c r="BN31" s="113"/>
      <c r="BO31" s="113"/>
      <c r="BP31" s="121"/>
      <c r="BQ31" s="121"/>
      <c r="GA31" t="s">
        <v>113</v>
      </c>
      <c r="GB31" t="s">
        <v>22918</v>
      </c>
      <c r="GC31" s="46">
        <v>0</v>
      </c>
      <c r="GD31" s="113"/>
      <c r="GE31" s="113"/>
      <c r="GF31" s="113"/>
      <c r="GG31" s="113"/>
      <c r="GH31" s="113"/>
      <c r="GI31" s="46">
        <v>0</v>
      </c>
      <c r="GJ31" s="113"/>
      <c r="GK31" s="113"/>
      <c r="GL31" s="113"/>
      <c r="GM31" s="113"/>
      <c r="GN31" s="113"/>
      <c r="GO31" s="46">
        <v>0</v>
      </c>
      <c r="GP31" s="113"/>
      <c r="GQ31" s="113"/>
      <c r="GR31" s="113"/>
      <c r="GS31" s="113"/>
      <c r="GT31" s="113"/>
      <c r="GU31" s="46">
        <v>0</v>
      </c>
      <c r="GV31" s="113"/>
      <c r="GW31" s="113"/>
      <c r="GX31" s="113"/>
      <c r="GY31" s="113"/>
      <c r="GZ31" s="113"/>
      <c r="HA31" s="46">
        <v>0</v>
      </c>
      <c r="HB31" s="113"/>
      <c r="HC31" s="113"/>
      <c r="HD31" s="113"/>
      <c r="HE31" s="113"/>
      <c r="HF31" s="113"/>
      <c r="HG31" s="46">
        <v>0</v>
      </c>
      <c r="HH31" s="113"/>
      <c r="HI31" s="113"/>
      <c r="HJ31" s="113"/>
      <c r="HK31" s="113"/>
      <c r="HL31" s="113"/>
      <c r="HM31" s="121"/>
      <c r="HN31" s="121"/>
      <c r="LM31" t="str">
        <v/>
      </c>
      <c r="LN31" t="str">
        <v/>
      </c>
      <c r="LO31" t="str">
        <v/>
      </c>
    </row>
    <row r="32" spans="30:327">
      <c r="AD32" t="s">
        <v>113</v>
      </c>
      <c r="AE32" t="s">
        <v>22919</v>
      </c>
      <c r="AF32" s="46">
        <v>0</v>
      </c>
      <c r="AG32" s="113"/>
      <c r="AH32" s="113"/>
      <c r="AI32" s="113"/>
      <c r="AJ32" s="113"/>
      <c r="AK32" s="113"/>
      <c r="AL32" s="46">
        <v>0</v>
      </c>
      <c r="AM32" s="113"/>
      <c r="AN32" s="113"/>
      <c r="AO32" s="113"/>
      <c r="AP32" s="113"/>
      <c r="AQ32" s="113"/>
      <c r="AR32" s="46">
        <v>0</v>
      </c>
      <c r="AS32" s="113"/>
      <c r="AT32" s="113"/>
      <c r="AU32" s="113"/>
      <c r="AV32" s="113"/>
      <c r="AW32" s="113"/>
      <c r="AX32" s="46">
        <v>0</v>
      </c>
      <c r="AY32" s="113"/>
      <c r="AZ32" s="113"/>
      <c r="BA32" s="113"/>
      <c r="BB32" s="113"/>
      <c r="BC32" s="113"/>
      <c r="BD32" s="46">
        <v>0</v>
      </c>
      <c r="BE32" s="113"/>
      <c r="BF32" s="113"/>
      <c r="BG32" s="113"/>
      <c r="BH32" s="113"/>
      <c r="BI32" s="113"/>
      <c r="BJ32" s="46">
        <v>0</v>
      </c>
      <c r="BK32" s="113"/>
      <c r="BL32" s="113"/>
      <c r="BM32" s="113"/>
      <c r="BN32" s="113"/>
      <c r="BO32" s="113"/>
      <c r="BP32" s="121"/>
      <c r="BQ32" s="121"/>
      <c r="GA32" t="s">
        <v>113</v>
      </c>
      <c r="GB32" t="s">
        <v>22919</v>
      </c>
      <c r="GC32" s="46">
        <v>0</v>
      </c>
      <c r="GD32" s="113"/>
      <c r="GE32" s="113"/>
      <c r="GF32" s="113"/>
      <c r="GG32" s="113"/>
      <c r="GH32" s="113"/>
      <c r="GI32" s="46">
        <v>0</v>
      </c>
      <c r="GJ32" s="113"/>
      <c r="GK32" s="113"/>
      <c r="GL32" s="113"/>
      <c r="GM32" s="113"/>
      <c r="GN32" s="113"/>
      <c r="GO32" s="46">
        <v>0</v>
      </c>
      <c r="GP32" s="113"/>
      <c r="GQ32" s="113"/>
      <c r="GR32" s="113"/>
      <c r="GS32" s="113"/>
      <c r="GT32" s="113"/>
      <c r="GU32" s="46">
        <v>0</v>
      </c>
      <c r="GV32" s="113"/>
      <c r="GW32" s="113"/>
      <c r="GX32" s="113"/>
      <c r="GY32" s="113"/>
      <c r="GZ32" s="113"/>
      <c r="HA32" s="46">
        <v>0</v>
      </c>
      <c r="HB32" s="113"/>
      <c r="HC32" s="113"/>
      <c r="HD32" s="113"/>
      <c r="HE32" s="113"/>
      <c r="HF32" s="113"/>
      <c r="HG32" s="46">
        <v>0</v>
      </c>
      <c r="HH32" s="113"/>
      <c r="HI32" s="113"/>
      <c r="HJ32" s="113"/>
      <c r="HK32" s="113"/>
      <c r="HL32" s="113"/>
      <c r="HM32" s="121"/>
      <c r="HN32" s="121"/>
      <c r="LM32" t="str">
        <v/>
      </c>
      <c r="LN32" t="str">
        <v/>
      </c>
      <c r="LO32" t="str">
        <v/>
      </c>
    </row>
    <row r="33" spans="30:327">
      <c r="AD33" t="s">
        <v>113</v>
      </c>
      <c r="AE33" t="s">
        <v>22920</v>
      </c>
      <c r="AF33" s="46">
        <v>0</v>
      </c>
      <c r="AG33" s="113"/>
      <c r="AH33" s="113"/>
      <c r="AI33" s="113"/>
      <c r="AJ33" s="113"/>
      <c r="AK33" s="113"/>
      <c r="AL33" s="46">
        <v>0</v>
      </c>
      <c r="AM33" s="113"/>
      <c r="AN33" s="113"/>
      <c r="AO33" s="113"/>
      <c r="AP33" s="113"/>
      <c r="AQ33" s="113"/>
      <c r="AR33" s="46">
        <v>0</v>
      </c>
      <c r="AS33" s="113"/>
      <c r="AT33" s="113"/>
      <c r="AU33" s="113"/>
      <c r="AV33" s="113"/>
      <c r="AW33" s="113"/>
      <c r="AX33" s="46">
        <v>0</v>
      </c>
      <c r="AY33" s="113"/>
      <c r="AZ33" s="113"/>
      <c r="BA33" s="113"/>
      <c r="BB33" s="113"/>
      <c r="BC33" s="113"/>
      <c r="BD33" s="46">
        <v>0</v>
      </c>
      <c r="BE33" s="113"/>
      <c r="BF33" s="113"/>
      <c r="BG33" s="113"/>
      <c r="BH33" s="113"/>
      <c r="BI33" s="113"/>
      <c r="BJ33" s="46">
        <v>0</v>
      </c>
      <c r="BK33" s="113"/>
      <c r="BL33" s="113"/>
      <c r="BM33" s="113"/>
      <c r="BN33" s="113"/>
      <c r="BO33" s="113"/>
      <c r="BP33" s="121"/>
      <c r="BQ33" s="121"/>
      <c r="GA33" t="s">
        <v>113</v>
      </c>
      <c r="GB33" t="s">
        <v>22920</v>
      </c>
      <c r="GC33" s="46">
        <v>0</v>
      </c>
      <c r="GD33" s="113"/>
      <c r="GE33" s="113"/>
      <c r="GF33" s="113"/>
      <c r="GG33" s="113"/>
      <c r="GH33" s="113"/>
      <c r="GI33" s="46">
        <v>0</v>
      </c>
      <c r="GJ33" s="113"/>
      <c r="GK33" s="113"/>
      <c r="GL33" s="113"/>
      <c r="GM33" s="113"/>
      <c r="GN33" s="113"/>
      <c r="GO33" s="46">
        <v>0</v>
      </c>
      <c r="GP33" s="113"/>
      <c r="GQ33" s="113"/>
      <c r="GR33" s="113"/>
      <c r="GS33" s="113"/>
      <c r="GT33" s="113"/>
      <c r="GU33" s="46">
        <v>0</v>
      </c>
      <c r="GV33" s="113"/>
      <c r="GW33" s="113"/>
      <c r="GX33" s="113"/>
      <c r="GY33" s="113"/>
      <c r="GZ33" s="113"/>
      <c r="HA33" s="46">
        <v>0</v>
      </c>
      <c r="HB33" s="113"/>
      <c r="HC33" s="113"/>
      <c r="HD33" s="113"/>
      <c r="HE33" s="113"/>
      <c r="HF33" s="113"/>
      <c r="HG33" s="46">
        <v>0</v>
      </c>
      <c r="HH33" s="113"/>
      <c r="HI33" s="113"/>
      <c r="HJ33" s="113"/>
      <c r="HK33" s="113"/>
      <c r="HL33" s="113"/>
      <c r="HM33" s="121"/>
      <c r="HN33" s="121"/>
      <c r="LM33" t="str">
        <v/>
      </c>
      <c r="LN33" t="str">
        <v/>
      </c>
      <c r="LO33" t="str">
        <v/>
      </c>
    </row>
    <row r="34" spans="30:327">
      <c r="AD34" t="s">
        <v>113</v>
      </c>
      <c r="AE34" t="s">
        <v>22921</v>
      </c>
      <c r="AF34" s="46">
        <v>0</v>
      </c>
      <c r="AG34" s="113"/>
      <c r="AH34" s="113"/>
      <c r="AI34" s="113"/>
      <c r="AJ34" s="113"/>
      <c r="AK34" s="113"/>
      <c r="AL34" s="46">
        <v>0</v>
      </c>
      <c r="AM34" s="113"/>
      <c r="AN34" s="113"/>
      <c r="AO34" s="113"/>
      <c r="AP34" s="113"/>
      <c r="AQ34" s="113"/>
      <c r="AR34" s="46">
        <v>0</v>
      </c>
      <c r="AS34" s="113"/>
      <c r="AT34" s="113"/>
      <c r="AU34" s="113"/>
      <c r="AV34" s="113"/>
      <c r="AW34" s="113"/>
      <c r="AX34" s="46">
        <v>0</v>
      </c>
      <c r="AY34" s="113"/>
      <c r="AZ34" s="113"/>
      <c r="BA34" s="113"/>
      <c r="BB34" s="113"/>
      <c r="BC34" s="113"/>
      <c r="BD34" s="46">
        <v>0</v>
      </c>
      <c r="BE34" s="113"/>
      <c r="BF34" s="113"/>
      <c r="BG34" s="113"/>
      <c r="BH34" s="113"/>
      <c r="BI34" s="113"/>
      <c r="BJ34" s="46">
        <v>0</v>
      </c>
      <c r="BK34" s="113"/>
      <c r="BL34" s="113"/>
      <c r="BM34" s="113"/>
      <c r="BN34" s="113"/>
      <c r="BO34" s="113"/>
      <c r="BP34" s="121"/>
      <c r="BQ34" s="121"/>
      <c r="GA34" t="s">
        <v>113</v>
      </c>
      <c r="GB34" t="s">
        <v>22921</v>
      </c>
      <c r="GC34" s="46">
        <v>0</v>
      </c>
      <c r="GD34" s="113"/>
      <c r="GE34" s="113"/>
      <c r="GF34" s="113"/>
      <c r="GG34" s="113"/>
      <c r="GH34" s="113"/>
      <c r="GI34" s="46">
        <v>0</v>
      </c>
      <c r="GJ34" s="113"/>
      <c r="GK34" s="113"/>
      <c r="GL34" s="113"/>
      <c r="GM34" s="113"/>
      <c r="GN34" s="113"/>
      <c r="GO34" s="46">
        <v>0</v>
      </c>
      <c r="GP34" s="113"/>
      <c r="GQ34" s="113"/>
      <c r="GR34" s="113"/>
      <c r="GS34" s="113"/>
      <c r="GT34" s="113"/>
      <c r="GU34" s="46">
        <v>0</v>
      </c>
      <c r="GV34" s="113"/>
      <c r="GW34" s="113"/>
      <c r="GX34" s="113"/>
      <c r="GY34" s="113"/>
      <c r="GZ34" s="113"/>
      <c r="HA34" s="46">
        <v>0</v>
      </c>
      <c r="HB34" s="113"/>
      <c r="HC34" s="113"/>
      <c r="HD34" s="113"/>
      <c r="HE34" s="113"/>
      <c r="HF34" s="113"/>
      <c r="HG34" s="46">
        <v>0</v>
      </c>
      <c r="HH34" s="113"/>
      <c r="HI34" s="113"/>
      <c r="HJ34" s="113"/>
      <c r="HK34" s="113"/>
      <c r="HL34" s="113"/>
      <c r="HM34" s="121"/>
      <c r="HN34" s="121"/>
      <c r="LM34" t="str">
        <v/>
      </c>
      <c r="LN34" t="str">
        <v/>
      </c>
      <c r="LO34" t="str">
        <v/>
      </c>
    </row>
    <row r="35" spans="30:327">
      <c r="AD35" t="s">
        <v>113</v>
      </c>
      <c r="AE35" t="s">
        <v>22922</v>
      </c>
      <c r="AF35" s="46">
        <v>0</v>
      </c>
      <c r="AG35" s="113"/>
      <c r="AH35" s="113"/>
      <c r="AI35" s="113"/>
      <c r="AJ35" s="113"/>
      <c r="AK35" s="113"/>
      <c r="AL35" s="46">
        <v>0</v>
      </c>
      <c r="AM35" s="113"/>
      <c r="AN35" s="113"/>
      <c r="AO35" s="113"/>
      <c r="AP35" s="113"/>
      <c r="AQ35" s="113"/>
      <c r="AR35" s="46">
        <v>0</v>
      </c>
      <c r="AS35" s="113"/>
      <c r="AT35" s="113"/>
      <c r="AU35" s="113"/>
      <c r="AV35" s="113"/>
      <c r="AW35" s="113"/>
      <c r="AX35" s="46">
        <v>0</v>
      </c>
      <c r="AY35" s="113"/>
      <c r="AZ35" s="113"/>
      <c r="BA35" s="113"/>
      <c r="BB35" s="113"/>
      <c r="BC35" s="113"/>
      <c r="BD35" s="46">
        <v>0</v>
      </c>
      <c r="BE35" s="113"/>
      <c r="BF35" s="113"/>
      <c r="BG35" s="113"/>
      <c r="BH35" s="113"/>
      <c r="BI35" s="113"/>
      <c r="BJ35" s="46">
        <v>0</v>
      </c>
      <c r="BK35" s="113"/>
      <c r="BL35" s="113"/>
      <c r="BM35" s="113"/>
      <c r="BN35" s="113"/>
      <c r="BO35" s="113"/>
      <c r="BP35" s="121"/>
      <c r="BQ35" s="121"/>
      <c r="GA35" t="s">
        <v>113</v>
      </c>
      <c r="GB35" t="s">
        <v>22922</v>
      </c>
      <c r="GC35" s="46">
        <v>0</v>
      </c>
      <c r="GD35" s="113"/>
      <c r="GE35" s="113"/>
      <c r="GF35" s="113"/>
      <c r="GG35" s="113"/>
      <c r="GH35" s="113"/>
      <c r="GI35" s="46">
        <v>0</v>
      </c>
      <c r="GJ35" s="113"/>
      <c r="GK35" s="113"/>
      <c r="GL35" s="113"/>
      <c r="GM35" s="113"/>
      <c r="GN35" s="113"/>
      <c r="GO35" s="46">
        <v>0</v>
      </c>
      <c r="GP35" s="113"/>
      <c r="GQ35" s="113"/>
      <c r="GR35" s="113"/>
      <c r="GS35" s="113"/>
      <c r="GT35" s="113"/>
      <c r="GU35" s="46">
        <v>0</v>
      </c>
      <c r="GV35" s="113"/>
      <c r="GW35" s="113"/>
      <c r="GX35" s="113"/>
      <c r="GY35" s="113"/>
      <c r="GZ35" s="113"/>
      <c r="HA35" s="46">
        <v>0</v>
      </c>
      <c r="HB35" s="113"/>
      <c r="HC35" s="113"/>
      <c r="HD35" s="113"/>
      <c r="HE35" s="113"/>
      <c r="HF35" s="113"/>
      <c r="HG35" s="46">
        <v>0</v>
      </c>
      <c r="HH35" s="113"/>
      <c r="HI35" s="113"/>
      <c r="HJ35" s="113"/>
      <c r="HK35" s="113"/>
      <c r="HL35" s="113"/>
      <c r="HM35" s="121"/>
      <c r="HN35" s="121"/>
      <c r="LM35" t="str">
        <v/>
      </c>
      <c r="LN35" t="str">
        <v/>
      </c>
      <c r="LO35" t="str">
        <v/>
      </c>
    </row>
    <row r="36" spans="30:327">
      <c r="AD36" t="s">
        <v>113</v>
      </c>
      <c r="AE36" t="s">
        <v>22923</v>
      </c>
      <c r="AF36" s="46">
        <v>0</v>
      </c>
      <c r="AG36" s="113"/>
      <c r="AH36" s="113"/>
      <c r="AI36" s="113"/>
      <c r="AJ36" s="113"/>
      <c r="AK36" s="113"/>
      <c r="AL36" s="46">
        <v>0</v>
      </c>
      <c r="AM36" s="113"/>
      <c r="AN36" s="113"/>
      <c r="AO36" s="113"/>
      <c r="AP36" s="113"/>
      <c r="AQ36" s="113"/>
      <c r="AR36" s="46">
        <v>0</v>
      </c>
      <c r="AS36" s="113"/>
      <c r="AT36" s="113"/>
      <c r="AU36" s="113"/>
      <c r="AV36" s="113"/>
      <c r="AW36" s="113"/>
      <c r="AX36" s="46">
        <v>0</v>
      </c>
      <c r="AY36" s="113"/>
      <c r="AZ36" s="113"/>
      <c r="BA36" s="113"/>
      <c r="BB36" s="113"/>
      <c r="BC36" s="113"/>
      <c r="BD36" s="46">
        <v>0</v>
      </c>
      <c r="BE36" s="113"/>
      <c r="BF36" s="113"/>
      <c r="BG36" s="113"/>
      <c r="BH36" s="113"/>
      <c r="BI36" s="113"/>
      <c r="BJ36" s="46">
        <v>0</v>
      </c>
      <c r="BK36" s="113"/>
      <c r="BL36" s="113"/>
      <c r="BM36" s="113"/>
      <c r="BN36" s="113"/>
      <c r="BO36" s="113"/>
      <c r="BP36" s="121"/>
      <c r="BQ36" s="121"/>
      <c r="GA36" t="s">
        <v>113</v>
      </c>
      <c r="GB36" t="s">
        <v>22923</v>
      </c>
      <c r="GC36" s="46">
        <v>0</v>
      </c>
      <c r="GD36" s="113"/>
      <c r="GE36" s="113"/>
      <c r="GF36" s="113"/>
      <c r="GG36" s="113"/>
      <c r="GH36" s="113"/>
      <c r="GI36" s="46">
        <v>0</v>
      </c>
      <c r="GJ36" s="113"/>
      <c r="GK36" s="113"/>
      <c r="GL36" s="113"/>
      <c r="GM36" s="113"/>
      <c r="GN36" s="113"/>
      <c r="GO36" s="46">
        <v>0</v>
      </c>
      <c r="GP36" s="113"/>
      <c r="GQ36" s="113"/>
      <c r="GR36" s="113"/>
      <c r="GS36" s="113"/>
      <c r="GT36" s="113"/>
      <c r="GU36" s="46">
        <v>0</v>
      </c>
      <c r="GV36" s="113"/>
      <c r="GW36" s="113"/>
      <c r="GX36" s="113"/>
      <c r="GY36" s="113"/>
      <c r="GZ36" s="113"/>
      <c r="HA36" s="46">
        <v>0</v>
      </c>
      <c r="HB36" s="113"/>
      <c r="HC36" s="113"/>
      <c r="HD36" s="113"/>
      <c r="HE36" s="113"/>
      <c r="HF36" s="113"/>
      <c r="HG36" s="46">
        <v>0</v>
      </c>
      <c r="HH36" s="113"/>
      <c r="HI36" s="113"/>
      <c r="HJ36" s="113"/>
      <c r="HK36" s="113"/>
      <c r="HL36" s="113"/>
      <c r="HM36" s="121"/>
      <c r="HN36" s="121"/>
      <c r="LM36" t="str">
        <v/>
      </c>
      <c r="LN36" t="str">
        <v/>
      </c>
      <c r="LO36" t="str">
        <v/>
      </c>
    </row>
    <row r="37" spans="30:327">
      <c r="AD37" t="s">
        <v>113</v>
      </c>
      <c r="AE37" t="s">
        <v>22924</v>
      </c>
      <c r="AF37" s="46">
        <v>0</v>
      </c>
      <c r="AG37" s="113"/>
      <c r="AH37" s="113"/>
      <c r="AI37" s="113"/>
      <c r="AJ37" s="113"/>
      <c r="AK37" s="113"/>
      <c r="AL37" s="46">
        <v>0</v>
      </c>
      <c r="AM37" s="113"/>
      <c r="AN37" s="113"/>
      <c r="AO37" s="113"/>
      <c r="AP37" s="113"/>
      <c r="AQ37" s="113"/>
      <c r="AR37" s="46">
        <v>0</v>
      </c>
      <c r="AS37" s="113"/>
      <c r="AT37" s="113"/>
      <c r="AU37" s="113"/>
      <c r="AV37" s="113"/>
      <c r="AW37" s="113"/>
      <c r="AX37" s="46">
        <v>0</v>
      </c>
      <c r="AY37" s="113"/>
      <c r="AZ37" s="113"/>
      <c r="BA37" s="113"/>
      <c r="BB37" s="113"/>
      <c r="BC37" s="113"/>
      <c r="BD37" s="46">
        <v>0</v>
      </c>
      <c r="BE37" s="113"/>
      <c r="BF37" s="113"/>
      <c r="BG37" s="113"/>
      <c r="BH37" s="113"/>
      <c r="BI37" s="113"/>
      <c r="BJ37" s="46">
        <v>0</v>
      </c>
      <c r="BK37" s="113"/>
      <c r="BL37" s="113"/>
      <c r="BM37" s="113"/>
      <c r="BN37" s="113"/>
      <c r="BO37" s="113"/>
      <c r="BP37" s="121"/>
      <c r="BQ37" s="121"/>
      <c r="GA37" t="s">
        <v>113</v>
      </c>
      <c r="GB37" t="s">
        <v>22924</v>
      </c>
      <c r="GC37" s="46">
        <v>0</v>
      </c>
      <c r="GD37" s="113"/>
      <c r="GE37" s="113"/>
      <c r="GF37" s="113"/>
      <c r="GG37" s="113"/>
      <c r="GH37" s="113"/>
      <c r="GI37" s="46">
        <v>0</v>
      </c>
      <c r="GJ37" s="113"/>
      <c r="GK37" s="113"/>
      <c r="GL37" s="113"/>
      <c r="GM37" s="113"/>
      <c r="GN37" s="113"/>
      <c r="GO37" s="46">
        <v>0</v>
      </c>
      <c r="GP37" s="113"/>
      <c r="GQ37" s="113"/>
      <c r="GR37" s="113"/>
      <c r="GS37" s="113"/>
      <c r="GT37" s="113"/>
      <c r="GU37" s="46">
        <v>0</v>
      </c>
      <c r="GV37" s="113"/>
      <c r="GW37" s="113"/>
      <c r="GX37" s="113"/>
      <c r="GY37" s="113"/>
      <c r="GZ37" s="113"/>
      <c r="HA37" s="46">
        <v>0</v>
      </c>
      <c r="HB37" s="113"/>
      <c r="HC37" s="113"/>
      <c r="HD37" s="113"/>
      <c r="HE37" s="113"/>
      <c r="HF37" s="113"/>
      <c r="HG37" s="46">
        <v>0</v>
      </c>
      <c r="HH37" s="113"/>
      <c r="HI37" s="113"/>
      <c r="HJ37" s="113"/>
      <c r="HK37" s="113"/>
      <c r="HL37" s="113"/>
      <c r="HM37" s="121"/>
      <c r="HN37" s="121"/>
      <c r="LM37" t="str">
        <v/>
      </c>
      <c r="LN37" t="str">
        <v/>
      </c>
      <c r="LO37" t="str">
        <v/>
      </c>
    </row>
    <row r="38" spans="30:327">
      <c r="AD38" t="s">
        <v>113</v>
      </c>
      <c r="AE38" t="s">
        <v>22925</v>
      </c>
      <c r="AF38" s="46">
        <v>0</v>
      </c>
      <c r="AG38" s="113"/>
      <c r="AH38" s="113"/>
      <c r="AI38" s="113"/>
      <c r="AJ38" s="113"/>
      <c r="AK38" s="113"/>
      <c r="AL38" s="46">
        <v>0</v>
      </c>
      <c r="AM38" s="113"/>
      <c r="AN38" s="113"/>
      <c r="AO38" s="113"/>
      <c r="AP38" s="113"/>
      <c r="AQ38" s="113"/>
      <c r="AR38" s="46">
        <v>0</v>
      </c>
      <c r="AS38" s="113"/>
      <c r="AT38" s="113"/>
      <c r="AU38" s="113"/>
      <c r="AV38" s="113"/>
      <c r="AW38" s="113"/>
      <c r="AX38" s="46">
        <v>0</v>
      </c>
      <c r="AY38" s="113"/>
      <c r="AZ38" s="113"/>
      <c r="BA38" s="113"/>
      <c r="BB38" s="113"/>
      <c r="BC38" s="113"/>
      <c r="BD38" s="46">
        <v>0</v>
      </c>
      <c r="BE38" s="113"/>
      <c r="BF38" s="113"/>
      <c r="BG38" s="113"/>
      <c r="BH38" s="113"/>
      <c r="BI38" s="113"/>
      <c r="BJ38" s="46">
        <v>0</v>
      </c>
      <c r="BK38" s="113"/>
      <c r="BL38" s="113"/>
      <c r="BM38" s="113"/>
      <c r="BN38" s="113"/>
      <c r="BO38" s="113"/>
      <c r="BP38" s="121"/>
      <c r="BQ38" s="121"/>
      <c r="GA38" t="s">
        <v>113</v>
      </c>
      <c r="GB38" t="s">
        <v>22925</v>
      </c>
      <c r="GC38" s="46">
        <v>0</v>
      </c>
      <c r="GD38" s="113"/>
      <c r="GE38" s="113"/>
      <c r="GF38" s="113"/>
      <c r="GG38" s="113"/>
      <c r="GH38" s="113"/>
      <c r="GI38" s="46">
        <v>0</v>
      </c>
      <c r="GJ38" s="113"/>
      <c r="GK38" s="113"/>
      <c r="GL38" s="113"/>
      <c r="GM38" s="113"/>
      <c r="GN38" s="113"/>
      <c r="GO38" s="46">
        <v>0</v>
      </c>
      <c r="GP38" s="113"/>
      <c r="GQ38" s="113"/>
      <c r="GR38" s="113"/>
      <c r="GS38" s="113"/>
      <c r="GT38" s="113"/>
      <c r="GU38" s="46">
        <v>0</v>
      </c>
      <c r="GV38" s="113"/>
      <c r="GW38" s="113"/>
      <c r="GX38" s="113"/>
      <c r="GY38" s="113"/>
      <c r="GZ38" s="113"/>
      <c r="HA38" s="46">
        <v>0</v>
      </c>
      <c r="HB38" s="113"/>
      <c r="HC38" s="113"/>
      <c r="HD38" s="113"/>
      <c r="HE38" s="113"/>
      <c r="HF38" s="113"/>
      <c r="HG38" s="46">
        <v>0</v>
      </c>
      <c r="HH38" s="113"/>
      <c r="HI38" s="113"/>
      <c r="HJ38" s="113"/>
      <c r="HK38" s="113"/>
      <c r="HL38" s="113"/>
      <c r="HM38" s="121"/>
      <c r="HN38" s="121"/>
      <c r="LM38" t="str">
        <v/>
      </c>
      <c r="LN38" t="str">
        <v/>
      </c>
      <c r="LO38" t="str">
        <v/>
      </c>
    </row>
    <row r="39" spans="30:327">
      <c r="AD39" t="s">
        <v>113</v>
      </c>
      <c r="AE39" t="s">
        <v>22926</v>
      </c>
      <c r="AF39" s="46">
        <v>0</v>
      </c>
      <c r="AG39" s="113"/>
      <c r="AH39" s="113"/>
      <c r="AI39" s="113"/>
      <c r="AJ39" s="113"/>
      <c r="AK39" s="113"/>
      <c r="AL39" s="46">
        <v>0</v>
      </c>
      <c r="AM39" s="113"/>
      <c r="AN39" s="113"/>
      <c r="AO39" s="113"/>
      <c r="AP39" s="113"/>
      <c r="AQ39" s="113"/>
      <c r="AR39" s="46">
        <v>0</v>
      </c>
      <c r="AS39" s="113"/>
      <c r="AT39" s="113"/>
      <c r="AU39" s="113"/>
      <c r="AV39" s="113"/>
      <c r="AW39" s="113"/>
      <c r="AX39" s="46">
        <v>0</v>
      </c>
      <c r="AY39" s="113"/>
      <c r="AZ39" s="113"/>
      <c r="BA39" s="113"/>
      <c r="BB39" s="113"/>
      <c r="BC39" s="113"/>
      <c r="BD39" s="46">
        <v>0</v>
      </c>
      <c r="BE39" s="113"/>
      <c r="BF39" s="113"/>
      <c r="BG39" s="113"/>
      <c r="BH39" s="113"/>
      <c r="BI39" s="113"/>
      <c r="BJ39" s="46">
        <v>0</v>
      </c>
      <c r="BK39" s="113"/>
      <c r="BL39" s="113"/>
      <c r="BM39" s="113"/>
      <c r="BN39" s="113"/>
      <c r="BO39" s="113"/>
      <c r="BP39" s="121"/>
      <c r="BQ39" s="121"/>
      <c r="GA39" t="s">
        <v>113</v>
      </c>
      <c r="GB39" t="s">
        <v>22926</v>
      </c>
      <c r="GC39" s="46">
        <v>0</v>
      </c>
      <c r="GD39" s="113"/>
      <c r="GE39" s="113"/>
      <c r="GF39" s="113"/>
      <c r="GG39" s="113"/>
      <c r="GH39" s="113"/>
      <c r="GI39" s="46">
        <v>0</v>
      </c>
      <c r="GJ39" s="113"/>
      <c r="GK39" s="113"/>
      <c r="GL39" s="113"/>
      <c r="GM39" s="113"/>
      <c r="GN39" s="113"/>
      <c r="GO39" s="46">
        <v>0</v>
      </c>
      <c r="GP39" s="113"/>
      <c r="GQ39" s="113"/>
      <c r="GR39" s="113"/>
      <c r="GS39" s="113"/>
      <c r="GT39" s="113"/>
      <c r="GU39" s="46">
        <v>0</v>
      </c>
      <c r="GV39" s="113"/>
      <c r="GW39" s="113"/>
      <c r="GX39" s="113"/>
      <c r="GY39" s="113"/>
      <c r="GZ39" s="113"/>
      <c r="HA39" s="46">
        <v>0</v>
      </c>
      <c r="HB39" s="113"/>
      <c r="HC39" s="113"/>
      <c r="HD39" s="113"/>
      <c r="HE39" s="113"/>
      <c r="HF39" s="113"/>
      <c r="HG39" s="46">
        <v>0</v>
      </c>
      <c r="HH39" s="113"/>
      <c r="HI39" s="113"/>
      <c r="HJ39" s="113"/>
      <c r="HK39" s="113"/>
      <c r="HL39" s="113"/>
      <c r="HM39" s="121"/>
      <c r="HN39" s="121"/>
      <c r="LM39" t="str">
        <v/>
      </c>
      <c r="LN39" t="str">
        <v/>
      </c>
      <c r="LO39" t="str">
        <v/>
      </c>
    </row>
    <row r="40" spans="30:327">
      <c r="AD40" t="s">
        <v>113</v>
      </c>
      <c r="AE40" t="s">
        <v>22927</v>
      </c>
      <c r="AF40" s="46">
        <v>0</v>
      </c>
      <c r="AG40" s="113"/>
      <c r="AH40" s="113"/>
      <c r="AI40" s="113"/>
      <c r="AJ40" s="113"/>
      <c r="AK40" s="113"/>
      <c r="AL40" s="46">
        <v>0</v>
      </c>
      <c r="AM40" s="113"/>
      <c r="AN40" s="113"/>
      <c r="AO40" s="113"/>
      <c r="AP40" s="113"/>
      <c r="AQ40" s="113"/>
      <c r="AR40" s="46">
        <v>0</v>
      </c>
      <c r="AS40" s="113"/>
      <c r="AT40" s="113"/>
      <c r="AU40" s="113"/>
      <c r="AV40" s="113"/>
      <c r="AW40" s="113"/>
      <c r="AX40" s="46">
        <v>0</v>
      </c>
      <c r="AY40" s="113"/>
      <c r="AZ40" s="113"/>
      <c r="BA40" s="113"/>
      <c r="BB40" s="113"/>
      <c r="BC40" s="113"/>
      <c r="BD40" s="46">
        <v>0</v>
      </c>
      <c r="BE40" s="113"/>
      <c r="BF40" s="113"/>
      <c r="BG40" s="113"/>
      <c r="BH40" s="113"/>
      <c r="BI40" s="113"/>
      <c r="BJ40" s="46">
        <v>0</v>
      </c>
      <c r="BK40" s="113"/>
      <c r="BL40" s="113"/>
      <c r="BM40" s="113"/>
      <c r="BN40" s="113"/>
      <c r="BO40" s="113"/>
      <c r="BP40" s="121"/>
      <c r="BQ40" s="121"/>
      <c r="FA40" t="str">
        <f>IF(N(AN_Triangle!$AH$14)&gt;=_xlfn.XLOOKUP("MinMonthsForCharts",AnParam[Param],AnParam[Value],12),"",SUBSTITUTE(SUBSTITUTE(SUBSTITUTE(_xlfn.XLOOKUP("AN_EMPTY",tblUIText[Key],tblUIText[TR],"AN_EMPTY"),": ",":"&amp;CHAR(10)),"{0}",N(AN_Triangle!$AH$14)),"{1}",_xlfn.XLOOKUP("MinMonthsForCharts",AnParam[Param],AnParam[Value],12))&amp;CHAR(10)&amp;SUBSTITUTE(SUBSTITUTE(SUBSTITUTE(_xlfn.XLOOKUP("AN_EMPTY",tblUIText[Key],tblUIText[EN],"AN_EMPTY"),": ",":"&amp;CHAR(10)),"{0}",N(AN_Triangle!$AH$14)),"{1}",_xlfn.XLOOKUP("MinMonthsForCharts",AnParam[Param],AnParam[Value],12)))</f>
        <v>VERİ YETERSİZ:
0 ay veri var, grafikler için en az 12 ay gerekir
INSUFFICIENT DATA:
0 months of data, the charts need at least 12</v>
      </c>
      <c r="FB40">
        <f>IF($FA$40="",NA(),1)</f>
        <v>1</v>
      </c>
      <c r="FC40" t="str">
        <f>IF($FA$40=""," ",$FA$40)</f>
        <v>VERİ YETERSİZ:
0 ay veri var, grafikler için en az 12 ay gerekir
INSUFFICIENT DATA:
0 months of data, the charts need at least 12</v>
      </c>
      <c r="FD40" t="str">
        <f>SUBSTITUTE(SUBSTITUTE(SUBSTITUTE(_xlfn.XLOOKUP("AN_EMPTY",tblUIText[Key],tblUIText[TR],"AN_EMPTY"),": ",":"&amp;CHAR(10)),"{0}",10),"{1}",_xlfn.XLOOKUP("MinMonthsForCharts",AnParam[Param],AnParam[Value],12))&amp;CHAR(10)&amp;SUBSTITUTE(SUBSTITUTE(SUBSTITUTE(_xlfn.XLOOKUP("AN_EMPTY",tblUIText[Key],tblUIText[EN],"AN_EMPTY"),": ",":"&amp;CHAR(10)),"{0}",10),"{1}",_xlfn.XLOOKUP("MinMonthsForCharts",AnParam[Param],AnParam[Value],12))</f>
        <v>VERİ YETERSİZ:
10 ay veri var, grafikler için en az 12 ay gerekir
INSUFFICIENT DATA:
10 months of data, the charts need at least 12</v>
      </c>
      <c r="GA40" t="s">
        <v>113</v>
      </c>
      <c r="GB40" t="s">
        <v>22927</v>
      </c>
      <c r="GC40" s="46">
        <v>0</v>
      </c>
      <c r="GD40" s="113"/>
      <c r="GE40" s="113"/>
      <c r="GF40" s="113"/>
      <c r="GG40" s="113"/>
      <c r="GH40" s="113"/>
      <c r="GI40" s="46">
        <v>0</v>
      </c>
      <c r="GJ40" s="113"/>
      <c r="GK40" s="113"/>
      <c r="GL40" s="113"/>
      <c r="GM40" s="113"/>
      <c r="GN40" s="113"/>
      <c r="GO40" s="46">
        <v>0</v>
      </c>
      <c r="GP40" s="113"/>
      <c r="GQ40" s="113"/>
      <c r="GR40" s="113"/>
      <c r="GS40" s="113"/>
      <c r="GT40" s="113"/>
      <c r="GU40" s="46">
        <v>0</v>
      </c>
      <c r="GV40" s="113"/>
      <c r="GW40" s="113"/>
      <c r="GX40" s="113"/>
      <c r="GY40" s="113"/>
      <c r="GZ40" s="113"/>
      <c r="HA40" s="46">
        <v>0</v>
      </c>
      <c r="HB40" s="113"/>
      <c r="HC40" s="113"/>
      <c r="HD40" s="113"/>
      <c r="HE40" s="113"/>
      <c r="HF40" s="113"/>
      <c r="HG40" s="46">
        <v>0</v>
      </c>
      <c r="HH40" s="113"/>
      <c r="HI40" s="113"/>
      <c r="HJ40" s="113"/>
      <c r="HK40" s="113"/>
      <c r="HL40" s="113"/>
      <c r="HM40" s="121"/>
      <c r="HN40" s="121"/>
      <c r="LM40" t="str">
        <v/>
      </c>
      <c r="LN40" t="str">
        <v/>
      </c>
      <c r="LO40" t="str">
        <v/>
      </c>
    </row>
    <row r="41" spans="30:327">
      <c r="AD41" t="s">
        <v>113</v>
      </c>
      <c r="AE41" t="s">
        <v>22928</v>
      </c>
      <c r="AF41" s="46">
        <v>0</v>
      </c>
      <c r="AG41" s="113"/>
      <c r="AH41" s="113"/>
      <c r="AI41" s="113"/>
      <c r="AJ41" s="113"/>
      <c r="AK41" s="113"/>
      <c r="AL41" s="46">
        <v>0</v>
      </c>
      <c r="AM41" s="113"/>
      <c r="AN41" s="113"/>
      <c r="AO41" s="113"/>
      <c r="AP41" s="113"/>
      <c r="AQ41" s="113"/>
      <c r="AR41" s="46">
        <v>0</v>
      </c>
      <c r="AS41" s="113"/>
      <c r="AT41" s="113"/>
      <c r="AU41" s="113"/>
      <c r="AV41" s="113"/>
      <c r="AW41" s="113"/>
      <c r="AX41" s="46">
        <v>0</v>
      </c>
      <c r="AY41" s="113"/>
      <c r="AZ41" s="113"/>
      <c r="BA41" s="113"/>
      <c r="BB41" s="113"/>
      <c r="BC41" s="113"/>
      <c r="BD41" s="46">
        <v>0</v>
      </c>
      <c r="BE41" s="113"/>
      <c r="BF41" s="113"/>
      <c r="BG41" s="113"/>
      <c r="BH41" s="113"/>
      <c r="BI41" s="113"/>
      <c r="BJ41" s="46">
        <v>0</v>
      </c>
      <c r="BK41" s="113"/>
      <c r="BL41" s="113"/>
      <c r="BM41" s="113"/>
      <c r="BN41" s="113"/>
      <c r="BO41" s="113"/>
      <c r="BP41" s="121"/>
      <c r="BQ41" s="121"/>
      <c r="GA41" t="s">
        <v>113</v>
      </c>
      <c r="GB41" t="s">
        <v>22928</v>
      </c>
      <c r="GC41" s="46">
        <v>0</v>
      </c>
      <c r="GD41" s="113"/>
      <c r="GE41" s="113"/>
      <c r="GF41" s="113"/>
      <c r="GG41" s="113"/>
      <c r="GH41" s="113"/>
      <c r="GI41" s="46">
        <v>0</v>
      </c>
      <c r="GJ41" s="113"/>
      <c r="GK41" s="113"/>
      <c r="GL41" s="113"/>
      <c r="GM41" s="113"/>
      <c r="GN41" s="113"/>
      <c r="GO41" s="46">
        <v>0</v>
      </c>
      <c r="GP41" s="113"/>
      <c r="GQ41" s="113"/>
      <c r="GR41" s="113"/>
      <c r="GS41" s="113"/>
      <c r="GT41" s="113"/>
      <c r="GU41" s="46">
        <v>0</v>
      </c>
      <c r="GV41" s="113"/>
      <c r="GW41" s="113"/>
      <c r="GX41" s="113"/>
      <c r="GY41" s="113"/>
      <c r="GZ41" s="113"/>
      <c r="HA41" s="46">
        <v>0</v>
      </c>
      <c r="HB41" s="113"/>
      <c r="HC41" s="113"/>
      <c r="HD41" s="113"/>
      <c r="HE41" s="113"/>
      <c r="HF41" s="113"/>
      <c r="HG41" s="46">
        <v>0</v>
      </c>
      <c r="HH41" s="113"/>
      <c r="HI41" s="113"/>
      <c r="HJ41" s="113"/>
      <c r="HK41" s="113"/>
      <c r="HL41" s="113"/>
      <c r="HM41" s="121"/>
      <c r="HN41" s="121"/>
      <c r="LM41" t="str">
        <v/>
      </c>
      <c r="LN41" t="str">
        <v/>
      </c>
      <c r="LO41" t="str">
        <v/>
      </c>
    </row>
    <row r="42" spans="30:327">
      <c r="AD42" t="s">
        <v>113</v>
      </c>
      <c r="AE42" t="s">
        <v>22929</v>
      </c>
      <c r="AF42" s="46">
        <v>0</v>
      </c>
      <c r="AG42" s="113"/>
      <c r="AH42" s="113"/>
      <c r="AI42" s="113"/>
      <c r="AJ42" s="113"/>
      <c r="AK42" s="113"/>
      <c r="AL42" s="46">
        <v>0</v>
      </c>
      <c r="AM42" s="113"/>
      <c r="AN42" s="113"/>
      <c r="AO42" s="113"/>
      <c r="AP42" s="113"/>
      <c r="AQ42" s="113"/>
      <c r="AR42" s="46">
        <v>0</v>
      </c>
      <c r="AS42" s="113"/>
      <c r="AT42" s="113"/>
      <c r="AU42" s="113"/>
      <c r="AV42" s="113"/>
      <c r="AW42" s="113"/>
      <c r="AX42" s="46">
        <v>0</v>
      </c>
      <c r="AY42" s="113"/>
      <c r="AZ42" s="113"/>
      <c r="BA42" s="113"/>
      <c r="BB42" s="113"/>
      <c r="BC42" s="113"/>
      <c r="BD42" s="46">
        <v>0</v>
      </c>
      <c r="BE42" s="113"/>
      <c r="BF42" s="113"/>
      <c r="BG42" s="113"/>
      <c r="BH42" s="113"/>
      <c r="BI42" s="113"/>
      <c r="BJ42" s="46">
        <v>0</v>
      </c>
      <c r="BK42" s="113"/>
      <c r="BL42" s="113"/>
      <c r="BM42" s="113"/>
      <c r="BN42" s="113"/>
      <c r="BO42" s="113"/>
      <c r="BP42" s="121"/>
      <c r="BQ42" s="121"/>
      <c r="GA42" t="s">
        <v>113</v>
      </c>
      <c r="GB42" t="s">
        <v>22929</v>
      </c>
      <c r="GC42" s="46">
        <v>0</v>
      </c>
      <c r="GD42" s="113"/>
      <c r="GE42" s="113"/>
      <c r="GF42" s="113"/>
      <c r="GG42" s="113"/>
      <c r="GH42" s="113"/>
      <c r="GI42" s="46">
        <v>0</v>
      </c>
      <c r="GJ42" s="113"/>
      <c r="GK42" s="113"/>
      <c r="GL42" s="113"/>
      <c r="GM42" s="113"/>
      <c r="GN42" s="113"/>
      <c r="GO42" s="46">
        <v>0</v>
      </c>
      <c r="GP42" s="113"/>
      <c r="GQ42" s="113"/>
      <c r="GR42" s="113"/>
      <c r="GS42" s="113"/>
      <c r="GT42" s="113"/>
      <c r="GU42" s="46">
        <v>0</v>
      </c>
      <c r="GV42" s="113"/>
      <c r="GW42" s="113"/>
      <c r="GX42" s="113"/>
      <c r="GY42" s="113"/>
      <c r="GZ42" s="113"/>
      <c r="HA42" s="46">
        <v>0</v>
      </c>
      <c r="HB42" s="113"/>
      <c r="HC42" s="113"/>
      <c r="HD42" s="113"/>
      <c r="HE42" s="113"/>
      <c r="HF42" s="113"/>
      <c r="HG42" s="46">
        <v>0</v>
      </c>
      <c r="HH42" s="113"/>
      <c r="HI42" s="113"/>
      <c r="HJ42" s="113"/>
      <c r="HK42" s="113"/>
      <c r="HL42" s="113"/>
      <c r="HM42" s="121"/>
      <c r="HN42" s="121"/>
      <c r="LM42" t="str">
        <v/>
      </c>
      <c r="LN42" t="str">
        <v/>
      </c>
      <c r="LO42" t="str">
        <v/>
      </c>
    </row>
    <row r="43" spans="30:327">
      <c r="AD43" t="s">
        <v>113</v>
      </c>
      <c r="AE43" t="s">
        <v>22930</v>
      </c>
      <c r="AF43" s="46">
        <v>0</v>
      </c>
      <c r="AG43" s="113"/>
      <c r="AH43" s="113"/>
      <c r="AI43" s="113"/>
      <c r="AJ43" s="113"/>
      <c r="AK43" s="113"/>
      <c r="AL43" s="46">
        <v>0</v>
      </c>
      <c r="AM43" s="113"/>
      <c r="AN43" s="113"/>
      <c r="AO43" s="113"/>
      <c r="AP43" s="113"/>
      <c r="AQ43" s="113"/>
      <c r="AR43" s="46">
        <v>0</v>
      </c>
      <c r="AS43" s="113"/>
      <c r="AT43" s="113"/>
      <c r="AU43" s="113"/>
      <c r="AV43" s="113"/>
      <c r="AW43" s="113"/>
      <c r="AX43" s="46">
        <v>0</v>
      </c>
      <c r="AY43" s="113"/>
      <c r="AZ43" s="113"/>
      <c r="BA43" s="113"/>
      <c r="BB43" s="113"/>
      <c r="BC43" s="113"/>
      <c r="BD43" s="46">
        <v>0</v>
      </c>
      <c r="BE43" s="113"/>
      <c r="BF43" s="113"/>
      <c r="BG43" s="113"/>
      <c r="BH43" s="113"/>
      <c r="BI43" s="113"/>
      <c r="BJ43" s="46">
        <v>0</v>
      </c>
      <c r="BK43" s="113"/>
      <c r="BL43" s="113"/>
      <c r="BM43" s="113"/>
      <c r="BN43" s="113"/>
      <c r="BO43" s="113"/>
      <c r="BP43" s="121"/>
      <c r="BQ43" s="121"/>
      <c r="GA43" t="s">
        <v>113</v>
      </c>
      <c r="GB43" t="s">
        <v>22930</v>
      </c>
      <c r="GC43" s="46">
        <v>0</v>
      </c>
      <c r="GD43" s="113"/>
      <c r="GE43" s="113"/>
      <c r="GF43" s="113"/>
      <c r="GG43" s="113"/>
      <c r="GH43" s="113"/>
      <c r="GI43" s="46">
        <v>0</v>
      </c>
      <c r="GJ43" s="113"/>
      <c r="GK43" s="113"/>
      <c r="GL43" s="113"/>
      <c r="GM43" s="113"/>
      <c r="GN43" s="113"/>
      <c r="GO43" s="46">
        <v>0</v>
      </c>
      <c r="GP43" s="113"/>
      <c r="GQ43" s="113"/>
      <c r="GR43" s="113"/>
      <c r="GS43" s="113"/>
      <c r="GT43" s="113"/>
      <c r="GU43" s="46">
        <v>0</v>
      </c>
      <c r="GV43" s="113"/>
      <c r="GW43" s="113"/>
      <c r="GX43" s="113"/>
      <c r="GY43" s="113"/>
      <c r="GZ43" s="113"/>
      <c r="HA43" s="46">
        <v>0</v>
      </c>
      <c r="HB43" s="113"/>
      <c r="HC43" s="113"/>
      <c r="HD43" s="113"/>
      <c r="HE43" s="113"/>
      <c r="HF43" s="113"/>
      <c r="HG43" s="46">
        <v>0</v>
      </c>
      <c r="HH43" s="113"/>
      <c r="HI43" s="113"/>
      <c r="HJ43" s="113"/>
      <c r="HK43" s="113"/>
      <c r="HL43" s="113"/>
      <c r="HM43" s="121"/>
      <c r="HN43" s="121"/>
      <c r="LM43" t="str">
        <v/>
      </c>
      <c r="LN43" t="str">
        <v/>
      </c>
      <c r="LO43" t="str">
        <v/>
      </c>
    </row>
    <row r="44" spans="30:327">
      <c r="AD44" t="s">
        <v>113</v>
      </c>
      <c r="AE44" t="s">
        <v>22931</v>
      </c>
      <c r="AF44" s="46">
        <v>0</v>
      </c>
      <c r="AG44" s="113"/>
      <c r="AH44" s="113"/>
      <c r="AI44" s="113"/>
      <c r="AJ44" s="113"/>
      <c r="AK44" s="113"/>
      <c r="AL44" s="46">
        <v>0</v>
      </c>
      <c r="AM44" s="113"/>
      <c r="AN44" s="113"/>
      <c r="AO44" s="113"/>
      <c r="AP44" s="113"/>
      <c r="AQ44" s="113"/>
      <c r="AR44" s="46">
        <v>0</v>
      </c>
      <c r="AS44" s="113"/>
      <c r="AT44" s="113"/>
      <c r="AU44" s="113"/>
      <c r="AV44" s="113"/>
      <c r="AW44" s="113"/>
      <c r="AX44" s="46">
        <v>0</v>
      </c>
      <c r="AY44" s="113"/>
      <c r="AZ44" s="113"/>
      <c r="BA44" s="113"/>
      <c r="BB44" s="113"/>
      <c r="BC44" s="113"/>
      <c r="BD44" s="46">
        <v>0</v>
      </c>
      <c r="BE44" s="113"/>
      <c r="BF44" s="113"/>
      <c r="BG44" s="113"/>
      <c r="BH44" s="113"/>
      <c r="BI44" s="113"/>
      <c r="BJ44" s="46">
        <v>0</v>
      </c>
      <c r="BK44" s="113"/>
      <c r="BL44" s="113"/>
      <c r="BM44" s="113"/>
      <c r="BN44" s="113"/>
      <c r="BO44" s="113"/>
      <c r="BP44" s="121"/>
      <c r="BQ44" s="121"/>
      <c r="GA44" t="s">
        <v>113</v>
      </c>
      <c r="GB44" t="s">
        <v>22931</v>
      </c>
      <c r="GC44" s="46">
        <v>0</v>
      </c>
      <c r="GD44" s="113"/>
      <c r="GE44" s="113"/>
      <c r="GF44" s="113"/>
      <c r="GG44" s="113"/>
      <c r="GH44" s="113"/>
      <c r="GI44" s="46">
        <v>0</v>
      </c>
      <c r="GJ44" s="113"/>
      <c r="GK44" s="113"/>
      <c r="GL44" s="113"/>
      <c r="GM44" s="113"/>
      <c r="GN44" s="113"/>
      <c r="GO44" s="46">
        <v>0</v>
      </c>
      <c r="GP44" s="113"/>
      <c r="GQ44" s="113"/>
      <c r="GR44" s="113"/>
      <c r="GS44" s="113"/>
      <c r="GT44" s="113"/>
      <c r="GU44" s="46">
        <v>0</v>
      </c>
      <c r="GV44" s="113"/>
      <c r="GW44" s="113"/>
      <c r="GX44" s="113"/>
      <c r="GY44" s="113"/>
      <c r="GZ44" s="113"/>
      <c r="HA44" s="46">
        <v>0</v>
      </c>
      <c r="HB44" s="113"/>
      <c r="HC44" s="113"/>
      <c r="HD44" s="113"/>
      <c r="HE44" s="113"/>
      <c r="HF44" s="113"/>
      <c r="HG44" s="46">
        <v>0</v>
      </c>
      <c r="HH44" s="113"/>
      <c r="HI44" s="113"/>
      <c r="HJ44" s="113"/>
      <c r="HK44" s="113"/>
      <c r="HL44" s="113"/>
      <c r="HM44" s="121"/>
      <c r="HN44" s="121"/>
      <c r="LM44" t="str">
        <v/>
      </c>
      <c r="LN44" t="str">
        <v/>
      </c>
      <c r="LO44" t="str">
        <v/>
      </c>
    </row>
    <row r="45" spans="30:327">
      <c r="AD45" t="s">
        <v>113</v>
      </c>
      <c r="AE45" t="s">
        <v>22932</v>
      </c>
      <c r="AF45" s="46">
        <v>0</v>
      </c>
      <c r="AG45" s="113"/>
      <c r="AH45" s="113"/>
      <c r="AI45" s="113"/>
      <c r="AJ45" s="113"/>
      <c r="AK45" s="113"/>
      <c r="AL45" s="46">
        <v>0</v>
      </c>
      <c r="AM45" s="113"/>
      <c r="AN45" s="113"/>
      <c r="AO45" s="113"/>
      <c r="AP45" s="113"/>
      <c r="AQ45" s="113"/>
      <c r="AR45" s="46">
        <v>0</v>
      </c>
      <c r="AS45" s="113"/>
      <c r="AT45" s="113"/>
      <c r="AU45" s="113"/>
      <c r="AV45" s="113"/>
      <c r="AW45" s="113"/>
      <c r="AX45" s="46">
        <v>0</v>
      </c>
      <c r="AY45" s="113"/>
      <c r="AZ45" s="113"/>
      <c r="BA45" s="113"/>
      <c r="BB45" s="113"/>
      <c r="BC45" s="113"/>
      <c r="BD45" s="46">
        <v>0</v>
      </c>
      <c r="BE45" s="113"/>
      <c r="BF45" s="113"/>
      <c r="BG45" s="113"/>
      <c r="BH45" s="113"/>
      <c r="BI45" s="113"/>
      <c r="BJ45" s="46">
        <v>0</v>
      </c>
      <c r="BK45" s="113"/>
      <c r="BL45" s="113"/>
      <c r="BM45" s="113"/>
      <c r="BN45" s="113"/>
      <c r="BO45" s="113"/>
      <c r="BP45" s="121"/>
      <c r="BQ45" s="121"/>
      <c r="GA45" t="s">
        <v>113</v>
      </c>
      <c r="GB45" t="s">
        <v>22932</v>
      </c>
      <c r="GC45" s="46">
        <v>0</v>
      </c>
      <c r="GD45" s="113"/>
      <c r="GE45" s="113"/>
      <c r="GF45" s="113"/>
      <c r="GG45" s="113"/>
      <c r="GH45" s="113"/>
      <c r="GI45" s="46">
        <v>0</v>
      </c>
      <c r="GJ45" s="113"/>
      <c r="GK45" s="113"/>
      <c r="GL45" s="113"/>
      <c r="GM45" s="113"/>
      <c r="GN45" s="113"/>
      <c r="GO45" s="46">
        <v>0</v>
      </c>
      <c r="GP45" s="113"/>
      <c r="GQ45" s="113"/>
      <c r="GR45" s="113"/>
      <c r="GS45" s="113"/>
      <c r="GT45" s="113"/>
      <c r="GU45" s="46">
        <v>0</v>
      </c>
      <c r="GV45" s="113"/>
      <c r="GW45" s="113"/>
      <c r="GX45" s="113"/>
      <c r="GY45" s="113"/>
      <c r="GZ45" s="113"/>
      <c r="HA45" s="46">
        <v>0</v>
      </c>
      <c r="HB45" s="113"/>
      <c r="HC45" s="113"/>
      <c r="HD45" s="113"/>
      <c r="HE45" s="113"/>
      <c r="HF45" s="113"/>
      <c r="HG45" s="46">
        <v>0</v>
      </c>
      <c r="HH45" s="113"/>
      <c r="HI45" s="113"/>
      <c r="HJ45" s="113"/>
      <c r="HK45" s="113"/>
      <c r="HL45" s="113"/>
      <c r="HM45" s="121"/>
      <c r="HN45" s="121"/>
      <c r="LM45" t="str">
        <v/>
      </c>
      <c r="LN45" t="str">
        <v/>
      </c>
      <c r="LO45" t="str">
        <v/>
      </c>
    </row>
    <row r="46" spans="30:327">
      <c r="AD46" t="s">
        <v>113</v>
      </c>
      <c r="AE46" t="s">
        <v>22933</v>
      </c>
      <c r="AF46" s="46">
        <v>0</v>
      </c>
      <c r="AG46" s="113"/>
      <c r="AH46" s="113"/>
      <c r="AI46" s="113"/>
      <c r="AJ46" s="113"/>
      <c r="AK46" s="113"/>
      <c r="AL46" s="46">
        <v>0</v>
      </c>
      <c r="AM46" s="113"/>
      <c r="AN46" s="113"/>
      <c r="AO46" s="113"/>
      <c r="AP46" s="113"/>
      <c r="AQ46" s="113"/>
      <c r="AR46" s="46">
        <v>0</v>
      </c>
      <c r="AS46" s="113"/>
      <c r="AT46" s="113"/>
      <c r="AU46" s="113"/>
      <c r="AV46" s="113"/>
      <c r="AW46" s="113"/>
      <c r="AX46" s="46">
        <v>0</v>
      </c>
      <c r="AY46" s="113"/>
      <c r="AZ46" s="113"/>
      <c r="BA46" s="113"/>
      <c r="BB46" s="113"/>
      <c r="BC46" s="113"/>
      <c r="BD46" s="46">
        <v>0</v>
      </c>
      <c r="BE46" s="113"/>
      <c r="BF46" s="113"/>
      <c r="BG46" s="113"/>
      <c r="BH46" s="113"/>
      <c r="BI46" s="113"/>
      <c r="BJ46" s="46">
        <v>0</v>
      </c>
      <c r="BK46" s="113"/>
      <c r="BL46" s="113"/>
      <c r="BM46" s="113"/>
      <c r="BN46" s="113"/>
      <c r="BO46" s="113"/>
      <c r="BP46" s="121"/>
      <c r="BQ46" s="121"/>
      <c r="GA46" t="s">
        <v>113</v>
      </c>
      <c r="GB46" t="s">
        <v>22933</v>
      </c>
      <c r="GC46" s="46">
        <v>0</v>
      </c>
      <c r="GD46" s="113"/>
      <c r="GE46" s="113"/>
      <c r="GF46" s="113"/>
      <c r="GG46" s="113"/>
      <c r="GH46" s="113"/>
      <c r="GI46" s="46">
        <v>0</v>
      </c>
      <c r="GJ46" s="113"/>
      <c r="GK46" s="113"/>
      <c r="GL46" s="113"/>
      <c r="GM46" s="113"/>
      <c r="GN46" s="113"/>
      <c r="GO46" s="46">
        <v>0</v>
      </c>
      <c r="GP46" s="113"/>
      <c r="GQ46" s="113"/>
      <c r="GR46" s="113"/>
      <c r="GS46" s="113"/>
      <c r="GT46" s="113"/>
      <c r="GU46" s="46">
        <v>0</v>
      </c>
      <c r="GV46" s="113"/>
      <c r="GW46" s="113"/>
      <c r="GX46" s="113"/>
      <c r="GY46" s="113"/>
      <c r="GZ46" s="113"/>
      <c r="HA46" s="46">
        <v>0</v>
      </c>
      <c r="HB46" s="113"/>
      <c r="HC46" s="113"/>
      <c r="HD46" s="113"/>
      <c r="HE46" s="113"/>
      <c r="HF46" s="113"/>
      <c r="HG46" s="46">
        <v>0</v>
      </c>
      <c r="HH46" s="113"/>
      <c r="HI46" s="113"/>
      <c r="HJ46" s="113"/>
      <c r="HK46" s="113"/>
      <c r="HL46" s="113"/>
      <c r="HM46" s="121"/>
      <c r="HN46" s="121"/>
      <c r="LM46" t="str">
        <v/>
      </c>
      <c r="LN46" t="str">
        <v/>
      </c>
      <c r="LO46" t="str">
        <v/>
      </c>
    </row>
    <row r="47" spans="30:327">
      <c r="AD47" t="s">
        <v>113</v>
      </c>
      <c r="AE47" t="s">
        <v>22934</v>
      </c>
      <c r="AF47" s="46">
        <v>0</v>
      </c>
      <c r="AG47" s="113"/>
      <c r="AH47" s="113"/>
      <c r="AI47" s="113"/>
      <c r="AJ47" s="113"/>
      <c r="AK47" s="113"/>
      <c r="AL47" s="46">
        <v>0</v>
      </c>
      <c r="AM47" s="113"/>
      <c r="AN47" s="113"/>
      <c r="AO47" s="113"/>
      <c r="AP47" s="113"/>
      <c r="AQ47" s="113"/>
      <c r="AR47" s="46">
        <v>0</v>
      </c>
      <c r="AS47" s="113"/>
      <c r="AT47" s="113"/>
      <c r="AU47" s="113"/>
      <c r="AV47" s="113"/>
      <c r="AW47" s="113"/>
      <c r="AX47" s="46">
        <v>0</v>
      </c>
      <c r="AY47" s="113"/>
      <c r="AZ47" s="113"/>
      <c r="BA47" s="113"/>
      <c r="BB47" s="113"/>
      <c r="BC47" s="113"/>
      <c r="BD47" s="46">
        <v>0</v>
      </c>
      <c r="BE47" s="113"/>
      <c r="BF47" s="113"/>
      <c r="BG47" s="113"/>
      <c r="BH47" s="113"/>
      <c r="BI47" s="113"/>
      <c r="BJ47" s="46">
        <v>0</v>
      </c>
      <c r="BK47" s="113"/>
      <c r="BL47" s="113"/>
      <c r="BM47" s="113"/>
      <c r="BN47" s="113"/>
      <c r="BO47" s="113"/>
      <c r="BP47" s="121"/>
      <c r="BQ47" s="121"/>
      <c r="GA47" t="s">
        <v>113</v>
      </c>
      <c r="GB47" t="s">
        <v>22934</v>
      </c>
      <c r="GC47" s="46">
        <v>0</v>
      </c>
      <c r="GD47" s="113"/>
      <c r="GE47" s="113"/>
      <c r="GF47" s="113"/>
      <c r="GG47" s="113"/>
      <c r="GH47" s="113"/>
      <c r="GI47" s="46">
        <v>0</v>
      </c>
      <c r="GJ47" s="113"/>
      <c r="GK47" s="113"/>
      <c r="GL47" s="113"/>
      <c r="GM47" s="113"/>
      <c r="GN47" s="113"/>
      <c r="GO47" s="46">
        <v>0</v>
      </c>
      <c r="GP47" s="113"/>
      <c r="GQ47" s="113"/>
      <c r="GR47" s="113"/>
      <c r="GS47" s="113"/>
      <c r="GT47" s="113"/>
      <c r="GU47" s="46">
        <v>0</v>
      </c>
      <c r="GV47" s="113"/>
      <c r="GW47" s="113"/>
      <c r="GX47" s="113"/>
      <c r="GY47" s="113"/>
      <c r="GZ47" s="113"/>
      <c r="HA47" s="46">
        <v>0</v>
      </c>
      <c r="HB47" s="113"/>
      <c r="HC47" s="113"/>
      <c r="HD47" s="113"/>
      <c r="HE47" s="113"/>
      <c r="HF47" s="113"/>
      <c r="HG47" s="46">
        <v>0</v>
      </c>
      <c r="HH47" s="113"/>
      <c r="HI47" s="113"/>
      <c r="HJ47" s="113"/>
      <c r="HK47" s="113"/>
      <c r="HL47" s="113"/>
      <c r="HM47" s="121"/>
      <c r="HN47" s="121"/>
      <c r="LM47" t="str">
        <v/>
      </c>
      <c r="LN47" t="str">
        <v/>
      </c>
      <c r="LO47" t="str">
        <v/>
      </c>
    </row>
    <row r="48" spans="30:327">
      <c r="AD48" t="s">
        <v>113</v>
      </c>
      <c r="AE48" t="s">
        <v>22935</v>
      </c>
      <c r="AF48" s="46">
        <v>0</v>
      </c>
      <c r="AG48" s="113"/>
      <c r="AH48" s="113"/>
      <c r="AI48" s="113"/>
      <c r="AJ48" s="113"/>
      <c r="AK48" s="113"/>
      <c r="AL48" s="46">
        <v>0</v>
      </c>
      <c r="AM48" s="113"/>
      <c r="AN48" s="113"/>
      <c r="AO48" s="113"/>
      <c r="AP48" s="113"/>
      <c r="AQ48" s="113"/>
      <c r="AR48" s="46">
        <v>0</v>
      </c>
      <c r="AS48" s="113"/>
      <c r="AT48" s="113"/>
      <c r="AU48" s="113"/>
      <c r="AV48" s="113"/>
      <c r="AW48" s="113"/>
      <c r="AX48" s="46">
        <v>0</v>
      </c>
      <c r="AY48" s="113"/>
      <c r="AZ48" s="113"/>
      <c r="BA48" s="113"/>
      <c r="BB48" s="113"/>
      <c r="BC48" s="113"/>
      <c r="BD48" s="46">
        <v>0</v>
      </c>
      <c r="BE48" s="113"/>
      <c r="BF48" s="113"/>
      <c r="BG48" s="113"/>
      <c r="BH48" s="113"/>
      <c r="BI48" s="113"/>
      <c r="BJ48" s="46">
        <v>0</v>
      </c>
      <c r="BK48" s="113"/>
      <c r="BL48" s="113"/>
      <c r="BM48" s="113"/>
      <c r="BN48" s="113"/>
      <c r="BO48" s="113"/>
      <c r="BP48" s="121"/>
      <c r="BQ48" s="121"/>
      <c r="GA48" t="s">
        <v>113</v>
      </c>
      <c r="GB48" t="s">
        <v>22935</v>
      </c>
      <c r="GC48" s="46">
        <v>0</v>
      </c>
      <c r="GD48" s="113"/>
      <c r="GE48" s="113"/>
      <c r="GF48" s="113"/>
      <c r="GG48" s="113"/>
      <c r="GH48" s="113"/>
      <c r="GI48" s="46">
        <v>0</v>
      </c>
      <c r="GJ48" s="113"/>
      <c r="GK48" s="113"/>
      <c r="GL48" s="113"/>
      <c r="GM48" s="113"/>
      <c r="GN48" s="113"/>
      <c r="GO48" s="46">
        <v>0</v>
      </c>
      <c r="GP48" s="113"/>
      <c r="GQ48" s="113"/>
      <c r="GR48" s="113"/>
      <c r="GS48" s="113"/>
      <c r="GT48" s="113"/>
      <c r="GU48" s="46">
        <v>0</v>
      </c>
      <c r="GV48" s="113"/>
      <c r="GW48" s="113"/>
      <c r="GX48" s="113"/>
      <c r="GY48" s="113"/>
      <c r="GZ48" s="113"/>
      <c r="HA48" s="46">
        <v>0</v>
      </c>
      <c r="HB48" s="113"/>
      <c r="HC48" s="113"/>
      <c r="HD48" s="113"/>
      <c r="HE48" s="113"/>
      <c r="HF48" s="113"/>
      <c r="HG48" s="46">
        <v>0</v>
      </c>
      <c r="HH48" s="113"/>
      <c r="HI48" s="113"/>
      <c r="HJ48" s="113"/>
      <c r="HK48" s="113"/>
      <c r="HL48" s="113"/>
      <c r="HM48" s="121"/>
      <c r="HN48" s="121"/>
      <c r="LM48" t="str">
        <v/>
      </c>
      <c r="LN48" t="str">
        <v/>
      </c>
      <c r="LO48" t="str">
        <v/>
      </c>
    </row>
    <row r="49" spans="30:327">
      <c r="AD49" t="s">
        <v>113</v>
      </c>
      <c r="AE49" t="s">
        <v>22936</v>
      </c>
      <c r="AF49" s="46">
        <v>0</v>
      </c>
      <c r="AG49" s="113"/>
      <c r="AH49" s="113"/>
      <c r="AI49" s="113"/>
      <c r="AJ49" s="113"/>
      <c r="AK49" s="113"/>
      <c r="AL49" s="46">
        <v>0</v>
      </c>
      <c r="AM49" s="113"/>
      <c r="AN49" s="113"/>
      <c r="AO49" s="113"/>
      <c r="AP49" s="113"/>
      <c r="AQ49" s="113"/>
      <c r="AR49" s="46">
        <v>0</v>
      </c>
      <c r="AS49" s="113"/>
      <c r="AT49" s="113"/>
      <c r="AU49" s="113"/>
      <c r="AV49" s="113"/>
      <c r="AW49" s="113"/>
      <c r="AX49" s="46">
        <v>0</v>
      </c>
      <c r="AY49" s="113"/>
      <c r="AZ49" s="113"/>
      <c r="BA49" s="113"/>
      <c r="BB49" s="113"/>
      <c r="BC49" s="113"/>
      <c r="BD49" s="46">
        <v>0</v>
      </c>
      <c r="BE49" s="113"/>
      <c r="BF49" s="113"/>
      <c r="BG49" s="113"/>
      <c r="BH49" s="113"/>
      <c r="BI49" s="113"/>
      <c r="BJ49" s="46">
        <v>0</v>
      </c>
      <c r="BK49" s="113"/>
      <c r="BL49" s="113"/>
      <c r="BM49" s="113"/>
      <c r="BN49" s="113"/>
      <c r="BO49" s="113"/>
      <c r="BP49" s="121"/>
      <c r="BQ49" s="121"/>
      <c r="GA49" t="s">
        <v>113</v>
      </c>
      <c r="GB49" t="s">
        <v>22936</v>
      </c>
      <c r="GC49" s="46">
        <v>0</v>
      </c>
      <c r="GD49" s="113"/>
      <c r="GE49" s="113"/>
      <c r="GF49" s="113"/>
      <c r="GG49" s="113"/>
      <c r="GH49" s="113"/>
      <c r="GI49" s="46">
        <v>0</v>
      </c>
      <c r="GJ49" s="113"/>
      <c r="GK49" s="113"/>
      <c r="GL49" s="113"/>
      <c r="GM49" s="113"/>
      <c r="GN49" s="113"/>
      <c r="GO49" s="46">
        <v>0</v>
      </c>
      <c r="GP49" s="113"/>
      <c r="GQ49" s="113"/>
      <c r="GR49" s="113"/>
      <c r="GS49" s="113"/>
      <c r="GT49" s="113"/>
      <c r="GU49" s="46">
        <v>0</v>
      </c>
      <c r="GV49" s="113"/>
      <c r="GW49" s="113"/>
      <c r="GX49" s="113"/>
      <c r="GY49" s="113"/>
      <c r="GZ49" s="113"/>
      <c r="HA49" s="46">
        <v>0</v>
      </c>
      <c r="HB49" s="113"/>
      <c r="HC49" s="113"/>
      <c r="HD49" s="113"/>
      <c r="HE49" s="113"/>
      <c r="HF49" s="113"/>
      <c r="HG49" s="46">
        <v>0</v>
      </c>
      <c r="HH49" s="113"/>
      <c r="HI49" s="113"/>
      <c r="HJ49" s="113"/>
      <c r="HK49" s="113"/>
      <c r="HL49" s="113"/>
      <c r="HM49" s="121"/>
      <c r="HN49" s="121"/>
      <c r="LM49" t="str">
        <v/>
      </c>
      <c r="LN49" t="str">
        <v/>
      </c>
      <c r="LO49" t="str">
        <v/>
      </c>
    </row>
    <row r="50" spans="30:327">
      <c r="AD50" t="s">
        <v>113</v>
      </c>
      <c r="AE50" t="s">
        <v>22937</v>
      </c>
      <c r="AF50" s="46">
        <v>0</v>
      </c>
      <c r="AG50" s="113"/>
      <c r="AH50" s="113"/>
      <c r="AI50" s="113"/>
      <c r="AJ50" s="113"/>
      <c r="AK50" s="113"/>
      <c r="AL50" s="46">
        <v>0</v>
      </c>
      <c r="AM50" s="113"/>
      <c r="AN50" s="113"/>
      <c r="AO50" s="113"/>
      <c r="AP50" s="113"/>
      <c r="AQ50" s="113"/>
      <c r="AR50" s="46">
        <v>0</v>
      </c>
      <c r="AS50" s="113"/>
      <c r="AT50" s="113"/>
      <c r="AU50" s="113"/>
      <c r="AV50" s="113"/>
      <c r="AW50" s="113"/>
      <c r="AX50" s="46">
        <v>0</v>
      </c>
      <c r="AY50" s="113"/>
      <c r="AZ50" s="113"/>
      <c r="BA50" s="113"/>
      <c r="BB50" s="113"/>
      <c r="BC50" s="113"/>
      <c r="BD50" s="46">
        <v>0</v>
      </c>
      <c r="BE50" s="113"/>
      <c r="BF50" s="113"/>
      <c r="BG50" s="113"/>
      <c r="BH50" s="113"/>
      <c r="BI50" s="113"/>
      <c r="BJ50" s="46">
        <v>0</v>
      </c>
      <c r="BK50" s="113"/>
      <c r="BL50" s="113"/>
      <c r="BM50" s="113"/>
      <c r="BN50" s="113"/>
      <c r="BO50" s="113"/>
      <c r="BP50" s="121"/>
      <c r="BQ50" s="121"/>
      <c r="GA50" t="s">
        <v>113</v>
      </c>
      <c r="GB50" t="s">
        <v>22937</v>
      </c>
      <c r="GC50" s="46">
        <v>0</v>
      </c>
      <c r="GD50" s="113"/>
      <c r="GE50" s="113"/>
      <c r="GF50" s="113"/>
      <c r="GG50" s="113"/>
      <c r="GH50" s="113"/>
      <c r="GI50" s="46">
        <v>0</v>
      </c>
      <c r="GJ50" s="113"/>
      <c r="GK50" s="113"/>
      <c r="GL50" s="113"/>
      <c r="GM50" s="113"/>
      <c r="GN50" s="113"/>
      <c r="GO50" s="46">
        <v>0</v>
      </c>
      <c r="GP50" s="113"/>
      <c r="GQ50" s="113"/>
      <c r="GR50" s="113"/>
      <c r="GS50" s="113"/>
      <c r="GT50" s="113"/>
      <c r="GU50" s="46">
        <v>0</v>
      </c>
      <c r="GV50" s="113"/>
      <c r="GW50" s="113"/>
      <c r="GX50" s="113"/>
      <c r="GY50" s="113"/>
      <c r="GZ50" s="113"/>
      <c r="HA50" s="46">
        <v>0</v>
      </c>
      <c r="HB50" s="113"/>
      <c r="HC50" s="113"/>
      <c r="HD50" s="113"/>
      <c r="HE50" s="113"/>
      <c r="HF50" s="113"/>
      <c r="HG50" s="46">
        <v>0</v>
      </c>
      <c r="HH50" s="113"/>
      <c r="HI50" s="113"/>
      <c r="HJ50" s="113"/>
      <c r="HK50" s="113"/>
      <c r="HL50" s="113"/>
      <c r="HM50" s="121"/>
      <c r="HN50" s="121"/>
      <c r="LM50" t="str">
        <v/>
      </c>
      <c r="LN50" t="str">
        <v/>
      </c>
      <c r="LO50" t="str">
        <v/>
      </c>
    </row>
    <row r="51" spans="30:327">
      <c r="AD51" t="s">
        <v>113</v>
      </c>
      <c r="AE51" t="s">
        <v>22938</v>
      </c>
      <c r="AF51" s="46">
        <v>0</v>
      </c>
      <c r="AG51" s="113"/>
      <c r="AH51" s="113"/>
      <c r="AI51" s="113"/>
      <c r="AJ51" s="113"/>
      <c r="AK51" s="113"/>
      <c r="AL51" s="46">
        <v>0</v>
      </c>
      <c r="AM51" s="113"/>
      <c r="AN51" s="113"/>
      <c r="AO51" s="113"/>
      <c r="AP51" s="113"/>
      <c r="AQ51" s="113"/>
      <c r="AR51" s="46">
        <v>0</v>
      </c>
      <c r="AS51" s="113"/>
      <c r="AT51" s="113"/>
      <c r="AU51" s="113"/>
      <c r="AV51" s="113"/>
      <c r="AW51" s="113"/>
      <c r="AX51" s="46">
        <v>0</v>
      </c>
      <c r="AY51" s="113"/>
      <c r="AZ51" s="113"/>
      <c r="BA51" s="113"/>
      <c r="BB51" s="113"/>
      <c r="BC51" s="113"/>
      <c r="BD51" s="46">
        <v>0</v>
      </c>
      <c r="BE51" s="113"/>
      <c r="BF51" s="113"/>
      <c r="BG51" s="113"/>
      <c r="BH51" s="113"/>
      <c r="BI51" s="113"/>
      <c r="BJ51" s="46">
        <v>0</v>
      </c>
      <c r="BK51" s="113"/>
      <c r="BL51" s="113"/>
      <c r="BM51" s="113"/>
      <c r="BN51" s="113"/>
      <c r="BO51" s="113"/>
      <c r="BP51" s="121"/>
      <c r="BQ51" s="121"/>
      <c r="GA51" t="s">
        <v>113</v>
      </c>
      <c r="GB51" t="s">
        <v>22938</v>
      </c>
      <c r="GC51" s="46">
        <v>0</v>
      </c>
      <c r="GD51" s="113"/>
      <c r="GE51" s="113"/>
      <c r="GF51" s="113"/>
      <c r="GG51" s="113"/>
      <c r="GH51" s="113"/>
      <c r="GI51" s="46">
        <v>0</v>
      </c>
      <c r="GJ51" s="113"/>
      <c r="GK51" s="113"/>
      <c r="GL51" s="113"/>
      <c r="GM51" s="113"/>
      <c r="GN51" s="113"/>
      <c r="GO51" s="46">
        <v>0</v>
      </c>
      <c r="GP51" s="113"/>
      <c r="GQ51" s="113"/>
      <c r="GR51" s="113"/>
      <c r="GS51" s="113"/>
      <c r="GT51" s="113"/>
      <c r="GU51" s="46">
        <v>0</v>
      </c>
      <c r="GV51" s="113"/>
      <c r="GW51" s="113"/>
      <c r="GX51" s="113"/>
      <c r="GY51" s="113"/>
      <c r="GZ51" s="113"/>
      <c r="HA51" s="46">
        <v>0</v>
      </c>
      <c r="HB51" s="113"/>
      <c r="HC51" s="113"/>
      <c r="HD51" s="113"/>
      <c r="HE51" s="113"/>
      <c r="HF51" s="113"/>
      <c r="HG51" s="46">
        <v>0</v>
      </c>
      <c r="HH51" s="113"/>
      <c r="HI51" s="113"/>
      <c r="HJ51" s="113"/>
      <c r="HK51" s="113"/>
      <c r="HL51" s="113"/>
      <c r="HM51" s="121"/>
      <c r="HN51" s="121"/>
      <c r="LM51" t="str">
        <v/>
      </c>
      <c r="LN51" t="str">
        <v/>
      </c>
      <c r="LO51" t="str">
        <v/>
      </c>
    </row>
    <row r="52" spans="30:327">
      <c r="AD52" t="s">
        <v>113</v>
      </c>
      <c r="AE52" t="s">
        <v>22939</v>
      </c>
      <c r="AF52" s="46">
        <v>0</v>
      </c>
      <c r="AG52" s="113"/>
      <c r="AH52" s="113"/>
      <c r="AI52" s="113"/>
      <c r="AJ52" s="113"/>
      <c r="AK52" s="113"/>
      <c r="AL52" s="46">
        <v>0</v>
      </c>
      <c r="AM52" s="113"/>
      <c r="AN52" s="113"/>
      <c r="AO52" s="113"/>
      <c r="AP52" s="113"/>
      <c r="AQ52" s="113"/>
      <c r="AR52" s="46">
        <v>0</v>
      </c>
      <c r="AS52" s="113"/>
      <c r="AT52" s="113"/>
      <c r="AU52" s="113"/>
      <c r="AV52" s="113"/>
      <c r="AW52" s="113"/>
      <c r="AX52" s="46">
        <v>0</v>
      </c>
      <c r="AY52" s="113"/>
      <c r="AZ52" s="113"/>
      <c r="BA52" s="113"/>
      <c r="BB52" s="113"/>
      <c r="BC52" s="113"/>
      <c r="BD52" s="46">
        <v>0</v>
      </c>
      <c r="BE52" s="113"/>
      <c r="BF52" s="113"/>
      <c r="BG52" s="113"/>
      <c r="BH52" s="113"/>
      <c r="BI52" s="113"/>
      <c r="BJ52" s="46">
        <v>0</v>
      </c>
      <c r="BK52" s="113"/>
      <c r="BL52" s="113"/>
      <c r="BM52" s="113"/>
      <c r="BN52" s="113"/>
      <c r="BO52" s="113"/>
      <c r="BP52" s="121"/>
      <c r="BQ52" s="121"/>
      <c r="GA52" t="s">
        <v>113</v>
      </c>
      <c r="GB52" t="s">
        <v>22939</v>
      </c>
      <c r="GC52" s="46">
        <v>0</v>
      </c>
      <c r="GD52" s="113"/>
      <c r="GE52" s="113"/>
      <c r="GF52" s="113"/>
      <c r="GG52" s="113"/>
      <c r="GH52" s="113"/>
      <c r="GI52" s="46">
        <v>0</v>
      </c>
      <c r="GJ52" s="113"/>
      <c r="GK52" s="113"/>
      <c r="GL52" s="113"/>
      <c r="GM52" s="113"/>
      <c r="GN52" s="113"/>
      <c r="GO52" s="46">
        <v>0</v>
      </c>
      <c r="GP52" s="113"/>
      <c r="GQ52" s="113"/>
      <c r="GR52" s="113"/>
      <c r="GS52" s="113"/>
      <c r="GT52" s="113"/>
      <c r="GU52" s="46">
        <v>0</v>
      </c>
      <c r="GV52" s="113"/>
      <c r="GW52" s="113"/>
      <c r="GX52" s="113"/>
      <c r="GY52" s="113"/>
      <c r="GZ52" s="113"/>
      <c r="HA52" s="46">
        <v>0</v>
      </c>
      <c r="HB52" s="113"/>
      <c r="HC52" s="113"/>
      <c r="HD52" s="113"/>
      <c r="HE52" s="113"/>
      <c r="HF52" s="113"/>
      <c r="HG52" s="46">
        <v>0</v>
      </c>
      <c r="HH52" s="113"/>
      <c r="HI52" s="113"/>
      <c r="HJ52" s="113"/>
      <c r="HK52" s="113"/>
      <c r="HL52" s="113"/>
      <c r="HM52" s="121"/>
      <c r="HN52" s="121"/>
      <c r="LM52" t="str">
        <v/>
      </c>
      <c r="LN52" t="str">
        <v/>
      </c>
      <c r="LO52" t="str">
        <v/>
      </c>
    </row>
    <row r="53" spans="30:327">
      <c r="AD53" t="s">
        <v>113</v>
      </c>
      <c r="AE53" t="s">
        <v>22940</v>
      </c>
      <c r="AF53" s="46">
        <v>0</v>
      </c>
      <c r="AG53" s="113"/>
      <c r="AH53" s="113"/>
      <c r="AI53" s="113"/>
      <c r="AJ53" s="113"/>
      <c r="AK53" s="113"/>
      <c r="AL53" s="46">
        <v>0</v>
      </c>
      <c r="AM53" s="113"/>
      <c r="AN53" s="113"/>
      <c r="AO53" s="113"/>
      <c r="AP53" s="113"/>
      <c r="AQ53" s="113"/>
      <c r="AR53" s="46">
        <v>0</v>
      </c>
      <c r="AS53" s="113"/>
      <c r="AT53" s="113"/>
      <c r="AU53" s="113"/>
      <c r="AV53" s="113"/>
      <c r="AW53" s="113"/>
      <c r="AX53" s="46">
        <v>0</v>
      </c>
      <c r="AY53" s="113"/>
      <c r="AZ53" s="113"/>
      <c r="BA53" s="113"/>
      <c r="BB53" s="113"/>
      <c r="BC53" s="113"/>
      <c r="BD53" s="46">
        <v>0</v>
      </c>
      <c r="BE53" s="113"/>
      <c r="BF53" s="113"/>
      <c r="BG53" s="113"/>
      <c r="BH53" s="113"/>
      <c r="BI53" s="113"/>
      <c r="BJ53" s="46">
        <v>0</v>
      </c>
      <c r="BK53" s="113"/>
      <c r="BL53" s="113"/>
      <c r="BM53" s="113"/>
      <c r="BN53" s="113"/>
      <c r="BO53" s="113"/>
      <c r="BP53" s="121"/>
      <c r="BQ53" s="121"/>
      <c r="GA53" t="s">
        <v>113</v>
      </c>
      <c r="GB53" t="s">
        <v>22940</v>
      </c>
      <c r="GC53" s="46">
        <v>0</v>
      </c>
      <c r="GD53" s="113"/>
      <c r="GE53" s="113"/>
      <c r="GF53" s="113"/>
      <c r="GG53" s="113"/>
      <c r="GH53" s="113"/>
      <c r="GI53" s="46">
        <v>0</v>
      </c>
      <c r="GJ53" s="113"/>
      <c r="GK53" s="113"/>
      <c r="GL53" s="113"/>
      <c r="GM53" s="113"/>
      <c r="GN53" s="113"/>
      <c r="GO53" s="46">
        <v>0</v>
      </c>
      <c r="GP53" s="113"/>
      <c r="GQ53" s="113"/>
      <c r="GR53" s="113"/>
      <c r="GS53" s="113"/>
      <c r="GT53" s="113"/>
      <c r="GU53" s="46">
        <v>0</v>
      </c>
      <c r="GV53" s="113"/>
      <c r="GW53" s="113"/>
      <c r="GX53" s="113"/>
      <c r="GY53" s="113"/>
      <c r="GZ53" s="113"/>
      <c r="HA53" s="46">
        <v>0</v>
      </c>
      <c r="HB53" s="113"/>
      <c r="HC53" s="113"/>
      <c r="HD53" s="113"/>
      <c r="HE53" s="113"/>
      <c r="HF53" s="113"/>
      <c r="HG53" s="46">
        <v>0</v>
      </c>
      <c r="HH53" s="113"/>
      <c r="HI53" s="113"/>
      <c r="HJ53" s="113"/>
      <c r="HK53" s="113"/>
      <c r="HL53" s="113"/>
      <c r="HM53" s="121"/>
      <c r="HN53" s="121"/>
      <c r="LM53" t="str">
        <v/>
      </c>
      <c r="LN53" t="str">
        <v/>
      </c>
      <c r="LO53" t="str">
        <v/>
      </c>
    </row>
    <row r="54" spans="30:327">
      <c r="AD54" t="s">
        <v>113</v>
      </c>
      <c r="AE54" t="s">
        <v>22941</v>
      </c>
      <c r="AF54" s="46">
        <v>0</v>
      </c>
      <c r="AG54" s="113"/>
      <c r="AH54" s="113"/>
      <c r="AI54" s="113"/>
      <c r="AJ54" s="113"/>
      <c r="AK54" s="113"/>
      <c r="AL54" s="46">
        <v>0</v>
      </c>
      <c r="AM54" s="113"/>
      <c r="AN54" s="113"/>
      <c r="AO54" s="113"/>
      <c r="AP54" s="113"/>
      <c r="AQ54" s="113"/>
      <c r="AR54" s="46">
        <v>0</v>
      </c>
      <c r="AS54" s="113"/>
      <c r="AT54" s="113"/>
      <c r="AU54" s="113"/>
      <c r="AV54" s="113"/>
      <c r="AW54" s="113"/>
      <c r="AX54" s="46">
        <v>0</v>
      </c>
      <c r="AY54" s="113"/>
      <c r="AZ54" s="113"/>
      <c r="BA54" s="113"/>
      <c r="BB54" s="113"/>
      <c r="BC54" s="113"/>
      <c r="BD54" s="46">
        <v>0</v>
      </c>
      <c r="BE54" s="113"/>
      <c r="BF54" s="113"/>
      <c r="BG54" s="113"/>
      <c r="BH54" s="113"/>
      <c r="BI54" s="113"/>
      <c r="BJ54" s="46">
        <v>0</v>
      </c>
      <c r="BK54" s="113"/>
      <c r="BL54" s="113"/>
      <c r="BM54" s="113"/>
      <c r="BN54" s="113"/>
      <c r="BO54" s="113"/>
      <c r="BP54" s="121"/>
      <c r="BQ54" s="121"/>
      <c r="GA54" t="s">
        <v>113</v>
      </c>
      <c r="GB54" t="s">
        <v>22941</v>
      </c>
      <c r="GC54" s="46">
        <v>0</v>
      </c>
      <c r="GD54" s="113"/>
      <c r="GE54" s="113"/>
      <c r="GF54" s="113"/>
      <c r="GG54" s="113"/>
      <c r="GH54" s="113"/>
      <c r="GI54" s="46">
        <v>0</v>
      </c>
      <c r="GJ54" s="113"/>
      <c r="GK54" s="113"/>
      <c r="GL54" s="113"/>
      <c r="GM54" s="113"/>
      <c r="GN54" s="113"/>
      <c r="GO54" s="46">
        <v>0</v>
      </c>
      <c r="GP54" s="113"/>
      <c r="GQ54" s="113"/>
      <c r="GR54" s="113"/>
      <c r="GS54" s="113"/>
      <c r="GT54" s="113"/>
      <c r="GU54" s="46">
        <v>0</v>
      </c>
      <c r="GV54" s="113"/>
      <c r="GW54" s="113"/>
      <c r="GX54" s="113"/>
      <c r="GY54" s="113"/>
      <c r="GZ54" s="113"/>
      <c r="HA54" s="46">
        <v>0</v>
      </c>
      <c r="HB54" s="113"/>
      <c r="HC54" s="113"/>
      <c r="HD54" s="113"/>
      <c r="HE54" s="113"/>
      <c r="HF54" s="113"/>
      <c r="HG54" s="46">
        <v>0</v>
      </c>
      <c r="HH54" s="113"/>
      <c r="HI54" s="113"/>
      <c r="HJ54" s="113"/>
      <c r="HK54" s="113"/>
      <c r="HL54" s="113"/>
      <c r="HM54" s="121"/>
      <c r="HN54" s="121"/>
      <c r="LM54" t="str">
        <v/>
      </c>
      <c r="LN54" t="str">
        <v/>
      </c>
      <c r="LO54" t="str">
        <v/>
      </c>
    </row>
    <row r="55" spans="30:327">
      <c r="AD55" t="s">
        <v>113</v>
      </c>
      <c r="AE55" t="s">
        <v>22942</v>
      </c>
      <c r="AF55" s="46">
        <v>0</v>
      </c>
      <c r="AG55" s="113"/>
      <c r="AH55" s="113"/>
      <c r="AI55" s="113"/>
      <c r="AJ55" s="113"/>
      <c r="AK55" s="113"/>
      <c r="AL55" s="46">
        <v>0</v>
      </c>
      <c r="AM55" s="113"/>
      <c r="AN55" s="113"/>
      <c r="AO55" s="113"/>
      <c r="AP55" s="113"/>
      <c r="AQ55" s="113"/>
      <c r="AR55" s="46">
        <v>0</v>
      </c>
      <c r="AS55" s="113"/>
      <c r="AT55" s="113"/>
      <c r="AU55" s="113"/>
      <c r="AV55" s="113"/>
      <c r="AW55" s="113"/>
      <c r="AX55" s="46">
        <v>0</v>
      </c>
      <c r="AY55" s="113"/>
      <c r="AZ55" s="113"/>
      <c r="BA55" s="113"/>
      <c r="BB55" s="113"/>
      <c r="BC55" s="113"/>
      <c r="BD55" s="46">
        <v>0</v>
      </c>
      <c r="BE55" s="113"/>
      <c r="BF55" s="113"/>
      <c r="BG55" s="113"/>
      <c r="BH55" s="113"/>
      <c r="BI55" s="113"/>
      <c r="BJ55" s="46">
        <v>0</v>
      </c>
      <c r="BK55" s="113"/>
      <c r="BL55" s="113"/>
      <c r="BM55" s="113"/>
      <c r="BN55" s="113"/>
      <c r="BO55" s="113"/>
      <c r="BP55" s="121"/>
      <c r="BQ55" s="121"/>
      <c r="GA55" t="s">
        <v>113</v>
      </c>
      <c r="GB55" t="s">
        <v>22942</v>
      </c>
      <c r="GC55" s="46">
        <v>0</v>
      </c>
      <c r="GD55" s="113"/>
      <c r="GE55" s="113"/>
      <c r="GF55" s="113"/>
      <c r="GG55" s="113"/>
      <c r="GH55" s="113"/>
      <c r="GI55" s="46">
        <v>0</v>
      </c>
      <c r="GJ55" s="113"/>
      <c r="GK55" s="113"/>
      <c r="GL55" s="113"/>
      <c r="GM55" s="113"/>
      <c r="GN55" s="113"/>
      <c r="GO55" s="46">
        <v>0</v>
      </c>
      <c r="GP55" s="113"/>
      <c r="GQ55" s="113"/>
      <c r="GR55" s="113"/>
      <c r="GS55" s="113"/>
      <c r="GT55" s="113"/>
      <c r="GU55" s="46">
        <v>0</v>
      </c>
      <c r="GV55" s="113"/>
      <c r="GW55" s="113"/>
      <c r="GX55" s="113"/>
      <c r="GY55" s="113"/>
      <c r="GZ55" s="113"/>
      <c r="HA55" s="46">
        <v>0</v>
      </c>
      <c r="HB55" s="113"/>
      <c r="HC55" s="113"/>
      <c r="HD55" s="113"/>
      <c r="HE55" s="113"/>
      <c r="HF55" s="113"/>
      <c r="HG55" s="46">
        <v>0</v>
      </c>
      <c r="HH55" s="113"/>
      <c r="HI55" s="113"/>
      <c r="HJ55" s="113"/>
      <c r="HK55" s="113"/>
      <c r="HL55" s="113"/>
      <c r="HM55" s="121"/>
      <c r="HN55" s="121"/>
      <c r="LM55" t="str">
        <v/>
      </c>
      <c r="LN55" t="str">
        <v/>
      </c>
      <c r="LO55" t="str">
        <v/>
      </c>
    </row>
    <row r="56" spans="30:327">
      <c r="AD56" t="s">
        <v>113</v>
      </c>
      <c r="AE56" t="s">
        <v>22943</v>
      </c>
      <c r="AF56" s="46">
        <v>0</v>
      </c>
      <c r="AG56" s="113"/>
      <c r="AH56" s="113"/>
      <c r="AI56" s="113"/>
      <c r="AJ56" s="113"/>
      <c r="AK56" s="113"/>
      <c r="AL56" s="46">
        <v>0</v>
      </c>
      <c r="AM56" s="113"/>
      <c r="AN56" s="113"/>
      <c r="AO56" s="113"/>
      <c r="AP56" s="113"/>
      <c r="AQ56" s="113"/>
      <c r="AR56" s="46">
        <v>0</v>
      </c>
      <c r="AS56" s="113"/>
      <c r="AT56" s="113"/>
      <c r="AU56" s="113"/>
      <c r="AV56" s="113"/>
      <c r="AW56" s="113"/>
      <c r="AX56" s="46">
        <v>0</v>
      </c>
      <c r="AY56" s="113"/>
      <c r="AZ56" s="113"/>
      <c r="BA56" s="113"/>
      <c r="BB56" s="113"/>
      <c r="BC56" s="113"/>
      <c r="BD56" s="46">
        <v>0</v>
      </c>
      <c r="BE56" s="113"/>
      <c r="BF56" s="113"/>
      <c r="BG56" s="113"/>
      <c r="BH56" s="113"/>
      <c r="BI56" s="113"/>
      <c r="BJ56" s="46">
        <v>0</v>
      </c>
      <c r="BK56" s="113"/>
      <c r="BL56" s="113"/>
      <c r="BM56" s="113"/>
      <c r="BN56" s="113"/>
      <c r="BO56" s="113"/>
      <c r="BP56" s="121"/>
      <c r="BQ56" s="121"/>
      <c r="GA56" t="s">
        <v>113</v>
      </c>
      <c r="GB56" t="s">
        <v>22943</v>
      </c>
      <c r="GC56" s="46">
        <v>0</v>
      </c>
      <c r="GD56" s="113"/>
      <c r="GE56" s="113"/>
      <c r="GF56" s="113"/>
      <c r="GG56" s="113"/>
      <c r="GH56" s="113"/>
      <c r="GI56" s="46">
        <v>0</v>
      </c>
      <c r="GJ56" s="113"/>
      <c r="GK56" s="113"/>
      <c r="GL56" s="113"/>
      <c r="GM56" s="113"/>
      <c r="GN56" s="113"/>
      <c r="GO56" s="46">
        <v>0</v>
      </c>
      <c r="GP56" s="113"/>
      <c r="GQ56" s="113"/>
      <c r="GR56" s="113"/>
      <c r="GS56" s="113"/>
      <c r="GT56" s="113"/>
      <c r="GU56" s="46">
        <v>0</v>
      </c>
      <c r="GV56" s="113"/>
      <c r="GW56" s="113"/>
      <c r="GX56" s="113"/>
      <c r="GY56" s="113"/>
      <c r="GZ56" s="113"/>
      <c r="HA56" s="46">
        <v>0</v>
      </c>
      <c r="HB56" s="113"/>
      <c r="HC56" s="113"/>
      <c r="HD56" s="113"/>
      <c r="HE56" s="113"/>
      <c r="HF56" s="113"/>
      <c r="HG56" s="46">
        <v>0</v>
      </c>
      <c r="HH56" s="113"/>
      <c r="HI56" s="113"/>
      <c r="HJ56" s="113"/>
      <c r="HK56" s="113"/>
      <c r="HL56" s="113"/>
      <c r="HM56" s="121"/>
      <c r="HN56" s="121"/>
      <c r="LM56" t="str">
        <v/>
      </c>
      <c r="LN56" t="str">
        <v/>
      </c>
      <c r="LO56" t="str">
        <v/>
      </c>
    </row>
    <row r="57" spans="30:327">
      <c r="AD57" t="s">
        <v>113</v>
      </c>
      <c r="AE57" t="s">
        <v>22944</v>
      </c>
      <c r="AF57" s="46">
        <v>0</v>
      </c>
      <c r="AG57" s="113"/>
      <c r="AH57" s="113"/>
      <c r="AI57" s="113"/>
      <c r="AJ57" s="113"/>
      <c r="AK57" s="113"/>
      <c r="AL57" s="46">
        <v>0</v>
      </c>
      <c r="AM57" s="113"/>
      <c r="AN57" s="113"/>
      <c r="AO57" s="113"/>
      <c r="AP57" s="113"/>
      <c r="AQ57" s="113"/>
      <c r="AR57" s="46">
        <v>0</v>
      </c>
      <c r="AS57" s="113"/>
      <c r="AT57" s="113"/>
      <c r="AU57" s="113"/>
      <c r="AV57" s="113"/>
      <c r="AW57" s="113"/>
      <c r="AX57" s="46">
        <v>0</v>
      </c>
      <c r="AY57" s="113"/>
      <c r="AZ57" s="113"/>
      <c r="BA57" s="113"/>
      <c r="BB57" s="113"/>
      <c r="BC57" s="113"/>
      <c r="BD57" s="46">
        <v>0</v>
      </c>
      <c r="BE57" s="113"/>
      <c r="BF57" s="113"/>
      <c r="BG57" s="113"/>
      <c r="BH57" s="113"/>
      <c r="BI57" s="113"/>
      <c r="BJ57" s="46">
        <v>0</v>
      </c>
      <c r="BK57" s="113"/>
      <c r="BL57" s="113"/>
      <c r="BM57" s="113"/>
      <c r="BN57" s="113"/>
      <c r="BO57" s="113"/>
      <c r="BP57" s="121"/>
      <c r="BQ57" s="121"/>
      <c r="GA57" t="s">
        <v>113</v>
      </c>
      <c r="GB57" t="s">
        <v>22944</v>
      </c>
      <c r="GC57" s="46">
        <v>0</v>
      </c>
      <c r="GD57" s="113"/>
      <c r="GE57" s="113"/>
      <c r="GF57" s="113"/>
      <c r="GG57" s="113"/>
      <c r="GH57" s="113"/>
      <c r="GI57" s="46">
        <v>0</v>
      </c>
      <c r="GJ57" s="113"/>
      <c r="GK57" s="113"/>
      <c r="GL57" s="113"/>
      <c r="GM57" s="113"/>
      <c r="GN57" s="113"/>
      <c r="GO57" s="46">
        <v>0</v>
      </c>
      <c r="GP57" s="113"/>
      <c r="GQ57" s="113"/>
      <c r="GR57" s="113"/>
      <c r="GS57" s="113"/>
      <c r="GT57" s="113"/>
      <c r="GU57" s="46">
        <v>0</v>
      </c>
      <c r="GV57" s="113"/>
      <c r="GW57" s="113"/>
      <c r="GX57" s="113"/>
      <c r="GY57" s="113"/>
      <c r="GZ57" s="113"/>
      <c r="HA57" s="46">
        <v>0</v>
      </c>
      <c r="HB57" s="113"/>
      <c r="HC57" s="113"/>
      <c r="HD57" s="113"/>
      <c r="HE57" s="113"/>
      <c r="HF57" s="113"/>
      <c r="HG57" s="46">
        <v>0</v>
      </c>
      <c r="HH57" s="113"/>
      <c r="HI57" s="113"/>
      <c r="HJ57" s="113"/>
      <c r="HK57" s="113"/>
      <c r="HL57" s="113"/>
      <c r="HM57" s="121"/>
      <c r="HN57" s="121"/>
      <c r="LM57" t="str">
        <v/>
      </c>
      <c r="LN57" t="str">
        <v/>
      </c>
      <c r="LO57" t="str">
        <v/>
      </c>
    </row>
    <row r="58" spans="30:327">
      <c r="AD58" t="s">
        <v>113</v>
      </c>
      <c r="AE58" t="s">
        <v>22945</v>
      </c>
      <c r="AF58" s="46">
        <v>0</v>
      </c>
      <c r="AG58" s="113"/>
      <c r="AH58" s="113"/>
      <c r="AI58" s="113"/>
      <c r="AJ58" s="113"/>
      <c r="AK58" s="113"/>
      <c r="AL58" s="46">
        <v>0</v>
      </c>
      <c r="AM58" s="113"/>
      <c r="AN58" s="113"/>
      <c r="AO58" s="113"/>
      <c r="AP58" s="113"/>
      <c r="AQ58" s="113"/>
      <c r="AR58" s="46">
        <v>0</v>
      </c>
      <c r="AS58" s="113"/>
      <c r="AT58" s="113"/>
      <c r="AU58" s="113"/>
      <c r="AV58" s="113"/>
      <c r="AW58" s="113"/>
      <c r="AX58" s="46">
        <v>0</v>
      </c>
      <c r="AY58" s="113"/>
      <c r="AZ58" s="113"/>
      <c r="BA58" s="113"/>
      <c r="BB58" s="113"/>
      <c r="BC58" s="113"/>
      <c r="BD58" s="46">
        <v>0</v>
      </c>
      <c r="BE58" s="113"/>
      <c r="BF58" s="113"/>
      <c r="BG58" s="113"/>
      <c r="BH58" s="113"/>
      <c r="BI58" s="113"/>
      <c r="BJ58" s="46">
        <v>0</v>
      </c>
      <c r="BK58" s="113"/>
      <c r="BL58" s="113"/>
      <c r="BM58" s="113"/>
      <c r="BN58" s="113"/>
      <c r="BO58" s="113"/>
      <c r="BP58" s="121"/>
      <c r="BQ58" s="121"/>
      <c r="GA58" t="s">
        <v>113</v>
      </c>
      <c r="GB58" t="s">
        <v>22945</v>
      </c>
      <c r="GC58" s="46">
        <v>0</v>
      </c>
      <c r="GD58" s="113"/>
      <c r="GE58" s="113"/>
      <c r="GF58" s="113"/>
      <c r="GG58" s="113"/>
      <c r="GH58" s="113"/>
      <c r="GI58" s="46">
        <v>0</v>
      </c>
      <c r="GJ58" s="113"/>
      <c r="GK58" s="113"/>
      <c r="GL58" s="113"/>
      <c r="GM58" s="113"/>
      <c r="GN58" s="113"/>
      <c r="GO58" s="46">
        <v>0</v>
      </c>
      <c r="GP58" s="113"/>
      <c r="GQ58" s="113"/>
      <c r="GR58" s="113"/>
      <c r="GS58" s="113"/>
      <c r="GT58" s="113"/>
      <c r="GU58" s="46">
        <v>0</v>
      </c>
      <c r="GV58" s="113"/>
      <c r="GW58" s="113"/>
      <c r="GX58" s="113"/>
      <c r="GY58" s="113"/>
      <c r="GZ58" s="113"/>
      <c r="HA58" s="46">
        <v>0</v>
      </c>
      <c r="HB58" s="113"/>
      <c r="HC58" s="113"/>
      <c r="HD58" s="113"/>
      <c r="HE58" s="113"/>
      <c r="HF58" s="113"/>
      <c r="HG58" s="46">
        <v>0</v>
      </c>
      <c r="HH58" s="113"/>
      <c r="HI58" s="113"/>
      <c r="HJ58" s="113"/>
      <c r="HK58" s="113"/>
      <c r="HL58" s="113"/>
      <c r="HM58" s="121"/>
      <c r="HN58" s="121"/>
      <c r="LM58" t="str">
        <v/>
      </c>
      <c r="LN58" t="str">
        <v/>
      </c>
      <c r="LO58" t="str">
        <v/>
      </c>
    </row>
    <row r="59" spans="30:327">
      <c r="AD59" t="s">
        <v>113</v>
      </c>
      <c r="AE59" t="s">
        <v>22946</v>
      </c>
      <c r="AF59" s="46">
        <v>0</v>
      </c>
      <c r="AG59" s="113"/>
      <c r="AH59" s="113"/>
      <c r="AI59" s="113"/>
      <c r="AJ59" s="113"/>
      <c r="AK59" s="113"/>
      <c r="AL59" s="46">
        <v>0</v>
      </c>
      <c r="AM59" s="113"/>
      <c r="AN59" s="113"/>
      <c r="AO59" s="113"/>
      <c r="AP59" s="113"/>
      <c r="AQ59" s="113"/>
      <c r="AR59" s="46">
        <v>0</v>
      </c>
      <c r="AS59" s="113"/>
      <c r="AT59" s="113"/>
      <c r="AU59" s="113"/>
      <c r="AV59" s="113"/>
      <c r="AW59" s="113"/>
      <c r="AX59" s="46">
        <v>0</v>
      </c>
      <c r="AY59" s="113"/>
      <c r="AZ59" s="113"/>
      <c r="BA59" s="113"/>
      <c r="BB59" s="113"/>
      <c r="BC59" s="113"/>
      <c r="BD59" s="46">
        <v>0</v>
      </c>
      <c r="BE59" s="113"/>
      <c r="BF59" s="113"/>
      <c r="BG59" s="113"/>
      <c r="BH59" s="113"/>
      <c r="BI59" s="113"/>
      <c r="BJ59" s="46">
        <v>0</v>
      </c>
      <c r="BK59" s="113"/>
      <c r="BL59" s="113"/>
      <c r="BM59" s="113"/>
      <c r="BN59" s="113"/>
      <c r="BO59" s="113"/>
      <c r="BP59" s="121"/>
      <c r="BQ59" s="121"/>
      <c r="GA59" t="s">
        <v>113</v>
      </c>
      <c r="GB59" t="s">
        <v>22946</v>
      </c>
      <c r="GC59" s="46">
        <v>0</v>
      </c>
      <c r="GD59" s="113"/>
      <c r="GE59" s="113"/>
      <c r="GF59" s="113"/>
      <c r="GG59" s="113"/>
      <c r="GH59" s="113"/>
      <c r="GI59" s="46">
        <v>0</v>
      </c>
      <c r="GJ59" s="113"/>
      <c r="GK59" s="113"/>
      <c r="GL59" s="113"/>
      <c r="GM59" s="113"/>
      <c r="GN59" s="113"/>
      <c r="GO59" s="46">
        <v>0</v>
      </c>
      <c r="GP59" s="113"/>
      <c r="GQ59" s="113"/>
      <c r="GR59" s="113"/>
      <c r="GS59" s="113"/>
      <c r="GT59" s="113"/>
      <c r="GU59" s="46">
        <v>0</v>
      </c>
      <c r="GV59" s="113"/>
      <c r="GW59" s="113"/>
      <c r="GX59" s="113"/>
      <c r="GY59" s="113"/>
      <c r="GZ59" s="113"/>
      <c r="HA59" s="46">
        <v>0</v>
      </c>
      <c r="HB59" s="113"/>
      <c r="HC59" s="113"/>
      <c r="HD59" s="113"/>
      <c r="HE59" s="113"/>
      <c r="HF59" s="113"/>
      <c r="HG59" s="46">
        <v>0</v>
      </c>
      <c r="HH59" s="113"/>
      <c r="HI59" s="113"/>
      <c r="HJ59" s="113"/>
      <c r="HK59" s="113"/>
      <c r="HL59" s="113"/>
      <c r="HM59" s="121"/>
      <c r="HN59" s="121"/>
      <c r="LM59" t="str">
        <v/>
      </c>
      <c r="LN59" t="str">
        <v/>
      </c>
      <c r="LO59" t="str">
        <v/>
      </c>
    </row>
    <row r="60" spans="30:327">
      <c r="AD60" t="s">
        <v>113</v>
      </c>
      <c r="AE60" t="s">
        <v>22947</v>
      </c>
      <c r="AF60" s="46">
        <v>0</v>
      </c>
      <c r="AG60" s="113"/>
      <c r="AH60" s="113"/>
      <c r="AI60" s="113"/>
      <c r="AJ60" s="113"/>
      <c r="AK60" s="113"/>
      <c r="AL60" s="46">
        <v>0</v>
      </c>
      <c r="AM60" s="113"/>
      <c r="AN60" s="113"/>
      <c r="AO60" s="113"/>
      <c r="AP60" s="113"/>
      <c r="AQ60" s="113"/>
      <c r="AR60" s="46">
        <v>0</v>
      </c>
      <c r="AS60" s="113"/>
      <c r="AT60" s="113"/>
      <c r="AU60" s="113"/>
      <c r="AV60" s="113"/>
      <c r="AW60" s="113"/>
      <c r="AX60" s="46">
        <v>0</v>
      </c>
      <c r="AY60" s="113"/>
      <c r="AZ60" s="113"/>
      <c r="BA60" s="113"/>
      <c r="BB60" s="113"/>
      <c r="BC60" s="113"/>
      <c r="BD60" s="46">
        <v>0</v>
      </c>
      <c r="BE60" s="113"/>
      <c r="BF60" s="113"/>
      <c r="BG60" s="113"/>
      <c r="BH60" s="113"/>
      <c r="BI60" s="113"/>
      <c r="BJ60" s="46">
        <v>0</v>
      </c>
      <c r="BK60" s="113"/>
      <c r="BL60" s="113"/>
      <c r="BM60" s="113"/>
      <c r="BN60" s="113"/>
      <c r="BO60" s="113"/>
      <c r="BP60" s="121"/>
      <c r="BQ60" s="121"/>
      <c r="GA60" t="s">
        <v>113</v>
      </c>
      <c r="GB60" t="s">
        <v>22947</v>
      </c>
      <c r="GC60" s="46">
        <v>0</v>
      </c>
      <c r="GD60" s="113"/>
      <c r="GE60" s="113"/>
      <c r="GF60" s="113"/>
      <c r="GG60" s="113"/>
      <c r="GH60" s="113"/>
      <c r="GI60" s="46">
        <v>0</v>
      </c>
      <c r="GJ60" s="113"/>
      <c r="GK60" s="113"/>
      <c r="GL60" s="113"/>
      <c r="GM60" s="113"/>
      <c r="GN60" s="113"/>
      <c r="GO60" s="46">
        <v>0</v>
      </c>
      <c r="GP60" s="113"/>
      <c r="GQ60" s="113"/>
      <c r="GR60" s="113"/>
      <c r="GS60" s="113"/>
      <c r="GT60" s="113"/>
      <c r="GU60" s="46">
        <v>0</v>
      </c>
      <c r="GV60" s="113"/>
      <c r="GW60" s="113"/>
      <c r="GX60" s="113"/>
      <c r="GY60" s="113"/>
      <c r="GZ60" s="113"/>
      <c r="HA60" s="46">
        <v>0</v>
      </c>
      <c r="HB60" s="113"/>
      <c r="HC60" s="113"/>
      <c r="HD60" s="113"/>
      <c r="HE60" s="113"/>
      <c r="HF60" s="113"/>
      <c r="HG60" s="46">
        <v>0</v>
      </c>
      <c r="HH60" s="113"/>
      <c r="HI60" s="113"/>
      <c r="HJ60" s="113"/>
      <c r="HK60" s="113"/>
      <c r="HL60" s="113"/>
      <c r="HM60" s="121"/>
      <c r="HN60" s="121"/>
      <c r="LM60" t="str">
        <v/>
      </c>
      <c r="LN60" t="str">
        <v/>
      </c>
      <c r="LO60" t="str">
        <v/>
      </c>
    </row>
    <row r="61" spans="30:327">
      <c r="AD61" t="s">
        <v>113</v>
      </c>
      <c r="AE61" t="s">
        <v>22948</v>
      </c>
      <c r="AF61" s="46">
        <v>0</v>
      </c>
      <c r="AG61" s="113"/>
      <c r="AH61" s="113"/>
      <c r="AI61" s="113"/>
      <c r="AJ61" s="113"/>
      <c r="AK61" s="113"/>
      <c r="AL61" s="46">
        <v>0</v>
      </c>
      <c r="AM61" s="113"/>
      <c r="AN61" s="113"/>
      <c r="AO61" s="113"/>
      <c r="AP61" s="113"/>
      <c r="AQ61" s="113"/>
      <c r="AR61" s="46">
        <v>0</v>
      </c>
      <c r="AS61" s="113"/>
      <c r="AT61" s="113"/>
      <c r="AU61" s="113"/>
      <c r="AV61" s="113"/>
      <c r="AW61" s="113"/>
      <c r="AX61" s="46">
        <v>0</v>
      </c>
      <c r="AY61" s="113"/>
      <c r="AZ61" s="113"/>
      <c r="BA61" s="113"/>
      <c r="BB61" s="113"/>
      <c r="BC61" s="113"/>
      <c r="BD61" s="46">
        <v>0</v>
      </c>
      <c r="BE61" s="113"/>
      <c r="BF61" s="113"/>
      <c r="BG61" s="113"/>
      <c r="BH61" s="113"/>
      <c r="BI61" s="113"/>
      <c r="BJ61" s="46">
        <v>0</v>
      </c>
      <c r="BK61" s="113"/>
      <c r="BL61" s="113"/>
      <c r="BM61" s="113"/>
      <c r="BN61" s="113"/>
      <c r="BO61" s="113"/>
      <c r="BP61" s="121"/>
      <c r="BQ61" s="121"/>
      <c r="GA61" t="s">
        <v>113</v>
      </c>
      <c r="GB61" t="s">
        <v>22948</v>
      </c>
      <c r="GC61" s="46">
        <v>0</v>
      </c>
      <c r="GD61" s="113"/>
      <c r="GE61" s="113"/>
      <c r="GF61" s="113"/>
      <c r="GG61" s="113"/>
      <c r="GH61" s="113"/>
      <c r="GI61" s="46">
        <v>0</v>
      </c>
      <c r="GJ61" s="113"/>
      <c r="GK61" s="113"/>
      <c r="GL61" s="113"/>
      <c r="GM61" s="113"/>
      <c r="GN61" s="113"/>
      <c r="GO61" s="46">
        <v>0</v>
      </c>
      <c r="GP61" s="113"/>
      <c r="GQ61" s="113"/>
      <c r="GR61" s="113"/>
      <c r="GS61" s="113"/>
      <c r="GT61" s="113"/>
      <c r="GU61" s="46">
        <v>0</v>
      </c>
      <c r="GV61" s="113"/>
      <c r="GW61" s="113"/>
      <c r="GX61" s="113"/>
      <c r="GY61" s="113"/>
      <c r="GZ61" s="113"/>
      <c r="HA61" s="46">
        <v>0</v>
      </c>
      <c r="HB61" s="113"/>
      <c r="HC61" s="113"/>
      <c r="HD61" s="113"/>
      <c r="HE61" s="113"/>
      <c r="HF61" s="113"/>
      <c r="HG61" s="46">
        <v>0</v>
      </c>
      <c r="HH61" s="113"/>
      <c r="HI61" s="113"/>
      <c r="HJ61" s="113"/>
      <c r="HK61" s="113"/>
      <c r="HL61" s="113"/>
      <c r="HM61" s="121"/>
      <c r="HN61" s="121"/>
      <c r="LM61" t="str">
        <v/>
      </c>
      <c r="LN61" t="str">
        <v/>
      </c>
      <c r="LO61" t="str">
        <v/>
      </c>
    </row>
    <row r="62" spans="30:327">
      <c r="AD62" t="s">
        <v>113</v>
      </c>
      <c r="AE62" t="s">
        <v>22949</v>
      </c>
      <c r="AF62" s="46">
        <v>0</v>
      </c>
      <c r="AG62" s="113"/>
      <c r="AH62" s="113"/>
      <c r="AI62" s="113"/>
      <c r="AJ62" s="113"/>
      <c r="AK62" s="113"/>
      <c r="AL62" s="46">
        <v>0</v>
      </c>
      <c r="AM62" s="113"/>
      <c r="AN62" s="113"/>
      <c r="AO62" s="113"/>
      <c r="AP62" s="113"/>
      <c r="AQ62" s="113"/>
      <c r="AR62" s="46">
        <v>0</v>
      </c>
      <c r="AS62" s="113"/>
      <c r="AT62" s="113"/>
      <c r="AU62" s="113"/>
      <c r="AV62" s="113"/>
      <c r="AW62" s="113"/>
      <c r="AX62" s="46">
        <v>0</v>
      </c>
      <c r="AY62" s="113"/>
      <c r="AZ62" s="113"/>
      <c r="BA62" s="113"/>
      <c r="BB62" s="113"/>
      <c r="BC62" s="113"/>
      <c r="BD62" s="46">
        <v>0</v>
      </c>
      <c r="BE62" s="113"/>
      <c r="BF62" s="113"/>
      <c r="BG62" s="113"/>
      <c r="BH62" s="113"/>
      <c r="BI62" s="113"/>
      <c r="BJ62" s="46">
        <v>0</v>
      </c>
      <c r="BK62" s="113"/>
      <c r="BL62" s="113"/>
      <c r="BM62" s="113"/>
      <c r="BN62" s="113"/>
      <c r="BO62" s="113"/>
      <c r="BP62" s="121"/>
      <c r="BQ62" s="121"/>
      <c r="GA62" t="s">
        <v>113</v>
      </c>
      <c r="GB62" t="s">
        <v>22949</v>
      </c>
      <c r="GC62" s="46">
        <v>0</v>
      </c>
      <c r="GD62" s="113"/>
      <c r="GE62" s="113"/>
      <c r="GF62" s="113"/>
      <c r="GG62" s="113"/>
      <c r="GH62" s="113"/>
      <c r="GI62" s="46">
        <v>0</v>
      </c>
      <c r="GJ62" s="113"/>
      <c r="GK62" s="113"/>
      <c r="GL62" s="113"/>
      <c r="GM62" s="113"/>
      <c r="GN62" s="113"/>
      <c r="GO62" s="46">
        <v>0</v>
      </c>
      <c r="GP62" s="113"/>
      <c r="GQ62" s="113"/>
      <c r="GR62" s="113"/>
      <c r="GS62" s="113"/>
      <c r="GT62" s="113"/>
      <c r="GU62" s="46">
        <v>0</v>
      </c>
      <c r="GV62" s="113"/>
      <c r="GW62" s="113"/>
      <c r="GX62" s="113"/>
      <c r="GY62" s="113"/>
      <c r="GZ62" s="113"/>
      <c r="HA62" s="46">
        <v>0</v>
      </c>
      <c r="HB62" s="113"/>
      <c r="HC62" s="113"/>
      <c r="HD62" s="113"/>
      <c r="HE62" s="113"/>
      <c r="HF62" s="113"/>
      <c r="HG62" s="46">
        <v>0</v>
      </c>
      <c r="HH62" s="113"/>
      <c r="HI62" s="113"/>
      <c r="HJ62" s="113"/>
      <c r="HK62" s="113"/>
      <c r="HL62" s="113"/>
      <c r="HM62" s="121"/>
      <c r="HN62" s="121"/>
      <c r="LM62" t="str">
        <v/>
      </c>
      <c r="LN62" t="str">
        <v/>
      </c>
      <c r="LO62" t="str">
        <v/>
      </c>
    </row>
    <row r="63" spans="30:327">
      <c r="AD63" t="s">
        <v>113</v>
      </c>
      <c r="AE63" t="s">
        <v>22950</v>
      </c>
      <c r="AF63" s="46">
        <v>0</v>
      </c>
      <c r="AG63" s="113"/>
      <c r="AH63" s="113"/>
      <c r="AI63" s="113"/>
      <c r="AJ63" s="113"/>
      <c r="AK63" s="113"/>
      <c r="AL63" s="46">
        <v>0</v>
      </c>
      <c r="AM63" s="113"/>
      <c r="AN63" s="113"/>
      <c r="AO63" s="113"/>
      <c r="AP63" s="113"/>
      <c r="AQ63" s="113"/>
      <c r="AR63" s="46">
        <v>0</v>
      </c>
      <c r="AS63" s="113"/>
      <c r="AT63" s="113"/>
      <c r="AU63" s="113"/>
      <c r="AV63" s="113"/>
      <c r="AW63" s="113"/>
      <c r="AX63" s="46">
        <v>0</v>
      </c>
      <c r="AY63" s="113"/>
      <c r="AZ63" s="113"/>
      <c r="BA63" s="113"/>
      <c r="BB63" s="113"/>
      <c r="BC63" s="113"/>
      <c r="BD63" s="46">
        <v>0</v>
      </c>
      <c r="BE63" s="113"/>
      <c r="BF63" s="113"/>
      <c r="BG63" s="113"/>
      <c r="BH63" s="113"/>
      <c r="BI63" s="113"/>
      <c r="BJ63" s="46">
        <v>0</v>
      </c>
      <c r="BK63" s="113"/>
      <c r="BL63" s="113"/>
      <c r="BM63" s="113"/>
      <c r="BN63" s="113"/>
      <c r="BO63" s="113"/>
      <c r="BP63" s="121"/>
      <c r="BQ63" s="121"/>
      <c r="GA63" t="s">
        <v>113</v>
      </c>
      <c r="GB63" t="s">
        <v>22950</v>
      </c>
      <c r="GC63" s="46">
        <v>0</v>
      </c>
      <c r="GD63" s="113"/>
      <c r="GE63" s="113"/>
      <c r="GF63" s="113"/>
      <c r="GG63" s="113"/>
      <c r="GH63" s="113"/>
      <c r="GI63" s="46">
        <v>0</v>
      </c>
      <c r="GJ63" s="113"/>
      <c r="GK63" s="113"/>
      <c r="GL63" s="113"/>
      <c r="GM63" s="113"/>
      <c r="GN63" s="113"/>
      <c r="GO63" s="46">
        <v>0</v>
      </c>
      <c r="GP63" s="113"/>
      <c r="GQ63" s="113"/>
      <c r="GR63" s="113"/>
      <c r="GS63" s="113"/>
      <c r="GT63" s="113"/>
      <c r="GU63" s="46">
        <v>0</v>
      </c>
      <c r="GV63" s="113"/>
      <c r="GW63" s="113"/>
      <c r="GX63" s="113"/>
      <c r="GY63" s="113"/>
      <c r="GZ63" s="113"/>
      <c r="HA63" s="46">
        <v>0</v>
      </c>
      <c r="HB63" s="113"/>
      <c r="HC63" s="113"/>
      <c r="HD63" s="113"/>
      <c r="HE63" s="113"/>
      <c r="HF63" s="113"/>
      <c r="HG63" s="46">
        <v>0</v>
      </c>
      <c r="HH63" s="113"/>
      <c r="HI63" s="113"/>
      <c r="HJ63" s="113"/>
      <c r="HK63" s="113"/>
      <c r="HL63" s="113"/>
      <c r="HM63" s="121"/>
      <c r="HN63" s="121"/>
      <c r="LM63" t="str">
        <v/>
      </c>
      <c r="LN63" t="str">
        <v/>
      </c>
      <c r="LO63" t="str">
        <v/>
      </c>
    </row>
    <row r="64" spans="30:327">
      <c r="AD64" t="s">
        <v>113</v>
      </c>
      <c r="AE64" t="s">
        <v>22951</v>
      </c>
      <c r="AF64" s="46">
        <v>0</v>
      </c>
      <c r="AG64" s="113"/>
      <c r="AH64" s="113"/>
      <c r="AI64" s="113"/>
      <c r="AJ64" s="113"/>
      <c r="AK64" s="113"/>
      <c r="AL64" s="46">
        <v>0</v>
      </c>
      <c r="AM64" s="113"/>
      <c r="AN64" s="113"/>
      <c r="AO64" s="113"/>
      <c r="AP64" s="113"/>
      <c r="AQ64" s="113"/>
      <c r="AR64" s="46">
        <v>0</v>
      </c>
      <c r="AS64" s="113"/>
      <c r="AT64" s="113"/>
      <c r="AU64" s="113"/>
      <c r="AV64" s="113"/>
      <c r="AW64" s="113"/>
      <c r="AX64" s="46">
        <v>0</v>
      </c>
      <c r="AY64" s="113"/>
      <c r="AZ64" s="113"/>
      <c r="BA64" s="113"/>
      <c r="BB64" s="113"/>
      <c r="BC64" s="113"/>
      <c r="BD64" s="46">
        <v>0</v>
      </c>
      <c r="BE64" s="113"/>
      <c r="BF64" s="113"/>
      <c r="BG64" s="113"/>
      <c r="BH64" s="113"/>
      <c r="BI64" s="113"/>
      <c r="BJ64" s="46">
        <v>0</v>
      </c>
      <c r="BK64" s="113"/>
      <c r="BL64" s="113"/>
      <c r="BM64" s="113"/>
      <c r="BN64" s="113"/>
      <c r="BO64" s="113"/>
      <c r="BP64" s="121"/>
      <c r="BQ64" s="121"/>
      <c r="GA64" t="s">
        <v>113</v>
      </c>
      <c r="GB64" t="s">
        <v>22951</v>
      </c>
      <c r="GC64" s="46">
        <v>0</v>
      </c>
      <c r="GD64" s="113"/>
      <c r="GE64" s="113"/>
      <c r="GF64" s="113"/>
      <c r="GG64" s="113"/>
      <c r="GH64" s="113"/>
      <c r="GI64" s="46">
        <v>0</v>
      </c>
      <c r="GJ64" s="113"/>
      <c r="GK64" s="113"/>
      <c r="GL64" s="113"/>
      <c r="GM64" s="113"/>
      <c r="GN64" s="113"/>
      <c r="GO64" s="46">
        <v>0</v>
      </c>
      <c r="GP64" s="113"/>
      <c r="GQ64" s="113"/>
      <c r="GR64" s="113"/>
      <c r="GS64" s="113"/>
      <c r="GT64" s="113"/>
      <c r="GU64" s="46">
        <v>0</v>
      </c>
      <c r="GV64" s="113"/>
      <c r="GW64" s="113"/>
      <c r="GX64" s="113"/>
      <c r="GY64" s="113"/>
      <c r="GZ64" s="113"/>
      <c r="HA64" s="46">
        <v>0</v>
      </c>
      <c r="HB64" s="113"/>
      <c r="HC64" s="113"/>
      <c r="HD64" s="113"/>
      <c r="HE64" s="113"/>
      <c r="HF64" s="113"/>
      <c r="HG64" s="46">
        <v>0</v>
      </c>
      <c r="HH64" s="113"/>
      <c r="HI64" s="113"/>
      <c r="HJ64" s="113"/>
      <c r="HK64" s="113"/>
      <c r="HL64" s="113"/>
      <c r="HM64" s="121"/>
      <c r="HN64" s="121"/>
      <c r="LM64" t="str">
        <v/>
      </c>
      <c r="LN64" t="str">
        <v/>
      </c>
      <c r="LO64" t="str">
        <v/>
      </c>
    </row>
    <row r="65" spans="30:327">
      <c r="AD65" t="s">
        <v>113</v>
      </c>
      <c r="AE65" t="s">
        <v>22952</v>
      </c>
      <c r="AF65" s="46">
        <v>0</v>
      </c>
      <c r="AG65" s="113"/>
      <c r="AH65" s="113"/>
      <c r="AI65" s="113"/>
      <c r="AJ65" s="113"/>
      <c r="AK65" s="113"/>
      <c r="AL65" s="46">
        <v>0</v>
      </c>
      <c r="AM65" s="113"/>
      <c r="AN65" s="113"/>
      <c r="AO65" s="113"/>
      <c r="AP65" s="113"/>
      <c r="AQ65" s="113"/>
      <c r="AR65" s="46">
        <v>0</v>
      </c>
      <c r="AS65" s="113"/>
      <c r="AT65" s="113"/>
      <c r="AU65" s="113"/>
      <c r="AV65" s="113"/>
      <c r="AW65" s="113"/>
      <c r="AX65" s="46">
        <v>0</v>
      </c>
      <c r="AY65" s="113"/>
      <c r="AZ65" s="113"/>
      <c r="BA65" s="113"/>
      <c r="BB65" s="113"/>
      <c r="BC65" s="113"/>
      <c r="BD65" s="46">
        <v>0</v>
      </c>
      <c r="BE65" s="113"/>
      <c r="BF65" s="113"/>
      <c r="BG65" s="113"/>
      <c r="BH65" s="113"/>
      <c r="BI65" s="113"/>
      <c r="BJ65" s="46">
        <v>0</v>
      </c>
      <c r="BK65" s="113"/>
      <c r="BL65" s="113"/>
      <c r="BM65" s="113"/>
      <c r="BN65" s="113"/>
      <c r="BO65" s="113"/>
      <c r="BP65" s="121"/>
      <c r="BQ65" s="121"/>
      <c r="GA65" t="s">
        <v>113</v>
      </c>
      <c r="GB65" t="s">
        <v>22952</v>
      </c>
      <c r="GC65" s="46">
        <v>0</v>
      </c>
      <c r="GD65" s="113"/>
      <c r="GE65" s="113"/>
      <c r="GF65" s="113"/>
      <c r="GG65" s="113"/>
      <c r="GH65" s="113"/>
      <c r="GI65" s="46">
        <v>0</v>
      </c>
      <c r="GJ65" s="113"/>
      <c r="GK65" s="113"/>
      <c r="GL65" s="113"/>
      <c r="GM65" s="113"/>
      <c r="GN65" s="113"/>
      <c r="GO65" s="46">
        <v>0</v>
      </c>
      <c r="GP65" s="113"/>
      <c r="GQ65" s="113"/>
      <c r="GR65" s="113"/>
      <c r="GS65" s="113"/>
      <c r="GT65" s="113"/>
      <c r="GU65" s="46">
        <v>0</v>
      </c>
      <c r="GV65" s="113"/>
      <c r="GW65" s="113"/>
      <c r="GX65" s="113"/>
      <c r="GY65" s="113"/>
      <c r="GZ65" s="113"/>
      <c r="HA65" s="46">
        <v>0</v>
      </c>
      <c r="HB65" s="113"/>
      <c r="HC65" s="113"/>
      <c r="HD65" s="113"/>
      <c r="HE65" s="113"/>
      <c r="HF65" s="113"/>
      <c r="HG65" s="46">
        <v>0</v>
      </c>
      <c r="HH65" s="113"/>
      <c r="HI65" s="113"/>
      <c r="HJ65" s="113"/>
      <c r="HK65" s="113"/>
      <c r="HL65" s="113"/>
      <c r="HM65" s="121"/>
      <c r="HN65" s="121"/>
      <c r="LM65" t="str">
        <v/>
      </c>
      <c r="LN65" t="str">
        <v/>
      </c>
      <c r="LO65" t="str">
        <v/>
      </c>
    </row>
    <row r="66" spans="30:327">
      <c r="AD66" t="s">
        <v>113</v>
      </c>
      <c r="AE66" t="s">
        <v>22953</v>
      </c>
      <c r="AF66" s="46">
        <v>0</v>
      </c>
      <c r="AG66" s="113"/>
      <c r="AH66" s="113"/>
      <c r="AI66" s="113"/>
      <c r="AJ66" s="113"/>
      <c r="AK66" s="113"/>
      <c r="AL66" s="46">
        <v>0</v>
      </c>
      <c r="AM66" s="113"/>
      <c r="AN66" s="113"/>
      <c r="AO66" s="113"/>
      <c r="AP66" s="113"/>
      <c r="AQ66" s="113"/>
      <c r="AR66" s="46">
        <v>0</v>
      </c>
      <c r="AS66" s="113"/>
      <c r="AT66" s="113"/>
      <c r="AU66" s="113"/>
      <c r="AV66" s="113"/>
      <c r="AW66" s="113"/>
      <c r="AX66" s="46">
        <v>0</v>
      </c>
      <c r="AY66" s="113"/>
      <c r="AZ66" s="113"/>
      <c r="BA66" s="113"/>
      <c r="BB66" s="113"/>
      <c r="BC66" s="113"/>
      <c r="BD66" s="46">
        <v>0</v>
      </c>
      <c r="BE66" s="113"/>
      <c r="BF66" s="113"/>
      <c r="BG66" s="113"/>
      <c r="BH66" s="113"/>
      <c r="BI66" s="113"/>
      <c r="BJ66" s="46">
        <v>0</v>
      </c>
      <c r="BK66" s="113"/>
      <c r="BL66" s="113"/>
      <c r="BM66" s="113"/>
      <c r="BN66" s="113"/>
      <c r="BO66" s="113"/>
      <c r="BP66" s="121"/>
      <c r="BQ66" s="121"/>
      <c r="GA66" t="s">
        <v>113</v>
      </c>
      <c r="GB66" t="s">
        <v>22953</v>
      </c>
      <c r="GC66" s="46">
        <v>0</v>
      </c>
      <c r="GD66" s="113"/>
      <c r="GE66" s="113"/>
      <c r="GF66" s="113"/>
      <c r="GG66" s="113"/>
      <c r="GH66" s="113"/>
      <c r="GI66" s="46">
        <v>0</v>
      </c>
      <c r="GJ66" s="113"/>
      <c r="GK66" s="113"/>
      <c r="GL66" s="113"/>
      <c r="GM66" s="113"/>
      <c r="GN66" s="113"/>
      <c r="GO66" s="46">
        <v>0</v>
      </c>
      <c r="GP66" s="113"/>
      <c r="GQ66" s="113"/>
      <c r="GR66" s="113"/>
      <c r="GS66" s="113"/>
      <c r="GT66" s="113"/>
      <c r="GU66" s="46">
        <v>0</v>
      </c>
      <c r="GV66" s="113"/>
      <c r="GW66" s="113"/>
      <c r="GX66" s="113"/>
      <c r="GY66" s="113"/>
      <c r="GZ66" s="113"/>
      <c r="HA66" s="46">
        <v>0</v>
      </c>
      <c r="HB66" s="113"/>
      <c r="HC66" s="113"/>
      <c r="HD66" s="113"/>
      <c r="HE66" s="113"/>
      <c r="HF66" s="113"/>
      <c r="HG66" s="46">
        <v>0</v>
      </c>
      <c r="HH66" s="113"/>
      <c r="HI66" s="113"/>
      <c r="HJ66" s="113"/>
      <c r="HK66" s="113"/>
      <c r="HL66" s="113"/>
      <c r="HM66" s="121"/>
      <c r="HN66" s="121"/>
      <c r="LM66" t="str">
        <v/>
      </c>
      <c r="LN66" t="str">
        <v/>
      </c>
      <c r="LO66" t="str">
        <v/>
      </c>
    </row>
    <row r="67" spans="30:327">
      <c r="AD67" t="s">
        <v>113</v>
      </c>
      <c r="AE67" t="s">
        <v>22954</v>
      </c>
      <c r="AF67" s="46">
        <v>0</v>
      </c>
      <c r="AG67" s="113"/>
      <c r="AH67" s="113"/>
      <c r="AI67" s="113"/>
      <c r="AJ67" s="113"/>
      <c r="AK67" s="113"/>
      <c r="AL67" s="46">
        <v>0</v>
      </c>
      <c r="AM67" s="113"/>
      <c r="AN67" s="113"/>
      <c r="AO67" s="113"/>
      <c r="AP67" s="113"/>
      <c r="AQ67" s="113"/>
      <c r="AR67" s="46">
        <v>0</v>
      </c>
      <c r="AS67" s="113"/>
      <c r="AT67" s="113"/>
      <c r="AU67" s="113"/>
      <c r="AV67" s="113"/>
      <c r="AW67" s="113"/>
      <c r="AX67" s="46">
        <v>0</v>
      </c>
      <c r="AY67" s="113"/>
      <c r="AZ67" s="113"/>
      <c r="BA67" s="113"/>
      <c r="BB67" s="113"/>
      <c r="BC67" s="113"/>
      <c r="BD67" s="46">
        <v>0</v>
      </c>
      <c r="BE67" s="113"/>
      <c r="BF67" s="113"/>
      <c r="BG67" s="113"/>
      <c r="BH67" s="113"/>
      <c r="BI67" s="113"/>
      <c r="BJ67" s="46">
        <v>0</v>
      </c>
      <c r="BK67" s="113"/>
      <c r="BL67" s="113"/>
      <c r="BM67" s="113"/>
      <c r="BN67" s="113"/>
      <c r="BO67" s="113"/>
      <c r="BP67" s="121"/>
      <c r="BQ67" s="121"/>
      <c r="GA67" t="s">
        <v>113</v>
      </c>
      <c r="GB67" t="s">
        <v>22954</v>
      </c>
      <c r="GC67" s="46">
        <v>0</v>
      </c>
      <c r="GD67" s="113"/>
      <c r="GE67" s="113"/>
      <c r="GF67" s="113"/>
      <c r="GG67" s="113"/>
      <c r="GH67" s="113"/>
      <c r="GI67" s="46">
        <v>0</v>
      </c>
      <c r="GJ67" s="113"/>
      <c r="GK67" s="113"/>
      <c r="GL67" s="113"/>
      <c r="GM67" s="113"/>
      <c r="GN67" s="113"/>
      <c r="GO67" s="46">
        <v>0</v>
      </c>
      <c r="GP67" s="113"/>
      <c r="GQ67" s="113"/>
      <c r="GR67" s="113"/>
      <c r="GS67" s="113"/>
      <c r="GT67" s="113"/>
      <c r="GU67" s="46">
        <v>0</v>
      </c>
      <c r="GV67" s="113"/>
      <c r="GW67" s="113"/>
      <c r="GX67" s="113"/>
      <c r="GY67" s="113"/>
      <c r="GZ67" s="113"/>
      <c r="HA67" s="46">
        <v>0</v>
      </c>
      <c r="HB67" s="113"/>
      <c r="HC67" s="113"/>
      <c r="HD67" s="113"/>
      <c r="HE67" s="113"/>
      <c r="HF67" s="113"/>
      <c r="HG67" s="46">
        <v>0</v>
      </c>
      <c r="HH67" s="113"/>
      <c r="HI67" s="113"/>
      <c r="HJ67" s="113"/>
      <c r="HK67" s="113"/>
      <c r="HL67" s="113"/>
      <c r="HM67" s="121"/>
      <c r="HN67" s="121"/>
      <c r="LM67" t="str">
        <v/>
      </c>
      <c r="LN67" t="str">
        <v/>
      </c>
      <c r="LO67" t="str">
        <v/>
      </c>
    </row>
    <row r="68" spans="30:327">
      <c r="AD68" t="s">
        <v>113</v>
      </c>
      <c r="AE68" t="s">
        <v>22955</v>
      </c>
      <c r="AF68" s="46">
        <v>0</v>
      </c>
      <c r="AG68" s="113"/>
      <c r="AH68" s="113"/>
      <c r="AI68" s="113"/>
      <c r="AJ68" s="113"/>
      <c r="AK68" s="113"/>
      <c r="AL68" s="46">
        <v>0</v>
      </c>
      <c r="AM68" s="113"/>
      <c r="AN68" s="113"/>
      <c r="AO68" s="113"/>
      <c r="AP68" s="113"/>
      <c r="AQ68" s="113"/>
      <c r="AR68" s="46">
        <v>0</v>
      </c>
      <c r="AS68" s="113"/>
      <c r="AT68" s="113"/>
      <c r="AU68" s="113"/>
      <c r="AV68" s="113"/>
      <c r="AW68" s="113"/>
      <c r="AX68" s="46">
        <v>0</v>
      </c>
      <c r="AY68" s="113"/>
      <c r="AZ68" s="113"/>
      <c r="BA68" s="113"/>
      <c r="BB68" s="113"/>
      <c r="BC68" s="113"/>
      <c r="BD68" s="46">
        <v>0</v>
      </c>
      <c r="BE68" s="113"/>
      <c r="BF68" s="113"/>
      <c r="BG68" s="113"/>
      <c r="BH68" s="113"/>
      <c r="BI68" s="113"/>
      <c r="BJ68" s="46">
        <v>0</v>
      </c>
      <c r="BK68" s="113"/>
      <c r="BL68" s="113"/>
      <c r="BM68" s="113"/>
      <c r="BN68" s="113"/>
      <c r="BO68" s="113"/>
      <c r="BP68" s="121"/>
      <c r="BQ68" s="121"/>
      <c r="GA68" t="s">
        <v>113</v>
      </c>
      <c r="GB68" t="s">
        <v>22955</v>
      </c>
      <c r="GC68" s="46">
        <v>0</v>
      </c>
      <c r="GD68" s="113"/>
      <c r="GE68" s="113"/>
      <c r="GF68" s="113"/>
      <c r="GG68" s="113"/>
      <c r="GH68" s="113"/>
      <c r="GI68" s="46">
        <v>0</v>
      </c>
      <c r="GJ68" s="113"/>
      <c r="GK68" s="113"/>
      <c r="GL68" s="113"/>
      <c r="GM68" s="113"/>
      <c r="GN68" s="113"/>
      <c r="GO68" s="46">
        <v>0</v>
      </c>
      <c r="GP68" s="113"/>
      <c r="GQ68" s="113"/>
      <c r="GR68" s="113"/>
      <c r="GS68" s="113"/>
      <c r="GT68" s="113"/>
      <c r="GU68" s="46">
        <v>0</v>
      </c>
      <c r="GV68" s="113"/>
      <c r="GW68" s="113"/>
      <c r="GX68" s="113"/>
      <c r="GY68" s="113"/>
      <c r="GZ68" s="113"/>
      <c r="HA68" s="46">
        <v>0</v>
      </c>
      <c r="HB68" s="113"/>
      <c r="HC68" s="113"/>
      <c r="HD68" s="113"/>
      <c r="HE68" s="113"/>
      <c r="HF68" s="113"/>
      <c r="HG68" s="46">
        <v>0</v>
      </c>
      <c r="HH68" s="113"/>
      <c r="HI68" s="113"/>
      <c r="HJ68" s="113"/>
      <c r="HK68" s="113"/>
      <c r="HL68" s="113"/>
      <c r="HM68" s="121"/>
      <c r="HN68" s="121"/>
      <c r="LM68" t="str">
        <v/>
      </c>
      <c r="LN68" t="str">
        <v/>
      </c>
      <c r="LO68" t="str">
        <v/>
      </c>
    </row>
    <row r="69" spans="30:327">
      <c r="AD69" t="s">
        <v>113</v>
      </c>
      <c r="AE69" t="s">
        <v>22956</v>
      </c>
      <c r="AF69" s="46">
        <v>0</v>
      </c>
      <c r="AG69" s="113"/>
      <c r="AH69" s="113"/>
      <c r="AI69" s="113"/>
      <c r="AJ69" s="113"/>
      <c r="AK69" s="113"/>
      <c r="AL69" s="46">
        <v>0</v>
      </c>
      <c r="AM69" s="113"/>
      <c r="AN69" s="113"/>
      <c r="AO69" s="113"/>
      <c r="AP69" s="113"/>
      <c r="AQ69" s="113"/>
      <c r="AR69" s="46">
        <v>0</v>
      </c>
      <c r="AS69" s="113"/>
      <c r="AT69" s="113"/>
      <c r="AU69" s="113"/>
      <c r="AV69" s="113"/>
      <c r="AW69" s="113"/>
      <c r="AX69" s="46">
        <v>0</v>
      </c>
      <c r="AY69" s="113"/>
      <c r="AZ69" s="113"/>
      <c r="BA69" s="113"/>
      <c r="BB69" s="113"/>
      <c r="BC69" s="113"/>
      <c r="BD69" s="46">
        <v>0</v>
      </c>
      <c r="BE69" s="113"/>
      <c r="BF69" s="113"/>
      <c r="BG69" s="113"/>
      <c r="BH69" s="113"/>
      <c r="BI69" s="113"/>
      <c r="BJ69" s="46">
        <v>0</v>
      </c>
      <c r="BK69" s="113"/>
      <c r="BL69" s="113"/>
      <c r="BM69" s="113"/>
      <c r="BN69" s="113"/>
      <c r="BO69" s="113"/>
      <c r="BP69" s="121"/>
      <c r="BQ69" s="121"/>
      <c r="GA69" t="s">
        <v>113</v>
      </c>
      <c r="GB69" t="s">
        <v>22956</v>
      </c>
      <c r="GC69" s="46">
        <v>0</v>
      </c>
      <c r="GD69" s="113"/>
      <c r="GE69" s="113"/>
      <c r="GF69" s="113"/>
      <c r="GG69" s="113"/>
      <c r="GH69" s="113"/>
      <c r="GI69" s="46">
        <v>0</v>
      </c>
      <c r="GJ69" s="113"/>
      <c r="GK69" s="113"/>
      <c r="GL69" s="113"/>
      <c r="GM69" s="113"/>
      <c r="GN69" s="113"/>
      <c r="GO69" s="46">
        <v>0</v>
      </c>
      <c r="GP69" s="113"/>
      <c r="GQ69" s="113"/>
      <c r="GR69" s="113"/>
      <c r="GS69" s="113"/>
      <c r="GT69" s="113"/>
      <c r="GU69" s="46">
        <v>0</v>
      </c>
      <c r="GV69" s="113"/>
      <c r="GW69" s="113"/>
      <c r="GX69" s="113"/>
      <c r="GY69" s="113"/>
      <c r="GZ69" s="113"/>
      <c r="HA69" s="46">
        <v>0</v>
      </c>
      <c r="HB69" s="113"/>
      <c r="HC69" s="113"/>
      <c r="HD69" s="113"/>
      <c r="HE69" s="113"/>
      <c r="HF69" s="113"/>
      <c r="HG69" s="46">
        <v>0</v>
      </c>
      <c r="HH69" s="113"/>
      <c r="HI69" s="113"/>
      <c r="HJ69" s="113"/>
      <c r="HK69" s="113"/>
      <c r="HL69" s="113"/>
      <c r="HM69" s="121"/>
      <c r="HN69" s="121"/>
      <c r="LM69" t="str">
        <v/>
      </c>
      <c r="LN69" t="str">
        <v/>
      </c>
      <c r="LO69" t="str">
        <v/>
      </c>
    </row>
    <row r="70" spans="30:327">
      <c r="AD70" t="s">
        <v>113</v>
      </c>
      <c r="AE70" t="s">
        <v>22957</v>
      </c>
      <c r="AF70" s="46">
        <v>0</v>
      </c>
      <c r="AG70" s="113"/>
      <c r="AH70" s="113"/>
      <c r="AI70" s="113"/>
      <c r="AJ70" s="113"/>
      <c r="AK70" s="113"/>
      <c r="AL70" s="46">
        <v>0</v>
      </c>
      <c r="AM70" s="113"/>
      <c r="AN70" s="113"/>
      <c r="AO70" s="113"/>
      <c r="AP70" s="113"/>
      <c r="AQ70" s="113"/>
      <c r="AR70" s="46">
        <v>0</v>
      </c>
      <c r="AS70" s="113"/>
      <c r="AT70" s="113"/>
      <c r="AU70" s="113"/>
      <c r="AV70" s="113"/>
      <c r="AW70" s="113"/>
      <c r="AX70" s="46">
        <v>0</v>
      </c>
      <c r="AY70" s="113"/>
      <c r="AZ70" s="113"/>
      <c r="BA70" s="113"/>
      <c r="BB70" s="113"/>
      <c r="BC70" s="113"/>
      <c r="BD70" s="46">
        <v>0</v>
      </c>
      <c r="BE70" s="113"/>
      <c r="BF70" s="113"/>
      <c r="BG70" s="113"/>
      <c r="BH70" s="113"/>
      <c r="BI70" s="113"/>
      <c r="BJ70" s="46">
        <v>0</v>
      </c>
      <c r="BK70" s="113"/>
      <c r="BL70" s="113"/>
      <c r="BM70" s="113"/>
      <c r="BN70" s="113"/>
      <c r="BO70" s="113"/>
      <c r="BP70" s="121"/>
      <c r="BQ70" s="121"/>
      <c r="GA70" t="s">
        <v>113</v>
      </c>
      <c r="GB70" t="s">
        <v>22957</v>
      </c>
      <c r="GC70" s="46">
        <v>0</v>
      </c>
      <c r="GD70" s="113"/>
      <c r="GE70" s="113"/>
      <c r="GF70" s="113"/>
      <c r="GG70" s="113"/>
      <c r="GH70" s="113"/>
      <c r="GI70" s="46">
        <v>0</v>
      </c>
      <c r="GJ70" s="113"/>
      <c r="GK70" s="113"/>
      <c r="GL70" s="113"/>
      <c r="GM70" s="113"/>
      <c r="GN70" s="113"/>
      <c r="GO70" s="46">
        <v>0</v>
      </c>
      <c r="GP70" s="113"/>
      <c r="GQ70" s="113"/>
      <c r="GR70" s="113"/>
      <c r="GS70" s="113"/>
      <c r="GT70" s="113"/>
      <c r="GU70" s="46">
        <v>0</v>
      </c>
      <c r="GV70" s="113"/>
      <c r="GW70" s="113"/>
      <c r="GX70" s="113"/>
      <c r="GY70" s="113"/>
      <c r="GZ70" s="113"/>
      <c r="HA70" s="46">
        <v>0</v>
      </c>
      <c r="HB70" s="113"/>
      <c r="HC70" s="113"/>
      <c r="HD70" s="113"/>
      <c r="HE70" s="113"/>
      <c r="HF70" s="113"/>
      <c r="HG70" s="46">
        <v>0</v>
      </c>
      <c r="HH70" s="113"/>
      <c r="HI70" s="113"/>
      <c r="HJ70" s="113"/>
      <c r="HK70" s="113"/>
      <c r="HL70" s="113"/>
      <c r="HM70" s="121"/>
      <c r="HN70" s="121"/>
      <c r="LM70" t="str">
        <v/>
      </c>
      <c r="LN70" t="str">
        <v/>
      </c>
      <c r="LO70" t="str">
        <v/>
      </c>
    </row>
    <row r="71" spans="30:327">
      <c r="AD71" t="s">
        <v>113</v>
      </c>
      <c r="AE71" t="s">
        <v>22958</v>
      </c>
      <c r="AF71" s="46">
        <v>0</v>
      </c>
      <c r="AG71" s="113"/>
      <c r="AH71" s="113"/>
      <c r="AI71" s="113"/>
      <c r="AJ71" s="113"/>
      <c r="AK71" s="113"/>
      <c r="AL71" s="46">
        <v>0</v>
      </c>
      <c r="AM71" s="113"/>
      <c r="AN71" s="113"/>
      <c r="AO71" s="113"/>
      <c r="AP71" s="113"/>
      <c r="AQ71" s="113"/>
      <c r="AR71" s="46">
        <v>0</v>
      </c>
      <c r="AS71" s="113"/>
      <c r="AT71" s="113"/>
      <c r="AU71" s="113"/>
      <c r="AV71" s="113"/>
      <c r="AW71" s="113"/>
      <c r="AX71" s="46">
        <v>0</v>
      </c>
      <c r="AY71" s="113"/>
      <c r="AZ71" s="113"/>
      <c r="BA71" s="113"/>
      <c r="BB71" s="113"/>
      <c r="BC71" s="113"/>
      <c r="BD71" s="46">
        <v>0</v>
      </c>
      <c r="BE71" s="113"/>
      <c r="BF71" s="113"/>
      <c r="BG71" s="113"/>
      <c r="BH71" s="113"/>
      <c r="BI71" s="113"/>
      <c r="BJ71" s="46">
        <v>0</v>
      </c>
      <c r="BK71" s="113"/>
      <c r="BL71" s="113"/>
      <c r="BM71" s="113"/>
      <c r="BN71" s="113"/>
      <c r="BO71" s="113"/>
      <c r="BP71" s="121"/>
      <c r="BQ71" s="121"/>
      <c r="GA71" t="s">
        <v>113</v>
      </c>
      <c r="GB71" t="s">
        <v>22958</v>
      </c>
      <c r="GC71" s="46">
        <v>0</v>
      </c>
      <c r="GD71" s="113"/>
      <c r="GE71" s="113"/>
      <c r="GF71" s="113"/>
      <c r="GG71" s="113"/>
      <c r="GH71" s="113"/>
      <c r="GI71" s="46">
        <v>0</v>
      </c>
      <c r="GJ71" s="113"/>
      <c r="GK71" s="113"/>
      <c r="GL71" s="113"/>
      <c r="GM71" s="113"/>
      <c r="GN71" s="113"/>
      <c r="GO71" s="46">
        <v>0</v>
      </c>
      <c r="GP71" s="113"/>
      <c r="GQ71" s="113"/>
      <c r="GR71" s="113"/>
      <c r="GS71" s="113"/>
      <c r="GT71" s="113"/>
      <c r="GU71" s="46">
        <v>0</v>
      </c>
      <c r="GV71" s="113"/>
      <c r="GW71" s="113"/>
      <c r="GX71" s="113"/>
      <c r="GY71" s="113"/>
      <c r="GZ71" s="113"/>
      <c r="HA71" s="46">
        <v>0</v>
      </c>
      <c r="HB71" s="113"/>
      <c r="HC71" s="113"/>
      <c r="HD71" s="113"/>
      <c r="HE71" s="113"/>
      <c r="HF71" s="113"/>
      <c r="HG71" s="46">
        <v>0</v>
      </c>
      <c r="HH71" s="113"/>
      <c r="HI71" s="113"/>
      <c r="HJ71" s="113"/>
      <c r="HK71" s="113"/>
      <c r="HL71" s="113"/>
      <c r="HM71" s="121"/>
      <c r="HN71" s="121"/>
      <c r="LM71" t="str">
        <v/>
      </c>
      <c r="LN71" t="str">
        <v/>
      </c>
      <c r="LO71" t="str">
        <v/>
      </c>
    </row>
    <row r="72" spans="30:327">
      <c r="AD72" t="s">
        <v>113</v>
      </c>
      <c r="AE72" t="s">
        <v>22959</v>
      </c>
      <c r="AF72" s="46">
        <v>0</v>
      </c>
      <c r="AG72" s="113"/>
      <c r="AH72" s="113"/>
      <c r="AI72" s="113"/>
      <c r="AJ72" s="113"/>
      <c r="AK72" s="113"/>
      <c r="AL72" s="46">
        <v>0</v>
      </c>
      <c r="AM72" s="113"/>
      <c r="AN72" s="113"/>
      <c r="AO72" s="113"/>
      <c r="AP72" s="113"/>
      <c r="AQ72" s="113"/>
      <c r="AR72" s="46">
        <v>0</v>
      </c>
      <c r="AS72" s="113"/>
      <c r="AT72" s="113"/>
      <c r="AU72" s="113"/>
      <c r="AV72" s="113"/>
      <c r="AW72" s="113"/>
      <c r="AX72" s="46">
        <v>0</v>
      </c>
      <c r="AY72" s="113"/>
      <c r="AZ72" s="113"/>
      <c r="BA72" s="113"/>
      <c r="BB72" s="113"/>
      <c r="BC72" s="113"/>
      <c r="BD72" s="46">
        <v>0</v>
      </c>
      <c r="BE72" s="113"/>
      <c r="BF72" s="113"/>
      <c r="BG72" s="113"/>
      <c r="BH72" s="113"/>
      <c r="BI72" s="113"/>
      <c r="BJ72" s="46">
        <v>0</v>
      </c>
      <c r="BK72" s="113"/>
      <c r="BL72" s="113"/>
      <c r="BM72" s="113"/>
      <c r="BN72" s="113"/>
      <c r="BO72" s="113"/>
      <c r="BP72" s="121"/>
      <c r="BQ72" s="121"/>
      <c r="GA72" t="s">
        <v>113</v>
      </c>
      <c r="GB72" t="s">
        <v>22959</v>
      </c>
      <c r="GC72" s="46">
        <v>0</v>
      </c>
      <c r="GD72" s="113"/>
      <c r="GE72" s="113"/>
      <c r="GF72" s="113"/>
      <c r="GG72" s="113"/>
      <c r="GH72" s="113"/>
      <c r="GI72" s="46">
        <v>0</v>
      </c>
      <c r="GJ72" s="113"/>
      <c r="GK72" s="113"/>
      <c r="GL72" s="113"/>
      <c r="GM72" s="113"/>
      <c r="GN72" s="113"/>
      <c r="GO72" s="46">
        <v>0</v>
      </c>
      <c r="GP72" s="113"/>
      <c r="GQ72" s="113"/>
      <c r="GR72" s="113"/>
      <c r="GS72" s="113"/>
      <c r="GT72" s="113"/>
      <c r="GU72" s="46">
        <v>0</v>
      </c>
      <c r="GV72" s="113"/>
      <c r="GW72" s="113"/>
      <c r="GX72" s="113"/>
      <c r="GY72" s="113"/>
      <c r="GZ72" s="113"/>
      <c r="HA72" s="46">
        <v>0</v>
      </c>
      <c r="HB72" s="113"/>
      <c r="HC72" s="113"/>
      <c r="HD72" s="113"/>
      <c r="HE72" s="113"/>
      <c r="HF72" s="113"/>
      <c r="HG72" s="46">
        <v>0</v>
      </c>
      <c r="HH72" s="113"/>
      <c r="HI72" s="113"/>
      <c r="HJ72" s="113"/>
      <c r="HK72" s="113"/>
      <c r="HL72" s="113"/>
      <c r="HM72" s="121"/>
      <c r="HN72" s="121"/>
      <c r="LM72" t="str">
        <v/>
      </c>
      <c r="LN72" t="str">
        <v/>
      </c>
      <c r="LO72" t="str">
        <v/>
      </c>
    </row>
    <row r="73" spans="30:327">
      <c r="AD73" t="s">
        <v>113</v>
      </c>
      <c r="AE73" t="s">
        <v>22960</v>
      </c>
      <c r="AF73" s="46">
        <v>0</v>
      </c>
      <c r="AG73" s="113"/>
      <c r="AH73" s="113"/>
      <c r="AI73" s="113"/>
      <c r="AJ73" s="113"/>
      <c r="AK73" s="113"/>
      <c r="AL73" s="46">
        <v>0</v>
      </c>
      <c r="AM73" s="113"/>
      <c r="AN73" s="113"/>
      <c r="AO73" s="113"/>
      <c r="AP73" s="113"/>
      <c r="AQ73" s="113"/>
      <c r="AR73" s="46">
        <v>0</v>
      </c>
      <c r="AS73" s="113"/>
      <c r="AT73" s="113"/>
      <c r="AU73" s="113"/>
      <c r="AV73" s="113"/>
      <c r="AW73" s="113"/>
      <c r="AX73" s="46">
        <v>0</v>
      </c>
      <c r="AY73" s="113"/>
      <c r="AZ73" s="113"/>
      <c r="BA73" s="113"/>
      <c r="BB73" s="113"/>
      <c r="BC73" s="113"/>
      <c r="BD73" s="46">
        <v>0</v>
      </c>
      <c r="BE73" s="113"/>
      <c r="BF73" s="113"/>
      <c r="BG73" s="113"/>
      <c r="BH73" s="113"/>
      <c r="BI73" s="113"/>
      <c r="BJ73" s="46">
        <v>0</v>
      </c>
      <c r="BK73" s="113"/>
      <c r="BL73" s="113"/>
      <c r="BM73" s="113"/>
      <c r="BN73" s="113"/>
      <c r="BO73" s="113"/>
      <c r="BP73" s="121"/>
      <c r="BQ73" s="121"/>
      <c r="GA73" t="s">
        <v>113</v>
      </c>
      <c r="GB73" t="s">
        <v>22960</v>
      </c>
      <c r="GC73" s="46">
        <v>0</v>
      </c>
      <c r="GD73" s="113"/>
      <c r="GE73" s="113"/>
      <c r="GF73" s="113"/>
      <c r="GG73" s="113"/>
      <c r="GH73" s="113"/>
      <c r="GI73" s="46">
        <v>0</v>
      </c>
      <c r="GJ73" s="113"/>
      <c r="GK73" s="113"/>
      <c r="GL73" s="113"/>
      <c r="GM73" s="113"/>
      <c r="GN73" s="113"/>
      <c r="GO73" s="46">
        <v>0</v>
      </c>
      <c r="GP73" s="113"/>
      <c r="GQ73" s="113"/>
      <c r="GR73" s="113"/>
      <c r="GS73" s="113"/>
      <c r="GT73" s="113"/>
      <c r="GU73" s="46">
        <v>0</v>
      </c>
      <c r="GV73" s="113"/>
      <c r="GW73" s="113"/>
      <c r="GX73" s="113"/>
      <c r="GY73" s="113"/>
      <c r="GZ73" s="113"/>
      <c r="HA73" s="46">
        <v>0</v>
      </c>
      <c r="HB73" s="113"/>
      <c r="HC73" s="113"/>
      <c r="HD73" s="113"/>
      <c r="HE73" s="113"/>
      <c r="HF73" s="113"/>
      <c r="HG73" s="46">
        <v>0</v>
      </c>
      <c r="HH73" s="113"/>
      <c r="HI73" s="113"/>
      <c r="HJ73" s="113"/>
      <c r="HK73" s="113"/>
      <c r="HL73" s="113"/>
      <c r="HM73" s="121"/>
      <c r="HN73" s="121"/>
      <c r="LM73" t="str">
        <v/>
      </c>
      <c r="LN73" t="str">
        <v/>
      </c>
      <c r="LO73" t="str">
        <v/>
      </c>
    </row>
    <row r="74" spans="30:327">
      <c r="AD74" t="s">
        <v>113</v>
      </c>
      <c r="AE74" t="s">
        <v>22961</v>
      </c>
      <c r="AF74" s="46">
        <v>0</v>
      </c>
      <c r="AG74" s="113"/>
      <c r="AH74" s="113"/>
      <c r="AI74" s="113"/>
      <c r="AJ74" s="113"/>
      <c r="AK74" s="113"/>
      <c r="AL74" s="46">
        <v>0</v>
      </c>
      <c r="AM74" s="113"/>
      <c r="AN74" s="113"/>
      <c r="AO74" s="113"/>
      <c r="AP74" s="113"/>
      <c r="AQ74" s="113"/>
      <c r="AR74" s="46">
        <v>0</v>
      </c>
      <c r="AS74" s="113"/>
      <c r="AT74" s="113"/>
      <c r="AU74" s="113"/>
      <c r="AV74" s="113"/>
      <c r="AW74" s="113"/>
      <c r="AX74" s="46">
        <v>0</v>
      </c>
      <c r="AY74" s="113"/>
      <c r="AZ74" s="113"/>
      <c r="BA74" s="113"/>
      <c r="BB74" s="113"/>
      <c r="BC74" s="113"/>
      <c r="BD74" s="46">
        <v>0</v>
      </c>
      <c r="BE74" s="113"/>
      <c r="BF74" s="113"/>
      <c r="BG74" s="113"/>
      <c r="BH74" s="113"/>
      <c r="BI74" s="113"/>
      <c r="BJ74" s="46">
        <v>0</v>
      </c>
      <c r="BK74" s="113"/>
      <c r="BL74" s="113"/>
      <c r="BM74" s="113"/>
      <c r="BN74" s="113"/>
      <c r="BO74" s="113"/>
      <c r="BP74" s="121"/>
      <c r="BQ74" s="121"/>
      <c r="GA74" t="s">
        <v>113</v>
      </c>
      <c r="GB74" t="s">
        <v>22961</v>
      </c>
      <c r="GC74" s="46">
        <v>0</v>
      </c>
      <c r="GD74" s="113"/>
      <c r="GE74" s="113"/>
      <c r="GF74" s="113"/>
      <c r="GG74" s="113"/>
      <c r="GH74" s="113"/>
      <c r="GI74" s="46">
        <v>0</v>
      </c>
      <c r="GJ74" s="113"/>
      <c r="GK74" s="113"/>
      <c r="GL74" s="113"/>
      <c r="GM74" s="113"/>
      <c r="GN74" s="113"/>
      <c r="GO74" s="46">
        <v>0</v>
      </c>
      <c r="GP74" s="113"/>
      <c r="GQ74" s="113"/>
      <c r="GR74" s="113"/>
      <c r="GS74" s="113"/>
      <c r="GT74" s="113"/>
      <c r="GU74" s="46">
        <v>0</v>
      </c>
      <c r="GV74" s="113"/>
      <c r="GW74" s="113"/>
      <c r="GX74" s="113"/>
      <c r="GY74" s="113"/>
      <c r="GZ74" s="113"/>
      <c r="HA74" s="46">
        <v>0</v>
      </c>
      <c r="HB74" s="113"/>
      <c r="HC74" s="113"/>
      <c r="HD74" s="113"/>
      <c r="HE74" s="113"/>
      <c r="HF74" s="113"/>
      <c r="HG74" s="46">
        <v>0</v>
      </c>
      <c r="HH74" s="113"/>
      <c r="HI74" s="113"/>
      <c r="HJ74" s="113"/>
      <c r="HK74" s="113"/>
      <c r="HL74" s="113"/>
      <c r="HM74" s="121"/>
      <c r="HN74" s="121"/>
      <c r="LM74" t="str">
        <v/>
      </c>
      <c r="LN74" t="str">
        <v/>
      </c>
      <c r="LO74" t="str">
        <v/>
      </c>
    </row>
    <row r="75" spans="30:327">
      <c r="AD75" t="s">
        <v>113</v>
      </c>
      <c r="AE75" t="s">
        <v>22962</v>
      </c>
      <c r="AF75" s="46">
        <v>0</v>
      </c>
      <c r="AG75" s="113"/>
      <c r="AH75" s="113"/>
      <c r="AI75" s="113"/>
      <c r="AJ75" s="113"/>
      <c r="AK75" s="113"/>
      <c r="AL75" s="46">
        <v>0</v>
      </c>
      <c r="AM75" s="113"/>
      <c r="AN75" s="113"/>
      <c r="AO75" s="113"/>
      <c r="AP75" s="113"/>
      <c r="AQ75" s="113"/>
      <c r="AR75" s="46">
        <v>0</v>
      </c>
      <c r="AS75" s="113"/>
      <c r="AT75" s="113"/>
      <c r="AU75" s="113"/>
      <c r="AV75" s="113"/>
      <c r="AW75" s="113"/>
      <c r="AX75" s="46">
        <v>0</v>
      </c>
      <c r="AY75" s="113"/>
      <c r="AZ75" s="113"/>
      <c r="BA75" s="113"/>
      <c r="BB75" s="113"/>
      <c r="BC75" s="113"/>
      <c r="BD75" s="46">
        <v>0</v>
      </c>
      <c r="BE75" s="113"/>
      <c r="BF75" s="113"/>
      <c r="BG75" s="113"/>
      <c r="BH75" s="113"/>
      <c r="BI75" s="113"/>
      <c r="BJ75" s="46">
        <v>0</v>
      </c>
      <c r="BK75" s="113"/>
      <c r="BL75" s="113"/>
      <c r="BM75" s="113"/>
      <c r="BN75" s="113"/>
      <c r="BO75" s="113"/>
      <c r="BP75" s="121"/>
      <c r="BQ75" s="121"/>
      <c r="GA75" t="s">
        <v>113</v>
      </c>
      <c r="GB75" t="s">
        <v>22962</v>
      </c>
      <c r="GC75" s="46">
        <v>0</v>
      </c>
      <c r="GD75" s="113"/>
      <c r="GE75" s="113"/>
      <c r="GF75" s="113"/>
      <c r="GG75" s="113"/>
      <c r="GH75" s="113"/>
      <c r="GI75" s="46">
        <v>0</v>
      </c>
      <c r="GJ75" s="113"/>
      <c r="GK75" s="113"/>
      <c r="GL75" s="113"/>
      <c r="GM75" s="113"/>
      <c r="GN75" s="113"/>
      <c r="GO75" s="46">
        <v>0</v>
      </c>
      <c r="GP75" s="113"/>
      <c r="GQ75" s="113"/>
      <c r="GR75" s="113"/>
      <c r="GS75" s="113"/>
      <c r="GT75" s="113"/>
      <c r="GU75" s="46">
        <v>0</v>
      </c>
      <c r="GV75" s="113"/>
      <c r="GW75" s="113"/>
      <c r="GX75" s="113"/>
      <c r="GY75" s="113"/>
      <c r="GZ75" s="113"/>
      <c r="HA75" s="46">
        <v>0</v>
      </c>
      <c r="HB75" s="113"/>
      <c r="HC75" s="113"/>
      <c r="HD75" s="113"/>
      <c r="HE75" s="113"/>
      <c r="HF75" s="113"/>
      <c r="HG75" s="46">
        <v>0</v>
      </c>
      <c r="HH75" s="113"/>
      <c r="HI75" s="113"/>
      <c r="HJ75" s="113"/>
      <c r="HK75" s="113"/>
      <c r="HL75" s="113"/>
      <c r="HM75" s="121"/>
      <c r="HN75" s="121"/>
      <c r="LM75" t="str">
        <v/>
      </c>
      <c r="LN75" t="str">
        <v/>
      </c>
      <c r="LO75" t="str">
        <v/>
      </c>
    </row>
    <row r="76" spans="30:327">
      <c r="AD76" t="s">
        <v>113</v>
      </c>
      <c r="AE76" t="s">
        <v>22963</v>
      </c>
      <c r="AF76" s="46">
        <v>0</v>
      </c>
      <c r="AG76" s="113"/>
      <c r="AH76" s="113"/>
      <c r="AI76" s="113"/>
      <c r="AJ76" s="113"/>
      <c r="AK76" s="113"/>
      <c r="AL76" s="46">
        <v>0</v>
      </c>
      <c r="AM76" s="113"/>
      <c r="AN76" s="113"/>
      <c r="AO76" s="113"/>
      <c r="AP76" s="113"/>
      <c r="AQ76" s="113"/>
      <c r="AR76" s="46">
        <v>0</v>
      </c>
      <c r="AS76" s="113"/>
      <c r="AT76" s="113"/>
      <c r="AU76" s="113"/>
      <c r="AV76" s="113"/>
      <c r="AW76" s="113"/>
      <c r="AX76" s="46">
        <v>0</v>
      </c>
      <c r="AY76" s="113"/>
      <c r="AZ76" s="113"/>
      <c r="BA76" s="113"/>
      <c r="BB76" s="113"/>
      <c r="BC76" s="113"/>
      <c r="BD76" s="46">
        <v>0</v>
      </c>
      <c r="BE76" s="113"/>
      <c r="BF76" s="113"/>
      <c r="BG76" s="113"/>
      <c r="BH76" s="113"/>
      <c r="BI76" s="113"/>
      <c r="BJ76" s="46">
        <v>0</v>
      </c>
      <c r="BK76" s="113"/>
      <c r="BL76" s="113"/>
      <c r="BM76" s="113"/>
      <c r="BN76" s="113"/>
      <c r="BO76" s="113"/>
      <c r="BP76" s="121"/>
      <c r="BQ76" s="121"/>
      <c r="GA76" t="s">
        <v>113</v>
      </c>
      <c r="GB76" t="s">
        <v>22963</v>
      </c>
      <c r="GC76" s="46">
        <v>0</v>
      </c>
      <c r="GD76" s="113"/>
      <c r="GE76" s="113"/>
      <c r="GF76" s="113"/>
      <c r="GG76" s="113"/>
      <c r="GH76" s="113"/>
      <c r="GI76" s="46">
        <v>0</v>
      </c>
      <c r="GJ76" s="113"/>
      <c r="GK76" s="113"/>
      <c r="GL76" s="113"/>
      <c r="GM76" s="113"/>
      <c r="GN76" s="113"/>
      <c r="GO76" s="46">
        <v>0</v>
      </c>
      <c r="GP76" s="113"/>
      <c r="GQ76" s="113"/>
      <c r="GR76" s="113"/>
      <c r="GS76" s="113"/>
      <c r="GT76" s="113"/>
      <c r="GU76" s="46">
        <v>0</v>
      </c>
      <c r="GV76" s="113"/>
      <c r="GW76" s="113"/>
      <c r="GX76" s="113"/>
      <c r="GY76" s="113"/>
      <c r="GZ76" s="113"/>
      <c r="HA76" s="46">
        <v>0</v>
      </c>
      <c r="HB76" s="113"/>
      <c r="HC76" s="113"/>
      <c r="HD76" s="113"/>
      <c r="HE76" s="113"/>
      <c r="HF76" s="113"/>
      <c r="HG76" s="46">
        <v>0</v>
      </c>
      <c r="HH76" s="113"/>
      <c r="HI76" s="113"/>
      <c r="HJ76" s="113"/>
      <c r="HK76" s="113"/>
      <c r="HL76" s="113"/>
      <c r="HM76" s="121"/>
      <c r="HN76" s="121"/>
      <c r="LM76" t="str">
        <v/>
      </c>
      <c r="LN76" t="str">
        <v/>
      </c>
      <c r="LO76" t="str">
        <v/>
      </c>
    </row>
    <row r="77" spans="30:327">
      <c r="AD77" t="s">
        <v>113</v>
      </c>
      <c r="AE77" t="s">
        <v>22964</v>
      </c>
      <c r="AF77" s="46">
        <v>0</v>
      </c>
      <c r="AG77" s="113"/>
      <c r="AH77" s="113"/>
      <c r="AI77" s="113"/>
      <c r="AJ77" s="113"/>
      <c r="AK77" s="113"/>
      <c r="AL77" s="46">
        <v>0</v>
      </c>
      <c r="AM77" s="113"/>
      <c r="AN77" s="113"/>
      <c r="AO77" s="113"/>
      <c r="AP77" s="113"/>
      <c r="AQ77" s="113"/>
      <c r="AR77" s="46">
        <v>0</v>
      </c>
      <c r="AS77" s="113"/>
      <c r="AT77" s="113"/>
      <c r="AU77" s="113"/>
      <c r="AV77" s="113"/>
      <c r="AW77" s="113"/>
      <c r="AX77" s="46">
        <v>0</v>
      </c>
      <c r="AY77" s="113"/>
      <c r="AZ77" s="113"/>
      <c r="BA77" s="113"/>
      <c r="BB77" s="113"/>
      <c r="BC77" s="113"/>
      <c r="BD77" s="46">
        <v>0</v>
      </c>
      <c r="BE77" s="113"/>
      <c r="BF77" s="113"/>
      <c r="BG77" s="113"/>
      <c r="BH77" s="113"/>
      <c r="BI77" s="113"/>
      <c r="BJ77" s="46">
        <v>0</v>
      </c>
      <c r="BK77" s="113"/>
      <c r="BL77" s="113"/>
      <c r="BM77" s="113"/>
      <c r="BN77" s="113"/>
      <c r="BO77" s="113"/>
      <c r="BP77" s="121"/>
      <c r="BQ77" s="121"/>
      <c r="GA77" t="s">
        <v>113</v>
      </c>
      <c r="GB77" t="s">
        <v>22964</v>
      </c>
      <c r="GC77" s="46">
        <v>0</v>
      </c>
      <c r="GD77" s="113"/>
      <c r="GE77" s="113"/>
      <c r="GF77" s="113"/>
      <c r="GG77" s="113"/>
      <c r="GH77" s="113"/>
      <c r="GI77" s="46">
        <v>0</v>
      </c>
      <c r="GJ77" s="113"/>
      <c r="GK77" s="113"/>
      <c r="GL77" s="113"/>
      <c r="GM77" s="113"/>
      <c r="GN77" s="113"/>
      <c r="GO77" s="46">
        <v>0</v>
      </c>
      <c r="GP77" s="113"/>
      <c r="GQ77" s="113"/>
      <c r="GR77" s="113"/>
      <c r="GS77" s="113"/>
      <c r="GT77" s="113"/>
      <c r="GU77" s="46">
        <v>0</v>
      </c>
      <c r="GV77" s="113"/>
      <c r="GW77" s="113"/>
      <c r="GX77" s="113"/>
      <c r="GY77" s="113"/>
      <c r="GZ77" s="113"/>
      <c r="HA77" s="46">
        <v>0</v>
      </c>
      <c r="HB77" s="113"/>
      <c r="HC77" s="113"/>
      <c r="HD77" s="113"/>
      <c r="HE77" s="113"/>
      <c r="HF77" s="113"/>
      <c r="HG77" s="46">
        <v>0</v>
      </c>
      <c r="HH77" s="113"/>
      <c r="HI77" s="113"/>
      <c r="HJ77" s="113"/>
      <c r="HK77" s="113"/>
      <c r="HL77" s="113"/>
      <c r="HM77" s="121"/>
      <c r="HN77" s="121"/>
      <c r="LM77" t="str">
        <v/>
      </c>
      <c r="LN77" t="str">
        <v/>
      </c>
      <c r="LO77" t="str">
        <v/>
      </c>
    </row>
    <row r="78" spans="30:327">
      <c r="AD78" t="s">
        <v>113</v>
      </c>
      <c r="AE78" t="s">
        <v>22965</v>
      </c>
      <c r="AF78" s="46">
        <v>0</v>
      </c>
      <c r="AG78" s="113"/>
      <c r="AH78" s="113"/>
      <c r="AI78" s="113"/>
      <c r="AJ78" s="113"/>
      <c r="AK78" s="113"/>
      <c r="AL78" s="46">
        <v>0</v>
      </c>
      <c r="AM78" s="113"/>
      <c r="AN78" s="113"/>
      <c r="AO78" s="113"/>
      <c r="AP78" s="113"/>
      <c r="AQ78" s="113"/>
      <c r="AR78" s="46">
        <v>0</v>
      </c>
      <c r="AS78" s="113"/>
      <c r="AT78" s="113"/>
      <c r="AU78" s="113"/>
      <c r="AV78" s="113"/>
      <c r="AW78" s="113"/>
      <c r="AX78" s="46">
        <v>0</v>
      </c>
      <c r="AY78" s="113"/>
      <c r="AZ78" s="113"/>
      <c r="BA78" s="113"/>
      <c r="BB78" s="113"/>
      <c r="BC78" s="113"/>
      <c r="BD78" s="46">
        <v>0</v>
      </c>
      <c r="BE78" s="113"/>
      <c r="BF78" s="113"/>
      <c r="BG78" s="113"/>
      <c r="BH78" s="113"/>
      <c r="BI78" s="113"/>
      <c r="BJ78" s="46">
        <v>0</v>
      </c>
      <c r="BK78" s="113"/>
      <c r="BL78" s="113"/>
      <c r="BM78" s="113"/>
      <c r="BN78" s="113"/>
      <c r="BO78" s="113"/>
      <c r="BP78" s="121"/>
      <c r="BQ78" s="121"/>
      <c r="GA78" t="s">
        <v>113</v>
      </c>
      <c r="GB78" t="s">
        <v>22965</v>
      </c>
      <c r="GC78" s="46">
        <v>0</v>
      </c>
      <c r="GD78" s="113"/>
      <c r="GE78" s="113"/>
      <c r="GF78" s="113"/>
      <c r="GG78" s="113"/>
      <c r="GH78" s="113"/>
      <c r="GI78" s="46">
        <v>0</v>
      </c>
      <c r="GJ78" s="113"/>
      <c r="GK78" s="113"/>
      <c r="GL78" s="113"/>
      <c r="GM78" s="113"/>
      <c r="GN78" s="113"/>
      <c r="GO78" s="46">
        <v>0</v>
      </c>
      <c r="GP78" s="113"/>
      <c r="GQ78" s="113"/>
      <c r="GR78" s="113"/>
      <c r="GS78" s="113"/>
      <c r="GT78" s="113"/>
      <c r="GU78" s="46">
        <v>0</v>
      </c>
      <c r="GV78" s="113"/>
      <c r="GW78" s="113"/>
      <c r="GX78" s="113"/>
      <c r="GY78" s="113"/>
      <c r="GZ78" s="113"/>
      <c r="HA78" s="46">
        <v>0</v>
      </c>
      <c r="HB78" s="113"/>
      <c r="HC78" s="113"/>
      <c r="HD78" s="113"/>
      <c r="HE78" s="113"/>
      <c r="HF78" s="113"/>
      <c r="HG78" s="46">
        <v>0</v>
      </c>
      <c r="HH78" s="113"/>
      <c r="HI78" s="113"/>
      <c r="HJ78" s="113"/>
      <c r="HK78" s="113"/>
      <c r="HL78" s="113"/>
      <c r="HM78" s="121"/>
      <c r="HN78" s="121"/>
      <c r="LM78" t="str">
        <v/>
      </c>
      <c r="LN78" t="str">
        <v/>
      </c>
      <c r="LO78" t="str">
        <v/>
      </c>
    </row>
    <row r="79" spans="30:327">
      <c r="AD79" t="s">
        <v>113</v>
      </c>
      <c r="AE79" t="s">
        <v>22966</v>
      </c>
      <c r="AF79" s="46">
        <v>0</v>
      </c>
      <c r="AG79" s="113"/>
      <c r="AH79" s="113"/>
      <c r="AI79" s="113"/>
      <c r="AJ79" s="113"/>
      <c r="AK79" s="113"/>
      <c r="AL79" s="46">
        <v>0</v>
      </c>
      <c r="AM79" s="113"/>
      <c r="AN79" s="113"/>
      <c r="AO79" s="113"/>
      <c r="AP79" s="113"/>
      <c r="AQ79" s="113"/>
      <c r="AR79" s="46">
        <v>0</v>
      </c>
      <c r="AS79" s="113"/>
      <c r="AT79" s="113"/>
      <c r="AU79" s="113"/>
      <c r="AV79" s="113"/>
      <c r="AW79" s="113"/>
      <c r="AX79" s="46">
        <v>0</v>
      </c>
      <c r="AY79" s="113"/>
      <c r="AZ79" s="113"/>
      <c r="BA79" s="113"/>
      <c r="BB79" s="113"/>
      <c r="BC79" s="113"/>
      <c r="BD79" s="46">
        <v>0</v>
      </c>
      <c r="BE79" s="113"/>
      <c r="BF79" s="113"/>
      <c r="BG79" s="113"/>
      <c r="BH79" s="113"/>
      <c r="BI79" s="113"/>
      <c r="BJ79" s="46">
        <v>0</v>
      </c>
      <c r="BK79" s="113"/>
      <c r="BL79" s="113"/>
      <c r="BM79" s="113"/>
      <c r="BN79" s="113"/>
      <c r="BO79" s="113"/>
      <c r="BP79" s="121"/>
      <c r="BQ79" s="121"/>
      <c r="GA79" t="s">
        <v>113</v>
      </c>
      <c r="GB79" t="s">
        <v>22966</v>
      </c>
      <c r="GC79" s="46">
        <v>0</v>
      </c>
      <c r="GD79" s="113"/>
      <c r="GE79" s="113"/>
      <c r="GF79" s="113"/>
      <c r="GG79" s="113"/>
      <c r="GH79" s="113"/>
      <c r="GI79" s="46">
        <v>0</v>
      </c>
      <c r="GJ79" s="113"/>
      <c r="GK79" s="113"/>
      <c r="GL79" s="113"/>
      <c r="GM79" s="113"/>
      <c r="GN79" s="113"/>
      <c r="GO79" s="46">
        <v>0</v>
      </c>
      <c r="GP79" s="113"/>
      <c r="GQ79" s="113"/>
      <c r="GR79" s="113"/>
      <c r="GS79" s="113"/>
      <c r="GT79" s="113"/>
      <c r="GU79" s="46">
        <v>0</v>
      </c>
      <c r="GV79" s="113"/>
      <c r="GW79" s="113"/>
      <c r="GX79" s="113"/>
      <c r="GY79" s="113"/>
      <c r="GZ79" s="113"/>
      <c r="HA79" s="46">
        <v>0</v>
      </c>
      <c r="HB79" s="113"/>
      <c r="HC79" s="113"/>
      <c r="HD79" s="113"/>
      <c r="HE79" s="113"/>
      <c r="HF79" s="113"/>
      <c r="HG79" s="46">
        <v>0</v>
      </c>
      <c r="HH79" s="113"/>
      <c r="HI79" s="113"/>
      <c r="HJ79" s="113"/>
      <c r="HK79" s="113"/>
      <c r="HL79" s="113"/>
      <c r="HM79" s="121"/>
      <c r="HN79" s="121"/>
      <c r="LM79" t="str">
        <v/>
      </c>
      <c r="LN79" t="str">
        <v/>
      </c>
      <c r="LO79" t="str">
        <v/>
      </c>
    </row>
    <row r="80" spans="30:327">
      <c r="AD80" t="s">
        <v>113</v>
      </c>
      <c r="AE80" t="s">
        <v>22967</v>
      </c>
      <c r="AF80" s="46">
        <v>0</v>
      </c>
      <c r="AG80" s="113"/>
      <c r="AH80" s="113"/>
      <c r="AI80" s="113"/>
      <c r="AJ80" s="113"/>
      <c r="AK80" s="113"/>
      <c r="AL80" s="46">
        <v>0</v>
      </c>
      <c r="AM80" s="113"/>
      <c r="AN80" s="113"/>
      <c r="AO80" s="113"/>
      <c r="AP80" s="113"/>
      <c r="AQ80" s="113"/>
      <c r="AR80" s="46">
        <v>0</v>
      </c>
      <c r="AS80" s="113"/>
      <c r="AT80" s="113"/>
      <c r="AU80" s="113"/>
      <c r="AV80" s="113"/>
      <c r="AW80" s="113"/>
      <c r="AX80" s="46">
        <v>0</v>
      </c>
      <c r="AY80" s="113"/>
      <c r="AZ80" s="113"/>
      <c r="BA80" s="113"/>
      <c r="BB80" s="113"/>
      <c r="BC80" s="113"/>
      <c r="BD80" s="46">
        <v>0</v>
      </c>
      <c r="BE80" s="113"/>
      <c r="BF80" s="113"/>
      <c r="BG80" s="113"/>
      <c r="BH80" s="113"/>
      <c r="BI80" s="113"/>
      <c r="BJ80" s="46">
        <v>0</v>
      </c>
      <c r="BK80" s="113"/>
      <c r="BL80" s="113"/>
      <c r="BM80" s="113"/>
      <c r="BN80" s="113"/>
      <c r="BO80" s="113"/>
      <c r="BP80" s="121"/>
      <c r="BQ80" s="121"/>
      <c r="FA80" t="str">
        <f>IF(N(AN_Lags!$AB$9)&gt;=_xlfn.XLOOKUP("MinMonthsForCharts",AnParam[Param],AnParam[Value],12),"",SUBSTITUTE(SUBSTITUTE(SUBSTITUTE(_xlfn.XLOOKUP("AN_EMPTY",tblUIText[Key],tblUIText[TR],"AN_EMPTY"),": ",":"&amp;CHAR(10)),"{0}",N(AN_Lags!$AB$9)),"{1}",_xlfn.XLOOKUP("MinMonthsForCharts",AnParam[Param],AnParam[Value],12))&amp;CHAR(10)&amp;SUBSTITUTE(SUBSTITUTE(SUBSTITUTE(_xlfn.XLOOKUP("AN_EMPTY",tblUIText[Key],tblUIText[EN],"AN_EMPTY"),": ",":"&amp;CHAR(10)),"{0}",N(AN_Lags!$AB$9)),"{1}",_xlfn.XLOOKUP("MinMonthsForCharts",AnParam[Param],AnParam[Value],12)))</f>
        <v>VERİ YETERSİZ:
0 ay veri var, grafikler için en az 12 ay gerekir
INSUFFICIENT DATA:
0 months of data, the charts need at least 12</v>
      </c>
      <c r="FB80">
        <f>IF($FA$80="",NA(),1)</f>
        <v>1</v>
      </c>
      <c r="FC80" t="str">
        <f>IF($FA$80=""," ",$FA$80)</f>
        <v>VERİ YETERSİZ:
0 ay veri var, grafikler için en az 12 ay gerekir
INSUFFICIENT DATA:
0 months of data, the charts need at least 12</v>
      </c>
      <c r="FD80" t="str">
        <f>SUBSTITUTE(SUBSTITUTE(SUBSTITUTE(_xlfn.XLOOKUP("AN_EMPTY",tblUIText[Key],tblUIText[TR],"AN_EMPTY"),": ",":"&amp;CHAR(10)),"{0}",10),"{1}",_xlfn.XLOOKUP("MinMonthsForCharts",AnParam[Param],AnParam[Value],12))&amp;CHAR(10)&amp;SUBSTITUTE(SUBSTITUTE(SUBSTITUTE(_xlfn.XLOOKUP("AN_EMPTY",tblUIText[Key],tblUIText[EN],"AN_EMPTY"),": ",":"&amp;CHAR(10)),"{0}",10),"{1}",_xlfn.XLOOKUP("MinMonthsForCharts",AnParam[Param],AnParam[Value],12))</f>
        <v>VERİ YETERSİZ:
10 ay veri var, grafikler için en az 12 ay gerekir
INSUFFICIENT DATA:
10 months of data, the charts need at least 12</v>
      </c>
      <c r="GA80" t="s">
        <v>113</v>
      </c>
      <c r="GB80" t="s">
        <v>22967</v>
      </c>
      <c r="GC80" s="46">
        <v>0</v>
      </c>
      <c r="GD80" s="113"/>
      <c r="GE80" s="113"/>
      <c r="GF80" s="113"/>
      <c r="GG80" s="113"/>
      <c r="GH80" s="113"/>
      <c r="GI80" s="46">
        <v>0</v>
      </c>
      <c r="GJ80" s="113"/>
      <c r="GK80" s="113"/>
      <c r="GL80" s="113"/>
      <c r="GM80" s="113"/>
      <c r="GN80" s="113"/>
      <c r="GO80" s="46">
        <v>0</v>
      </c>
      <c r="GP80" s="113"/>
      <c r="GQ80" s="113"/>
      <c r="GR80" s="113"/>
      <c r="GS80" s="113"/>
      <c r="GT80" s="113"/>
      <c r="GU80" s="46">
        <v>0</v>
      </c>
      <c r="GV80" s="113"/>
      <c r="GW80" s="113"/>
      <c r="GX80" s="113"/>
      <c r="GY80" s="113"/>
      <c r="GZ80" s="113"/>
      <c r="HA80" s="46">
        <v>0</v>
      </c>
      <c r="HB80" s="113"/>
      <c r="HC80" s="113"/>
      <c r="HD80" s="113"/>
      <c r="HE80" s="113"/>
      <c r="HF80" s="113"/>
      <c r="HG80" s="46">
        <v>0</v>
      </c>
      <c r="HH80" s="113"/>
      <c r="HI80" s="113"/>
      <c r="HJ80" s="113"/>
      <c r="HK80" s="113"/>
      <c r="HL80" s="113"/>
      <c r="HM80" s="121"/>
      <c r="HN80" s="121"/>
      <c r="LM80" t="str">
        <v/>
      </c>
      <c r="LN80" t="str">
        <v/>
      </c>
      <c r="LO80" t="str">
        <v/>
      </c>
    </row>
    <row r="81" spans="30:327">
      <c r="AD81" t="s">
        <v>113</v>
      </c>
      <c r="AE81" t="s">
        <v>22968</v>
      </c>
      <c r="AF81" s="46">
        <v>0</v>
      </c>
      <c r="AG81" s="113"/>
      <c r="AH81" s="113"/>
      <c r="AI81" s="113"/>
      <c r="AJ81" s="113"/>
      <c r="AK81" s="113"/>
      <c r="AL81" s="46">
        <v>0</v>
      </c>
      <c r="AM81" s="113"/>
      <c r="AN81" s="113"/>
      <c r="AO81" s="113"/>
      <c r="AP81" s="113"/>
      <c r="AQ81" s="113"/>
      <c r="AR81" s="46">
        <v>0</v>
      </c>
      <c r="AS81" s="113"/>
      <c r="AT81" s="113"/>
      <c r="AU81" s="113"/>
      <c r="AV81" s="113"/>
      <c r="AW81" s="113"/>
      <c r="AX81" s="46">
        <v>0</v>
      </c>
      <c r="AY81" s="113"/>
      <c r="AZ81" s="113"/>
      <c r="BA81" s="113"/>
      <c r="BB81" s="113"/>
      <c r="BC81" s="113"/>
      <c r="BD81" s="46">
        <v>0</v>
      </c>
      <c r="BE81" s="113"/>
      <c r="BF81" s="113"/>
      <c r="BG81" s="113"/>
      <c r="BH81" s="113"/>
      <c r="BI81" s="113"/>
      <c r="BJ81" s="46">
        <v>0</v>
      </c>
      <c r="BK81" s="113"/>
      <c r="BL81" s="113"/>
      <c r="BM81" s="113"/>
      <c r="BN81" s="113"/>
      <c r="BO81" s="113"/>
      <c r="BP81" s="121"/>
      <c r="BQ81" s="121"/>
      <c r="GA81" t="s">
        <v>113</v>
      </c>
      <c r="GB81" t="s">
        <v>22968</v>
      </c>
      <c r="GC81" s="46">
        <v>0</v>
      </c>
      <c r="GD81" s="113"/>
      <c r="GE81" s="113"/>
      <c r="GF81" s="113"/>
      <c r="GG81" s="113"/>
      <c r="GH81" s="113"/>
      <c r="GI81" s="46">
        <v>0</v>
      </c>
      <c r="GJ81" s="113"/>
      <c r="GK81" s="113"/>
      <c r="GL81" s="113"/>
      <c r="GM81" s="113"/>
      <c r="GN81" s="113"/>
      <c r="GO81" s="46">
        <v>0</v>
      </c>
      <c r="GP81" s="113"/>
      <c r="GQ81" s="113"/>
      <c r="GR81" s="113"/>
      <c r="GS81" s="113"/>
      <c r="GT81" s="113"/>
      <c r="GU81" s="46">
        <v>0</v>
      </c>
      <c r="GV81" s="113"/>
      <c r="GW81" s="113"/>
      <c r="GX81" s="113"/>
      <c r="GY81" s="113"/>
      <c r="GZ81" s="113"/>
      <c r="HA81" s="46">
        <v>0</v>
      </c>
      <c r="HB81" s="113"/>
      <c r="HC81" s="113"/>
      <c r="HD81" s="113"/>
      <c r="HE81" s="113"/>
      <c r="HF81" s="113"/>
      <c r="HG81" s="46">
        <v>0</v>
      </c>
      <c r="HH81" s="113"/>
      <c r="HI81" s="113"/>
      <c r="HJ81" s="113"/>
      <c r="HK81" s="113"/>
      <c r="HL81" s="113"/>
      <c r="HM81" s="121"/>
      <c r="HN81" s="121"/>
      <c r="LM81" t="str">
        <v/>
      </c>
      <c r="LN81" t="str">
        <v/>
      </c>
      <c r="LO81" t="str">
        <v/>
      </c>
    </row>
    <row r="82" spans="30:327">
      <c r="AD82" t="s">
        <v>113</v>
      </c>
      <c r="AE82" t="s">
        <v>22969</v>
      </c>
      <c r="AF82" s="46">
        <v>0</v>
      </c>
      <c r="AG82" s="113"/>
      <c r="AH82" s="113"/>
      <c r="AI82" s="113"/>
      <c r="AJ82" s="113"/>
      <c r="AK82" s="113"/>
      <c r="AL82" s="46">
        <v>0</v>
      </c>
      <c r="AM82" s="113"/>
      <c r="AN82" s="113"/>
      <c r="AO82" s="113"/>
      <c r="AP82" s="113"/>
      <c r="AQ82" s="113"/>
      <c r="AR82" s="46">
        <v>0</v>
      </c>
      <c r="AS82" s="113"/>
      <c r="AT82" s="113"/>
      <c r="AU82" s="113"/>
      <c r="AV82" s="113"/>
      <c r="AW82" s="113"/>
      <c r="AX82" s="46">
        <v>0</v>
      </c>
      <c r="AY82" s="113"/>
      <c r="AZ82" s="113"/>
      <c r="BA82" s="113"/>
      <c r="BB82" s="113"/>
      <c r="BC82" s="113"/>
      <c r="BD82" s="46">
        <v>0</v>
      </c>
      <c r="BE82" s="113"/>
      <c r="BF82" s="113"/>
      <c r="BG82" s="113"/>
      <c r="BH82" s="113"/>
      <c r="BI82" s="113"/>
      <c r="BJ82" s="46">
        <v>0</v>
      </c>
      <c r="BK82" s="113"/>
      <c r="BL82" s="113"/>
      <c r="BM82" s="113"/>
      <c r="BN82" s="113"/>
      <c r="BO82" s="113"/>
      <c r="BP82" s="121"/>
      <c r="BQ82" s="121"/>
      <c r="GA82" t="s">
        <v>113</v>
      </c>
      <c r="GB82" t="s">
        <v>22969</v>
      </c>
      <c r="GC82" s="46">
        <v>0</v>
      </c>
      <c r="GD82" s="113"/>
      <c r="GE82" s="113"/>
      <c r="GF82" s="113"/>
      <c r="GG82" s="113"/>
      <c r="GH82" s="113"/>
      <c r="GI82" s="46">
        <v>0</v>
      </c>
      <c r="GJ82" s="113"/>
      <c r="GK82" s="113"/>
      <c r="GL82" s="113"/>
      <c r="GM82" s="113"/>
      <c r="GN82" s="113"/>
      <c r="GO82" s="46">
        <v>0</v>
      </c>
      <c r="GP82" s="113"/>
      <c r="GQ82" s="113"/>
      <c r="GR82" s="113"/>
      <c r="GS82" s="113"/>
      <c r="GT82" s="113"/>
      <c r="GU82" s="46">
        <v>0</v>
      </c>
      <c r="GV82" s="113"/>
      <c r="GW82" s="113"/>
      <c r="GX82" s="113"/>
      <c r="GY82" s="113"/>
      <c r="GZ82" s="113"/>
      <c r="HA82" s="46">
        <v>0</v>
      </c>
      <c r="HB82" s="113"/>
      <c r="HC82" s="113"/>
      <c r="HD82" s="113"/>
      <c r="HE82" s="113"/>
      <c r="HF82" s="113"/>
      <c r="HG82" s="46">
        <v>0</v>
      </c>
      <c r="HH82" s="113"/>
      <c r="HI82" s="113"/>
      <c r="HJ82" s="113"/>
      <c r="HK82" s="113"/>
      <c r="HL82" s="113"/>
      <c r="HM82" s="121"/>
      <c r="HN82" s="121"/>
      <c r="LM82" t="str">
        <v/>
      </c>
      <c r="LN82" t="str">
        <v/>
      </c>
      <c r="LO82" t="str">
        <v/>
      </c>
    </row>
    <row r="83" spans="30:327">
      <c r="AD83" t="s">
        <v>113</v>
      </c>
      <c r="AE83" t="s">
        <v>22970</v>
      </c>
      <c r="AF83" s="46">
        <v>0</v>
      </c>
      <c r="AG83" s="113"/>
      <c r="AH83" s="113"/>
      <c r="AI83" s="113"/>
      <c r="AJ83" s="113"/>
      <c r="AK83" s="113"/>
      <c r="AL83" s="46">
        <v>0</v>
      </c>
      <c r="AM83" s="113"/>
      <c r="AN83" s="113"/>
      <c r="AO83" s="113"/>
      <c r="AP83" s="113"/>
      <c r="AQ83" s="113"/>
      <c r="AR83" s="46">
        <v>0</v>
      </c>
      <c r="AS83" s="113"/>
      <c r="AT83" s="113"/>
      <c r="AU83" s="113"/>
      <c r="AV83" s="113"/>
      <c r="AW83" s="113"/>
      <c r="AX83" s="46">
        <v>0</v>
      </c>
      <c r="AY83" s="113"/>
      <c r="AZ83" s="113"/>
      <c r="BA83" s="113"/>
      <c r="BB83" s="113"/>
      <c r="BC83" s="113"/>
      <c r="BD83" s="46">
        <v>0</v>
      </c>
      <c r="BE83" s="113"/>
      <c r="BF83" s="113"/>
      <c r="BG83" s="113"/>
      <c r="BH83" s="113"/>
      <c r="BI83" s="113"/>
      <c r="BJ83" s="46">
        <v>0</v>
      </c>
      <c r="BK83" s="113"/>
      <c r="BL83" s="113"/>
      <c r="BM83" s="113"/>
      <c r="BN83" s="113"/>
      <c r="BO83" s="113"/>
      <c r="BP83" s="121"/>
      <c r="BQ83" s="121"/>
      <c r="GA83" t="s">
        <v>113</v>
      </c>
      <c r="GB83" t="s">
        <v>22970</v>
      </c>
      <c r="GC83" s="46">
        <v>0</v>
      </c>
      <c r="GD83" s="113"/>
      <c r="GE83" s="113"/>
      <c r="GF83" s="113"/>
      <c r="GG83" s="113"/>
      <c r="GH83" s="113"/>
      <c r="GI83" s="46">
        <v>0</v>
      </c>
      <c r="GJ83" s="113"/>
      <c r="GK83" s="113"/>
      <c r="GL83" s="113"/>
      <c r="GM83" s="113"/>
      <c r="GN83" s="113"/>
      <c r="GO83" s="46">
        <v>0</v>
      </c>
      <c r="GP83" s="113"/>
      <c r="GQ83" s="113"/>
      <c r="GR83" s="113"/>
      <c r="GS83" s="113"/>
      <c r="GT83" s="113"/>
      <c r="GU83" s="46">
        <v>0</v>
      </c>
      <c r="GV83" s="113"/>
      <c r="GW83" s="113"/>
      <c r="GX83" s="113"/>
      <c r="GY83" s="113"/>
      <c r="GZ83" s="113"/>
      <c r="HA83" s="46">
        <v>0</v>
      </c>
      <c r="HB83" s="113"/>
      <c r="HC83" s="113"/>
      <c r="HD83" s="113"/>
      <c r="HE83" s="113"/>
      <c r="HF83" s="113"/>
      <c r="HG83" s="46">
        <v>0</v>
      </c>
      <c r="HH83" s="113"/>
      <c r="HI83" s="113"/>
      <c r="HJ83" s="113"/>
      <c r="HK83" s="113"/>
      <c r="HL83" s="113"/>
      <c r="HM83" s="121"/>
      <c r="HN83" s="121"/>
      <c r="LM83" t="str">
        <v/>
      </c>
      <c r="LN83" t="str">
        <v/>
      </c>
      <c r="LO83" t="str">
        <v/>
      </c>
    </row>
    <row r="84" spans="30:327">
      <c r="AD84" t="s">
        <v>113</v>
      </c>
      <c r="AE84" t="s">
        <v>22971</v>
      </c>
      <c r="AF84" s="46">
        <v>0</v>
      </c>
      <c r="AG84" s="113"/>
      <c r="AH84" s="113"/>
      <c r="AI84" s="113"/>
      <c r="AJ84" s="113"/>
      <c r="AK84" s="113"/>
      <c r="AL84" s="46">
        <v>0</v>
      </c>
      <c r="AM84" s="113"/>
      <c r="AN84" s="113"/>
      <c r="AO84" s="113"/>
      <c r="AP84" s="113"/>
      <c r="AQ84" s="113"/>
      <c r="AR84" s="46">
        <v>0</v>
      </c>
      <c r="AS84" s="113"/>
      <c r="AT84" s="113"/>
      <c r="AU84" s="113"/>
      <c r="AV84" s="113"/>
      <c r="AW84" s="113"/>
      <c r="AX84" s="46">
        <v>0</v>
      </c>
      <c r="AY84" s="113"/>
      <c r="AZ84" s="113"/>
      <c r="BA84" s="113"/>
      <c r="BB84" s="113"/>
      <c r="BC84" s="113"/>
      <c r="BD84" s="46">
        <v>0</v>
      </c>
      <c r="BE84" s="113"/>
      <c r="BF84" s="113"/>
      <c r="BG84" s="113"/>
      <c r="BH84" s="113"/>
      <c r="BI84" s="113"/>
      <c r="BJ84" s="46">
        <v>0</v>
      </c>
      <c r="BK84" s="113"/>
      <c r="BL84" s="113"/>
      <c r="BM84" s="113"/>
      <c r="BN84" s="113"/>
      <c r="BO84" s="113"/>
      <c r="BP84" s="121"/>
      <c r="BQ84" s="121"/>
      <c r="GA84" t="s">
        <v>113</v>
      </c>
      <c r="GB84" t="s">
        <v>22971</v>
      </c>
      <c r="GC84" s="46">
        <v>0</v>
      </c>
      <c r="GD84" s="113"/>
      <c r="GE84" s="113"/>
      <c r="GF84" s="113"/>
      <c r="GG84" s="113"/>
      <c r="GH84" s="113"/>
      <c r="GI84" s="46">
        <v>0</v>
      </c>
      <c r="GJ84" s="113"/>
      <c r="GK84" s="113"/>
      <c r="GL84" s="113"/>
      <c r="GM84" s="113"/>
      <c r="GN84" s="113"/>
      <c r="GO84" s="46">
        <v>0</v>
      </c>
      <c r="GP84" s="113"/>
      <c r="GQ84" s="113"/>
      <c r="GR84" s="113"/>
      <c r="GS84" s="113"/>
      <c r="GT84" s="113"/>
      <c r="GU84" s="46">
        <v>0</v>
      </c>
      <c r="GV84" s="113"/>
      <c r="GW84" s="113"/>
      <c r="GX84" s="113"/>
      <c r="GY84" s="113"/>
      <c r="GZ84" s="113"/>
      <c r="HA84" s="46">
        <v>0</v>
      </c>
      <c r="HB84" s="113"/>
      <c r="HC84" s="113"/>
      <c r="HD84" s="113"/>
      <c r="HE84" s="113"/>
      <c r="HF84" s="113"/>
      <c r="HG84" s="46">
        <v>0</v>
      </c>
      <c r="HH84" s="113"/>
      <c r="HI84" s="113"/>
      <c r="HJ84" s="113"/>
      <c r="HK84" s="113"/>
      <c r="HL84" s="113"/>
      <c r="HM84" s="121"/>
      <c r="HN84" s="121"/>
      <c r="LM84" t="str">
        <v/>
      </c>
      <c r="LN84" t="str">
        <v/>
      </c>
      <c r="LO84" t="str">
        <v/>
      </c>
    </row>
    <row r="85" spans="30:327">
      <c r="AD85" t="s">
        <v>113</v>
      </c>
      <c r="AE85" t="s">
        <v>22972</v>
      </c>
      <c r="AF85" s="46">
        <v>0</v>
      </c>
      <c r="AG85" s="113"/>
      <c r="AH85" s="113"/>
      <c r="AI85" s="113"/>
      <c r="AJ85" s="113"/>
      <c r="AK85" s="113"/>
      <c r="AL85" s="46">
        <v>0</v>
      </c>
      <c r="AM85" s="113"/>
      <c r="AN85" s="113"/>
      <c r="AO85" s="113"/>
      <c r="AP85" s="113"/>
      <c r="AQ85" s="113"/>
      <c r="AR85" s="46">
        <v>0</v>
      </c>
      <c r="AS85" s="113"/>
      <c r="AT85" s="113"/>
      <c r="AU85" s="113"/>
      <c r="AV85" s="113"/>
      <c r="AW85" s="113"/>
      <c r="AX85" s="46">
        <v>0</v>
      </c>
      <c r="AY85" s="113"/>
      <c r="AZ85" s="113"/>
      <c r="BA85" s="113"/>
      <c r="BB85" s="113"/>
      <c r="BC85" s="113"/>
      <c r="BD85" s="46">
        <v>0</v>
      </c>
      <c r="BE85" s="113"/>
      <c r="BF85" s="113"/>
      <c r="BG85" s="113"/>
      <c r="BH85" s="113"/>
      <c r="BI85" s="113"/>
      <c r="BJ85" s="46">
        <v>0</v>
      </c>
      <c r="BK85" s="113"/>
      <c r="BL85" s="113"/>
      <c r="BM85" s="113"/>
      <c r="BN85" s="113"/>
      <c r="BO85" s="113"/>
      <c r="BP85" s="121"/>
      <c r="BQ85" s="121"/>
      <c r="GA85" t="s">
        <v>113</v>
      </c>
      <c r="GB85" t="s">
        <v>22972</v>
      </c>
      <c r="GC85" s="46">
        <v>0</v>
      </c>
      <c r="GD85" s="113"/>
      <c r="GE85" s="113"/>
      <c r="GF85" s="113"/>
      <c r="GG85" s="113"/>
      <c r="GH85" s="113"/>
      <c r="GI85" s="46">
        <v>0</v>
      </c>
      <c r="GJ85" s="113"/>
      <c r="GK85" s="113"/>
      <c r="GL85" s="113"/>
      <c r="GM85" s="113"/>
      <c r="GN85" s="113"/>
      <c r="GO85" s="46">
        <v>0</v>
      </c>
      <c r="GP85" s="113"/>
      <c r="GQ85" s="113"/>
      <c r="GR85" s="113"/>
      <c r="GS85" s="113"/>
      <c r="GT85" s="113"/>
      <c r="GU85" s="46">
        <v>0</v>
      </c>
      <c r="GV85" s="113"/>
      <c r="GW85" s="113"/>
      <c r="GX85" s="113"/>
      <c r="GY85" s="113"/>
      <c r="GZ85" s="113"/>
      <c r="HA85" s="46">
        <v>0</v>
      </c>
      <c r="HB85" s="113"/>
      <c r="HC85" s="113"/>
      <c r="HD85" s="113"/>
      <c r="HE85" s="113"/>
      <c r="HF85" s="113"/>
      <c r="HG85" s="46">
        <v>0</v>
      </c>
      <c r="HH85" s="113"/>
      <c r="HI85" s="113"/>
      <c r="HJ85" s="113"/>
      <c r="HK85" s="113"/>
      <c r="HL85" s="113"/>
      <c r="HM85" s="121"/>
      <c r="HN85" s="121"/>
      <c r="LM85" t="str">
        <v/>
      </c>
      <c r="LN85" t="str">
        <v/>
      </c>
      <c r="LO85" t="str">
        <v/>
      </c>
    </row>
    <row r="86" spans="30:327">
      <c r="AD86" t="s">
        <v>113</v>
      </c>
      <c r="AE86" t="s">
        <v>22973</v>
      </c>
      <c r="AF86" s="46">
        <v>0</v>
      </c>
      <c r="AG86" s="113"/>
      <c r="AH86" s="113"/>
      <c r="AI86" s="113"/>
      <c r="AJ86" s="113"/>
      <c r="AK86" s="113"/>
      <c r="AL86" s="46">
        <v>0</v>
      </c>
      <c r="AM86" s="113"/>
      <c r="AN86" s="113"/>
      <c r="AO86" s="113"/>
      <c r="AP86" s="113"/>
      <c r="AQ86" s="113"/>
      <c r="AR86" s="46">
        <v>0</v>
      </c>
      <c r="AS86" s="113"/>
      <c r="AT86" s="113"/>
      <c r="AU86" s="113"/>
      <c r="AV86" s="113"/>
      <c r="AW86" s="113"/>
      <c r="AX86" s="46">
        <v>0</v>
      </c>
      <c r="AY86" s="113"/>
      <c r="AZ86" s="113"/>
      <c r="BA86" s="113"/>
      <c r="BB86" s="113"/>
      <c r="BC86" s="113"/>
      <c r="BD86" s="46">
        <v>0</v>
      </c>
      <c r="BE86" s="113"/>
      <c r="BF86" s="113"/>
      <c r="BG86" s="113"/>
      <c r="BH86" s="113"/>
      <c r="BI86" s="113"/>
      <c r="BJ86" s="46">
        <v>0</v>
      </c>
      <c r="BK86" s="113"/>
      <c r="BL86" s="113"/>
      <c r="BM86" s="113"/>
      <c r="BN86" s="113"/>
      <c r="BO86" s="113"/>
      <c r="BP86" s="121"/>
      <c r="BQ86" s="121"/>
      <c r="GA86" t="s">
        <v>113</v>
      </c>
      <c r="GB86" t="s">
        <v>22973</v>
      </c>
      <c r="GC86" s="46">
        <v>0</v>
      </c>
      <c r="GD86" s="113"/>
      <c r="GE86" s="113"/>
      <c r="GF86" s="113"/>
      <c r="GG86" s="113"/>
      <c r="GH86" s="113"/>
      <c r="GI86" s="46">
        <v>0</v>
      </c>
      <c r="GJ86" s="113"/>
      <c r="GK86" s="113"/>
      <c r="GL86" s="113"/>
      <c r="GM86" s="113"/>
      <c r="GN86" s="113"/>
      <c r="GO86" s="46">
        <v>0</v>
      </c>
      <c r="GP86" s="113"/>
      <c r="GQ86" s="113"/>
      <c r="GR86" s="113"/>
      <c r="GS86" s="113"/>
      <c r="GT86" s="113"/>
      <c r="GU86" s="46">
        <v>0</v>
      </c>
      <c r="GV86" s="113"/>
      <c r="GW86" s="113"/>
      <c r="GX86" s="113"/>
      <c r="GY86" s="113"/>
      <c r="GZ86" s="113"/>
      <c r="HA86" s="46">
        <v>0</v>
      </c>
      <c r="HB86" s="113"/>
      <c r="HC86" s="113"/>
      <c r="HD86" s="113"/>
      <c r="HE86" s="113"/>
      <c r="HF86" s="113"/>
      <c r="HG86" s="46">
        <v>0</v>
      </c>
      <c r="HH86" s="113"/>
      <c r="HI86" s="113"/>
      <c r="HJ86" s="113"/>
      <c r="HK86" s="113"/>
      <c r="HL86" s="113"/>
      <c r="HM86" s="121"/>
      <c r="HN86" s="121"/>
      <c r="LM86" t="str">
        <v/>
      </c>
      <c r="LN86" t="str">
        <v/>
      </c>
      <c r="LO86" t="str">
        <v/>
      </c>
    </row>
    <row r="87" spans="30:327">
      <c r="AD87" t="s">
        <v>113</v>
      </c>
      <c r="AE87" t="s">
        <v>22974</v>
      </c>
      <c r="AF87" s="46">
        <v>0</v>
      </c>
      <c r="AG87" s="113"/>
      <c r="AH87" s="113"/>
      <c r="AI87" s="113"/>
      <c r="AJ87" s="113"/>
      <c r="AK87" s="113"/>
      <c r="AL87" s="46">
        <v>0</v>
      </c>
      <c r="AM87" s="113"/>
      <c r="AN87" s="113"/>
      <c r="AO87" s="113"/>
      <c r="AP87" s="113"/>
      <c r="AQ87" s="113"/>
      <c r="AR87" s="46">
        <v>0</v>
      </c>
      <c r="AS87" s="113"/>
      <c r="AT87" s="113"/>
      <c r="AU87" s="113"/>
      <c r="AV87" s="113"/>
      <c r="AW87" s="113"/>
      <c r="AX87" s="46">
        <v>0</v>
      </c>
      <c r="AY87" s="113"/>
      <c r="AZ87" s="113"/>
      <c r="BA87" s="113"/>
      <c r="BB87" s="113"/>
      <c r="BC87" s="113"/>
      <c r="BD87" s="46">
        <v>0</v>
      </c>
      <c r="BE87" s="113"/>
      <c r="BF87" s="113"/>
      <c r="BG87" s="113"/>
      <c r="BH87" s="113"/>
      <c r="BI87" s="113"/>
      <c r="BJ87" s="46">
        <v>0</v>
      </c>
      <c r="BK87" s="113"/>
      <c r="BL87" s="113"/>
      <c r="BM87" s="113"/>
      <c r="BN87" s="113"/>
      <c r="BO87" s="113"/>
      <c r="BP87" s="121"/>
      <c r="BQ87" s="121"/>
      <c r="GA87" t="s">
        <v>113</v>
      </c>
      <c r="GB87" t="s">
        <v>22974</v>
      </c>
      <c r="GC87" s="46">
        <v>0</v>
      </c>
      <c r="GD87" s="113"/>
      <c r="GE87" s="113"/>
      <c r="GF87" s="113"/>
      <c r="GG87" s="113"/>
      <c r="GH87" s="113"/>
      <c r="GI87" s="46">
        <v>0</v>
      </c>
      <c r="GJ87" s="113"/>
      <c r="GK87" s="113"/>
      <c r="GL87" s="113"/>
      <c r="GM87" s="113"/>
      <c r="GN87" s="113"/>
      <c r="GO87" s="46">
        <v>0</v>
      </c>
      <c r="GP87" s="113"/>
      <c r="GQ87" s="113"/>
      <c r="GR87" s="113"/>
      <c r="GS87" s="113"/>
      <c r="GT87" s="113"/>
      <c r="GU87" s="46">
        <v>0</v>
      </c>
      <c r="GV87" s="113"/>
      <c r="GW87" s="113"/>
      <c r="GX87" s="113"/>
      <c r="GY87" s="113"/>
      <c r="GZ87" s="113"/>
      <c r="HA87" s="46">
        <v>0</v>
      </c>
      <c r="HB87" s="113"/>
      <c r="HC87" s="113"/>
      <c r="HD87" s="113"/>
      <c r="HE87" s="113"/>
      <c r="HF87" s="113"/>
      <c r="HG87" s="46">
        <v>0</v>
      </c>
      <c r="HH87" s="113"/>
      <c r="HI87" s="113"/>
      <c r="HJ87" s="113"/>
      <c r="HK87" s="113"/>
      <c r="HL87" s="113"/>
      <c r="HM87" s="121"/>
      <c r="HN87" s="121"/>
      <c r="LM87" t="str">
        <v/>
      </c>
      <c r="LN87" t="str">
        <v/>
      </c>
      <c r="LO87" t="str">
        <v/>
      </c>
    </row>
    <row r="88" spans="30:327">
      <c r="AD88" t="s">
        <v>113</v>
      </c>
      <c r="AE88" t="s">
        <v>22975</v>
      </c>
      <c r="AF88" s="46">
        <v>0</v>
      </c>
      <c r="AG88" s="113"/>
      <c r="AH88" s="113"/>
      <c r="AI88" s="113"/>
      <c r="AJ88" s="113"/>
      <c r="AK88" s="113"/>
      <c r="AL88" s="46">
        <v>0</v>
      </c>
      <c r="AM88" s="113"/>
      <c r="AN88" s="113"/>
      <c r="AO88" s="113"/>
      <c r="AP88" s="113"/>
      <c r="AQ88" s="113"/>
      <c r="AR88" s="46">
        <v>0</v>
      </c>
      <c r="AS88" s="113"/>
      <c r="AT88" s="113"/>
      <c r="AU88" s="113"/>
      <c r="AV88" s="113"/>
      <c r="AW88" s="113"/>
      <c r="AX88" s="46">
        <v>0</v>
      </c>
      <c r="AY88" s="113"/>
      <c r="AZ88" s="113"/>
      <c r="BA88" s="113"/>
      <c r="BB88" s="113"/>
      <c r="BC88" s="113"/>
      <c r="BD88" s="46">
        <v>0</v>
      </c>
      <c r="BE88" s="113"/>
      <c r="BF88" s="113"/>
      <c r="BG88" s="113"/>
      <c r="BH88" s="113"/>
      <c r="BI88" s="113"/>
      <c r="BJ88" s="46">
        <v>0</v>
      </c>
      <c r="BK88" s="113"/>
      <c r="BL88" s="113"/>
      <c r="BM88" s="113"/>
      <c r="BN88" s="113"/>
      <c r="BO88" s="113"/>
      <c r="BP88" s="121"/>
      <c r="BQ88" s="121"/>
      <c r="GA88" t="s">
        <v>113</v>
      </c>
      <c r="GB88" t="s">
        <v>22975</v>
      </c>
      <c r="GC88" s="46">
        <v>0</v>
      </c>
      <c r="GD88" s="113"/>
      <c r="GE88" s="113"/>
      <c r="GF88" s="113"/>
      <c r="GG88" s="113"/>
      <c r="GH88" s="113"/>
      <c r="GI88" s="46">
        <v>0</v>
      </c>
      <c r="GJ88" s="113"/>
      <c r="GK88" s="113"/>
      <c r="GL88" s="113"/>
      <c r="GM88" s="113"/>
      <c r="GN88" s="113"/>
      <c r="GO88" s="46">
        <v>0</v>
      </c>
      <c r="GP88" s="113"/>
      <c r="GQ88" s="113"/>
      <c r="GR88" s="113"/>
      <c r="GS88" s="113"/>
      <c r="GT88" s="113"/>
      <c r="GU88" s="46">
        <v>0</v>
      </c>
      <c r="GV88" s="113"/>
      <c r="GW88" s="113"/>
      <c r="GX88" s="113"/>
      <c r="GY88" s="113"/>
      <c r="GZ88" s="113"/>
      <c r="HA88" s="46">
        <v>0</v>
      </c>
      <c r="HB88" s="113"/>
      <c r="HC88" s="113"/>
      <c r="HD88" s="113"/>
      <c r="HE88" s="113"/>
      <c r="HF88" s="113"/>
      <c r="HG88" s="46">
        <v>0</v>
      </c>
      <c r="HH88" s="113"/>
      <c r="HI88" s="113"/>
      <c r="HJ88" s="113"/>
      <c r="HK88" s="113"/>
      <c r="HL88" s="113"/>
      <c r="HM88" s="121"/>
      <c r="HN88" s="121"/>
      <c r="LM88" t="str">
        <v/>
      </c>
      <c r="LN88" t="str">
        <v/>
      </c>
      <c r="LO88" t="str">
        <v/>
      </c>
    </row>
    <row r="89" spans="30:327">
      <c r="AD89" t="s">
        <v>113</v>
      </c>
      <c r="AE89" t="s">
        <v>22976</v>
      </c>
      <c r="AF89" s="46">
        <v>0</v>
      </c>
      <c r="AG89" s="113"/>
      <c r="AH89" s="113"/>
      <c r="AI89" s="113"/>
      <c r="AJ89" s="113"/>
      <c r="AK89" s="113"/>
      <c r="AL89" s="46">
        <v>0</v>
      </c>
      <c r="AM89" s="113"/>
      <c r="AN89" s="113"/>
      <c r="AO89" s="113"/>
      <c r="AP89" s="113"/>
      <c r="AQ89" s="113"/>
      <c r="AR89" s="46">
        <v>0</v>
      </c>
      <c r="AS89" s="113"/>
      <c r="AT89" s="113"/>
      <c r="AU89" s="113"/>
      <c r="AV89" s="113"/>
      <c r="AW89" s="113"/>
      <c r="AX89" s="46">
        <v>0</v>
      </c>
      <c r="AY89" s="113"/>
      <c r="AZ89" s="113"/>
      <c r="BA89" s="113"/>
      <c r="BB89" s="113"/>
      <c r="BC89" s="113"/>
      <c r="BD89" s="46">
        <v>0</v>
      </c>
      <c r="BE89" s="113"/>
      <c r="BF89" s="113"/>
      <c r="BG89" s="113"/>
      <c r="BH89" s="113"/>
      <c r="BI89" s="113"/>
      <c r="BJ89" s="46">
        <v>0</v>
      </c>
      <c r="BK89" s="113"/>
      <c r="BL89" s="113"/>
      <c r="BM89" s="113"/>
      <c r="BN89" s="113"/>
      <c r="BO89" s="113"/>
      <c r="BP89" s="121"/>
      <c r="BQ89" s="121"/>
      <c r="GA89" t="s">
        <v>113</v>
      </c>
      <c r="GB89" t="s">
        <v>22976</v>
      </c>
      <c r="GC89" s="46">
        <v>0</v>
      </c>
      <c r="GD89" s="113"/>
      <c r="GE89" s="113"/>
      <c r="GF89" s="113"/>
      <c r="GG89" s="113"/>
      <c r="GH89" s="113"/>
      <c r="GI89" s="46">
        <v>0</v>
      </c>
      <c r="GJ89" s="113"/>
      <c r="GK89" s="113"/>
      <c r="GL89" s="113"/>
      <c r="GM89" s="113"/>
      <c r="GN89" s="113"/>
      <c r="GO89" s="46">
        <v>0</v>
      </c>
      <c r="GP89" s="113"/>
      <c r="GQ89" s="113"/>
      <c r="GR89" s="113"/>
      <c r="GS89" s="113"/>
      <c r="GT89" s="113"/>
      <c r="GU89" s="46">
        <v>0</v>
      </c>
      <c r="GV89" s="113"/>
      <c r="GW89" s="113"/>
      <c r="GX89" s="113"/>
      <c r="GY89" s="113"/>
      <c r="GZ89" s="113"/>
      <c r="HA89" s="46">
        <v>0</v>
      </c>
      <c r="HB89" s="113"/>
      <c r="HC89" s="113"/>
      <c r="HD89" s="113"/>
      <c r="HE89" s="113"/>
      <c r="HF89" s="113"/>
      <c r="HG89" s="46">
        <v>0</v>
      </c>
      <c r="HH89" s="113"/>
      <c r="HI89" s="113"/>
      <c r="HJ89" s="113"/>
      <c r="HK89" s="113"/>
      <c r="HL89" s="113"/>
      <c r="HM89" s="121"/>
      <c r="HN89" s="121"/>
      <c r="LM89" t="str">
        <v/>
      </c>
      <c r="LN89" t="str">
        <v/>
      </c>
      <c r="LO89" t="str">
        <v/>
      </c>
    </row>
    <row r="90" spans="30:327">
      <c r="AD90" t="s">
        <v>113</v>
      </c>
      <c r="AE90" t="s">
        <v>22977</v>
      </c>
      <c r="AF90" s="46">
        <v>0</v>
      </c>
      <c r="AG90" s="113"/>
      <c r="AH90" s="113"/>
      <c r="AI90" s="113"/>
      <c r="AJ90" s="113"/>
      <c r="AK90" s="113"/>
      <c r="AL90" s="46">
        <v>0</v>
      </c>
      <c r="AM90" s="113"/>
      <c r="AN90" s="113"/>
      <c r="AO90" s="113"/>
      <c r="AP90" s="113"/>
      <c r="AQ90" s="113"/>
      <c r="AR90" s="46">
        <v>0</v>
      </c>
      <c r="AS90" s="113"/>
      <c r="AT90" s="113"/>
      <c r="AU90" s="113"/>
      <c r="AV90" s="113"/>
      <c r="AW90" s="113"/>
      <c r="AX90" s="46">
        <v>0</v>
      </c>
      <c r="AY90" s="113"/>
      <c r="AZ90" s="113"/>
      <c r="BA90" s="113"/>
      <c r="BB90" s="113"/>
      <c r="BC90" s="113"/>
      <c r="BD90" s="46">
        <v>0</v>
      </c>
      <c r="BE90" s="113"/>
      <c r="BF90" s="113"/>
      <c r="BG90" s="113"/>
      <c r="BH90" s="113"/>
      <c r="BI90" s="113"/>
      <c r="BJ90" s="46">
        <v>0</v>
      </c>
      <c r="BK90" s="113"/>
      <c r="BL90" s="113"/>
      <c r="BM90" s="113"/>
      <c r="BN90" s="113"/>
      <c r="BO90" s="113"/>
      <c r="BP90" s="121"/>
      <c r="BQ90" s="121"/>
      <c r="GA90" t="s">
        <v>113</v>
      </c>
      <c r="GB90" t="s">
        <v>22977</v>
      </c>
      <c r="GC90" s="46">
        <v>0</v>
      </c>
      <c r="GD90" s="113"/>
      <c r="GE90" s="113"/>
      <c r="GF90" s="113"/>
      <c r="GG90" s="113"/>
      <c r="GH90" s="113"/>
      <c r="GI90" s="46">
        <v>0</v>
      </c>
      <c r="GJ90" s="113"/>
      <c r="GK90" s="113"/>
      <c r="GL90" s="113"/>
      <c r="GM90" s="113"/>
      <c r="GN90" s="113"/>
      <c r="GO90" s="46">
        <v>0</v>
      </c>
      <c r="GP90" s="113"/>
      <c r="GQ90" s="113"/>
      <c r="GR90" s="113"/>
      <c r="GS90" s="113"/>
      <c r="GT90" s="113"/>
      <c r="GU90" s="46">
        <v>0</v>
      </c>
      <c r="GV90" s="113"/>
      <c r="GW90" s="113"/>
      <c r="GX90" s="113"/>
      <c r="GY90" s="113"/>
      <c r="GZ90" s="113"/>
      <c r="HA90" s="46">
        <v>0</v>
      </c>
      <c r="HB90" s="113"/>
      <c r="HC90" s="113"/>
      <c r="HD90" s="113"/>
      <c r="HE90" s="113"/>
      <c r="HF90" s="113"/>
      <c r="HG90" s="46">
        <v>0</v>
      </c>
      <c r="HH90" s="113"/>
      <c r="HI90" s="113"/>
      <c r="HJ90" s="113"/>
      <c r="HK90" s="113"/>
      <c r="HL90" s="113"/>
      <c r="HM90" s="121"/>
      <c r="HN90" s="121"/>
      <c r="LM90" t="str">
        <v/>
      </c>
      <c r="LN90" t="str">
        <v/>
      </c>
      <c r="LO90" t="str">
        <v/>
      </c>
    </row>
    <row r="91" spans="30:327">
      <c r="AD91" t="s">
        <v>113</v>
      </c>
      <c r="AE91" t="s">
        <v>22978</v>
      </c>
      <c r="AF91" s="46">
        <v>0</v>
      </c>
      <c r="AG91" s="113"/>
      <c r="AH91" s="113"/>
      <c r="AI91" s="113"/>
      <c r="AJ91" s="113"/>
      <c r="AK91" s="113"/>
      <c r="AL91" s="46">
        <v>0</v>
      </c>
      <c r="AM91" s="113"/>
      <c r="AN91" s="113"/>
      <c r="AO91" s="113"/>
      <c r="AP91" s="113"/>
      <c r="AQ91" s="113"/>
      <c r="AR91" s="46">
        <v>0</v>
      </c>
      <c r="AS91" s="113"/>
      <c r="AT91" s="113"/>
      <c r="AU91" s="113"/>
      <c r="AV91" s="113"/>
      <c r="AW91" s="113"/>
      <c r="AX91" s="46">
        <v>0</v>
      </c>
      <c r="AY91" s="113"/>
      <c r="AZ91" s="113"/>
      <c r="BA91" s="113"/>
      <c r="BB91" s="113"/>
      <c r="BC91" s="113"/>
      <c r="BD91" s="46">
        <v>0</v>
      </c>
      <c r="BE91" s="113"/>
      <c r="BF91" s="113"/>
      <c r="BG91" s="113"/>
      <c r="BH91" s="113"/>
      <c r="BI91" s="113"/>
      <c r="BJ91" s="46">
        <v>0</v>
      </c>
      <c r="BK91" s="113"/>
      <c r="BL91" s="113"/>
      <c r="BM91" s="113"/>
      <c r="BN91" s="113"/>
      <c r="BO91" s="113"/>
      <c r="BP91" s="121"/>
      <c r="BQ91" s="121"/>
      <c r="GA91" t="s">
        <v>113</v>
      </c>
      <c r="GB91" t="s">
        <v>22978</v>
      </c>
      <c r="GC91" s="46">
        <v>0</v>
      </c>
      <c r="GD91" s="113"/>
      <c r="GE91" s="113"/>
      <c r="GF91" s="113"/>
      <c r="GG91" s="113"/>
      <c r="GH91" s="113"/>
      <c r="GI91" s="46">
        <v>0</v>
      </c>
      <c r="GJ91" s="113"/>
      <c r="GK91" s="113"/>
      <c r="GL91" s="113"/>
      <c r="GM91" s="113"/>
      <c r="GN91" s="113"/>
      <c r="GO91" s="46">
        <v>0</v>
      </c>
      <c r="GP91" s="113"/>
      <c r="GQ91" s="113"/>
      <c r="GR91" s="113"/>
      <c r="GS91" s="113"/>
      <c r="GT91" s="113"/>
      <c r="GU91" s="46">
        <v>0</v>
      </c>
      <c r="GV91" s="113"/>
      <c r="GW91" s="113"/>
      <c r="GX91" s="113"/>
      <c r="GY91" s="113"/>
      <c r="GZ91" s="113"/>
      <c r="HA91" s="46">
        <v>0</v>
      </c>
      <c r="HB91" s="113"/>
      <c r="HC91" s="113"/>
      <c r="HD91" s="113"/>
      <c r="HE91" s="113"/>
      <c r="HF91" s="113"/>
      <c r="HG91" s="46">
        <v>0</v>
      </c>
      <c r="HH91" s="113"/>
      <c r="HI91" s="113"/>
      <c r="HJ91" s="113"/>
      <c r="HK91" s="113"/>
      <c r="HL91" s="113"/>
      <c r="HM91" s="121"/>
      <c r="HN91" s="121"/>
      <c r="LM91" t="str">
        <v/>
      </c>
      <c r="LN91" t="str">
        <v/>
      </c>
      <c r="LO91" t="str">
        <v/>
      </c>
    </row>
    <row r="92" spans="30:327">
      <c r="AD92" t="s">
        <v>113</v>
      </c>
      <c r="AE92" t="s">
        <v>22979</v>
      </c>
      <c r="AF92" s="46">
        <v>0</v>
      </c>
      <c r="AG92" s="113"/>
      <c r="AH92" s="113"/>
      <c r="AI92" s="113"/>
      <c r="AJ92" s="113"/>
      <c r="AK92" s="113"/>
      <c r="AL92" s="46">
        <v>0</v>
      </c>
      <c r="AM92" s="113"/>
      <c r="AN92" s="113"/>
      <c r="AO92" s="113"/>
      <c r="AP92" s="113"/>
      <c r="AQ92" s="113"/>
      <c r="AR92" s="46">
        <v>0</v>
      </c>
      <c r="AS92" s="113"/>
      <c r="AT92" s="113"/>
      <c r="AU92" s="113"/>
      <c r="AV92" s="113"/>
      <c r="AW92" s="113"/>
      <c r="AX92" s="46">
        <v>0</v>
      </c>
      <c r="AY92" s="113"/>
      <c r="AZ92" s="113"/>
      <c r="BA92" s="113"/>
      <c r="BB92" s="113"/>
      <c r="BC92" s="113"/>
      <c r="BD92" s="46">
        <v>0</v>
      </c>
      <c r="BE92" s="113"/>
      <c r="BF92" s="113"/>
      <c r="BG92" s="113"/>
      <c r="BH92" s="113"/>
      <c r="BI92" s="113"/>
      <c r="BJ92" s="46">
        <v>0</v>
      </c>
      <c r="BK92" s="113"/>
      <c r="BL92" s="113"/>
      <c r="BM92" s="113"/>
      <c r="BN92" s="113"/>
      <c r="BO92" s="113"/>
      <c r="BP92" s="121"/>
      <c r="BQ92" s="121"/>
      <c r="GA92" t="s">
        <v>113</v>
      </c>
      <c r="GB92" t="s">
        <v>22979</v>
      </c>
      <c r="GC92" s="46">
        <v>0</v>
      </c>
      <c r="GD92" s="113"/>
      <c r="GE92" s="113"/>
      <c r="GF92" s="113"/>
      <c r="GG92" s="113"/>
      <c r="GH92" s="113"/>
      <c r="GI92" s="46">
        <v>0</v>
      </c>
      <c r="GJ92" s="113"/>
      <c r="GK92" s="113"/>
      <c r="GL92" s="113"/>
      <c r="GM92" s="113"/>
      <c r="GN92" s="113"/>
      <c r="GO92" s="46">
        <v>0</v>
      </c>
      <c r="GP92" s="113"/>
      <c r="GQ92" s="113"/>
      <c r="GR92" s="113"/>
      <c r="GS92" s="113"/>
      <c r="GT92" s="113"/>
      <c r="GU92" s="46">
        <v>0</v>
      </c>
      <c r="GV92" s="113"/>
      <c r="GW92" s="113"/>
      <c r="GX92" s="113"/>
      <c r="GY92" s="113"/>
      <c r="GZ92" s="113"/>
      <c r="HA92" s="46">
        <v>0</v>
      </c>
      <c r="HB92" s="113"/>
      <c r="HC92" s="113"/>
      <c r="HD92" s="113"/>
      <c r="HE92" s="113"/>
      <c r="HF92" s="113"/>
      <c r="HG92" s="46">
        <v>0</v>
      </c>
      <c r="HH92" s="113"/>
      <c r="HI92" s="113"/>
      <c r="HJ92" s="113"/>
      <c r="HK92" s="113"/>
      <c r="HL92" s="113"/>
      <c r="HM92" s="121"/>
      <c r="HN92" s="121"/>
      <c r="LM92" t="str">
        <v/>
      </c>
      <c r="LN92" t="str">
        <v/>
      </c>
      <c r="LO92" t="str">
        <v/>
      </c>
    </row>
    <row r="93" spans="30:327">
      <c r="AD93" t="s">
        <v>113</v>
      </c>
      <c r="AE93" t="s">
        <v>22980</v>
      </c>
      <c r="AF93" s="46">
        <v>0</v>
      </c>
      <c r="AG93" s="113"/>
      <c r="AH93" s="113"/>
      <c r="AI93" s="113"/>
      <c r="AJ93" s="113"/>
      <c r="AK93" s="113"/>
      <c r="AL93" s="46">
        <v>0</v>
      </c>
      <c r="AM93" s="113"/>
      <c r="AN93" s="113"/>
      <c r="AO93" s="113"/>
      <c r="AP93" s="113"/>
      <c r="AQ93" s="113"/>
      <c r="AR93" s="46">
        <v>0</v>
      </c>
      <c r="AS93" s="113"/>
      <c r="AT93" s="113"/>
      <c r="AU93" s="113"/>
      <c r="AV93" s="113"/>
      <c r="AW93" s="113"/>
      <c r="AX93" s="46">
        <v>0</v>
      </c>
      <c r="AY93" s="113"/>
      <c r="AZ93" s="113"/>
      <c r="BA93" s="113"/>
      <c r="BB93" s="113"/>
      <c r="BC93" s="113"/>
      <c r="BD93" s="46">
        <v>0</v>
      </c>
      <c r="BE93" s="113"/>
      <c r="BF93" s="113"/>
      <c r="BG93" s="113"/>
      <c r="BH93" s="113"/>
      <c r="BI93" s="113"/>
      <c r="BJ93" s="46">
        <v>0</v>
      </c>
      <c r="BK93" s="113"/>
      <c r="BL93" s="113"/>
      <c r="BM93" s="113"/>
      <c r="BN93" s="113"/>
      <c r="BO93" s="113"/>
      <c r="BP93" s="121"/>
      <c r="BQ93" s="121"/>
      <c r="GA93" t="s">
        <v>113</v>
      </c>
      <c r="GB93" t="s">
        <v>22980</v>
      </c>
      <c r="GC93" s="46">
        <v>0</v>
      </c>
      <c r="GD93" s="113"/>
      <c r="GE93" s="113"/>
      <c r="GF93" s="113"/>
      <c r="GG93" s="113"/>
      <c r="GH93" s="113"/>
      <c r="GI93" s="46">
        <v>0</v>
      </c>
      <c r="GJ93" s="113"/>
      <c r="GK93" s="113"/>
      <c r="GL93" s="113"/>
      <c r="GM93" s="113"/>
      <c r="GN93" s="113"/>
      <c r="GO93" s="46">
        <v>0</v>
      </c>
      <c r="GP93" s="113"/>
      <c r="GQ93" s="113"/>
      <c r="GR93" s="113"/>
      <c r="GS93" s="113"/>
      <c r="GT93" s="113"/>
      <c r="GU93" s="46">
        <v>0</v>
      </c>
      <c r="GV93" s="113"/>
      <c r="GW93" s="113"/>
      <c r="GX93" s="113"/>
      <c r="GY93" s="113"/>
      <c r="GZ93" s="113"/>
      <c r="HA93" s="46">
        <v>0</v>
      </c>
      <c r="HB93" s="113"/>
      <c r="HC93" s="113"/>
      <c r="HD93" s="113"/>
      <c r="HE93" s="113"/>
      <c r="HF93" s="113"/>
      <c r="HG93" s="46">
        <v>0</v>
      </c>
      <c r="HH93" s="113"/>
      <c r="HI93" s="113"/>
      <c r="HJ93" s="113"/>
      <c r="HK93" s="113"/>
      <c r="HL93" s="113"/>
      <c r="HM93" s="121"/>
      <c r="HN93" s="121"/>
      <c r="LM93" t="str">
        <v/>
      </c>
      <c r="LN93" t="str">
        <v/>
      </c>
      <c r="LO93" t="str">
        <v/>
      </c>
    </row>
    <row r="94" spans="30:327">
      <c r="AD94" t="s">
        <v>113</v>
      </c>
      <c r="AE94" t="s">
        <v>22981</v>
      </c>
      <c r="AF94" s="46">
        <v>0</v>
      </c>
      <c r="AG94" s="113"/>
      <c r="AH94" s="113"/>
      <c r="AI94" s="113"/>
      <c r="AJ94" s="113"/>
      <c r="AK94" s="113"/>
      <c r="AL94" s="46">
        <v>0</v>
      </c>
      <c r="AM94" s="113"/>
      <c r="AN94" s="113"/>
      <c r="AO94" s="113"/>
      <c r="AP94" s="113"/>
      <c r="AQ94" s="113"/>
      <c r="AR94" s="46">
        <v>0</v>
      </c>
      <c r="AS94" s="113"/>
      <c r="AT94" s="113"/>
      <c r="AU94" s="113"/>
      <c r="AV94" s="113"/>
      <c r="AW94" s="113"/>
      <c r="AX94" s="46">
        <v>0</v>
      </c>
      <c r="AY94" s="113"/>
      <c r="AZ94" s="113"/>
      <c r="BA94" s="113"/>
      <c r="BB94" s="113"/>
      <c r="BC94" s="113"/>
      <c r="BD94" s="46">
        <v>0</v>
      </c>
      <c r="BE94" s="113"/>
      <c r="BF94" s="113"/>
      <c r="BG94" s="113"/>
      <c r="BH94" s="113"/>
      <c r="BI94" s="113"/>
      <c r="BJ94" s="46">
        <v>0</v>
      </c>
      <c r="BK94" s="113"/>
      <c r="BL94" s="113"/>
      <c r="BM94" s="113"/>
      <c r="BN94" s="113"/>
      <c r="BO94" s="113"/>
      <c r="BP94" s="121"/>
      <c r="BQ94" s="121"/>
      <c r="GA94" t="s">
        <v>113</v>
      </c>
      <c r="GB94" t="s">
        <v>22981</v>
      </c>
      <c r="GC94" s="46">
        <v>0</v>
      </c>
      <c r="GD94" s="113"/>
      <c r="GE94" s="113"/>
      <c r="GF94" s="113"/>
      <c r="GG94" s="113"/>
      <c r="GH94" s="113"/>
      <c r="GI94" s="46">
        <v>0</v>
      </c>
      <c r="GJ94" s="113"/>
      <c r="GK94" s="113"/>
      <c r="GL94" s="113"/>
      <c r="GM94" s="113"/>
      <c r="GN94" s="113"/>
      <c r="GO94" s="46">
        <v>0</v>
      </c>
      <c r="GP94" s="113"/>
      <c r="GQ94" s="113"/>
      <c r="GR94" s="113"/>
      <c r="GS94" s="113"/>
      <c r="GT94" s="113"/>
      <c r="GU94" s="46">
        <v>0</v>
      </c>
      <c r="GV94" s="113"/>
      <c r="GW94" s="113"/>
      <c r="GX94" s="113"/>
      <c r="GY94" s="113"/>
      <c r="GZ94" s="113"/>
      <c r="HA94" s="46">
        <v>0</v>
      </c>
      <c r="HB94" s="113"/>
      <c r="HC94" s="113"/>
      <c r="HD94" s="113"/>
      <c r="HE94" s="113"/>
      <c r="HF94" s="113"/>
      <c r="HG94" s="46">
        <v>0</v>
      </c>
      <c r="HH94" s="113"/>
      <c r="HI94" s="113"/>
      <c r="HJ94" s="113"/>
      <c r="HK94" s="113"/>
      <c r="HL94" s="113"/>
      <c r="HM94" s="121"/>
      <c r="HN94" s="121"/>
      <c r="LM94" t="str">
        <v/>
      </c>
      <c r="LN94" t="str">
        <v/>
      </c>
      <c r="LO94" t="str">
        <v/>
      </c>
    </row>
    <row r="95" spans="30:327">
      <c r="AD95" t="s">
        <v>113</v>
      </c>
      <c r="AE95" t="s">
        <v>22982</v>
      </c>
      <c r="AF95" s="46">
        <v>0</v>
      </c>
      <c r="AG95" s="113"/>
      <c r="AH95" s="113"/>
      <c r="AI95" s="113"/>
      <c r="AJ95" s="113"/>
      <c r="AK95" s="113"/>
      <c r="AL95" s="46">
        <v>0</v>
      </c>
      <c r="AM95" s="113"/>
      <c r="AN95" s="113"/>
      <c r="AO95" s="113"/>
      <c r="AP95" s="113"/>
      <c r="AQ95" s="113"/>
      <c r="AR95" s="46">
        <v>0</v>
      </c>
      <c r="AS95" s="113"/>
      <c r="AT95" s="113"/>
      <c r="AU95" s="113"/>
      <c r="AV95" s="113"/>
      <c r="AW95" s="113"/>
      <c r="AX95" s="46">
        <v>0</v>
      </c>
      <c r="AY95" s="113"/>
      <c r="AZ95" s="113"/>
      <c r="BA95" s="113"/>
      <c r="BB95" s="113"/>
      <c r="BC95" s="113"/>
      <c r="BD95" s="46">
        <v>0</v>
      </c>
      <c r="BE95" s="113"/>
      <c r="BF95" s="113"/>
      <c r="BG95" s="113"/>
      <c r="BH95" s="113"/>
      <c r="BI95" s="113"/>
      <c r="BJ95" s="46">
        <v>0</v>
      </c>
      <c r="BK95" s="113"/>
      <c r="BL95" s="113"/>
      <c r="BM95" s="113"/>
      <c r="BN95" s="113"/>
      <c r="BO95" s="113"/>
      <c r="BP95" s="121"/>
      <c r="BQ95" s="121"/>
      <c r="GA95" t="s">
        <v>113</v>
      </c>
      <c r="GB95" t="s">
        <v>22982</v>
      </c>
      <c r="GC95" s="46">
        <v>0</v>
      </c>
      <c r="GD95" s="113"/>
      <c r="GE95" s="113"/>
      <c r="GF95" s="113"/>
      <c r="GG95" s="113"/>
      <c r="GH95" s="113"/>
      <c r="GI95" s="46">
        <v>0</v>
      </c>
      <c r="GJ95" s="113"/>
      <c r="GK95" s="113"/>
      <c r="GL95" s="113"/>
      <c r="GM95" s="113"/>
      <c r="GN95" s="113"/>
      <c r="GO95" s="46">
        <v>0</v>
      </c>
      <c r="GP95" s="113"/>
      <c r="GQ95" s="113"/>
      <c r="GR95" s="113"/>
      <c r="GS95" s="113"/>
      <c r="GT95" s="113"/>
      <c r="GU95" s="46">
        <v>0</v>
      </c>
      <c r="GV95" s="113"/>
      <c r="GW95" s="113"/>
      <c r="GX95" s="113"/>
      <c r="GY95" s="113"/>
      <c r="GZ95" s="113"/>
      <c r="HA95" s="46">
        <v>0</v>
      </c>
      <c r="HB95" s="113"/>
      <c r="HC95" s="113"/>
      <c r="HD95" s="113"/>
      <c r="HE95" s="113"/>
      <c r="HF95" s="113"/>
      <c r="HG95" s="46">
        <v>0</v>
      </c>
      <c r="HH95" s="113"/>
      <c r="HI95" s="113"/>
      <c r="HJ95" s="113"/>
      <c r="HK95" s="113"/>
      <c r="HL95" s="113"/>
      <c r="HM95" s="121"/>
      <c r="HN95" s="121"/>
      <c r="LM95" t="str">
        <v/>
      </c>
      <c r="LN95" t="str">
        <v/>
      </c>
      <c r="LO95" t="str">
        <v/>
      </c>
    </row>
    <row r="96" spans="30:327">
      <c r="AD96" t="s">
        <v>113</v>
      </c>
      <c r="AE96" t="s">
        <v>22983</v>
      </c>
      <c r="AF96" s="46">
        <v>0</v>
      </c>
      <c r="AG96" s="113"/>
      <c r="AH96" s="113"/>
      <c r="AI96" s="113"/>
      <c r="AJ96" s="113"/>
      <c r="AK96" s="113"/>
      <c r="AL96" s="46">
        <v>0</v>
      </c>
      <c r="AM96" s="113"/>
      <c r="AN96" s="113"/>
      <c r="AO96" s="113"/>
      <c r="AP96" s="113"/>
      <c r="AQ96" s="113"/>
      <c r="AR96" s="46">
        <v>0</v>
      </c>
      <c r="AS96" s="113"/>
      <c r="AT96" s="113"/>
      <c r="AU96" s="113"/>
      <c r="AV96" s="113"/>
      <c r="AW96" s="113"/>
      <c r="AX96" s="46">
        <v>0</v>
      </c>
      <c r="AY96" s="113"/>
      <c r="AZ96" s="113"/>
      <c r="BA96" s="113"/>
      <c r="BB96" s="113"/>
      <c r="BC96" s="113"/>
      <c r="BD96" s="46">
        <v>0</v>
      </c>
      <c r="BE96" s="113"/>
      <c r="BF96" s="113"/>
      <c r="BG96" s="113"/>
      <c r="BH96" s="113"/>
      <c r="BI96" s="113"/>
      <c r="BJ96" s="46">
        <v>0</v>
      </c>
      <c r="BK96" s="113"/>
      <c r="BL96" s="113"/>
      <c r="BM96" s="113"/>
      <c r="BN96" s="113"/>
      <c r="BO96" s="113"/>
      <c r="BP96" s="121"/>
      <c r="BQ96" s="121"/>
      <c r="GA96" t="s">
        <v>113</v>
      </c>
      <c r="GB96" t="s">
        <v>22983</v>
      </c>
      <c r="GC96" s="46">
        <v>0</v>
      </c>
      <c r="GD96" s="113"/>
      <c r="GE96" s="113"/>
      <c r="GF96" s="113"/>
      <c r="GG96" s="113"/>
      <c r="GH96" s="113"/>
      <c r="GI96" s="46">
        <v>0</v>
      </c>
      <c r="GJ96" s="113"/>
      <c r="GK96" s="113"/>
      <c r="GL96" s="113"/>
      <c r="GM96" s="113"/>
      <c r="GN96" s="113"/>
      <c r="GO96" s="46">
        <v>0</v>
      </c>
      <c r="GP96" s="113"/>
      <c r="GQ96" s="113"/>
      <c r="GR96" s="113"/>
      <c r="GS96" s="113"/>
      <c r="GT96" s="113"/>
      <c r="GU96" s="46">
        <v>0</v>
      </c>
      <c r="GV96" s="113"/>
      <c r="GW96" s="113"/>
      <c r="GX96" s="113"/>
      <c r="GY96" s="113"/>
      <c r="GZ96" s="113"/>
      <c r="HA96" s="46">
        <v>0</v>
      </c>
      <c r="HB96" s="113"/>
      <c r="HC96" s="113"/>
      <c r="HD96" s="113"/>
      <c r="HE96" s="113"/>
      <c r="HF96" s="113"/>
      <c r="HG96" s="46">
        <v>0</v>
      </c>
      <c r="HH96" s="113"/>
      <c r="HI96" s="113"/>
      <c r="HJ96" s="113"/>
      <c r="HK96" s="113"/>
      <c r="HL96" s="113"/>
      <c r="HM96" s="121"/>
      <c r="HN96" s="121"/>
      <c r="LM96" t="str">
        <v/>
      </c>
      <c r="LN96" t="str">
        <v/>
      </c>
      <c r="LO96" t="str">
        <v/>
      </c>
    </row>
    <row r="97" spans="30:327">
      <c r="AD97" t="s">
        <v>113</v>
      </c>
      <c r="AE97" t="s">
        <v>22984</v>
      </c>
      <c r="AF97" s="46">
        <v>0</v>
      </c>
      <c r="AG97" s="113"/>
      <c r="AH97" s="113"/>
      <c r="AI97" s="113"/>
      <c r="AJ97" s="113"/>
      <c r="AK97" s="113"/>
      <c r="AL97" s="46">
        <v>0</v>
      </c>
      <c r="AM97" s="113"/>
      <c r="AN97" s="113"/>
      <c r="AO97" s="113"/>
      <c r="AP97" s="113"/>
      <c r="AQ97" s="113"/>
      <c r="AR97" s="46">
        <v>0</v>
      </c>
      <c r="AS97" s="113"/>
      <c r="AT97" s="113"/>
      <c r="AU97" s="113"/>
      <c r="AV97" s="113"/>
      <c r="AW97" s="113"/>
      <c r="AX97" s="46">
        <v>0</v>
      </c>
      <c r="AY97" s="113"/>
      <c r="AZ97" s="113"/>
      <c r="BA97" s="113"/>
      <c r="BB97" s="113"/>
      <c r="BC97" s="113"/>
      <c r="BD97" s="46">
        <v>0</v>
      </c>
      <c r="BE97" s="113"/>
      <c r="BF97" s="113"/>
      <c r="BG97" s="113"/>
      <c r="BH97" s="113"/>
      <c r="BI97" s="113"/>
      <c r="BJ97" s="46">
        <v>0</v>
      </c>
      <c r="BK97" s="113"/>
      <c r="BL97" s="113"/>
      <c r="BM97" s="113"/>
      <c r="BN97" s="113"/>
      <c r="BO97" s="113"/>
      <c r="BP97" s="121"/>
      <c r="BQ97" s="121"/>
      <c r="GA97" t="s">
        <v>113</v>
      </c>
      <c r="GB97" t="s">
        <v>22984</v>
      </c>
      <c r="GC97" s="46">
        <v>0</v>
      </c>
      <c r="GD97" s="113"/>
      <c r="GE97" s="113"/>
      <c r="GF97" s="113"/>
      <c r="GG97" s="113"/>
      <c r="GH97" s="113"/>
      <c r="GI97" s="46">
        <v>0</v>
      </c>
      <c r="GJ97" s="113"/>
      <c r="GK97" s="113"/>
      <c r="GL97" s="113"/>
      <c r="GM97" s="113"/>
      <c r="GN97" s="113"/>
      <c r="GO97" s="46">
        <v>0</v>
      </c>
      <c r="GP97" s="113"/>
      <c r="GQ97" s="113"/>
      <c r="GR97" s="113"/>
      <c r="GS97" s="113"/>
      <c r="GT97" s="113"/>
      <c r="GU97" s="46">
        <v>0</v>
      </c>
      <c r="GV97" s="113"/>
      <c r="GW97" s="113"/>
      <c r="GX97" s="113"/>
      <c r="GY97" s="113"/>
      <c r="GZ97" s="113"/>
      <c r="HA97" s="46">
        <v>0</v>
      </c>
      <c r="HB97" s="113"/>
      <c r="HC97" s="113"/>
      <c r="HD97" s="113"/>
      <c r="HE97" s="113"/>
      <c r="HF97" s="113"/>
      <c r="HG97" s="46">
        <v>0</v>
      </c>
      <c r="HH97" s="113"/>
      <c r="HI97" s="113"/>
      <c r="HJ97" s="113"/>
      <c r="HK97" s="113"/>
      <c r="HL97" s="113"/>
      <c r="HM97" s="121"/>
      <c r="HN97" s="121"/>
      <c r="LM97" t="str">
        <v/>
      </c>
      <c r="LN97" t="str">
        <v/>
      </c>
      <c r="LO97" t="str">
        <v/>
      </c>
    </row>
    <row r="98" spans="30:327">
      <c r="AD98" t="s">
        <v>113</v>
      </c>
      <c r="AE98" t="s">
        <v>22985</v>
      </c>
      <c r="AF98" s="46">
        <v>0</v>
      </c>
      <c r="AG98" s="113"/>
      <c r="AH98" s="113"/>
      <c r="AI98" s="113"/>
      <c r="AJ98" s="113"/>
      <c r="AK98" s="113"/>
      <c r="AL98" s="46">
        <v>0</v>
      </c>
      <c r="AM98" s="113"/>
      <c r="AN98" s="113"/>
      <c r="AO98" s="113"/>
      <c r="AP98" s="113"/>
      <c r="AQ98" s="113"/>
      <c r="AR98" s="46">
        <v>0</v>
      </c>
      <c r="AS98" s="113"/>
      <c r="AT98" s="113"/>
      <c r="AU98" s="113"/>
      <c r="AV98" s="113"/>
      <c r="AW98" s="113"/>
      <c r="AX98" s="46">
        <v>0</v>
      </c>
      <c r="AY98" s="113"/>
      <c r="AZ98" s="113"/>
      <c r="BA98" s="113"/>
      <c r="BB98" s="113"/>
      <c r="BC98" s="113"/>
      <c r="BD98" s="46">
        <v>0</v>
      </c>
      <c r="BE98" s="113"/>
      <c r="BF98" s="113"/>
      <c r="BG98" s="113"/>
      <c r="BH98" s="113"/>
      <c r="BI98" s="113"/>
      <c r="BJ98" s="46">
        <v>0</v>
      </c>
      <c r="BK98" s="113"/>
      <c r="BL98" s="113"/>
      <c r="BM98" s="113"/>
      <c r="BN98" s="113"/>
      <c r="BO98" s="113"/>
      <c r="BP98" s="121"/>
      <c r="BQ98" s="121"/>
      <c r="GA98" t="s">
        <v>113</v>
      </c>
      <c r="GB98" t="s">
        <v>22985</v>
      </c>
      <c r="GC98" s="46">
        <v>0</v>
      </c>
      <c r="GD98" s="113"/>
      <c r="GE98" s="113"/>
      <c r="GF98" s="113"/>
      <c r="GG98" s="113"/>
      <c r="GH98" s="113"/>
      <c r="GI98" s="46">
        <v>0</v>
      </c>
      <c r="GJ98" s="113"/>
      <c r="GK98" s="113"/>
      <c r="GL98" s="113"/>
      <c r="GM98" s="113"/>
      <c r="GN98" s="113"/>
      <c r="GO98" s="46">
        <v>0</v>
      </c>
      <c r="GP98" s="113"/>
      <c r="GQ98" s="113"/>
      <c r="GR98" s="113"/>
      <c r="GS98" s="113"/>
      <c r="GT98" s="113"/>
      <c r="GU98" s="46">
        <v>0</v>
      </c>
      <c r="GV98" s="113"/>
      <c r="GW98" s="113"/>
      <c r="GX98" s="113"/>
      <c r="GY98" s="113"/>
      <c r="GZ98" s="113"/>
      <c r="HA98" s="46">
        <v>0</v>
      </c>
      <c r="HB98" s="113"/>
      <c r="HC98" s="113"/>
      <c r="HD98" s="113"/>
      <c r="HE98" s="113"/>
      <c r="HF98" s="113"/>
      <c r="HG98" s="46">
        <v>0</v>
      </c>
      <c r="HH98" s="113"/>
      <c r="HI98" s="113"/>
      <c r="HJ98" s="113"/>
      <c r="HK98" s="113"/>
      <c r="HL98" s="113"/>
      <c r="HM98" s="121"/>
      <c r="HN98" s="121"/>
      <c r="LM98" t="str">
        <v/>
      </c>
      <c r="LN98" t="str">
        <v/>
      </c>
      <c r="LO98" t="str">
        <v/>
      </c>
    </row>
    <row r="99" spans="30:327">
      <c r="AD99" t="s">
        <v>113</v>
      </c>
      <c r="AE99" t="s">
        <v>22986</v>
      </c>
      <c r="AF99" s="46">
        <v>0</v>
      </c>
      <c r="AG99" s="113"/>
      <c r="AH99" s="113"/>
      <c r="AI99" s="113"/>
      <c r="AJ99" s="113"/>
      <c r="AK99" s="113"/>
      <c r="AL99" s="46">
        <v>0</v>
      </c>
      <c r="AM99" s="113"/>
      <c r="AN99" s="113"/>
      <c r="AO99" s="113"/>
      <c r="AP99" s="113"/>
      <c r="AQ99" s="113"/>
      <c r="AR99" s="46">
        <v>0</v>
      </c>
      <c r="AS99" s="113"/>
      <c r="AT99" s="113"/>
      <c r="AU99" s="113"/>
      <c r="AV99" s="113"/>
      <c r="AW99" s="113"/>
      <c r="AX99" s="46">
        <v>0</v>
      </c>
      <c r="AY99" s="113"/>
      <c r="AZ99" s="113"/>
      <c r="BA99" s="113"/>
      <c r="BB99" s="113"/>
      <c r="BC99" s="113"/>
      <c r="BD99" s="46">
        <v>0</v>
      </c>
      <c r="BE99" s="113"/>
      <c r="BF99" s="113"/>
      <c r="BG99" s="113"/>
      <c r="BH99" s="113"/>
      <c r="BI99" s="113"/>
      <c r="BJ99" s="46">
        <v>0</v>
      </c>
      <c r="BK99" s="113"/>
      <c r="BL99" s="113"/>
      <c r="BM99" s="113"/>
      <c r="BN99" s="113"/>
      <c r="BO99" s="113"/>
      <c r="BP99" s="121"/>
      <c r="BQ99" s="121"/>
      <c r="GA99" t="s">
        <v>113</v>
      </c>
      <c r="GB99" t="s">
        <v>22986</v>
      </c>
      <c r="GC99" s="46">
        <v>0</v>
      </c>
      <c r="GD99" s="113"/>
      <c r="GE99" s="113"/>
      <c r="GF99" s="113"/>
      <c r="GG99" s="113"/>
      <c r="GH99" s="113"/>
      <c r="GI99" s="46">
        <v>0</v>
      </c>
      <c r="GJ99" s="113"/>
      <c r="GK99" s="113"/>
      <c r="GL99" s="113"/>
      <c r="GM99" s="113"/>
      <c r="GN99" s="113"/>
      <c r="GO99" s="46">
        <v>0</v>
      </c>
      <c r="GP99" s="113"/>
      <c r="GQ99" s="113"/>
      <c r="GR99" s="113"/>
      <c r="GS99" s="113"/>
      <c r="GT99" s="113"/>
      <c r="GU99" s="46">
        <v>0</v>
      </c>
      <c r="GV99" s="113"/>
      <c r="GW99" s="113"/>
      <c r="GX99" s="113"/>
      <c r="GY99" s="113"/>
      <c r="GZ99" s="113"/>
      <c r="HA99" s="46">
        <v>0</v>
      </c>
      <c r="HB99" s="113"/>
      <c r="HC99" s="113"/>
      <c r="HD99" s="113"/>
      <c r="HE99" s="113"/>
      <c r="HF99" s="113"/>
      <c r="HG99" s="46">
        <v>0</v>
      </c>
      <c r="HH99" s="113"/>
      <c r="HI99" s="113"/>
      <c r="HJ99" s="113"/>
      <c r="HK99" s="113"/>
      <c r="HL99" s="113"/>
      <c r="HM99" s="121"/>
      <c r="HN99" s="121"/>
      <c r="LM99" t="str">
        <v/>
      </c>
      <c r="LN99" t="str">
        <v/>
      </c>
      <c r="LO99" t="str">
        <v/>
      </c>
    </row>
    <row r="100" spans="30:327">
      <c r="AD100" t="s">
        <v>113</v>
      </c>
      <c r="AE100" t="s">
        <v>22987</v>
      </c>
      <c r="AF100" s="46">
        <v>0</v>
      </c>
      <c r="AG100" s="113"/>
      <c r="AH100" s="113"/>
      <c r="AI100" s="113"/>
      <c r="AJ100" s="113"/>
      <c r="AK100" s="113"/>
      <c r="AL100" s="46">
        <v>0</v>
      </c>
      <c r="AM100" s="113"/>
      <c r="AN100" s="113"/>
      <c r="AO100" s="113"/>
      <c r="AP100" s="113"/>
      <c r="AQ100" s="113"/>
      <c r="AR100" s="46">
        <v>0</v>
      </c>
      <c r="AS100" s="113"/>
      <c r="AT100" s="113"/>
      <c r="AU100" s="113"/>
      <c r="AV100" s="113"/>
      <c r="AW100" s="113"/>
      <c r="AX100" s="46">
        <v>0</v>
      </c>
      <c r="AY100" s="113"/>
      <c r="AZ100" s="113"/>
      <c r="BA100" s="113"/>
      <c r="BB100" s="113"/>
      <c r="BC100" s="113"/>
      <c r="BD100" s="46">
        <v>0</v>
      </c>
      <c r="BE100" s="113"/>
      <c r="BF100" s="113"/>
      <c r="BG100" s="113"/>
      <c r="BH100" s="113"/>
      <c r="BI100" s="113"/>
      <c r="BJ100" s="46">
        <v>0</v>
      </c>
      <c r="BK100" s="113"/>
      <c r="BL100" s="113"/>
      <c r="BM100" s="113"/>
      <c r="BN100" s="113"/>
      <c r="BO100" s="113"/>
      <c r="BP100" s="121"/>
      <c r="BQ100" s="121"/>
      <c r="GA100" t="s">
        <v>113</v>
      </c>
      <c r="GB100" t="s">
        <v>22987</v>
      </c>
      <c r="GC100" s="46">
        <v>0</v>
      </c>
      <c r="GD100" s="113"/>
      <c r="GE100" s="113"/>
      <c r="GF100" s="113"/>
      <c r="GG100" s="113"/>
      <c r="GH100" s="113"/>
      <c r="GI100" s="46">
        <v>0</v>
      </c>
      <c r="GJ100" s="113"/>
      <c r="GK100" s="113"/>
      <c r="GL100" s="113"/>
      <c r="GM100" s="113"/>
      <c r="GN100" s="113"/>
      <c r="GO100" s="46">
        <v>0</v>
      </c>
      <c r="GP100" s="113"/>
      <c r="GQ100" s="113"/>
      <c r="GR100" s="113"/>
      <c r="GS100" s="113"/>
      <c r="GT100" s="113"/>
      <c r="GU100" s="46">
        <v>0</v>
      </c>
      <c r="GV100" s="113"/>
      <c r="GW100" s="113"/>
      <c r="GX100" s="113"/>
      <c r="GY100" s="113"/>
      <c r="GZ100" s="113"/>
      <c r="HA100" s="46">
        <v>0</v>
      </c>
      <c r="HB100" s="113"/>
      <c r="HC100" s="113"/>
      <c r="HD100" s="113"/>
      <c r="HE100" s="113"/>
      <c r="HF100" s="113"/>
      <c r="HG100" s="46">
        <v>0</v>
      </c>
      <c r="HH100" s="113"/>
      <c r="HI100" s="113"/>
      <c r="HJ100" s="113"/>
      <c r="HK100" s="113"/>
      <c r="HL100" s="113"/>
      <c r="HM100" s="121"/>
      <c r="HN100" s="121"/>
      <c r="LM100" t="str">
        <v/>
      </c>
      <c r="LN100" t="str">
        <v/>
      </c>
      <c r="LO100" t="str">
        <v/>
      </c>
    </row>
    <row r="101" spans="30:327">
      <c r="AD101" t="s">
        <v>113</v>
      </c>
      <c r="AE101" t="s">
        <v>22988</v>
      </c>
      <c r="AF101" s="46">
        <v>0</v>
      </c>
      <c r="AG101" s="113"/>
      <c r="AH101" s="113"/>
      <c r="AI101" s="113"/>
      <c r="AJ101" s="113"/>
      <c r="AK101" s="113"/>
      <c r="AL101" s="46">
        <v>0</v>
      </c>
      <c r="AM101" s="113"/>
      <c r="AN101" s="113"/>
      <c r="AO101" s="113"/>
      <c r="AP101" s="113"/>
      <c r="AQ101" s="113"/>
      <c r="AR101" s="46">
        <v>0</v>
      </c>
      <c r="AS101" s="113"/>
      <c r="AT101" s="113"/>
      <c r="AU101" s="113"/>
      <c r="AV101" s="113"/>
      <c r="AW101" s="113"/>
      <c r="AX101" s="46">
        <v>0</v>
      </c>
      <c r="AY101" s="113"/>
      <c r="AZ101" s="113"/>
      <c r="BA101" s="113"/>
      <c r="BB101" s="113"/>
      <c r="BC101" s="113"/>
      <c r="BD101" s="46">
        <v>0</v>
      </c>
      <c r="BE101" s="113"/>
      <c r="BF101" s="113"/>
      <c r="BG101" s="113"/>
      <c r="BH101" s="113"/>
      <c r="BI101" s="113"/>
      <c r="BJ101" s="46">
        <v>0</v>
      </c>
      <c r="BK101" s="113"/>
      <c r="BL101" s="113"/>
      <c r="BM101" s="113"/>
      <c r="BN101" s="113"/>
      <c r="BO101" s="113"/>
      <c r="BP101" s="121"/>
      <c r="BQ101" s="121"/>
      <c r="GA101" t="s">
        <v>113</v>
      </c>
      <c r="GB101" t="s">
        <v>22988</v>
      </c>
      <c r="GC101" s="46">
        <v>0</v>
      </c>
      <c r="GD101" s="113"/>
      <c r="GE101" s="113"/>
      <c r="GF101" s="113"/>
      <c r="GG101" s="113"/>
      <c r="GH101" s="113"/>
      <c r="GI101" s="46">
        <v>0</v>
      </c>
      <c r="GJ101" s="113"/>
      <c r="GK101" s="113"/>
      <c r="GL101" s="113"/>
      <c r="GM101" s="113"/>
      <c r="GN101" s="113"/>
      <c r="GO101" s="46">
        <v>0</v>
      </c>
      <c r="GP101" s="113"/>
      <c r="GQ101" s="113"/>
      <c r="GR101" s="113"/>
      <c r="GS101" s="113"/>
      <c r="GT101" s="113"/>
      <c r="GU101" s="46">
        <v>0</v>
      </c>
      <c r="GV101" s="113"/>
      <c r="GW101" s="113"/>
      <c r="GX101" s="113"/>
      <c r="GY101" s="113"/>
      <c r="GZ101" s="113"/>
      <c r="HA101" s="46">
        <v>0</v>
      </c>
      <c r="HB101" s="113"/>
      <c r="HC101" s="113"/>
      <c r="HD101" s="113"/>
      <c r="HE101" s="113"/>
      <c r="HF101" s="113"/>
      <c r="HG101" s="46">
        <v>0</v>
      </c>
      <c r="HH101" s="113"/>
      <c r="HI101" s="113"/>
      <c r="HJ101" s="113"/>
      <c r="HK101" s="113"/>
      <c r="HL101" s="113"/>
      <c r="HM101" s="121"/>
      <c r="HN101" s="121"/>
      <c r="LM101" t="str">
        <v/>
      </c>
      <c r="LN101" t="str">
        <v/>
      </c>
      <c r="LO101" t="str">
        <v/>
      </c>
    </row>
    <row r="102" spans="30:327">
      <c r="AD102" t="s">
        <v>113</v>
      </c>
      <c r="AE102" t="s">
        <v>22989</v>
      </c>
      <c r="AF102" s="46">
        <v>0</v>
      </c>
      <c r="AG102" s="113"/>
      <c r="AH102" s="113"/>
      <c r="AI102" s="113"/>
      <c r="AJ102" s="113"/>
      <c r="AK102" s="113"/>
      <c r="AL102" s="46">
        <v>0</v>
      </c>
      <c r="AM102" s="113"/>
      <c r="AN102" s="113"/>
      <c r="AO102" s="113"/>
      <c r="AP102" s="113"/>
      <c r="AQ102" s="113"/>
      <c r="AR102" s="46">
        <v>0</v>
      </c>
      <c r="AS102" s="113"/>
      <c r="AT102" s="113"/>
      <c r="AU102" s="113"/>
      <c r="AV102" s="113"/>
      <c r="AW102" s="113"/>
      <c r="AX102" s="46">
        <v>0</v>
      </c>
      <c r="AY102" s="113"/>
      <c r="AZ102" s="113"/>
      <c r="BA102" s="113"/>
      <c r="BB102" s="113"/>
      <c r="BC102" s="113"/>
      <c r="BD102" s="46">
        <v>0</v>
      </c>
      <c r="BE102" s="113"/>
      <c r="BF102" s="113"/>
      <c r="BG102" s="113"/>
      <c r="BH102" s="113"/>
      <c r="BI102" s="113"/>
      <c r="BJ102" s="46">
        <v>0</v>
      </c>
      <c r="BK102" s="113"/>
      <c r="BL102" s="113"/>
      <c r="BM102" s="113"/>
      <c r="BN102" s="113"/>
      <c r="BO102" s="113"/>
      <c r="BP102" s="121"/>
      <c r="BQ102" s="121"/>
      <c r="GA102" t="s">
        <v>113</v>
      </c>
      <c r="GB102" t="s">
        <v>22989</v>
      </c>
      <c r="GC102" s="46">
        <v>0</v>
      </c>
      <c r="GD102" s="113"/>
      <c r="GE102" s="113"/>
      <c r="GF102" s="113"/>
      <c r="GG102" s="113"/>
      <c r="GH102" s="113"/>
      <c r="GI102" s="46">
        <v>0</v>
      </c>
      <c r="GJ102" s="113"/>
      <c r="GK102" s="113"/>
      <c r="GL102" s="113"/>
      <c r="GM102" s="113"/>
      <c r="GN102" s="113"/>
      <c r="GO102" s="46">
        <v>0</v>
      </c>
      <c r="GP102" s="113"/>
      <c r="GQ102" s="113"/>
      <c r="GR102" s="113"/>
      <c r="GS102" s="113"/>
      <c r="GT102" s="113"/>
      <c r="GU102" s="46">
        <v>0</v>
      </c>
      <c r="GV102" s="113"/>
      <c r="GW102" s="113"/>
      <c r="GX102" s="113"/>
      <c r="GY102" s="113"/>
      <c r="GZ102" s="113"/>
      <c r="HA102" s="46">
        <v>0</v>
      </c>
      <c r="HB102" s="113"/>
      <c r="HC102" s="113"/>
      <c r="HD102" s="113"/>
      <c r="HE102" s="113"/>
      <c r="HF102" s="113"/>
      <c r="HG102" s="46">
        <v>0</v>
      </c>
      <c r="HH102" s="113"/>
      <c r="HI102" s="113"/>
      <c r="HJ102" s="113"/>
      <c r="HK102" s="113"/>
      <c r="HL102" s="113"/>
      <c r="HM102" s="121"/>
      <c r="HN102" s="121"/>
      <c r="LM102" t="str">
        <v/>
      </c>
      <c r="LN102" t="str">
        <v/>
      </c>
      <c r="LO102" t="str">
        <v/>
      </c>
    </row>
    <row r="103" spans="30:327">
      <c r="AD103" t="s">
        <v>113</v>
      </c>
      <c r="AE103" t="s">
        <v>22990</v>
      </c>
      <c r="AF103" s="46">
        <v>0</v>
      </c>
      <c r="AG103" s="113"/>
      <c r="AH103" s="113"/>
      <c r="AI103" s="113"/>
      <c r="AJ103" s="113"/>
      <c r="AK103" s="113"/>
      <c r="AL103" s="46">
        <v>0</v>
      </c>
      <c r="AM103" s="113"/>
      <c r="AN103" s="113"/>
      <c r="AO103" s="113"/>
      <c r="AP103" s="113"/>
      <c r="AQ103" s="113"/>
      <c r="AR103" s="46">
        <v>0</v>
      </c>
      <c r="AS103" s="113"/>
      <c r="AT103" s="113"/>
      <c r="AU103" s="113"/>
      <c r="AV103" s="113"/>
      <c r="AW103" s="113"/>
      <c r="AX103" s="46">
        <v>0</v>
      </c>
      <c r="AY103" s="113"/>
      <c r="AZ103" s="113"/>
      <c r="BA103" s="113"/>
      <c r="BB103" s="113"/>
      <c r="BC103" s="113"/>
      <c r="BD103" s="46">
        <v>0</v>
      </c>
      <c r="BE103" s="113"/>
      <c r="BF103" s="113"/>
      <c r="BG103" s="113"/>
      <c r="BH103" s="113"/>
      <c r="BI103" s="113"/>
      <c r="BJ103" s="46">
        <v>0</v>
      </c>
      <c r="BK103" s="113"/>
      <c r="BL103" s="113"/>
      <c r="BM103" s="113"/>
      <c r="BN103" s="113"/>
      <c r="BO103" s="113"/>
      <c r="BP103" s="121"/>
      <c r="BQ103" s="121"/>
      <c r="GA103" t="s">
        <v>113</v>
      </c>
      <c r="GB103" t="s">
        <v>22990</v>
      </c>
      <c r="GC103" s="46">
        <v>0</v>
      </c>
      <c r="GD103" s="113"/>
      <c r="GE103" s="113"/>
      <c r="GF103" s="113"/>
      <c r="GG103" s="113"/>
      <c r="GH103" s="113"/>
      <c r="GI103" s="46">
        <v>0</v>
      </c>
      <c r="GJ103" s="113"/>
      <c r="GK103" s="113"/>
      <c r="GL103" s="113"/>
      <c r="GM103" s="113"/>
      <c r="GN103" s="113"/>
      <c r="GO103" s="46">
        <v>0</v>
      </c>
      <c r="GP103" s="113"/>
      <c r="GQ103" s="113"/>
      <c r="GR103" s="113"/>
      <c r="GS103" s="113"/>
      <c r="GT103" s="113"/>
      <c r="GU103" s="46">
        <v>0</v>
      </c>
      <c r="GV103" s="113"/>
      <c r="GW103" s="113"/>
      <c r="GX103" s="113"/>
      <c r="GY103" s="113"/>
      <c r="GZ103" s="113"/>
      <c r="HA103" s="46">
        <v>0</v>
      </c>
      <c r="HB103" s="113"/>
      <c r="HC103" s="113"/>
      <c r="HD103" s="113"/>
      <c r="HE103" s="113"/>
      <c r="HF103" s="113"/>
      <c r="HG103" s="46">
        <v>0</v>
      </c>
      <c r="HH103" s="113"/>
      <c r="HI103" s="113"/>
      <c r="HJ103" s="113"/>
      <c r="HK103" s="113"/>
      <c r="HL103" s="113"/>
      <c r="HM103" s="121"/>
      <c r="HN103" s="121"/>
      <c r="LM103" t="str">
        <v/>
      </c>
      <c r="LN103" t="str">
        <v/>
      </c>
      <c r="LO103" t="str">
        <v/>
      </c>
    </row>
    <row r="104" spans="30:327">
      <c r="AD104" t="s">
        <v>113</v>
      </c>
      <c r="AE104" t="s">
        <v>22991</v>
      </c>
      <c r="AF104" s="46">
        <v>0</v>
      </c>
      <c r="AG104" s="113"/>
      <c r="AH104" s="113"/>
      <c r="AI104" s="113"/>
      <c r="AJ104" s="113"/>
      <c r="AK104" s="113"/>
      <c r="AL104" s="46">
        <v>0</v>
      </c>
      <c r="AM104" s="113"/>
      <c r="AN104" s="113"/>
      <c r="AO104" s="113"/>
      <c r="AP104" s="113"/>
      <c r="AQ104" s="113"/>
      <c r="AR104" s="46">
        <v>0</v>
      </c>
      <c r="AS104" s="113"/>
      <c r="AT104" s="113"/>
      <c r="AU104" s="113"/>
      <c r="AV104" s="113"/>
      <c r="AW104" s="113"/>
      <c r="AX104" s="46">
        <v>0</v>
      </c>
      <c r="AY104" s="113"/>
      <c r="AZ104" s="113"/>
      <c r="BA104" s="113"/>
      <c r="BB104" s="113"/>
      <c r="BC104" s="113"/>
      <c r="BD104" s="46">
        <v>0</v>
      </c>
      <c r="BE104" s="113"/>
      <c r="BF104" s="113"/>
      <c r="BG104" s="113"/>
      <c r="BH104" s="113"/>
      <c r="BI104" s="113"/>
      <c r="BJ104" s="46">
        <v>0</v>
      </c>
      <c r="BK104" s="113"/>
      <c r="BL104" s="113"/>
      <c r="BM104" s="113"/>
      <c r="BN104" s="113"/>
      <c r="BO104" s="113"/>
      <c r="BP104" s="121"/>
      <c r="BQ104" s="121"/>
      <c r="GA104" t="s">
        <v>113</v>
      </c>
      <c r="GB104" t="s">
        <v>22991</v>
      </c>
      <c r="GC104" s="46">
        <v>0</v>
      </c>
      <c r="GD104" s="113"/>
      <c r="GE104" s="113"/>
      <c r="GF104" s="113"/>
      <c r="GG104" s="113"/>
      <c r="GH104" s="113"/>
      <c r="GI104" s="46">
        <v>0</v>
      </c>
      <c r="GJ104" s="113"/>
      <c r="GK104" s="113"/>
      <c r="GL104" s="113"/>
      <c r="GM104" s="113"/>
      <c r="GN104" s="113"/>
      <c r="GO104" s="46">
        <v>0</v>
      </c>
      <c r="GP104" s="113"/>
      <c r="GQ104" s="113"/>
      <c r="GR104" s="113"/>
      <c r="GS104" s="113"/>
      <c r="GT104" s="113"/>
      <c r="GU104" s="46">
        <v>0</v>
      </c>
      <c r="GV104" s="113"/>
      <c r="GW104" s="113"/>
      <c r="GX104" s="113"/>
      <c r="GY104" s="113"/>
      <c r="GZ104" s="113"/>
      <c r="HA104" s="46">
        <v>0</v>
      </c>
      <c r="HB104" s="113"/>
      <c r="HC104" s="113"/>
      <c r="HD104" s="113"/>
      <c r="HE104" s="113"/>
      <c r="HF104" s="113"/>
      <c r="HG104" s="46">
        <v>0</v>
      </c>
      <c r="HH104" s="113"/>
      <c r="HI104" s="113"/>
      <c r="HJ104" s="113"/>
      <c r="HK104" s="113"/>
      <c r="HL104" s="113"/>
      <c r="HM104" s="121"/>
      <c r="HN104" s="121"/>
      <c r="LM104" t="str">
        <v/>
      </c>
      <c r="LN104" t="str">
        <v/>
      </c>
      <c r="LO104" t="str">
        <v/>
      </c>
    </row>
    <row r="105" spans="30:327">
      <c r="AD105" t="s">
        <v>113</v>
      </c>
      <c r="AE105" t="s">
        <v>22992</v>
      </c>
      <c r="AF105" s="46">
        <v>0</v>
      </c>
      <c r="AG105" s="113"/>
      <c r="AH105" s="113"/>
      <c r="AI105" s="113"/>
      <c r="AJ105" s="113"/>
      <c r="AK105" s="113"/>
      <c r="AL105" s="46">
        <v>0</v>
      </c>
      <c r="AM105" s="113"/>
      <c r="AN105" s="113"/>
      <c r="AO105" s="113"/>
      <c r="AP105" s="113"/>
      <c r="AQ105" s="113"/>
      <c r="AR105" s="46">
        <v>0</v>
      </c>
      <c r="AS105" s="113"/>
      <c r="AT105" s="113"/>
      <c r="AU105" s="113"/>
      <c r="AV105" s="113"/>
      <c r="AW105" s="113"/>
      <c r="AX105" s="46">
        <v>0</v>
      </c>
      <c r="AY105" s="113"/>
      <c r="AZ105" s="113"/>
      <c r="BA105" s="113"/>
      <c r="BB105" s="113"/>
      <c r="BC105" s="113"/>
      <c r="BD105" s="46">
        <v>0</v>
      </c>
      <c r="BE105" s="113"/>
      <c r="BF105" s="113"/>
      <c r="BG105" s="113"/>
      <c r="BH105" s="113"/>
      <c r="BI105" s="113"/>
      <c r="BJ105" s="46">
        <v>0</v>
      </c>
      <c r="BK105" s="113"/>
      <c r="BL105" s="113"/>
      <c r="BM105" s="113"/>
      <c r="BN105" s="113"/>
      <c r="BO105" s="113"/>
      <c r="BP105" s="121"/>
      <c r="BQ105" s="121"/>
      <c r="GA105" t="s">
        <v>113</v>
      </c>
      <c r="GB105" t="s">
        <v>22992</v>
      </c>
      <c r="GC105" s="46">
        <v>0</v>
      </c>
      <c r="GD105" s="113"/>
      <c r="GE105" s="113"/>
      <c r="GF105" s="113"/>
      <c r="GG105" s="113"/>
      <c r="GH105" s="113"/>
      <c r="GI105" s="46">
        <v>0</v>
      </c>
      <c r="GJ105" s="113"/>
      <c r="GK105" s="113"/>
      <c r="GL105" s="113"/>
      <c r="GM105" s="113"/>
      <c r="GN105" s="113"/>
      <c r="GO105" s="46">
        <v>0</v>
      </c>
      <c r="GP105" s="113"/>
      <c r="GQ105" s="113"/>
      <c r="GR105" s="113"/>
      <c r="GS105" s="113"/>
      <c r="GT105" s="113"/>
      <c r="GU105" s="46">
        <v>0</v>
      </c>
      <c r="GV105" s="113"/>
      <c r="GW105" s="113"/>
      <c r="GX105" s="113"/>
      <c r="GY105" s="113"/>
      <c r="GZ105" s="113"/>
      <c r="HA105" s="46">
        <v>0</v>
      </c>
      <c r="HB105" s="113"/>
      <c r="HC105" s="113"/>
      <c r="HD105" s="113"/>
      <c r="HE105" s="113"/>
      <c r="HF105" s="113"/>
      <c r="HG105" s="46">
        <v>0</v>
      </c>
      <c r="HH105" s="113"/>
      <c r="HI105" s="113"/>
      <c r="HJ105" s="113"/>
      <c r="HK105" s="113"/>
      <c r="HL105" s="113"/>
      <c r="HM105" s="121"/>
      <c r="HN105" s="121"/>
      <c r="LM105" t="str">
        <v/>
      </c>
      <c r="LN105" t="str">
        <v/>
      </c>
      <c r="LO105" t="str">
        <v/>
      </c>
    </row>
    <row r="106" spans="30:327">
      <c r="AD106" t="s">
        <v>113</v>
      </c>
      <c r="AE106" t="s">
        <v>22993</v>
      </c>
      <c r="AF106" s="46">
        <v>0</v>
      </c>
      <c r="AG106" s="113"/>
      <c r="AH106" s="113"/>
      <c r="AI106" s="113"/>
      <c r="AJ106" s="113"/>
      <c r="AK106" s="113"/>
      <c r="AL106" s="46">
        <v>0</v>
      </c>
      <c r="AM106" s="113"/>
      <c r="AN106" s="113"/>
      <c r="AO106" s="113"/>
      <c r="AP106" s="113"/>
      <c r="AQ106" s="113"/>
      <c r="AR106" s="46">
        <v>0</v>
      </c>
      <c r="AS106" s="113"/>
      <c r="AT106" s="113"/>
      <c r="AU106" s="113"/>
      <c r="AV106" s="113"/>
      <c r="AW106" s="113"/>
      <c r="AX106" s="46">
        <v>0</v>
      </c>
      <c r="AY106" s="113"/>
      <c r="AZ106" s="113"/>
      <c r="BA106" s="113"/>
      <c r="BB106" s="113"/>
      <c r="BC106" s="113"/>
      <c r="BD106" s="46">
        <v>0</v>
      </c>
      <c r="BE106" s="113"/>
      <c r="BF106" s="113"/>
      <c r="BG106" s="113"/>
      <c r="BH106" s="113"/>
      <c r="BI106" s="113"/>
      <c r="BJ106" s="46">
        <v>0</v>
      </c>
      <c r="BK106" s="113"/>
      <c r="BL106" s="113"/>
      <c r="BM106" s="113"/>
      <c r="BN106" s="113"/>
      <c r="BO106" s="113"/>
      <c r="BP106" s="121"/>
      <c r="BQ106" s="121"/>
      <c r="GA106" t="s">
        <v>113</v>
      </c>
      <c r="GB106" t="s">
        <v>22993</v>
      </c>
      <c r="GC106" s="46">
        <v>0</v>
      </c>
      <c r="GD106" s="113"/>
      <c r="GE106" s="113"/>
      <c r="GF106" s="113"/>
      <c r="GG106" s="113"/>
      <c r="GH106" s="113"/>
      <c r="GI106" s="46">
        <v>0</v>
      </c>
      <c r="GJ106" s="113"/>
      <c r="GK106" s="113"/>
      <c r="GL106" s="113"/>
      <c r="GM106" s="113"/>
      <c r="GN106" s="113"/>
      <c r="GO106" s="46">
        <v>0</v>
      </c>
      <c r="GP106" s="113"/>
      <c r="GQ106" s="113"/>
      <c r="GR106" s="113"/>
      <c r="GS106" s="113"/>
      <c r="GT106" s="113"/>
      <c r="GU106" s="46">
        <v>0</v>
      </c>
      <c r="GV106" s="113"/>
      <c r="GW106" s="113"/>
      <c r="GX106" s="113"/>
      <c r="GY106" s="113"/>
      <c r="GZ106" s="113"/>
      <c r="HA106" s="46">
        <v>0</v>
      </c>
      <c r="HB106" s="113"/>
      <c r="HC106" s="113"/>
      <c r="HD106" s="113"/>
      <c r="HE106" s="113"/>
      <c r="HF106" s="113"/>
      <c r="HG106" s="46">
        <v>0</v>
      </c>
      <c r="HH106" s="113"/>
      <c r="HI106" s="113"/>
      <c r="HJ106" s="113"/>
      <c r="HK106" s="113"/>
      <c r="HL106" s="113"/>
      <c r="HM106" s="121"/>
      <c r="HN106" s="121"/>
      <c r="LM106" t="str">
        <v/>
      </c>
      <c r="LN106" t="str">
        <v/>
      </c>
      <c r="LO106" t="str">
        <v/>
      </c>
    </row>
    <row r="107" spans="30:327">
      <c r="AD107" t="s">
        <v>113</v>
      </c>
      <c r="AE107" t="s">
        <v>22994</v>
      </c>
      <c r="AF107" s="46">
        <v>0</v>
      </c>
      <c r="AG107" s="113"/>
      <c r="AH107" s="113"/>
      <c r="AI107" s="113"/>
      <c r="AJ107" s="113"/>
      <c r="AK107" s="113"/>
      <c r="AL107" s="46">
        <v>0</v>
      </c>
      <c r="AM107" s="113"/>
      <c r="AN107" s="113"/>
      <c r="AO107" s="113"/>
      <c r="AP107" s="113"/>
      <c r="AQ107" s="113"/>
      <c r="AR107" s="46">
        <v>0</v>
      </c>
      <c r="AS107" s="113"/>
      <c r="AT107" s="113"/>
      <c r="AU107" s="113"/>
      <c r="AV107" s="113"/>
      <c r="AW107" s="113"/>
      <c r="AX107" s="46">
        <v>0</v>
      </c>
      <c r="AY107" s="113"/>
      <c r="AZ107" s="113"/>
      <c r="BA107" s="113"/>
      <c r="BB107" s="113"/>
      <c r="BC107" s="113"/>
      <c r="BD107" s="46">
        <v>0</v>
      </c>
      <c r="BE107" s="113"/>
      <c r="BF107" s="113"/>
      <c r="BG107" s="113"/>
      <c r="BH107" s="113"/>
      <c r="BI107" s="113"/>
      <c r="BJ107" s="46">
        <v>0</v>
      </c>
      <c r="BK107" s="113"/>
      <c r="BL107" s="113"/>
      <c r="BM107" s="113"/>
      <c r="BN107" s="113"/>
      <c r="BO107" s="113"/>
      <c r="BP107" s="121"/>
      <c r="BQ107" s="121"/>
      <c r="GA107" t="s">
        <v>113</v>
      </c>
      <c r="GB107" t="s">
        <v>22994</v>
      </c>
      <c r="GC107" s="46">
        <v>0</v>
      </c>
      <c r="GD107" s="113"/>
      <c r="GE107" s="113"/>
      <c r="GF107" s="113"/>
      <c r="GG107" s="113"/>
      <c r="GH107" s="113"/>
      <c r="GI107" s="46">
        <v>0</v>
      </c>
      <c r="GJ107" s="113"/>
      <c r="GK107" s="113"/>
      <c r="GL107" s="113"/>
      <c r="GM107" s="113"/>
      <c r="GN107" s="113"/>
      <c r="GO107" s="46">
        <v>0</v>
      </c>
      <c r="GP107" s="113"/>
      <c r="GQ107" s="113"/>
      <c r="GR107" s="113"/>
      <c r="GS107" s="113"/>
      <c r="GT107" s="113"/>
      <c r="GU107" s="46">
        <v>0</v>
      </c>
      <c r="GV107" s="113"/>
      <c r="GW107" s="113"/>
      <c r="GX107" s="113"/>
      <c r="GY107" s="113"/>
      <c r="GZ107" s="113"/>
      <c r="HA107" s="46">
        <v>0</v>
      </c>
      <c r="HB107" s="113"/>
      <c r="HC107" s="113"/>
      <c r="HD107" s="113"/>
      <c r="HE107" s="113"/>
      <c r="HF107" s="113"/>
      <c r="HG107" s="46">
        <v>0</v>
      </c>
      <c r="HH107" s="113"/>
      <c r="HI107" s="113"/>
      <c r="HJ107" s="113"/>
      <c r="HK107" s="113"/>
      <c r="HL107" s="113"/>
      <c r="HM107" s="121"/>
      <c r="HN107" s="121"/>
      <c r="LM107" t="str">
        <v/>
      </c>
      <c r="LN107" t="str">
        <v/>
      </c>
      <c r="LO107" t="str">
        <v/>
      </c>
    </row>
    <row r="108" spans="30:327">
      <c r="AD108" t="s">
        <v>113</v>
      </c>
      <c r="AE108" t="s">
        <v>22995</v>
      </c>
      <c r="AF108" s="46">
        <v>0</v>
      </c>
      <c r="AG108" s="113"/>
      <c r="AH108" s="113"/>
      <c r="AI108" s="113"/>
      <c r="AJ108" s="113"/>
      <c r="AK108" s="113"/>
      <c r="AL108" s="46">
        <v>0</v>
      </c>
      <c r="AM108" s="113"/>
      <c r="AN108" s="113"/>
      <c r="AO108" s="113"/>
      <c r="AP108" s="113"/>
      <c r="AQ108" s="113"/>
      <c r="AR108" s="46">
        <v>0</v>
      </c>
      <c r="AS108" s="113"/>
      <c r="AT108" s="113"/>
      <c r="AU108" s="113"/>
      <c r="AV108" s="113"/>
      <c r="AW108" s="113"/>
      <c r="AX108" s="46">
        <v>0</v>
      </c>
      <c r="AY108" s="113"/>
      <c r="AZ108" s="113"/>
      <c r="BA108" s="113"/>
      <c r="BB108" s="113"/>
      <c r="BC108" s="113"/>
      <c r="BD108" s="46">
        <v>0</v>
      </c>
      <c r="BE108" s="113"/>
      <c r="BF108" s="113"/>
      <c r="BG108" s="113"/>
      <c r="BH108" s="113"/>
      <c r="BI108" s="113"/>
      <c r="BJ108" s="46">
        <v>0</v>
      </c>
      <c r="BK108" s="113"/>
      <c r="BL108" s="113"/>
      <c r="BM108" s="113"/>
      <c r="BN108" s="113"/>
      <c r="BO108" s="113"/>
      <c r="BP108" s="121"/>
      <c r="BQ108" s="121"/>
      <c r="GA108" t="s">
        <v>113</v>
      </c>
      <c r="GB108" t="s">
        <v>22995</v>
      </c>
      <c r="GC108" s="46">
        <v>0</v>
      </c>
      <c r="GD108" s="113"/>
      <c r="GE108" s="113"/>
      <c r="GF108" s="113"/>
      <c r="GG108" s="113"/>
      <c r="GH108" s="113"/>
      <c r="GI108" s="46">
        <v>0</v>
      </c>
      <c r="GJ108" s="113"/>
      <c r="GK108" s="113"/>
      <c r="GL108" s="113"/>
      <c r="GM108" s="113"/>
      <c r="GN108" s="113"/>
      <c r="GO108" s="46">
        <v>0</v>
      </c>
      <c r="GP108" s="113"/>
      <c r="GQ108" s="113"/>
      <c r="GR108" s="113"/>
      <c r="GS108" s="113"/>
      <c r="GT108" s="113"/>
      <c r="GU108" s="46">
        <v>0</v>
      </c>
      <c r="GV108" s="113"/>
      <c r="GW108" s="113"/>
      <c r="GX108" s="113"/>
      <c r="GY108" s="113"/>
      <c r="GZ108" s="113"/>
      <c r="HA108" s="46">
        <v>0</v>
      </c>
      <c r="HB108" s="113"/>
      <c r="HC108" s="113"/>
      <c r="HD108" s="113"/>
      <c r="HE108" s="113"/>
      <c r="HF108" s="113"/>
      <c r="HG108" s="46">
        <v>0</v>
      </c>
      <c r="HH108" s="113"/>
      <c r="HI108" s="113"/>
      <c r="HJ108" s="113"/>
      <c r="HK108" s="113"/>
      <c r="HL108" s="113"/>
      <c r="HM108" s="121"/>
      <c r="HN108" s="121"/>
      <c r="LM108" t="str">
        <v/>
      </c>
      <c r="LN108" t="str">
        <v/>
      </c>
      <c r="LO108" t="str">
        <v/>
      </c>
    </row>
    <row r="109" spans="30:327">
      <c r="AD109" t="s">
        <v>113</v>
      </c>
      <c r="AE109" t="s">
        <v>22996</v>
      </c>
      <c r="AF109" s="46">
        <v>0</v>
      </c>
      <c r="AG109" s="113"/>
      <c r="AH109" s="113"/>
      <c r="AI109" s="113"/>
      <c r="AJ109" s="113"/>
      <c r="AK109" s="113"/>
      <c r="AL109" s="46">
        <v>0</v>
      </c>
      <c r="AM109" s="113"/>
      <c r="AN109" s="113"/>
      <c r="AO109" s="113"/>
      <c r="AP109" s="113"/>
      <c r="AQ109" s="113"/>
      <c r="AR109" s="46">
        <v>0</v>
      </c>
      <c r="AS109" s="113"/>
      <c r="AT109" s="113"/>
      <c r="AU109" s="113"/>
      <c r="AV109" s="113"/>
      <c r="AW109" s="113"/>
      <c r="AX109" s="46">
        <v>0</v>
      </c>
      <c r="AY109" s="113"/>
      <c r="AZ109" s="113"/>
      <c r="BA109" s="113"/>
      <c r="BB109" s="113"/>
      <c r="BC109" s="113"/>
      <c r="BD109" s="46">
        <v>0</v>
      </c>
      <c r="BE109" s="113"/>
      <c r="BF109" s="113"/>
      <c r="BG109" s="113"/>
      <c r="BH109" s="113"/>
      <c r="BI109" s="113"/>
      <c r="BJ109" s="46">
        <v>0</v>
      </c>
      <c r="BK109" s="113"/>
      <c r="BL109" s="113"/>
      <c r="BM109" s="113"/>
      <c r="BN109" s="113"/>
      <c r="BO109" s="113"/>
      <c r="BP109" s="121"/>
      <c r="BQ109" s="121"/>
      <c r="GA109" t="s">
        <v>113</v>
      </c>
      <c r="GB109" t="s">
        <v>22996</v>
      </c>
      <c r="GC109" s="46">
        <v>0</v>
      </c>
      <c r="GD109" s="113"/>
      <c r="GE109" s="113"/>
      <c r="GF109" s="113"/>
      <c r="GG109" s="113"/>
      <c r="GH109" s="113"/>
      <c r="GI109" s="46">
        <v>0</v>
      </c>
      <c r="GJ109" s="113"/>
      <c r="GK109" s="113"/>
      <c r="GL109" s="113"/>
      <c r="GM109" s="113"/>
      <c r="GN109" s="113"/>
      <c r="GO109" s="46">
        <v>0</v>
      </c>
      <c r="GP109" s="113"/>
      <c r="GQ109" s="113"/>
      <c r="GR109" s="113"/>
      <c r="GS109" s="113"/>
      <c r="GT109" s="113"/>
      <c r="GU109" s="46">
        <v>0</v>
      </c>
      <c r="GV109" s="113"/>
      <c r="GW109" s="113"/>
      <c r="GX109" s="113"/>
      <c r="GY109" s="113"/>
      <c r="GZ109" s="113"/>
      <c r="HA109" s="46">
        <v>0</v>
      </c>
      <c r="HB109" s="113"/>
      <c r="HC109" s="113"/>
      <c r="HD109" s="113"/>
      <c r="HE109" s="113"/>
      <c r="HF109" s="113"/>
      <c r="HG109" s="46">
        <v>0</v>
      </c>
      <c r="HH109" s="113"/>
      <c r="HI109" s="113"/>
      <c r="HJ109" s="113"/>
      <c r="HK109" s="113"/>
      <c r="HL109" s="113"/>
      <c r="HM109" s="121"/>
      <c r="HN109" s="121"/>
      <c r="LM109" t="str">
        <v/>
      </c>
      <c r="LN109" t="str">
        <v/>
      </c>
      <c r="LO109" t="str">
        <v/>
      </c>
    </row>
    <row r="110" spans="30:327">
      <c r="AD110" t="s">
        <v>113</v>
      </c>
      <c r="AE110" t="s">
        <v>22997</v>
      </c>
      <c r="AF110" s="46">
        <v>0</v>
      </c>
      <c r="AG110" s="113"/>
      <c r="AH110" s="113"/>
      <c r="AI110" s="113"/>
      <c r="AJ110" s="113"/>
      <c r="AK110" s="113"/>
      <c r="AL110" s="46">
        <v>0</v>
      </c>
      <c r="AM110" s="113"/>
      <c r="AN110" s="113"/>
      <c r="AO110" s="113"/>
      <c r="AP110" s="113"/>
      <c r="AQ110" s="113"/>
      <c r="AR110" s="46">
        <v>0</v>
      </c>
      <c r="AS110" s="113"/>
      <c r="AT110" s="113"/>
      <c r="AU110" s="113"/>
      <c r="AV110" s="113"/>
      <c r="AW110" s="113"/>
      <c r="AX110" s="46">
        <v>0</v>
      </c>
      <c r="AY110" s="113"/>
      <c r="AZ110" s="113"/>
      <c r="BA110" s="113"/>
      <c r="BB110" s="113"/>
      <c r="BC110" s="113"/>
      <c r="BD110" s="46">
        <v>0</v>
      </c>
      <c r="BE110" s="113"/>
      <c r="BF110" s="113"/>
      <c r="BG110" s="113"/>
      <c r="BH110" s="113"/>
      <c r="BI110" s="113"/>
      <c r="BJ110" s="46">
        <v>0</v>
      </c>
      <c r="BK110" s="113"/>
      <c r="BL110" s="113"/>
      <c r="BM110" s="113"/>
      <c r="BN110" s="113"/>
      <c r="BO110" s="113"/>
      <c r="BP110" s="121"/>
      <c r="BQ110" s="121"/>
      <c r="GA110" t="s">
        <v>113</v>
      </c>
      <c r="GB110" t="s">
        <v>22997</v>
      </c>
      <c r="GC110" s="46">
        <v>0</v>
      </c>
      <c r="GD110" s="113"/>
      <c r="GE110" s="113"/>
      <c r="GF110" s="113"/>
      <c r="GG110" s="113"/>
      <c r="GH110" s="113"/>
      <c r="GI110" s="46">
        <v>0</v>
      </c>
      <c r="GJ110" s="113"/>
      <c r="GK110" s="113"/>
      <c r="GL110" s="113"/>
      <c r="GM110" s="113"/>
      <c r="GN110" s="113"/>
      <c r="GO110" s="46">
        <v>0</v>
      </c>
      <c r="GP110" s="113"/>
      <c r="GQ110" s="113"/>
      <c r="GR110" s="113"/>
      <c r="GS110" s="113"/>
      <c r="GT110" s="113"/>
      <c r="GU110" s="46">
        <v>0</v>
      </c>
      <c r="GV110" s="113"/>
      <c r="GW110" s="113"/>
      <c r="GX110" s="113"/>
      <c r="GY110" s="113"/>
      <c r="GZ110" s="113"/>
      <c r="HA110" s="46">
        <v>0</v>
      </c>
      <c r="HB110" s="113"/>
      <c r="HC110" s="113"/>
      <c r="HD110" s="113"/>
      <c r="HE110" s="113"/>
      <c r="HF110" s="113"/>
      <c r="HG110" s="46">
        <v>0</v>
      </c>
      <c r="HH110" s="113"/>
      <c r="HI110" s="113"/>
      <c r="HJ110" s="113"/>
      <c r="HK110" s="113"/>
      <c r="HL110" s="113"/>
      <c r="HM110" s="121"/>
      <c r="HN110" s="121"/>
      <c r="LM110" t="str">
        <v/>
      </c>
      <c r="LN110" t="str">
        <v/>
      </c>
      <c r="LO110" t="str">
        <v/>
      </c>
    </row>
    <row r="111" spans="30:327">
      <c r="AD111" t="s">
        <v>113</v>
      </c>
      <c r="AE111" t="s">
        <v>22998</v>
      </c>
      <c r="AF111" s="46">
        <v>0</v>
      </c>
      <c r="AG111" s="113"/>
      <c r="AH111" s="113"/>
      <c r="AI111" s="113"/>
      <c r="AJ111" s="113"/>
      <c r="AK111" s="113"/>
      <c r="AL111" s="46">
        <v>0</v>
      </c>
      <c r="AM111" s="113"/>
      <c r="AN111" s="113"/>
      <c r="AO111" s="113"/>
      <c r="AP111" s="113"/>
      <c r="AQ111" s="113"/>
      <c r="AR111" s="46">
        <v>0</v>
      </c>
      <c r="AS111" s="113"/>
      <c r="AT111" s="113"/>
      <c r="AU111" s="113"/>
      <c r="AV111" s="113"/>
      <c r="AW111" s="113"/>
      <c r="AX111" s="46">
        <v>0</v>
      </c>
      <c r="AY111" s="113"/>
      <c r="AZ111" s="113"/>
      <c r="BA111" s="113"/>
      <c r="BB111" s="113"/>
      <c r="BC111" s="113"/>
      <c r="BD111" s="46">
        <v>0</v>
      </c>
      <c r="BE111" s="113"/>
      <c r="BF111" s="113"/>
      <c r="BG111" s="113"/>
      <c r="BH111" s="113"/>
      <c r="BI111" s="113"/>
      <c r="BJ111" s="46">
        <v>0</v>
      </c>
      <c r="BK111" s="113"/>
      <c r="BL111" s="113"/>
      <c r="BM111" s="113"/>
      <c r="BN111" s="113"/>
      <c r="BO111" s="113"/>
      <c r="BP111" s="121"/>
      <c r="BQ111" s="121"/>
      <c r="GA111" t="s">
        <v>113</v>
      </c>
      <c r="GB111" t="s">
        <v>22998</v>
      </c>
      <c r="GC111" s="46">
        <v>0</v>
      </c>
      <c r="GD111" s="113"/>
      <c r="GE111" s="113"/>
      <c r="GF111" s="113"/>
      <c r="GG111" s="113"/>
      <c r="GH111" s="113"/>
      <c r="GI111" s="46">
        <v>0</v>
      </c>
      <c r="GJ111" s="113"/>
      <c r="GK111" s="113"/>
      <c r="GL111" s="113"/>
      <c r="GM111" s="113"/>
      <c r="GN111" s="113"/>
      <c r="GO111" s="46">
        <v>0</v>
      </c>
      <c r="GP111" s="113"/>
      <c r="GQ111" s="113"/>
      <c r="GR111" s="113"/>
      <c r="GS111" s="113"/>
      <c r="GT111" s="113"/>
      <c r="GU111" s="46">
        <v>0</v>
      </c>
      <c r="GV111" s="113"/>
      <c r="GW111" s="113"/>
      <c r="GX111" s="113"/>
      <c r="GY111" s="113"/>
      <c r="GZ111" s="113"/>
      <c r="HA111" s="46">
        <v>0</v>
      </c>
      <c r="HB111" s="113"/>
      <c r="HC111" s="113"/>
      <c r="HD111" s="113"/>
      <c r="HE111" s="113"/>
      <c r="HF111" s="113"/>
      <c r="HG111" s="46">
        <v>0</v>
      </c>
      <c r="HH111" s="113"/>
      <c r="HI111" s="113"/>
      <c r="HJ111" s="113"/>
      <c r="HK111" s="113"/>
      <c r="HL111" s="113"/>
      <c r="HM111" s="121"/>
      <c r="HN111" s="121"/>
      <c r="LM111" t="str">
        <v/>
      </c>
      <c r="LN111" t="str">
        <v/>
      </c>
      <c r="LO111" t="str">
        <v/>
      </c>
    </row>
    <row r="112" spans="30:327">
      <c r="AD112" t="s">
        <v>113</v>
      </c>
      <c r="AE112" t="s">
        <v>22999</v>
      </c>
      <c r="AF112" s="46">
        <v>0</v>
      </c>
      <c r="AG112" s="113"/>
      <c r="AH112" s="113"/>
      <c r="AI112" s="113"/>
      <c r="AJ112" s="113"/>
      <c r="AK112" s="113"/>
      <c r="AL112" s="46">
        <v>0</v>
      </c>
      <c r="AM112" s="113"/>
      <c r="AN112" s="113"/>
      <c r="AO112" s="113"/>
      <c r="AP112" s="113"/>
      <c r="AQ112" s="113"/>
      <c r="AR112" s="46">
        <v>0</v>
      </c>
      <c r="AS112" s="113"/>
      <c r="AT112" s="113"/>
      <c r="AU112" s="113"/>
      <c r="AV112" s="113"/>
      <c r="AW112" s="113"/>
      <c r="AX112" s="46">
        <v>0</v>
      </c>
      <c r="AY112" s="113"/>
      <c r="AZ112" s="113"/>
      <c r="BA112" s="113"/>
      <c r="BB112" s="113"/>
      <c r="BC112" s="113"/>
      <c r="BD112" s="46">
        <v>0</v>
      </c>
      <c r="BE112" s="113"/>
      <c r="BF112" s="113"/>
      <c r="BG112" s="113"/>
      <c r="BH112" s="113"/>
      <c r="BI112" s="113"/>
      <c r="BJ112" s="46">
        <v>0</v>
      </c>
      <c r="BK112" s="113"/>
      <c r="BL112" s="113"/>
      <c r="BM112" s="113"/>
      <c r="BN112" s="113"/>
      <c r="BO112" s="113"/>
      <c r="BP112" s="121"/>
      <c r="BQ112" s="121"/>
      <c r="GA112" t="s">
        <v>113</v>
      </c>
      <c r="GB112" t="s">
        <v>22999</v>
      </c>
      <c r="GC112" s="46">
        <v>0</v>
      </c>
      <c r="GD112" s="113"/>
      <c r="GE112" s="113"/>
      <c r="GF112" s="113"/>
      <c r="GG112" s="113"/>
      <c r="GH112" s="113"/>
      <c r="GI112" s="46">
        <v>0</v>
      </c>
      <c r="GJ112" s="113"/>
      <c r="GK112" s="113"/>
      <c r="GL112" s="113"/>
      <c r="GM112" s="113"/>
      <c r="GN112" s="113"/>
      <c r="GO112" s="46">
        <v>0</v>
      </c>
      <c r="GP112" s="113"/>
      <c r="GQ112" s="113"/>
      <c r="GR112" s="113"/>
      <c r="GS112" s="113"/>
      <c r="GT112" s="113"/>
      <c r="GU112" s="46">
        <v>0</v>
      </c>
      <c r="GV112" s="113"/>
      <c r="GW112" s="113"/>
      <c r="GX112" s="113"/>
      <c r="GY112" s="113"/>
      <c r="GZ112" s="113"/>
      <c r="HA112" s="46">
        <v>0</v>
      </c>
      <c r="HB112" s="113"/>
      <c r="HC112" s="113"/>
      <c r="HD112" s="113"/>
      <c r="HE112" s="113"/>
      <c r="HF112" s="113"/>
      <c r="HG112" s="46">
        <v>0</v>
      </c>
      <c r="HH112" s="113"/>
      <c r="HI112" s="113"/>
      <c r="HJ112" s="113"/>
      <c r="HK112" s="113"/>
      <c r="HL112" s="113"/>
      <c r="HM112" s="121"/>
      <c r="HN112" s="121"/>
      <c r="LM112" t="str">
        <v/>
      </c>
      <c r="LN112" t="str">
        <v/>
      </c>
      <c r="LO112" t="str">
        <v/>
      </c>
    </row>
    <row r="113" spans="30:327">
      <c r="AD113" t="s">
        <v>113</v>
      </c>
      <c r="AE113" t="s">
        <v>23000</v>
      </c>
      <c r="AF113" s="46">
        <v>0</v>
      </c>
      <c r="AG113" s="113"/>
      <c r="AH113" s="113"/>
      <c r="AI113" s="113"/>
      <c r="AJ113" s="113"/>
      <c r="AK113" s="113"/>
      <c r="AL113" s="46">
        <v>0</v>
      </c>
      <c r="AM113" s="113"/>
      <c r="AN113" s="113"/>
      <c r="AO113" s="113"/>
      <c r="AP113" s="113"/>
      <c r="AQ113" s="113"/>
      <c r="AR113" s="46">
        <v>0</v>
      </c>
      <c r="AS113" s="113"/>
      <c r="AT113" s="113"/>
      <c r="AU113" s="113"/>
      <c r="AV113" s="113"/>
      <c r="AW113" s="113"/>
      <c r="AX113" s="46">
        <v>0</v>
      </c>
      <c r="AY113" s="113"/>
      <c r="AZ113" s="113"/>
      <c r="BA113" s="113"/>
      <c r="BB113" s="113"/>
      <c r="BC113" s="113"/>
      <c r="BD113" s="46">
        <v>0</v>
      </c>
      <c r="BE113" s="113"/>
      <c r="BF113" s="113"/>
      <c r="BG113" s="113"/>
      <c r="BH113" s="113"/>
      <c r="BI113" s="113"/>
      <c r="BJ113" s="46">
        <v>0</v>
      </c>
      <c r="BK113" s="113"/>
      <c r="BL113" s="113"/>
      <c r="BM113" s="113"/>
      <c r="BN113" s="113"/>
      <c r="BO113" s="113"/>
      <c r="BP113" s="121"/>
      <c r="BQ113" s="121"/>
      <c r="GA113" t="s">
        <v>113</v>
      </c>
      <c r="GB113" t="s">
        <v>23000</v>
      </c>
      <c r="GC113" s="46">
        <v>0</v>
      </c>
      <c r="GD113" s="113"/>
      <c r="GE113" s="113"/>
      <c r="GF113" s="113"/>
      <c r="GG113" s="113"/>
      <c r="GH113" s="113"/>
      <c r="GI113" s="46">
        <v>0</v>
      </c>
      <c r="GJ113" s="113"/>
      <c r="GK113" s="113"/>
      <c r="GL113" s="113"/>
      <c r="GM113" s="113"/>
      <c r="GN113" s="113"/>
      <c r="GO113" s="46">
        <v>0</v>
      </c>
      <c r="GP113" s="113"/>
      <c r="GQ113" s="113"/>
      <c r="GR113" s="113"/>
      <c r="GS113" s="113"/>
      <c r="GT113" s="113"/>
      <c r="GU113" s="46">
        <v>0</v>
      </c>
      <c r="GV113" s="113"/>
      <c r="GW113" s="113"/>
      <c r="GX113" s="113"/>
      <c r="GY113" s="113"/>
      <c r="GZ113" s="113"/>
      <c r="HA113" s="46">
        <v>0</v>
      </c>
      <c r="HB113" s="113"/>
      <c r="HC113" s="113"/>
      <c r="HD113" s="113"/>
      <c r="HE113" s="113"/>
      <c r="HF113" s="113"/>
      <c r="HG113" s="46">
        <v>0</v>
      </c>
      <c r="HH113" s="113"/>
      <c r="HI113" s="113"/>
      <c r="HJ113" s="113"/>
      <c r="HK113" s="113"/>
      <c r="HL113" s="113"/>
      <c r="HM113" s="121"/>
      <c r="HN113" s="121"/>
      <c r="LM113" t="str">
        <v/>
      </c>
      <c r="LN113" t="str">
        <v/>
      </c>
      <c r="LO113" t="str">
        <v/>
      </c>
    </row>
    <row r="114" spans="30:327">
      <c r="AD114" t="s">
        <v>113</v>
      </c>
      <c r="AE114" t="s">
        <v>23001</v>
      </c>
      <c r="AF114" s="46">
        <v>0</v>
      </c>
      <c r="AG114" s="113"/>
      <c r="AH114" s="113"/>
      <c r="AI114" s="113"/>
      <c r="AJ114" s="113"/>
      <c r="AK114" s="113"/>
      <c r="AL114" s="46">
        <v>0</v>
      </c>
      <c r="AM114" s="113"/>
      <c r="AN114" s="113"/>
      <c r="AO114" s="113"/>
      <c r="AP114" s="113"/>
      <c r="AQ114" s="113"/>
      <c r="AR114" s="46">
        <v>0</v>
      </c>
      <c r="AS114" s="113"/>
      <c r="AT114" s="113"/>
      <c r="AU114" s="113"/>
      <c r="AV114" s="113"/>
      <c r="AW114" s="113"/>
      <c r="AX114" s="46">
        <v>0</v>
      </c>
      <c r="AY114" s="113"/>
      <c r="AZ114" s="113"/>
      <c r="BA114" s="113"/>
      <c r="BB114" s="113"/>
      <c r="BC114" s="113"/>
      <c r="BD114" s="46">
        <v>0</v>
      </c>
      <c r="BE114" s="113"/>
      <c r="BF114" s="113"/>
      <c r="BG114" s="113"/>
      <c r="BH114" s="113"/>
      <c r="BI114" s="113"/>
      <c r="BJ114" s="46">
        <v>0</v>
      </c>
      <c r="BK114" s="113"/>
      <c r="BL114" s="113"/>
      <c r="BM114" s="113"/>
      <c r="BN114" s="113"/>
      <c r="BO114" s="113"/>
      <c r="BP114" s="121"/>
      <c r="BQ114" s="121"/>
      <c r="GA114" t="s">
        <v>113</v>
      </c>
      <c r="GB114" t="s">
        <v>23001</v>
      </c>
      <c r="GC114" s="46">
        <v>0</v>
      </c>
      <c r="GD114" s="113"/>
      <c r="GE114" s="113"/>
      <c r="GF114" s="113"/>
      <c r="GG114" s="113"/>
      <c r="GH114" s="113"/>
      <c r="GI114" s="46">
        <v>0</v>
      </c>
      <c r="GJ114" s="113"/>
      <c r="GK114" s="113"/>
      <c r="GL114" s="113"/>
      <c r="GM114" s="113"/>
      <c r="GN114" s="113"/>
      <c r="GO114" s="46">
        <v>0</v>
      </c>
      <c r="GP114" s="113"/>
      <c r="GQ114" s="113"/>
      <c r="GR114" s="113"/>
      <c r="GS114" s="113"/>
      <c r="GT114" s="113"/>
      <c r="GU114" s="46">
        <v>0</v>
      </c>
      <c r="GV114" s="113"/>
      <c r="GW114" s="113"/>
      <c r="GX114" s="113"/>
      <c r="GY114" s="113"/>
      <c r="GZ114" s="113"/>
      <c r="HA114" s="46">
        <v>0</v>
      </c>
      <c r="HB114" s="113"/>
      <c r="HC114" s="113"/>
      <c r="HD114" s="113"/>
      <c r="HE114" s="113"/>
      <c r="HF114" s="113"/>
      <c r="HG114" s="46">
        <v>0</v>
      </c>
      <c r="HH114" s="113"/>
      <c r="HI114" s="113"/>
      <c r="HJ114" s="113"/>
      <c r="HK114" s="113"/>
      <c r="HL114" s="113"/>
      <c r="HM114" s="121"/>
      <c r="HN114" s="121"/>
      <c r="LM114" t="str">
        <v/>
      </c>
      <c r="LN114" t="str">
        <v/>
      </c>
      <c r="LO114" t="str">
        <v/>
      </c>
    </row>
    <row r="115" spans="30:327">
      <c r="AD115" t="s">
        <v>113</v>
      </c>
      <c r="AE115" t="s">
        <v>23002</v>
      </c>
      <c r="AF115" s="46">
        <v>0</v>
      </c>
      <c r="AG115" s="113"/>
      <c r="AH115" s="113"/>
      <c r="AI115" s="113"/>
      <c r="AJ115" s="113"/>
      <c r="AK115" s="113"/>
      <c r="AL115" s="46">
        <v>0</v>
      </c>
      <c r="AM115" s="113"/>
      <c r="AN115" s="113"/>
      <c r="AO115" s="113"/>
      <c r="AP115" s="113"/>
      <c r="AQ115" s="113"/>
      <c r="AR115" s="46">
        <v>0</v>
      </c>
      <c r="AS115" s="113"/>
      <c r="AT115" s="113"/>
      <c r="AU115" s="113"/>
      <c r="AV115" s="113"/>
      <c r="AW115" s="113"/>
      <c r="AX115" s="46">
        <v>0</v>
      </c>
      <c r="AY115" s="113"/>
      <c r="AZ115" s="113"/>
      <c r="BA115" s="113"/>
      <c r="BB115" s="113"/>
      <c r="BC115" s="113"/>
      <c r="BD115" s="46">
        <v>0</v>
      </c>
      <c r="BE115" s="113"/>
      <c r="BF115" s="113"/>
      <c r="BG115" s="113"/>
      <c r="BH115" s="113"/>
      <c r="BI115" s="113"/>
      <c r="BJ115" s="46">
        <v>0</v>
      </c>
      <c r="BK115" s="113"/>
      <c r="BL115" s="113"/>
      <c r="BM115" s="113"/>
      <c r="BN115" s="113"/>
      <c r="BO115" s="113"/>
      <c r="BP115" s="121"/>
      <c r="BQ115" s="121"/>
      <c r="GA115" t="s">
        <v>113</v>
      </c>
      <c r="GB115" t="s">
        <v>23002</v>
      </c>
      <c r="GC115" s="46">
        <v>0</v>
      </c>
      <c r="GD115" s="113"/>
      <c r="GE115" s="113"/>
      <c r="GF115" s="113"/>
      <c r="GG115" s="113"/>
      <c r="GH115" s="113"/>
      <c r="GI115" s="46">
        <v>0</v>
      </c>
      <c r="GJ115" s="113"/>
      <c r="GK115" s="113"/>
      <c r="GL115" s="113"/>
      <c r="GM115" s="113"/>
      <c r="GN115" s="113"/>
      <c r="GO115" s="46">
        <v>0</v>
      </c>
      <c r="GP115" s="113"/>
      <c r="GQ115" s="113"/>
      <c r="GR115" s="113"/>
      <c r="GS115" s="113"/>
      <c r="GT115" s="113"/>
      <c r="GU115" s="46">
        <v>0</v>
      </c>
      <c r="GV115" s="113"/>
      <c r="GW115" s="113"/>
      <c r="GX115" s="113"/>
      <c r="GY115" s="113"/>
      <c r="GZ115" s="113"/>
      <c r="HA115" s="46">
        <v>0</v>
      </c>
      <c r="HB115" s="113"/>
      <c r="HC115" s="113"/>
      <c r="HD115" s="113"/>
      <c r="HE115" s="113"/>
      <c r="HF115" s="113"/>
      <c r="HG115" s="46">
        <v>0</v>
      </c>
      <c r="HH115" s="113"/>
      <c r="HI115" s="113"/>
      <c r="HJ115" s="113"/>
      <c r="HK115" s="113"/>
      <c r="HL115" s="113"/>
      <c r="HM115" s="121"/>
      <c r="HN115" s="121"/>
      <c r="LM115" t="str">
        <v/>
      </c>
      <c r="LN115" t="str">
        <v/>
      </c>
      <c r="LO115" t="str">
        <v/>
      </c>
    </row>
    <row r="116" spans="30:327">
      <c r="AD116" t="s">
        <v>113</v>
      </c>
      <c r="AE116" t="s">
        <v>23003</v>
      </c>
      <c r="AF116" s="46">
        <v>0</v>
      </c>
      <c r="AG116" s="113"/>
      <c r="AH116" s="113"/>
      <c r="AI116" s="113"/>
      <c r="AJ116" s="113"/>
      <c r="AK116" s="113"/>
      <c r="AL116" s="46">
        <v>0</v>
      </c>
      <c r="AM116" s="113"/>
      <c r="AN116" s="113"/>
      <c r="AO116" s="113"/>
      <c r="AP116" s="113"/>
      <c r="AQ116" s="113"/>
      <c r="AR116" s="46">
        <v>0</v>
      </c>
      <c r="AS116" s="113"/>
      <c r="AT116" s="113"/>
      <c r="AU116" s="113"/>
      <c r="AV116" s="113"/>
      <c r="AW116" s="113"/>
      <c r="AX116" s="46">
        <v>0</v>
      </c>
      <c r="AY116" s="113"/>
      <c r="AZ116" s="113"/>
      <c r="BA116" s="113"/>
      <c r="BB116" s="113"/>
      <c r="BC116" s="113"/>
      <c r="BD116" s="46">
        <v>0</v>
      </c>
      <c r="BE116" s="113"/>
      <c r="BF116" s="113"/>
      <c r="BG116" s="113"/>
      <c r="BH116" s="113"/>
      <c r="BI116" s="113"/>
      <c r="BJ116" s="46">
        <v>0</v>
      </c>
      <c r="BK116" s="113"/>
      <c r="BL116" s="113"/>
      <c r="BM116" s="113"/>
      <c r="BN116" s="113"/>
      <c r="BO116" s="113"/>
      <c r="BP116" s="121"/>
      <c r="BQ116" s="121"/>
      <c r="GA116" t="s">
        <v>113</v>
      </c>
      <c r="GB116" t="s">
        <v>23003</v>
      </c>
      <c r="GC116" s="46">
        <v>0</v>
      </c>
      <c r="GD116" s="113"/>
      <c r="GE116" s="113"/>
      <c r="GF116" s="113"/>
      <c r="GG116" s="113"/>
      <c r="GH116" s="113"/>
      <c r="GI116" s="46">
        <v>0</v>
      </c>
      <c r="GJ116" s="113"/>
      <c r="GK116" s="113"/>
      <c r="GL116" s="113"/>
      <c r="GM116" s="113"/>
      <c r="GN116" s="113"/>
      <c r="GO116" s="46">
        <v>0</v>
      </c>
      <c r="GP116" s="113"/>
      <c r="GQ116" s="113"/>
      <c r="GR116" s="113"/>
      <c r="GS116" s="113"/>
      <c r="GT116" s="113"/>
      <c r="GU116" s="46">
        <v>0</v>
      </c>
      <c r="GV116" s="113"/>
      <c r="GW116" s="113"/>
      <c r="GX116" s="113"/>
      <c r="GY116" s="113"/>
      <c r="GZ116" s="113"/>
      <c r="HA116" s="46">
        <v>0</v>
      </c>
      <c r="HB116" s="113"/>
      <c r="HC116" s="113"/>
      <c r="HD116" s="113"/>
      <c r="HE116" s="113"/>
      <c r="HF116" s="113"/>
      <c r="HG116" s="46">
        <v>0</v>
      </c>
      <c r="HH116" s="113"/>
      <c r="HI116" s="113"/>
      <c r="HJ116" s="113"/>
      <c r="HK116" s="113"/>
      <c r="HL116" s="113"/>
      <c r="HM116" s="121"/>
      <c r="HN116" s="121"/>
      <c r="LM116" t="str">
        <v/>
      </c>
      <c r="LN116" t="str">
        <v/>
      </c>
      <c r="LO116" t="str">
        <v/>
      </c>
    </row>
    <row r="117" spans="30:327">
      <c r="AD117" t="s">
        <v>113</v>
      </c>
      <c r="AE117" t="s">
        <v>23004</v>
      </c>
      <c r="AF117" s="46">
        <v>0</v>
      </c>
      <c r="AG117" s="113"/>
      <c r="AH117" s="113"/>
      <c r="AI117" s="113"/>
      <c r="AJ117" s="113"/>
      <c r="AK117" s="113"/>
      <c r="AL117" s="46">
        <v>0</v>
      </c>
      <c r="AM117" s="113"/>
      <c r="AN117" s="113"/>
      <c r="AO117" s="113"/>
      <c r="AP117" s="113"/>
      <c r="AQ117" s="113"/>
      <c r="AR117" s="46">
        <v>0</v>
      </c>
      <c r="AS117" s="113"/>
      <c r="AT117" s="113"/>
      <c r="AU117" s="113"/>
      <c r="AV117" s="113"/>
      <c r="AW117" s="113"/>
      <c r="AX117" s="46">
        <v>0</v>
      </c>
      <c r="AY117" s="113"/>
      <c r="AZ117" s="113"/>
      <c r="BA117" s="113"/>
      <c r="BB117" s="113"/>
      <c r="BC117" s="113"/>
      <c r="BD117" s="46">
        <v>0</v>
      </c>
      <c r="BE117" s="113"/>
      <c r="BF117" s="113"/>
      <c r="BG117" s="113"/>
      <c r="BH117" s="113"/>
      <c r="BI117" s="113"/>
      <c r="BJ117" s="46">
        <v>0</v>
      </c>
      <c r="BK117" s="113"/>
      <c r="BL117" s="113"/>
      <c r="BM117" s="113"/>
      <c r="BN117" s="113"/>
      <c r="BO117" s="113"/>
      <c r="BP117" s="121"/>
      <c r="BQ117" s="121"/>
      <c r="GA117" t="s">
        <v>113</v>
      </c>
      <c r="GB117" t="s">
        <v>23004</v>
      </c>
      <c r="GC117" s="46">
        <v>0</v>
      </c>
      <c r="GD117" s="113"/>
      <c r="GE117" s="113"/>
      <c r="GF117" s="113"/>
      <c r="GG117" s="113"/>
      <c r="GH117" s="113"/>
      <c r="GI117" s="46">
        <v>0</v>
      </c>
      <c r="GJ117" s="113"/>
      <c r="GK117" s="113"/>
      <c r="GL117" s="113"/>
      <c r="GM117" s="113"/>
      <c r="GN117" s="113"/>
      <c r="GO117" s="46">
        <v>0</v>
      </c>
      <c r="GP117" s="113"/>
      <c r="GQ117" s="113"/>
      <c r="GR117" s="113"/>
      <c r="GS117" s="113"/>
      <c r="GT117" s="113"/>
      <c r="GU117" s="46">
        <v>0</v>
      </c>
      <c r="GV117" s="113"/>
      <c r="GW117" s="113"/>
      <c r="GX117" s="113"/>
      <c r="GY117" s="113"/>
      <c r="GZ117" s="113"/>
      <c r="HA117" s="46">
        <v>0</v>
      </c>
      <c r="HB117" s="113"/>
      <c r="HC117" s="113"/>
      <c r="HD117" s="113"/>
      <c r="HE117" s="113"/>
      <c r="HF117" s="113"/>
      <c r="HG117" s="46">
        <v>0</v>
      </c>
      <c r="HH117" s="113"/>
      <c r="HI117" s="113"/>
      <c r="HJ117" s="113"/>
      <c r="HK117" s="113"/>
      <c r="HL117" s="113"/>
      <c r="HM117" s="121"/>
      <c r="HN117" s="121"/>
      <c r="LM117" t="str">
        <v/>
      </c>
      <c r="LN117" t="str">
        <v/>
      </c>
      <c r="LO117" t="str">
        <v/>
      </c>
    </row>
    <row r="118" spans="30:327">
      <c r="AD118" t="s">
        <v>113</v>
      </c>
      <c r="AE118" t="s">
        <v>23005</v>
      </c>
      <c r="AF118" s="46">
        <v>0</v>
      </c>
      <c r="AG118" s="113"/>
      <c r="AH118" s="113"/>
      <c r="AI118" s="113"/>
      <c r="AJ118" s="113"/>
      <c r="AK118" s="113"/>
      <c r="AL118" s="46">
        <v>0</v>
      </c>
      <c r="AM118" s="113"/>
      <c r="AN118" s="113"/>
      <c r="AO118" s="113"/>
      <c r="AP118" s="113"/>
      <c r="AQ118" s="113"/>
      <c r="AR118" s="46">
        <v>0</v>
      </c>
      <c r="AS118" s="113"/>
      <c r="AT118" s="113"/>
      <c r="AU118" s="113"/>
      <c r="AV118" s="113"/>
      <c r="AW118" s="113"/>
      <c r="AX118" s="46">
        <v>0</v>
      </c>
      <c r="AY118" s="113"/>
      <c r="AZ118" s="113"/>
      <c r="BA118" s="113"/>
      <c r="BB118" s="113"/>
      <c r="BC118" s="113"/>
      <c r="BD118" s="46">
        <v>0</v>
      </c>
      <c r="BE118" s="113"/>
      <c r="BF118" s="113"/>
      <c r="BG118" s="113"/>
      <c r="BH118" s="113"/>
      <c r="BI118" s="113"/>
      <c r="BJ118" s="46">
        <v>0</v>
      </c>
      <c r="BK118" s="113"/>
      <c r="BL118" s="113"/>
      <c r="BM118" s="113"/>
      <c r="BN118" s="113"/>
      <c r="BO118" s="113"/>
      <c r="BP118" s="121"/>
      <c r="BQ118" s="121"/>
      <c r="GA118" t="s">
        <v>113</v>
      </c>
      <c r="GB118" t="s">
        <v>23005</v>
      </c>
      <c r="GC118" s="46">
        <v>0</v>
      </c>
      <c r="GD118" s="113"/>
      <c r="GE118" s="113"/>
      <c r="GF118" s="113"/>
      <c r="GG118" s="113"/>
      <c r="GH118" s="113"/>
      <c r="GI118" s="46">
        <v>0</v>
      </c>
      <c r="GJ118" s="113"/>
      <c r="GK118" s="113"/>
      <c r="GL118" s="113"/>
      <c r="GM118" s="113"/>
      <c r="GN118" s="113"/>
      <c r="GO118" s="46">
        <v>0</v>
      </c>
      <c r="GP118" s="113"/>
      <c r="GQ118" s="113"/>
      <c r="GR118" s="113"/>
      <c r="GS118" s="113"/>
      <c r="GT118" s="113"/>
      <c r="GU118" s="46">
        <v>0</v>
      </c>
      <c r="GV118" s="113"/>
      <c r="GW118" s="113"/>
      <c r="GX118" s="113"/>
      <c r="GY118" s="113"/>
      <c r="GZ118" s="113"/>
      <c r="HA118" s="46">
        <v>0</v>
      </c>
      <c r="HB118" s="113"/>
      <c r="HC118" s="113"/>
      <c r="HD118" s="113"/>
      <c r="HE118" s="113"/>
      <c r="HF118" s="113"/>
      <c r="HG118" s="46">
        <v>0</v>
      </c>
      <c r="HH118" s="113"/>
      <c r="HI118" s="113"/>
      <c r="HJ118" s="113"/>
      <c r="HK118" s="113"/>
      <c r="HL118" s="113"/>
      <c r="HM118" s="121"/>
      <c r="HN118" s="121"/>
      <c r="LM118" t="str">
        <v/>
      </c>
      <c r="LN118" t="str">
        <v/>
      </c>
      <c r="LO118" t="str">
        <v/>
      </c>
    </row>
    <row r="119" spans="30:327">
      <c r="AD119" t="s">
        <v>113</v>
      </c>
      <c r="AE119" t="s">
        <v>23006</v>
      </c>
      <c r="AF119" s="46">
        <v>0</v>
      </c>
      <c r="AG119" s="113"/>
      <c r="AH119" s="113"/>
      <c r="AI119" s="113"/>
      <c r="AJ119" s="113"/>
      <c r="AK119" s="113"/>
      <c r="AL119" s="46">
        <v>0</v>
      </c>
      <c r="AM119" s="113"/>
      <c r="AN119" s="113"/>
      <c r="AO119" s="113"/>
      <c r="AP119" s="113"/>
      <c r="AQ119" s="113"/>
      <c r="AR119" s="46">
        <v>0</v>
      </c>
      <c r="AS119" s="113"/>
      <c r="AT119" s="113"/>
      <c r="AU119" s="113"/>
      <c r="AV119" s="113"/>
      <c r="AW119" s="113"/>
      <c r="AX119" s="46">
        <v>0</v>
      </c>
      <c r="AY119" s="113"/>
      <c r="AZ119" s="113"/>
      <c r="BA119" s="113"/>
      <c r="BB119" s="113"/>
      <c r="BC119" s="113"/>
      <c r="BD119" s="46">
        <v>0</v>
      </c>
      <c r="BE119" s="113"/>
      <c r="BF119" s="113"/>
      <c r="BG119" s="113"/>
      <c r="BH119" s="113"/>
      <c r="BI119" s="113"/>
      <c r="BJ119" s="46">
        <v>0</v>
      </c>
      <c r="BK119" s="113"/>
      <c r="BL119" s="113"/>
      <c r="BM119" s="113"/>
      <c r="BN119" s="113"/>
      <c r="BO119" s="113"/>
      <c r="BP119" s="121"/>
      <c r="BQ119" s="121"/>
      <c r="GA119" t="s">
        <v>113</v>
      </c>
      <c r="GB119" t="s">
        <v>23006</v>
      </c>
      <c r="GC119" s="46">
        <v>0</v>
      </c>
      <c r="GD119" s="113"/>
      <c r="GE119" s="113"/>
      <c r="GF119" s="113"/>
      <c r="GG119" s="113"/>
      <c r="GH119" s="113"/>
      <c r="GI119" s="46">
        <v>0</v>
      </c>
      <c r="GJ119" s="113"/>
      <c r="GK119" s="113"/>
      <c r="GL119" s="113"/>
      <c r="GM119" s="113"/>
      <c r="GN119" s="113"/>
      <c r="GO119" s="46">
        <v>0</v>
      </c>
      <c r="GP119" s="113"/>
      <c r="GQ119" s="113"/>
      <c r="GR119" s="113"/>
      <c r="GS119" s="113"/>
      <c r="GT119" s="113"/>
      <c r="GU119" s="46">
        <v>0</v>
      </c>
      <c r="GV119" s="113"/>
      <c r="GW119" s="113"/>
      <c r="GX119" s="113"/>
      <c r="GY119" s="113"/>
      <c r="GZ119" s="113"/>
      <c r="HA119" s="46">
        <v>0</v>
      </c>
      <c r="HB119" s="113"/>
      <c r="HC119" s="113"/>
      <c r="HD119" s="113"/>
      <c r="HE119" s="113"/>
      <c r="HF119" s="113"/>
      <c r="HG119" s="46">
        <v>0</v>
      </c>
      <c r="HH119" s="113"/>
      <c r="HI119" s="113"/>
      <c r="HJ119" s="113"/>
      <c r="HK119" s="113"/>
      <c r="HL119" s="113"/>
      <c r="HM119" s="121"/>
      <c r="HN119" s="121"/>
      <c r="LM119" t="str">
        <v/>
      </c>
      <c r="LN119" t="str">
        <v/>
      </c>
      <c r="LO119" t="str">
        <v/>
      </c>
    </row>
    <row r="120" spans="30:327">
      <c r="AD120" t="s">
        <v>113</v>
      </c>
      <c r="AE120" t="s">
        <v>23007</v>
      </c>
      <c r="AF120" s="46">
        <v>0</v>
      </c>
      <c r="AG120" s="113"/>
      <c r="AH120" s="113"/>
      <c r="AI120" s="113"/>
      <c r="AJ120" s="113"/>
      <c r="AK120" s="113"/>
      <c r="AL120" s="46">
        <v>0</v>
      </c>
      <c r="AM120" s="113"/>
      <c r="AN120" s="113"/>
      <c r="AO120" s="113"/>
      <c r="AP120" s="113"/>
      <c r="AQ120" s="113"/>
      <c r="AR120" s="46">
        <v>0</v>
      </c>
      <c r="AS120" s="113"/>
      <c r="AT120" s="113"/>
      <c r="AU120" s="113"/>
      <c r="AV120" s="113"/>
      <c r="AW120" s="113"/>
      <c r="AX120" s="46">
        <v>0</v>
      </c>
      <c r="AY120" s="113"/>
      <c r="AZ120" s="113"/>
      <c r="BA120" s="113"/>
      <c r="BB120" s="113"/>
      <c r="BC120" s="113"/>
      <c r="BD120" s="46">
        <v>0</v>
      </c>
      <c r="BE120" s="113"/>
      <c r="BF120" s="113"/>
      <c r="BG120" s="113"/>
      <c r="BH120" s="113"/>
      <c r="BI120" s="113"/>
      <c r="BJ120" s="46">
        <v>0</v>
      </c>
      <c r="BK120" s="113"/>
      <c r="BL120" s="113"/>
      <c r="BM120" s="113"/>
      <c r="BN120" s="113"/>
      <c r="BO120" s="113"/>
      <c r="BP120" s="121"/>
      <c r="BQ120" s="121"/>
      <c r="FA120" t="str">
        <f>IF(N(AN_Severity!$AB$4)&gt;=_xlfn.XLOOKUP("MinMonthsForCharts",AnParam[Param],AnParam[Value],12),"",SUBSTITUTE(SUBSTITUTE(SUBSTITUTE(_xlfn.XLOOKUP("AN_EMPTY",tblUIText[Key],tblUIText[TR],"AN_EMPTY"),": ",":"&amp;CHAR(10)),"{0}",N(AN_Severity!$AB$4)),"{1}",_xlfn.XLOOKUP("MinMonthsForCharts",AnParam[Param],AnParam[Value],12))&amp;CHAR(10)&amp;SUBSTITUTE(SUBSTITUTE(SUBSTITUTE(_xlfn.XLOOKUP("AN_EMPTY",tblUIText[Key],tblUIText[EN],"AN_EMPTY"),": ",":"&amp;CHAR(10)),"{0}",N(AN_Severity!$AB$4)),"{1}",_xlfn.XLOOKUP("MinMonthsForCharts",AnParam[Param],AnParam[Value],12)))</f>
        <v>VERİ YETERSİZ:
0 ay veri var, grafikler için en az 12 ay gerekir
INSUFFICIENT DATA:
0 months of data, the charts need at least 12</v>
      </c>
      <c r="FB120">
        <f>IF($FA$120="",NA(),1)</f>
        <v>1</v>
      </c>
      <c r="FC120" t="str">
        <f>IF($FA$120=""," ",$FA$120)</f>
        <v>VERİ YETERSİZ:
0 ay veri var, grafikler için en az 12 ay gerekir
INSUFFICIENT DATA:
0 months of data, the charts need at least 12</v>
      </c>
      <c r="FD120" t="str">
        <f>SUBSTITUTE(SUBSTITUTE(SUBSTITUTE(_xlfn.XLOOKUP("AN_EMPTY",tblUIText[Key],tblUIText[TR],"AN_EMPTY"),": ",":"&amp;CHAR(10)),"{0}",10),"{1}",_xlfn.XLOOKUP("MinMonthsForCharts",AnParam[Param],AnParam[Value],12))&amp;CHAR(10)&amp;SUBSTITUTE(SUBSTITUTE(SUBSTITUTE(_xlfn.XLOOKUP("AN_EMPTY",tblUIText[Key],tblUIText[EN],"AN_EMPTY"),": ",":"&amp;CHAR(10)),"{0}",10),"{1}",_xlfn.XLOOKUP("MinMonthsForCharts",AnParam[Param],AnParam[Value],12))</f>
        <v>VERİ YETERSİZ:
10 ay veri var, grafikler için en az 12 ay gerekir
INSUFFICIENT DATA:
10 months of data, the charts need at least 12</v>
      </c>
      <c r="GA120" t="s">
        <v>113</v>
      </c>
      <c r="GB120" t="s">
        <v>23007</v>
      </c>
      <c r="GC120" s="46">
        <v>0</v>
      </c>
      <c r="GD120" s="113"/>
      <c r="GE120" s="113"/>
      <c r="GF120" s="113"/>
      <c r="GG120" s="113"/>
      <c r="GH120" s="113"/>
      <c r="GI120" s="46">
        <v>0</v>
      </c>
      <c r="GJ120" s="113"/>
      <c r="GK120" s="113"/>
      <c r="GL120" s="113"/>
      <c r="GM120" s="113"/>
      <c r="GN120" s="113"/>
      <c r="GO120" s="46">
        <v>0</v>
      </c>
      <c r="GP120" s="113"/>
      <c r="GQ120" s="113"/>
      <c r="GR120" s="113"/>
      <c r="GS120" s="113"/>
      <c r="GT120" s="113"/>
      <c r="GU120" s="46">
        <v>0</v>
      </c>
      <c r="GV120" s="113"/>
      <c r="GW120" s="113"/>
      <c r="GX120" s="113"/>
      <c r="GY120" s="113"/>
      <c r="GZ120" s="113"/>
      <c r="HA120" s="46">
        <v>0</v>
      </c>
      <c r="HB120" s="113"/>
      <c r="HC120" s="113"/>
      <c r="HD120" s="113"/>
      <c r="HE120" s="113"/>
      <c r="HF120" s="113"/>
      <c r="HG120" s="46">
        <v>0</v>
      </c>
      <c r="HH120" s="113"/>
      <c r="HI120" s="113"/>
      <c r="HJ120" s="113"/>
      <c r="HK120" s="113"/>
      <c r="HL120" s="113"/>
      <c r="HM120" s="121"/>
      <c r="HN120" s="121"/>
      <c r="LM120" t="str">
        <v/>
      </c>
      <c r="LN120" t="str">
        <v/>
      </c>
      <c r="LO120" t="str">
        <v/>
      </c>
    </row>
    <row r="121" spans="30:327">
      <c r="AD121" t="s">
        <v>113</v>
      </c>
      <c r="AE121" t="s">
        <v>23008</v>
      </c>
      <c r="AF121" s="46">
        <v>0</v>
      </c>
      <c r="AG121" s="113"/>
      <c r="AH121" s="113"/>
      <c r="AI121" s="113"/>
      <c r="AJ121" s="113"/>
      <c r="AK121" s="113"/>
      <c r="AL121" s="46">
        <v>0</v>
      </c>
      <c r="AM121" s="113"/>
      <c r="AN121" s="113"/>
      <c r="AO121" s="113"/>
      <c r="AP121" s="113"/>
      <c r="AQ121" s="113"/>
      <c r="AR121" s="46">
        <v>0</v>
      </c>
      <c r="AS121" s="113"/>
      <c r="AT121" s="113"/>
      <c r="AU121" s="113"/>
      <c r="AV121" s="113"/>
      <c r="AW121" s="113"/>
      <c r="AX121" s="46">
        <v>0</v>
      </c>
      <c r="AY121" s="113"/>
      <c r="AZ121" s="113"/>
      <c r="BA121" s="113"/>
      <c r="BB121" s="113"/>
      <c r="BC121" s="113"/>
      <c r="BD121" s="46">
        <v>0</v>
      </c>
      <c r="BE121" s="113"/>
      <c r="BF121" s="113"/>
      <c r="BG121" s="113"/>
      <c r="BH121" s="113"/>
      <c r="BI121" s="113"/>
      <c r="BJ121" s="46">
        <v>0</v>
      </c>
      <c r="BK121" s="113"/>
      <c r="BL121" s="113"/>
      <c r="BM121" s="113"/>
      <c r="BN121" s="113"/>
      <c r="BO121" s="113"/>
      <c r="BP121" s="121"/>
      <c r="BQ121" s="121"/>
      <c r="GA121" t="s">
        <v>113</v>
      </c>
      <c r="GB121" t="s">
        <v>23008</v>
      </c>
      <c r="GC121" s="46">
        <v>0</v>
      </c>
      <c r="GD121" s="113"/>
      <c r="GE121" s="113"/>
      <c r="GF121" s="113"/>
      <c r="GG121" s="113"/>
      <c r="GH121" s="113"/>
      <c r="GI121" s="46">
        <v>0</v>
      </c>
      <c r="GJ121" s="113"/>
      <c r="GK121" s="113"/>
      <c r="GL121" s="113"/>
      <c r="GM121" s="113"/>
      <c r="GN121" s="113"/>
      <c r="GO121" s="46">
        <v>0</v>
      </c>
      <c r="GP121" s="113"/>
      <c r="GQ121" s="113"/>
      <c r="GR121" s="113"/>
      <c r="GS121" s="113"/>
      <c r="GT121" s="113"/>
      <c r="GU121" s="46">
        <v>0</v>
      </c>
      <c r="GV121" s="113"/>
      <c r="GW121" s="113"/>
      <c r="GX121" s="113"/>
      <c r="GY121" s="113"/>
      <c r="GZ121" s="113"/>
      <c r="HA121" s="46">
        <v>0</v>
      </c>
      <c r="HB121" s="113"/>
      <c r="HC121" s="113"/>
      <c r="HD121" s="113"/>
      <c r="HE121" s="113"/>
      <c r="HF121" s="113"/>
      <c r="HG121" s="46">
        <v>0</v>
      </c>
      <c r="HH121" s="113"/>
      <c r="HI121" s="113"/>
      <c r="HJ121" s="113"/>
      <c r="HK121" s="113"/>
      <c r="HL121" s="113"/>
      <c r="HM121" s="121"/>
      <c r="HN121" s="121"/>
      <c r="LM121" t="str">
        <v/>
      </c>
      <c r="LN121" t="str">
        <v/>
      </c>
      <c r="LO121" t="str">
        <v/>
      </c>
    </row>
    <row r="122" spans="30:327">
      <c r="AD122" t="s">
        <v>113</v>
      </c>
      <c r="AE122" t="s">
        <v>23009</v>
      </c>
      <c r="AF122" s="46">
        <v>0</v>
      </c>
      <c r="AG122" s="113"/>
      <c r="AH122" s="113"/>
      <c r="AI122" s="113"/>
      <c r="AJ122" s="113"/>
      <c r="AK122" s="113"/>
      <c r="AL122" s="46">
        <v>0</v>
      </c>
      <c r="AM122" s="113"/>
      <c r="AN122" s="113"/>
      <c r="AO122" s="113"/>
      <c r="AP122" s="113"/>
      <c r="AQ122" s="113"/>
      <c r="AR122" s="46">
        <v>0</v>
      </c>
      <c r="AS122" s="113"/>
      <c r="AT122" s="113"/>
      <c r="AU122" s="113"/>
      <c r="AV122" s="113"/>
      <c r="AW122" s="113"/>
      <c r="AX122" s="46">
        <v>0</v>
      </c>
      <c r="AY122" s="113"/>
      <c r="AZ122" s="113"/>
      <c r="BA122" s="113"/>
      <c r="BB122" s="113"/>
      <c r="BC122" s="113"/>
      <c r="BD122" s="46">
        <v>0</v>
      </c>
      <c r="BE122" s="113"/>
      <c r="BF122" s="113"/>
      <c r="BG122" s="113"/>
      <c r="BH122" s="113"/>
      <c r="BI122" s="113"/>
      <c r="BJ122" s="46">
        <v>0</v>
      </c>
      <c r="BK122" s="113"/>
      <c r="BL122" s="113"/>
      <c r="BM122" s="113"/>
      <c r="BN122" s="113"/>
      <c r="BO122" s="113"/>
      <c r="BP122" s="121"/>
      <c r="BQ122" s="121"/>
      <c r="GA122" t="s">
        <v>113</v>
      </c>
      <c r="GB122" t="s">
        <v>23009</v>
      </c>
      <c r="GC122" s="46">
        <v>0</v>
      </c>
      <c r="GD122" s="113"/>
      <c r="GE122" s="113"/>
      <c r="GF122" s="113"/>
      <c r="GG122" s="113"/>
      <c r="GH122" s="113"/>
      <c r="GI122" s="46">
        <v>0</v>
      </c>
      <c r="GJ122" s="113"/>
      <c r="GK122" s="113"/>
      <c r="GL122" s="113"/>
      <c r="GM122" s="113"/>
      <c r="GN122" s="113"/>
      <c r="GO122" s="46">
        <v>0</v>
      </c>
      <c r="GP122" s="113"/>
      <c r="GQ122" s="113"/>
      <c r="GR122" s="113"/>
      <c r="GS122" s="113"/>
      <c r="GT122" s="113"/>
      <c r="GU122" s="46">
        <v>0</v>
      </c>
      <c r="GV122" s="113"/>
      <c r="GW122" s="113"/>
      <c r="GX122" s="113"/>
      <c r="GY122" s="113"/>
      <c r="GZ122" s="113"/>
      <c r="HA122" s="46">
        <v>0</v>
      </c>
      <c r="HB122" s="113"/>
      <c r="HC122" s="113"/>
      <c r="HD122" s="113"/>
      <c r="HE122" s="113"/>
      <c r="HF122" s="113"/>
      <c r="HG122" s="46">
        <v>0</v>
      </c>
      <c r="HH122" s="113"/>
      <c r="HI122" s="113"/>
      <c r="HJ122" s="113"/>
      <c r="HK122" s="113"/>
      <c r="HL122" s="113"/>
      <c r="HM122" s="121"/>
      <c r="HN122" s="121"/>
      <c r="LM122" t="str">
        <v/>
      </c>
      <c r="LN122" t="str">
        <v/>
      </c>
      <c r="LO122" t="str">
        <v/>
      </c>
    </row>
    <row r="123" spans="30:327">
      <c r="AD123" t="s">
        <v>113</v>
      </c>
      <c r="AE123" t="s">
        <v>23010</v>
      </c>
      <c r="AF123" s="46">
        <v>0</v>
      </c>
      <c r="AG123" s="113"/>
      <c r="AH123" s="113"/>
      <c r="AI123" s="113"/>
      <c r="AJ123" s="113"/>
      <c r="AK123" s="113"/>
      <c r="AL123" s="46">
        <v>0</v>
      </c>
      <c r="AM123" s="113"/>
      <c r="AN123" s="113"/>
      <c r="AO123" s="113"/>
      <c r="AP123" s="113"/>
      <c r="AQ123" s="113"/>
      <c r="AR123" s="46">
        <v>0</v>
      </c>
      <c r="AS123" s="113"/>
      <c r="AT123" s="113"/>
      <c r="AU123" s="113"/>
      <c r="AV123" s="113"/>
      <c r="AW123" s="113"/>
      <c r="AX123" s="46">
        <v>0</v>
      </c>
      <c r="AY123" s="113"/>
      <c r="AZ123" s="113"/>
      <c r="BA123" s="113"/>
      <c r="BB123" s="113"/>
      <c r="BC123" s="113"/>
      <c r="BD123" s="46">
        <v>0</v>
      </c>
      <c r="BE123" s="113"/>
      <c r="BF123" s="113"/>
      <c r="BG123" s="113"/>
      <c r="BH123" s="113"/>
      <c r="BI123" s="113"/>
      <c r="BJ123" s="46">
        <v>0</v>
      </c>
      <c r="BK123" s="113"/>
      <c r="BL123" s="113"/>
      <c r="BM123" s="113"/>
      <c r="BN123" s="113"/>
      <c r="BO123" s="113"/>
      <c r="BP123" s="121"/>
      <c r="BQ123" s="121"/>
      <c r="GA123" t="s">
        <v>113</v>
      </c>
      <c r="GB123" t="s">
        <v>23010</v>
      </c>
      <c r="GC123" s="46">
        <v>0</v>
      </c>
      <c r="GD123" s="113"/>
      <c r="GE123" s="113"/>
      <c r="GF123" s="113"/>
      <c r="GG123" s="113"/>
      <c r="GH123" s="113"/>
      <c r="GI123" s="46">
        <v>0</v>
      </c>
      <c r="GJ123" s="113"/>
      <c r="GK123" s="113"/>
      <c r="GL123" s="113"/>
      <c r="GM123" s="113"/>
      <c r="GN123" s="113"/>
      <c r="GO123" s="46">
        <v>0</v>
      </c>
      <c r="GP123" s="113"/>
      <c r="GQ123" s="113"/>
      <c r="GR123" s="113"/>
      <c r="GS123" s="113"/>
      <c r="GT123" s="113"/>
      <c r="GU123" s="46">
        <v>0</v>
      </c>
      <c r="GV123" s="113"/>
      <c r="GW123" s="113"/>
      <c r="GX123" s="113"/>
      <c r="GY123" s="113"/>
      <c r="GZ123" s="113"/>
      <c r="HA123" s="46">
        <v>0</v>
      </c>
      <c r="HB123" s="113"/>
      <c r="HC123" s="113"/>
      <c r="HD123" s="113"/>
      <c r="HE123" s="113"/>
      <c r="HF123" s="113"/>
      <c r="HG123" s="46">
        <v>0</v>
      </c>
      <c r="HH123" s="113"/>
      <c r="HI123" s="113"/>
      <c r="HJ123" s="113"/>
      <c r="HK123" s="113"/>
      <c r="HL123" s="113"/>
      <c r="HM123" s="121"/>
      <c r="HN123" s="121"/>
      <c r="LM123" t="str">
        <v/>
      </c>
      <c r="LN123" t="str">
        <v/>
      </c>
      <c r="LO123" t="str">
        <v/>
      </c>
    </row>
    <row r="124" spans="30:327">
      <c r="AD124" t="s">
        <v>113</v>
      </c>
      <c r="AE124" t="s">
        <v>23011</v>
      </c>
      <c r="AF124" s="46">
        <v>0</v>
      </c>
      <c r="AG124" s="113"/>
      <c r="AH124" s="113"/>
      <c r="AI124" s="113"/>
      <c r="AJ124" s="113"/>
      <c r="AK124" s="113"/>
      <c r="AL124" s="46">
        <v>0</v>
      </c>
      <c r="AM124" s="113"/>
      <c r="AN124" s="113"/>
      <c r="AO124" s="113"/>
      <c r="AP124" s="113"/>
      <c r="AQ124" s="113"/>
      <c r="AR124" s="46">
        <v>0</v>
      </c>
      <c r="AS124" s="113"/>
      <c r="AT124" s="113"/>
      <c r="AU124" s="113"/>
      <c r="AV124" s="113"/>
      <c r="AW124" s="113"/>
      <c r="AX124" s="46">
        <v>0</v>
      </c>
      <c r="AY124" s="113"/>
      <c r="AZ124" s="113"/>
      <c r="BA124" s="113"/>
      <c r="BB124" s="113"/>
      <c r="BC124" s="113"/>
      <c r="BD124" s="46">
        <v>0</v>
      </c>
      <c r="BE124" s="113"/>
      <c r="BF124" s="113"/>
      <c r="BG124" s="113"/>
      <c r="BH124" s="113"/>
      <c r="BI124" s="113"/>
      <c r="BJ124" s="46">
        <v>0</v>
      </c>
      <c r="BK124" s="113"/>
      <c r="BL124" s="113"/>
      <c r="BM124" s="113"/>
      <c r="BN124" s="113"/>
      <c r="BO124" s="113"/>
      <c r="BP124" s="121"/>
      <c r="BQ124" s="121"/>
      <c r="GA124" t="s">
        <v>113</v>
      </c>
      <c r="GB124" t="s">
        <v>23011</v>
      </c>
      <c r="GC124" s="46">
        <v>0</v>
      </c>
      <c r="GD124" s="113"/>
      <c r="GE124" s="113"/>
      <c r="GF124" s="113"/>
      <c r="GG124" s="113"/>
      <c r="GH124" s="113"/>
      <c r="GI124" s="46">
        <v>0</v>
      </c>
      <c r="GJ124" s="113"/>
      <c r="GK124" s="113"/>
      <c r="GL124" s="113"/>
      <c r="GM124" s="113"/>
      <c r="GN124" s="113"/>
      <c r="GO124" s="46">
        <v>0</v>
      </c>
      <c r="GP124" s="113"/>
      <c r="GQ124" s="113"/>
      <c r="GR124" s="113"/>
      <c r="GS124" s="113"/>
      <c r="GT124" s="113"/>
      <c r="GU124" s="46">
        <v>0</v>
      </c>
      <c r="GV124" s="113"/>
      <c r="GW124" s="113"/>
      <c r="GX124" s="113"/>
      <c r="GY124" s="113"/>
      <c r="GZ124" s="113"/>
      <c r="HA124" s="46">
        <v>0</v>
      </c>
      <c r="HB124" s="113"/>
      <c r="HC124" s="113"/>
      <c r="HD124" s="113"/>
      <c r="HE124" s="113"/>
      <c r="HF124" s="113"/>
      <c r="HG124" s="46">
        <v>0</v>
      </c>
      <c r="HH124" s="113"/>
      <c r="HI124" s="113"/>
      <c r="HJ124" s="113"/>
      <c r="HK124" s="113"/>
      <c r="HL124" s="113"/>
      <c r="HM124" s="121"/>
      <c r="HN124" s="121"/>
      <c r="LM124" t="str">
        <v/>
      </c>
      <c r="LN124" t="str">
        <v/>
      </c>
      <c r="LO124" t="str">
        <v/>
      </c>
    </row>
    <row r="125" spans="30:327">
      <c r="AD125" t="s">
        <v>113</v>
      </c>
      <c r="AE125" t="s">
        <v>23012</v>
      </c>
      <c r="AF125" s="46">
        <v>0</v>
      </c>
      <c r="AG125" s="113"/>
      <c r="AH125" s="113"/>
      <c r="AI125" s="113"/>
      <c r="AJ125" s="113"/>
      <c r="AK125" s="113"/>
      <c r="AL125" s="46">
        <v>0</v>
      </c>
      <c r="AM125" s="113"/>
      <c r="AN125" s="113"/>
      <c r="AO125" s="113"/>
      <c r="AP125" s="113"/>
      <c r="AQ125" s="113"/>
      <c r="AR125" s="46">
        <v>0</v>
      </c>
      <c r="AS125" s="113"/>
      <c r="AT125" s="113"/>
      <c r="AU125" s="113"/>
      <c r="AV125" s="113"/>
      <c r="AW125" s="113"/>
      <c r="AX125" s="46">
        <v>0</v>
      </c>
      <c r="AY125" s="113"/>
      <c r="AZ125" s="113"/>
      <c r="BA125" s="113"/>
      <c r="BB125" s="113"/>
      <c r="BC125" s="113"/>
      <c r="BD125" s="46">
        <v>0</v>
      </c>
      <c r="BE125" s="113"/>
      <c r="BF125" s="113"/>
      <c r="BG125" s="113"/>
      <c r="BH125" s="113"/>
      <c r="BI125" s="113"/>
      <c r="BJ125" s="46">
        <v>0</v>
      </c>
      <c r="BK125" s="113"/>
      <c r="BL125" s="113"/>
      <c r="BM125" s="113"/>
      <c r="BN125" s="113"/>
      <c r="BO125" s="113"/>
      <c r="BP125" s="121"/>
      <c r="BQ125" s="121"/>
      <c r="GA125" t="s">
        <v>113</v>
      </c>
      <c r="GB125" t="s">
        <v>23012</v>
      </c>
      <c r="GC125" s="46">
        <v>0</v>
      </c>
      <c r="GD125" s="113"/>
      <c r="GE125" s="113"/>
      <c r="GF125" s="113"/>
      <c r="GG125" s="113"/>
      <c r="GH125" s="113"/>
      <c r="GI125" s="46">
        <v>0</v>
      </c>
      <c r="GJ125" s="113"/>
      <c r="GK125" s="113"/>
      <c r="GL125" s="113"/>
      <c r="GM125" s="113"/>
      <c r="GN125" s="113"/>
      <c r="GO125" s="46">
        <v>0</v>
      </c>
      <c r="GP125" s="113"/>
      <c r="GQ125" s="113"/>
      <c r="GR125" s="113"/>
      <c r="GS125" s="113"/>
      <c r="GT125" s="113"/>
      <c r="GU125" s="46">
        <v>0</v>
      </c>
      <c r="GV125" s="113"/>
      <c r="GW125" s="113"/>
      <c r="GX125" s="113"/>
      <c r="GY125" s="113"/>
      <c r="GZ125" s="113"/>
      <c r="HA125" s="46">
        <v>0</v>
      </c>
      <c r="HB125" s="113"/>
      <c r="HC125" s="113"/>
      <c r="HD125" s="113"/>
      <c r="HE125" s="113"/>
      <c r="HF125" s="113"/>
      <c r="HG125" s="46">
        <v>0</v>
      </c>
      <c r="HH125" s="113"/>
      <c r="HI125" s="113"/>
      <c r="HJ125" s="113"/>
      <c r="HK125" s="113"/>
      <c r="HL125" s="113"/>
      <c r="HM125" s="121"/>
      <c r="HN125" s="121"/>
      <c r="LM125" t="str">
        <v/>
      </c>
      <c r="LN125" t="str">
        <v/>
      </c>
      <c r="LO125" t="str">
        <v/>
      </c>
    </row>
    <row r="126" spans="30:327">
      <c r="AD126" t="s">
        <v>113</v>
      </c>
      <c r="AE126" t="s">
        <v>23013</v>
      </c>
      <c r="AF126" s="46">
        <v>0</v>
      </c>
      <c r="AG126" s="113"/>
      <c r="AH126" s="113"/>
      <c r="AI126" s="113"/>
      <c r="AJ126" s="113"/>
      <c r="AK126" s="113"/>
      <c r="AL126" s="46">
        <v>0</v>
      </c>
      <c r="AM126" s="113"/>
      <c r="AN126" s="113"/>
      <c r="AO126" s="113"/>
      <c r="AP126" s="113"/>
      <c r="AQ126" s="113"/>
      <c r="AR126" s="46">
        <v>0</v>
      </c>
      <c r="AS126" s="113"/>
      <c r="AT126" s="113"/>
      <c r="AU126" s="113"/>
      <c r="AV126" s="113"/>
      <c r="AW126" s="113"/>
      <c r="AX126" s="46">
        <v>0</v>
      </c>
      <c r="AY126" s="113"/>
      <c r="AZ126" s="113"/>
      <c r="BA126" s="113"/>
      <c r="BB126" s="113"/>
      <c r="BC126" s="113"/>
      <c r="BD126" s="46">
        <v>0</v>
      </c>
      <c r="BE126" s="113"/>
      <c r="BF126" s="113"/>
      <c r="BG126" s="113"/>
      <c r="BH126" s="113"/>
      <c r="BI126" s="113"/>
      <c r="BJ126" s="46">
        <v>0</v>
      </c>
      <c r="BK126" s="113"/>
      <c r="BL126" s="113"/>
      <c r="BM126" s="113"/>
      <c r="BN126" s="113"/>
      <c r="BO126" s="113"/>
      <c r="BP126" s="121"/>
      <c r="BQ126" s="121"/>
      <c r="GA126" t="s">
        <v>113</v>
      </c>
      <c r="GB126" t="s">
        <v>23013</v>
      </c>
      <c r="GC126" s="46">
        <v>0</v>
      </c>
      <c r="GD126" s="113"/>
      <c r="GE126" s="113"/>
      <c r="GF126" s="113"/>
      <c r="GG126" s="113"/>
      <c r="GH126" s="113"/>
      <c r="GI126" s="46">
        <v>0</v>
      </c>
      <c r="GJ126" s="113"/>
      <c r="GK126" s="113"/>
      <c r="GL126" s="113"/>
      <c r="GM126" s="113"/>
      <c r="GN126" s="113"/>
      <c r="GO126" s="46">
        <v>0</v>
      </c>
      <c r="GP126" s="113"/>
      <c r="GQ126" s="113"/>
      <c r="GR126" s="113"/>
      <c r="GS126" s="113"/>
      <c r="GT126" s="113"/>
      <c r="GU126" s="46">
        <v>0</v>
      </c>
      <c r="GV126" s="113"/>
      <c r="GW126" s="113"/>
      <c r="GX126" s="113"/>
      <c r="GY126" s="113"/>
      <c r="GZ126" s="113"/>
      <c r="HA126" s="46">
        <v>0</v>
      </c>
      <c r="HB126" s="113"/>
      <c r="HC126" s="113"/>
      <c r="HD126" s="113"/>
      <c r="HE126" s="113"/>
      <c r="HF126" s="113"/>
      <c r="HG126" s="46">
        <v>0</v>
      </c>
      <c r="HH126" s="113"/>
      <c r="HI126" s="113"/>
      <c r="HJ126" s="113"/>
      <c r="HK126" s="113"/>
      <c r="HL126" s="113"/>
      <c r="HM126" s="121"/>
      <c r="HN126" s="121"/>
      <c r="LM126" t="str">
        <v/>
      </c>
      <c r="LN126" t="str">
        <v/>
      </c>
      <c r="LO126" t="str">
        <v/>
      </c>
    </row>
    <row r="127" spans="30:327">
      <c r="AD127" t="s">
        <v>113</v>
      </c>
      <c r="AE127" t="s">
        <v>23014</v>
      </c>
      <c r="AF127" s="46">
        <v>0</v>
      </c>
      <c r="AG127" s="113"/>
      <c r="AH127" s="113"/>
      <c r="AI127" s="113"/>
      <c r="AJ127" s="113"/>
      <c r="AK127" s="113"/>
      <c r="AL127" s="46">
        <v>0</v>
      </c>
      <c r="AM127" s="113"/>
      <c r="AN127" s="113"/>
      <c r="AO127" s="113"/>
      <c r="AP127" s="113"/>
      <c r="AQ127" s="113"/>
      <c r="AR127" s="46">
        <v>0</v>
      </c>
      <c r="AS127" s="113"/>
      <c r="AT127" s="113"/>
      <c r="AU127" s="113"/>
      <c r="AV127" s="113"/>
      <c r="AW127" s="113"/>
      <c r="AX127" s="46">
        <v>0</v>
      </c>
      <c r="AY127" s="113"/>
      <c r="AZ127" s="113"/>
      <c r="BA127" s="113"/>
      <c r="BB127" s="113"/>
      <c r="BC127" s="113"/>
      <c r="BD127" s="46">
        <v>0</v>
      </c>
      <c r="BE127" s="113"/>
      <c r="BF127" s="113"/>
      <c r="BG127" s="113"/>
      <c r="BH127" s="113"/>
      <c r="BI127" s="113"/>
      <c r="BJ127" s="46">
        <v>0</v>
      </c>
      <c r="BK127" s="113"/>
      <c r="BL127" s="113"/>
      <c r="BM127" s="113"/>
      <c r="BN127" s="113"/>
      <c r="BO127" s="113"/>
      <c r="BP127" s="121"/>
      <c r="BQ127" s="121"/>
      <c r="GA127" t="s">
        <v>113</v>
      </c>
      <c r="GB127" t="s">
        <v>23014</v>
      </c>
      <c r="GC127" s="46">
        <v>0</v>
      </c>
      <c r="GD127" s="113"/>
      <c r="GE127" s="113"/>
      <c r="GF127" s="113"/>
      <c r="GG127" s="113"/>
      <c r="GH127" s="113"/>
      <c r="GI127" s="46">
        <v>0</v>
      </c>
      <c r="GJ127" s="113"/>
      <c r="GK127" s="113"/>
      <c r="GL127" s="113"/>
      <c r="GM127" s="113"/>
      <c r="GN127" s="113"/>
      <c r="GO127" s="46">
        <v>0</v>
      </c>
      <c r="GP127" s="113"/>
      <c r="GQ127" s="113"/>
      <c r="GR127" s="113"/>
      <c r="GS127" s="113"/>
      <c r="GT127" s="113"/>
      <c r="GU127" s="46">
        <v>0</v>
      </c>
      <c r="GV127" s="113"/>
      <c r="GW127" s="113"/>
      <c r="GX127" s="113"/>
      <c r="GY127" s="113"/>
      <c r="GZ127" s="113"/>
      <c r="HA127" s="46">
        <v>0</v>
      </c>
      <c r="HB127" s="113"/>
      <c r="HC127" s="113"/>
      <c r="HD127" s="113"/>
      <c r="HE127" s="113"/>
      <c r="HF127" s="113"/>
      <c r="HG127" s="46">
        <v>0</v>
      </c>
      <c r="HH127" s="113"/>
      <c r="HI127" s="113"/>
      <c r="HJ127" s="113"/>
      <c r="HK127" s="113"/>
      <c r="HL127" s="113"/>
      <c r="HM127" s="121"/>
      <c r="HN127" s="121"/>
      <c r="LM127" t="str">
        <v/>
      </c>
      <c r="LN127" t="str">
        <v/>
      </c>
      <c r="LO127" t="str">
        <v/>
      </c>
    </row>
    <row r="128" spans="30:327">
      <c r="AD128" t="s">
        <v>113</v>
      </c>
      <c r="AE128" t="s">
        <v>23015</v>
      </c>
      <c r="AF128" s="46">
        <v>0</v>
      </c>
      <c r="AG128" s="113"/>
      <c r="AH128" s="113"/>
      <c r="AI128" s="113"/>
      <c r="AJ128" s="113"/>
      <c r="AK128" s="113"/>
      <c r="AL128" s="46">
        <v>0</v>
      </c>
      <c r="AM128" s="113"/>
      <c r="AN128" s="113"/>
      <c r="AO128" s="113"/>
      <c r="AP128" s="113"/>
      <c r="AQ128" s="113"/>
      <c r="AR128" s="46">
        <v>0</v>
      </c>
      <c r="AS128" s="113"/>
      <c r="AT128" s="113"/>
      <c r="AU128" s="113"/>
      <c r="AV128" s="113"/>
      <c r="AW128" s="113"/>
      <c r="AX128" s="46">
        <v>0</v>
      </c>
      <c r="AY128" s="113"/>
      <c r="AZ128" s="113"/>
      <c r="BA128" s="113"/>
      <c r="BB128" s="113"/>
      <c r="BC128" s="113"/>
      <c r="BD128" s="46">
        <v>0</v>
      </c>
      <c r="BE128" s="113"/>
      <c r="BF128" s="113"/>
      <c r="BG128" s="113"/>
      <c r="BH128" s="113"/>
      <c r="BI128" s="113"/>
      <c r="BJ128" s="46">
        <v>0</v>
      </c>
      <c r="BK128" s="113"/>
      <c r="BL128" s="113"/>
      <c r="BM128" s="113"/>
      <c r="BN128" s="113"/>
      <c r="BO128" s="113"/>
      <c r="BP128" s="121"/>
      <c r="BQ128" s="121"/>
      <c r="GA128" t="s">
        <v>113</v>
      </c>
      <c r="GB128" t="s">
        <v>23015</v>
      </c>
      <c r="GC128" s="46">
        <v>0</v>
      </c>
      <c r="GD128" s="113"/>
      <c r="GE128" s="113"/>
      <c r="GF128" s="113"/>
      <c r="GG128" s="113"/>
      <c r="GH128" s="113"/>
      <c r="GI128" s="46">
        <v>0</v>
      </c>
      <c r="GJ128" s="113"/>
      <c r="GK128" s="113"/>
      <c r="GL128" s="113"/>
      <c r="GM128" s="113"/>
      <c r="GN128" s="113"/>
      <c r="GO128" s="46">
        <v>0</v>
      </c>
      <c r="GP128" s="113"/>
      <c r="GQ128" s="113"/>
      <c r="GR128" s="113"/>
      <c r="GS128" s="113"/>
      <c r="GT128" s="113"/>
      <c r="GU128" s="46">
        <v>0</v>
      </c>
      <c r="GV128" s="113"/>
      <c r="GW128" s="113"/>
      <c r="GX128" s="113"/>
      <c r="GY128" s="113"/>
      <c r="GZ128" s="113"/>
      <c r="HA128" s="46">
        <v>0</v>
      </c>
      <c r="HB128" s="113"/>
      <c r="HC128" s="113"/>
      <c r="HD128" s="113"/>
      <c r="HE128" s="113"/>
      <c r="HF128" s="113"/>
      <c r="HG128" s="46">
        <v>0</v>
      </c>
      <c r="HH128" s="113"/>
      <c r="HI128" s="113"/>
      <c r="HJ128" s="113"/>
      <c r="HK128" s="113"/>
      <c r="HL128" s="113"/>
      <c r="HM128" s="121"/>
      <c r="HN128" s="121"/>
      <c r="LM128" t="str">
        <v/>
      </c>
      <c r="LN128" t="str">
        <v/>
      </c>
      <c r="LO128" t="str">
        <v/>
      </c>
    </row>
    <row r="129" spans="30:327">
      <c r="AD129" t="s">
        <v>113</v>
      </c>
      <c r="AE129" t="s">
        <v>23016</v>
      </c>
      <c r="AF129" s="46">
        <v>0</v>
      </c>
      <c r="AG129" s="113"/>
      <c r="AH129" s="113"/>
      <c r="AI129" s="113"/>
      <c r="AJ129" s="113"/>
      <c r="AK129" s="113"/>
      <c r="AL129" s="46">
        <v>0</v>
      </c>
      <c r="AM129" s="113"/>
      <c r="AN129" s="113"/>
      <c r="AO129" s="113"/>
      <c r="AP129" s="113"/>
      <c r="AQ129" s="113"/>
      <c r="AR129" s="46">
        <v>0</v>
      </c>
      <c r="AS129" s="113"/>
      <c r="AT129" s="113"/>
      <c r="AU129" s="113"/>
      <c r="AV129" s="113"/>
      <c r="AW129" s="113"/>
      <c r="AX129" s="46">
        <v>0</v>
      </c>
      <c r="AY129" s="113"/>
      <c r="AZ129" s="113"/>
      <c r="BA129" s="113"/>
      <c r="BB129" s="113"/>
      <c r="BC129" s="113"/>
      <c r="BD129" s="46">
        <v>0</v>
      </c>
      <c r="BE129" s="113"/>
      <c r="BF129" s="113"/>
      <c r="BG129" s="113"/>
      <c r="BH129" s="113"/>
      <c r="BI129" s="113"/>
      <c r="BJ129" s="46">
        <v>0</v>
      </c>
      <c r="BK129" s="113"/>
      <c r="BL129" s="113"/>
      <c r="BM129" s="113"/>
      <c r="BN129" s="113"/>
      <c r="BO129" s="113"/>
      <c r="BP129" s="121"/>
      <c r="BQ129" s="121"/>
      <c r="GA129" t="s">
        <v>113</v>
      </c>
      <c r="GB129" t="s">
        <v>23016</v>
      </c>
      <c r="GC129" s="46">
        <v>0</v>
      </c>
      <c r="GD129" s="113"/>
      <c r="GE129" s="113"/>
      <c r="GF129" s="113"/>
      <c r="GG129" s="113"/>
      <c r="GH129" s="113"/>
      <c r="GI129" s="46">
        <v>0</v>
      </c>
      <c r="GJ129" s="113"/>
      <c r="GK129" s="113"/>
      <c r="GL129" s="113"/>
      <c r="GM129" s="113"/>
      <c r="GN129" s="113"/>
      <c r="GO129" s="46">
        <v>0</v>
      </c>
      <c r="GP129" s="113"/>
      <c r="GQ129" s="113"/>
      <c r="GR129" s="113"/>
      <c r="GS129" s="113"/>
      <c r="GT129" s="113"/>
      <c r="GU129" s="46">
        <v>0</v>
      </c>
      <c r="GV129" s="113"/>
      <c r="GW129" s="113"/>
      <c r="GX129" s="113"/>
      <c r="GY129" s="113"/>
      <c r="GZ129" s="113"/>
      <c r="HA129" s="46">
        <v>0</v>
      </c>
      <c r="HB129" s="113"/>
      <c r="HC129" s="113"/>
      <c r="HD129" s="113"/>
      <c r="HE129" s="113"/>
      <c r="HF129" s="113"/>
      <c r="HG129" s="46">
        <v>0</v>
      </c>
      <c r="HH129" s="113"/>
      <c r="HI129" s="113"/>
      <c r="HJ129" s="113"/>
      <c r="HK129" s="113"/>
      <c r="HL129" s="113"/>
      <c r="HM129" s="121"/>
      <c r="HN129" s="121"/>
      <c r="LM129" t="str">
        <v/>
      </c>
      <c r="LN129" t="str">
        <v/>
      </c>
      <c r="LO129" t="str">
        <v/>
      </c>
    </row>
    <row r="130" spans="30:327">
      <c r="AD130" t="s">
        <v>113</v>
      </c>
      <c r="AE130" t="s">
        <v>23017</v>
      </c>
      <c r="AF130" s="46">
        <v>0</v>
      </c>
      <c r="AG130" s="113"/>
      <c r="AH130" s="113"/>
      <c r="AI130" s="113"/>
      <c r="AJ130" s="113"/>
      <c r="AK130" s="113"/>
      <c r="AL130" s="46">
        <v>0</v>
      </c>
      <c r="AM130" s="113"/>
      <c r="AN130" s="113"/>
      <c r="AO130" s="113"/>
      <c r="AP130" s="113"/>
      <c r="AQ130" s="113"/>
      <c r="AR130" s="46">
        <v>0</v>
      </c>
      <c r="AS130" s="113"/>
      <c r="AT130" s="113"/>
      <c r="AU130" s="113"/>
      <c r="AV130" s="113"/>
      <c r="AW130" s="113"/>
      <c r="AX130" s="46">
        <v>0</v>
      </c>
      <c r="AY130" s="113"/>
      <c r="AZ130" s="113"/>
      <c r="BA130" s="113"/>
      <c r="BB130" s="113"/>
      <c r="BC130" s="113"/>
      <c r="BD130" s="46">
        <v>0</v>
      </c>
      <c r="BE130" s="113"/>
      <c r="BF130" s="113"/>
      <c r="BG130" s="113"/>
      <c r="BH130" s="113"/>
      <c r="BI130" s="113"/>
      <c r="BJ130" s="46">
        <v>0</v>
      </c>
      <c r="BK130" s="113"/>
      <c r="BL130" s="113"/>
      <c r="BM130" s="113"/>
      <c r="BN130" s="113"/>
      <c r="BO130" s="113"/>
      <c r="BP130" s="121"/>
      <c r="BQ130" s="121"/>
      <c r="GA130" t="s">
        <v>113</v>
      </c>
      <c r="GB130" t="s">
        <v>23017</v>
      </c>
      <c r="GC130" s="46">
        <v>0</v>
      </c>
      <c r="GD130" s="113"/>
      <c r="GE130" s="113"/>
      <c r="GF130" s="113"/>
      <c r="GG130" s="113"/>
      <c r="GH130" s="113"/>
      <c r="GI130" s="46">
        <v>0</v>
      </c>
      <c r="GJ130" s="113"/>
      <c r="GK130" s="113"/>
      <c r="GL130" s="113"/>
      <c r="GM130" s="113"/>
      <c r="GN130" s="113"/>
      <c r="GO130" s="46">
        <v>0</v>
      </c>
      <c r="GP130" s="113"/>
      <c r="GQ130" s="113"/>
      <c r="GR130" s="113"/>
      <c r="GS130" s="113"/>
      <c r="GT130" s="113"/>
      <c r="GU130" s="46">
        <v>0</v>
      </c>
      <c r="GV130" s="113"/>
      <c r="GW130" s="113"/>
      <c r="GX130" s="113"/>
      <c r="GY130" s="113"/>
      <c r="GZ130" s="113"/>
      <c r="HA130" s="46">
        <v>0</v>
      </c>
      <c r="HB130" s="113"/>
      <c r="HC130" s="113"/>
      <c r="HD130" s="113"/>
      <c r="HE130" s="113"/>
      <c r="HF130" s="113"/>
      <c r="HG130" s="46">
        <v>0</v>
      </c>
      <c r="HH130" s="113"/>
      <c r="HI130" s="113"/>
      <c r="HJ130" s="113"/>
      <c r="HK130" s="113"/>
      <c r="HL130" s="113"/>
      <c r="HM130" s="121"/>
      <c r="HN130" s="121"/>
      <c r="LM130" t="str">
        <v/>
      </c>
      <c r="LN130" t="str">
        <v/>
      </c>
      <c r="LO130" t="str">
        <v/>
      </c>
    </row>
    <row r="131" spans="30:327">
      <c r="AD131" t="s">
        <v>113</v>
      </c>
      <c r="AE131" t="s">
        <v>23018</v>
      </c>
      <c r="AF131" s="46">
        <v>0</v>
      </c>
      <c r="AG131" s="113"/>
      <c r="AH131" s="113"/>
      <c r="AI131" s="113"/>
      <c r="AJ131" s="113"/>
      <c r="AK131" s="113"/>
      <c r="AL131" s="46">
        <v>0</v>
      </c>
      <c r="AM131" s="113"/>
      <c r="AN131" s="113"/>
      <c r="AO131" s="113"/>
      <c r="AP131" s="113"/>
      <c r="AQ131" s="113"/>
      <c r="AR131" s="46">
        <v>0</v>
      </c>
      <c r="AS131" s="113"/>
      <c r="AT131" s="113"/>
      <c r="AU131" s="113"/>
      <c r="AV131" s="113"/>
      <c r="AW131" s="113"/>
      <c r="AX131" s="46">
        <v>0</v>
      </c>
      <c r="AY131" s="113"/>
      <c r="AZ131" s="113"/>
      <c r="BA131" s="113"/>
      <c r="BB131" s="113"/>
      <c r="BC131" s="113"/>
      <c r="BD131" s="46">
        <v>0</v>
      </c>
      <c r="BE131" s="113"/>
      <c r="BF131" s="113"/>
      <c r="BG131" s="113"/>
      <c r="BH131" s="113"/>
      <c r="BI131" s="113"/>
      <c r="BJ131" s="46">
        <v>0</v>
      </c>
      <c r="BK131" s="113"/>
      <c r="BL131" s="113"/>
      <c r="BM131" s="113"/>
      <c r="BN131" s="113"/>
      <c r="BO131" s="113"/>
      <c r="BP131" s="121"/>
      <c r="BQ131" s="121"/>
      <c r="GA131" t="s">
        <v>113</v>
      </c>
      <c r="GB131" t="s">
        <v>23018</v>
      </c>
      <c r="GC131" s="46">
        <v>0</v>
      </c>
      <c r="GD131" s="113"/>
      <c r="GE131" s="113"/>
      <c r="GF131" s="113"/>
      <c r="GG131" s="113"/>
      <c r="GH131" s="113"/>
      <c r="GI131" s="46">
        <v>0</v>
      </c>
      <c r="GJ131" s="113"/>
      <c r="GK131" s="113"/>
      <c r="GL131" s="113"/>
      <c r="GM131" s="113"/>
      <c r="GN131" s="113"/>
      <c r="GO131" s="46">
        <v>0</v>
      </c>
      <c r="GP131" s="113"/>
      <c r="GQ131" s="113"/>
      <c r="GR131" s="113"/>
      <c r="GS131" s="113"/>
      <c r="GT131" s="113"/>
      <c r="GU131" s="46">
        <v>0</v>
      </c>
      <c r="GV131" s="113"/>
      <c r="GW131" s="113"/>
      <c r="GX131" s="113"/>
      <c r="GY131" s="113"/>
      <c r="GZ131" s="113"/>
      <c r="HA131" s="46">
        <v>0</v>
      </c>
      <c r="HB131" s="113"/>
      <c r="HC131" s="113"/>
      <c r="HD131" s="113"/>
      <c r="HE131" s="113"/>
      <c r="HF131" s="113"/>
      <c r="HG131" s="46">
        <v>0</v>
      </c>
      <c r="HH131" s="113"/>
      <c r="HI131" s="113"/>
      <c r="HJ131" s="113"/>
      <c r="HK131" s="113"/>
      <c r="HL131" s="113"/>
      <c r="HM131" s="121"/>
      <c r="HN131" s="121"/>
      <c r="LM131" t="str">
        <v/>
      </c>
      <c r="LN131" t="str">
        <v/>
      </c>
      <c r="LO131" t="str">
        <v/>
      </c>
    </row>
    <row r="132" spans="30:327">
      <c r="AD132" t="s">
        <v>113</v>
      </c>
      <c r="AE132" t="s">
        <v>23019</v>
      </c>
      <c r="AF132" s="46">
        <v>0</v>
      </c>
      <c r="AG132" s="113"/>
      <c r="AH132" s="113"/>
      <c r="AI132" s="113"/>
      <c r="AJ132" s="113"/>
      <c r="AK132" s="113"/>
      <c r="AL132" s="46">
        <v>0</v>
      </c>
      <c r="AM132" s="113"/>
      <c r="AN132" s="113"/>
      <c r="AO132" s="113"/>
      <c r="AP132" s="113"/>
      <c r="AQ132" s="113"/>
      <c r="AR132" s="46">
        <v>0</v>
      </c>
      <c r="AS132" s="113"/>
      <c r="AT132" s="113"/>
      <c r="AU132" s="113"/>
      <c r="AV132" s="113"/>
      <c r="AW132" s="113"/>
      <c r="AX132" s="46">
        <v>0</v>
      </c>
      <c r="AY132" s="113"/>
      <c r="AZ132" s="113"/>
      <c r="BA132" s="113"/>
      <c r="BB132" s="113"/>
      <c r="BC132" s="113"/>
      <c r="BD132" s="46">
        <v>0</v>
      </c>
      <c r="BE132" s="113"/>
      <c r="BF132" s="113"/>
      <c r="BG132" s="113"/>
      <c r="BH132" s="113"/>
      <c r="BI132" s="113"/>
      <c r="BJ132" s="46">
        <v>0</v>
      </c>
      <c r="BK132" s="113"/>
      <c r="BL132" s="113"/>
      <c r="BM132" s="113"/>
      <c r="BN132" s="113"/>
      <c r="BO132" s="113"/>
      <c r="BP132" s="121"/>
      <c r="BQ132" s="121"/>
      <c r="GA132" t="s">
        <v>113</v>
      </c>
      <c r="GB132" t="s">
        <v>23019</v>
      </c>
      <c r="GC132" s="46">
        <v>0</v>
      </c>
      <c r="GD132" s="113"/>
      <c r="GE132" s="113"/>
      <c r="GF132" s="113"/>
      <c r="GG132" s="113"/>
      <c r="GH132" s="113"/>
      <c r="GI132" s="46">
        <v>0</v>
      </c>
      <c r="GJ132" s="113"/>
      <c r="GK132" s="113"/>
      <c r="GL132" s="113"/>
      <c r="GM132" s="113"/>
      <c r="GN132" s="113"/>
      <c r="GO132" s="46">
        <v>0</v>
      </c>
      <c r="GP132" s="113"/>
      <c r="GQ132" s="113"/>
      <c r="GR132" s="113"/>
      <c r="GS132" s="113"/>
      <c r="GT132" s="113"/>
      <c r="GU132" s="46">
        <v>0</v>
      </c>
      <c r="GV132" s="113"/>
      <c r="GW132" s="113"/>
      <c r="GX132" s="113"/>
      <c r="GY132" s="113"/>
      <c r="GZ132" s="113"/>
      <c r="HA132" s="46">
        <v>0</v>
      </c>
      <c r="HB132" s="113"/>
      <c r="HC132" s="113"/>
      <c r="HD132" s="113"/>
      <c r="HE132" s="113"/>
      <c r="HF132" s="113"/>
      <c r="HG132" s="46">
        <v>0</v>
      </c>
      <c r="HH132" s="113"/>
      <c r="HI132" s="113"/>
      <c r="HJ132" s="113"/>
      <c r="HK132" s="113"/>
      <c r="HL132" s="113"/>
      <c r="HM132" s="121"/>
      <c r="HN132" s="121"/>
      <c r="LM132" t="str">
        <v/>
      </c>
      <c r="LN132" t="str">
        <v/>
      </c>
      <c r="LO132" t="str">
        <v/>
      </c>
    </row>
    <row r="133" spans="30:327">
      <c r="AD133" t="s">
        <v>113</v>
      </c>
      <c r="AE133" t="s">
        <v>23020</v>
      </c>
      <c r="AF133" s="46">
        <v>0</v>
      </c>
      <c r="AG133" s="113"/>
      <c r="AH133" s="113"/>
      <c r="AI133" s="113"/>
      <c r="AJ133" s="113"/>
      <c r="AK133" s="113"/>
      <c r="AL133" s="46">
        <v>0</v>
      </c>
      <c r="AM133" s="113"/>
      <c r="AN133" s="113"/>
      <c r="AO133" s="113"/>
      <c r="AP133" s="113"/>
      <c r="AQ133" s="113"/>
      <c r="AR133" s="46">
        <v>0</v>
      </c>
      <c r="AS133" s="113"/>
      <c r="AT133" s="113"/>
      <c r="AU133" s="113"/>
      <c r="AV133" s="113"/>
      <c r="AW133" s="113"/>
      <c r="AX133" s="46">
        <v>0</v>
      </c>
      <c r="AY133" s="113"/>
      <c r="AZ133" s="113"/>
      <c r="BA133" s="113"/>
      <c r="BB133" s="113"/>
      <c r="BC133" s="113"/>
      <c r="BD133" s="46">
        <v>0</v>
      </c>
      <c r="BE133" s="113"/>
      <c r="BF133" s="113"/>
      <c r="BG133" s="113"/>
      <c r="BH133" s="113"/>
      <c r="BI133" s="113"/>
      <c r="BJ133" s="46">
        <v>0</v>
      </c>
      <c r="BK133" s="113"/>
      <c r="BL133" s="113"/>
      <c r="BM133" s="113"/>
      <c r="BN133" s="113"/>
      <c r="BO133" s="113"/>
      <c r="BP133" s="121"/>
      <c r="BQ133" s="121"/>
      <c r="GA133" t="s">
        <v>113</v>
      </c>
      <c r="GB133" t="s">
        <v>23020</v>
      </c>
      <c r="GC133" s="46">
        <v>0</v>
      </c>
      <c r="GD133" s="113"/>
      <c r="GE133" s="113"/>
      <c r="GF133" s="113"/>
      <c r="GG133" s="113"/>
      <c r="GH133" s="113"/>
      <c r="GI133" s="46">
        <v>0</v>
      </c>
      <c r="GJ133" s="113"/>
      <c r="GK133" s="113"/>
      <c r="GL133" s="113"/>
      <c r="GM133" s="113"/>
      <c r="GN133" s="113"/>
      <c r="GO133" s="46">
        <v>0</v>
      </c>
      <c r="GP133" s="113"/>
      <c r="GQ133" s="113"/>
      <c r="GR133" s="113"/>
      <c r="GS133" s="113"/>
      <c r="GT133" s="113"/>
      <c r="GU133" s="46">
        <v>0</v>
      </c>
      <c r="GV133" s="113"/>
      <c r="GW133" s="113"/>
      <c r="GX133" s="113"/>
      <c r="GY133" s="113"/>
      <c r="GZ133" s="113"/>
      <c r="HA133" s="46">
        <v>0</v>
      </c>
      <c r="HB133" s="113"/>
      <c r="HC133" s="113"/>
      <c r="HD133" s="113"/>
      <c r="HE133" s="113"/>
      <c r="HF133" s="113"/>
      <c r="HG133" s="46">
        <v>0</v>
      </c>
      <c r="HH133" s="113"/>
      <c r="HI133" s="113"/>
      <c r="HJ133" s="113"/>
      <c r="HK133" s="113"/>
      <c r="HL133" s="113"/>
      <c r="HM133" s="121"/>
      <c r="HN133" s="121"/>
      <c r="LM133" t="str">
        <v/>
      </c>
      <c r="LN133" t="str">
        <v/>
      </c>
      <c r="LO133" t="str">
        <v/>
      </c>
    </row>
    <row r="134" spans="30:327">
      <c r="AD134" t="s">
        <v>113</v>
      </c>
      <c r="AE134" t="s">
        <v>23021</v>
      </c>
      <c r="AF134" s="46">
        <v>0</v>
      </c>
      <c r="AG134" s="113"/>
      <c r="AH134" s="113"/>
      <c r="AI134" s="113"/>
      <c r="AJ134" s="113"/>
      <c r="AK134" s="113"/>
      <c r="AL134" s="46">
        <v>0</v>
      </c>
      <c r="AM134" s="113"/>
      <c r="AN134" s="113"/>
      <c r="AO134" s="113"/>
      <c r="AP134" s="113"/>
      <c r="AQ134" s="113"/>
      <c r="AR134" s="46">
        <v>0</v>
      </c>
      <c r="AS134" s="113"/>
      <c r="AT134" s="113"/>
      <c r="AU134" s="113"/>
      <c r="AV134" s="113"/>
      <c r="AW134" s="113"/>
      <c r="AX134" s="46">
        <v>0</v>
      </c>
      <c r="AY134" s="113"/>
      <c r="AZ134" s="113"/>
      <c r="BA134" s="113"/>
      <c r="BB134" s="113"/>
      <c r="BC134" s="113"/>
      <c r="BD134" s="46">
        <v>0</v>
      </c>
      <c r="BE134" s="113"/>
      <c r="BF134" s="113"/>
      <c r="BG134" s="113"/>
      <c r="BH134" s="113"/>
      <c r="BI134" s="113"/>
      <c r="BJ134" s="46">
        <v>0</v>
      </c>
      <c r="BK134" s="113"/>
      <c r="BL134" s="113"/>
      <c r="BM134" s="113"/>
      <c r="BN134" s="113"/>
      <c r="BO134" s="113"/>
      <c r="BP134" s="121"/>
      <c r="BQ134" s="121"/>
      <c r="GA134" t="s">
        <v>113</v>
      </c>
      <c r="GB134" t="s">
        <v>23021</v>
      </c>
      <c r="GC134" s="46">
        <v>0</v>
      </c>
      <c r="GD134" s="113"/>
      <c r="GE134" s="113"/>
      <c r="GF134" s="113"/>
      <c r="GG134" s="113"/>
      <c r="GH134" s="113"/>
      <c r="GI134" s="46">
        <v>0</v>
      </c>
      <c r="GJ134" s="113"/>
      <c r="GK134" s="113"/>
      <c r="GL134" s="113"/>
      <c r="GM134" s="113"/>
      <c r="GN134" s="113"/>
      <c r="GO134" s="46">
        <v>0</v>
      </c>
      <c r="GP134" s="113"/>
      <c r="GQ134" s="113"/>
      <c r="GR134" s="113"/>
      <c r="GS134" s="113"/>
      <c r="GT134" s="113"/>
      <c r="GU134" s="46">
        <v>0</v>
      </c>
      <c r="GV134" s="113"/>
      <c r="GW134" s="113"/>
      <c r="GX134" s="113"/>
      <c r="GY134" s="113"/>
      <c r="GZ134" s="113"/>
      <c r="HA134" s="46">
        <v>0</v>
      </c>
      <c r="HB134" s="113"/>
      <c r="HC134" s="113"/>
      <c r="HD134" s="113"/>
      <c r="HE134" s="113"/>
      <c r="HF134" s="113"/>
      <c r="HG134" s="46">
        <v>0</v>
      </c>
      <c r="HH134" s="113"/>
      <c r="HI134" s="113"/>
      <c r="HJ134" s="113"/>
      <c r="HK134" s="113"/>
      <c r="HL134" s="113"/>
      <c r="HM134" s="121"/>
      <c r="HN134" s="121"/>
      <c r="LM134" t="str">
        <v/>
      </c>
      <c r="LN134" t="str">
        <v/>
      </c>
      <c r="LO134" t="str">
        <v/>
      </c>
    </row>
    <row r="135" spans="30:327">
      <c r="AD135" t="s">
        <v>113</v>
      </c>
      <c r="AE135" t="s">
        <v>23022</v>
      </c>
      <c r="AF135" s="46">
        <v>0</v>
      </c>
      <c r="AG135" s="113"/>
      <c r="AH135" s="113"/>
      <c r="AI135" s="113"/>
      <c r="AJ135" s="113"/>
      <c r="AK135" s="113"/>
      <c r="AL135" s="46">
        <v>0</v>
      </c>
      <c r="AM135" s="113"/>
      <c r="AN135" s="113"/>
      <c r="AO135" s="113"/>
      <c r="AP135" s="113"/>
      <c r="AQ135" s="113"/>
      <c r="AR135" s="46">
        <v>0</v>
      </c>
      <c r="AS135" s="113"/>
      <c r="AT135" s="113"/>
      <c r="AU135" s="113"/>
      <c r="AV135" s="113"/>
      <c r="AW135" s="113"/>
      <c r="AX135" s="46">
        <v>0</v>
      </c>
      <c r="AY135" s="113"/>
      <c r="AZ135" s="113"/>
      <c r="BA135" s="113"/>
      <c r="BB135" s="113"/>
      <c r="BC135" s="113"/>
      <c r="BD135" s="46">
        <v>0</v>
      </c>
      <c r="BE135" s="113"/>
      <c r="BF135" s="113"/>
      <c r="BG135" s="113"/>
      <c r="BH135" s="113"/>
      <c r="BI135" s="113"/>
      <c r="BJ135" s="46">
        <v>0</v>
      </c>
      <c r="BK135" s="113"/>
      <c r="BL135" s="113"/>
      <c r="BM135" s="113"/>
      <c r="BN135" s="113"/>
      <c r="BO135" s="113"/>
      <c r="BP135" s="121"/>
      <c r="BQ135" s="121"/>
      <c r="GA135" t="s">
        <v>113</v>
      </c>
      <c r="GB135" t="s">
        <v>23022</v>
      </c>
      <c r="GC135" s="46">
        <v>0</v>
      </c>
      <c r="GD135" s="113"/>
      <c r="GE135" s="113"/>
      <c r="GF135" s="113"/>
      <c r="GG135" s="113"/>
      <c r="GH135" s="113"/>
      <c r="GI135" s="46">
        <v>0</v>
      </c>
      <c r="GJ135" s="113"/>
      <c r="GK135" s="113"/>
      <c r="GL135" s="113"/>
      <c r="GM135" s="113"/>
      <c r="GN135" s="113"/>
      <c r="GO135" s="46">
        <v>0</v>
      </c>
      <c r="GP135" s="113"/>
      <c r="GQ135" s="113"/>
      <c r="GR135" s="113"/>
      <c r="GS135" s="113"/>
      <c r="GT135" s="113"/>
      <c r="GU135" s="46">
        <v>0</v>
      </c>
      <c r="GV135" s="113"/>
      <c r="GW135" s="113"/>
      <c r="GX135" s="113"/>
      <c r="GY135" s="113"/>
      <c r="GZ135" s="113"/>
      <c r="HA135" s="46">
        <v>0</v>
      </c>
      <c r="HB135" s="113"/>
      <c r="HC135" s="113"/>
      <c r="HD135" s="113"/>
      <c r="HE135" s="113"/>
      <c r="HF135" s="113"/>
      <c r="HG135" s="46">
        <v>0</v>
      </c>
      <c r="HH135" s="113"/>
      <c r="HI135" s="113"/>
      <c r="HJ135" s="113"/>
      <c r="HK135" s="113"/>
      <c r="HL135" s="113"/>
      <c r="HM135" s="121"/>
      <c r="HN135" s="121"/>
      <c r="LM135" t="str">
        <v/>
      </c>
      <c r="LN135" t="str">
        <v/>
      </c>
      <c r="LO135" t="str">
        <v/>
      </c>
    </row>
    <row r="136" spans="30:327">
      <c r="AD136" t="s">
        <v>113</v>
      </c>
      <c r="AE136" t="s">
        <v>23023</v>
      </c>
      <c r="AF136" s="46">
        <v>0</v>
      </c>
      <c r="AG136" s="113"/>
      <c r="AH136" s="113"/>
      <c r="AI136" s="113"/>
      <c r="AJ136" s="113"/>
      <c r="AK136" s="113"/>
      <c r="AL136" s="46">
        <v>0</v>
      </c>
      <c r="AM136" s="113"/>
      <c r="AN136" s="113"/>
      <c r="AO136" s="113"/>
      <c r="AP136" s="113"/>
      <c r="AQ136" s="113"/>
      <c r="AR136" s="46">
        <v>0</v>
      </c>
      <c r="AS136" s="113"/>
      <c r="AT136" s="113"/>
      <c r="AU136" s="113"/>
      <c r="AV136" s="113"/>
      <c r="AW136" s="113"/>
      <c r="AX136" s="46">
        <v>0</v>
      </c>
      <c r="AY136" s="113"/>
      <c r="AZ136" s="113"/>
      <c r="BA136" s="113"/>
      <c r="BB136" s="113"/>
      <c r="BC136" s="113"/>
      <c r="BD136" s="46">
        <v>0</v>
      </c>
      <c r="BE136" s="113"/>
      <c r="BF136" s="113"/>
      <c r="BG136" s="113"/>
      <c r="BH136" s="113"/>
      <c r="BI136" s="113"/>
      <c r="BJ136" s="46">
        <v>0</v>
      </c>
      <c r="BK136" s="113"/>
      <c r="BL136" s="113"/>
      <c r="BM136" s="113"/>
      <c r="BN136" s="113"/>
      <c r="BO136" s="113"/>
      <c r="BP136" s="121"/>
      <c r="BQ136" s="121"/>
      <c r="GA136" t="s">
        <v>113</v>
      </c>
      <c r="GB136" t="s">
        <v>23023</v>
      </c>
      <c r="GC136" s="46">
        <v>0</v>
      </c>
      <c r="GD136" s="113"/>
      <c r="GE136" s="113"/>
      <c r="GF136" s="113"/>
      <c r="GG136" s="113"/>
      <c r="GH136" s="113"/>
      <c r="GI136" s="46">
        <v>0</v>
      </c>
      <c r="GJ136" s="113"/>
      <c r="GK136" s="113"/>
      <c r="GL136" s="113"/>
      <c r="GM136" s="113"/>
      <c r="GN136" s="113"/>
      <c r="GO136" s="46">
        <v>0</v>
      </c>
      <c r="GP136" s="113"/>
      <c r="GQ136" s="113"/>
      <c r="GR136" s="113"/>
      <c r="GS136" s="113"/>
      <c r="GT136" s="113"/>
      <c r="GU136" s="46">
        <v>0</v>
      </c>
      <c r="GV136" s="113"/>
      <c r="GW136" s="113"/>
      <c r="GX136" s="113"/>
      <c r="GY136" s="113"/>
      <c r="GZ136" s="113"/>
      <c r="HA136" s="46">
        <v>0</v>
      </c>
      <c r="HB136" s="113"/>
      <c r="HC136" s="113"/>
      <c r="HD136" s="113"/>
      <c r="HE136" s="113"/>
      <c r="HF136" s="113"/>
      <c r="HG136" s="46">
        <v>0</v>
      </c>
      <c r="HH136" s="113"/>
      <c r="HI136" s="113"/>
      <c r="HJ136" s="113"/>
      <c r="HK136" s="113"/>
      <c r="HL136" s="113"/>
      <c r="HM136" s="121"/>
      <c r="HN136" s="121"/>
      <c r="LM136" t="str">
        <v/>
      </c>
      <c r="LN136" t="str">
        <v/>
      </c>
      <c r="LO136" t="str">
        <v/>
      </c>
    </row>
    <row r="137" spans="30:327">
      <c r="AD137" t="s">
        <v>113</v>
      </c>
      <c r="AE137" t="s">
        <v>23024</v>
      </c>
      <c r="AF137" s="46">
        <v>0</v>
      </c>
      <c r="AG137" s="113"/>
      <c r="AH137" s="113"/>
      <c r="AI137" s="113"/>
      <c r="AJ137" s="113"/>
      <c r="AK137" s="113"/>
      <c r="AL137" s="46">
        <v>0</v>
      </c>
      <c r="AM137" s="113"/>
      <c r="AN137" s="113"/>
      <c r="AO137" s="113"/>
      <c r="AP137" s="113"/>
      <c r="AQ137" s="113"/>
      <c r="AR137" s="46">
        <v>0</v>
      </c>
      <c r="AS137" s="113"/>
      <c r="AT137" s="113"/>
      <c r="AU137" s="113"/>
      <c r="AV137" s="113"/>
      <c r="AW137" s="113"/>
      <c r="AX137" s="46">
        <v>0</v>
      </c>
      <c r="AY137" s="113"/>
      <c r="AZ137" s="113"/>
      <c r="BA137" s="113"/>
      <c r="BB137" s="113"/>
      <c r="BC137" s="113"/>
      <c r="BD137" s="46">
        <v>0</v>
      </c>
      <c r="BE137" s="113"/>
      <c r="BF137" s="113"/>
      <c r="BG137" s="113"/>
      <c r="BH137" s="113"/>
      <c r="BI137" s="113"/>
      <c r="BJ137" s="46">
        <v>0</v>
      </c>
      <c r="BK137" s="113"/>
      <c r="BL137" s="113"/>
      <c r="BM137" s="113"/>
      <c r="BN137" s="113"/>
      <c r="BO137" s="113"/>
      <c r="BP137" s="121"/>
      <c r="BQ137" s="121"/>
      <c r="GA137" t="s">
        <v>113</v>
      </c>
      <c r="GB137" t="s">
        <v>23024</v>
      </c>
      <c r="GC137" s="46">
        <v>0</v>
      </c>
      <c r="GD137" s="113"/>
      <c r="GE137" s="113"/>
      <c r="GF137" s="113"/>
      <c r="GG137" s="113"/>
      <c r="GH137" s="113"/>
      <c r="GI137" s="46">
        <v>0</v>
      </c>
      <c r="GJ137" s="113"/>
      <c r="GK137" s="113"/>
      <c r="GL137" s="113"/>
      <c r="GM137" s="113"/>
      <c r="GN137" s="113"/>
      <c r="GO137" s="46">
        <v>0</v>
      </c>
      <c r="GP137" s="113"/>
      <c r="GQ137" s="113"/>
      <c r="GR137" s="113"/>
      <c r="GS137" s="113"/>
      <c r="GT137" s="113"/>
      <c r="GU137" s="46">
        <v>0</v>
      </c>
      <c r="GV137" s="113"/>
      <c r="GW137" s="113"/>
      <c r="GX137" s="113"/>
      <c r="GY137" s="113"/>
      <c r="GZ137" s="113"/>
      <c r="HA137" s="46">
        <v>0</v>
      </c>
      <c r="HB137" s="113"/>
      <c r="HC137" s="113"/>
      <c r="HD137" s="113"/>
      <c r="HE137" s="113"/>
      <c r="HF137" s="113"/>
      <c r="HG137" s="46">
        <v>0</v>
      </c>
      <c r="HH137" s="113"/>
      <c r="HI137" s="113"/>
      <c r="HJ137" s="113"/>
      <c r="HK137" s="113"/>
      <c r="HL137" s="113"/>
      <c r="HM137" s="121"/>
      <c r="HN137" s="121"/>
      <c r="LM137" t="str">
        <v/>
      </c>
      <c r="LN137" t="str">
        <v/>
      </c>
      <c r="LO137" t="str">
        <v/>
      </c>
    </row>
    <row r="138" spans="30:327">
      <c r="AD138" t="s">
        <v>113</v>
      </c>
      <c r="AE138" t="s">
        <v>23025</v>
      </c>
      <c r="AF138" s="46">
        <v>0</v>
      </c>
      <c r="AG138" s="113"/>
      <c r="AH138" s="113"/>
      <c r="AI138" s="113"/>
      <c r="AJ138" s="113"/>
      <c r="AK138" s="113"/>
      <c r="AL138" s="46">
        <v>0</v>
      </c>
      <c r="AM138" s="113"/>
      <c r="AN138" s="113"/>
      <c r="AO138" s="113"/>
      <c r="AP138" s="113"/>
      <c r="AQ138" s="113"/>
      <c r="AR138" s="46">
        <v>0</v>
      </c>
      <c r="AS138" s="113"/>
      <c r="AT138" s="113"/>
      <c r="AU138" s="113"/>
      <c r="AV138" s="113"/>
      <c r="AW138" s="113"/>
      <c r="AX138" s="46">
        <v>0</v>
      </c>
      <c r="AY138" s="113"/>
      <c r="AZ138" s="113"/>
      <c r="BA138" s="113"/>
      <c r="BB138" s="113"/>
      <c r="BC138" s="113"/>
      <c r="BD138" s="46">
        <v>0</v>
      </c>
      <c r="BE138" s="113"/>
      <c r="BF138" s="113"/>
      <c r="BG138" s="113"/>
      <c r="BH138" s="113"/>
      <c r="BI138" s="113"/>
      <c r="BJ138" s="46">
        <v>0</v>
      </c>
      <c r="BK138" s="113"/>
      <c r="BL138" s="113"/>
      <c r="BM138" s="113"/>
      <c r="BN138" s="113"/>
      <c r="BO138" s="113"/>
      <c r="BP138" s="121"/>
      <c r="BQ138" s="121"/>
      <c r="GA138" t="s">
        <v>113</v>
      </c>
      <c r="GB138" t="s">
        <v>23025</v>
      </c>
      <c r="GC138" s="46">
        <v>0</v>
      </c>
      <c r="GD138" s="113"/>
      <c r="GE138" s="113"/>
      <c r="GF138" s="113"/>
      <c r="GG138" s="113"/>
      <c r="GH138" s="113"/>
      <c r="GI138" s="46">
        <v>0</v>
      </c>
      <c r="GJ138" s="113"/>
      <c r="GK138" s="113"/>
      <c r="GL138" s="113"/>
      <c r="GM138" s="113"/>
      <c r="GN138" s="113"/>
      <c r="GO138" s="46">
        <v>0</v>
      </c>
      <c r="GP138" s="113"/>
      <c r="GQ138" s="113"/>
      <c r="GR138" s="113"/>
      <c r="GS138" s="113"/>
      <c r="GT138" s="113"/>
      <c r="GU138" s="46">
        <v>0</v>
      </c>
      <c r="GV138" s="113"/>
      <c r="GW138" s="113"/>
      <c r="GX138" s="113"/>
      <c r="GY138" s="113"/>
      <c r="GZ138" s="113"/>
      <c r="HA138" s="46">
        <v>0</v>
      </c>
      <c r="HB138" s="113"/>
      <c r="HC138" s="113"/>
      <c r="HD138" s="113"/>
      <c r="HE138" s="113"/>
      <c r="HF138" s="113"/>
      <c r="HG138" s="46">
        <v>0</v>
      </c>
      <c r="HH138" s="113"/>
      <c r="HI138" s="113"/>
      <c r="HJ138" s="113"/>
      <c r="HK138" s="113"/>
      <c r="HL138" s="113"/>
      <c r="HM138" s="121"/>
      <c r="HN138" s="121"/>
      <c r="LM138" t="str">
        <v/>
      </c>
      <c r="LN138" t="str">
        <v/>
      </c>
      <c r="LO138" t="str">
        <v/>
      </c>
    </row>
    <row r="139" spans="30:327">
      <c r="AD139" t="s">
        <v>113</v>
      </c>
      <c r="AE139" t="s">
        <v>23026</v>
      </c>
      <c r="AF139" s="46">
        <v>0</v>
      </c>
      <c r="AG139" s="113"/>
      <c r="AH139" s="113"/>
      <c r="AI139" s="113"/>
      <c r="AJ139" s="113"/>
      <c r="AK139" s="113"/>
      <c r="AL139" s="46">
        <v>0</v>
      </c>
      <c r="AM139" s="113"/>
      <c r="AN139" s="113"/>
      <c r="AO139" s="113"/>
      <c r="AP139" s="113"/>
      <c r="AQ139" s="113"/>
      <c r="AR139" s="46">
        <v>0</v>
      </c>
      <c r="AS139" s="113"/>
      <c r="AT139" s="113"/>
      <c r="AU139" s="113"/>
      <c r="AV139" s="113"/>
      <c r="AW139" s="113"/>
      <c r="AX139" s="46">
        <v>0</v>
      </c>
      <c r="AY139" s="113"/>
      <c r="AZ139" s="113"/>
      <c r="BA139" s="113"/>
      <c r="BB139" s="113"/>
      <c r="BC139" s="113"/>
      <c r="BD139" s="46">
        <v>0</v>
      </c>
      <c r="BE139" s="113"/>
      <c r="BF139" s="113"/>
      <c r="BG139" s="113"/>
      <c r="BH139" s="113"/>
      <c r="BI139" s="113"/>
      <c r="BJ139" s="46">
        <v>0</v>
      </c>
      <c r="BK139" s="113"/>
      <c r="BL139" s="113"/>
      <c r="BM139" s="113"/>
      <c r="BN139" s="113"/>
      <c r="BO139" s="113"/>
      <c r="BP139" s="121"/>
      <c r="BQ139" s="121"/>
      <c r="GA139" t="s">
        <v>113</v>
      </c>
      <c r="GB139" t="s">
        <v>23026</v>
      </c>
      <c r="GC139" s="46">
        <v>0</v>
      </c>
      <c r="GD139" s="113"/>
      <c r="GE139" s="113"/>
      <c r="GF139" s="113"/>
      <c r="GG139" s="113"/>
      <c r="GH139" s="113"/>
      <c r="GI139" s="46">
        <v>0</v>
      </c>
      <c r="GJ139" s="113"/>
      <c r="GK139" s="113"/>
      <c r="GL139" s="113"/>
      <c r="GM139" s="113"/>
      <c r="GN139" s="113"/>
      <c r="GO139" s="46">
        <v>0</v>
      </c>
      <c r="GP139" s="113"/>
      <c r="GQ139" s="113"/>
      <c r="GR139" s="113"/>
      <c r="GS139" s="113"/>
      <c r="GT139" s="113"/>
      <c r="GU139" s="46">
        <v>0</v>
      </c>
      <c r="GV139" s="113"/>
      <c r="GW139" s="113"/>
      <c r="GX139" s="113"/>
      <c r="GY139" s="113"/>
      <c r="GZ139" s="113"/>
      <c r="HA139" s="46">
        <v>0</v>
      </c>
      <c r="HB139" s="113"/>
      <c r="HC139" s="113"/>
      <c r="HD139" s="113"/>
      <c r="HE139" s="113"/>
      <c r="HF139" s="113"/>
      <c r="HG139" s="46">
        <v>0</v>
      </c>
      <c r="HH139" s="113"/>
      <c r="HI139" s="113"/>
      <c r="HJ139" s="113"/>
      <c r="HK139" s="113"/>
      <c r="HL139" s="113"/>
      <c r="HM139" s="121"/>
      <c r="HN139" s="121"/>
      <c r="LM139" t="str">
        <v/>
      </c>
      <c r="LN139" t="str">
        <v/>
      </c>
      <c r="LO139" t="str">
        <v/>
      </c>
    </row>
    <row r="140" spans="30:327">
      <c r="AD140" t="s">
        <v>113</v>
      </c>
      <c r="AE140" t="s">
        <v>23027</v>
      </c>
      <c r="AF140" s="46">
        <v>0</v>
      </c>
      <c r="AG140" s="113"/>
      <c r="AH140" s="113"/>
      <c r="AI140" s="113"/>
      <c r="AJ140" s="113"/>
      <c r="AK140" s="113"/>
      <c r="AL140" s="46">
        <v>0</v>
      </c>
      <c r="AM140" s="113"/>
      <c r="AN140" s="113"/>
      <c r="AO140" s="113"/>
      <c r="AP140" s="113"/>
      <c r="AQ140" s="113"/>
      <c r="AR140" s="46">
        <v>0</v>
      </c>
      <c r="AS140" s="113"/>
      <c r="AT140" s="113"/>
      <c r="AU140" s="113"/>
      <c r="AV140" s="113"/>
      <c r="AW140" s="113"/>
      <c r="AX140" s="46">
        <v>0</v>
      </c>
      <c r="AY140" s="113"/>
      <c r="AZ140" s="113"/>
      <c r="BA140" s="113"/>
      <c r="BB140" s="113"/>
      <c r="BC140" s="113"/>
      <c r="BD140" s="46">
        <v>0</v>
      </c>
      <c r="BE140" s="113"/>
      <c r="BF140" s="113"/>
      <c r="BG140" s="113"/>
      <c r="BH140" s="113"/>
      <c r="BI140" s="113"/>
      <c r="BJ140" s="46">
        <v>0</v>
      </c>
      <c r="BK140" s="113"/>
      <c r="BL140" s="113"/>
      <c r="BM140" s="113"/>
      <c r="BN140" s="113"/>
      <c r="BO140" s="113"/>
      <c r="BP140" s="121"/>
      <c r="BQ140" s="121"/>
      <c r="GA140" t="s">
        <v>113</v>
      </c>
      <c r="GB140" t="s">
        <v>23027</v>
      </c>
      <c r="GC140" s="46">
        <v>0</v>
      </c>
      <c r="GD140" s="113"/>
      <c r="GE140" s="113"/>
      <c r="GF140" s="113"/>
      <c r="GG140" s="113"/>
      <c r="GH140" s="113"/>
      <c r="GI140" s="46">
        <v>0</v>
      </c>
      <c r="GJ140" s="113"/>
      <c r="GK140" s="113"/>
      <c r="GL140" s="113"/>
      <c r="GM140" s="113"/>
      <c r="GN140" s="113"/>
      <c r="GO140" s="46">
        <v>0</v>
      </c>
      <c r="GP140" s="113"/>
      <c r="GQ140" s="113"/>
      <c r="GR140" s="113"/>
      <c r="GS140" s="113"/>
      <c r="GT140" s="113"/>
      <c r="GU140" s="46">
        <v>0</v>
      </c>
      <c r="GV140" s="113"/>
      <c r="GW140" s="113"/>
      <c r="GX140" s="113"/>
      <c r="GY140" s="113"/>
      <c r="GZ140" s="113"/>
      <c r="HA140" s="46">
        <v>0</v>
      </c>
      <c r="HB140" s="113"/>
      <c r="HC140" s="113"/>
      <c r="HD140" s="113"/>
      <c r="HE140" s="113"/>
      <c r="HF140" s="113"/>
      <c r="HG140" s="46">
        <v>0</v>
      </c>
      <c r="HH140" s="113"/>
      <c r="HI140" s="113"/>
      <c r="HJ140" s="113"/>
      <c r="HK140" s="113"/>
      <c r="HL140" s="113"/>
      <c r="HM140" s="121"/>
      <c r="HN140" s="121"/>
      <c r="LM140" t="str">
        <v/>
      </c>
      <c r="LN140" t="str">
        <v/>
      </c>
      <c r="LO140" t="str">
        <v/>
      </c>
    </row>
    <row r="141" spans="30:327">
      <c r="AD141" t="s">
        <v>113</v>
      </c>
      <c r="AE141" t="s">
        <v>23028</v>
      </c>
      <c r="AF141" s="46">
        <v>0</v>
      </c>
      <c r="AG141" s="113"/>
      <c r="AH141" s="113"/>
      <c r="AI141" s="113"/>
      <c r="AJ141" s="113"/>
      <c r="AK141" s="113"/>
      <c r="AL141" s="46">
        <v>0</v>
      </c>
      <c r="AM141" s="113"/>
      <c r="AN141" s="113"/>
      <c r="AO141" s="113"/>
      <c r="AP141" s="113"/>
      <c r="AQ141" s="113"/>
      <c r="AR141" s="46">
        <v>0</v>
      </c>
      <c r="AS141" s="113"/>
      <c r="AT141" s="113"/>
      <c r="AU141" s="113"/>
      <c r="AV141" s="113"/>
      <c r="AW141" s="113"/>
      <c r="AX141" s="46">
        <v>0</v>
      </c>
      <c r="AY141" s="113"/>
      <c r="AZ141" s="113"/>
      <c r="BA141" s="113"/>
      <c r="BB141" s="113"/>
      <c r="BC141" s="113"/>
      <c r="BD141" s="46">
        <v>0</v>
      </c>
      <c r="BE141" s="113"/>
      <c r="BF141" s="113"/>
      <c r="BG141" s="113"/>
      <c r="BH141" s="113"/>
      <c r="BI141" s="113"/>
      <c r="BJ141" s="46">
        <v>0</v>
      </c>
      <c r="BK141" s="113"/>
      <c r="BL141" s="113"/>
      <c r="BM141" s="113"/>
      <c r="BN141" s="113"/>
      <c r="BO141" s="113"/>
      <c r="BP141" s="121"/>
      <c r="BQ141" s="121"/>
      <c r="GA141" t="s">
        <v>113</v>
      </c>
      <c r="GB141" t="s">
        <v>23028</v>
      </c>
      <c r="GC141" s="46">
        <v>0</v>
      </c>
      <c r="GD141" s="113"/>
      <c r="GE141" s="113"/>
      <c r="GF141" s="113"/>
      <c r="GG141" s="113"/>
      <c r="GH141" s="113"/>
      <c r="GI141" s="46">
        <v>0</v>
      </c>
      <c r="GJ141" s="113"/>
      <c r="GK141" s="113"/>
      <c r="GL141" s="113"/>
      <c r="GM141" s="113"/>
      <c r="GN141" s="113"/>
      <c r="GO141" s="46">
        <v>0</v>
      </c>
      <c r="GP141" s="113"/>
      <c r="GQ141" s="113"/>
      <c r="GR141" s="113"/>
      <c r="GS141" s="113"/>
      <c r="GT141" s="113"/>
      <c r="GU141" s="46">
        <v>0</v>
      </c>
      <c r="GV141" s="113"/>
      <c r="GW141" s="113"/>
      <c r="GX141" s="113"/>
      <c r="GY141" s="113"/>
      <c r="GZ141" s="113"/>
      <c r="HA141" s="46">
        <v>0</v>
      </c>
      <c r="HB141" s="113"/>
      <c r="HC141" s="113"/>
      <c r="HD141" s="113"/>
      <c r="HE141" s="113"/>
      <c r="HF141" s="113"/>
      <c r="HG141" s="46">
        <v>0</v>
      </c>
      <c r="HH141" s="113"/>
      <c r="HI141" s="113"/>
      <c r="HJ141" s="113"/>
      <c r="HK141" s="113"/>
      <c r="HL141" s="113"/>
      <c r="HM141" s="121"/>
      <c r="HN141" s="121"/>
      <c r="LM141" t="str">
        <v/>
      </c>
      <c r="LN141" t="str">
        <v/>
      </c>
      <c r="LO141" t="str">
        <v/>
      </c>
    </row>
    <row r="142" spans="30:327">
      <c r="AD142" t="s">
        <v>113</v>
      </c>
      <c r="AE142" t="s">
        <v>23029</v>
      </c>
      <c r="AF142" s="46">
        <v>0</v>
      </c>
      <c r="AG142" s="113"/>
      <c r="AH142" s="113"/>
      <c r="AI142" s="113"/>
      <c r="AJ142" s="113"/>
      <c r="AK142" s="113"/>
      <c r="AL142" s="46">
        <v>0</v>
      </c>
      <c r="AM142" s="113"/>
      <c r="AN142" s="113"/>
      <c r="AO142" s="113"/>
      <c r="AP142" s="113"/>
      <c r="AQ142" s="113"/>
      <c r="AR142" s="46">
        <v>0</v>
      </c>
      <c r="AS142" s="113"/>
      <c r="AT142" s="113"/>
      <c r="AU142" s="113"/>
      <c r="AV142" s="113"/>
      <c r="AW142" s="113"/>
      <c r="AX142" s="46">
        <v>0</v>
      </c>
      <c r="AY142" s="113"/>
      <c r="AZ142" s="113"/>
      <c r="BA142" s="113"/>
      <c r="BB142" s="113"/>
      <c r="BC142" s="113"/>
      <c r="BD142" s="46">
        <v>0</v>
      </c>
      <c r="BE142" s="113"/>
      <c r="BF142" s="113"/>
      <c r="BG142" s="113"/>
      <c r="BH142" s="113"/>
      <c r="BI142" s="113"/>
      <c r="BJ142" s="46">
        <v>0</v>
      </c>
      <c r="BK142" s="113"/>
      <c r="BL142" s="113"/>
      <c r="BM142" s="113"/>
      <c r="BN142" s="113"/>
      <c r="BO142" s="113"/>
      <c r="BP142" s="121"/>
      <c r="BQ142" s="121"/>
      <c r="GA142" t="s">
        <v>113</v>
      </c>
      <c r="GB142" t="s">
        <v>23029</v>
      </c>
      <c r="GC142" s="46">
        <v>0</v>
      </c>
      <c r="GD142" s="113"/>
      <c r="GE142" s="113"/>
      <c r="GF142" s="113"/>
      <c r="GG142" s="113"/>
      <c r="GH142" s="113"/>
      <c r="GI142" s="46">
        <v>0</v>
      </c>
      <c r="GJ142" s="113"/>
      <c r="GK142" s="113"/>
      <c r="GL142" s="113"/>
      <c r="GM142" s="113"/>
      <c r="GN142" s="113"/>
      <c r="GO142" s="46">
        <v>0</v>
      </c>
      <c r="GP142" s="113"/>
      <c r="GQ142" s="113"/>
      <c r="GR142" s="113"/>
      <c r="GS142" s="113"/>
      <c r="GT142" s="113"/>
      <c r="GU142" s="46">
        <v>0</v>
      </c>
      <c r="GV142" s="113"/>
      <c r="GW142" s="113"/>
      <c r="GX142" s="113"/>
      <c r="GY142" s="113"/>
      <c r="GZ142" s="113"/>
      <c r="HA142" s="46">
        <v>0</v>
      </c>
      <c r="HB142" s="113"/>
      <c r="HC142" s="113"/>
      <c r="HD142" s="113"/>
      <c r="HE142" s="113"/>
      <c r="HF142" s="113"/>
      <c r="HG142" s="46">
        <v>0</v>
      </c>
      <c r="HH142" s="113"/>
      <c r="HI142" s="113"/>
      <c r="HJ142" s="113"/>
      <c r="HK142" s="113"/>
      <c r="HL142" s="113"/>
      <c r="HM142" s="121"/>
      <c r="HN142" s="121"/>
      <c r="LM142" t="str">
        <v/>
      </c>
      <c r="LN142" t="str">
        <v/>
      </c>
      <c r="LO142" t="str">
        <v/>
      </c>
    </row>
    <row r="143" spans="30:327">
      <c r="AD143" t="s">
        <v>113</v>
      </c>
      <c r="AE143" t="s">
        <v>23030</v>
      </c>
      <c r="AF143" s="46">
        <v>0</v>
      </c>
      <c r="AG143" s="113"/>
      <c r="AH143" s="113"/>
      <c r="AI143" s="113"/>
      <c r="AJ143" s="113"/>
      <c r="AK143" s="113"/>
      <c r="AL143" s="46">
        <v>0</v>
      </c>
      <c r="AM143" s="113"/>
      <c r="AN143" s="113"/>
      <c r="AO143" s="113"/>
      <c r="AP143" s="113"/>
      <c r="AQ143" s="113"/>
      <c r="AR143" s="46">
        <v>0</v>
      </c>
      <c r="AS143" s="113"/>
      <c r="AT143" s="113"/>
      <c r="AU143" s="113"/>
      <c r="AV143" s="113"/>
      <c r="AW143" s="113"/>
      <c r="AX143" s="46">
        <v>0</v>
      </c>
      <c r="AY143" s="113"/>
      <c r="AZ143" s="113"/>
      <c r="BA143" s="113"/>
      <c r="BB143" s="113"/>
      <c r="BC143" s="113"/>
      <c r="BD143" s="46">
        <v>0</v>
      </c>
      <c r="BE143" s="113"/>
      <c r="BF143" s="113"/>
      <c r="BG143" s="113"/>
      <c r="BH143" s="113"/>
      <c r="BI143" s="113"/>
      <c r="BJ143" s="46">
        <v>0</v>
      </c>
      <c r="BK143" s="113"/>
      <c r="BL143" s="113"/>
      <c r="BM143" s="113"/>
      <c r="BN143" s="113"/>
      <c r="BO143" s="113"/>
      <c r="BP143" s="121"/>
      <c r="BQ143" s="121"/>
      <c r="GA143" t="s">
        <v>113</v>
      </c>
      <c r="GB143" t="s">
        <v>23030</v>
      </c>
      <c r="GC143" s="46">
        <v>0</v>
      </c>
      <c r="GD143" s="113"/>
      <c r="GE143" s="113"/>
      <c r="GF143" s="113"/>
      <c r="GG143" s="113"/>
      <c r="GH143" s="113"/>
      <c r="GI143" s="46">
        <v>0</v>
      </c>
      <c r="GJ143" s="113"/>
      <c r="GK143" s="113"/>
      <c r="GL143" s="113"/>
      <c r="GM143" s="113"/>
      <c r="GN143" s="113"/>
      <c r="GO143" s="46">
        <v>0</v>
      </c>
      <c r="GP143" s="113"/>
      <c r="GQ143" s="113"/>
      <c r="GR143" s="113"/>
      <c r="GS143" s="113"/>
      <c r="GT143" s="113"/>
      <c r="GU143" s="46">
        <v>0</v>
      </c>
      <c r="GV143" s="113"/>
      <c r="GW143" s="113"/>
      <c r="GX143" s="113"/>
      <c r="GY143" s="113"/>
      <c r="GZ143" s="113"/>
      <c r="HA143" s="46">
        <v>0</v>
      </c>
      <c r="HB143" s="113"/>
      <c r="HC143" s="113"/>
      <c r="HD143" s="113"/>
      <c r="HE143" s="113"/>
      <c r="HF143" s="113"/>
      <c r="HG143" s="46">
        <v>0</v>
      </c>
      <c r="HH143" s="113"/>
      <c r="HI143" s="113"/>
      <c r="HJ143" s="113"/>
      <c r="HK143" s="113"/>
      <c r="HL143" s="113"/>
      <c r="HM143" s="121"/>
      <c r="HN143" s="121"/>
      <c r="LM143" t="str">
        <v/>
      </c>
      <c r="LN143" t="str">
        <v/>
      </c>
      <c r="LO143" t="str">
        <v/>
      </c>
    </row>
    <row r="144" spans="30:327">
      <c r="AD144" t="s">
        <v>113</v>
      </c>
      <c r="AE144" t="s">
        <v>23031</v>
      </c>
      <c r="AF144" s="46">
        <v>0</v>
      </c>
      <c r="AG144" s="113"/>
      <c r="AH144" s="113"/>
      <c r="AI144" s="113"/>
      <c r="AJ144" s="113"/>
      <c r="AK144" s="113"/>
      <c r="AL144" s="46">
        <v>0</v>
      </c>
      <c r="AM144" s="113"/>
      <c r="AN144" s="113"/>
      <c r="AO144" s="113"/>
      <c r="AP144" s="113"/>
      <c r="AQ144" s="113"/>
      <c r="AR144" s="46">
        <v>0</v>
      </c>
      <c r="AS144" s="113"/>
      <c r="AT144" s="113"/>
      <c r="AU144" s="113"/>
      <c r="AV144" s="113"/>
      <c r="AW144" s="113"/>
      <c r="AX144" s="46">
        <v>0</v>
      </c>
      <c r="AY144" s="113"/>
      <c r="AZ144" s="113"/>
      <c r="BA144" s="113"/>
      <c r="BB144" s="113"/>
      <c r="BC144" s="113"/>
      <c r="BD144" s="46">
        <v>0</v>
      </c>
      <c r="BE144" s="113"/>
      <c r="BF144" s="113"/>
      <c r="BG144" s="113"/>
      <c r="BH144" s="113"/>
      <c r="BI144" s="113"/>
      <c r="BJ144" s="46">
        <v>0</v>
      </c>
      <c r="BK144" s="113"/>
      <c r="BL144" s="113"/>
      <c r="BM144" s="113"/>
      <c r="BN144" s="113"/>
      <c r="BO144" s="113"/>
      <c r="BP144" s="121"/>
      <c r="BQ144" s="121"/>
      <c r="GA144" t="s">
        <v>113</v>
      </c>
      <c r="GB144" t="s">
        <v>23031</v>
      </c>
      <c r="GC144" s="46">
        <v>0</v>
      </c>
      <c r="GD144" s="113"/>
      <c r="GE144" s="113"/>
      <c r="GF144" s="113"/>
      <c r="GG144" s="113"/>
      <c r="GH144" s="113"/>
      <c r="GI144" s="46">
        <v>0</v>
      </c>
      <c r="GJ144" s="113"/>
      <c r="GK144" s="113"/>
      <c r="GL144" s="113"/>
      <c r="GM144" s="113"/>
      <c r="GN144" s="113"/>
      <c r="GO144" s="46">
        <v>0</v>
      </c>
      <c r="GP144" s="113"/>
      <c r="GQ144" s="113"/>
      <c r="GR144" s="113"/>
      <c r="GS144" s="113"/>
      <c r="GT144" s="113"/>
      <c r="GU144" s="46">
        <v>0</v>
      </c>
      <c r="GV144" s="113"/>
      <c r="GW144" s="113"/>
      <c r="GX144" s="113"/>
      <c r="GY144" s="113"/>
      <c r="GZ144" s="113"/>
      <c r="HA144" s="46">
        <v>0</v>
      </c>
      <c r="HB144" s="113"/>
      <c r="HC144" s="113"/>
      <c r="HD144" s="113"/>
      <c r="HE144" s="113"/>
      <c r="HF144" s="113"/>
      <c r="HG144" s="46">
        <v>0</v>
      </c>
      <c r="HH144" s="113"/>
      <c r="HI144" s="113"/>
      <c r="HJ144" s="113"/>
      <c r="HK144" s="113"/>
      <c r="HL144" s="113"/>
      <c r="HM144" s="121"/>
      <c r="HN144" s="121"/>
      <c r="LM144" t="str">
        <v/>
      </c>
      <c r="LN144" t="str">
        <v/>
      </c>
      <c r="LO144" t="str">
        <v/>
      </c>
    </row>
    <row r="145" spans="30:327">
      <c r="AD145" t="s">
        <v>113</v>
      </c>
      <c r="AE145" t="s">
        <v>23032</v>
      </c>
      <c r="AF145" s="46">
        <v>0</v>
      </c>
      <c r="AG145" s="113"/>
      <c r="AH145" s="113"/>
      <c r="AI145" s="113"/>
      <c r="AJ145" s="113"/>
      <c r="AK145" s="113"/>
      <c r="AL145" s="46">
        <v>0</v>
      </c>
      <c r="AM145" s="113"/>
      <c r="AN145" s="113"/>
      <c r="AO145" s="113"/>
      <c r="AP145" s="113"/>
      <c r="AQ145" s="113"/>
      <c r="AR145" s="46">
        <v>0</v>
      </c>
      <c r="AS145" s="113"/>
      <c r="AT145" s="113"/>
      <c r="AU145" s="113"/>
      <c r="AV145" s="113"/>
      <c r="AW145" s="113"/>
      <c r="AX145" s="46">
        <v>0</v>
      </c>
      <c r="AY145" s="113"/>
      <c r="AZ145" s="113"/>
      <c r="BA145" s="113"/>
      <c r="BB145" s="113"/>
      <c r="BC145" s="113"/>
      <c r="BD145" s="46">
        <v>0</v>
      </c>
      <c r="BE145" s="113"/>
      <c r="BF145" s="113"/>
      <c r="BG145" s="113"/>
      <c r="BH145" s="113"/>
      <c r="BI145" s="113"/>
      <c r="BJ145" s="46">
        <v>0</v>
      </c>
      <c r="BK145" s="113"/>
      <c r="BL145" s="113"/>
      <c r="BM145" s="113"/>
      <c r="BN145" s="113"/>
      <c r="BO145" s="113"/>
      <c r="BP145" s="121"/>
      <c r="BQ145" s="121"/>
      <c r="GA145" t="s">
        <v>113</v>
      </c>
      <c r="GB145" t="s">
        <v>23032</v>
      </c>
      <c r="GC145" s="46">
        <v>0</v>
      </c>
      <c r="GD145" s="113"/>
      <c r="GE145" s="113"/>
      <c r="GF145" s="113"/>
      <c r="GG145" s="113"/>
      <c r="GH145" s="113"/>
      <c r="GI145" s="46">
        <v>0</v>
      </c>
      <c r="GJ145" s="113"/>
      <c r="GK145" s="113"/>
      <c r="GL145" s="113"/>
      <c r="GM145" s="113"/>
      <c r="GN145" s="113"/>
      <c r="GO145" s="46">
        <v>0</v>
      </c>
      <c r="GP145" s="113"/>
      <c r="GQ145" s="113"/>
      <c r="GR145" s="113"/>
      <c r="GS145" s="113"/>
      <c r="GT145" s="113"/>
      <c r="GU145" s="46">
        <v>0</v>
      </c>
      <c r="GV145" s="113"/>
      <c r="GW145" s="113"/>
      <c r="GX145" s="113"/>
      <c r="GY145" s="113"/>
      <c r="GZ145" s="113"/>
      <c r="HA145" s="46">
        <v>0</v>
      </c>
      <c r="HB145" s="113"/>
      <c r="HC145" s="113"/>
      <c r="HD145" s="113"/>
      <c r="HE145" s="113"/>
      <c r="HF145" s="113"/>
      <c r="HG145" s="46">
        <v>0</v>
      </c>
      <c r="HH145" s="113"/>
      <c r="HI145" s="113"/>
      <c r="HJ145" s="113"/>
      <c r="HK145" s="113"/>
      <c r="HL145" s="113"/>
      <c r="HM145" s="121"/>
      <c r="HN145" s="121"/>
      <c r="LM145" t="str">
        <v/>
      </c>
      <c r="LN145" t="str">
        <v/>
      </c>
      <c r="LO145" t="str">
        <v/>
      </c>
    </row>
    <row r="146" spans="30:327">
      <c r="AD146" t="s">
        <v>113</v>
      </c>
      <c r="AE146" t="s">
        <v>23033</v>
      </c>
      <c r="AF146" s="46">
        <v>0</v>
      </c>
      <c r="AG146" s="113"/>
      <c r="AH146" s="113"/>
      <c r="AI146" s="113"/>
      <c r="AJ146" s="113"/>
      <c r="AK146" s="113"/>
      <c r="AL146" s="46">
        <v>0</v>
      </c>
      <c r="AM146" s="113"/>
      <c r="AN146" s="113"/>
      <c r="AO146" s="113"/>
      <c r="AP146" s="113"/>
      <c r="AQ146" s="113"/>
      <c r="AR146" s="46">
        <v>0</v>
      </c>
      <c r="AS146" s="113"/>
      <c r="AT146" s="113"/>
      <c r="AU146" s="113"/>
      <c r="AV146" s="113"/>
      <c r="AW146" s="113"/>
      <c r="AX146" s="46">
        <v>0</v>
      </c>
      <c r="AY146" s="113"/>
      <c r="AZ146" s="113"/>
      <c r="BA146" s="113"/>
      <c r="BB146" s="113"/>
      <c r="BC146" s="113"/>
      <c r="BD146" s="46">
        <v>0</v>
      </c>
      <c r="BE146" s="113"/>
      <c r="BF146" s="113"/>
      <c r="BG146" s="113"/>
      <c r="BH146" s="113"/>
      <c r="BI146" s="113"/>
      <c r="BJ146" s="46">
        <v>0</v>
      </c>
      <c r="BK146" s="113"/>
      <c r="BL146" s="113"/>
      <c r="BM146" s="113"/>
      <c r="BN146" s="113"/>
      <c r="BO146" s="113"/>
      <c r="BP146" s="121"/>
      <c r="BQ146" s="121"/>
      <c r="GA146" t="s">
        <v>113</v>
      </c>
      <c r="GB146" t="s">
        <v>23033</v>
      </c>
      <c r="GC146" s="46">
        <v>0</v>
      </c>
      <c r="GD146" s="113"/>
      <c r="GE146" s="113"/>
      <c r="GF146" s="113"/>
      <c r="GG146" s="113"/>
      <c r="GH146" s="113"/>
      <c r="GI146" s="46">
        <v>0</v>
      </c>
      <c r="GJ146" s="113"/>
      <c r="GK146" s="113"/>
      <c r="GL146" s="113"/>
      <c r="GM146" s="113"/>
      <c r="GN146" s="113"/>
      <c r="GO146" s="46">
        <v>0</v>
      </c>
      <c r="GP146" s="113"/>
      <c r="GQ146" s="113"/>
      <c r="GR146" s="113"/>
      <c r="GS146" s="113"/>
      <c r="GT146" s="113"/>
      <c r="GU146" s="46">
        <v>0</v>
      </c>
      <c r="GV146" s="113"/>
      <c r="GW146" s="113"/>
      <c r="GX146" s="113"/>
      <c r="GY146" s="113"/>
      <c r="GZ146" s="113"/>
      <c r="HA146" s="46">
        <v>0</v>
      </c>
      <c r="HB146" s="113"/>
      <c r="HC146" s="113"/>
      <c r="HD146" s="113"/>
      <c r="HE146" s="113"/>
      <c r="HF146" s="113"/>
      <c r="HG146" s="46">
        <v>0</v>
      </c>
      <c r="HH146" s="113"/>
      <c r="HI146" s="113"/>
      <c r="HJ146" s="113"/>
      <c r="HK146" s="113"/>
      <c r="HL146" s="113"/>
      <c r="HM146" s="121"/>
      <c r="HN146" s="121"/>
      <c r="LM146" t="str">
        <v/>
      </c>
      <c r="LN146" t="str">
        <v/>
      </c>
      <c r="LO146" t="str">
        <v/>
      </c>
    </row>
    <row r="147" spans="30:327">
      <c r="AD147" t="s">
        <v>113</v>
      </c>
      <c r="AE147" t="s">
        <v>23034</v>
      </c>
      <c r="AF147" s="46">
        <v>0</v>
      </c>
      <c r="AG147" s="113"/>
      <c r="AH147" s="113"/>
      <c r="AI147" s="113"/>
      <c r="AJ147" s="113"/>
      <c r="AK147" s="113"/>
      <c r="AL147" s="46">
        <v>0</v>
      </c>
      <c r="AM147" s="113"/>
      <c r="AN147" s="113"/>
      <c r="AO147" s="113"/>
      <c r="AP147" s="113"/>
      <c r="AQ147" s="113"/>
      <c r="AR147" s="46">
        <v>0</v>
      </c>
      <c r="AS147" s="113"/>
      <c r="AT147" s="113"/>
      <c r="AU147" s="113"/>
      <c r="AV147" s="113"/>
      <c r="AW147" s="113"/>
      <c r="AX147" s="46">
        <v>0</v>
      </c>
      <c r="AY147" s="113"/>
      <c r="AZ147" s="113"/>
      <c r="BA147" s="113"/>
      <c r="BB147" s="113"/>
      <c r="BC147" s="113"/>
      <c r="BD147" s="46">
        <v>0</v>
      </c>
      <c r="BE147" s="113"/>
      <c r="BF147" s="113"/>
      <c r="BG147" s="113"/>
      <c r="BH147" s="113"/>
      <c r="BI147" s="113"/>
      <c r="BJ147" s="46">
        <v>0</v>
      </c>
      <c r="BK147" s="113"/>
      <c r="BL147" s="113"/>
      <c r="BM147" s="113"/>
      <c r="BN147" s="113"/>
      <c r="BO147" s="113"/>
      <c r="BP147" s="121"/>
      <c r="BQ147" s="121"/>
      <c r="GA147" t="s">
        <v>113</v>
      </c>
      <c r="GB147" t="s">
        <v>23034</v>
      </c>
      <c r="GC147" s="46">
        <v>0</v>
      </c>
      <c r="GD147" s="113"/>
      <c r="GE147" s="113"/>
      <c r="GF147" s="113"/>
      <c r="GG147" s="113"/>
      <c r="GH147" s="113"/>
      <c r="GI147" s="46">
        <v>0</v>
      </c>
      <c r="GJ147" s="113"/>
      <c r="GK147" s="113"/>
      <c r="GL147" s="113"/>
      <c r="GM147" s="113"/>
      <c r="GN147" s="113"/>
      <c r="GO147" s="46">
        <v>0</v>
      </c>
      <c r="GP147" s="113"/>
      <c r="GQ147" s="113"/>
      <c r="GR147" s="113"/>
      <c r="GS147" s="113"/>
      <c r="GT147" s="113"/>
      <c r="GU147" s="46">
        <v>0</v>
      </c>
      <c r="GV147" s="113"/>
      <c r="GW147" s="113"/>
      <c r="GX147" s="113"/>
      <c r="GY147" s="113"/>
      <c r="GZ147" s="113"/>
      <c r="HA147" s="46">
        <v>0</v>
      </c>
      <c r="HB147" s="113"/>
      <c r="HC147" s="113"/>
      <c r="HD147" s="113"/>
      <c r="HE147" s="113"/>
      <c r="HF147" s="113"/>
      <c r="HG147" s="46">
        <v>0</v>
      </c>
      <c r="HH147" s="113"/>
      <c r="HI147" s="113"/>
      <c r="HJ147" s="113"/>
      <c r="HK147" s="113"/>
      <c r="HL147" s="113"/>
      <c r="HM147" s="121"/>
      <c r="HN147" s="121"/>
      <c r="LM147" t="str">
        <v/>
      </c>
      <c r="LN147" t="str">
        <v/>
      </c>
      <c r="LO147" t="str">
        <v/>
      </c>
    </row>
    <row r="148" spans="30:327">
      <c r="AD148" t="s">
        <v>113</v>
      </c>
      <c r="AE148" t="s">
        <v>23035</v>
      </c>
      <c r="AF148" s="46">
        <v>0</v>
      </c>
      <c r="AG148" s="113"/>
      <c r="AH148" s="113"/>
      <c r="AI148" s="113"/>
      <c r="AJ148" s="113"/>
      <c r="AK148" s="113"/>
      <c r="AL148" s="46">
        <v>0</v>
      </c>
      <c r="AM148" s="113"/>
      <c r="AN148" s="113"/>
      <c r="AO148" s="113"/>
      <c r="AP148" s="113"/>
      <c r="AQ148" s="113"/>
      <c r="AR148" s="46">
        <v>0</v>
      </c>
      <c r="AS148" s="113"/>
      <c r="AT148" s="113"/>
      <c r="AU148" s="113"/>
      <c r="AV148" s="113"/>
      <c r="AW148" s="113"/>
      <c r="AX148" s="46">
        <v>0</v>
      </c>
      <c r="AY148" s="113"/>
      <c r="AZ148" s="113"/>
      <c r="BA148" s="113"/>
      <c r="BB148" s="113"/>
      <c r="BC148" s="113"/>
      <c r="BD148" s="46">
        <v>0</v>
      </c>
      <c r="BE148" s="113"/>
      <c r="BF148" s="113"/>
      <c r="BG148" s="113"/>
      <c r="BH148" s="113"/>
      <c r="BI148" s="113"/>
      <c r="BJ148" s="46">
        <v>0</v>
      </c>
      <c r="BK148" s="113"/>
      <c r="BL148" s="113"/>
      <c r="BM148" s="113"/>
      <c r="BN148" s="113"/>
      <c r="BO148" s="113"/>
      <c r="BP148" s="121"/>
      <c r="BQ148" s="121"/>
      <c r="GA148" t="s">
        <v>113</v>
      </c>
      <c r="GB148" t="s">
        <v>23035</v>
      </c>
      <c r="GC148" s="46">
        <v>0</v>
      </c>
      <c r="GD148" s="113"/>
      <c r="GE148" s="113"/>
      <c r="GF148" s="113"/>
      <c r="GG148" s="113"/>
      <c r="GH148" s="113"/>
      <c r="GI148" s="46">
        <v>0</v>
      </c>
      <c r="GJ148" s="113"/>
      <c r="GK148" s="113"/>
      <c r="GL148" s="113"/>
      <c r="GM148" s="113"/>
      <c r="GN148" s="113"/>
      <c r="GO148" s="46">
        <v>0</v>
      </c>
      <c r="GP148" s="113"/>
      <c r="GQ148" s="113"/>
      <c r="GR148" s="113"/>
      <c r="GS148" s="113"/>
      <c r="GT148" s="113"/>
      <c r="GU148" s="46">
        <v>0</v>
      </c>
      <c r="GV148" s="113"/>
      <c r="GW148" s="113"/>
      <c r="GX148" s="113"/>
      <c r="GY148" s="113"/>
      <c r="GZ148" s="113"/>
      <c r="HA148" s="46">
        <v>0</v>
      </c>
      <c r="HB148" s="113"/>
      <c r="HC148" s="113"/>
      <c r="HD148" s="113"/>
      <c r="HE148" s="113"/>
      <c r="HF148" s="113"/>
      <c r="HG148" s="46">
        <v>0</v>
      </c>
      <c r="HH148" s="113"/>
      <c r="HI148" s="113"/>
      <c r="HJ148" s="113"/>
      <c r="HK148" s="113"/>
      <c r="HL148" s="113"/>
      <c r="HM148" s="121"/>
      <c r="HN148" s="121"/>
      <c r="LM148" t="str">
        <v/>
      </c>
      <c r="LN148" t="str">
        <v/>
      </c>
      <c r="LO148" t="str">
        <v/>
      </c>
    </row>
    <row r="149" spans="30:327">
      <c r="AD149" t="s">
        <v>113</v>
      </c>
      <c r="AE149" t="s">
        <v>23036</v>
      </c>
      <c r="AF149" s="46">
        <v>0</v>
      </c>
      <c r="AG149" s="113"/>
      <c r="AH149" s="113"/>
      <c r="AI149" s="113"/>
      <c r="AJ149" s="113"/>
      <c r="AK149" s="113"/>
      <c r="AL149" s="46">
        <v>0</v>
      </c>
      <c r="AM149" s="113"/>
      <c r="AN149" s="113"/>
      <c r="AO149" s="113"/>
      <c r="AP149" s="113"/>
      <c r="AQ149" s="113"/>
      <c r="AR149" s="46">
        <v>0</v>
      </c>
      <c r="AS149" s="113"/>
      <c r="AT149" s="113"/>
      <c r="AU149" s="113"/>
      <c r="AV149" s="113"/>
      <c r="AW149" s="113"/>
      <c r="AX149" s="46">
        <v>0</v>
      </c>
      <c r="AY149" s="113"/>
      <c r="AZ149" s="113"/>
      <c r="BA149" s="113"/>
      <c r="BB149" s="113"/>
      <c r="BC149" s="113"/>
      <c r="BD149" s="46">
        <v>0</v>
      </c>
      <c r="BE149" s="113"/>
      <c r="BF149" s="113"/>
      <c r="BG149" s="113"/>
      <c r="BH149" s="113"/>
      <c r="BI149" s="113"/>
      <c r="BJ149" s="46">
        <v>0</v>
      </c>
      <c r="BK149" s="113"/>
      <c r="BL149" s="113"/>
      <c r="BM149" s="113"/>
      <c r="BN149" s="113"/>
      <c r="BO149" s="113"/>
      <c r="BP149" s="121"/>
      <c r="BQ149" s="121"/>
      <c r="GA149" t="s">
        <v>113</v>
      </c>
      <c r="GB149" t="s">
        <v>23036</v>
      </c>
      <c r="GC149" s="46">
        <v>0</v>
      </c>
      <c r="GD149" s="113"/>
      <c r="GE149" s="113"/>
      <c r="GF149" s="113"/>
      <c r="GG149" s="113"/>
      <c r="GH149" s="113"/>
      <c r="GI149" s="46">
        <v>0</v>
      </c>
      <c r="GJ149" s="113"/>
      <c r="GK149" s="113"/>
      <c r="GL149" s="113"/>
      <c r="GM149" s="113"/>
      <c r="GN149" s="113"/>
      <c r="GO149" s="46">
        <v>0</v>
      </c>
      <c r="GP149" s="113"/>
      <c r="GQ149" s="113"/>
      <c r="GR149" s="113"/>
      <c r="GS149" s="113"/>
      <c r="GT149" s="113"/>
      <c r="GU149" s="46">
        <v>0</v>
      </c>
      <c r="GV149" s="113"/>
      <c r="GW149" s="113"/>
      <c r="GX149" s="113"/>
      <c r="GY149" s="113"/>
      <c r="GZ149" s="113"/>
      <c r="HA149" s="46">
        <v>0</v>
      </c>
      <c r="HB149" s="113"/>
      <c r="HC149" s="113"/>
      <c r="HD149" s="113"/>
      <c r="HE149" s="113"/>
      <c r="HF149" s="113"/>
      <c r="HG149" s="46">
        <v>0</v>
      </c>
      <c r="HH149" s="113"/>
      <c r="HI149" s="113"/>
      <c r="HJ149" s="113"/>
      <c r="HK149" s="113"/>
      <c r="HL149" s="113"/>
      <c r="HM149" s="121"/>
      <c r="HN149" s="121"/>
      <c r="LM149" t="str">
        <v/>
      </c>
      <c r="LN149" t="str">
        <v/>
      </c>
      <c r="LO149" t="str">
        <v/>
      </c>
    </row>
    <row r="150" spans="30:327">
      <c r="AD150" t="s">
        <v>113</v>
      </c>
      <c r="AE150" t="s">
        <v>23037</v>
      </c>
      <c r="AF150" s="46">
        <v>0</v>
      </c>
      <c r="AG150" s="113"/>
      <c r="AH150" s="113"/>
      <c r="AI150" s="113"/>
      <c r="AJ150" s="113"/>
      <c r="AK150" s="113"/>
      <c r="AL150" s="46">
        <v>0</v>
      </c>
      <c r="AM150" s="113"/>
      <c r="AN150" s="113"/>
      <c r="AO150" s="113"/>
      <c r="AP150" s="113"/>
      <c r="AQ150" s="113"/>
      <c r="AR150" s="46">
        <v>0</v>
      </c>
      <c r="AS150" s="113"/>
      <c r="AT150" s="113"/>
      <c r="AU150" s="113"/>
      <c r="AV150" s="113"/>
      <c r="AW150" s="113"/>
      <c r="AX150" s="46">
        <v>0</v>
      </c>
      <c r="AY150" s="113"/>
      <c r="AZ150" s="113"/>
      <c r="BA150" s="113"/>
      <c r="BB150" s="113"/>
      <c r="BC150" s="113"/>
      <c r="BD150" s="46">
        <v>0</v>
      </c>
      <c r="BE150" s="113"/>
      <c r="BF150" s="113"/>
      <c r="BG150" s="113"/>
      <c r="BH150" s="113"/>
      <c r="BI150" s="113"/>
      <c r="BJ150" s="46">
        <v>0</v>
      </c>
      <c r="BK150" s="113"/>
      <c r="BL150" s="113"/>
      <c r="BM150" s="113"/>
      <c r="BN150" s="113"/>
      <c r="BO150" s="113"/>
      <c r="BP150" s="121"/>
      <c r="BQ150" s="121"/>
      <c r="GA150" t="s">
        <v>113</v>
      </c>
      <c r="GB150" t="s">
        <v>23037</v>
      </c>
      <c r="GC150" s="46">
        <v>0</v>
      </c>
      <c r="GD150" s="113"/>
      <c r="GE150" s="113"/>
      <c r="GF150" s="113"/>
      <c r="GG150" s="113"/>
      <c r="GH150" s="113"/>
      <c r="GI150" s="46">
        <v>0</v>
      </c>
      <c r="GJ150" s="113"/>
      <c r="GK150" s="113"/>
      <c r="GL150" s="113"/>
      <c r="GM150" s="113"/>
      <c r="GN150" s="113"/>
      <c r="GO150" s="46">
        <v>0</v>
      </c>
      <c r="GP150" s="113"/>
      <c r="GQ150" s="113"/>
      <c r="GR150" s="113"/>
      <c r="GS150" s="113"/>
      <c r="GT150" s="113"/>
      <c r="GU150" s="46">
        <v>0</v>
      </c>
      <c r="GV150" s="113"/>
      <c r="GW150" s="113"/>
      <c r="GX150" s="113"/>
      <c r="GY150" s="113"/>
      <c r="GZ150" s="113"/>
      <c r="HA150" s="46">
        <v>0</v>
      </c>
      <c r="HB150" s="113"/>
      <c r="HC150" s="113"/>
      <c r="HD150" s="113"/>
      <c r="HE150" s="113"/>
      <c r="HF150" s="113"/>
      <c r="HG150" s="46">
        <v>0</v>
      </c>
      <c r="HH150" s="113"/>
      <c r="HI150" s="113"/>
      <c r="HJ150" s="113"/>
      <c r="HK150" s="113"/>
      <c r="HL150" s="113"/>
      <c r="HM150" s="121"/>
      <c r="HN150" s="121"/>
      <c r="LM150" t="str">
        <v/>
      </c>
      <c r="LN150" t="str">
        <v/>
      </c>
      <c r="LO150" t="str">
        <v/>
      </c>
    </row>
    <row r="151" spans="30:327">
      <c r="AD151" t="s">
        <v>113</v>
      </c>
      <c r="AE151" t="s">
        <v>23038</v>
      </c>
      <c r="AF151" s="46">
        <v>0</v>
      </c>
      <c r="AG151" s="113"/>
      <c r="AH151" s="113"/>
      <c r="AI151" s="113"/>
      <c r="AJ151" s="113"/>
      <c r="AK151" s="113"/>
      <c r="AL151" s="46">
        <v>0</v>
      </c>
      <c r="AM151" s="113"/>
      <c r="AN151" s="113"/>
      <c r="AO151" s="113"/>
      <c r="AP151" s="113"/>
      <c r="AQ151" s="113"/>
      <c r="AR151" s="46">
        <v>0</v>
      </c>
      <c r="AS151" s="113"/>
      <c r="AT151" s="113"/>
      <c r="AU151" s="113"/>
      <c r="AV151" s="113"/>
      <c r="AW151" s="113"/>
      <c r="AX151" s="46">
        <v>0</v>
      </c>
      <c r="AY151" s="113"/>
      <c r="AZ151" s="113"/>
      <c r="BA151" s="113"/>
      <c r="BB151" s="113"/>
      <c r="BC151" s="113"/>
      <c r="BD151" s="46">
        <v>0</v>
      </c>
      <c r="BE151" s="113"/>
      <c r="BF151" s="113"/>
      <c r="BG151" s="113"/>
      <c r="BH151" s="113"/>
      <c r="BI151" s="113"/>
      <c r="BJ151" s="46">
        <v>0</v>
      </c>
      <c r="BK151" s="113"/>
      <c r="BL151" s="113"/>
      <c r="BM151" s="113"/>
      <c r="BN151" s="113"/>
      <c r="BO151" s="113"/>
      <c r="BP151" s="121"/>
      <c r="BQ151" s="121"/>
      <c r="GA151" t="s">
        <v>113</v>
      </c>
      <c r="GB151" t="s">
        <v>23038</v>
      </c>
      <c r="GC151" s="46">
        <v>0</v>
      </c>
      <c r="GD151" s="113"/>
      <c r="GE151" s="113"/>
      <c r="GF151" s="113"/>
      <c r="GG151" s="113"/>
      <c r="GH151" s="113"/>
      <c r="GI151" s="46">
        <v>0</v>
      </c>
      <c r="GJ151" s="113"/>
      <c r="GK151" s="113"/>
      <c r="GL151" s="113"/>
      <c r="GM151" s="113"/>
      <c r="GN151" s="113"/>
      <c r="GO151" s="46">
        <v>0</v>
      </c>
      <c r="GP151" s="113"/>
      <c r="GQ151" s="113"/>
      <c r="GR151" s="113"/>
      <c r="GS151" s="113"/>
      <c r="GT151" s="113"/>
      <c r="GU151" s="46">
        <v>0</v>
      </c>
      <c r="GV151" s="113"/>
      <c r="GW151" s="113"/>
      <c r="GX151" s="113"/>
      <c r="GY151" s="113"/>
      <c r="GZ151" s="113"/>
      <c r="HA151" s="46">
        <v>0</v>
      </c>
      <c r="HB151" s="113"/>
      <c r="HC151" s="113"/>
      <c r="HD151" s="113"/>
      <c r="HE151" s="113"/>
      <c r="HF151" s="113"/>
      <c r="HG151" s="46">
        <v>0</v>
      </c>
      <c r="HH151" s="113"/>
      <c r="HI151" s="113"/>
      <c r="HJ151" s="113"/>
      <c r="HK151" s="113"/>
      <c r="HL151" s="113"/>
      <c r="HM151" s="121"/>
      <c r="HN151" s="121"/>
      <c r="LM151" t="str">
        <v/>
      </c>
      <c r="LN151" t="str">
        <v/>
      </c>
      <c r="LO151" t="str">
        <v/>
      </c>
    </row>
    <row r="152" spans="30:327">
      <c r="AD152" t="s">
        <v>113</v>
      </c>
      <c r="AE152" t="s">
        <v>23039</v>
      </c>
      <c r="AF152" s="46">
        <v>0</v>
      </c>
      <c r="AG152" s="113"/>
      <c r="AH152" s="113"/>
      <c r="AI152" s="113"/>
      <c r="AJ152" s="113"/>
      <c r="AK152" s="113"/>
      <c r="AL152" s="46">
        <v>0</v>
      </c>
      <c r="AM152" s="113"/>
      <c r="AN152" s="113"/>
      <c r="AO152" s="113"/>
      <c r="AP152" s="113"/>
      <c r="AQ152" s="113"/>
      <c r="AR152" s="46">
        <v>0</v>
      </c>
      <c r="AS152" s="113"/>
      <c r="AT152" s="113"/>
      <c r="AU152" s="113"/>
      <c r="AV152" s="113"/>
      <c r="AW152" s="113"/>
      <c r="AX152" s="46">
        <v>0</v>
      </c>
      <c r="AY152" s="113"/>
      <c r="AZ152" s="113"/>
      <c r="BA152" s="113"/>
      <c r="BB152" s="113"/>
      <c r="BC152" s="113"/>
      <c r="BD152" s="46">
        <v>0</v>
      </c>
      <c r="BE152" s="113"/>
      <c r="BF152" s="113"/>
      <c r="BG152" s="113"/>
      <c r="BH152" s="113"/>
      <c r="BI152" s="113"/>
      <c r="BJ152" s="46">
        <v>0</v>
      </c>
      <c r="BK152" s="113"/>
      <c r="BL152" s="113"/>
      <c r="BM152" s="113"/>
      <c r="BN152" s="113"/>
      <c r="BO152" s="113"/>
      <c r="BP152" s="121"/>
      <c r="BQ152" s="121"/>
      <c r="GA152" t="s">
        <v>113</v>
      </c>
      <c r="GB152" t="s">
        <v>23039</v>
      </c>
      <c r="GC152" s="46">
        <v>0</v>
      </c>
      <c r="GD152" s="113"/>
      <c r="GE152" s="113"/>
      <c r="GF152" s="113"/>
      <c r="GG152" s="113"/>
      <c r="GH152" s="113"/>
      <c r="GI152" s="46">
        <v>0</v>
      </c>
      <c r="GJ152" s="113"/>
      <c r="GK152" s="113"/>
      <c r="GL152" s="113"/>
      <c r="GM152" s="113"/>
      <c r="GN152" s="113"/>
      <c r="GO152" s="46">
        <v>0</v>
      </c>
      <c r="GP152" s="113"/>
      <c r="GQ152" s="113"/>
      <c r="GR152" s="113"/>
      <c r="GS152" s="113"/>
      <c r="GT152" s="113"/>
      <c r="GU152" s="46">
        <v>0</v>
      </c>
      <c r="GV152" s="113"/>
      <c r="GW152" s="113"/>
      <c r="GX152" s="113"/>
      <c r="GY152" s="113"/>
      <c r="GZ152" s="113"/>
      <c r="HA152" s="46">
        <v>0</v>
      </c>
      <c r="HB152" s="113"/>
      <c r="HC152" s="113"/>
      <c r="HD152" s="113"/>
      <c r="HE152" s="113"/>
      <c r="HF152" s="113"/>
      <c r="HG152" s="46">
        <v>0</v>
      </c>
      <c r="HH152" s="113"/>
      <c r="HI152" s="113"/>
      <c r="HJ152" s="113"/>
      <c r="HK152" s="113"/>
      <c r="HL152" s="113"/>
      <c r="HM152" s="121"/>
      <c r="HN152" s="121"/>
      <c r="LM152" t="str">
        <v/>
      </c>
      <c r="LN152" t="str">
        <v/>
      </c>
      <c r="LO152" t="str">
        <v/>
      </c>
    </row>
    <row r="153" spans="30:327">
      <c r="AD153" t="s">
        <v>113</v>
      </c>
      <c r="AE153" t="s">
        <v>23040</v>
      </c>
      <c r="AF153" s="46">
        <v>0</v>
      </c>
      <c r="AG153" s="113"/>
      <c r="AH153" s="113"/>
      <c r="AI153" s="113"/>
      <c r="AJ153" s="113"/>
      <c r="AK153" s="113"/>
      <c r="AL153" s="46">
        <v>0</v>
      </c>
      <c r="AM153" s="113"/>
      <c r="AN153" s="113"/>
      <c r="AO153" s="113"/>
      <c r="AP153" s="113"/>
      <c r="AQ153" s="113"/>
      <c r="AR153" s="46">
        <v>0</v>
      </c>
      <c r="AS153" s="113"/>
      <c r="AT153" s="113"/>
      <c r="AU153" s="113"/>
      <c r="AV153" s="113"/>
      <c r="AW153" s="113"/>
      <c r="AX153" s="46">
        <v>0</v>
      </c>
      <c r="AY153" s="113"/>
      <c r="AZ153" s="113"/>
      <c r="BA153" s="113"/>
      <c r="BB153" s="113"/>
      <c r="BC153" s="113"/>
      <c r="BD153" s="46">
        <v>0</v>
      </c>
      <c r="BE153" s="113"/>
      <c r="BF153" s="113"/>
      <c r="BG153" s="113"/>
      <c r="BH153" s="113"/>
      <c r="BI153" s="113"/>
      <c r="BJ153" s="46">
        <v>0</v>
      </c>
      <c r="BK153" s="113"/>
      <c r="BL153" s="113"/>
      <c r="BM153" s="113"/>
      <c r="BN153" s="113"/>
      <c r="BO153" s="113"/>
      <c r="BP153" s="121"/>
      <c r="BQ153" s="121"/>
      <c r="GA153" t="s">
        <v>113</v>
      </c>
      <c r="GB153" t="s">
        <v>23040</v>
      </c>
      <c r="GC153" s="46">
        <v>0</v>
      </c>
      <c r="GD153" s="113"/>
      <c r="GE153" s="113"/>
      <c r="GF153" s="113"/>
      <c r="GG153" s="113"/>
      <c r="GH153" s="113"/>
      <c r="GI153" s="46">
        <v>0</v>
      </c>
      <c r="GJ153" s="113"/>
      <c r="GK153" s="113"/>
      <c r="GL153" s="113"/>
      <c r="GM153" s="113"/>
      <c r="GN153" s="113"/>
      <c r="GO153" s="46">
        <v>0</v>
      </c>
      <c r="GP153" s="113"/>
      <c r="GQ153" s="113"/>
      <c r="GR153" s="113"/>
      <c r="GS153" s="113"/>
      <c r="GT153" s="113"/>
      <c r="GU153" s="46">
        <v>0</v>
      </c>
      <c r="GV153" s="113"/>
      <c r="GW153" s="113"/>
      <c r="GX153" s="113"/>
      <c r="GY153" s="113"/>
      <c r="GZ153" s="113"/>
      <c r="HA153" s="46">
        <v>0</v>
      </c>
      <c r="HB153" s="113"/>
      <c r="HC153" s="113"/>
      <c r="HD153" s="113"/>
      <c r="HE153" s="113"/>
      <c r="HF153" s="113"/>
      <c r="HG153" s="46">
        <v>0</v>
      </c>
      <c r="HH153" s="113"/>
      <c r="HI153" s="113"/>
      <c r="HJ153" s="113"/>
      <c r="HK153" s="113"/>
      <c r="HL153" s="113"/>
      <c r="HM153" s="121"/>
      <c r="HN153" s="121"/>
      <c r="LM153" t="str">
        <v/>
      </c>
      <c r="LN153" t="str">
        <v/>
      </c>
      <c r="LO153" t="str">
        <v/>
      </c>
    </row>
    <row r="154" spans="30:327">
      <c r="AD154" t="s">
        <v>113</v>
      </c>
      <c r="AE154" t="s">
        <v>23041</v>
      </c>
      <c r="AF154" s="46">
        <v>0</v>
      </c>
      <c r="AG154" s="113"/>
      <c r="AH154" s="113"/>
      <c r="AI154" s="113"/>
      <c r="AJ154" s="113"/>
      <c r="AK154" s="113"/>
      <c r="AL154" s="46">
        <v>0</v>
      </c>
      <c r="AM154" s="113"/>
      <c r="AN154" s="113"/>
      <c r="AO154" s="113"/>
      <c r="AP154" s="113"/>
      <c r="AQ154" s="113"/>
      <c r="AR154" s="46">
        <v>0</v>
      </c>
      <c r="AS154" s="113"/>
      <c r="AT154" s="113"/>
      <c r="AU154" s="113"/>
      <c r="AV154" s="113"/>
      <c r="AW154" s="113"/>
      <c r="AX154" s="46">
        <v>0</v>
      </c>
      <c r="AY154" s="113"/>
      <c r="AZ154" s="113"/>
      <c r="BA154" s="113"/>
      <c r="BB154" s="113"/>
      <c r="BC154" s="113"/>
      <c r="BD154" s="46">
        <v>0</v>
      </c>
      <c r="BE154" s="113"/>
      <c r="BF154" s="113"/>
      <c r="BG154" s="113"/>
      <c r="BH154" s="113"/>
      <c r="BI154" s="113"/>
      <c r="BJ154" s="46">
        <v>0</v>
      </c>
      <c r="BK154" s="113"/>
      <c r="BL154" s="113"/>
      <c r="BM154" s="113"/>
      <c r="BN154" s="113"/>
      <c r="BO154" s="113"/>
      <c r="BP154" s="121"/>
      <c r="BQ154" s="121"/>
      <c r="GA154" t="s">
        <v>113</v>
      </c>
      <c r="GB154" t="s">
        <v>23041</v>
      </c>
      <c r="GC154" s="46">
        <v>0</v>
      </c>
      <c r="GD154" s="113"/>
      <c r="GE154" s="113"/>
      <c r="GF154" s="113"/>
      <c r="GG154" s="113"/>
      <c r="GH154" s="113"/>
      <c r="GI154" s="46">
        <v>0</v>
      </c>
      <c r="GJ154" s="113"/>
      <c r="GK154" s="113"/>
      <c r="GL154" s="113"/>
      <c r="GM154" s="113"/>
      <c r="GN154" s="113"/>
      <c r="GO154" s="46">
        <v>0</v>
      </c>
      <c r="GP154" s="113"/>
      <c r="GQ154" s="113"/>
      <c r="GR154" s="113"/>
      <c r="GS154" s="113"/>
      <c r="GT154" s="113"/>
      <c r="GU154" s="46">
        <v>0</v>
      </c>
      <c r="GV154" s="113"/>
      <c r="GW154" s="113"/>
      <c r="GX154" s="113"/>
      <c r="GY154" s="113"/>
      <c r="GZ154" s="113"/>
      <c r="HA154" s="46">
        <v>0</v>
      </c>
      <c r="HB154" s="113"/>
      <c r="HC154" s="113"/>
      <c r="HD154" s="113"/>
      <c r="HE154" s="113"/>
      <c r="HF154" s="113"/>
      <c r="HG154" s="46">
        <v>0</v>
      </c>
      <c r="HH154" s="113"/>
      <c r="HI154" s="113"/>
      <c r="HJ154" s="113"/>
      <c r="HK154" s="113"/>
      <c r="HL154" s="113"/>
      <c r="HM154" s="121"/>
      <c r="HN154" s="121"/>
      <c r="LM154" t="str">
        <v/>
      </c>
      <c r="LN154" t="str">
        <v/>
      </c>
      <c r="LO154" t="str">
        <v/>
      </c>
    </row>
    <row r="155" spans="30:327">
      <c r="AD155" t="s">
        <v>113</v>
      </c>
      <c r="AE155" t="s">
        <v>23042</v>
      </c>
      <c r="AF155" s="46">
        <v>0</v>
      </c>
      <c r="AG155" s="113"/>
      <c r="AH155" s="113"/>
      <c r="AI155" s="113"/>
      <c r="AJ155" s="113"/>
      <c r="AK155" s="113"/>
      <c r="AL155" s="46">
        <v>0</v>
      </c>
      <c r="AM155" s="113"/>
      <c r="AN155" s="113"/>
      <c r="AO155" s="113"/>
      <c r="AP155" s="113"/>
      <c r="AQ155" s="113"/>
      <c r="AR155" s="46">
        <v>0</v>
      </c>
      <c r="AS155" s="113"/>
      <c r="AT155" s="113"/>
      <c r="AU155" s="113"/>
      <c r="AV155" s="113"/>
      <c r="AW155" s="113"/>
      <c r="AX155" s="46">
        <v>0</v>
      </c>
      <c r="AY155" s="113"/>
      <c r="AZ155" s="113"/>
      <c r="BA155" s="113"/>
      <c r="BB155" s="113"/>
      <c r="BC155" s="113"/>
      <c r="BD155" s="46">
        <v>0</v>
      </c>
      <c r="BE155" s="113"/>
      <c r="BF155" s="113"/>
      <c r="BG155" s="113"/>
      <c r="BH155" s="113"/>
      <c r="BI155" s="113"/>
      <c r="BJ155" s="46">
        <v>0</v>
      </c>
      <c r="BK155" s="113"/>
      <c r="BL155" s="113"/>
      <c r="BM155" s="113"/>
      <c r="BN155" s="113"/>
      <c r="BO155" s="113"/>
      <c r="BP155" s="121"/>
      <c r="BQ155" s="121"/>
      <c r="GA155" t="s">
        <v>113</v>
      </c>
      <c r="GB155" t="s">
        <v>23042</v>
      </c>
      <c r="GC155" s="46">
        <v>0</v>
      </c>
      <c r="GD155" s="113"/>
      <c r="GE155" s="113"/>
      <c r="GF155" s="113"/>
      <c r="GG155" s="113"/>
      <c r="GH155" s="113"/>
      <c r="GI155" s="46">
        <v>0</v>
      </c>
      <c r="GJ155" s="113"/>
      <c r="GK155" s="113"/>
      <c r="GL155" s="113"/>
      <c r="GM155" s="113"/>
      <c r="GN155" s="113"/>
      <c r="GO155" s="46">
        <v>0</v>
      </c>
      <c r="GP155" s="113"/>
      <c r="GQ155" s="113"/>
      <c r="GR155" s="113"/>
      <c r="GS155" s="113"/>
      <c r="GT155" s="113"/>
      <c r="GU155" s="46">
        <v>0</v>
      </c>
      <c r="GV155" s="113"/>
      <c r="GW155" s="113"/>
      <c r="GX155" s="113"/>
      <c r="GY155" s="113"/>
      <c r="GZ155" s="113"/>
      <c r="HA155" s="46">
        <v>0</v>
      </c>
      <c r="HB155" s="113"/>
      <c r="HC155" s="113"/>
      <c r="HD155" s="113"/>
      <c r="HE155" s="113"/>
      <c r="HF155" s="113"/>
      <c r="HG155" s="46">
        <v>0</v>
      </c>
      <c r="HH155" s="113"/>
      <c r="HI155" s="113"/>
      <c r="HJ155" s="113"/>
      <c r="HK155" s="113"/>
      <c r="HL155" s="113"/>
      <c r="HM155" s="121"/>
      <c r="HN155" s="121"/>
      <c r="LM155" t="str">
        <v/>
      </c>
      <c r="LN155" t="str">
        <v/>
      </c>
      <c r="LO155" t="str">
        <v/>
      </c>
    </row>
    <row r="156" spans="30:327">
      <c r="AD156" t="s">
        <v>113</v>
      </c>
      <c r="AE156" t="s">
        <v>23043</v>
      </c>
      <c r="AF156" s="46">
        <v>0</v>
      </c>
      <c r="AG156" s="113"/>
      <c r="AH156" s="113"/>
      <c r="AI156" s="113"/>
      <c r="AJ156" s="113"/>
      <c r="AK156" s="113"/>
      <c r="AL156" s="46">
        <v>0</v>
      </c>
      <c r="AM156" s="113"/>
      <c r="AN156" s="113"/>
      <c r="AO156" s="113"/>
      <c r="AP156" s="113"/>
      <c r="AQ156" s="113"/>
      <c r="AR156" s="46">
        <v>0</v>
      </c>
      <c r="AS156" s="113"/>
      <c r="AT156" s="113"/>
      <c r="AU156" s="113"/>
      <c r="AV156" s="113"/>
      <c r="AW156" s="113"/>
      <c r="AX156" s="46">
        <v>0</v>
      </c>
      <c r="AY156" s="113"/>
      <c r="AZ156" s="113"/>
      <c r="BA156" s="113"/>
      <c r="BB156" s="113"/>
      <c r="BC156" s="113"/>
      <c r="BD156" s="46">
        <v>0</v>
      </c>
      <c r="BE156" s="113"/>
      <c r="BF156" s="113"/>
      <c r="BG156" s="113"/>
      <c r="BH156" s="113"/>
      <c r="BI156" s="113"/>
      <c r="BJ156" s="46">
        <v>0</v>
      </c>
      <c r="BK156" s="113"/>
      <c r="BL156" s="113"/>
      <c r="BM156" s="113"/>
      <c r="BN156" s="113"/>
      <c r="BO156" s="113"/>
      <c r="BP156" s="121"/>
      <c r="BQ156" s="121"/>
      <c r="GA156" t="s">
        <v>113</v>
      </c>
      <c r="GB156" t="s">
        <v>23043</v>
      </c>
      <c r="GC156" s="46">
        <v>0</v>
      </c>
      <c r="GD156" s="113"/>
      <c r="GE156" s="113"/>
      <c r="GF156" s="113"/>
      <c r="GG156" s="113"/>
      <c r="GH156" s="113"/>
      <c r="GI156" s="46">
        <v>0</v>
      </c>
      <c r="GJ156" s="113"/>
      <c r="GK156" s="113"/>
      <c r="GL156" s="113"/>
      <c r="GM156" s="113"/>
      <c r="GN156" s="113"/>
      <c r="GO156" s="46">
        <v>0</v>
      </c>
      <c r="GP156" s="113"/>
      <c r="GQ156" s="113"/>
      <c r="GR156" s="113"/>
      <c r="GS156" s="113"/>
      <c r="GT156" s="113"/>
      <c r="GU156" s="46">
        <v>0</v>
      </c>
      <c r="GV156" s="113"/>
      <c r="GW156" s="113"/>
      <c r="GX156" s="113"/>
      <c r="GY156" s="113"/>
      <c r="GZ156" s="113"/>
      <c r="HA156" s="46">
        <v>0</v>
      </c>
      <c r="HB156" s="113"/>
      <c r="HC156" s="113"/>
      <c r="HD156" s="113"/>
      <c r="HE156" s="113"/>
      <c r="HF156" s="113"/>
      <c r="HG156" s="46">
        <v>0</v>
      </c>
      <c r="HH156" s="113"/>
      <c r="HI156" s="113"/>
      <c r="HJ156" s="113"/>
      <c r="HK156" s="113"/>
      <c r="HL156" s="113"/>
      <c r="HM156" s="121"/>
      <c r="HN156" s="121"/>
      <c r="LM156" t="str">
        <v/>
      </c>
      <c r="LN156" t="str">
        <v/>
      </c>
      <c r="LO156" t="str">
        <v/>
      </c>
    </row>
    <row r="157" spans="30:327">
      <c r="AD157" t="s">
        <v>113</v>
      </c>
      <c r="AE157" t="s">
        <v>23044</v>
      </c>
      <c r="AF157" s="46">
        <v>0</v>
      </c>
      <c r="AG157" s="113"/>
      <c r="AH157" s="113"/>
      <c r="AI157" s="113"/>
      <c r="AJ157" s="113"/>
      <c r="AK157" s="113"/>
      <c r="AL157" s="46">
        <v>0</v>
      </c>
      <c r="AM157" s="113"/>
      <c r="AN157" s="113"/>
      <c r="AO157" s="113"/>
      <c r="AP157" s="113"/>
      <c r="AQ157" s="113"/>
      <c r="AR157" s="46">
        <v>0</v>
      </c>
      <c r="AS157" s="113"/>
      <c r="AT157" s="113"/>
      <c r="AU157" s="113"/>
      <c r="AV157" s="113"/>
      <c r="AW157" s="113"/>
      <c r="AX157" s="46">
        <v>0</v>
      </c>
      <c r="AY157" s="113"/>
      <c r="AZ157" s="113"/>
      <c r="BA157" s="113"/>
      <c r="BB157" s="113"/>
      <c r="BC157" s="113"/>
      <c r="BD157" s="46">
        <v>0</v>
      </c>
      <c r="BE157" s="113"/>
      <c r="BF157" s="113"/>
      <c r="BG157" s="113"/>
      <c r="BH157" s="113"/>
      <c r="BI157" s="113"/>
      <c r="BJ157" s="46">
        <v>0</v>
      </c>
      <c r="BK157" s="113"/>
      <c r="BL157" s="113"/>
      <c r="BM157" s="113"/>
      <c r="BN157" s="113"/>
      <c r="BO157" s="113"/>
      <c r="BP157" s="121"/>
      <c r="BQ157" s="121"/>
      <c r="GA157" t="s">
        <v>113</v>
      </c>
      <c r="GB157" t="s">
        <v>23044</v>
      </c>
      <c r="GC157" s="46">
        <v>0</v>
      </c>
      <c r="GD157" s="113"/>
      <c r="GE157" s="113"/>
      <c r="GF157" s="113"/>
      <c r="GG157" s="113"/>
      <c r="GH157" s="113"/>
      <c r="GI157" s="46">
        <v>0</v>
      </c>
      <c r="GJ157" s="113"/>
      <c r="GK157" s="113"/>
      <c r="GL157" s="113"/>
      <c r="GM157" s="113"/>
      <c r="GN157" s="113"/>
      <c r="GO157" s="46">
        <v>0</v>
      </c>
      <c r="GP157" s="113"/>
      <c r="GQ157" s="113"/>
      <c r="GR157" s="113"/>
      <c r="GS157" s="113"/>
      <c r="GT157" s="113"/>
      <c r="GU157" s="46">
        <v>0</v>
      </c>
      <c r="GV157" s="113"/>
      <c r="GW157" s="113"/>
      <c r="GX157" s="113"/>
      <c r="GY157" s="113"/>
      <c r="GZ157" s="113"/>
      <c r="HA157" s="46">
        <v>0</v>
      </c>
      <c r="HB157" s="113"/>
      <c r="HC157" s="113"/>
      <c r="HD157" s="113"/>
      <c r="HE157" s="113"/>
      <c r="HF157" s="113"/>
      <c r="HG157" s="46">
        <v>0</v>
      </c>
      <c r="HH157" s="113"/>
      <c r="HI157" s="113"/>
      <c r="HJ157" s="113"/>
      <c r="HK157" s="113"/>
      <c r="HL157" s="113"/>
      <c r="HM157" s="121"/>
      <c r="HN157" s="121"/>
      <c r="LM157" t="str">
        <v/>
      </c>
      <c r="LN157" t="str">
        <v/>
      </c>
      <c r="LO157" t="str">
        <v/>
      </c>
    </row>
    <row r="158" spans="30:327">
      <c r="AD158" t="s">
        <v>113</v>
      </c>
      <c r="AE158" t="s">
        <v>23045</v>
      </c>
      <c r="AF158" s="46">
        <v>0</v>
      </c>
      <c r="AG158" s="113"/>
      <c r="AH158" s="113"/>
      <c r="AI158" s="113"/>
      <c r="AJ158" s="113"/>
      <c r="AK158" s="113"/>
      <c r="AL158" s="46">
        <v>0</v>
      </c>
      <c r="AM158" s="113"/>
      <c r="AN158" s="113"/>
      <c r="AO158" s="113"/>
      <c r="AP158" s="113"/>
      <c r="AQ158" s="113"/>
      <c r="AR158" s="46">
        <v>0</v>
      </c>
      <c r="AS158" s="113"/>
      <c r="AT158" s="113"/>
      <c r="AU158" s="113"/>
      <c r="AV158" s="113"/>
      <c r="AW158" s="113"/>
      <c r="AX158" s="46">
        <v>0</v>
      </c>
      <c r="AY158" s="113"/>
      <c r="AZ158" s="113"/>
      <c r="BA158" s="113"/>
      <c r="BB158" s="113"/>
      <c r="BC158" s="113"/>
      <c r="BD158" s="46">
        <v>0</v>
      </c>
      <c r="BE158" s="113"/>
      <c r="BF158" s="113"/>
      <c r="BG158" s="113"/>
      <c r="BH158" s="113"/>
      <c r="BI158" s="113"/>
      <c r="BJ158" s="46">
        <v>0</v>
      </c>
      <c r="BK158" s="113"/>
      <c r="BL158" s="113"/>
      <c r="BM158" s="113"/>
      <c r="BN158" s="113"/>
      <c r="BO158" s="113"/>
      <c r="BP158" s="121"/>
      <c r="BQ158" s="121"/>
      <c r="GA158" t="s">
        <v>113</v>
      </c>
      <c r="GB158" t="s">
        <v>23045</v>
      </c>
      <c r="GC158" s="46">
        <v>0</v>
      </c>
      <c r="GD158" s="113"/>
      <c r="GE158" s="113"/>
      <c r="GF158" s="113"/>
      <c r="GG158" s="113"/>
      <c r="GH158" s="113"/>
      <c r="GI158" s="46">
        <v>0</v>
      </c>
      <c r="GJ158" s="113"/>
      <c r="GK158" s="113"/>
      <c r="GL158" s="113"/>
      <c r="GM158" s="113"/>
      <c r="GN158" s="113"/>
      <c r="GO158" s="46">
        <v>0</v>
      </c>
      <c r="GP158" s="113"/>
      <c r="GQ158" s="113"/>
      <c r="GR158" s="113"/>
      <c r="GS158" s="113"/>
      <c r="GT158" s="113"/>
      <c r="GU158" s="46">
        <v>0</v>
      </c>
      <c r="GV158" s="113"/>
      <c r="GW158" s="113"/>
      <c r="GX158" s="113"/>
      <c r="GY158" s="113"/>
      <c r="GZ158" s="113"/>
      <c r="HA158" s="46">
        <v>0</v>
      </c>
      <c r="HB158" s="113"/>
      <c r="HC158" s="113"/>
      <c r="HD158" s="113"/>
      <c r="HE158" s="113"/>
      <c r="HF158" s="113"/>
      <c r="HG158" s="46">
        <v>0</v>
      </c>
      <c r="HH158" s="113"/>
      <c r="HI158" s="113"/>
      <c r="HJ158" s="113"/>
      <c r="HK158" s="113"/>
      <c r="HL158" s="113"/>
      <c r="HM158" s="121"/>
      <c r="HN158" s="121"/>
      <c r="LM158" t="str">
        <v/>
      </c>
      <c r="LN158" t="str">
        <v/>
      </c>
      <c r="LO158" t="str">
        <v/>
      </c>
    </row>
    <row r="159" spans="30:327">
      <c r="AD159" t="s">
        <v>113</v>
      </c>
      <c r="AE159" t="s">
        <v>23046</v>
      </c>
      <c r="AF159" s="46">
        <v>0</v>
      </c>
      <c r="AG159" s="113"/>
      <c r="AH159" s="113"/>
      <c r="AI159" s="113"/>
      <c r="AJ159" s="113"/>
      <c r="AK159" s="113"/>
      <c r="AL159" s="46">
        <v>0</v>
      </c>
      <c r="AM159" s="113"/>
      <c r="AN159" s="113"/>
      <c r="AO159" s="113"/>
      <c r="AP159" s="113"/>
      <c r="AQ159" s="113"/>
      <c r="AR159" s="46">
        <v>0</v>
      </c>
      <c r="AS159" s="113"/>
      <c r="AT159" s="113"/>
      <c r="AU159" s="113"/>
      <c r="AV159" s="113"/>
      <c r="AW159" s="113"/>
      <c r="AX159" s="46">
        <v>0</v>
      </c>
      <c r="AY159" s="113"/>
      <c r="AZ159" s="113"/>
      <c r="BA159" s="113"/>
      <c r="BB159" s="113"/>
      <c r="BC159" s="113"/>
      <c r="BD159" s="46">
        <v>0</v>
      </c>
      <c r="BE159" s="113"/>
      <c r="BF159" s="113"/>
      <c r="BG159" s="113"/>
      <c r="BH159" s="113"/>
      <c r="BI159" s="113"/>
      <c r="BJ159" s="46">
        <v>0</v>
      </c>
      <c r="BK159" s="113"/>
      <c r="BL159" s="113"/>
      <c r="BM159" s="113"/>
      <c r="BN159" s="113"/>
      <c r="BO159" s="113"/>
      <c r="BP159" s="121"/>
      <c r="BQ159" s="121"/>
      <c r="GA159" t="s">
        <v>113</v>
      </c>
      <c r="GB159" t="s">
        <v>23046</v>
      </c>
      <c r="GC159" s="46">
        <v>0</v>
      </c>
      <c r="GD159" s="113"/>
      <c r="GE159" s="113"/>
      <c r="GF159" s="113"/>
      <c r="GG159" s="113"/>
      <c r="GH159" s="113"/>
      <c r="GI159" s="46">
        <v>0</v>
      </c>
      <c r="GJ159" s="113"/>
      <c r="GK159" s="113"/>
      <c r="GL159" s="113"/>
      <c r="GM159" s="113"/>
      <c r="GN159" s="113"/>
      <c r="GO159" s="46">
        <v>0</v>
      </c>
      <c r="GP159" s="113"/>
      <c r="GQ159" s="113"/>
      <c r="GR159" s="113"/>
      <c r="GS159" s="113"/>
      <c r="GT159" s="113"/>
      <c r="GU159" s="46">
        <v>0</v>
      </c>
      <c r="GV159" s="113"/>
      <c r="GW159" s="113"/>
      <c r="GX159" s="113"/>
      <c r="GY159" s="113"/>
      <c r="GZ159" s="113"/>
      <c r="HA159" s="46">
        <v>0</v>
      </c>
      <c r="HB159" s="113"/>
      <c r="HC159" s="113"/>
      <c r="HD159" s="113"/>
      <c r="HE159" s="113"/>
      <c r="HF159" s="113"/>
      <c r="HG159" s="46">
        <v>0</v>
      </c>
      <c r="HH159" s="113"/>
      <c r="HI159" s="113"/>
      <c r="HJ159" s="113"/>
      <c r="HK159" s="113"/>
      <c r="HL159" s="113"/>
      <c r="HM159" s="121"/>
      <c r="HN159" s="121"/>
      <c r="LM159" t="str">
        <v/>
      </c>
      <c r="LN159" t="str">
        <v/>
      </c>
      <c r="LO159" t="str">
        <v/>
      </c>
    </row>
    <row r="160" spans="30:327">
      <c r="AD160" t="s">
        <v>113</v>
      </c>
      <c r="AE160" t="s">
        <v>23047</v>
      </c>
      <c r="AF160" s="46">
        <v>0</v>
      </c>
      <c r="AG160" s="113"/>
      <c r="AH160" s="113"/>
      <c r="AI160" s="113"/>
      <c r="AJ160" s="113"/>
      <c r="AK160" s="113"/>
      <c r="AL160" s="46">
        <v>0</v>
      </c>
      <c r="AM160" s="113"/>
      <c r="AN160" s="113"/>
      <c r="AO160" s="113"/>
      <c r="AP160" s="113"/>
      <c r="AQ160" s="113"/>
      <c r="AR160" s="46">
        <v>0</v>
      </c>
      <c r="AS160" s="113"/>
      <c r="AT160" s="113"/>
      <c r="AU160" s="113"/>
      <c r="AV160" s="113"/>
      <c r="AW160" s="113"/>
      <c r="AX160" s="46">
        <v>0</v>
      </c>
      <c r="AY160" s="113"/>
      <c r="AZ160" s="113"/>
      <c r="BA160" s="113"/>
      <c r="BB160" s="113"/>
      <c r="BC160" s="113"/>
      <c r="BD160" s="46">
        <v>0</v>
      </c>
      <c r="BE160" s="113"/>
      <c r="BF160" s="113"/>
      <c r="BG160" s="113"/>
      <c r="BH160" s="113"/>
      <c r="BI160" s="113"/>
      <c r="BJ160" s="46">
        <v>0</v>
      </c>
      <c r="BK160" s="113"/>
      <c r="BL160" s="113"/>
      <c r="BM160" s="113"/>
      <c r="BN160" s="113"/>
      <c r="BO160" s="113"/>
      <c r="BP160" s="121"/>
      <c r="BQ160" s="121"/>
      <c r="FA160" t="str">
        <f>IF(N(AN_Limits!$AB$4)&gt;=_xlfn.XLOOKUP("MinMonthsForCharts",AnParam[Param],AnParam[Value],12),"",SUBSTITUTE(SUBSTITUTE(SUBSTITUTE(_xlfn.XLOOKUP("AN_EMPTY",tblUIText[Key],tblUIText[TR],"AN_EMPTY"),": ",":"&amp;CHAR(10)),"{0}",N(AN_Limits!$AB$4)),"{1}",_xlfn.XLOOKUP("MinMonthsForCharts",AnParam[Param],AnParam[Value],12))&amp;CHAR(10)&amp;SUBSTITUTE(SUBSTITUTE(SUBSTITUTE(_xlfn.XLOOKUP("AN_EMPTY",tblUIText[Key],tblUIText[EN],"AN_EMPTY"),": ",":"&amp;CHAR(10)),"{0}",N(AN_Limits!$AB$4)),"{1}",_xlfn.XLOOKUP("MinMonthsForCharts",AnParam[Param],AnParam[Value],12)))</f>
        <v>VERİ YETERSİZ:
0 ay veri var, grafikler için en az 12 ay gerekir
INSUFFICIENT DATA:
0 months of data, the charts need at least 12</v>
      </c>
      <c r="FB160">
        <f>IF($FA$160="",NA(),1)</f>
        <v>1</v>
      </c>
      <c r="FC160" t="str">
        <f>IF($FA$160=""," ",$FA$160)</f>
        <v>VERİ YETERSİZ:
0 ay veri var, grafikler için en az 12 ay gerekir
INSUFFICIENT DATA:
0 months of data, the charts need at least 12</v>
      </c>
      <c r="FD160" t="str">
        <f>SUBSTITUTE(SUBSTITUTE(SUBSTITUTE(_xlfn.XLOOKUP("AN_EMPTY",tblUIText[Key],tblUIText[TR],"AN_EMPTY"),": ",":"&amp;CHAR(10)),"{0}",10),"{1}",_xlfn.XLOOKUP("MinMonthsForCharts",AnParam[Param],AnParam[Value],12))&amp;CHAR(10)&amp;SUBSTITUTE(SUBSTITUTE(SUBSTITUTE(_xlfn.XLOOKUP("AN_EMPTY",tblUIText[Key],tblUIText[EN],"AN_EMPTY"),": ",":"&amp;CHAR(10)),"{0}",10),"{1}",_xlfn.XLOOKUP("MinMonthsForCharts",AnParam[Param],AnParam[Value],12))</f>
        <v>VERİ YETERSİZ:
10 ay veri var, grafikler için en az 12 ay gerekir
INSUFFICIENT DATA:
10 months of data, the charts need at least 12</v>
      </c>
      <c r="GA160" t="s">
        <v>113</v>
      </c>
      <c r="GB160" t="s">
        <v>23047</v>
      </c>
      <c r="GC160" s="46">
        <v>0</v>
      </c>
      <c r="GD160" s="113"/>
      <c r="GE160" s="113"/>
      <c r="GF160" s="113"/>
      <c r="GG160" s="113"/>
      <c r="GH160" s="113"/>
      <c r="GI160" s="46">
        <v>0</v>
      </c>
      <c r="GJ160" s="113"/>
      <c r="GK160" s="113"/>
      <c r="GL160" s="113"/>
      <c r="GM160" s="113"/>
      <c r="GN160" s="113"/>
      <c r="GO160" s="46">
        <v>0</v>
      </c>
      <c r="GP160" s="113"/>
      <c r="GQ160" s="113"/>
      <c r="GR160" s="113"/>
      <c r="GS160" s="113"/>
      <c r="GT160" s="113"/>
      <c r="GU160" s="46">
        <v>0</v>
      </c>
      <c r="GV160" s="113"/>
      <c r="GW160" s="113"/>
      <c r="GX160" s="113"/>
      <c r="GY160" s="113"/>
      <c r="GZ160" s="113"/>
      <c r="HA160" s="46">
        <v>0</v>
      </c>
      <c r="HB160" s="113"/>
      <c r="HC160" s="113"/>
      <c r="HD160" s="113"/>
      <c r="HE160" s="113"/>
      <c r="HF160" s="113"/>
      <c r="HG160" s="46">
        <v>0</v>
      </c>
      <c r="HH160" s="113"/>
      <c r="HI160" s="113"/>
      <c r="HJ160" s="113"/>
      <c r="HK160" s="113"/>
      <c r="HL160" s="113"/>
      <c r="HM160" s="121"/>
      <c r="HN160" s="121"/>
      <c r="LM160" t="str">
        <v/>
      </c>
      <c r="LN160" t="str">
        <v/>
      </c>
      <c r="LO160" t="str">
        <v/>
      </c>
    </row>
    <row r="161" spans="30:327">
      <c r="AD161" t="s">
        <v>113</v>
      </c>
      <c r="AE161" t="s">
        <v>23048</v>
      </c>
      <c r="AF161" s="46">
        <v>0</v>
      </c>
      <c r="AG161" s="113"/>
      <c r="AH161" s="113"/>
      <c r="AI161" s="113"/>
      <c r="AJ161" s="113"/>
      <c r="AK161" s="113"/>
      <c r="AL161" s="46">
        <v>0</v>
      </c>
      <c r="AM161" s="113"/>
      <c r="AN161" s="113"/>
      <c r="AO161" s="113"/>
      <c r="AP161" s="113"/>
      <c r="AQ161" s="113"/>
      <c r="AR161" s="46">
        <v>0</v>
      </c>
      <c r="AS161" s="113"/>
      <c r="AT161" s="113"/>
      <c r="AU161" s="113"/>
      <c r="AV161" s="113"/>
      <c r="AW161" s="113"/>
      <c r="AX161" s="46">
        <v>0</v>
      </c>
      <c r="AY161" s="113"/>
      <c r="AZ161" s="113"/>
      <c r="BA161" s="113"/>
      <c r="BB161" s="113"/>
      <c r="BC161" s="113"/>
      <c r="BD161" s="46">
        <v>0</v>
      </c>
      <c r="BE161" s="113"/>
      <c r="BF161" s="113"/>
      <c r="BG161" s="113"/>
      <c r="BH161" s="113"/>
      <c r="BI161" s="113"/>
      <c r="BJ161" s="46">
        <v>0</v>
      </c>
      <c r="BK161" s="113"/>
      <c r="BL161" s="113"/>
      <c r="BM161" s="113"/>
      <c r="BN161" s="113"/>
      <c r="BO161" s="113"/>
      <c r="BP161" s="121"/>
      <c r="BQ161" s="121"/>
      <c r="GA161" t="s">
        <v>113</v>
      </c>
      <c r="GB161" t="s">
        <v>23048</v>
      </c>
      <c r="GC161" s="46">
        <v>0</v>
      </c>
      <c r="GD161" s="113"/>
      <c r="GE161" s="113"/>
      <c r="GF161" s="113"/>
      <c r="GG161" s="113"/>
      <c r="GH161" s="113"/>
      <c r="GI161" s="46">
        <v>0</v>
      </c>
      <c r="GJ161" s="113"/>
      <c r="GK161" s="113"/>
      <c r="GL161" s="113"/>
      <c r="GM161" s="113"/>
      <c r="GN161" s="113"/>
      <c r="GO161" s="46">
        <v>0</v>
      </c>
      <c r="GP161" s="113"/>
      <c r="GQ161" s="113"/>
      <c r="GR161" s="113"/>
      <c r="GS161" s="113"/>
      <c r="GT161" s="113"/>
      <c r="GU161" s="46">
        <v>0</v>
      </c>
      <c r="GV161" s="113"/>
      <c r="GW161" s="113"/>
      <c r="GX161" s="113"/>
      <c r="GY161" s="113"/>
      <c r="GZ161" s="113"/>
      <c r="HA161" s="46">
        <v>0</v>
      </c>
      <c r="HB161" s="113"/>
      <c r="HC161" s="113"/>
      <c r="HD161" s="113"/>
      <c r="HE161" s="113"/>
      <c r="HF161" s="113"/>
      <c r="HG161" s="46">
        <v>0</v>
      </c>
      <c r="HH161" s="113"/>
      <c r="HI161" s="113"/>
      <c r="HJ161" s="113"/>
      <c r="HK161" s="113"/>
      <c r="HL161" s="113"/>
      <c r="HM161" s="121"/>
      <c r="HN161" s="121"/>
      <c r="LM161" t="str">
        <v/>
      </c>
      <c r="LN161" t="str">
        <v/>
      </c>
      <c r="LO161" t="str">
        <v/>
      </c>
    </row>
    <row r="162" spans="30:327">
      <c r="AD162" t="s">
        <v>113</v>
      </c>
      <c r="AE162" t="s">
        <v>23049</v>
      </c>
      <c r="AF162" s="46">
        <v>0</v>
      </c>
      <c r="AG162" s="113"/>
      <c r="AH162" s="113"/>
      <c r="AI162" s="113"/>
      <c r="AJ162" s="113"/>
      <c r="AK162" s="113"/>
      <c r="AL162" s="46">
        <v>0</v>
      </c>
      <c r="AM162" s="113"/>
      <c r="AN162" s="113"/>
      <c r="AO162" s="113"/>
      <c r="AP162" s="113"/>
      <c r="AQ162" s="113"/>
      <c r="AR162" s="46">
        <v>0</v>
      </c>
      <c r="AS162" s="113"/>
      <c r="AT162" s="113"/>
      <c r="AU162" s="113"/>
      <c r="AV162" s="113"/>
      <c r="AW162" s="113"/>
      <c r="AX162" s="46">
        <v>0</v>
      </c>
      <c r="AY162" s="113"/>
      <c r="AZ162" s="113"/>
      <c r="BA162" s="113"/>
      <c r="BB162" s="113"/>
      <c r="BC162" s="113"/>
      <c r="BD162" s="46">
        <v>0</v>
      </c>
      <c r="BE162" s="113"/>
      <c r="BF162" s="113"/>
      <c r="BG162" s="113"/>
      <c r="BH162" s="113"/>
      <c r="BI162" s="113"/>
      <c r="BJ162" s="46">
        <v>0</v>
      </c>
      <c r="BK162" s="113"/>
      <c r="BL162" s="113"/>
      <c r="BM162" s="113"/>
      <c r="BN162" s="113"/>
      <c r="BO162" s="113"/>
      <c r="BP162" s="121"/>
      <c r="BQ162" s="121"/>
      <c r="GA162" t="s">
        <v>113</v>
      </c>
      <c r="GB162" t="s">
        <v>23049</v>
      </c>
      <c r="GC162" s="46">
        <v>0</v>
      </c>
      <c r="GD162" s="113"/>
      <c r="GE162" s="113"/>
      <c r="GF162" s="113"/>
      <c r="GG162" s="113"/>
      <c r="GH162" s="113"/>
      <c r="GI162" s="46">
        <v>0</v>
      </c>
      <c r="GJ162" s="113"/>
      <c r="GK162" s="113"/>
      <c r="GL162" s="113"/>
      <c r="GM162" s="113"/>
      <c r="GN162" s="113"/>
      <c r="GO162" s="46">
        <v>0</v>
      </c>
      <c r="GP162" s="113"/>
      <c r="GQ162" s="113"/>
      <c r="GR162" s="113"/>
      <c r="GS162" s="113"/>
      <c r="GT162" s="113"/>
      <c r="GU162" s="46">
        <v>0</v>
      </c>
      <c r="GV162" s="113"/>
      <c r="GW162" s="113"/>
      <c r="GX162" s="113"/>
      <c r="GY162" s="113"/>
      <c r="GZ162" s="113"/>
      <c r="HA162" s="46">
        <v>0</v>
      </c>
      <c r="HB162" s="113"/>
      <c r="HC162" s="113"/>
      <c r="HD162" s="113"/>
      <c r="HE162" s="113"/>
      <c r="HF162" s="113"/>
      <c r="HG162" s="46">
        <v>0</v>
      </c>
      <c r="HH162" s="113"/>
      <c r="HI162" s="113"/>
      <c r="HJ162" s="113"/>
      <c r="HK162" s="113"/>
      <c r="HL162" s="113"/>
      <c r="HM162" s="121"/>
      <c r="HN162" s="121"/>
      <c r="LM162" t="str">
        <v/>
      </c>
      <c r="LN162" t="str">
        <v/>
      </c>
      <c r="LO162" t="str">
        <v/>
      </c>
    </row>
    <row r="163" spans="30:327">
      <c r="AD163" t="s">
        <v>113</v>
      </c>
      <c r="AE163" t="s">
        <v>23050</v>
      </c>
      <c r="AF163" s="46">
        <v>0</v>
      </c>
      <c r="AG163" s="113"/>
      <c r="AH163" s="113"/>
      <c r="AI163" s="113"/>
      <c r="AJ163" s="113"/>
      <c r="AK163" s="113"/>
      <c r="AL163" s="46">
        <v>0</v>
      </c>
      <c r="AM163" s="113"/>
      <c r="AN163" s="113"/>
      <c r="AO163" s="113"/>
      <c r="AP163" s="113"/>
      <c r="AQ163" s="113"/>
      <c r="AR163" s="46">
        <v>0</v>
      </c>
      <c r="AS163" s="113"/>
      <c r="AT163" s="113"/>
      <c r="AU163" s="113"/>
      <c r="AV163" s="113"/>
      <c r="AW163" s="113"/>
      <c r="AX163" s="46">
        <v>0</v>
      </c>
      <c r="AY163" s="113"/>
      <c r="AZ163" s="113"/>
      <c r="BA163" s="113"/>
      <c r="BB163" s="113"/>
      <c r="BC163" s="113"/>
      <c r="BD163" s="46">
        <v>0</v>
      </c>
      <c r="BE163" s="113"/>
      <c r="BF163" s="113"/>
      <c r="BG163" s="113"/>
      <c r="BH163" s="113"/>
      <c r="BI163" s="113"/>
      <c r="BJ163" s="46">
        <v>0</v>
      </c>
      <c r="BK163" s="113"/>
      <c r="BL163" s="113"/>
      <c r="BM163" s="113"/>
      <c r="BN163" s="113"/>
      <c r="BO163" s="113"/>
      <c r="BP163" s="121"/>
      <c r="BQ163" s="121"/>
      <c r="GA163" t="s">
        <v>113</v>
      </c>
      <c r="GB163" t="s">
        <v>23050</v>
      </c>
      <c r="GC163" s="46">
        <v>0</v>
      </c>
      <c r="GD163" s="113"/>
      <c r="GE163" s="113"/>
      <c r="GF163" s="113"/>
      <c r="GG163" s="113"/>
      <c r="GH163" s="113"/>
      <c r="GI163" s="46">
        <v>0</v>
      </c>
      <c r="GJ163" s="113"/>
      <c r="GK163" s="113"/>
      <c r="GL163" s="113"/>
      <c r="GM163" s="113"/>
      <c r="GN163" s="113"/>
      <c r="GO163" s="46">
        <v>0</v>
      </c>
      <c r="GP163" s="113"/>
      <c r="GQ163" s="113"/>
      <c r="GR163" s="113"/>
      <c r="GS163" s="113"/>
      <c r="GT163" s="113"/>
      <c r="GU163" s="46">
        <v>0</v>
      </c>
      <c r="GV163" s="113"/>
      <c r="GW163" s="113"/>
      <c r="GX163" s="113"/>
      <c r="GY163" s="113"/>
      <c r="GZ163" s="113"/>
      <c r="HA163" s="46">
        <v>0</v>
      </c>
      <c r="HB163" s="113"/>
      <c r="HC163" s="113"/>
      <c r="HD163" s="113"/>
      <c r="HE163" s="113"/>
      <c r="HF163" s="113"/>
      <c r="HG163" s="46">
        <v>0</v>
      </c>
      <c r="HH163" s="113"/>
      <c r="HI163" s="113"/>
      <c r="HJ163" s="113"/>
      <c r="HK163" s="113"/>
      <c r="HL163" s="113"/>
      <c r="HM163" s="121"/>
      <c r="HN163" s="121"/>
      <c r="LM163" t="str">
        <v/>
      </c>
      <c r="LN163" t="str">
        <v/>
      </c>
      <c r="LO163" t="str">
        <v/>
      </c>
    </row>
    <row r="164" spans="30:327">
      <c r="AD164" t="s">
        <v>113</v>
      </c>
      <c r="AE164" t="s">
        <v>23051</v>
      </c>
      <c r="AF164" s="46">
        <v>0</v>
      </c>
      <c r="AG164" s="113"/>
      <c r="AH164" s="113"/>
      <c r="AI164" s="113"/>
      <c r="AJ164" s="113"/>
      <c r="AK164" s="113"/>
      <c r="AL164" s="46">
        <v>0</v>
      </c>
      <c r="AM164" s="113"/>
      <c r="AN164" s="113"/>
      <c r="AO164" s="113"/>
      <c r="AP164" s="113"/>
      <c r="AQ164" s="113"/>
      <c r="AR164" s="46">
        <v>0</v>
      </c>
      <c r="AS164" s="113"/>
      <c r="AT164" s="113"/>
      <c r="AU164" s="113"/>
      <c r="AV164" s="113"/>
      <c r="AW164" s="113"/>
      <c r="AX164" s="46">
        <v>0</v>
      </c>
      <c r="AY164" s="113"/>
      <c r="AZ164" s="113"/>
      <c r="BA164" s="113"/>
      <c r="BB164" s="113"/>
      <c r="BC164" s="113"/>
      <c r="BD164" s="46">
        <v>0</v>
      </c>
      <c r="BE164" s="113"/>
      <c r="BF164" s="113"/>
      <c r="BG164" s="113"/>
      <c r="BH164" s="113"/>
      <c r="BI164" s="113"/>
      <c r="BJ164" s="46">
        <v>0</v>
      </c>
      <c r="BK164" s="113"/>
      <c r="BL164" s="113"/>
      <c r="BM164" s="113"/>
      <c r="BN164" s="113"/>
      <c r="BO164" s="113"/>
      <c r="BP164" s="121"/>
      <c r="BQ164" s="121"/>
      <c r="GA164" t="s">
        <v>113</v>
      </c>
      <c r="GB164" t="s">
        <v>23051</v>
      </c>
      <c r="GC164" s="46">
        <v>0</v>
      </c>
      <c r="GD164" s="113"/>
      <c r="GE164" s="113"/>
      <c r="GF164" s="113"/>
      <c r="GG164" s="113"/>
      <c r="GH164" s="113"/>
      <c r="GI164" s="46">
        <v>0</v>
      </c>
      <c r="GJ164" s="113"/>
      <c r="GK164" s="113"/>
      <c r="GL164" s="113"/>
      <c r="GM164" s="113"/>
      <c r="GN164" s="113"/>
      <c r="GO164" s="46">
        <v>0</v>
      </c>
      <c r="GP164" s="113"/>
      <c r="GQ164" s="113"/>
      <c r="GR164" s="113"/>
      <c r="GS164" s="113"/>
      <c r="GT164" s="113"/>
      <c r="GU164" s="46">
        <v>0</v>
      </c>
      <c r="GV164" s="113"/>
      <c r="GW164" s="113"/>
      <c r="GX164" s="113"/>
      <c r="GY164" s="113"/>
      <c r="GZ164" s="113"/>
      <c r="HA164" s="46">
        <v>0</v>
      </c>
      <c r="HB164" s="113"/>
      <c r="HC164" s="113"/>
      <c r="HD164" s="113"/>
      <c r="HE164" s="113"/>
      <c r="HF164" s="113"/>
      <c r="HG164" s="46">
        <v>0</v>
      </c>
      <c r="HH164" s="113"/>
      <c r="HI164" s="113"/>
      <c r="HJ164" s="113"/>
      <c r="HK164" s="113"/>
      <c r="HL164" s="113"/>
      <c r="HM164" s="121"/>
      <c r="HN164" s="121"/>
      <c r="LM164" t="str">
        <v/>
      </c>
      <c r="LN164" t="str">
        <v/>
      </c>
      <c r="LO164" t="str">
        <v/>
      </c>
    </row>
    <row r="165" spans="30:327">
      <c r="AD165" t="s">
        <v>113</v>
      </c>
      <c r="AE165" t="s">
        <v>23052</v>
      </c>
      <c r="AF165" s="46">
        <v>0</v>
      </c>
      <c r="AG165" s="113"/>
      <c r="AH165" s="113"/>
      <c r="AI165" s="113"/>
      <c r="AJ165" s="113"/>
      <c r="AK165" s="113"/>
      <c r="AL165" s="46">
        <v>0</v>
      </c>
      <c r="AM165" s="113"/>
      <c r="AN165" s="113"/>
      <c r="AO165" s="113"/>
      <c r="AP165" s="113"/>
      <c r="AQ165" s="113"/>
      <c r="AR165" s="46">
        <v>0</v>
      </c>
      <c r="AS165" s="113"/>
      <c r="AT165" s="113"/>
      <c r="AU165" s="113"/>
      <c r="AV165" s="113"/>
      <c r="AW165" s="113"/>
      <c r="AX165" s="46">
        <v>0</v>
      </c>
      <c r="AY165" s="113"/>
      <c r="AZ165" s="113"/>
      <c r="BA165" s="113"/>
      <c r="BB165" s="113"/>
      <c r="BC165" s="113"/>
      <c r="BD165" s="46">
        <v>0</v>
      </c>
      <c r="BE165" s="113"/>
      <c r="BF165" s="113"/>
      <c r="BG165" s="113"/>
      <c r="BH165" s="113"/>
      <c r="BI165" s="113"/>
      <c r="BJ165" s="46">
        <v>0</v>
      </c>
      <c r="BK165" s="113"/>
      <c r="BL165" s="113"/>
      <c r="BM165" s="113"/>
      <c r="BN165" s="113"/>
      <c r="BO165" s="113"/>
      <c r="BP165" s="121"/>
      <c r="BQ165" s="121"/>
      <c r="GA165" t="s">
        <v>113</v>
      </c>
      <c r="GB165" t="s">
        <v>23052</v>
      </c>
      <c r="GC165" s="46">
        <v>0</v>
      </c>
      <c r="GD165" s="113"/>
      <c r="GE165" s="113"/>
      <c r="GF165" s="113"/>
      <c r="GG165" s="113"/>
      <c r="GH165" s="113"/>
      <c r="GI165" s="46">
        <v>0</v>
      </c>
      <c r="GJ165" s="113"/>
      <c r="GK165" s="113"/>
      <c r="GL165" s="113"/>
      <c r="GM165" s="113"/>
      <c r="GN165" s="113"/>
      <c r="GO165" s="46">
        <v>0</v>
      </c>
      <c r="GP165" s="113"/>
      <c r="GQ165" s="113"/>
      <c r="GR165" s="113"/>
      <c r="GS165" s="113"/>
      <c r="GT165" s="113"/>
      <c r="GU165" s="46">
        <v>0</v>
      </c>
      <c r="GV165" s="113"/>
      <c r="GW165" s="113"/>
      <c r="GX165" s="113"/>
      <c r="GY165" s="113"/>
      <c r="GZ165" s="113"/>
      <c r="HA165" s="46">
        <v>0</v>
      </c>
      <c r="HB165" s="113"/>
      <c r="HC165" s="113"/>
      <c r="HD165" s="113"/>
      <c r="HE165" s="113"/>
      <c r="HF165" s="113"/>
      <c r="HG165" s="46">
        <v>0</v>
      </c>
      <c r="HH165" s="113"/>
      <c r="HI165" s="113"/>
      <c r="HJ165" s="113"/>
      <c r="HK165" s="113"/>
      <c r="HL165" s="113"/>
      <c r="HM165" s="121"/>
      <c r="HN165" s="121"/>
      <c r="LM165" t="str">
        <v/>
      </c>
      <c r="LN165" t="str">
        <v/>
      </c>
      <c r="LO165" t="str">
        <v/>
      </c>
    </row>
    <row r="166" spans="30:327">
      <c r="AD166" t="s">
        <v>113</v>
      </c>
      <c r="AE166" t="s">
        <v>23053</v>
      </c>
      <c r="AF166" s="46">
        <v>0</v>
      </c>
      <c r="AG166" s="113"/>
      <c r="AH166" s="113"/>
      <c r="AI166" s="113"/>
      <c r="AJ166" s="113"/>
      <c r="AK166" s="113"/>
      <c r="AL166" s="46">
        <v>0</v>
      </c>
      <c r="AM166" s="113"/>
      <c r="AN166" s="113"/>
      <c r="AO166" s="113"/>
      <c r="AP166" s="113"/>
      <c r="AQ166" s="113"/>
      <c r="AR166" s="46">
        <v>0</v>
      </c>
      <c r="AS166" s="113"/>
      <c r="AT166" s="113"/>
      <c r="AU166" s="113"/>
      <c r="AV166" s="113"/>
      <c r="AW166" s="113"/>
      <c r="AX166" s="46">
        <v>0</v>
      </c>
      <c r="AY166" s="113"/>
      <c r="AZ166" s="113"/>
      <c r="BA166" s="113"/>
      <c r="BB166" s="113"/>
      <c r="BC166" s="113"/>
      <c r="BD166" s="46">
        <v>0</v>
      </c>
      <c r="BE166" s="113"/>
      <c r="BF166" s="113"/>
      <c r="BG166" s="113"/>
      <c r="BH166" s="113"/>
      <c r="BI166" s="113"/>
      <c r="BJ166" s="46">
        <v>0</v>
      </c>
      <c r="BK166" s="113"/>
      <c r="BL166" s="113"/>
      <c r="BM166" s="113"/>
      <c r="BN166" s="113"/>
      <c r="BO166" s="113"/>
      <c r="BP166" s="121"/>
      <c r="BQ166" s="121"/>
      <c r="GA166" t="s">
        <v>113</v>
      </c>
      <c r="GB166" t="s">
        <v>23053</v>
      </c>
      <c r="GC166" s="46">
        <v>0</v>
      </c>
      <c r="GD166" s="113"/>
      <c r="GE166" s="113"/>
      <c r="GF166" s="113"/>
      <c r="GG166" s="113"/>
      <c r="GH166" s="113"/>
      <c r="GI166" s="46">
        <v>0</v>
      </c>
      <c r="GJ166" s="113"/>
      <c r="GK166" s="113"/>
      <c r="GL166" s="113"/>
      <c r="GM166" s="113"/>
      <c r="GN166" s="113"/>
      <c r="GO166" s="46">
        <v>0</v>
      </c>
      <c r="GP166" s="113"/>
      <c r="GQ166" s="113"/>
      <c r="GR166" s="113"/>
      <c r="GS166" s="113"/>
      <c r="GT166" s="113"/>
      <c r="GU166" s="46">
        <v>0</v>
      </c>
      <c r="GV166" s="113"/>
      <c r="GW166" s="113"/>
      <c r="GX166" s="113"/>
      <c r="GY166" s="113"/>
      <c r="GZ166" s="113"/>
      <c r="HA166" s="46">
        <v>0</v>
      </c>
      <c r="HB166" s="113"/>
      <c r="HC166" s="113"/>
      <c r="HD166" s="113"/>
      <c r="HE166" s="113"/>
      <c r="HF166" s="113"/>
      <c r="HG166" s="46">
        <v>0</v>
      </c>
      <c r="HH166" s="113"/>
      <c r="HI166" s="113"/>
      <c r="HJ166" s="113"/>
      <c r="HK166" s="113"/>
      <c r="HL166" s="113"/>
      <c r="HM166" s="121"/>
      <c r="HN166" s="121"/>
      <c r="LM166" t="str">
        <v/>
      </c>
      <c r="LN166" t="str">
        <v/>
      </c>
      <c r="LO166" t="str">
        <v/>
      </c>
    </row>
    <row r="167" spans="30:327">
      <c r="AD167" t="s">
        <v>113</v>
      </c>
      <c r="AE167" t="s">
        <v>23054</v>
      </c>
      <c r="AF167" s="46">
        <v>0</v>
      </c>
      <c r="AG167" s="113"/>
      <c r="AH167" s="113"/>
      <c r="AI167" s="113"/>
      <c r="AJ167" s="113"/>
      <c r="AK167" s="113"/>
      <c r="AL167" s="46">
        <v>0</v>
      </c>
      <c r="AM167" s="113"/>
      <c r="AN167" s="113"/>
      <c r="AO167" s="113"/>
      <c r="AP167" s="113"/>
      <c r="AQ167" s="113"/>
      <c r="AR167" s="46">
        <v>0</v>
      </c>
      <c r="AS167" s="113"/>
      <c r="AT167" s="113"/>
      <c r="AU167" s="113"/>
      <c r="AV167" s="113"/>
      <c r="AW167" s="113"/>
      <c r="AX167" s="46">
        <v>0</v>
      </c>
      <c r="AY167" s="113"/>
      <c r="AZ167" s="113"/>
      <c r="BA167" s="113"/>
      <c r="BB167" s="113"/>
      <c r="BC167" s="113"/>
      <c r="BD167" s="46">
        <v>0</v>
      </c>
      <c r="BE167" s="113"/>
      <c r="BF167" s="113"/>
      <c r="BG167" s="113"/>
      <c r="BH167" s="113"/>
      <c r="BI167" s="113"/>
      <c r="BJ167" s="46">
        <v>0</v>
      </c>
      <c r="BK167" s="113"/>
      <c r="BL167" s="113"/>
      <c r="BM167" s="113"/>
      <c r="BN167" s="113"/>
      <c r="BO167" s="113"/>
      <c r="BP167" s="121"/>
      <c r="BQ167" s="121"/>
      <c r="GA167" t="s">
        <v>113</v>
      </c>
      <c r="GB167" t="s">
        <v>23054</v>
      </c>
      <c r="GC167" s="46">
        <v>0</v>
      </c>
      <c r="GD167" s="113"/>
      <c r="GE167" s="113"/>
      <c r="GF167" s="113"/>
      <c r="GG167" s="113"/>
      <c r="GH167" s="113"/>
      <c r="GI167" s="46">
        <v>0</v>
      </c>
      <c r="GJ167" s="113"/>
      <c r="GK167" s="113"/>
      <c r="GL167" s="113"/>
      <c r="GM167" s="113"/>
      <c r="GN167" s="113"/>
      <c r="GO167" s="46">
        <v>0</v>
      </c>
      <c r="GP167" s="113"/>
      <c r="GQ167" s="113"/>
      <c r="GR167" s="113"/>
      <c r="GS167" s="113"/>
      <c r="GT167" s="113"/>
      <c r="GU167" s="46">
        <v>0</v>
      </c>
      <c r="GV167" s="113"/>
      <c r="GW167" s="113"/>
      <c r="GX167" s="113"/>
      <c r="GY167" s="113"/>
      <c r="GZ167" s="113"/>
      <c r="HA167" s="46">
        <v>0</v>
      </c>
      <c r="HB167" s="113"/>
      <c r="HC167" s="113"/>
      <c r="HD167" s="113"/>
      <c r="HE167" s="113"/>
      <c r="HF167" s="113"/>
      <c r="HG167" s="46">
        <v>0</v>
      </c>
      <c r="HH167" s="113"/>
      <c r="HI167" s="113"/>
      <c r="HJ167" s="113"/>
      <c r="HK167" s="113"/>
      <c r="HL167" s="113"/>
      <c r="HM167" s="121"/>
      <c r="HN167" s="121"/>
      <c r="LM167" t="str">
        <v/>
      </c>
      <c r="LN167" t="str">
        <v/>
      </c>
      <c r="LO167" t="str">
        <v/>
      </c>
    </row>
    <row r="168" spans="30:327">
      <c r="AD168" t="s">
        <v>113</v>
      </c>
      <c r="AE168" t="s">
        <v>23055</v>
      </c>
      <c r="AF168" s="46">
        <v>0</v>
      </c>
      <c r="AG168" s="113"/>
      <c r="AH168" s="113"/>
      <c r="AI168" s="113"/>
      <c r="AJ168" s="113"/>
      <c r="AK168" s="113"/>
      <c r="AL168" s="46">
        <v>0</v>
      </c>
      <c r="AM168" s="113"/>
      <c r="AN168" s="113"/>
      <c r="AO168" s="113"/>
      <c r="AP168" s="113"/>
      <c r="AQ168" s="113"/>
      <c r="AR168" s="46">
        <v>0</v>
      </c>
      <c r="AS168" s="113"/>
      <c r="AT168" s="113"/>
      <c r="AU168" s="113"/>
      <c r="AV168" s="113"/>
      <c r="AW168" s="113"/>
      <c r="AX168" s="46">
        <v>0</v>
      </c>
      <c r="AY168" s="113"/>
      <c r="AZ168" s="113"/>
      <c r="BA168" s="113"/>
      <c r="BB168" s="113"/>
      <c r="BC168" s="113"/>
      <c r="BD168" s="46">
        <v>0</v>
      </c>
      <c r="BE168" s="113"/>
      <c r="BF168" s="113"/>
      <c r="BG168" s="113"/>
      <c r="BH168" s="113"/>
      <c r="BI168" s="113"/>
      <c r="BJ168" s="46">
        <v>0</v>
      </c>
      <c r="BK168" s="113"/>
      <c r="BL168" s="113"/>
      <c r="BM168" s="113"/>
      <c r="BN168" s="113"/>
      <c r="BO168" s="113"/>
      <c r="BP168" s="121"/>
      <c r="BQ168" s="121"/>
      <c r="GA168" t="s">
        <v>113</v>
      </c>
      <c r="GB168" t="s">
        <v>23055</v>
      </c>
      <c r="GC168" s="46">
        <v>0</v>
      </c>
      <c r="GD168" s="113"/>
      <c r="GE168" s="113"/>
      <c r="GF168" s="113"/>
      <c r="GG168" s="113"/>
      <c r="GH168" s="113"/>
      <c r="GI168" s="46">
        <v>0</v>
      </c>
      <c r="GJ168" s="113"/>
      <c r="GK168" s="113"/>
      <c r="GL168" s="113"/>
      <c r="GM168" s="113"/>
      <c r="GN168" s="113"/>
      <c r="GO168" s="46">
        <v>0</v>
      </c>
      <c r="GP168" s="113"/>
      <c r="GQ168" s="113"/>
      <c r="GR168" s="113"/>
      <c r="GS168" s="113"/>
      <c r="GT168" s="113"/>
      <c r="GU168" s="46">
        <v>0</v>
      </c>
      <c r="GV168" s="113"/>
      <c r="GW168" s="113"/>
      <c r="GX168" s="113"/>
      <c r="GY168" s="113"/>
      <c r="GZ168" s="113"/>
      <c r="HA168" s="46">
        <v>0</v>
      </c>
      <c r="HB168" s="113"/>
      <c r="HC168" s="113"/>
      <c r="HD168" s="113"/>
      <c r="HE168" s="113"/>
      <c r="HF168" s="113"/>
      <c r="HG168" s="46">
        <v>0</v>
      </c>
      <c r="HH168" s="113"/>
      <c r="HI168" s="113"/>
      <c r="HJ168" s="113"/>
      <c r="HK168" s="113"/>
      <c r="HL168" s="113"/>
      <c r="HM168" s="121"/>
      <c r="HN168" s="121"/>
      <c r="LM168" t="str">
        <v/>
      </c>
      <c r="LN168" t="str">
        <v/>
      </c>
      <c r="LO168" t="str">
        <v/>
      </c>
    </row>
    <row r="169" spans="30:327">
      <c r="AD169" t="s">
        <v>113</v>
      </c>
      <c r="AE169" t="s">
        <v>23056</v>
      </c>
      <c r="AF169" s="46">
        <v>0</v>
      </c>
      <c r="AG169" s="113"/>
      <c r="AH169" s="113"/>
      <c r="AI169" s="113"/>
      <c r="AJ169" s="113"/>
      <c r="AK169" s="113"/>
      <c r="AL169" s="46">
        <v>0</v>
      </c>
      <c r="AM169" s="113"/>
      <c r="AN169" s="113"/>
      <c r="AO169" s="113"/>
      <c r="AP169" s="113"/>
      <c r="AQ169" s="113"/>
      <c r="AR169" s="46">
        <v>0</v>
      </c>
      <c r="AS169" s="113"/>
      <c r="AT169" s="113"/>
      <c r="AU169" s="113"/>
      <c r="AV169" s="113"/>
      <c r="AW169" s="113"/>
      <c r="AX169" s="46">
        <v>0</v>
      </c>
      <c r="AY169" s="113"/>
      <c r="AZ169" s="113"/>
      <c r="BA169" s="113"/>
      <c r="BB169" s="113"/>
      <c r="BC169" s="113"/>
      <c r="BD169" s="46">
        <v>0</v>
      </c>
      <c r="BE169" s="113"/>
      <c r="BF169" s="113"/>
      <c r="BG169" s="113"/>
      <c r="BH169" s="113"/>
      <c r="BI169" s="113"/>
      <c r="BJ169" s="46">
        <v>0</v>
      </c>
      <c r="BK169" s="113"/>
      <c r="BL169" s="113"/>
      <c r="BM169" s="113"/>
      <c r="BN169" s="113"/>
      <c r="BO169" s="113"/>
      <c r="BP169" s="121"/>
      <c r="BQ169" s="121"/>
      <c r="GA169" t="s">
        <v>113</v>
      </c>
      <c r="GB169" t="s">
        <v>23056</v>
      </c>
      <c r="GC169" s="46">
        <v>0</v>
      </c>
      <c r="GD169" s="113"/>
      <c r="GE169" s="113"/>
      <c r="GF169" s="113"/>
      <c r="GG169" s="113"/>
      <c r="GH169" s="113"/>
      <c r="GI169" s="46">
        <v>0</v>
      </c>
      <c r="GJ169" s="113"/>
      <c r="GK169" s="113"/>
      <c r="GL169" s="113"/>
      <c r="GM169" s="113"/>
      <c r="GN169" s="113"/>
      <c r="GO169" s="46">
        <v>0</v>
      </c>
      <c r="GP169" s="113"/>
      <c r="GQ169" s="113"/>
      <c r="GR169" s="113"/>
      <c r="GS169" s="113"/>
      <c r="GT169" s="113"/>
      <c r="GU169" s="46">
        <v>0</v>
      </c>
      <c r="GV169" s="113"/>
      <c r="GW169" s="113"/>
      <c r="GX169" s="113"/>
      <c r="GY169" s="113"/>
      <c r="GZ169" s="113"/>
      <c r="HA169" s="46">
        <v>0</v>
      </c>
      <c r="HB169" s="113"/>
      <c r="HC169" s="113"/>
      <c r="HD169" s="113"/>
      <c r="HE169" s="113"/>
      <c r="HF169" s="113"/>
      <c r="HG169" s="46">
        <v>0</v>
      </c>
      <c r="HH169" s="113"/>
      <c r="HI169" s="113"/>
      <c r="HJ169" s="113"/>
      <c r="HK169" s="113"/>
      <c r="HL169" s="113"/>
      <c r="HM169" s="121"/>
      <c r="HN169" s="121"/>
      <c r="LM169" t="str">
        <v/>
      </c>
      <c r="LN169" t="str">
        <v/>
      </c>
      <c r="LO169" t="str">
        <v/>
      </c>
    </row>
    <row r="170" spans="30:327">
      <c r="AD170" t="s">
        <v>113</v>
      </c>
      <c r="AE170" t="s">
        <v>23057</v>
      </c>
      <c r="AF170" s="46">
        <v>0</v>
      </c>
      <c r="AG170" s="113"/>
      <c r="AH170" s="113"/>
      <c r="AI170" s="113"/>
      <c r="AJ170" s="113"/>
      <c r="AK170" s="113"/>
      <c r="AL170" s="46">
        <v>0</v>
      </c>
      <c r="AM170" s="113"/>
      <c r="AN170" s="113"/>
      <c r="AO170" s="113"/>
      <c r="AP170" s="113"/>
      <c r="AQ170" s="113"/>
      <c r="AR170" s="46">
        <v>0</v>
      </c>
      <c r="AS170" s="113"/>
      <c r="AT170" s="113"/>
      <c r="AU170" s="113"/>
      <c r="AV170" s="113"/>
      <c r="AW170" s="113"/>
      <c r="AX170" s="46">
        <v>0</v>
      </c>
      <c r="AY170" s="113"/>
      <c r="AZ170" s="113"/>
      <c r="BA170" s="113"/>
      <c r="BB170" s="113"/>
      <c r="BC170" s="113"/>
      <c r="BD170" s="46">
        <v>0</v>
      </c>
      <c r="BE170" s="113"/>
      <c r="BF170" s="113"/>
      <c r="BG170" s="113"/>
      <c r="BH170" s="113"/>
      <c r="BI170" s="113"/>
      <c r="BJ170" s="46">
        <v>0</v>
      </c>
      <c r="BK170" s="113"/>
      <c r="BL170" s="113"/>
      <c r="BM170" s="113"/>
      <c r="BN170" s="113"/>
      <c r="BO170" s="113"/>
      <c r="BP170" s="121"/>
      <c r="BQ170" s="121"/>
      <c r="GA170" t="s">
        <v>113</v>
      </c>
      <c r="GB170" t="s">
        <v>23057</v>
      </c>
      <c r="GC170" s="46">
        <v>0</v>
      </c>
      <c r="GD170" s="113"/>
      <c r="GE170" s="113"/>
      <c r="GF170" s="113"/>
      <c r="GG170" s="113"/>
      <c r="GH170" s="113"/>
      <c r="GI170" s="46">
        <v>0</v>
      </c>
      <c r="GJ170" s="113"/>
      <c r="GK170" s="113"/>
      <c r="GL170" s="113"/>
      <c r="GM170" s="113"/>
      <c r="GN170" s="113"/>
      <c r="GO170" s="46">
        <v>0</v>
      </c>
      <c r="GP170" s="113"/>
      <c r="GQ170" s="113"/>
      <c r="GR170" s="113"/>
      <c r="GS170" s="113"/>
      <c r="GT170" s="113"/>
      <c r="GU170" s="46">
        <v>0</v>
      </c>
      <c r="GV170" s="113"/>
      <c r="GW170" s="113"/>
      <c r="GX170" s="113"/>
      <c r="GY170" s="113"/>
      <c r="GZ170" s="113"/>
      <c r="HA170" s="46">
        <v>0</v>
      </c>
      <c r="HB170" s="113"/>
      <c r="HC170" s="113"/>
      <c r="HD170" s="113"/>
      <c r="HE170" s="113"/>
      <c r="HF170" s="113"/>
      <c r="HG170" s="46">
        <v>0</v>
      </c>
      <c r="HH170" s="113"/>
      <c r="HI170" s="113"/>
      <c r="HJ170" s="113"/>
      <c r="HK170" s="113"/>
      <c r="HL170" s="113"/>
      <c r="HM170" s="121"/>
      <c r="HN170" s="121"/>
      <c r="LM170" t="str">
        <v/>
      </c>
      <c r="LN170" t="str">
        <v/>
      </c>
      <c r="LO170" t="str">
        <v/>
      </c>
    </row>
    <row r="171" spans="30:327">
      <c r="AD171" t="s">
        <v>113</v>
      </c>
      <c r="AE171" t="s">
        <v>23058</v>
      </c>
      <c r="AF171" s="46">
        <v>0</v>
      </c>
      <c r="AG171" s="113"/>
      <c r="AH171" s="113"/>
      <c r="AI171" s="113"/>
      <c r="AJ171" s="113"/>
      <c r="AK171" s="113"/>
      <c r="AL171" s="46">
        <v>0</v>
      </c>
      <c r="AM171" s="113"/>
      <c r="AN171" s="113"/>
      <c r="AO171" s="113"/>
      <c r="AP171" s="113"/>
      <c r="AQ171" s="113"/>
      <c r="AR171" s="46">
        <v>0</v>
      </c>
      <c r="AS171" s="113"/>
      <c r="AT171" s="113"/>
      <c r="AU171" s="113"/>
      <c r="AV171" s="113"/>
      <c r="AW171" s="113"/>
      <c r="AX171" s="46">
        <v>0</v>
      </c>
      <c r="AY171" s="113"/>
      <c r="AZ171" s="113"/>
      <c r="BA171" s="113"/>
      <c r="BB171" s="113"/>
      <c r="BC171" s="113"/>
      <c r="BD171" s="46">
        <v>0</v>
      </c>
      <c r="BE171" s="113"/>
      <c r="BF171" s="113"/>
      <c r="BG171" s="113"/>
      <c r="BH171" s="113"/>
      <c r="BI171" s="113"/>
      <c r="BJ171" s="46">
        <v>0</v>
      </c>
      <c r="BK171" s="113"/>
      <c r="BL171" s="113"/>
      <c r="BM171" s="113"/>
      <c r="BN171" s="113"/>
      <c r="BO171" s="113"/>
      <c r="BP171" s="121"/>
      <c r="BQ171" s="121"/>
      <c r="GA171" t="s">
        <v>113</v>
      </c>
      <c r="GB171" t="s">
        <v>23058</v>
      </c>
      <c r="GC171" s="46">
        <v>0</v>
      </c>
      <c r="GD171" s="113"/>
      <c r="GE171" s="113"/>
      <c r="GF171" s="113"/>
      <c r="GG171" s="113"/>
      <c r="GH171" s="113"/>
      <c r="GI171" s="46">
        <v>0</v>
      </c>
      <c r="GJ171" s="113"/>
      <c r="GK171" s="113"/>
      <c r="GL171" s="113"/>
      <c r="GM171" s="113"/>
      <c r="GN171" s="113"/>
      <c r="GO171" s="46">
        <v>0</v>
      </c>
      <c r="GP171" s="113"/>
      <c r="GQ171" s="113"/>
      <c r="GR171" s="113"/>
      <c r="GS171" s="113"/>
      <c r="GT171" s="113"/>
      <c r="GU171" s="46">
        <v>0</v>
      </c>
      <c r="GV171" s="113"/>
      <c r="GW171" s="113"/>
      <c r="GX171" s="113"/>
      <c r="GY171" s="113"/>
      <c r="GZ171" s="113"/>
      <c r="HA171" s="46">
        <v>0</v>
      </c>
      <c r="HB171" s="113"/>
      <c r="HC171" s="113"/>
      <c r="HD171" s="113"/>
      <c r="HE171" s="113"/>
      <c r="HF171" s="113"/>
      <c r="HG171" s="46">
        <v>0</v>
      </c>
      <c r="HH171" s="113"/>
      <c r="HI171" s="113"/>
      <c r="HJ171" s="113"/>
      <c r="HK171" s="113"/>
      <c r="HL171" s="113"/>
      <c r="HM171" s="121"/>
      <c r="HN171" s="121"/>
      <c r="LM171" t="str">
        <v/>
      </c>
      <c r="LN171" t="str">
        <v/>
      </c>
      <c r="LO171" t="str">
        <v/>
      </c>
    </row>
    <row r="172" spans="30:327">
      <c r="AD172" t="s">
        <v>113</v>
      </c>
      <c r="AE172" t="s">
        <v>23059</v>
      </c>
      <c r="AF172" s="46">
        <v>0</v>
      </c>
      <c r="AG172" s="113"/>
      <c r="AH172" s="113"/>
      <c r="AI172" s="113"/>
      <c r="AJ172" s="113"/>
      <c r="AK172" s="113"/>
      <c r="AL172" s="46">
        <v>0</v>
      </c>
      <c r="AM172" s="113"/>
      <c r="AN172" s="113"/>
      <c r="AO172" s="113"/>
      <c r="AP172" s="113"/>
      <c r="AQ172" s="113"/>
      <c r="AR172" s="46">
        <v>0</v>
      </c>
      <c r="AS172" s="113"/>
      <c r="AT172" s="113"/>
      <c r="AU172" s="113"/>
      <c r="AV172" s="113"/>
      <c r="AW172" s="113"/>
      <c r="AX172" s="46">
        <v>0</v>
      </c>
      <c r="AY172" s="113"/>
      <c r="AZ172" s="113"/>
      <c r="BA172" s="113"/>
      <c r="BB172" s="113"/>
      <c r="BC172" s="113"/>
      <c r="BD172" s="46">
        <v>0</v>
      </c>
      <c r="BE172" s="113"/>
      <c r="BF172" s="113"/>
      <c r="BG172" s="113"/>
      <c r="BH172" s="113"/>
      <c r="BI172" s="113"/>
      <c r="BJ172" s="46">
        <v>0</v>
      </c>
      <c r="BK172" s="113"/>
      <c r="BL172" s="113"/>
      <c r="BM172" s="113"/>
      <c r="BN172" s="113"/>
      <c r="BO172" s="113"/>
      <c r="BP172" s="121"/>
      <c r="BQ172" s="121"/>
      <c r="GA172" t="s">
        <v>113</v>
      </c>
      <c r="GB172" t="s">
        <v>23059</v>
      </c>
      <c r="GC172" s="46">
        <v>0</v>
      </c>
      <c r="GD172" s="113"/>
      <c r="GE172" s="113"/>
      <c r="GF172" s="113"/>
      <c r="GG172" s="113"/>
      <c r="GH172" s="113"/>
      <c r="GI172" s="46">
        <v>0</v>
      </c>
      <c r="GJ172" s="113"/>
      <c r="GK172" s="113"/>
      <c r="GL172" s="113"/>
      <c r="GM172" s="113"/>
      <c r="GN172" s="113"/>
      <c r="GO172" s="46">
        <v>0</v>
      </c>
      <c r="GP172" s="113"/>
      <c r="GQ172" s="113"/>
      <c r="GR172" s="113"/>
      <c r="GS172" s="113"/>
      <c r="GT172" s="113"/>
      <c r="GU172" s="46">
        <v>0</v>
      </c>
      <c r="GV172" s="113"/>
      <c r="GW172" s="113"/>
      <c r="GX172" s="113"/>
      <c r="GY172" s="113"/>
      <c r="GZ172" s="113"/>
      <c r="HA172" s="46">
        <v>0</v>
      </c>
      <c r="HB172" s="113"/>
      <c r="HC172" s="113"/>
      <c r="HD172" s="113"/>
      <c r="HE172" s="113"/>
      <c r="HF172" s="113"/>
      <c r="HG172" s="46">
        <v>0</v>
      </c>
      <c r="HH172" s="113"/>
      <c r="HI172" s="113"/>
      <c r="HJ172" s="113"/>
      <c r="HK172" s="113"/>
      <c r="HL172" s="113"/>
      <c r="HM172" s="121"/>
      <c r="HN172" s="121"/>
      <c r="LM172" t="str">
        <v/>
      </c>
      <c r="LN172" t="str">
        <v/>
      </c>
      <c r="LO172" t="str">
        <v/>
      </c>
    </row>
    <row r="173" spans="30:327">
      <c r="AD173" t="s">
        <v>113</v>
      </c>
      <c r="AE173" t="s">
        <v>23060</v>
      </c>
      <c r="AF173" s="46">
        <v>0</v>
      </c>
      <c r="AG173" s="113"/>
      <c r="AH173" s="113"/>
      <c r="AI173" s="113"/>
      <c r="AJ173" s="113"/>
      <c r="AK173" s="113"/>
      <c r="AL173" s="46">
        <v>0</v>
      </c>
      <c r="AM173" s="113"/>
      <c r="AN173" s="113"/>
      <c r="AO173" s="113"/>
      <c r="AP173" s="113"/>
      <c r="AQ173" s="113"/>
      <c r="AR173" s="46">
        <v>0</v>
      </c>
      <c r="AS173" s="113"/>
      <c r="AT173" s="113"/>
      <c r="AU173" s="113"/>
      <c r="AV173" s="113"/>
      <c r="AW173" s="113"/>
      <c r="AX173" s="46">
        <v>0</v>
      </c>
      <c r="AY173" s="113"/>
      <c r="AZ173" s="113"/>
      <c r="BA173" s="113"/>
      <c r="BB173" s="113"/>
      <c r="BC173" s="113"/>
      <c r="BD173" s="46">
        <v>0</v>
      </c>
      <c r="BE173" s="113"/>
      <c r="BF173" s="113"/>
      <c r="BG173" s="113"/>
      <c r="BH173" s="113"/>
      <c r="BI173" s="113"/>
      <c r="BJ173" s="46">
        <v>0</v>
      </c>
      <c r="BK173" s="113"/>
      <c r="BL173" s="113"/>
      <c r="BM173" s="113"/>
      <c r="BN173" s="113"/>
      <c r="BO173" s="113"/>
      <c r="BP173" s="121"/>
      <c r="BQ173" s="121"/>
      <c r="GA173" t="s">
        <v>113</v>
      </c>
      <c r="GB173" t="s">
        <v>23060</v>
      </c>
      <c r="GC173" s="46">
        <v>0</v>
      </c>
      <c r="GD173" s="113"/>
      <c r="GE173" s="113"/>
      <c r="GF173" s="113"/>
      <c r="GG173" s="113"/>
      <c r="GH173" s="113"/>
      <c r="GI173" s="46">
        <v>0</v>
      </c>
      <c r="GJ173" s="113"/>
      <c r="GK173" s="113"/>
      <c r="GL173" s="113"/>
      <c r="GM173" s="113"/>
      <c r="GN173" s="113"/>
      <c r="GO173" s="46">
        <v>0</v>
      </c>
      <c r="GP173" s="113"/>
      <c r="GQ173" s="113"/>
      <c r="GR173" s="113"/>
      <c r="GS173" s="113"/>
      <c r="GT173" s="113"/>
      <c r="GU173" s="46">
        <v>0</v>
      </c>
      <c r="GV173" s="113"/>
      <c r="GW173" s="113"/>
      <c r="GX173" s="113"/>
      <c r="GY173" s="113"/>
      <c r="GZ173" s="113"/>
      <c r="HA173" s="46">
        <v>0</v>
      </c>
      <c r="HB173" s="113"/>
      <c r="HC173" s="113"/>
      <c r="HD173" s="113"/>
      <c r="HE173" s="113"/>
      <c r="HF173" s="113"/>
      <c r="HG173" s="46">
        <v>0</v>
      </c>
      <c r="HH173" s="113"/>
      <c r="HI173" s="113"/>
      <c r="HJ173" s="113"/>
      <c r="HK173" s="113"/>
      <c r="HL173" s="113"/>
      <c r="HM173" s="121"/>
      <c r="HN173" s="121"/>
      <c r="LM173" t="str">
        <v/>
      </c>
      <c r="LN173" t="str">
        <v/>
      </c>
      <c r="LO173" t="str">
        <v/>
      </c>
    </row>
    <row r="174" spans="30:327">
      <c r="AD174" t="s">
        <v>113</v>
      </c>
      <c r="AE174" t="s">
        <v>23061</v>
      </c>
      <c r="AF174" s="46">
        <v>0</v>
      </c>
      <c r="AG174" s="113"/>
      <c r="AH174" s="113"/>
      <c r="AI174" s="113"/>
      <c r="AJ174" s="113"/>
      <c r="AK174" s="113"/>
      <c r="AL174" s="46">
        <v>0</v>
      </c>
      <c r="AM174" s="113"/>
      <c r="AN174" s="113"/>
      <c r="AO174" s="113"/>
      <c r="AP174" s="113"/>
      <c r="AQ174" s="113"/>
      <c r="AR174" s="46">
        <v>0</v>
      </c>
      <c r="AS174" s="113"/>
      <c r="AT174" s="113"/>
      <c r="AU174" s="113"/>
      <c r="AV174" s="113"/>
      <c r="AW174" s="113"/>
      <c r="AX174" s="46">
        <v>0</v>
      </c>
      <c r="AY174" s="113"/>
      <c r="AZ174" s="113"/>
      <c r="BA174" s="113"/>
      <c r="BB174" s="113"/>
      <c r="BC174" s="113"/>
      <c r="BD174" s="46">
        <v>0</v>
      </c>
      <c r="BE174" s="113"/>
      <c r="BF174" s="113"/>
      <c r="BG174" s="113"/>
      <c r="BH174" s="113"/>
      <c r="BI174" s="113"/>
      <c r="BJ174" s="46">
        <v>0</v>
      </c>
      <c r="BK174" s="113"/>
      <c r="BL174" s="113"/>
      <c r="BM174" s="113"/>
      <c r="BN174" s="113"/>
      <c r="BO174" s="113"/>
      <c r="BP174" s="121"/>
      <c r="BQ174" s="121"/>
      <c r="GA174" t="s">
        <v>113</v>
      </c>
      <c r="GB174" t="s">
        <v>23061</v>
      </c>
      <c r="GC174" s="46">
        <v>0</v>
      </c>
      <c r="GD174" s="113"/>
      <c r="GE174" s="113"/>
      <c r="GF174" s="113"/>
      <c r="GG174" s="113"/>
      <c r="GH174" s="113"/>
      <c r="GI174" s="46">
        <v>0</v>
      </c>
      <c r="GJ174" s="113"/>
      <c r="GK174" s="113"/>
      <c r="GL174" s="113"/>
      <c r="GM174" s="113"/>
      <c r="GN174" s="113"/>
      <c r="GO174" s="46">
        <v>0</v>
      </c>
      <c r="GP174" s="113"/>
      <c r="GQ174" s="113"/>
      <c r="GR174" s="113"/>
      <c r="GS174" s="113"/>
      <c r="GT174" s="113"/>
      <c r="GU174" s="46">
        <v>0</v>
      </c>
      <c r="GV174" s="113"/>
      <c r="GW174" s="113"/>
      <c r="GX174" s="113"/>
      <c r="GY174" s="113"/>
      <c r="GZ174" s="113"/>
      <c r="HA174" s="46">
        <v>0</v>
      </c>
      <c r="HB174" s="113"/>
      <c r="HC174" s="113"/>
      <c r="HD174" s="113"/>
      <c r="HE174" s="113"/>
      <c r="HF174" s="113"/>
      <c r="HG174" s="46">
        <v>0</v>
      </c>
      <c r="HH174" s="113"/>
      <c r="HI174" s="113"/>
      <c r="HJ174" s="113"/>
      <c r="HK174" s="113"/>
      <c r="HL174" s="113"/>
      <c r="HM174" s="121"/>
      <c r="HN174" s="121"/>
      <c r="LM174" t="str">
        <v/>
      </c>
      <c r="LN174" t="str">
        <v/>
      </c>
      <c r="LO174" t="str">
        <v/>
      </c>
    </row>
    <row r="175" spans="30:327">
      <c r="AD175" t="s">
        <v>113</v>
      </c>
      <c r="AE175" t="s">
        <v>23062</v>
      </c>
      <c r="AF175" s="46">
        <v>0</v>
      </c>
      <c r="AG175" s="113"/>
      <c r="AH175" s="113"/>
      <c r="AI175" s="113"/>
      <c r="AJ175" s="113"/>
      <c r="AK175" s="113"/>
      <c r="AL175" s="46">
        <v>0</v>
      </c>
      <c r="AM175" s="113"/>
      <c r="AN175" s="113"/>
      <c r="AO175" s="113"/>
      <c r="AP175" s="113"/>
      <c r="AQ175" s="113"/>
      <c r="AR175" s="46">
        <v>0</v>
      </c>
      <c r="AS175" s="113"/>
      <c r="AT175" s="113"/>
      <c r="AU175" s="113"/>
      <c r="AV175" s="113"/>
      <c r="AW175" s="113"/>
      <c r="AX175" s="46">
        <v>0</v>
      </c>
      <c r="AY175" s="113"/>
      <c r="AZ175" s="113"/>
      <c r="BA175" s="113"/>
      <c r="BB175" s="113"/>
      <c r="BC175" s="113"/>
      <c r="BD175" s="46">
        <v>0</v>
      </c>
      <c r="BE175" s="113"/>
      <c r="BF175" s="113"/>
      <c r="BG175" s="113"/>
      <c r="BH175" s="113"/>
      <c r="BI175" s="113"/>
      <c r="BJ175" s="46">
        <v>0</v>
      </c>
      <c r="BK175" s="113"/>
      <c r="BL175" s="113"/>
      <c r="BM175" s="113"/>
      <c r="BN175" s="113"/>
      <c r="BO175" s="113"/>
      <c r="BP175" s="121"/>
      <c r="BQ175" s="121"/>
      <c r="GA175" t="s">
        <v>113</v>
      </c>
      <c r="GB175" t="s">
        <v>23062</v>
      </c>
      <c r="GC175" s="46">
        <v>0</v>
      </c>
      <c r="GD175" s="113"/>
      <c r="GE175" s="113"/>
      <c r="GF175" s="113"/>
      <c r="GG175" s="113"/>
      <c r="GH175" s="113"/>
      <c r="GI175" s="46">
        <v>0</v>
      </c>
      <c r="GJ175" s="113"/>
      <c r="GK175" s="113"/>
      <c r="GL175" s="113"/>
      <c r="GM175" s="113"/>
      <c r="GN175" s="113"/>
      <c r="GO175" s="46">
        <v>0</v>
      </c>
      <c r="GP175" s="113"/>
      <c r="GQ175" s="113"/>
      <c r="GR175" s="113"/>
      <c r="GS175" s="113"/>
      <c r="GT175" s="113"/>
      <c r="GU175" s="46">
        <v>0</v>
      </c>
      <c r="GV175" s="113"/>
      <c r="GW175" s="113"/>
      <c r="GX175" s="113"/>
      <c r="GY175" s="113"/>
      <c r="GZ175" s="113"/>
      <c r="HA175" s="46">
        <v>0</v>
      </c>
      <c r="HB175" s="113"/>
      <c r="HC175" s="113"/>
      <c r="HD175" s="113"/>
      <c r="HE175" s="113"/>
      <c r="HF175" s="113"/>
      <c r="HG175" s="46">
        <v>0</v>
      </c>
      <c r="HH175" s="113"/>
      <c r="HI175" s="113"/>
      <c r="HJ175" s="113"/>
      <c r="HK175" s="113"/>
      <c r="HL175" s="113"/>
      <c r="HM175" s="121"/>
      <c r="HN175" s="121"/>
      <c r="LM175" t="str">
        <v/>
      </c>
      <c r="LN175" t="str">
        <v/>
      </c>
      <c r="LO175" t="str">
        <v/>
      </c>
    </row>
    <row r="176" spans="30:327">
      <c r="AD176" t="s">
        <v>113</v>
      </c>
      <c r="AE176" t="s">
        <v>23063</v>
      </c>
      <c r="AF176" s="46">
        <v>0</v>
      </c>
      <c r="AG176" s="113"/>
      <c r="AH176" s="113"/>
      <c r="AI176" s="113"/>
      <c r="AJ176" s="113"/>
      <c r="AK176" s="113"/>
      <c r="AL176" s="46">
        <v>0</v>
      </c>
      <c r="AM176" s="113"/>
      <c r="AN176" s="113"/>
      <c r="AO176" s="113"/>
      <c r="AP176" s="113"/>
      <c r="AQ176" s="113"/>
      <c r="AR176" s="46">
        <v>0</v>
      </c>
      <c r="AS176" s="113"/>
      <c r="AT176" s="113"/>
      <c r="AU176" s="113"/>
      <c r="AV176" s="113"/>
      <c r="AW176" s="113"/>
      <c r="AX176" s="46">
        <v>0</v>
      </c>
      <c r="AY176" s="113"/>
      <c r="AZ176" s="113"/>
      <c r="BA176" s="113"/>
      <c r="BB176" s="113"/>
      <c r="BC176" s="113"/>
      <c r="BD176" s="46">
        <v>0</v>
      </c>
      <c r="BE176" s="113"/>
      <c r="BF176" s="113"/>
      <c r="BG176" s="113"/>
      <c r="BH176" s="113"/>
      <c r="BI176" s="113"/>
      <c r="BJ176" s="46">
        <v>0</v>
      </c>
      <c r="BK176" s="113"/>
      <c r="BL176" s="113"/>
      <c r="BM176" s="113"/>
      <c r="BN176" s="113"/>
      <c r="BO176" s="113"/>
      <c r="BP176" s="121"/>
      <c r="BQ176" s="121"/>
      <c r="GA176" t="s">
        <v>113</v>
      </c>
      <c r="GB176" t="s">
        <v>23063</v>
      </c>
      <c r="GC176" s="46">
        <v>0</v>
      </c>
      <c r="GD176" s="113"/>
      <c r="GE176" s="113"/>
      <c r="GF176" s="113"/>
      <c r="GG176" s="113"/>
      <c r="GH176" s="113"/>
      <c r="GI176" s="46">
        <v>0</v>
      </c>
      <c r="GJ176" s="113"/>
      <c r="GK176" s="113"/>
      <c r="GL176" s="113"/>
      <c r="GM176" s="113"/>
      <c r="GN176" s="113"/>
      <c r="GO176" s="46">
        <v>0</v>
      </c>
      <c r="GP176" s="113"/>
      <c r="GQ176" s="113"/>
      <c r="GR176" s="113"/>
      <c r="GS176" s="113"/>
      <c r="GT176" s="113"/>
      <c r="GU176" s="46">
        <v>0</v>
      </c>
      <c r="GV176" s="113"/>
      <c r="GW176" s="113"/>
      <c r="GX176" s="113"/>
      <c r="GY176" s="113"/>
      <c r="GZ176" s="113"/>
      <c r="HA176" s="46">
        <v>0</v>
      </c>
      <c r="HB176" s="113"/>
      <c r="HC176" s="113"/>
      <c r="HD176" s="113"/>
      <c r="HE176" s="113"/>
      <c r="HF176" s="113"/>
      <c r="HG176" s="46">
        <v>0</v>
      </c>
      <c r="HH176" s="113"/>
      <c r="HI176" s="113"/>
      <c r="HJ176" s="113"/>
      <c r="HK176" s="113"/>
      <c r="HL176" s="113"/>
      <c r="HM176" s="121"/>
      <c r="HN176" s="121"/>
      <c r="LM176" t="str">
        <v/>
      </c>
      <c r="LN176" t="str">
        <v/>
      </c>
      <c r="LO176" t="str">
        <v/>
      </c>
    </row>
    <row r="177" spans="30:327">
      <c r="AD177" t="s">
        <v>113</v>
      </c>
      <c r="AE177" t="s">
        <v>23064</v>
      </c>
      <c r="AF177" s="46">
        <v>0</v>
      </c>
      <c r="AG177" s="113"/>
      <c r="AH177" s="113"/>
      <c r="AI177" s="113"/>
      <c r="AJ177" s="113"/>
      <c r="AK177" s="113"/>
      <c r="AL177" s="46">
        <v>0</v>
      </c>
      <c r="AM177" s="113"/>
      <c r="AN177" s="113"/>
      <c r="AO177" s="113"/>
      <c r="AP177" s="113"/>
      <c r="AQ177" s="113"/>
      <c r="AR177" s="46">
        <v>0</v>
      </c>
      <c r="AS177" s="113"/>
      <c r="AT177" s="113"/>
      <c r="AU177" s="113"/>
      <c r="AV177" s="113"/>
      <c r="AW177" s="113"/>
      <c r="AX177" s="46">
        <v>0</v>
      </c>
      <c r="AY177" s="113"/>
      <c r="AZ177" s="113"/>
      <c r="BA177" s="113"/>
      <c r="BB177" s="113"/>
      <c r="BC177" s="113"/>
      <c r="BD177" s="46">
        <v>0</v>
      </c>
      <c r="BE177" s="113"/>
      <c r="BF177" s="113"/>
      <c r="BG177" s="113"/>
      <c r="BH177" s="113"/>
      <c r="BI177" s="113"/>
      <c r="BJ177" s="46">
        <v>0</v>
      </c>
      <c r="BK177" s="113"/>
      <c r="BL177" s="113"/>
      <c r="BM177" s="113"/>
      <c r="BN177" s="113"/>
      <c r="BO177" s="113"/>
      <c r="BP177" s="121"/>
      <c r="BQ177" s="121"/>
      <c r="GA177" t="s">
        <v>113</v>
      </c>
      <c r="GB177" t="s">
        <v>23064</v>
      </c>
      <c r="GC177" s="46">
        <v>0</v>
      </c>
      <c r="GD177" s="113"/>
      <c r="GE177" s="113"/>
      <c r="GF177" s="113"/>
      <c r="GG177" s="113"/>
      <c r="GH177" s="113"/>
      <c r="GI177" s="46">
        <v>0</v>
      </c>
      <c r="GJ177" s="113"/>
      <c r="GK177" s="113"/>
      <c r="GL177" s="113"/>
      <c r="GM177" s="113"/>
      <c r="GN177" s="113"/>
      <c r="GO177" s="46">
        <v>0</v>
      </c>
      <c r="GP177" s="113"/>
      <c r="GQ177" s="113"/>
      <c r="GR177" s="113"/>
      <c r="GS177" s="113"/>
      <c r="GT177" s="113"/>
      <c r="GU177" s="46">
        <v>0</v>
      </c>
      <c r="GV177" s="113"/>
      <c r="GW177" s="113"/>
      <c r="GX177" s="113"/>
      <c r="GY177" s="113"/>
      <c r="GZ177" s="113"/>
      <c r="HA177" s="46">
        <v>0</v>
      </c>
      <c r="HB177" s="113"/>
      <c r="HC177" s="113"/>
      <c r="HD177" s="113"/>
      <c r="HE177" s="113"/>
      <c r="HF177" s="113"/>
      <c r="HG177" s="46">
        <v>0</v>
      </c>
      <c r="HH177" s="113"/>
      <c r="HI177" s="113"/>
      <c r="HJ177" s="113"/>
      <c r="HK177" s="113"/>
      <c r="HL177" s="113"/>
      <c r="HM177" s="121"/>
      <c r="HN177" s="121"/>
      <c r="LM177" t="str">
        <v/>
      </c>
      <c r="LN177" t="str">
        <v/>
      </c>
      <c r="LO177" t="str">
        <v/>
      </c>
    </row>
    <row r="178" spans="30:327">
      <c r="AD178" t="s">
        <v>113</v>
      </c>
      <c r="AE178" t="s">
        <v>23065</v>
      </c>
      <c r="AF178" s="46">
        <v>0</v>
      </c>
      <c r="AG178" s="113"/>
      <c r="AH178" s="113"/>
      <c r="AI178" s="113"/>
      <c r="AJ178" s="113"/>
      <c r="AK178" s="113"/>
      <c r="AL178" s="46">
        <v>0</v>
      </c>
      <c r="AM178" s="113"/>
      <c r="AN178" s="113"/>
      <c r="AO178" s="113"/>
      <c r="AP178" s="113"/>
      <c r="AQ178" s="113"/>
      <c r="AR178" s="46">
        <v>0</v>
      </c>
      <c r="AS178" s="113"/>
      <c r="AT178" s="113"/>
      <c r="AU178" s="113"/>
      <c r="AV178" s="113"/>
      <c r="AW178" s="113"/>
      <c r="AX178" s="46">
        <v>0</v>
      </c>
      <c r="AY178" s="113"/>
      <c r="AZ178" s="113"/>
      <c r="BA178" s="113"/>
      <c r="BB178" s="113"/>
      <c r="BC178" s="113"/>
      <c r="BD178" s="46">
        <v>0</v>
      </c>
      <c r="BE178" s="113"/>
      <c r="BF178" s="113"/>
      <c r="BG178" s="113"/>
      <c r="BH178" s="113"/>
      <c r="BI178" s="113"/>
      <c r="BJ178" s="46">
        <v>0</v>
      </c>
      <c r="BK178" s="113"/>
      <c r="BL178" s="113"/>
      <c r="BM178" s="113"/>
      <c r="BN178" s="113"/>
      <c r="BO178" s="113"/>
      <c r="BP178" s="121"/>
      <c r="BQ178" s="121"/>
      <c r="GA178" t="s">
        <v>113</v>
      </c>
      <c r="GB178" t="s">
        <v>23065</v>
      </c>
      <c r="GC178" s="46">
        <v>0</v>
      </c>
      <c r="GD178" s="113"/>
      <c r="GE178" s="113"/>
      <c r="GF178" s="113"/>
      <c r="GG178" s="113"/>
      <c r="GH178" s="113"/>
      <c r="GI178" s="46">
        <v>0</v>
      </c>
      <c r="GJ178" s="113"/>
      <c r="GK178" s="113"/>
      <c r="GL178" s="113"/>
      <c r="GM178" s="113"/>
      <c r="GN178" s="113"/>
      <c r="GO178" s="46">
        <v>0</v>
      </c>
      <c r="GP178" s="113"/>
      <c r="GQ178" s="113"/>
      <c r="GR178" s="113"/>
      <c r="GS178" s="113"/>
      <c r="GT178" s="113"/>
      <c r="GU178" s="46">
        <v>0</v>
      </c>
      <c r="GV178" s="113"/>
      <c r="GW178" s="113"/>
      <c r="GX178" s="113"/>
      <c r="GY178" s="113"/>
      <c r="GZ178" s="113"/>
      <c r="HA178" s="46">
        <v>0</v>
      </c>
      <c r="HB178" s="113"/>
      <c r="HC178" s="113"/>
      <c r="HD178" s="113"/>
      <c r="HE178" s="113"/>
      <c r="HF178" s="113"/>
      <c r="HG178" s="46">
        <v>0</v>
      </c>
      <c r="HH178" s="113"/>
      <c r="HI178" s="113"/>
      <c r="HJ178" s="113"/>
      <c r="HK178" s="113"/>
      <c r="HL178" s="113"/>
      <c r="HM178" s="121"/>
      <c r="HN178" s="121"/>
      <c r="LM178" t="str">
        <v/>
      </c>
      <c r="LN178" t="str">
        <v/>
      </c>
      <c r="LO178" t="str">
        <v/>
      </c>
    </row>
    <row r="179" spans="30:327">
      <c r="AD179" t="s">
        <v>113</v>
      </c>
      <c r="AE179" t="s">
        <v>23066</v>
      </c>
      <c r="AF179" s="46">
        <v>0</v>
      </c>
      <c r="AG179" s="113"/>
      <c r="AH179" s="113"/>
      <c r="AI179" s="113"/>
      <c r="AJ179" s="113"/>
      <c r="AK179" s="113"/>
      <c r="AL179" s="46">
        <v>0</v>
      </c>
      <c r="AM179" s="113"/>
      <c r="AN179" s="113"/>
      <c r="AO179" s="113"/>
      <c r="AP179" s="113"/>
      <c r="AQ179" s="113"/>
      <c r="AR179" s="46">
        <v>0</v>
      </c>
      <c r="AS179" s="113"/>
      <c r="AT179" s="113"/>
      <c r="AU179" s="113"/>
      <c r="AV179" s="113"/>
      <c r="AW179" s="113"/>
      <c r="AX179" s="46">
        <v>0</v>
      </c>
      <c r="AY179" s="113"/>
      <c r="AZ179" s="113"/>
      <c r="BA179" s="113"/>
      <c r="BB179" s="113"/>
      <c r="BC179" s="113"/>
      <c r="BD179" s="46">
        <v>0</v>
      </c>
      <c r="BE179" s="113"/>
      <c r="BF179" s="113"/>
      <c r="BG179" s="113"/>
      <c r="BH179" s="113"/>
      <c r="BI179" s="113"/>
      <c r="BJ179" s="46">
        <v>0</v>
      </c>
      <c r="BK179" s="113"/>
      <c r="BL179" s="113"/>
      <c r="BM179" s="113"/>
      <c r="BN179" s="113"/>
      <c r="BO179" s="113"/>
      <c r="BP179" s="121"/>
      <c r="BQ179" s="121"/>
      <c r="GA179" t="s">
        <v>113</v>
      </c>
      <c r="GB179" t="s">
        <v>23066</v>
      </c>
      <c r="GC179" s="46">
        <v>0</v>
      </c>
      <c r="GD179" s="113"/>
      <c r="GE179" s="113"/>
      <c r="GF179" s="113"/>
      <c r="GG179" s="113"/>
      <c r="GH179" s="113"/>
      <c r="GI179" s="46">
        <v>0</v>
      </c>
      <c r="GJ179" s="113"/>
      <c r="GK179" s="113"/>
      <c r="GL179" s="113"/>
      <c r="GM179" s="113"/>
      <c r="GN179" s="113"/>
      <c r="GO179" s="46">
        <v>0</v>
      </c>
      <c r="GP179" s="113"/>
      <c r="GQ179" s="113"/>
      <c r="GR179" s="113"/>
      <c r="GS179" s="113"/>
      <c r="GT179" s="113"/>
      <c r="GU179" s="46">
        <v>0</v>
      </c>
      <c r="GV179" s="113"/>
      <c r="GW179" s="113"/>
      <c r="GX179" s="113"/>
      <c r="GY179" s="113"/>
      <c r="GZ179" s="113"/>
      <c r="HA179" s="46">
        <v>0</v>
      </c>
      <c r="HB179" s="113"/>
      <c r="HC179" s="113"/>
      <c r="HD179" s="113"/>
      <c r="HE179" s="113"/>
      <c r="HF179" s="113"/>
      <c r="HG179" s="46">
        <v>0</v>
      </c>
      <c r="HH179" s="113"/>
      <c r="HI179" s="113"/>
      <c r="HJ179" s="113"/>
      <c r="HK179" s="113"/>
      <c r="HL179" s="113"/>
      <c r="HM179" s="121"/>
      <c r="HN179" s="121"/>
      <c r="LM179" t="str">
        <v/>
      </c>
      <c r="LN179" t="str">
        <v/>
      </c>
      <c r="LO179" t="str">
        <v/>
      </c>
    </row>
    <row r="180" spans="30:327">
      <c r="AD180" t="s">
        <v>113</v>
      </c>
      <c r="AE180" t="s">
        <v>23067</v>
      </c>
      <c r="AF180" s="46">
        <v>0</v>
      </c>
      <c r="AG180" s="113"/>
      <c r="AH180" s="113"/>
      <c r="AI180" s="113"/>
      <c r="AJ180" s="113"/>
      <c r="AK180" s="113"/>
      <c r="AL180" s="46">
        <v>0</v>
      </c>
      <c r="AM180" s="113"/>
      <c r="AN180" s="113"/>
      <c r="AO180" s="113"/>
      <c r="AP180" s="113"/>
      <c r="AQ180" s="113"/>
      <c r="AR180" s="46">
        <v>0</v>
      </c>
      <c r="AS180" s="113"/>
      <c r="AT180" s="113"/>
      <c r="AU180" s="113"/>
      <c r="AV180" s="113"/>
      <c r="AW180" s="113"/>
      <c r="AX180" s="46">
        <v>0</v>
      </c>
      <c r="AY180" s="113"/>
      <c r="AZ180" s="113"/>
      <c r="BA180" s="113"/>
      <c r="BB180" s="113"/>
      <c r="BC180" s="113"/>
      <c r="BD180" s="46">
        <v>0</v>
      </c>
      <c r="BE180" s="113"/>
      <c r="BF180" s="113"/>
      <c r="BG180" s="113"/>
      <c r="BH180" s="113"/>
      <c r="BI180" s="113"/>
      <c r="BJ180" s="46">
        <v>0</v>
      </c>
      <c r="BK180" s="113"/>
      <c r="BL180" s="113"/>
      <c r="BM180" s="113"/>
      <c r="BN180" s="113"/>
      <c r="BO180" s="113"/>
      <c r="BP180" s="121"/>
      <c r="BQ180" s="121"/>
      <c r="GA180" t="s">
        <v>113</v>
      </c>
      <c r="GB180" t="s">
        <v>23067</v>
      </c>
      <c r="GC180" s="46">
        <v>0</v>
      </c>
      <c r="GD180" s="113"/>
      <c r="GE180" s="113"/>
      <c r="GF180" s="113"/>
      <c r="GG180" s="113"/>
      <c r="GH180" s="113"/>
      <c r="GI180" s="46">
        <v>0</v>
      </c>
      <c r="GJ180" s="113"/>
      <c r="GK180" s="113"/>
      <c r="GL180" s="113"/>
      <c r="GM180" s="113"/>
      <c r="GN180" s="113"/>
      <c r="GO180" s="46">
        <v>0</v>
      </c>
      <c r="GP180" s="113"/>
      <c r="GQ180" s="113"/>
      <c r="GR180" s="113"/>
      <c r="GS180" s="113"/>
      <c r="GT180" s="113"/>
      <c r="GU180" s="46">
        <v>0</v>
      </c>
      <c r="GV180" s="113"/>
      <c r="GW180" s="113"/>
      <c r="GX180" s="113"/>
      <c r="GY180" s="113"/>
      <c r="GZ180" s="113"/>
      <c r="HA180" s="46">
        <v>0</v>
      </c>
      <c r="HB180" s="113"/>
      <c r="HC180" s="113"/>
      <c r="HD180" s="113"/>
      <c r="HE180" s="113"/>
      <c r="HF180" s="113"/>
      <c r="HG180" s="46">
        <v>0</v>
      </c>
      <c r="HH180" s="113"/>
      <c r="HI180" s="113"/>
      <c r="HJ180" s="113"/>
      <c r="HK180" s="113"/>
      <c r="HL180" s="113"/>
      <c r="HM180" s="121"/>
      <c r="HN180" s="121"/>
      <c r="LM180" t="str">
        <v/>
      </c>
      <c r="LN180" t="str">
        <v/>
      </c>
      <c r="LO180" t="str">
        <v/>
      </c>
    </row>
    <row r="181" spans="30:327">
      <c r="AD181" t="s">
        <v>113</v>
      </c>
      <c r="AE181" t="s">
        <v>23068</v>
      </c>
      <c r="AF181" s="46">
        <v>0</v>
      </c>
      <c r="AG181" s="113"/>
      <c r="AH181" s="113"/>
      <c r="AI181" s="113"/>
      <c r="AJ181" s="113"/>
      <c r="AK181" s="113"/>
      <c r="AL181" s="46">
        <v>0</v>
      </c>
      <c r="AM181" s="113"/>
      <c r="AN181" s="113"/>
      <c r="AO181" s="113"/>
      <c r="AP181" s="113"/>
      <c r="AQ181" s="113"/>
      <c r="AR181" s="46">
        <v>0</v>
      </c>
      <c r="AS181" s="113"/>
      <c r="AT181" s="113"/>
      <c r="AU181" s="113"/>
      <c r="AV181" s="113"/>
      <c r="AW181" s="113"/>
      <c r="AX181" s="46">
        <v>0</v>
      </c>
      <c r="AY181" s="113"/>
      <c r="AZ181" s="113"/>
      <c r="BA181" s="113"/>
      <c r="BB181" s="113"/>
      <c r="BC181" s="113"/>
      <c r="BD181" s="46">
        <v>0</v>
      </c>
      <c r="BE181" s="113"/>
      <c r="BF181" s="113"/>
      <c r="BG181" s="113"/>
      <c r="BH181" s="113"/>
      <c r="BI181" s="113"/>
      <c r="BJ181" s="46">
        <v>0</v>
      </c>
      <c r="BK181" s="113"/>
      <c r="BL181" s="113"/>
      <c r="BM181" s="113"/>
      <c r="BN181" s="113"/>
      <c r="BO181" s="113"/>
      <c r="BP181" s="121"/>
      <c r="BQ181" s="121"/>
      <c r="GA181" t="s">
        <v>113</v>
      </c>
      <c r="GB181" t="s">
        <v>23068</v>
      </c>
      <c r="GC181" s="46">
        <v>0</v>
      </c>
      <c r="GD181" s="113"/>
      <c r="GE181" s="113"/>
      <c r="GF181" s="113"/>
      <c r="GG181" s="113"/>
      <c r="GH181" s="113"/>
      <c r="GI181" s="46">
        <v>0</v>
      </c>
      <c r="GJ181" s="113"/>
      <c r="GK181" s="113"/>
      <c r="GL181" s="113"/>
      <c r="GM181" s="113"/>
      <c r="GN181" s="113"/>
      <c r="GO181" s="46">
        <v>0</v>
      </c>
      <c r="GP181" s="113"/>
      <c r="GQ181" s="113"/>
      <c r="GR181" s="113"/>
      <c r="GS181" s="113"/>
      <c r="GT181" s="113"/>
      <c r="GU181" s="46">
        <v>0</v>
      </c>
      <c r="GV181" s="113"/>
      <c r="GW181" s="113"/>
      <c r="GX181" s="113"/>
      <c r="GY181" s="113"/>
      <c r="GZ181" s="113"/>
      <c r="HA181" s="46">
        <v>0</v>
      </c>
      <c r="HB181" s="113"/>
      <c r="HC181" s="113"/>
      <c r="HD181" s="113"/>
      <c r="HE181" s="113"/>
      <c r="HF181" s="113"/>
      <c r="HG181" s="46">
        <v>0</v>
      </c>
      <c r="HH181" s="113"/>
      <c r="HI181" s="113"/>
      <c r="HJ181" s="113"/>
      <c r="HK181" s="113"/>
      <c r="HL181" s="113"/>
      <c r="HM181" s="121"/>
      <c r="HN181" s="121"/>
      <c r="LM181" t="str">
        <v/>
      </c>
      <c r="LN181" t="str">
        <v/>
      </c>
      <c r="LO181" t="str">
        <v/>
      </c>
    </row>
    <row r="182" spans="30:327">
      <c r="AD182" t="s">
        <v>113</v>
      </c>
      <c r="AE182" t="s">
        <v>23069</v>
      </c>
      <c r="AF182" s="46">
        <v>0</v>
      </c>
      <c r="AG182" s="113"/>
      <c r="AH182" s="113"/>
      <c r="AI182" s="113"/>
      <c r="AJ182" s="113"/>
      <c r="AK182" s="113"/>
      <c r="AL182" s="46">
        <v>0</v>
      </c>
      <c r="AM182" s="113"/>
      <c r="AN182" s="113"/>
      <c r="AO182" s="113"/>
      <c r="AP182" s="113"/>
      <c r="AQ182" s="113"/>
      <c r="AR182" s="46">
        <v>0</v>
      </c>
      <c r="AS182" s="113"/>
      <c r="AT182" s="113"/>
      <c r="AU182" s="113"/>
      <c r="AV182" s="113"/>
      <c r="AW182" s="113"/>
      <c r="AX182" s="46">
        <v>0</v>
      </c>
      <c r="AY182" s="113"/>
      <c r="AZ182" s="113"/>
      <c r="BA182" s="113"/>
      <c r="BB182" s="113"/>
      <c r="BC182" s="113"/>
      <c r="BD182" s="46">
        <v>0</v>
      </c>
      <c r="BE182" s="113"/>
      <c r="BF182" s="113"/>
      <c r="BG182" s="113"/>
      <c r="BH182" s="113"/>
      <c r="BI182" s="113"/>
      <c r="BJ182" s="46">
        <v>0</v>
      </c>
      <c r="BK182" s="113"/>
      <c r="BL182" s="113"/>
      <c r="BM182" s="113"/>
      <c r="BN182" s="113"/>
      <c r="BO182" s="113"/>
      <c r="BP182" s="121"/>
      <c r="BQ182" s="121"/>
      <c r="GA182" t="s">
        <v>113</v>
      </c>
      <c r="GB182" t="s">
        <v>23069</v>
      </c>
      <c r="GC182" s="46">
        <v>0</v>
      </c>
      <c r="GD182" s="113"/>
      <c r="GE182" s="113"/>
      <c r="GF182" s="113"/>
      <c r="GG182" s="113"/>
      <c r="GH182" s="113"/>
      <c r="GI182" s="46">
        <v>0</v>
      </c>
      <c r="GJ182" s="113"/>
      <c r="GK182" s="113"/>
      <c r="GL182" s="113"/>
      <c r="GM182" s="113"/>
      <c r="GN182" s="113"/>
      <c r="GO182" s="46">
        <v>0</v>
      </c>
      <c r="GP182" s="113"/>
      <c r="GQ182" s="113"/>
      <c r="GR182" s="113"/>
      <c r="GS182" s="113"/>
      <c r="GT182" s="113"/>
      <c r="GU182" s="46">
        <v>0</v>
      </c>
      <c r="GV182" s="113"/>
      <c r="GW182" s="113"/>
      <c r="GX182" s="113"/>
      <c r="GY182" s="113"/>
      <c r="GZ182" s="113"/>
      <c r="HA182" s="46">
        <v>0</v>
      </c>
      <c r="HB182" s="113"/>
      <c r="HC182" s="113"/>
      <c r="HD182" s="113"/>
      <c r="HE182" s="113"/>
      <c r="HF182" s="113"/>
      <c r="HG182" s="46">
        <v>0</v>
      </c>
      <c r="HH182" s="113"/>
      <c r="HI182" s="113"/>
      <c r="HJ182" s="113"/>
      <c r="HK182" s="113"/>
      <c r="HL182" s="113"/>
      <c r="HM182" s="121"/>
      <c r="HN182" s="121"/>
      <c r="LM182" t="str">
        <v/>
      </c>
      <c r="LN182" t="str">
        <v/>
      </c>
      <c r="LO182" t="str">
        <v/>
      </c>
    </row>
    <row r="183" spans="30:327">
      <c r="AD183" t="s">
        <v>113</v>
      </c>
      <c r="AE183" t="s">
        <v>23070</v>
      </c>
      <c r="AF183" s="46">
        <v>0</v>
      </c>
      <c r="AG183" s="113"/>
      <c r="AH183" s="113"/>
      <c r="AI183" s="113"/>
      <c r="AJ183" s="113"/>
      <c r="AK183" s="113"/>
      <c r="AL183" s="46">
        <v>0</v>
      </c>
      <c r="AM183" s="113"/>
      <c r="AN183" s="113"/>
      <c r="AO183" s="113"/>
      <c r="AP183" s="113"/>
      <c r="AQ183" s="113"/>
      <c r="AR183" s="46">
        <v>0</v>
      </c>
      <c r="AS183" s="113"/>
      <c r="AT183" s="113"/>
      <c r="AU183" s="113"/>
      <c r="AV183" s="113"/>
      <c r="AW183" s="113"/>
      <c r="AX183" s="46">
        <v>0</v>
      </c>
      <c r="AY183" s="113"/>
      <c r="AZ183" s="113"/>
      <c r="BA183" s="113"/>
      <c r="BB183" s="113"/>
      <c r="BC183" s="113"/>
      <c r="BD183" s="46">
        <v>0</v>
      </c>
      <c r="BE183" s="113"/>
      <c r="BF183" s="113"/>
      <c r="BG183" s="113"/>
      <c r="BH183" s="113"/>
      <c r="BI183" s="113"/>
      <c r="BJ183" s="46">
        <v>0</v>
      </c>
      <c r="BK183" s="113"/>
      <c r="BL183" s="113"/>
      <c r="BM183" s="113"/>
      <c r="BN183" s="113"/>
      <c r="BO183" s="113"/>
      <c r="BP183" s="121"/>
      <c r="BQ183" s="121"/>
      <c r="GA183" t="s">
        <v>113</v>
      </c>
      <c r="GB183" t="s">
        <v>23070</v>
      </c>
      <c r="GC183" s="46">
        <v>0</v>
      </c>
      <c r="GD183" s="113"/>
      <c r="GE183" s="113"/>
      <c r="GF183" s="113"/>
      <c r="GG183" s="113"/>
      <c r="GH183" s="113"/>
      <c r="GI183" s="46">
        <v>0</v>
      </c>
      <c r="GJ183" s="113"/>
      <c r="GK183" s="113"/>
      <c r="GL183" s="113"/>
      <c r="GM183" s="113"/>
      <c r="GN183" s="113"/>
      <c r="GO183" s="46">
        <v>0</v>
      </c>
      <c r="GP183" s="113"/>
      <c r="GQ183" s="113"/>
      <c r="GR183" s="113"/>
      <c r="GS183" s="113"/>
      <c r="GT183" s="113"/>
      <c r="GU183" s="46">
        <v>0</v>
      </c>
      <c r="GV183" s="113"/>
      <c r="GW183" s="113"/>
      <c r="GX183" s="113"/>
      <c r="GY183" s="113"/>
      <c r="GZ183" s="113"/>
      <c r="HA183" s="46">
        <v>0</v>
      </c>
      <c r="HB183" s="113"/>
      <c r="HC183" s="113"/>
      <c r="HD183" s="113"/>
      <c r="HE183" s="113"/>
      <c r="HF183" s="113"/>
      <c r="HG183" s="46">
        <v>0</v>
      </c>
      <c r="HH183" s="113"/>
      <c r="HI183" s="113"/>
      <c r="HJ183" s="113"/>
      <c r="HK183" s="113"/>
      <c r="HL183" s="113"/>
      <c r="HM183" s="121"/>
      <c r="HN183" s="121"/>
      <c r="LM183" t="str">
        <v/>
      </c>
      <c r="LN183" t="str">
        <v/>
      </c>
      <c r="LO183" t="str">
        <v/>
      </c>
    </row>
    <row r="184" spans="30:327">
      <c r="AD184" t="s">
        <v>113</v>
      </c>
      <c r="AE184" t="s">
        <v>23071</v>
      </c>
      <c r="AF184" s="46">
        <v>0</v>
      </c>
      <c r="AG184" s="113"/>
      <c r="AH184" s="113"/>
      <c r="AI184" s="113"/>
      <c r="AJ184" s="113"/>
      <c r="AK184" s="113"/>
      <c r="AL184" s="46">
        <v>0</v>
      </c>
      <c r="AM184" s="113"/>
      <c r="AN184" s="113"/>
      <c r="AO184" s="113"/>
      <c r="AP184" s="113"/>
      <c r="AQ184" s="113"/>
      <c r="AR184" s="46">
        <v>0</v>
      </c>
      <c r="AS184" s="113"/>
      <c r="AT184" s="113"/>
      <c r="AU184" s="113"/>
      <c r="AV184" s="113"/>
      <c r="AW184" s="113"/>
      <c r="AX184" s="46">
        <v>0</v>
      </c>
      <c r="AY184" s="113"/>
      <c r="AZ184" s="113"/>
      <c r="BA184" s="113"/>
      <c r="BB184" s="113"/>
      <c r="BC184" s="113"/>
      <c r="BD184" s="46">
        <v>0</v>
      </c>
      <c r="BE184" s="113"/>
      <c r="BF184" s="113"/>
      <c r="BG184" s="113"/>
      <c r="BH184" s="113"/>
      <c r="BI184" s="113"/>
      <c r="BJ184" s="46">
        <v>0</v>
      </c>
      <c r="BK184" s="113"/>
      <c r="BL184" s="113"/>
      <c r="BM184" s="113"/>
      <c r="BN184" s="113"/>
      <c r="BO184" s="113"/>
      <c r="BP184" s="121"/>
      <c r="BQ184" s="121"/>
      <c r="GA184" t="s">
        <v>113</v>
      </c>
      <c r="GB184" t="s">
        <v>23071</v>
      </c>
      <c r="GC184" s="46">
        <v>0</v>
      </c>
      <c r="GD184" s="113"/>
      <c r="GE184" s="113"/>
      <c r="GF184" s="113"/>
      <c r="GG184" s="113"/>
      <c r="GH184" s="113"/>
      <c r="GI184" s="46">
        <v>0</v>
      </c>
      <c r="GJ184" s="113"/>
      <c r="GK184" s="113"/>
      <c r="GL184" s="113"/>
      <c r="GM184" s="113"/>
      <c r="GN184" s="113"/>
      <c r="GO184" s="46">
        <v>0</v>
      </c>
      <c r="GP184" s="113"/>
      <c r="GQ184" s="113"/>
      <c r="GR184" s="113"/>
      <c r="GS184" s="113"/>
      <c r="GT184" s="113"/>
      <c r="GU184" s="46">
        <v>0</v>
      </c>
      <c r="GV184" s="113"/>
      <c r="GW184" s="113"/>
      <c r="GX184" s="113"/>
      <c r="GY184" s="113"/>
      <c r="GZ184" s="113"/>
      <c r="HA184" s="46">
        <v>0</v>
      </c>
      <c r="HB184" s="113"/>
      <c r="HC184" s="113"/>
      <c r="HD184" s="113"/>
      <c r="HE184" s="113"/>
      <c r="HF184" s="113"/>
      <c r="HG184" s="46">
        <v>0</v>
      </c>
      <c r="HH184" s="113"/>
      <c r="HI184" s="113"/>
      <c r="HJ184" s="113"/>
      <c r="HK184" s="113"/>
      <c r="HL184" s="113"/>
      <c r="HM184" s="121"/>
      <c r="HN184" s="121"/>
      <c r="LM184" t="str">
        <v/>
      </c>
      <c r="LN184" t="str">
        <v/>
      </c>
      <c r="LO184" t="str">
        <v/>
      </c>
    </row>
    <row r="185" spans="30:327">
      <c r="AD185" t="s">
        <v>113</v>
      </c>
      <c r="AE185" t="s">
        <v>23072</v>
      </c>
      <c r="AF185" s="46">
        <v>0</v>
      </c>
      <c r="AG185" s="113"/>
      <c r="AH185" s="113"/>
      <c r="AI185" s="113"/>
      <c r="AJ185" s="113"/>
      <c r="AK185" s="113"/>
      <c r="AL185" s="46">
        <v>0</v>
      </c>
      <c r="AM185" s="113"/>
      <c r="AN185" s="113"/>
      <c r="AO185" s="113"/>
      <c r="AP185" s="113"/>
      <c r="AQ185" s="113"/>
      <c r="AR185" s="46">
        <v>0</v>
      </c>
      <c r="AS185" s="113"/>
      <c r="AT185" s="113"/>
      <c r="AU185" s="113"/>
      <c r="AV185" s="113"/>
      <c r="AW185" s="113"/>
      <c r="AX185" s="46">
        <v>0</v>
      </c>
      <c r="AY185" s="113"/>
      <c r="AZ185" s="113"/>
      <c r="BA185" s="113"/>
      <c r="BB185" s="113"/>
      <c r="BC185" s="113"/>
      <c r="BD185" s="46">
        <v>0</v>
      </c>
      <c r="BE185" s="113"/>
      <c r="BF185" s="113"/>
      <c r="BG185" s="113"/>
      <c r="BH185" s="113"/>
      <c r="BI185" s="113"/>
      <c r="BJ185" s="46">
        <v>0</v>
      </c>
      <c r="BK185" s="113"/>
      <c r="BL185" s="113"/>
      <c r="BM185" s="113"/>
      <c r="BN185" s="113"/>
      <c r="BO185" s="113"/>
      <c r="BP185" s="121"/>
      <c r="BQ185" s="121"/>
      <c r="GA185" t="s">
        <v>113</v>
      </c>
      <c r="GB185" t="s">
        <v>23072</v>
      </c>
      <c r="GC185" s="46">
        <v>0</v>
      </c>
      <c r="GD185" s="113"/>
      <c r="GE185" s="113"/>
      <c r="GF185" s="113"/>
      <c r="GG185" s="113"/>
      <c r="GH185" s="113"/>
      <c r="GI185" s="46">
        <v>0</v>
      </c>
      <c r="GJ185" s="113"/>
      <c r="GK185" s="113"/>
      <c r="GL185" s="113"/>
      <c r="GM185" s="113"/>
      <c r="GN185" s="113"/>
      <c r="GO185" s="46">
        <v>0</v>
      </c>
      <c r="GP185" s="113"/>
      <c r="GQ185" s="113"/>
      <c r="GR185" s="113"/>
      <c r="GS185" s="113"/>
      <c r="GT185" s="113"/>
      <c r="GU185" s="46">
        <v>0</v>
      </c>
      <c r="GV185" s="113"/>
      <c r="GW185" s="113"/>
      <c r="GX185" s="113"/>
      <c r="GY185" s="113"/>
      <c r="GZ185" s="113"/>
      <c r="HA185" s="46">
        <v>0</v>
      </c>
      <c r="HB185" s="113"/>
      <c r="HC185" s="113"/>
      <c r="HD185" s="113"/>
      <c r="HE185" s="113"/>
      <c r="HF185" s="113"/>
      <c r="HG185" s="46">
        <v>0</v>
      </c>
      <c r="HH185" s="113"/>
      <c r="HI185" s="113"/>
      <c r="HJ185" s="113"/>
      <c r="HK185" s="113"/>
      <c r="HL185" s="113"/>
      <c r="HM185" s="121"/>
      <c r="HN185" s="121"/>
      <c r="LM185" t="str">
        <v/>
      </c>
      <c r="LN185" t="str">
        <v/>
      </c>
      <c r="LO185" t="str">
        <v/>
      </c>
    </row>
    <row r="186" spans="30:327">
      <c r="AD186" t="s">
        <v>113</v>
      </c>
      <c r="AE186" t="s">
        <v>23073</v>
      </c>
      <c r="AF186" s="46">
        <v>0</v>
      </c>
      <c r="AG186" s="113"/>
      <c r="AH186" s="113"/>
      <c r="AI186" s="113"/>
      <c r="AJ186" s="113"/>
      <c r="AK186" s="113"/>
      <c r="AL186" s="46">
        <v>0</v>
      </c>
      <c r="AM186" s="113"/>
      <c r="AN186" s="113"/>
      <c r="AO186" s="113"/>
      <c r="AP186" s="113"/>
      <c r="AQ186" s="113"/>
      <c r="AR186" s="46">
        <v>0</v>
      </c>
      <c r="AS186" s="113"/>
      <c r="AT186" s="113"/>
      <c r="AU186" s="113"/>
      <c r="AV186" s="113"/>
      <c r="AW186" s="113"/>
      <c r="AX186" s="46">
        <v>0</v>
      </c>
      <c r="AY186" s="113"/>
      <c r="AZ186" s="113"/>
      <c r="BA186" s="113"/>
      <c r="BB186" s="113"/>
      <c r="BC186" s="113"/>
      <c r="BD186" s="46">
        <v>0</v>
      </c>
      <c r="BE186" s="113"/>
      <c r="BF186" s="113"/>
      <c r="BG186" s="113"/>
      <c r="BH186" s="113"/>
      <c r="BI186" s="113"/>
      <c r="BJ186" s="46">
        <v>0</v>
      </c>
      <c r="BK186" s="113"/>
      <c r="BL186" s="113"/>
      <c r="BM186" s="113"/>
      <c r="BN186" s="113"/>
      <c r="BO186" s="113"/>
      <c r="BP186" s="121"/>
      <c r="BQ186" s="121"/>
      <c r="GA186" t="s">
        <v>113</v>
      </c>
      <c r="GB186" t="s">
        <v>23073</v>
      </c>
      <c r="GC186" s="46">
        <v>0</v>
      </c>
      <c r="GD186" s="113"/>
      <c r="GE186" s="113"/>
      <c r="GF186" s="113"/>
      <c r="GG186" s="113"/>
      <c r="GH186" s="113"/>
      <c r="GI186" s="46">
        <v>0</v>
      </c>
      <c r="GJ186" s="113"/>
      <c r="GK186" s="113"/>
      <c r="GL186" s="113"/>
      <c r="GM186" s="113"/>
      <c r="GN186" s="113"/>
      <c r="GO186" s="46">
        <v>0</v>
      </c>
      <c r="GP186" s="113"/>
      <c r="GQ186" s="113"/>
      <c r="GR186" s="113"/>
      <c r="GS186" s="113"/>
      <c r="GT186" s="113"/>
      <c r="GU186" s="46">
        <v>0</v>
      </c>
      <c r="GV186" s="113"/>
      <c r="GW186" s="113"/>
      <c r="GX186" s="113"/>
      <c r="GY186" s="113"/>
      <c r="GZ186" s="113"/>
      <c r="HA186" s="46">
        <v>0</v>
      </c>
      <c r="HB186" s="113"/>
      <c r="HC186" s="113"/>
      <c r="HD186" s="113"/>
      <c r="HE186" s="113"/>
      <c r="HF186" s="113"/>
      <c r="HG186" s="46">
        <v>0</v>
      </c>
      <c r="HH186" s="113"/>
      <c r="HI186" s="113"/>
      <c r="HJ186" s="113"/>
      <c r="HK186" s="113"/>
      <c r="HL186" s="113"/>
      <c r="HM186" s="121"/>
      <c r="HN186" s="121"/>
      <c r="LM186" t="str">
        <v/>
      </c>
      <c r="LN186" t="str">
        <v/>
      </c>
      <c r="LO186" t="str">
        <v/>
      </c>
    </row>
    <row r="187" spans="30:327">
      <c r="AD187" t="s">
        <v>113</v>
      </c>
      <c r="AE187" t="s">
        <v>23074</v>
      </c>
      <c r="AF187" s="46">
        <v>0</v>
      </c>
      <c r="AG187" s="113"/>
      <c r="AH187" s="113"/>
      <c r="AI187" s="113"/>
      <c r="AJ187" s="113"/>
      <c r="AK187" s="113"/>
      <c r="AL187" s="46">
        <v>0</v>
      </c>
      <c r="AM187" s="113"/>
      <c r="AN187" s="113"/>
      <c r="AO187" s="113"/>
      <c r="AP187" s="113"/>
      <c r="AQ187" s="113"/>
      <c r="AR187" s="46">
        <v>0</v>
      </c>
      <c r="AS187" s="113"/>
      <c r="AT187" s="113"/>
      <c r="AU187" s="113"/>
      <c r="AV187" s="113"/>
      <c r="AW187" s="113"/>
      <c r="AX187" s="46">
        <v>0</v>
      </c>
      <c r="AY187" s="113"/>
      <c r="AZ187" s="113"/>
      <c r="BA187" s="113"/>
      <c r="BB187" s="113"/>
      <c r="BC187" s="113"/>
      <c r="BD187" s="46">
        <v>0</v>
      </c>
      <c r="BE187" s="113"/>
      <c r="BF187" s="113"/>
      <c r="BG187" s="113"/>
      <c r="BH187" s="113"/>
      <c r="BI187" s="113"/>
      <c r="BJ187" s="46">
        <v>0</v>
      </c>
      <c r="BK187" s="113"/>
      <c r="BL187" s="113"/>
      <c r="BM187" s="113"/>
      <c r="BN187" s="113"/>
      <c r="BO187" s="113"/>
      <c r="BP187" s="121"/>
      <c r="BQ187" s="121"/>
      <c r="GA187" t="s">
        <v>113</v>
      </c>
      <c r="GB187" t="s">
        <v>23074</v>
      </c>
      <c r="GC187" s="46">
        <v>0</v>
      </c>
      <c r="GD187" s="113"/>
      <c r="GE187" s="113"/>
      <c r="GF187" s="113"/>
      <c r="GG187" s="113"/>
      <c r="GH187" s="113"/>
      <c r="GI187" s="46">
        <v>0</v>
      </c>
      <c r="GJ187" s="113"/>
      <c r="GK187" s="113"/>
      <c r="GL187" s="113"/>
      <c r="GM187" s="113"/>
      <c r="GN187" s="113"/>
      <c r="GO187" s="46">
        <v>0</v>
      </c>
      <c r="GP187" s="113"/>
      <c r="GQ187" s="113"/>
      <c r="GR187" s="113"/>
      <c r="GS187" s="113"/>
      <c r="GT187" s="113"/>
      <c r="GU187" s="46">
        <v>0</v>
      </c>
      <c r="GV187" s="113"/>
      <c r="GW187" s="113"/>
      <c r="GX187" s="113"/>
      <c r="GY187" s="113"/>
      <c r="GZ187" s="113"/>
      <c r="HA187" s="46">
        <v>0</v>
      </c>
      <c r="HB187" s="113"/>
      <c r="HC187" s="113"/>
      <c r="HD187" s="113"/>
      <c r="HE187" s="113"/>
      <c r="HF187" s="113"/>
      <c r="HG187" s="46">
        <v>0</v>
      </c>
      <c r="HH187" s="113"/>
      <c r="HI187" s="113"/>
      <c r="HJ187" s="113"/>
      <c r="HK187" s="113"/>
      <c r="HL187" s="113"/>
      <c r="HM187" s="121"/>
      <c r="HN187" s="121"/>
      <c r="LM187" t="str">
        <v/>
      </c>
      <c r="LN187" t="str">
        <v/>
      </c>
      <c r="LO187" t="str">
        <v/>
      </c>
    </row>
    <row r="188" spans="30:327">
      <c r="AD188" t="s">
        <v>113</v>
      </c>
      <c r="AE188" t="s">
        <v>23075</v>
      </c>
      <c r="AF188" s="46">
        <v>0</v>
      </c>
      <c r="AG188" s="113"/>
      <c r="AH188" s="113"/>
      <c r="AI188" s="113"/>
      <c r="AJ188" s="113"/>
      <c r="AK188" s="113"/>
      <c r="AL188" s="46">
        <v>0</v>
      </c>
      <c r="AM188" s="113"/>
      <c r="AN188" s="113"/>
      <c r="AO188" s="113"/>
      <c r="AP188" s="113"/>
      <c r="AQ188" s="113"/>
      <c r="AR188" s="46">
        <v>0</v>
      </c>
      <c r="AS188" s="113"/>
      <c r="AT188" s="113"/>
      <c r="AU188" s="113"/>
      <c r="AV188" s="113"/>
      <c r="AW188" s="113"/>
      <c r="AX188" s="46">
        <v>0</v>
      </c>
      <c r="AY188" s="113"/>
      <c r="AZ188" s="113"/>
      <c r="BA188" s="113"/>
      <c r="BB188" s="113"/>
      <c r="BC188" s="113"/>
      <c r="BD188" s="46">
        <v>0</v>
      </c>
      <c r="BE188" s="113"/>
      <c r="BF188" s="113"/>
      <c r="BG188" s="113"/>
      <c r="BH188" s="113"/>
      <c r="BI188" s="113"/>
      <c r="BJ188" s="46">
        <v>0</v>
      </c>
      <c r="BK188" s="113"/>
      <c r="BL188" s="113"/>
      <c r="BM188" s="113"/>
      <c r="BN188" s="113"/>
      <c r="BO188" s="113"/>
      <c r="BP188" s="121"/>
      <c r="BQ188" s="121"/>
      <c r="GA188" t="s">
        <v>113</v>
      </c>
      <c r="GB188" t="s">
        <v>23075</v>
      </c>
      <c r="GC188" s="46">
        <v>0</v>
      </c>
      <c r="GD188" s="113"/>
      <c r="GE188" s="113"/>
      <c r="GF188" s="113"/>
      <c r="GG188" s="113"/>
      <c r="GH188" s="113"/>
      <c r="GI188" s="46">
        <v>0</v>
      </c>
      <c r="GJ188" s="113"/>
      <c r="GK188" s="113"/>
      <c r="GL188" s="113"/>
      <c r="GM188" s="113"/>
      <c r="GN188" s="113"/>
      <c r="GO188" s="46">
        <v>0</v>
      </c>
      <c r="GP188" s="113"/>
      <c r="GQ188" s="113"/>
      <c r="GR188" s="113"/>
      <c r="GS188" s="113"/>
      <c r="GT188" s="113"/>
      <c r="GU188" s="46">
        <v>0</v>
      </c>
      <c r="GV188" s="113"/>
      <c r="GW188" s="113"/>
      <c r="GX188" s="113"/>
      <c r="GY188" s="113"/>
      <c r="GZ188" s="113"/>
      <c r="HA188" s="46">
        <v>0</v>
      </c>
      <c r="HB188" s="113"/>
      <c r="HC188" s="113"/>
      <c r="HD188" s="113"/>
      <c r="HE188" s="113"/>
      <c r="HF188" s="113"/>
      <c r="HG188" s="46">
        <v>0</v>
      </c>
      <c r="HH188" s="113"/>
      <c r="HI188" s="113"/>
      <c r="HJ188" s="113"/>
      <c r="HK188" s="113"/>
      <c r="HL188" s="113"/>
      <c r="HM188" s="121"/>
      <c r="HN188" s="121"/>
      <c r="LM188" t="str">
        <v/>
      </c>
      <c r="LN188" t="str">
        <v/>
      </c>
      <c r="LO188" t="str">
        <v/>
      </c>
    </row>
    <row r="189" spans="30:327">
      <c r="AD189" t="s">
        <v>113</v>
      </c>
      <c r="AE189" t="s">
        <v>23076</v>
      </c>
      <c r="AF189" s="46">
        <v>0</v>
      </c>
      <c r="AG189" s="113"/>
      <c r="AH189" s="113"/>
      <c r="AI189" s="113"/>
      <c r="AJ189" s="113"/>
      <c r="AK189" s="113"/>
      <c r="AL189" s="46">
        <v>0</v>
      </c>
      <c r="AM189" s="113"/>
      <c r="AN189" s="113"/>
      <c r="AO189" s="113"/>
      <c r="AP189" s="113"/>
      <c r="AQ189" s="113"/>
      <c r="AR189" s="46">
        <v>0</v>
      </c>
      <c r="AS189" s="113"/>
      <c r="AT189" s="113"/>
      <c r="AU189" s="113"/>
      <c r="AV189" s="113"/>
      <c r="AW189" s="113"/>
      <c r="AX189" s="46">
        <v>0</v>
      </c>
      <c r="AY189" s="113"/>
      <c r="AZ189" s="113"/>
      <c r="BA189" s="113"/>
      <c r="BB189" s="113"/>
      <c r="BC189" s="113"/>
      <c r="BD189" s="46">
        <v>0</v>
      </c>
      <c r="BE189" s="113"/>
      <c r="BF189" s="113"/>
      <c r="BG189" s="113"/>
      <c r="BH189" s="113"/>
      <c r="BI189" s="113"/>
      <c r="BJ189" s="46">
        <v>0</v>
      </c>
      <c r="BK189" s="113"/>
      <c r="BL189" s="113"/>
      <c r="BM189" s="113"/>
      <c r="BN189" s="113"/>
      <c r="BO189" s="113"/>
      <c r="BP189" s="121"/>
      <c r="BQ189" s="121"/>
      <c r="GA189" t="s">
        <v>113</v>
      </c>
      <c r="GB189" t="s">
        <v>23076</v>
      </c>
      <c r="GC189" s="46">
        <v>0</v>
      </c>
      <c r="GD189" s="113"/>
      <c r="GE189" s="113"/>
      <c r="GF189" s="113"/>
      <c r="GG189" s="113"/>
      <c r="GH189" s="113"/>
      <c r="GI189" s="46">
        <v>0</v>
      </c>
      <c r="GJ189" s="113"/>
      <c r="GK189" s="113"/>
      <c r="GL189" s="113"/>
      <c r="GM189" s="113"/>
      <c r="GN189" s="113"/>
      <c r="GO189" s="46">
        <v>0</v>
      </c>
      <c r="GP189" s="113"/>
      <c r="GQ189" s="113"/>
      <c r="GR189" s="113"/>
      <c r="GS189" s="113"/>
      <c r="GT189" s="113"/>
      <c r="GU189" s="46">
        <v>0</v>
      </c>
      <c r="GV189" s="113"/>
      <c r="GW189" s="113"/>
      <c r="GX189" s="113"/>
      <c r="GY189" s="113"/>
      <c r="GZ189" s="113"/>
      <c r="HA189" s="46">
        <v>0</v>
      </c>
      <c r="HB189" s="113"/>
      <c r="HC189" s="113"/>
      <c r="HD189" s="113"/>
      <c r="HE189" s="113"/>
      <c r="HF189" s="113"/>
      <c r="HG189" s="46">
        <v>0</v>
      </c>
      <c r="HH189" s="113"/>
      <c r="HI189" s="113"/>
      <c r="HJ189" s="113"/>
      <c r="HK189" s="113"/>
      <c r="HL189" s="113"/>
      <c r="HM189" s="121"/>
      <c r="HN189" s="121"/>
      <c r="LM189" t="str">
        <v/>
      </c>
      <c r="LN189" t="str">
        <v/>
      </c>
      <c r="LO189" t="str">
        <v/>
      </c>
    </row>
    <row r="190" spans="30:327">
      <c r="AD190" t="s">
        <v>113</v>
      </c>
      <c r="AE190" t="s">
        <v>23077</v>
      </c>
      <c r="AF190" s="46">
        <v>0</v>
      </c>
      <c r="AG190" s="113"/>
      <c r="AH190" s="113"/>
      <c r="AI190" s="113"/>
      <c r="AJ190" s="113"/>
      <c r="AK190" s="113"/>
      <c r="AL190" s="46">
        <v>0</v>
      </c>
      <c r="AM190" s="113"/>
      <c r="AN190" s="113"/>
      <c r="AO190" s="113"/>
      <c r="AP190" s="113"/>
      <c r="AQ190" s="113"/>
      <c r="AR190" s="46">
        <v>0</v>
      </c>
      <c r="AS190" s="113"/>
      <c r="AT190" s="113"/>
      <c r="AU190" s="113"/>
      <c r="AV190" s="113"/>
      <c r="AW190" s="113"/>
      <c r="AX190" s="46">
        <v>0</v>
      </c>
      <c r="AY190" s="113"/>
      <c r="AZ190" s="113"/>
      <c r="BA190" s="113"/>
      <c r="BB190" s="113"/>
      <c r="BC190" s="113"/>
      <c r="BD190" s="46">
        <v>0</v>
      </c>
      <c r="BE190" s="113"/>
      <c r="BF190" s="113"/>
      <c r="BG190" s="113"/>
      <c r="BH190" s="113"/>
      <c r="BI190" s="113"/>
      <c r="BJ190" s="46">
        <v>0</v>
      </c>
      <c r="BK190" s="113"/>
      <c r="BL190" s="113"/>
      <c r="BM190" s="113"/>
      <c r="BN190" s="113"/>
      <c r="BO190" s="113"/>
      <c r="BP190" s="121"/>
      <c r="BQ190" s="121"/>
      <c r="GA190" t="s">
        <v>113</v>
      </c>
      <c r="GB190" t="s">
        <v>23077</v>
      </c>
      <c r="GC190" s="46">
        <v>0</v>
      </c>
      <c r="GD190" s="113"/>
      <c r="GE190" s="113"/>
      <c r="GF190" s="113"/>
      <c r="GG190" s="113"/>
      <c r="GH190" s="113"/>
      <c r="GI190" s="46">
        <v>0</v>
      </c>
      <c r="GJ190" s="113"/>
      <c r="GK190" s="113"/>
      <c r="GL190" s="113"/>
      <c r="GM190" s="113"/>
      <c r="GN190" s="113"/>
      <c r="GO190" s="46">
        <v>0</v>
      </c>
      <c r="GP190" s="113"/>
      <c r="GQ190" s="113"/>
      <c r="GR190" s="113"/>
      <c r="GS190" s="113"/>
      <c r="GT190" s="113"/>
      <c r="GU190" s="46">
        <v>0</v>
      </c>
      <c r="GV190" s="113"/>
      <c r="GW190" s="113"/>
      <c r="GX190" s="113"/>
      <c r="GY190" s="113"/>
      <c r="GZ190" s="113"/>
      <c r="HA190" s="46">
        <v>0</v>
      </c>
      <c r="HB190" s="113"/>
      <c r="HC190" s="113"/>
      <c r="HD190" s="113"/>
      <c r="HE190" s="113"/>
      <c r="HF190" s="113"/>
      <c r="HG190" s="46">
        <v>0</v>
      </c>
      <c r="HH190" s="113"/>
      <c r="HI190" s="113"/>
      <c r="HJ190" s="113"/>
      <c r="HK190" s="113"/>
      <c r="HL190" s="113"/>
      <c r="HM190" s="121"/>
      <c r="HN190" s="121"/>
      <c r="LM190" t="str">
        <v/>
      </c>
      <c r="LN190" t="str">
        <v/>
      </c>
      <c r="LO190" t="str">
        <v/>
      </c>
    </row>
    <row r="191" spans="30:327">
      <c r="AD191" t="s">
        <v>113</v>
      </c>
      <c r="AE191" t="s">
        <v>23078</v>
      </c>
      <c r="AF191" s="46">
        <v>0</v>
      </c>
      <c r="AG191" s="113"/>
      <c r="AH191" s="113"/>
      <c r="AI191" s="113"/>
      <c r="AJ191" s="113"/>
      <c r="AK191" s="113"/>
      <c r="AL191" s="46">
        <v>0</v>
      </c>
      <c r="AM191" s="113"/>
      <c r="AN191" s="113"/>
      <c r="AO191" s="113"/>
      <c r="AP191" s="113"/>
      <c r="AQ191" s="113"/>
      <c r="AR191" s="46">
        <v>0</v>
      </c>
      <c r="AS191" s="113"/>
      <c r="AT191" s="113"/>
      <c r="AU191" s="113"/>
      <c r="AV191" s="113"/>
      <c r="AW191" s="113"/>
      <c r="AX191" s="46">
        <v>0</v>
      </c>
      <c r="AY191" s="113"/>
      <c r="AZ191" s="113"/>
      <c r="BA191" s="113"/>
      <c r="BB191" s="113"/>
      <c r="BC191" s="113"/>
      <c r="BD191" s="46">
        <v>0</v>
      </c>
      <c r="BE191" s="113"/>
      <c r="BF191" s="113"/>
      <c r="BG191" s="113"/>
      <c r="BH191" s="113"/>
      <c r="BI191" s="113"/>
      <c r="BJ191" s="46">
        <v>0</v>
      </c>
      <c r="BK191" s="113"/>
      <c r="BL191" s="113"/>
      <c r="BM191" s="113"/>
      <c r="BN191" s="113"/>
      <c r="BO191" s="113"/>
      <c r="BP191" s="121"/>
      <c r="BQ191" s="121"/>
      <c r="GA191" t="s">
        <v>113</v>
      </c>
      <c r="GB191" t="s">
        <v>23078</v>
      </c>
      <c r="GC191" s="46">
        <v>0</v>
      </c>
      <c r="GD191" s="113"/>
      <c r="GE191" s="113"/>
      <c r="GF191" s="113"/>
      <c r="GG191" s="113"/>
      <c r="GH191" s="113"/>
      <c r="GI191" s="46">
        <v>0</v>
      </c>
      <c r="GJ191" s="113"/>
      <c r="GK191" s="113"/>
      <c r="GL191" s="113"/>
      <c r="GM191" s="113"/>
      <c r="GN191" s="113"/>
      <c r="GO191" s="46">
        <v>0</v>
      </c>
      <c r="GP191" s="113"/>
      <c r="GQ191" s="113"/>
      <c r="GR191" s="113"/>
      <c r="GS191" s="113"/>
      <c r="GT191" s="113"/>
      <c r="GU191" s="46">
        <v>0</v>
      </c>
      <c r="GV191" s="113"/>
      <c r="GW191" s="113"/>
      <c r="GX191" s="113"/>
      <c r="GY191" s="113"/>
      <c r="GZ191" s="113"/>
      <c r="HA191" s="46">
        <v>0</v>
      </c>
      <c r="HB191" s="113"/>
      <c r="HC191" s="113"/>
      <c r="HD191" s="113"/>
      <c r="HE191" s="113"/>
      <c r="HF191" s="113"/>
      <c r="HG191" s="46">
        <v>0</v>
      </c>
      <c r="HH191" s="113"/>
      <c r="HI191" s="113"/>
      <c r="HJ191" s="113"/>
      <c r="HK191" s="113"/>
      <c r="HL191" s="113"/>
      <c r="HM191" s="121"/>
      <c r="HN191" s="121"/>
      <c r="LM191" t="str">
        <v/>
      </c>
      <c r="LN191" t="str">
        <v/>
      </c>
      <c r="LO191" t="str">
        <v/>
      </c>
    </row>
    <row r="192" spans="30:327">
      <c r="AD192" t="s">
        <v>113</v>
      </c>
      <c r="AE192" t="s">
        <v>23079</v>
      </c>
      <c r="AF192" s="46">
        <v>0</v>
      </c>
      <c r="AG192" s="113"/>
      <c r="AH192" s="113"/>
      <c r="AI192" s="113"/>
      <c r="AJ192" s="113"/>
      <c r="AK192" s="113"/>
      <c r="AL192" s="46">
        <v>0</v>
      </c>
      <c r="AM192" s="113"/>
      <c r="AN192" s="113"/>
      <c r="AO192" s="113"/>
      <c r="AP192" s="113"/>
      <c r="AQ192" s="113"/>
      <c r="AR192" s="46">
        <v>0</v>
      </c>
      <c r="AS192" s="113"/>
      <c r="AT192" s="113"/>
      <c r="AU192" s="113"/>
      <c r="AV192" s="113"/>
      <c r="AW192" s="113"/>
      <c r="AX192" s="46">
        <v>0</v>
      </c>
      <c r="AY192" s="113"/>
      <c r="AZ192" s="113"/>
      <c r="BA192" s="113"/>
      <c r="BB192" s="113"/>
      <c r="BC192" s="113"/>
      <c r="BD192" s="46">
        <v>0</v>
      </c>
      <c r="BE192" s="113"/>
      <c r="BF192" s="113"/>
      <c r="BG192" s="113"/>
      <c r="BH192" s="113"/>
      <c r="BI192" s="113"/>
      <c r="BJ192" s="46">
        <v>0</v>
      </c>
      <c r="BK192" s="113"/>
      <c r="BL192" s="113"/>
      <c r="BM192" s="113"/>
      <c r="BN192" s="113"/>
      <c r="BO192" s="113"/>
      <c r="BP192" s="121"/>
      <c r="BQ192" s="121"/>
      <c r="GA192" t="s">
        <v>113</v>
      </c>
      <c r="GB192" t="s">
        <v>23079</v>
      </c>
      <c r="GC192" s="46">
        <v>0</v>
      </c>
      <c r="GD192" s="113"/>
      <c r="GE192" s="113"/>
      <c r="GF192" s="113"/>
      <c r="GG192" s="113"/>
      <c r="GH192" s="113"/>
      <c r="GI192" s="46">
        <v>0</v>
      </c>
      <c r="GJ192" s="113"/>
      <c r="GK192" s="113"/>
      <c r="GL192" s="113"/>
      <c r="GM192" s="113"/>
      <c r="GN192" s="113"/>
      <c r="GO192" s="46">
        <v>0</v>
      </c>
      <c r="GP192" s="113"/>
      <c r="GQ192" s="113"/>
      <c r="GR192" s="113"/>
      <c r="GS192" s="113"/>
      <c r="GT192" s="113"/>
      <c r="GU192" s="46">
        <v>0</v>
      </c>
      <c r="GV192" s="113"/>
      <c r="GW192" s="113"/>
      <c r="GX192" s="113"/>
      <c r="GY192" s="113"/>
      <c r="GZ192" s="113"/>
      <c r="HA192" s="46">
        <v>0</v>
      </c>
      <c r="HB192" s="113"/>
      <c r="HC192" s="113"/>
      <c r="HD192" s="113"/>
      <c r="HE192" s="113"/>
      <c r="HF192" s="113"/>
      <c r="HG192" s="46">
        <v>0</v>
      </c>
      <c r="HH192" s="113"/>
      <c r="HI192" s="113"/>
      <c r="HJ192" s="113"/>
      <c r="HK192" s="113"/>
      <c r="HL192" s="113"/>
      <c r="HM192" s="121"/>
      <c r="HN192" s="121"/>
      <c r="LM192" t="str">
        <v/>
      </c>
      <c r="LN192" t="str">
        <v/>
      </c>
      <c r="LO192" t="str">
        <v/>
      </c>
    </row>
    <row r="193" spans="30:327">
      <c r="AD193" t="s">
        <v>113</v>
      </c>
      <c r="AE193" t="s">
        <v>23080</v>
      </c>
      <c r="AF193" s="46">
        <v>0</v>
      </c>
      <c r="AG193" s="113"/>
      <c r="AH193" s="113"/>
      <c r="AI193" s="113"/>
      <c r="AJ193" s="113"/>
      <c r="AK193" s="113"/>
      <c r="AL193" s="46">
        <v>0</v>
      </c>
      <c r="AM193" s="113"/>
      <c r="AN193" s="113"/>
      <c r="AO193" s="113"/>
      <c r="AP193" s="113"/>
      <c r="AQ193" s="113"/>
      <c r="AR193" s="46">
        <v>0</v>
      </c>
      <c r="AS193" s="113"/>
      <c r="AT193" s="113"/>
      <c r="AU193" s="113"/>
      <c r="AV193" s="113"/>
      <c r="AW193" s="113"/>
      <c r="AX193" s="46">
        <v>0</v>
      </c>
      <c r="AY193" s="113"/>
      <c r="AZ193" s="113"/>
      <c r="BA193" s="113"/>
      <c r="BB193" s="113"/>
      <c r="BC193" s="113"/>
      <c r="BD193" s="46">
        <v>0</v>
      </c>
      <c r="BE193" s="113"/>
      <c r="BF193" s="113"/>
      <c r="BG193" s="113"/>
      <c r="BH193" s="113"/>
      <c r="BI193" s="113"/>
      <c r="BJ193" s="46">
        <v>0</v>
      </c>
      <c r="BK193" s="113"/>
      <c r="BL193" s="113"/>
      <c r="BM193" s="113"/>
      <c r="BN193" s="113"/>
      <c r="BO193" s="113"/>
      <c r="BP193" s="121"/>
      <c r="BQ193" s="121"/>
      <c r="GA193" t="s">
        <v>113</v>
      </c>
      <c r="GB193" t="s">
        <v>23080</v>
      </c>
      <c r="GC193" s="46">
        <v>0</v>
      </c>
      <c r="GD193" s="113"/>
      <c r="GE193" s="113"/>
      <c r="GF193" s="113"/>
      <c r="GG193" s="113"/>
      <c r="GH193" s="113"/>
      <c r="GI193" s="46">
        <v>0</v>
      </c>
      <c r="GJ193" s="113"/>
      <c r="GK193" s="113"/>
      <c r="GL193" s="113"/>
      <c r="GM193" s="113"/>
      <c r="GN193" s="113"/>
      <c r="GO193" s="46">
        <v>0</v>
      </c>
      <c r="GP193" s="113"/>
      <c r="GQ193" s="113"/>
      <c r="GR193" s="113"/>
      <c r="GS193" s="113"/>
      <c r="GT193" s="113"/>
      <c r="GU193" s="46">
        <v>0</v>
      </c>
      <c r="GV193" s="113"/>
      <c r="GW193" s="113"/>
      <c r="GX193" s="113"/>
      <c r="GY193" s="113"/>
      <c r="GZ193" s="113"/>
      <c r="HA193" s="46">
        <v>0</v>
      </c>
      <c r="HB193" s="113"/>
      <c r="HC193" s="113"/>
      <c r="HD193" s="113"/>
      <c r="HE193" s="113"/>
      <c r="HF193" s="113"/>
      <c r="HG193" s="46">
        <v>0</v>
      </c>
      <c r="HH193" s="113"/>
      <c r="HI193" s="113"/>
      <c r="HJ193" s="113"/>
      <c r="HK193" s="113"/>
      <c r="HL193" s="113"/>
      <c r="HM193" s="121"/>
      <c r="HN193" s="121"/>
      <c r="LM193" t="str">
        <v/>
      </c>
      <c r="LN193" t="str">
        <v/>
      </c>
      <c r="LO193" t="str">
        <v/>
      </c>
    </row>
    <row r="194" spans="30:327">
      <c r="AD194" t="s">
        <v>113</v>
      </c>
      <c r="AE194" t="s">
        <v>23081</v>
      </c>
      <c r="AF194" s="46">
        <v>0</v>
      </c>
      <c r="AG194" s="113"/>
      <c r="AH194" s="113"/>
      <c r="AI194" s="113"/>
      <c r="AJ194" s="113"/>
      <c r="AK194" s="113"/>
      <c r="AL194" s="46">
        <v>0</v>
      </c>
      <c r="AM194" s="113"/>
      <c r="AN194" s="113"/>
      <c r="AO194" s="113"/>
      <c r="AP194" s="113"/>
      <c r="AQ194" s="113"/>
      <c r="AR194" s="46">
        <v>0</v>
      </c>
      <c r="AS194" s="113"/>
      <c r="AT194" s="113"/>
      <c r="AU194" s="113"/>
      <c r="AV194" s="113"/>
      <c r="AW194" s="113"/>
      <c r="AX194" s="46">
        <v>0</v>
      </c>
      <c r="AY194" s="113"/>
      <c r="AZ194" s="113"/>
      <c r="BA194" s="113"/>
      <c r="BB194" s="113"/>
      <c r="BC194" s="113"/>
      <c r="BD194" s="46">
        <v>0</v>
      </c>
      <c r="BE194" s="113"/>
      <c r="BF194" s="113"/>
      <c r="BG194" s="113"/>
      <c r="BH194" s="113"/>
      <c r="BI194" s="113"/>
      <c r="BJ194" s="46">
        <v>0</v>
      </c>
      <c r="BK194" s="113"/>
      <c r="BL194" s="113"/>
      <c r="BM194" s="113"/>
      <c r="BN194" s="113"/>
      <c r="BO194" s="113"/>
      <c r="BP194" s="121"/>
      <c r="BQ194" s="121"/>
      <c r="GA194" t="s">
        <v>113</v>
      </c>
      <c r="GB194" t="s">
        <v>23081</v>
      </c>
      <c r="GC194" s="46">
        <v>0</v>
      </c>
      <c r="GD194" s="113"/>
      <c r="GE194" s="113"/>
      <c r="GF194" s="113"/>
      <c r="GG194" s="113"/>
      <c r="GH194" s="113"/>
      <c r="GI194" s="46">
        <v>0</v>
      </c>
      <c r="GJ194" s="113"/>
      <c r="GK194" s="113"/>
      <c r="GL194" s="113"/>
      <c r="GM194" s="113"/>
      <c r="GN194" s="113"/>
      <c r="GO194" s="46">
        <v>0</v>
      </c>
      <c r="GP194" s="113"/>
      <c r="GQ194" s="113"/>
      <c r="GR194" s="113"/>
      <c r="GS194" s="113"/>
      <c r="GT194" s="113"/>
      <c r="GU194" s="46">
        <v>0</v>
      </c>
      <c r="GV194" s="113"/>
      <c r="GW194" s="113"/>
      <c r="GX194" s="113"/>
      <c r="GY194" s="113"/>
      <c r="GZ194" s="113"/>
      <c r="HA194" s="46">
        <v>0</v>
      </c>
      <c r="HB194" s="113"/>
      <c r="HC194" s="113"/>
      <c r="HD194" s="113"/>
      <c r="HE194" s="113"/>
      <c r="HF194" s="113"/>
      <c r="HG194" s="46">
        <v>0</v>
      </c>
      <c r="HH194" s="113"/>
      <c r="HI194" s="113"/>
      <c r="HJ194" s="113"/>
      <c r="HK194" s="113"/>
      <c r="HL194" s="113"/>
      <c r="HM194" s="121"/>
      <c r="HN194" s="121"/>
      <c r="LM194" t="str">
        <v/>
      </c>
      <c r="LN194" t="str">
        <v/>
      </c>
      <c r="LO194" t="str">
        <v/>
      </c>
    </row>
    <row r="195" spans="30:327">
      <c r="AD195" t="s">
        <v>113</v>
      </c>
      <c r="AE195" t="s">
        <v>23082</v>
      </c>
      <c r="AF195" s="46">
        <v>0</v>
      </c>
      <c r="AG195" s="113"/>
      <c r="AH195" s="113"/>
      <c r="AI195" s="113"/>
      <c r="AJ195" s="113"/>
      <c r="AK195" s="113"/>
      <c r="AL195" s="46">
        <v>0</v>
      </c>
      <c r="AM195" s="113"/>
      <c r="AN195" s="113"/>
      <c r="AO195" s="113"/>
      <c r="AP195" s="113"/>
      <c r="AQ195" s="113"/>
      <c r="AR195" s="46">
        <v>0</v>
      </c>
      <c r="AS195" s="113"/>
      <c r="AT195" s="113"/>
      <c r="AU195" s="113"/>
      <c r="AV195" s="113"/>
      <c r="AW195" s="113"/>
      <c r="AX195" s="46">
        <v>0</v>
      </c>
      <c r="AY195" s="113"/>
      <c r="AZ195" s="113"/>
      <c r="BA195" s="113"/>
      <c r="BB195" s="113"/>
      <c r="BC195" s="113"/>
      <c r="BD195" s="46">
        <v>0</v>
      </c>
      <c r="BE195" s="113"/>
      <c r="BF195" s="113"/>
      <c r="BG195" s="113"/>
      <c r="BH195" s="113"/>
      <c r="BI195" s="113"/>
      <c r="BJ195" s="46">
        <v>0</v>
      </c>
      <c r="BK195" s="113"/>
      <c r="BL195" s="113"/>
      <c r="BM195" s="113"/>
      <c r="BN195" s="113"/>
      <c r="BO195" s="113"/>
      <c r="BP195" s="121"/>
      <c r="BQ195" s="121"/>
      <c r="GA195" t="s">
        <v>113</v>
      </c>
      <c r="GB195" t="s">
        <v>23082</v>
      </c>
      <c r="GC195" s="46">
        <v>0</v>
      </c>
      <c r="GD195" s="113"/>
      <c r="GE195" s="113"/>
      <c r="GF195" s="113"/>
      <c r="GG195" s="113"/>
      <c r="GH195" s="113"/>
      <c r="GI195" s="46">
        <v>0</v>
      </c>
      <c r="GJ195" s="113"/>
      <c r="GK195" s="113"/>
      <c r="GL195" s="113"/>
      <c r="GM195" s="113"/>
      <c r="GN195" s="113"/>
      <c r="GO195" s="46">
        <v>0</v>
      </c>
      <c r="GP195" s="113"/>
      <c r="GQ195" s="113"/>
      <c r="GR195" s="113"/>
      <c r="GS195" s="113"/>
      <c r="GT195" s="113"/>
      <c r="GU195" s="46">
        <v>0</v>
      </c>
      <c r="GV195" s="113"/>
      <c r="GW195" s="113"/>
      <c r="GX195" s="113"/>
      <c r="GY195" s="113"/>
      <c r="GZ195" s="113"/>
      <c r="HA195" s="46">
        <v>0</v>
      </c>
      <c r="HB195" s="113"/>
      <c r="HC195" s="113"/>
      <c r="HD195" s="113"/>
      <c r="HE195" s="113"/>
      <c r="HF195" s="113"/>
      <c r="HG195" s="46">
        <v>0</v>
      </c>
      <c r="HH195" s="113"/>
      <c r="HI195" s="113"/>
      <c r="HJ195" s="113"/>
      <c r="HK195" s="113"/>
      <c r="HL195" s="113"/>
      <c r="HM195" s="121"/>
      <c r="HN195" s="121"/>
      <c r="LM195" t="str">
        <v/>
      </c>
      <c r="LN195" t="str">
        <v/>
      </c>
      <c r="LO195" t="str">
        <v/>
      </c>
    </row>
    <row r="196" spans="30:327">
      <c r="AD196" t="s">
        <v>113</v>
      </c>
      <c r="AE196" t="s">
        <v>23083</v>
      </c>
      <c r="AF196" s="46">
        <v>0</v>
      </c>
      <c r="AG196" s="113"/>
      <c r="AH196" s="113"/>
      <c r="AI196" s="113"/>
      <c r="AJ196" s="113"/>
      <c r="AK196" s="113"/>
      <c r="AL196" s="46">
        <v>0</v>
      </c>
      <c r="AM196" s="113"/>
      <c r="AN196" s="113"/>
      <c r="AO196" s="113"/>
      <c r="AP196" s="113"/>
      <c r="AQ196" s="113"/>
      <c r="AR196" s="46">
        <v>0</v>
      </c>
      <c r="AS196" s="113"/>
      <c r="AT196" s="113"/>
      <c r="AU196" s="113"/>
      <c r="AV196" s="113"/>
      <c r="AW196" s="113"/>
      <c r="AX196" s="46">
        <v>0</v>
      </c>
      <c r="AY196" s="113"/>
      <c r="AZ196" s="113"/>
      <c r="BA196" s="113"/>
      <c r="BB196" s="113"/>
      <c r="BC196" s="113"/>
      <c r="BD196" s="46">
        <v>0</v>
      </c>
      <c r="BE196" s="113"/>
      <c r="BF196" s="113"/>
      <c r="BG196" s="113"/>
      <c r="BH196" s="113"/>
      <c r="BI196" s="113"/>
      <c r="BJ196" s="46">
        <v>0</v>
      </c>
      <c r="BK196" s="113"/>
      <c r="BL196" s="113"/>
      <c r="BM196" s="113"/>
      <c r="BN196" s="113"/>
      <c r="BO196" s="113"/>
      <c r="BP196" s="121"/>
      <c r="BQ196" s="121"/>
      <c r="GA196" t="s">
        <v>113</v>
      </c>
      <c r="GB196" t="s">
        <v>23083</v>
      </c>
      <c r="GC196" s="46">
        <v>0</v>
      </c>
      <c r="GD196" s="113"/>
      <c r="GE196" s="113"/>
      <c r="GF196" s="113"/>
      <c r="GG196" s="113"/>
      <c r="GH196" s="113"/>
      <c r="GI196" s="46">
        <v>0</v>
      </c>
      <c r="GJ196" s="113"/>
      <c r="GK196" s="113"/>
      <c r="GL196" s="113"/>
      <c r="GM196" s="113"/>
      <c r="GN196" s="113"/>
      <c r="GO196" s="46">
        <v>0</v>
      </c>
      <c r="GP196" s="113"/>
      <c r="GQ196" s="113"/>
      <c r="GR196" s="113"/>
      <c r="GS196" s="113"/>
      <c r="GT196" s="113"/>
      <c r="GU196" s="46">
        <v>0</v>
      </c>
      <c r="GV196" s="113"/>
      <c r="GW196" s="113"/>
      <c r="GX196" s="113"/>
      <c r="GY196" s="113"/>
      <c r="GZ196" s="113"/>
      <c r="HA196" s="46">
        <v>0</v>
      </c>
      <c r="HB196" s="113"/>
      <c r="HC196" s="113"/>
      <c r="HD196" s="113"/>
      <c r="HE196" s="113"/>
      <c r="HF196" s="113"/>
      <c r="HG196" s="46">
        <v>0</v>
      </c>
      <c r="HH196" s="113"/>
      <c r="HI196" s="113"/>
      <c r="HJ196" s="113"/>
      <c r="HK196" s="113"/>
      <c r="HL196" s="113"/>
      <c r="HM196" s="121"/>
      <c r="HN196" s="121"/>
      <c r="LM196" t="str">
        <v/>
      </c>
      <c r="LN196" t="str">
        <v/>
      </c>
      <c r="LO196" t="str">
        <v/>
      </c>
    </row>
    <row r="197" spans="30:327">
      <c r="AD197" t="s">
        <v>113</v>
      </c>
      <c r="AE197" t="s">
        <v>23084</v>
      </c>
      <c r="AF197" s="46">
        <v>0</v>
      </c>
      <c r="AG197" s="113"/>
      <c r="AH197" s="113"/>
      <c r="AI197" s="113"/>
      <c r="AJ197" s="113"/>
      <c r="AK197" s="113"/>
      <c r="AL197" s="46">
        <v>0</v>
      </c>
      <c r="AM197" s="113"/>
      <c r="AN197" s="113"/>
      <c r="AO197" s="113"/>
      <c r="AP197" s="113"/>
      <c r="AQ197" s="113"/>
      <c r="AR197" s="46">
        <v>0</v>
      </c>
      <c r="AS197" s="113"/>
      <c r="AT197" s="113"/>
      <c r="AU197" s="113"/>
      <c r="AV197" s="113"/>
      <c r="AW197" s="113"/>
      <c r="AX197" s="46">
        <v>0</v>
      </c>
      <c r="AY197" s="113"/>
      <c r="AZ197" s="113"/>
      <c r="BA197" s="113"/>
      <c r="BB197" s="113"/>
      <c r="BC197" s="113"/>
      <c r="BD197" s="46">
        <v>0</v>
      </c>
      <c r="BE197" s="113"/>
      <c r="BF197" s="113"/>
      <c r="BG197" s="113"/>
      <c r="BH197" s="113"/>
      <c r="BI197" s="113"/>
      <c r="BJ197" s="46">
        <v>0</v>
      </c>
      <c r="BK197" s="113"/>
      <c r="BL197" s="113"/>
      <c r="BM197" s="113"/>
      <c r="BN197" s="113"/>
      <c r="BO197" s="113"/>
      <c r="BP197" s="121"/>
      <c r="BQ197" s="121"/>
      <c r="GA197" t="s">
        <v>113</v>
      </c>
      <c r="GB197" t="s">
        <v>23084</v>
      </c>
      <c r="GC197" s="46">
        <v>0</v>
      </c>
      <c r="GD197" s="113"/>
      <c r="GE197" s="113"/>
      <c r="GF197" s="113"/>
      <c r="GG197" s="113"/>
      <c r="GH197" s="113"/>
      <c r="GI197" s="46">
        <v>0</v>
      </c>
      <c r="GJ197" s="113"/>
      <c r="GK197" s="113"/>
      <c r="GL197" s="113"/>
      <c r="GM197" s="113"/>
      <c r="GN197" s="113"/>
      <c r="GO197" s="46">
        <v>0</v>
      </c>
      <c r="GP197" s="113"/>
      <c r="GQ197" s="113"/>
      <c r="GR197" s="113"/>
      <c r="GS197" s="113"/>
      <c r="GT197" s="113"/>
      <c r="GU197" s="46">
        <v>0</v>
      </c>
      <c r="GV197" s="113"/>
      <c r="GW197" s="113"/>
      <c r="GX197" s="113"/>
      <c r="GY197" s="113"/>
      <c r="GZ197" s="113"/>
      <c r="HA197" s="46">
        <v>0</v>
      </c>
      <c r="HB197" s="113"/>
      <c r="HC197" s="113"/>
      <c r="HD197" s="113"/>
      <c r="HE197" s="113"/>
      <c r="HF197" s="113"/>
      <c r="HG197" s="46">
        <v>0</v>
      </c>
      <c r="HH197" s="113"/>
      <c r="HI197" s="113"/>
      <c r="HJ197" s="113"/>
      <c r="HK197" s="113"/>
      <c r="HL197" s="113"/>
      <c r="HM197" s="121"/>
      <c r="HN197" s="121"/>
      <c r="LM197" t="str">
        <v/>
      </c>
      <c r="LN197" t="str">
        <v/>
      </c>
      <c r="LO197" t="str">
        <v/>
      </c>
    </row>
    <row r="198" spans="30:327">
      <c r="AD198" t="s">
        <v>113</v>
      </c>
      <c r="AE198" t="s">
        <v>23085</v>
      </c>
      <c r="AF198" s="46">
        <v>0</v>
      </c>
      <c r="AG198" s="113"/>
      <c r="AH198" s="113"/>
      <c r="AI198" s="113"/>
      <c r="AJ198" s="113"/>
      <c r="AK198" s="113"/>
      <c r="AL198" s="46">
        <v>0</v>
      </c>
      <c r="AM198" s="113"/>
      <c r="AN198" s="113"/>
      <c r="AO198" s="113"/>
      <c r="AP198" s="113"/>
      <c r="AQ198" s="113"/>
      <c r="AR198" s="46">
        <v>0</v>
      </c>
      <c r="AS198" s="113"/>
      <c r="AT198" s="113"/>
      <c r="AU198" s="113"/>
      <c r="AV198" s="113"/>
      <c r="AW198" s="113"/>
      <c r="AX198" s="46">
        <v>0</v>
      </c>
      <c r="AY198" s="113"/>
      <c r="AZ198" s="113"/>
      <c r="BA198" s="113"/>
      <c r="BB198" s="113"/>
      <c r="BC198" s="113"/>
      <c r="BD198" s="46">
        <v>0</v>
      </c>
      <c r="BE198" s="113"/>
      <c r="BF198" s="113"/>
      <c r="BG198" s="113"/>
      <c r="BH198" s="113"/>
      <c r="BI198" s="113"/>
      <c r="BJ198" s="46">
        <v>0</v>
      </c>
      <c r="BK198" s="113"/>
      <c r="BL198" s="113"/>
      <c r="BM198" s="113"/>
      <c r="BN198" s="113"/>
      <c r="BO198" s="113"/>
      <c r="BP198" s="121"/>
      <c r="BQ198" s="121"/>
      <c r="GA198" t="s">
        <v>113</v>
      </c>
      <c r="GB198" t="s">
        <v>23085</v>
      </c>
      <c r="GC198" s="46">
        <v>0</v>
      </c>
      <c r="GD198" s="113"/>
      <c r="GE198" s="113"/>
      <c r="GF198" s="113"/>
      <c r="GG198" s="113"/>
      <c r="GH198" s="113"/>
      <c r="GI198" s="46">
        <v>0</v>
      </c>
      <c r="GJ198" s="113"/>
      <c r="GK198" s="113"/>
      <c r="GL198" s="113"/>
      <c r="GM198" s="113"/>
      <c r="GN198" s="113"/>
      <c r="GO198" s="46">
        <v>0</v>
      </c>
      <c r="GP198" s="113"/>
      <c r="GQ198" s="113"/>
      <c r="GR198" s="113"/>
      <c r="GS198" s="113"/>
      <c r="GT198" s="113"/>
      <c r="GU198" s="46">
        <v>0</v>
      </c>
      <c r="GV198" s="113"/>
      <c r="GW198" s="113"/>
      <c r="GX198" s="113"/>
      <c r="GY198" s="113"/>
      <c r="GZ198" s="113"/>
      <c r="HA198" s="46">
        <v>0</v>
      </c>
      <c r="HB198" s="113"/>
      <c r="HC198" s="113"/>
      <c r="HD198" s="113"/>
      <c r="HE198" s="113"/>
      <c r="HF198" s="113"/>
      <c r="HG198" s="46">
        <v>0</v>
      </c>
      <c r="HH198" s="113"/>
      <c r="HI198" s="113"/>
      <c r="HJ198" s="113"/>
      <c r="HK198" s="113"/>
      <c r="HL198" s="113"/>
      <c r="HM198" s="121"/>
      <c r="HN198" s="121"/>
      <c r="LM198" t="str">
        <v/>
      </c>
      <c r="LN198" t="str">
        <v/>
      </c>
      <c r="LO198" t="str">
        <v/>
      </c>
    </row>
    <row r="199" spans="30:327">
      <c r="AD199" t="s">
        <v>113</v>
      </c>
      <c r="AE199" t="s">
        <v>23086</v>
      </c>
      <c r="AF199" s="46">
        <v>0</v>
      </c>
      <c r="AG199" s="113"/>
      <c r="AH199" s="113"/>
      <c r="AI199" s="113"/>
      <c r="AJ199" s="113"/>
      <c r="AK199" s="113"/>
      <c r="AL199" s="46">
        <v>0</v>
      </c>
      <c r="AM199" s="113"/>
      <c r="AN199" s="113"/>
      <c r="AO199" s="113"/>
      <c r="AP199" s="113"/>
      <c r="AQ199" s="113"/>
      <c r="AR199" s="46">
        <v>0</v>
      </c>
      <c r="AS199" s="113"/>
      <c r="AT199" s="113"/>
      <c r="AU199" s="113"/>
      <c r="AV199" s="113"/>
      <c r="AW199" s="113"/>
      <c r="AX199" s="46">
        <v>0</v>
      </c>
      <c r="AY199" s="113"/>
      <c r="AZ199" s="113"/>
      <c r="BA199" s="113"/>
      <c r="BB199" s="113"/>
      <c r="BC199" s="113"/>
      <c r="BD199" s="46">
        <v>0</v>
      </c>
      <c r="BE199" s="113"/>
      <c r="BF199" s="113"/>
      <c r="BG199" s="113"/>
      <c r="BH199" s="113"/>
      <c r="BI199" s="113"/>
      <c r="BJ199" s="46">
        <v>0</v>
      </c>
      <c r="BK199" s="113"/>
      <c r="BL199" s="113"/>
      <c r="BM199" s="113"/>
      <c r="BN199" s="113"/>
      <c r="BO199" s="113"/>
      <c r="BP199" s="121"/>
      <c r="BQ199" s="121"/>
      <c r="GA199" t="s">
        <v>113</v>
      </c>
      <c r="GB199" t="s">
        <v>23086</v>
      </c>
      <c r="GC199" s="46">
        <v>0</v>
      </c>
      <c r="GD199" s="113"/>
      <c r="GE199" s="113"/>
      <c r="GF199" s="113"/>
      <c r="GG199" s="113"/>
      <c r="GH199" s="113"/>
      <c r="GI199" s="46">
        <v>0</v>
      </c>
      <c r="GJ199" s="113"/>
      <c r="GK199" s="113"/>
      <c r="GL199" s="113"/>
      <c r="GM199" s="113"/>
      <c r="GN199" s="113"/>
      <c r="GO199" s="46">
        <v>0</v>
      </c>
      <c r="GP199" s="113"/>
      <c r="GQ199" s="113"/>
      <c r="GR199" s="113"/>
      <c r="GS199" s="113"/>
      <c r="GT199" s="113"/>
      <c r="GU199" s="46">
        <v>0</v>
      </c>
      <c r="GV199" s="113"/>
      <c r="GW199" s="113"/>
      <c r="GX199" s="113"/>
      <c r="GY199" s="113"/>
      <c r="GZ199" s="113"/>
      <c r="HA199" s="46">
        <v>0</v>
      </c>
      <c r="HB199" s="113"/>
      <c r="HC199" s="113"/>
      <c r="HD199" s="113"/>
      <c r="HE199" s="113"/>
      <c r="HF199" s="113"/>
      <c r="HG199" s="46">
        <v>0</v>
      </c>
      <c r="HH199" s="113"/>
      <c r="HI199" s="113"/>
      <c r="HJ199" s="113"/>
      <c r="HK199" s="113"/>
      <c r="HL199" s="113"/>
      <c r="HM199" s="121"/>
      <c r="HN199" s="121"/>
      <c r="LM199" t="str">
        <v/>
      </c>
      <c r="LN199" t="str">
        <v/>
      </c>
      <c r="LO199" t="str">
        <v/>
      </c>
    </row>
    <row r="200" spans="30:327">
      <c r="AD200" t="s">
        <v>113</v>
      </c>
      <c r="AE200" t="s">
        <v>23087</v>
      </c>
      <c r="AF200" s="46">
        <v>0</v>
      </c>
      <c r="AG200" s="113"/>
      <c r="AH200" s="113"/>
      <c r="AI200" s="113"/>
      <c r="AJ200" s="113"/>
      <c r="AK200" s="113"/>
      <c r="AL200" s="46">
        <v>0</v>
      </c>
      <c r="AM200" s="113"/>
      <c r="AN200" s="113"/>
      <c r="AO200" s="113"/>
      <c r="AP200" s="113"/>
      <c r="AQ200" s="113"/>
      <c r="AR200" s="46">
        <v>0</v>
      </c>
      <c r="AS200" s="113"/>
      <c r="AT200" s="113"/>
      <c r="AU200" s="113"/>
      <c r="AV200" s="113"/>
      <c r="AW200" s="113"/>
      <c r="AX200" s="46">
        <v>0</v>
      </c>
      <c r="AY200" s="113"/>
      <c r="AZ200" s="113"/>
      <c r="BA200" s="113"/>
      <c r="BB200" s="113"/>
      <c r="BC200" s="113"/>
      <c r="BD200" s="46">
        <v>0</v>
      </c>
      <c r="BE200" s="113"/>
      <c r="BF200" s="113"/>
      <c r="BG200" s="113"/>
      <c r="BH200" s="113"/>
      <c r="BI200" s="113"/>
      <c r="BJ200" s="46">
        <v>0</v>
      </c>
      <c r="BK200" s="113"/>
      <c r="BL200" s="113"/>
      <c r="BM200" s="113"/>
      <c r="BN200" s="113"/>
      <c r="BO200" s="113"/>
      <c r="BP200" s="121"/>
      <c r="BQ200" s="121"/>
      <c r="FA200" t="str">
        <f>IF(N(AN_Anomaly!$CA$7)&gt;=_xlfn.XLOOKUP("MinMonthsForCharts",AnParam[Param],AnParam[Value],12),"",SUBSTITUTE(SUBSTITUTE(SUBSTITUTE(_xlfn.XLOOKUP("AN_EMPTY",tblUIText[Key],tblUIText[TR],"AN_EMPTY"),": ",":"&amp;CHAR(10)),"{0}",N(AN_Anomaly!$CA$7)),"{1}",_xlfn.XLOOKUP("MinMonthsForCharts",AnParam[Param],AnParam[Value],12))&amp;CHAR(10)&amp;SUBSTITUTE(SUBSTITUTE(SUBSTITUTE(_xlfn.XLOOKUP("AN_EMPTY",tblUIText[Key],tblUIText[EN],"AN_EMPTY"),": ",":"&amp;CHAR(10)),"{0}",N(AN_Anomaly!$CA$7)),"{1}",_xlfn.XLOOKUP("MinMonthsForCharts",AnParam[Param],AnParam[Value],12)))</f>
        <v>VERİ YETERSİZ:
0 ay veri var, grafikler için en az 12 ay gerekir
INSUFFICIENT DATA:
0 months of data, the charts need at least 12</v>
      </c>
      <c r="FB200">
        <f>IF($FA$200="",NA(),1)</f>
        <v>1</v>
      </c>
      <c r="FC200" t="str">
        <f>IF($FA$200=""," ",$FA$200)</f>
        <v>VERİ YETERSİZ:
0 ay veri var, grafikler için en az 12 ay gerekir
INSUFFICIENT DATA:
0 months of data, the charts need at least 12</v>
      </c>
      <c r="FD200" t="str">
        <f>SUBSTITUTE(SUBSTITUTE(SUBSTITUTE(_xlfn.XLOOKUP("AN_EMPTY",tblUIText[Key],tblUIText[TR],"AN_EMPTY"),": ",":"&amp;CHAR(10)),"{0}",10),"{1}",_xlfn.XLOOKUP("MinMonthsForCharts",AnParam[Param],AnParam[Value],12))&amp;CHAR(10)&amp;SUBSTITUTE(SUBSTITUTE(SUBSTITUTE(_xlfn.XLOOKUP("AN_EMPTY",tblUIText[Key],tblUIText[EN],"AN_EMPTY"),": ",":"&amp;CHAR(10)),"{0}",10),"{1}",_xlfn.XLOOKUP("MinMonthsForCharts",AnParam[Param],AnParam[Value],12))</f>
        <v>VERİ YETERSİZ:
10 ay veri var, grafikler için en az 12 ay gerekir
INSUFFICIENT DATA:
10 months of data, the charts need at least 12</v>
      </c>
      <c r="GA200" t="s">
        <v>113</v>
      </c>
      <c r="GB200" t="s">
        <v>23087</v>
      </c>
      <c r="GC200" s="46">
        <v>0</v>
      </c>
      <c r="GD200" s="113"/>
      <c r="GE200" s="113"/>
      <c r="GF200" s="113"/>
      <c r="GG200" s="113"/>
      <c r="GH200" s="113"/>
      <c r="GI200" s="46">
        <v>0</v>
      </c>
      <c r="GJ200" s="113"/>
      <c r="GK200" s="113"/>
      <c r="GL200" s="113"/>
      <c r="GM200" s="113"/>
      <c r="GN200" s="113"/>
      <c r="GO200" s="46">
        <v>0</v>
      </c>
      <c r="GP200" s="113"/>
      <c r="GQ200" s="113"/>
      <c r="GR200" s="113"/>
      <c r="GS200" s="113"/>
      <c r="GT200" s="113"/>
      <c r="GU200" s="46">
        <v>0</v>
      </c>
      <c r="GV200" s="113"/>
      <c r="GW200" s="113"/>
      <c r="GX200" s="113"/>
      <c r="GY200" s="113"/>
      <c r="GZ200" s="113"/>
      <c r="HA200" s="46">
        <v>0</v>
      </c>
      <c r="HB200" s="113"/>
      <c r="HC200" s="113"/>
      <c r="HD200" s="113"/>
      <c r="HE200" s="113"/>
      <c r="HF200" s="113"/>
      <c r="HG200" s="46">
        <v>0</v>
      </c>
      <c r="HH200" s="113"/>
      <c r="HI200" s="113"/>
      <c r="HJ200" s="113"/>
      <c r="HK200" s="113"/>
      <c r="HL200" s="113"/>
      <c r="HM200" s="121"/>
      <c r="HN200" s="121"/>
      <c r="LM200" t="str">
        <v/>
      </c>
      <c r="LN200" t="str">
        <v/>
      </c>
      <c r="LO200" t="str">
        <v/>
      </c>
    </row>
    <row r="201" spans="30:327">
      <c r="AD201" t="s">
        <v>113</v>
      </c>
      <c r="AE201" t="s">
        <v>23088</v>
      </c>
      <c r="AF201" s="46">
        <v>0</v>
      </c>
      <c r="AG201" s="113"/>
      <c r="AH201" s="113"/>
      <c r="AI201" s="113"/>
      <c r="AJ201" s="113"/>
      <c r="AK201" s="113"/>
      <c r="AL201" s="46">
        <v>0</v>
      </c>
      <c r="AM201" s="113"/>
      <c r="AN201" s="113"/>
      <c r="AO201" s="113"/>
      <c r="AP201" s="113"/>
      <c r="AQ201" s="113"/>
      <c r="AR201" s="46">
        <v>0</v>
      </c>
      <c r="AS201" s="113"/>
      <c r="AT201" s="113"/>
      <c r="AU201" s="113"/>
      <c r="AV201" s="113"/>
      <c r="AW201" s="113"/>
      <c r="AX201" s="46">
        <v>0</v>
      </c>
      <c r="AY201" s="113"/>
      <c r="AZ201" s="113"/>
      <c r="BA201" s="113"/>
      <c r="BB201" s="113"/>
      <c r="BC201" s="113"/>
      <c r="BD201" s="46">
        <v>0</v>
      </c>
      <c r="BE201" s="113"/>
      <c r="BF201" s="113"/>
      <c r="BG201" s="113"/>
      <c r="BH201" s="113"/>
      <c r="BI201" s="113"/>
      <c r="BJ201" s="46">
        <v>0</v>
      </c>
      <c r="BK201" s="113"/>
      <c r="BL201" s="113"/>
      <c r="BM201" s="113"/>
      <c r="BN201" s="113"/>
      <c r="BO201" s="113"/>
      <c r="BP201" s="121"/>
      <c r="BQ201" s="121"/>
      <c r="GA201" t="s">
        <v>113</v>
      </c>
      <c r="GB201" t="s">
        <v>23088</v>
      </c>
      <c r="GC201" s="46">
        <v>0</v>
      </c>
      <c r="GD201" s="113"/>
      <c r="GE201" s="113"/>
      <c r="GF201" s="113"/>
      <c r="GG201" s="113"/>
      <c r="GH201" s="113"/>
      <c r="GI201" s="46">
        <v>0</v>
      </c>
      <c r="GJ201" s="113"/>
      <c r="GK201" s="113"/>
      <c r="GL201" s="113"/>
      <c r="GM201" s="113"/>
      <c r="GN201" s="113"/>
      <c r="GO201" s="46">
        <v>0</v>
      </c>
      <c r="GP201" s="113"/>
      <c r="GQ201" s="113"/>
      <c r="GR201" s="113"/>
      <c r="GS201" s="113"/>
      <c r="GT201" s="113"/>
      <c r="GU201" s="46">
        <v>0</v>
      </c>
      <c r="GV201" s="113"/>
      <c r="GW201" s="113"/>
      <c r="GX201" s="113"/>
      <c r="GY201" s="113"/>
      <c r="GZ201" s="113"/>
      <c r="HA201" s="46">
        <v>0</v>
      </c>
      <c r="HB201" s="113"/>
      <c r="HC201" s="113"/>
      <c r="HD201" s="113"/>
      <c r="HE201" s="113"/>
      <c r="HF201" s="113"/>
      <c r="HG201" s="46">
        <v>0</v>
      </c>
      <c r="HH201" s="113"/>
      <c r="HI201" s="113"/>
      <c r="HJ201" s="113"/>
      <c r="HK201" s="113"/>
      <c r="HL201" s="113"/>
      <c r="HM201" s="121"/>
      <c r="HN201" s="121"/>
      <c r="LM201" t="str">
        <v/>
      </c>
      <c r="LN201" t="str">
        <v/>
      </c>
      <c r="LO201" t="str">
        <v/>
      </c>
    </row>
    <row r="202" spans="30:327">
      <c r="AD202" t="s">
        <v>113</v>
      </c>
      <c r="AE202" t="s">
        <v>23089</v>
      </c>
      <c r="AF202" s="46">
        <v>0</v>
      </c>
      <c r="AG202" s="113"/>
      <c r="AH202" s="113"/>
      <c r="AI202" s="113"/>
      <c r="AJ202" s="113"/>
      <c r="AK202" s="113"/>
      <c r="AL202" s="46">
        <v>0</v>
      </c>
      <c r="AM202" s="113"/>
      <c r="AN202" s="113"/>
      <c r="AO202" s="113"/>
      <c r="AP202" s="113"/>
      <c r="AQ202" s="113"/>
      <c r="AR202" s="46">
        <v>0</v>
      </c>
      <c r="AS202" s="113"/>
      <c r="AT202" s="113"/>
      <c r="AU202" s="113"/>
      <c r="AV202" s="113"/>
      <c r="AW202" s="113"/>
      <c r="AX202" s="46">
        <v>0</v>
      </c>
      <c r="AY202" s="113"/>
      <c r="AZ202" s="113"/>
      <c r="BA202" s="113"/>
      <c r="BB202" s="113"/>
      <c r="BC202" s="113"/>
      <c r="BD202" s="46">
        <v>0</v>
      </c>
      <c r="BE202" s="113"/>
      <c r="BF202" s="113"/>
      <c r="BG202" s="113"/>
      <c r="BH202" s="113"/>
      <c r="BI202" s="113"/>
      <c r="BJ202" s="46">
        <v>0</v>
      </c>
      <c r="BK202" s="113"/>
      <c r="BL202" s="113"/>
      <c r="BM202" s="113"/>
      <c r="BN202" s="113"/>
      <c r="BO202" s="113"/>
      <c r="BP202" s="121"/>
      <c r="BQ202" s="121"/>
      <c r="GA202" t="s">
        <v>113</v>
      </c>
      <c r="GB202" t="s">
        <v>23089</v>
      </c>
      <c r="GC202" s="46">
        <v>0</v>
      </c>
      <c r="GD202" s="113"/>
      <c r="GE202" s="113"/>
      <c r="GF202" s="113"/>
      <c r="GG202" s="113"/>
      <c r="GH202" s="113"/>
      <c r="GI202" s="46">
        <v>0</v>
      </c>
      <c r="GJ202" s="113"/>
      <c r="GK202" s="113"/>
      <c r="GL202" s="113"/>
      <c r="GM202" s="113"/>
      <c r="GN202" s="113"/>
      <c r="GO202" s="46">
        <v>0</v>
      </c>
      <c r="GP202" s="113"/>
      <c r="GQ202" s="113"/>
      <c r="GR202" s="113"/>
      <c r="GS202" s="113"/>
      <c r="GT202" s="113"/>
      <c r="GU202" s="46">
        <v>0</v>
      </c>
      <c r="GV202" s="113"/>
      <c r="GW202" s="113"/>
      <c r="GX202" s="113"/>
      <c r="GY202" s="113"/>
      <c r="GZ202" s="113"/>
      <c r="HA202" s="46">
        <v>0</v>
      </c>
      <c r="HB202" s="113"/>
      <c r="HC202" s="113"/>
      <c r="HD202" s="113"/>
      <c r="HE202" s="113"/>
      <c r="HF202" s="113"/>
      <c r="HG202" s="46">
        <v>0</v>
      </c>
      <c r="HH202" s="113"/>
      <c r="HI202" s="113"/>
      <c r="HJ202" s="113"/>
      <c r="HK202" s="113"/>
      <c r="HL202" s="113"/>
      <c r="HM202" s="121"/>
      <c r="HN202" s="121"/>
      <c r="LM202" t="str">
        <v/>
      </c>
      <c r="LN202" t="str">
        <v/>
      </c>
      <c r="LO202" t="str">
        <v/>
      </c>
    </row>
    <row r="203" spans="30:327">
      <c r="AD203" t="s">
        <v>113</v>
      </c>
      <c r="AE203" t="s">
        <v>23090</v>
      </c>
      <c r="AF203" s="46">
        <v>0</v>
      </c>
      <c r="AG203" s="113"/>
      <c r="AH203" s="113"/>
      <c r="AI203" s="113"/>
      <c r="AJ203" s="113"/>
      <c r="AK203" s="113"/>
      <c r="AL203" s="46">
        <v>0</v>
      </c>
      <c r="AM203" s="113"/>
      <c r="AN203" s="113"/>
      <c r="AO203" s="113"/>
      <c r="AP203" s="113"/>
      <c r="AQ203" s="113"/>
      <c r="AR203" s="46">
        <v>0</v>
      </c>
      <c r="AS203" s="113"/>
      <c r="AT203" s="113"/>
      <c r="AU203" s="113"/>
      <c r="AV203" s="113"/>
      <c r="AW203" s="113"/>
      <c r="AX203" s="46">
        <v>0</v>
      </c>
      <c r="AY203" s="113"/>
      <c r="AZ203" s="113"/>
      <c r="BA203" s="113"/>
      <c r="BB203" s="113"/>
      <c r="BC203" s="113"/>
      <c r="BD203" s="46">
        <v>0</v>
      </c>
      <c r="BE203" s="113"/>
      <c r="BF203" s="113"/>
      <c r="BG203" s="113"/>
      <c r="BH203" s="113"/>
      <c r="BI203" s="113"/>
      <c r="BJ203" s="46">
        <v>0</v>
      </c>
      <c r="BK203" s="113"/>
      <c r="BL203" s="113"/>
      <c r="BM203" s="113"/>
      <c r="BN203" s="113"/>
      <c r="BO203" s="113"/>
      <c r="BP203" s="121"/>
      <c r="BQ203" s="121"/>
      <c r="GA203" t="s">
        <v>113</v>
      </c>
      <c r="GB203" t="s">
        <v>23090</v>
      </c>
      <c r="GC203" s="46">
        <v>0</v>
      </c>
      <c r="GD203" s="113"/>
      <c r="GE203" s="113"/>
      <c r="GF203" s="113"/>
      <c r="GG203" s="113"/>
      <c r="GH203" s="113"/>
      <c r="GI203" s="46">
        <v>0</v>
      </c>
      <c r="GJ203" s="113"/>
      <c r="GK203" s="113"/>
      <c r="GL203" s="113"/>
      <c r="GM203" s="113"/>
      <c r="GN203" s="113"/>
      <c r="GO203" s="46">
        <v>0</v>
      </c>
      <c r="GP203" s="113"/>
      <c r="GQ203" s="113"/>
      <c r="GR203" s="113"/>
      <c r="GS203" s="113"/>
      <c r="GT203" s="113"/>
      <c r="GU203" s="46">
        <v>0</v>
      </c>
      <c r="GV203" s="113"/>
      <c r="GW203" s="113"/>
      <c r="GX203" s="113"/>
      <c r="GY203" s="113"/>
      <c r="GZ203" s="113"/>
      <c r="HA203" s="46">
        <v>0</v>
      </c>
      <c r="HB203" s="113"/>
      <c r="HC203" s="113"/>
      <c r="HD203" s="113"/>
      <c r="HE203" s="113"/>
      <c r="HF203" s="113"/>
      <c r="HG203" s="46">
        <v>0</v>
      </c>
      <c r="HH203" s="113"/>
      <c r="HI203" s="113"/>
      <c r="HJ203" s="113"/>
      <c r="HK203" s="113"/>
      <c r="HL203" s="113"/>
      <c r="HM203" s="121"/>
      <c r="HN203" s="121"/>
      <c r="LM203" t="str">
        <v/>
      </c>
      <c r="LN203" t="str">
        <v/>
      </c>
      <c r="LO203" t="str">
        <v/>
      </c>
    </row>
    <row r="204" spans="30:327">
      <c r="AD204" t="s">
        <v>113</v>
      </c>
      <c r="AE204" t="s">
        <v>23091</v>
      </c>
      <c r="AF204" s="46">
        <v>0</v>
      </c>
      <c r="AG204" s="113"/>
      <c r="AH204" s="113"/>
      <c r="AI204" s="113"/>
      <c r="AJ204" s="113"/>
      <c r="AK204" s="113"/>
      <c r="AL204" s="46">
        <v>0</v>
      </c>
      <c r="AM204" s="113"/>
      <c r="AN204" s="113"/>
      <c r="AO204" s="113"/>
      <c r="AP204" s="113"/>
      <c r="AQ204" s="113"/>
      <c r="AR204" s="46">
        <v>0</v>
      </c>
      <c r="AS204" s="113"/>
      <c r="AT204" s="113"/>
      <c r="AU204" s="113"/>
      <c r="AV204" s="113"/>
      <c r="AW204" s="113"/>
      <c r="AX204" s="46">
        <v>0</v>
      </c>
      <c r="AY204" s="113"/>
      <c r="AZ204" s="113"/>
      <c r="BA204" s="113"/>
      <c r="BB204" s="113"/>
      <c r="BC204" s="113"/>
      <c r="BD204" s="46">
        <v>0</v>
      </c>
      <c r="BE204" s="113"/>
      <c r="BF204" s="113"/>
      <c r="BG204" s="113"/>
      <c r="BH204" s="113"/>
      <c r="BI204" s="113"/>
      <c r="BJ204" s="46">
        <v>0</v>
      </c>
      <c r="BK204" s="113"/>
      <c r="BL204" s="113"/>
      <c r="BM204" s="113"/>
      <c r="BN204" s="113"/>
      <c r="BO204" s="113"/>
      <c r="BP204" s="121"/>
      <c r="BQ204" s="121"/>
      <c r="GA204" t="s">
        <v>113</v>
      </c>
      <c r="GB204" t="s">
        <v>23091</v>
      </c>
      <c r="GC204" s="46">
        <v>0</v>
      </c>
      <c r="GD204" s="113"/>
      <c r="GE204" s="113"/>
      <c r="GF204" s="113"/>
      <c r="GG204" s="113"/>
      <c r="GH204" s="113"/>
      <c r="GI204" s="46">
        <v>0</v>
      </c>
      <c r="GJ204" s="113"/>
      <c r="GK204" s="113"/>
      <c r="GL204" s="113"/>
      <c r="GM204" s="113"/>
      <c r="GN204" s="113"/>
      <c r="GO204" s="46">
        <v>0</v>
      </c>
      <c r="GP204" s="113"/>
      <c r="GQ204" s="113"/>
      <c r="GR204" s="113"/>
      <c r="GS204" s="113"/>
      <c r="GT204" s="113"/>
      <c r="GU204" s="46">
        <v>0</v>
      </c>
      <c r="GV204" s="113"/>
      <c r="GW204" s="113"/>
      <c r="GX204" s="113"/>
      <c r="GY204" s="113"/>
      <c r="GZ204" s="113"/>
      <c r="HA204" s="46">
        <v>0</v>
      </c>
      <c r="HB204" s="113"/>
      <c r="HC204" s="113"/>
      <c r="HD204" s="113"/>
      <c r="HE204" s="113"/>
      <c r="HF204" s="113"/>
      <c r="HG204" s="46">
        <v>0</v>
      </c>
      <c r="HH204" s="113"/>
      <c r="HI204" s="113"/>
      <c r="HJ204" s="113"/>
      <c r="HK204" s="113"/>
      <c r="HL204" s="113"/>
      <c r="HM204" s="121"/>
      <c r="HN204" s="121"/>
      <c r="LM204" t="str">
        <v/>
      </c>
      <c r="LN204" t="str">
        <v/>
      </c>
      <c r="LO204" t="str">
        <v/>
      </c>
    </row>
    <row r="205" spans="30:327">
      <c r="AD205" t="s">
        <v>113</v>
      </c>
      <c r="AE205" t="s">
        <v>23092</v>
      </c>
      <c r="AF205" s="46">
        <v>0</v>
      </c>
      <c r="AG205" s="113"/>
      <c r="AH205" s="113"/>
      <c r="AI205" s="113"/>
      <c r="AJ205" s="113"/>
      <c r="AK205" s="113"/>
      <c r="AL205" s="46">
        <v>0</v>
      </c>
      <c r="AM205" s="113"/>
      <c r="AN205" s="113"/>
      <c r="AO205" s="113"/>
      <c r="AP205" s="113"/>
      <c r="AQ205" s="113"/>
      <c r="AR205" s="46">
        <v>0</v>
      </c>
      <c r="AS205" s="113"/>
      <c r="AT205" s="113"/>
      <c r="AU205" s="113"/>
      <c r="AV205" s="113"/>
      <c r="AW205" s="113"/>
      <c r="AX205" s="46">
        <v>0</v>
      </c>
      <c r="AY205" s="113"/>
      <c r="AZ205" s="113"/>
      <c r="BA205" s="113"/>
      <c r="BB205" s="113"/>
      <c r="BC205" s="113"/>
      <c r="BD205" s="46">
        <v>0</v>
      </c>
      <c r="BE205" s="113"/>
      <c r="BF205" s="113"/>
      <c r="BG205" s="113"/>
      <c r="BH205" s="113"/>
      <c r="BI205" s="113"/>
      <c r="BJ205" s="46">
        <v>0</v>
      </c>
      <c r="BK205" s="113"/>
      <c r="BL205" s="113"/>
      <c r="BM205" s="113"/>
      <c r="BN205" s="113"/>
      <c r="BO205" s="113"/>
      <c r="BP205" s="121"/>
      <c r="BQ205" s="121"/>
      <c r="GA205" t="s">
        <v>113</v>
      </c>
      <c r="GB205" t="s">
        <v>23092</v>
      </c>
      <c r="GC205" s="46">
        <v>0</v>
      </c>
      <c r="GD205" s="113"/>
      <c r="GE205" s="113"/>
      <c r="GF205" s="113"/>
      <c r="GG205" s="113"/>
      <c r="GH205" s="113"/>
      <c r="GI205" s="46">
        <v>0</v>
      </c>
      <c r="GJ205" s="113"/>
      <c r="GK205" s="113"/>
      <c r="GL205" s="113"/>
      <c r="GM205" s="113"/>
      <c r="GN205" s="113"/>
      <c r="GO205" s="46">
        <v>0</v>
      </c>
      <c r="GP205" s="113"/>
      <c r="GQ205" s="113"/>
      <c r="GR205" s="113"/>
      <c r="GS205" s="113"/>
      <c r="GT205" s="113"/>
      <c r="GU205" s="46">
        <v>0</v>
      </c>
      <c r="GV205" s="113"/>
      <c r="GW205" s="113"/>
      <c r="GX205" s="113"/>
      <c r="GY205" s="113"/>
      <c r="GZ205" s="113"/>
      <c r="HA205" s="46">
        <v>0</v>
      </c>
      <c r="HB205" s="113"/>
      <c r="HC205" s="113"/>
      <c r="HD205" s="113"/>
      <c r="HE205" s="113"/>
      <c r="HF205" s="113"/>
      <c r="HG205" s="46">
        <v>0</v>
      </c>
      <c r="HH205" s="113"/>
      <c r="HI205" s="113"/>
      <c r="HJ205" s="113"/>
      <c r="HK205" s="113"/>
      <c r="HL205" s="113"/>
      <c r="HM205" s="121"/>
      <c r="HN205" s="121"/>
      <c r="LM205" t="str">
        <v/>
      </c>
      <c r="LN205" t="str">
        <v/>
      </c>
      <c r="LO205" t="str">
        <v/>
      </c>
    </row>
    <row r="206" spans="30:327">
      <c r="AD206" t="s">
        <v>113</v>
      </c>
      <c r="AE206" t="s">
        <v>23093</v>
      </c>
      <c r="AF206" s="46">
        <v>0</v>
      </c>
      <c r="AG206" s="113"/>
      <c r="AH206" s="113"/>
      <c r="AI206" s="113"/>
      <c r="AJ206" s="113"/>
      <c r="AK206" s="113"/>
      <c r="AL206" s="46">
        <v>0</v>
      </c>
      <c r="AM206" s="113"/>
      <c r="AN206" s="113"/>
      <c r="AO206" s="113"/>
      <c r="AP206" s="113"/>
      <c r="AQ206" s="113"/>
      <c r="AR206" s="46">
        <v>0</v>
      </c>
      <c r="AS206" s="113"/>
      <c r="AT206" s="113"/>
      <c r="AU206" s="113"/>
      <c r="AV206" s="113"/>
      <c r="AW206" s="113"/>
      <c r="AX206" s="46">
        <v>0</v>
      </c>
      <c r="AY206" s="113"/>
      <c r="AZ206" s="113"/>
      <c r="BA206" s="113"/>
      <c r="BB206" s="113"/>
      <c r="BC206" s="113"/>
      <c r="BD206" s="46">
        <v>0</v>
      </c>
      <c r="BE206" s="113"/>
      <c r="BF206" s="113"/>
      <c r="BG206" s="113"/>
      <c r="BH206" s="113"/>
      <c r="BI206" s="113"/>
      <c r="BJ206" s="46">
        <v>0</v>
      </c>
      <c r="BK206" s="113"/>
      <c r="BL206" s="113"/>
      <c r="BM206" s="113"/>
      <c r="BN206" s="113"/>
      <c r="BO206" s="113"/>
      <c r="BP206" s="121"/>
      <c r="BQ206" s="121"/>
      <c r="GA206" t="s">
        <v>113</v>
      </c>
      <c r="GB206" t="s">
        <v>23093</v>
      </c>
      <c r="GC206" s="46">
        <v>0</v>
      </c>
      <c r="GD206" s="113"/>
      <c r="GE206" s="113"/>
      <c r="GF206" s="113"/>
      <c r="GG206" s="113"/>
      <c r="GH206" s="113"/>
      <c r="GI206" s="46">
        <v>0</v>
      </c>
      <c r="GJ206" s="113"/>
      <c r="GK206" s="113"/>
      <c r="GL206" s="113"/>
      <c r="GM206" s="113"/>
      <c r="GN206" s="113"/>
      <c r="GO206" s="46">
        <v>0</v>
      </c>
      <c r="GP206" s="113"/>
      <c r="GQ206" s="113"/>
      <c r="GR206" s="113"/>
      <c r="GS206" s="113"/>
      <c r="GT206" s="113"/>
      <c r="GU206" s="46">
        <v>0</v>
      </c>
      <c r="GV206" s="113"/>
      <c r="GW206" s="113"/>
      <c r="GX206" s="113"/>
      <c r="GY206" s="113"/>
      <c r="GZ206" s="113"/>
      <c r="HA206" s="46">
        <v>0</v>
      </c>
      <c r="HB206" s="113"/>
      <c r="HC206" s="113"/>
      <c r="HD206" s="113"/>
      <c r="HE206" s="113"/>
      <c r="HF206" s="113"/>
      <c r="HG206" s="46">
        <v>0</v>
      </c>
      <c r="HH206" s="113"/>
      <c r="HI206" s="113"/>
      <c r="HJ206" s="113"/>
      <c r="HK206" s="113"/>
      <c r="HL206" s="113"/>
      <c r="HM206" s="121"/>
      <c r="HN206" s="121"/>
      <c r="LM206" t="str">
        <v/>
      </c>
      <c r="LN206" t="str">
        <v/>
      </c>
      <c r="LO206" t="str">
        <v/>
      </c>
    </row>
    <row r="207" spans="30:327">
      <c r="AD207" t="s">
        <v>113</v>
      </c>
      <c r="AE207" t="s">
        <v>23094</v>
      </c>
      <c r="AF207" s="46">
        <v>0</v>
      </c>
      <c r="AG207" s="113"/>
      <c r="AH207" s="113"/>
      <c r="AI207" s="113"/>
      <c r="AJ207" s="113"/>
      <c r="AK207" s="113"/>
      <c r="AL207" s="46">
        <v>0</v>
      </c>
      <c r="AM207" s="113"/>
      <c r="AN207" s="113"/>
      <c r="AO207" s="113"/>
      <c r="AP207" s="113"/>
      <c r="AQ207" s="113"/>
      <c r="AR207" s="46">
        <v>0</v>
      </c>
      <c r="AS207" s="113"/>
      <c r="AT207" s="113"/>
      <c r="AU207" s="113"/>
      <c r="AV207" s="113"/>
      <c r="AW207" s="113"/>
      <c r="AX207" s="46">
        <v>0</v>
      </c>
      <c r="AY207" s="113"/>
      <c r="AZ207" s="113"/>
      <c r="BA207" s="113"/>
      <c r="BB207" s="113"/>
      <c r="BC207" s="113"/>
      <c r="BD207" s="46">
        <v>0</v>
      </c>
      <c r="BE207" s="113"/>
      <c r="BF207" s="113"/>
      <c r="BG207" s="113"/>
      <c r="BH207" s="113"/>
      <c r="BI207" s="113"/>
      <c r="BJ207" s="46">
        <v>0</v>
      </c>
      <c r="BK207" s="113"/>
      <c r="BL207" s="113"/>
      <c r="BM207" s="113"/>
      <c r="BN207" s="113"/>
      <c r="BO207" s="113"/>
      <c r="BP207" s="121"/>
      <c r="BQ207" s="121"/>
      <c r="GA207" t="s">
        <v>113</v>
      </c>
      <c r="GB207" t="s">
        <v>23094</v>
      </c>
      <c r="GC207" s="46">
        <v>0</v>
      </c>
      <c r="GD207" s="113"/>
      <c r="GE207" s="113"/>
      <c r="GF207" s="113"/>
      <c r="GG207" s="113"/>
      <c r="GH207" s="113"/>
      <c r="GI207" s="46">
        <v>0</v>
      </c>
      <c r="GJ207" s="113"/>
      <c r="GK207" s="113"/>
      <c r="GL207" s="113"/>
      <c r="GM207" s="113"/>
      <c r="GN207" s="113"/>
      <c r="GO207" s="46">
        <v>0</v>
      </c>
      <c r="GP207" s="113"/>
      <c r="GQ207" s="113"/>
      <c r="GR207" s="113"/>
      <c r="GS207" s="113"/>
      <c r="GT207" s="113"/>
      <c r="GU207" s="46">
        <v>0</v>
      </c>
      <c r="GV207" s="113"/>
      <c r="GW207" s="113"/>
      <c r="GX207" s="113"/>
      <c r="GY207" s="113"/>
      <c r="GZ207" s="113"/>
      <c r="HA207" s="46">
        <v>0</v>
      </c>
      <c r="HB207" s="113"/>
      <c r="HC207" s="113"/>
      <c r="HD207" s="113"/>
      <c r="HE207" s="113"/>
      <c r="HF207" s="113"/>
      <c r="HG207" s="46">
        <v>0</v>
      </c>
      <c r="HH207" s="113"/>
      <c r="HI207" s="113"/>
      <c r="HJ207" s="113"/>
      <c r="HK207" s="113"/>
      <c r="HL207" s="113"/>
      <c r="HM207" s="121"/>
      <c r="HN207" s="121"/>
      <c r="LM207" t="str">
        <v/>
      </c>
      <c r="LN207" t="str">
        <v/>
      </c>
      <c r="LO207" t="str">
        <v/>
      </c>
    </row>
    <row r="208" spans="30:327">
      <c r="AD208" t="s">
        <v>113</v>
      </c>
      <c r="AE208" t="s">
        <v>23095</v>
      </c>
      <c r="AF208" s="46">
        <v>0</v>
      </c>
      <c r="AG208" s="113"/>
      <c r="AH208" s="113"/>
      <c r="AI208" s="113"/>
      <c r="AJ208" s="113"/>
      <c r="AK208" s="113"/>
      <c r="AL208" s="46">
        <v>0</v>
      </c>
      <c r="AM208" s="113"/>
      <c r="AN208" s="113"/>
      <c r="AO208" s="113"/>
      <c r="AP208" s="113"/>
      <c r="AQ208" s="113"/>
      <c r="AR208" s="46">
        <v>0</v>
      </c>
      <c r="AS208" s="113"/>
      <c r="AT208" s="113"/>
      <c r="AU208" s="113"/>
      <c r="AV208" s="113"/>
      <c r="AW208" s="113"/>
      <c r="AX208" s="46">
        <v>0</v>
      </c>
      <c r="AY208" s="113"/>
      <c r="AZ208" s="113"/>
      <c r="BA208" s="113"/>
      <c r="BB208" s="113"/>
      <c r="BC208" s="113"/>
      <c r="BD208" s="46">
        <v>0</v>
      </c>
      <c r="BE208" s="113"/>
      <c r="BF208" s="113"/>
      <c r="BG208" s="113"/>
      <c r="BH208" s="113"/>
      <c r="BI208" s="113"/>
      <c r="BJ208" s="46">
        <v>0</v>
      </c>
      <c r="BK208" s="113"/>
      <c r="BL208" s="113"/>
      <c r="BM208" s="113"/>
      <c r="BN208" s="113"/>
      <c r="BO208" s="113"/>
      <c r="BP208" s="121"/>
      <c r="BQ208" s="121"/>
      <c r="GA208" t="s">
        <v>113</v>
      </c>
      <c r="GB208" t="s">
        <v>23095</v>
      </c>
      <c r="GC208" s="46">
        <v>0</v>
      </c>
      <c r="GD208" s="113"/>
      <c r="GE208" s="113"/>
      <c r="GF208" s="113"/>
      <c r="GG208" s="113"/>
      <c r="GH208" s="113"/>
      <c r="GI208" s="46">
        <v>0</v>
      </c>
      <c r="GJ208" s="113"/>
      <c r="GK208" s="113"/>
      <c r="GL208" s="113"/>
      <c r="GM208" s="113"/>
      <c r="GN208" s="113"/>
      <c r="GO208" s="46">
        <v>0</v>
      </c>
      <c r="GP208" s="113"/>
      <c r="GQ208" s="113"/>
      <c r="GR208" s="113"/>
      <c r="GS208" s="113"/>
      <c r="GT208" s="113"/>
      <c r="GU208" s="46">
        <v>0</v>
      </c>
      <c r="GV208" s="113"/>
      <c r="GW208" s="113"/>
      <c r="GX208" s="113"/>
      <c r="GY208" s="113"/>
      <c r="GZ208" s="113"/>
      <c r="HA208" s="46">
        <v>0</v>
      </c>
      <c r="HB208" s="113"/>
      <c r="HC208" s="113"/>
      <c r="HD208" s="113"/>
      <c r="HE208" s="113"/>
      <c r="HF208" s="113"/>
      <c r="HG208" s="46">
        <v>0</v>
      </c>
      <c r="HH208" s="113"/>
      <c r="HI208" s="113"/>
      <c r="HJ208" s="113"/>
      <c r="HK208" s="113"/>
      <c r="HL208" s="113"/>
      <c r="HM208" s="121"/>
      <c r="HN208" s="121"/>
      <c r="LM208" t="str">
        <v/>
      </c>
      <c r="LN208" t="str">
        <v/>
      </c>
      <c r="LO208" t="str">
        <v/>
      </c>
    </row>
    <row r="209" spans="30:327">
      <c r="AD209" t="s">
        <v>113</v>
      </c>
      <c r="AE209" t="s">
        <v>23096</v>
      </c>
      <c r="AF209" s="46">
        <v>0</v>
      </c>
      <c r="AG209" s="113"/>
      <c r="AH209" s="113"/>
      <c r="AI209" s="113"/>
      <c r="AJ209" s="113"/>
      <c r="AK209" s="113"/>
      <c r="AL209" s="46">
        <v>0</v>
      </c>
      <c r="AM209" s="113"/>
      <c r="AN209" s="113"/>
      <c r="AO209" s="113"/>
      <c r="AP209" s="113"/>
      <c r="AQ209" s="113"/>
      <c r="AR209" s="46">
        <v>0</v>
      </c>
      <c r="AS209" s="113"/>
      <c r="AT209" s="113"/>
      <c r="AU209" s="113"/>
      <c r="AV209" s="113"/>
      <c r="AW209" s="113"/>
      <c r="AX209" s="46">
        <v>0</v>
      </c>
      <c r="AY209" s="113"/>
      <c r="AZ209" s="113"/>
      <c r="BA209" s="113"/>
      <c r="BB209" s="113"/>
      <c r="BC209" s="113"/>
      <c r="BD209" s="46">
        <v>0</v>
      </c>
      <c r="BE209" s="113"/>
      <c r="BF209" s="113"/>
      <c r="BG209" s="113"/>
      <c r="BH209" s="113"/>
      <c r="BI209" s="113"/>
      <c r="BJ209" s="46">
        <v>0</v>
      </c>
      <c r="BK209" s="113"/>
      <c r="BL209" s="113"/>
      <c r="BM209" s="113"/>
      <c r="BN209" s="113"/>
      <c r="BO209" s="113"/>
      <c r="BP209" s="121"/>
      <c r="BQ209" s="121"/>
      <c r="GA209" t="s">
        <v>113</v>
      </c>
      <c r="GB209" t="s">
        <v>23096</v>
      </c>
      <c r="GC209" s="46">
        <v>0</v>
      </c>
      <c r="GD209" s="113"/>
      <c r="GE209" s="113"/>
      <c r="GF209" s="113"/>
      <c r="GG209" s="113"/>
      <c r="GH209" s="113"/>
      <c r="GI209" s="46">
        <v>0</v>
      </c>
      <c r="GJ209" s="113"/>
      <c r="GK209" s="113"/>
      <c r="GL209" s="113"/>
      <c r="GM209" s="113"/>
      <c r="GN209" s="113"/>
      <c r="GO209" s="46">
        <v>0</v>
      </c>
      <c r="GP209" s="113"/>
      <c r="GQ209" s="113"/>
      <c r="GR209" s="113"/>
      <c r="GS209" s="113"/>
      <c r="GT209" s="113"/>
      <c r="GU209" s="46">
        <v>0</v>
      </c>
      <c r="GV209" s="113"/>
      <c r="GW209" s="113"/>
      <c r="GX209" s="113"/>
      <c r="GY209" s="113"/>
      <c r="GZ209" s="113"/>
      <c r="HA209" s="46">
        <v>0</v>
      </c>
      <c r="HB209" s="113"/>
      <c r="HC209" s="113"/>
      <c r="HD209" s="113"/>
      <c r="HE209" s="113"/>
      <c r="HF209" s="113"/>
      <c r="HG209" s="46">
        <v>0</v>
      </c>
      <c r="HH209" s="113"/>
      <c r="HI209" s="113"/>
      <c r="HJ209" s="113"/>
      <c r="HK209" s="113"/>
      <c r="HL209" s="113"/>
      <c r="HM209" s="121"/>
      <c r="HN209" s="121"/>
      <c r="LM209" t="str">
        <v/>
      </c>
      <c r="LN209" t="str">
        <v/>
      </c>
      <c r="LO209" t="str">
        <v/>
      </c>
    </row>
    <row r="210" spans="30:327">
      <c r="AD210" t="s">
        <v>113</v>
      </c>
      <c r="AE210" t="s">
        <v>23097</v>
      </c>
      <c r="AF210" s="46">
        <v>0</v>
      </c>
      <c r="AG210" s="113"/>
      <c r="AH210" s="113"/>
      <c r="AI210" s="113"/>
      <c r="AJ210" s="113"/>
      <c r="AK210" s="113"/>
      <c r="AL210" s="46">
        <v>0</v>
      </c>
      <c r="AM210" s="113"/>
      <c r="AN210" s="113"/>
      <c r="AO210" s="113"/>
      <c r="AP210" s="113"/>
      <c r="AQ210" s="113"/>
      <c r="AR210" s="46">
        <v>0</v>
      </c>
      <c r="AS210" s="113"/>
      <c r="AT210" s="113"/>
      <c r="AU210" s="113"/>
      <c r="AV210" s="113"/>
      <c r="AW210" s="113"/>
      <c r="AX210" s="46">
        <v>0</v>
      </c>
      <c r="AY210" s="113"/>
      <c r="AZ210" s="113"/>
      <c r="BA210" s="113"/>
      <c r="BB210" s="113"/>
      <c r="BC210" s="113"/>
      <c r="BD210" s="46">
        <v>0</v>
      </c>
      <c r="BE210" s="113"/>
      <c r="BF210" s="113"/>
      <c r="BG210" s="113"/>
      <c r="BH210" s="113"/>
      <c r="BI210" s="113"/>
      <c r="BJ210" s="46">
        <v>0</v>
      </c>
      <c r="BK210" s="113"/>
      <c r="BL210" s="113"/>
      <c r="BM210" s="113"/>
      <c r="BN210" s="113"/>
      <c r="BO210" s="113"/>
      <c r="BP210" s="121"/>
      <c r="BQ210" s="121"/>
      <c r="GA210" t="s">
        <v>113</v>
      </c>
      <c r="GB210" t="s">
        <v>23097</v>
      </c>
      <c r="GC210" s="46">
        <v>0</v>
      </c>
      <c r="GD210" s="113"/>
      <c r="GE210" s="113"/>
      <c r="GF210" s="113"/>
      <c r="GG210" s="113"/>
      <c r="GH210" s="113"/>
      <c r="GI210" s="46">
        <v>0</v>
      </c>
      <c r="GJ210" s="113"/>
      <c r="GK210" s="113"/>
      <c r="GL210" s="113"/>
      <c r="GM210" s="113"/>
      <c r="GN210" s="113"/>
      <c r="GO210" s="46">
        <v>0</v>
      </c>
      <c r="GP210" s="113"/>
      <c r="GQ210" s="113"/>
      <c r="GR210" s="113"/>
      <c r="GS210" s="113"/>
      <c r="GT210" s="113"/>
      <c r="GU210" s="46">
        <v>0</v>
      </c>
      <c r="GV210" s="113"/>
      <c r="GW210" s="113"/>
      <c r="GX210" s="113"/>
      <c r="GY210" s="113"/>
      <c r="GZ210" s="113"/>
      <c r="HA210" s="46">
        <v>0</v>
      </c>
      <c r="HB210" s="113"/>
      <c r="HC210" s="113"/>
      <c r="HD210" s="113"/>
      <c r="HE210" s="113"/>
      <c r="HF210" s="113"/>
      <c r="HG210" s="46">
        <v>0</v>
      </c>
      <c r="HH210" s="113"/>
      <c r="HI210" s="113"/>
      <c r="HJ210" s="113"/>
      <c r="HK210" s="113"/>
      <c r="HL210" s="113"/>
      <c r="HM210" s="121"/>
      <c r="HN210" s="121"/>
      <c r="LM210" t="str">
        <v/>
      </c>
      <c r="LN210" t="str">
        <v/>
      </c>
      <c r="LO210" t="str">
        <v/>
      </c>
    </row>
    <row r="211" spans="30:327">
      <c r="AD211" t="s">
        <v>113</v>
      </c>
      <c r="AE211" t="s">
        <v>23098</v>
      </c>
      <c r="AF211" s="46">
        <v>0</v>
      </c>
      <c r="AG211" s="113"/>
      <c r="AH211" s="113"/>
      <c r="AI211" s="113"/>
      <c r="AJ211" s="113"/>
      <c r="AK211" s="113"/>
      <c r="AL211" s="46">
        <v>0</v>
      </c>
      <c r="AM211" s="113"/>
      <c r="AN211" s="113"/>
      <c r="AO211" s="113"/>
      <c r="AP211" s="113"/>
      <c r="AQ211" s="113"/>
      <c r="AR211" s="46">
        <v>0</v>
      </c>
      <c r="AS211" s="113"/>
      <c r="AT211" s="113"/>
      <c r="AU211" s="113"/>
      <c r="AV211" s="113"/>
      <c r="AW211" s="113"/>
      <c r="AX211" s="46">
        <v>0</v>
      </c>
      <c r="AY211" s="113"/>
      <c r="AZ211" s="113"/>
      <c r="BA211" s="113"/>
      <c r="BB211" s="113"/>
      <c r="BC211" s="113"/>
      <c r="BD211" s="46">
        <v>0</v>
      </c>
      <c r="BE211" s="113"/>
      <c r="BF211" s="113"/>
      <c r="BG211" s="113"/>
      <c r="BH211" s="113"/>
      <c r="BI211" s="113"/>
      <c r="BJ211" s="46">
        <v>0</v>
      </c>
      <c r="BK211" s="113"/>
      <c r="BL211" s="113"/>
      <c r="BM211" s="113"/>
      <c r="BN211" s="113"/>
      <c r="BO211" s="113"/>
      <c r="BP211" s="121"/>
      <c r="BQ211" s="121"/>
      <c r="GA211" t="s">
        <v>113</v>
      </c>
      <c r="GB211" t="s">
        <v>23098</v>
      </c>
      <c r="GC211" s="46">
        <v>0</v>
      </c>
      <c r="GD211" s="113"/>
      <c r="GE211" s="113"/>
      <c r="GF211" s="113"/>
      <c r="GG211" s="113"/>
      <c r="GH211" s="113"/>
      <c r="GI211" s="46">
        <v>0</v>
      </c>
      <c r="GJ211" s="113"/>
      <c r="GK211" s="113"/>
      <c r="GL211" s="113"/>
      <c r="GM211" s="113"/>
      <c r="GN211" s="113"/>
      <c r="GO211" s="46">
        <v>0</v>
      </c>
      <c r="GP211" s="113"/>
      <c r="GQ211" s="113"/>
      <c r="GR211" s="113"/>
      <c r="GS211" s="113"/>
      <c r="GT211" s="113"/>
      <c r="GU211" s="46">
        <v>0</v>
      </c>
      <c r="GV211" s="113"/>
      <c r="GW211" s="113"/>
      <c r="GX211" s="113"/>
      <c r="GY211" s="113"/>
      <c r="GZ211" s="113"/>
      <c r="HA211" s="46">
        <v>0</v>
      </c>
      <c r="HB211" s="113"/>
      <c r="HC211" s="113"/>
      <c r="HD211" s="113"/>
      <c r="HE211" s="113"/>
      <c r="HF211" s="113"/>
      <c r="HG211" s="46">
        <v>0</v>
      </c>
      <c r="HH211" s="113"/>
      <c r="HI211" s="113"/>
      <c r="HJ211" s="113"/>
      <c r="HK211" s="113"/>
      <c r="HL211" s="113"/>
      <c r="HM211" s="121"/>
      <c r="HN211" s="121"/>
      <c r="LM211" t="str">
        <v/>
      </c>
      <c r="LN211" t="str">
        <v/>
      </c>
      <c r="LO211" t="str">
        <v/>
      </c>
    </row>
    <row r="212" spans="30:327">
      <c r="AD212" t="s">
        <v>113</v>
      </c>
      <c r="AE212" t="s">
        <v>23099</v>
      </c>
      <c r="AF212" s="46">
        <v>0</v>
      </c>
      <c r="AG212" s="113"/>
      <c r="AH212" s="113"/>
      <c r="AI212" s="113"/>
      <c r="AJ212" s="113"/>
      <c r="AK212" s="113"/>
      <c r="AL212" s="46">
        <v>0</v>
      </c>
      <c r="AM212" s="113"/>
      <c r="AN212" s="113"/>
      <c r="AO212" s="113"/>
      <c r="AP212" s="113"/>
      <c r="AQ212" s="113"/>
      <c r="AR212" s="46">
        <v>0</v>
      </c>
      <c r="AS212" s="113"/>
      <c r="AT212" s="113"/>
      <c r="AU212" s="113"/>
      <c r="AV212" s="113"/>
      <c r="AW212" s="113"/>
      <c r="AX212" s="46">
        <v>0</v>
      </c>
      <c r="AY212" s="113"/>
      <c r="AZ212" s="113"/>
      <c r="BA212" s="113"/>
      <c r="BB212" s="113"/>
      <c r="BC212" s="113"/>
      <c r="BD212" s="46">
        <v>0</v>
      </c>
      <c r="BE212" s="113"/>
      <c r="BF212" s="113"/>
      <c r="BG212" s="113"/>
      <c r="BH212" s="113"/>
      <c r="BI212" s="113"/>
      <c r="BJ212" s="46">
        <v>0</v>
      </c>
      <c r="BK212" s="113"/>
      <c r="BL212" s="113"/>
      <c r="BM212" s="113"/>
      <c r="BN212" s="113"/>
      <c r="BO212" s="113"/>
      <c r="BP212" s="121"/>
      <c r="BQ212" s="121"/>
      <c r="GA212" t="s">
        <v>113</v>
      </c>
      <c r="GB212" t="s">
        <v>23099</v>
      </c>
      <c r="GC212" s="46">
        <v>0</v>
      </c>
      <c r="GD212" s="113"/>
      <c r="GE212" s="113"/>
      <c r="GF212" s="113"/>
      <c r="GG212" s="113"/>
      <c r="GH212" s="113"/>
      <c r="GI212" s="46">
        <v>0</v>
      </c>
      <c r="GJ212" s="113"/>
      <c r="GK212" s="113"/>
      <c r="GL212" s="113"/>
      <c r="GM212" s="113"/>
      <c r="GN212" s="113"/>
      <c r="GO212" s="46">
        <v>0</v>
      </c>
      <c r="GP212" s="113"/>
      <c r="GQ212" s="113"/>
      <c r="GR212" s="113"/>
      <c r="GS212" s="113"/>
      <c r="GT212" s="113"/>
      <c r="GU212" s="46">
        <v>0</v>
      </c>
      <c r="GV212" s="113"/>
      <c r="GW212" s="113"/>
      <c r="GX212" s="113"/>
      <c r="GY212" s="113"/>
      <c r="GZ212" s="113"/>
      <c r="HA212" s="46">
        <v>0</v>
      </c>
      <c r="HB212" s="113"/>
      <c r="HC212" s="113"/>
      <c r="HD212" s="113"/>
      <c r="HE212" s="113"/>
      <c r="HF212" s="113"/>
      <c r="HG212" s="46">
        <v>0</v>
      </c>
      <c r="HH212" s="113"/>
      <c r="HI212" s="113"/>
      <c r="HJ212" s="113"/>
      <c r="HK212" s="113"/>
      <c r="HL212" s="113"/>
      <c r="HM212" s="121"/>
      <c r="HN212" s="121"/>
      <c r="LM212" t="str">
        <v/>
      </c>
      <c r="LN212" t="str">
        <v/>
      </c>
      <c r="LO212" t="str">
        <v/>
      </c>
    </row>
    <row r="213" spans="30:327">
      <c r="AD213" t="s">
        <v>113</v>
      </c>
      <c r="AE213" t="s">
        <v>23100</v>
      </c>
      <c r="AF213" s="46">
        <v>0</v>
      </c>
      <c r="AG213" s="113"/>
      <c r="AH213" s="113"/>
      <c r="AI213" s="113"/>
      <c r="AJ213" s="113"/>
      <c r="AK213" s="113"/>
      <c r="AL213" s="46">
        <v>0</v>
      </c>
      <c r="AM213" s="113"/>
      <c r="AN213" s="113"/>
      <c r="AO213" s="113"/>
      <c r="AP213" s="113"/>
      <c r="AQ213" s="113"/>
      <c r="AR213" s="46">
        <v>0</v>
      </c>
      <c r="AS213" s="113"/>
      <c r="AT213" s="113"/>
      <c r="AU213" s="113"/>
      <c r="AV213" s="113"/>
      <c r="AW213" s="113"/>
      <c r="AX213" s="46">
        <v>0</v>
      </c>
      <c r="AY213" s="113"/>
      <c r="AZ213" s="113"/>
      <c r="BA213" s="113"/>
      <c r="BB213" s="113"/>
      <c r="BC213" s="113"/>
      <c r="BD213" s="46">
        <v>0</v>
      </c>
      <c r="BE213" s="113"/>
      <c r="BF213" s="113"/>
      <c r="BG213" s="113"/>
      <c r="BH213" s="113"/>
      <c r="BI213" s="113"/>
      <c r="BJ213" s="46">
        <v>0</v>
      </c>
      <c r="BK213" s="113"/>
      <c r="BL213" s="113"/>
      <c r="BM213" s="113"/>
      <c r="BN213" s="113"/>
      <c r="BO213" s="113"/>
      <c r="BP213" s="121"/>
      <c r="BQ213" s="121"/>
      <c r="GA213" t="s">
        <v>113</v>
      </c>
      <c r="GB213" t="s">
        <v>23100</v>
      </c>
      <c r="GC213" s="46">
        <v>0</v>
      </c>
      <c r="GD213" s="113"/>
      <c r="GE213" s="113"/>
      <c r="GF213" s="113"/>
      <c r="GG213" s="113"/>
      <c r="GH213" s="113"/>
      <c r="GI213" s="46">
        <v>0</v>
      </c>
      <c r="GJ213" s="113"/>
      <c r="GK213" s="113"/>
      <c r="GL213" s="113"/>
      <c r="GM213" s="113"/>
      <c r="GN213" s="113"/>
      <c r="GO213" s="46">
        <v>0</v>
      </c>
      <c r="GP213" s="113"/>
      <c r="GQ213" s="113"/>
      <c r="GR213" s="113"/>
      <c r="GS213" s="113"/>
      <c r="GT213" s="113"/>
      <c r="GU213" s="46">
        <v>0</v>
      </c>
      <c r="GV213" s="113"/>
      <c r="GW213" s="113"/>
      <c r="GX213" s="113"/>
      <c r="GY213" s="113"/>
      <c r="GZ213" s="113"/>
      <c r="HA213" s="46">
        <v>0</v>
      </c>
      <c r="HB213" s="113"/>
      <c r="HC213" s="113"/>
      <c r="HD213" s="113"/>
      <c r="HE213" s="113"/>
      <c r="HF213" s="113"/>
      <c r="HG213" s="46">
        <v>0</v>
      </c>
      <c r="HH213" s="113"/>
      <c r="HI213" s="113"/>
      <c r="HJ213" s="113"/>
      <c r="HK213" s="113"/>
      <c r="HL213" s="113"/>
      <c r="HM213" s="121"/>
      <c r="HN213" s="121"/>
      <c r="LM213" t="str">
        <v/>
      </c>
      <c r="LN213" t="str">
        <v/>
      </c>
      <c r="LO213" t="str">
        <v/>
      </c>
    </row>
    <row r="214" spans="30:327">
      <c r="AD214" t="s">
        <v>113</v>
      </c>
      <c r="AE214" t="s">
        <v>23101</v>
      </c>
      <c r="AF214" s="46">
        <v>0</v>
      </c>
      <c r="AG214" s="113"/>
      <c r="AH214" s="113"/>
      <c r="AI214" s="113"/>
      <c r="AJ214" s="113"/>
      <c r="AK214" s="113"/>
      <c r="AL214" s="46">
        <v>0</v>
      </c>
      <c r="AM214" s="113"/>
      <c r="AN214" s="113"/>
      <c r="AO214" s="113"/>
      <c r="AP214" s="113"/>
      <c r="AQ214" s="113"/>
      <c r="AR214" s="46">
        <v>0</v>
      </c>
      <c r="AS214" s="113"/>
      <c r="AT214" s="113"/>
      <c r="AU214" s="113"/>
      <c r="AV214" s="113"/>
      <c r="AW214" s="113"/>
      <c r="AX214" s="46">
        <v>0</v>
      </c>
      <c r="AY214" s="113"/>
      <c r="AZ214" s="113"/>
      <c r="BA214" s="113"/>
      <c r="BB214" s="113"/>
      <c r="BC214" s="113"/>
      <c r="BD214" s="46">
        <v>0</v>
      </c>
      <c r="BE214" s="113"/>
      <c r="BF214" s="113"/>
      <c r="BG214" s="113"/>
      <c r="BH214" s="113"/>
      <c r="BI214" s="113"/>
      <c r="BJ214" s="46">
        <v>0</v>
      </c>
      <c r="BK214" s="113"/>
      <c r="BL214" s="113"/>
      <c r="BM214" s="113"/>
      <c r="BN214" s="113"/>
      <c r="BO214" s="113"/>
      <c r="BP214" s="121"/>
      <c r="BQ214" s="121"/>
      <c r="GA214" t="s">
        <v>113</v>
      </c>
      <c r="GB214" t="s">
        <v>23101</v>
      </c>
      <c r="GC214" s="46">
        <v>0</v>
      </c>
      <c r="GD214" s="113"/>
      <c r="GE214" s="113"/>
      <c r="GF214" s="113"/>
      <c r="GG214" s="113"/>
      <c r="GH214" s="113"/>
      <c r="GI214" s="46">
        <v>0</v>
      </c>
      <c r="GJ214" s="113"/>
      <c r="GK214" s="113"/>
      <c r="GL214" s="113"/>
      <c r="GM214" s="113"/>
      <c r="GN214" s="113"/>
      <c r="GO214" s="46">
        <v>0</v>
      </c>
      <c r="GP214" s="113"/>
      <c r="GQ214" s="113"/>
      <c r="GR214" s="113"/>
      <c r="GS214" s="113"/>
      <c r="GT214" s="113"/>
      <c r="GU214" s="46">
        <v>0</v>
      </c>
      <c r="GV214" s="113"/>
      <c r="GW214" s="113"/>
      <c r="GX214" s="113"/>
      <c r="GY214" s="113"/>
      <c r="GZ214" s="113"/>
      <c r="HA214" s="46">
        <v>0</v>
      </c>
      <c r="HB214" s="113"/>
      <c r="HC214" s="113"/>
      <c r="HD214" s="113"/>
      <c r="HE214" s="113"/>
      <c r="HF214" s="113"/>
      <c r="HG214" s="46">
        <v>0</v>
      </c>
      <c r="HH214" s="113"/>
      <c r="HI214" s="113"/>
      <c r="HJ214" s="113"/>
      <c r="HK214" s="113"/>
      <c r="HL214" s="113"/>
      <c r="HM214" s="121"/>
      <c r="HN214" s="121"/>
      <c r="LM214" t="str">
        <v/>
      </c>
      <c r="LN214" t="str">
        <v/>
      </c>
      <c r="LO214" t="str">
        <v/>
      </c>
    </row>
    <row r="215" spans="30:327">
      <c r="AD215" t="s">
        <v>113</v>
      </c>
      <c r="AE215" t="s">
        <v>23102</v>
      </c>
      <c r="AF215" s="46">
        <v>0</v>
      </c>
      <c r="AG215" s="113"/>
      <c r="AH215" s="113"/>
      <c r="AI215" s="113"/>
      <c r="AJ215" s="113"/>
      <c r="AK215" s="113"/>
      <c r="AL215" s="46">
        <v>0</v>
      </c>
      <c r="AM215" s="113"/>
      <c r="AN215" s="113"/>
      <c r="AO215" s="113"/>
      <c r="AP215" s="113"/>
      <c r="AQ215" s="113"/>
      <c r="AR215" s="46">
        <v>0</v>
      </c>
      <c r="AS215" s="113"/>
      <c r="AT215" s="113"/>
      <c r="AU215" s="113"/>
      <c r="AV215" s="113"/>
      <c r="AW215" s="113"/>
      <c r="AX215" s="46">
        <v>0</v>
      </c>
      <c r="AY215" s="113"/>
      <c r="AZ215" s="113"/>
      <c r="BA215" s="113"/>
      <c r="BB215" s="113"/>
      <c r="BC215" s="113"/>
      <c r="BD215" s="46">
        <v>0</v>
      </c>
      <c r="BE215" s="113"/>
      <c r="BF215" s="113"/>
      <c r="BG215" s="113"/>
      <c r="BH215" s="113"/>
      <c r="BI215" s="113"/>
      <c r="BJ215" s="46">
        <v>0</v>
      </c>
      <c r="BK215" s="113"/>
      <c r="BL215" s="113"/>
      <c r="BM215" s="113"/>
      <c r="BN215" s="113"/>
      <c r="BO215" s="113"/>
      <c r="BP215" s="121"/>
      <c r="BQ215" s="121"/>
      <c r="GA215" t="s">
        <v>113</v>
      </c>
      <c r="GB215" t="s">
        <v>23102</v>
      </c>
      <c r="GC215" s="46">
        <v>0</v>
      </c>
      <c r="GD215" s="113"/>
      <c r="GE215" s="113"/>
      <c r="GF215" s="113"/>
      <c r="GG215" s="113"/>
      <c r="GH215" s="113"/>
      <c r="GI215" s="46">
        <v>0</v>
      </c>
      <c r="GJ215" s="113"/>
      <c r="GK215" s="113"/>
      <c r="GL215" s="113"/>
      <c r="GM215" s="113"/>
      <c r="GN215" s="113"/>
      <c r="GO215" s="46">
        <v>0</v>
      </c>
      <c r="GP215" s="113"/>
      <c r="GQ215" s="113"/>
      <c r="GR215" s="113"/>
      <c r="GS215" s="113"/>
      <c r="GT215" s="113"/>
      <c r="GU215" s="46">
        <v>0</v>
      </c>
      <c r="GV215" s="113"/>
      <c r="GW215" s="113"/>
      <c r="GX215" s="113"/>
      <c r="GY215" s="113"/>
      <c r="GZ215" s="113"/>
      <c r="HA215" s="46">
        <v>0</v>
      </c>
      <c r="HB215" s="113"/>
      <c r="HC215" s="113"/>
      <c r="HD215" s="113"/>
      <c r="HE215" s="113"/>
      <c r="HF215" s="113"/>
      <c r="HG215" s="46">
        <v>0</v>
      </c>
      <c r="HH215" s="113"/>
      <c r="HI215" s="113"/>
      <c r="HJ215" s="113"/>
      <c r="HK215" s="113"/>
      <c r="HL215" s="113"/>
      <c r="HM215" s="121"/>
      <c r="HN215" s="121"/>
      <c r="LM215" t="str">
        <v/>
      </c>
      <c r="LN215" t="str">
        <v/>
      </c>
      <c r="LO215" t="str">
        <v/>
      </c>
    </row>
    <row r="216" spans="30:327">
      <c r="AD216" t="s">
        <v>113</v>
      </c>
      <c r="AE216" t="s">
        <v>23103</v>
      </c>
      <c r="AF216" s="46">
        <v>0</v>
      </c>
      <c r="AG216" s="113"/>
      <c r="AH216" s="113"/>
      <c r="AI216" s="113"/>
      <c r="AJ216" s="113"/>
      <c r="AK216" s="113"/>
      <c r="AL216" s="46">
        <v>0</v>
      </c>
      <c r="AM216" s="113"/>
      <c r="AN216" s="113"/>
      <c r="AO216" s="113"/>
      <c r="AP216" s="113"/>
      <c r="AQ216" s="113"/>
      <c r="AR216" s="46">
        <v>0</v>
      </c>
      <c r="AS216" s="113"/>
      <c r="AT216" s="113"/>
      <c r="AU216" s="113"/>
      <c r="AV216" s="113"/>
      <c r="AW216" s="113"/>
      <c r="AX216" s="46">
        <v>0</v>
      </c>
      <c r="AY216" s="113"/>
      <c r="AZ216" s="113"/>
      <c r="BA216" s="113"/>
      <c r="BB216" s="113"/>
      <c r="BC216" s="113"/>
      <c r="BD216" s="46">
        <v>0</v>
      </c>
      <c r="BE216" s="113"/>
      <c r="BF216" s="113"/>
      <c r="BG216" s="113"/>
      <c r="BH216" s="113"/>
      <c r="BI216" s="113"/>
      <c r="BJ216" s="46">
        <v>0</v>
      </c>
      <c r="BK216" s="113"/>
      <c r="BL216" s="113"/>
      <c r="BM216" s="113"/>
      <c r="BN216" s="113"/>
      <c r="BO216" s="113"/>
      <c r="BP216" s="121"/>
      <c r="BQ216" s="121"/>
      <c r="GA216" t="s">
        <v>113</v>
      </c>
      <c r="GB216" t="s">
        <v>23103</v>
      </c>
      <c r="GC216" s="46">
        <v>0</v>
      </c>
      <c r="GD216" s="113"/>
      <c r="GE216" s="113"/>
      <c r="GF216" s="113"/>
      <c r="GG216" s="113"/>
      <c r="GH216" s="113"/>
      <c r="GI216" s="46">
        <v>0</v>
      </c>
      <c r="GJ216" s="113"/>
      <c r="GK216" s="113"/>
      <c r="GL216" s="113"/>
      <c r="GM216" s="113"/>
      <c r="GN216" s="113"/>
      <c r="GO216" s="46">
        <v>0</v>
      </c>
      <c r="GP216" s="113"/>
      <c r="GQ216" s="113"/>
      <c r="GR216" s="113"/>
      <c r="GS216" s="113"/>
      <c r="GT216" s="113"/>
      <c r="GU216" s="46">
        <v>0</v>
      </c>
      <c r="GV216" s="113"/>
      <c r="GW216" s="113"/>
      <c r="GX216" s="113"/>
      <c r="GY216" s="113"/>
      <c r="GZ216" s="113"/>
      <c r="HA216" s="46">
        <v>0</v>
      </c>
      <c r="HB216" s="113"/>
      <c r="HC216" s="113"/>
      <c r="HD216" s="113"/>
      <c r="HE216" s="113"/>
      <c r="HF216" s="113"/>
      <c r="HG216" s="46">
        <v>0</v>
      </c>
      <c r="HH216" s="113"/>
      <c r="HI216" s="113"/>
      <c r="HJ216" s="113"/>
      <c r="HK216" s="113"/>
      <c r="HL216" s="113"/>
      <c r="HM216" s="121"/>
      <c r="HN216" s="121"/>
      <c r="LM216" t="str">
        <v/>
      </c>
      <c r="LN216" t="str">
        <v/>
      </c>
      <c r="LO216" t="str">
        <v/>
      </c>
    </row>
    <row r="217" spans="30:327">
      <c r="AD217" t="s">
        <v>113</v>
      </c>
      <c r="AE217" t="s">
        <v>23104</v>
      </c>
      <c r="AF217" s="46">
        <v>0</v>
      </c>
      <c r="AG217" s="113"/>
      <c r="AH217" s="113"/>
      <c r="AI217" s="113"/>
      <c r="AJ217" s="113"/>
      <c r="AK217" s="113"/>
      <c r="AL217" s="46">
        <v>0</v>
      </c>
      <c r="AM217" s="113"/>
      <c r="AN217" s="113"/>
      <c r="AO217" s="113"/>
      <c r="AP217" s="113"/>
      <c r="AQ217" s="113"/>
      <c r="AR217" s="46">
        <v>0</v>
      </c>
      <c r="AS217" s="113"/>
      <c r="AT217" s="113"/>
      <c r="AU217" s="113"/>
      <c r="AV217" s="113"/>
      <c r="AW217" s="113"/>
      <c r="AX217" s="46">
        <v>0</v>
      </c>
      <c r="AY217" s="113"/>
      <c r="AZ217" s="113"/>
      <c r="BA217" s="113"/>
      <c r="BB217" s="113"/>
      <c r="BC217" s="113"/>
      <c r="BD217" s="46">
        <v>0</v>
      </c>
      <c r="BE217" s="113"/>
      <c r="BF217" s="113"/>
      <c r="BG217" s="113"/>
      <c r="BH217" s="113"/>
      <c r="BI217" s="113"/>
      <c r="BJ217" s="46">
        <v>0</v>
      </c>
      <c r="BK217" s="113"/>
      <c r="BL217" s="113"/>
      <c r="BM217" s="113"/>
      <c r="BN217" s="113"/>
      <c r="BO217" s="113"/>
      <c r="BP217" s="121"/>
      <c r="BQ217" s="121"/>
      <c r="GA217" t="s">
        <v>113</v>
      </c>
      <c r="GB217" t="s">
        <v>23104</v>
      </c>
      <c r="GC217" s="46">
        <v>0</v>
      </c>
      <c r="GD217" s="113"/>
      <c r="GE217" s="113"/>
      <c r="GF217" s="113"/>
      <c r="GG217" s="113"/>
      <c r="GH217" s="113"/>
      <c r="GI217" s="46">
        <v>0</v>
      </c>
      <c r="GJ217" s="113"/>
      <c r="GK217" s="113"/>
      <c r="GL217" s="113"/>
      <c r="GM217" s="113"/>
      <c r="GN217" s="113"/>
      <c r="GO217" s="46">
        <v>0</v>
      </c>
      <c r="GP217" s="113"/>
      <c r="GQ217" s="113"/>
      <c r="GR217" s="113"/>
      <c r="GS217" s="113"/>
      <c r="GT217" s="113"/>
      <c r="GU217" s="46">
        <v>0</v>
      </c>
      <c r="GV217" s="113"/>
      <c r="GW217" s="113"/>
      <c r="GX217" s="113"/>
      <c r="GY217" s="113"/>
      <c r="GZ217" s="113"/>
      <c r="HA217" s="46">
        <v>0</v>
      </c>
      <c r="HB217" s="113"/>
      <c r="HC217" s="113"/>
      <c r="HD217" s="113"/>
      <c r="HE217" s="113"/>
      <c r="HF217" s="113"/>
      <c r="HG217" s="46">
        <v>0</v>
      </c>
      <c r="HH217" s="113"/>
      <c r="HI217" s="113"/>
      <c r="HJ217" s="113"/>
      <c r="HK217" s="113"/>
      <c r="HL217" s="113"/>
      <c r="HM217" s="121"/>
      <c r="HN217" s="121"/>
      <c r="LM217" t="str">
        <v/>
      </c>
      <c r="LN217" t="str">
        <v/>
      </c>
      <c r="LO217" t="str">
        <v/>
      </c>
    </row>
    <row r="218" spans="30:327">
      <c r="AD218" t="s">
        <v>113</v>
      </c>
      <c r="AE218" t="s">
        <v>23105</v>
      </c>
      <c r="AF218" s="46">
        <v>0</v>
      </c>
      <c r="AG218" s="113"/>
      <c r="AH218" s="113"/>
      <c r="AI218" s="113"/>
      <c r="AJ218" s="113"/>
      <c r="AK218" s="113"/>
      <c r="AL218" s="46">
        <v>0</v>
      </c>
      <c r="AM218" s="113"/>
      <c r="AN218" s="113"/>
      <c r="AO218" s="113"/>
      <c r="AP218" s="113"/>
      <c r="AQ218" s="113"/>
      <c r="AR218" s="46">
        <v>0</v>
      </c>
      <c r="AS218" s="113"/>
      <c r="AT218" s="113"/>
      <c r="AU218" s="113"/>
      <c r="AV218" s="113"/>
      <c r="AW218" s="113"/>
      <c r="AX218" s="46">
        <v>0</v>
      </c>
      <c r="AY218" s="113"/>
      <c r="AZ218" s="113"/>
      <c r="BA218" s="113"/>
      <c r="BB218" s="113"/>
      <c r="BC218" s="113"/>
      <c r="BD218" s="46">
        <v>0</v>
      </c>
      <c r="BE218" s="113"/>
      <c r="BF218" s="113"/>
      <c r="BG218" s="113"/>
      <c r="BH218" s="113"/>
      <c r="BI218" s="113"/>
      <c r="BJ218" s="46">
        <v>0</v>
      </c>
      <c r="BK218" s="113"/>
      <c r="BL218" s="113"/>
      <c r="BM218" s="113"/>
      <c r="BN218" s="113"/>
      <c r="BO218" s="113"/>
      <c r="BP218" s="121"/>
      <c r="BQ218" s="121"/>
      <c r="GA218" t="s">
        <v>113</v>
      </c>
      <c r="GB218" t="s">
        <v>23105</v>
      </c>
      <c r="GC218" s="46">
        <v>0</v>
      </c>
      <c r="GD218" s="113"/>
      <c r="GE218" s="113"/>
      <c r="GF218" s="113"/>
      <c r="GG218" s="113"/>
      <c r="GH218" s="113"/>
      <c r="GI218" s="46">
        <v>0</v>
      </c>
      <c r="GJ218" s="113"/>
      <c r="GK218" s="113"/>
      <c r="GL218" s="113"/>
      <c r="GM218" s="113"/>
      <c r="GN218" s="113"/>
      <c r="GO218" s="46">
        <v>0</v>
      </c>
      <c r="GP218" s="113"/>
      <c r="GQ218" s="113"/>
      <c r="GR218" s="113"/>
      <c r="GS218" s="113"/>
      <c r="GT218" s="113"/>
      <c r="GU218" s="46">
        <v>0</v>
      </c>
      <c r="GV218" s="113"/>
      <c r="GW218" s="113"/>
      <c r="GX218" s="113"/>
      <c r="GY218" s="113"/>
      <c r="GZ218" s="113"/>
      <c r="HA218" s="46">
        <v>0</v>
      </c>
      <c r="HB218" s="113"/>
      <c r="HC218" s="113"/>
      <c r="HD218" s="113"/>
      <c r="HE218" s="113"/>
      <c r="HF218" s="113"/>
      <c r="HG218" s="46">
        <v>0</v>
      </c>
      <c r="HH218" s="113"/>
      <c r="HI218" s="113"/>
      <c r="HJ218" s="113"/>
      <c r="HK218" s="113"/>
      <c r="HL218" s="113"/>
      <c r="HM218" s="121"/>
      <c r="HN218" s="121"/>
      <c r="LM218" t="str">
        <v/>
      </c>
      <c r="LN218" t="str">
        <v/>
      </c>
      <c r="LO218" t="str">
        <v/>
      </c>
    </row>
    <row r="219" spans="30:327">
      <c r="AD219" t="s">
        <v>113</v>
      </c>
      <c r="AE219" t="s">
        <v>23106</v>
      </c>
      <c r="AF219" s="46">
        <v>0</v>
      </c>
      <c r="AG219" s="113"/>
      <c r="AH219" s="113"/>
      <c r="AI219" s="113"/>
      <c r="AJ219" s="113"/>
      <c r="AK219" s="113"/>
      <c r="AL219" s="46">
        <v>0</v>
      </c>
      <c r="AM219" s="113"/>
      <c r="AN219" s="113"/>
      <c r="AO219" s="113"/>
      <c r="AP219" s="113"/>
      <c r="AQ219" s="113"/>
      <c r="AR219" s="46">
        <v>0</v>
      </c>
      <c r="AS219" s="113"/>
      <c r="AT219" s="113"/>
      <c r="AU219" s="113"/>
      <c r="AV219" s="113"/>
      <c r="AW219" s="113"/>
      <c r="AX219" s="46">
        <v>0</v>
      </c>
      <c r="AY219" s="113"/>
      <c r="AZ219" s="113"/>
      <c r="BA219" s="113"/>
      <c r="BB219" s="113"/>
      <c r="BC219" s="113"/>
      <c r="BD219" s="46">
        <v>0</v>
      </c>
      <c r="BE219" s="113"/>
      <c r="BF219" s="113"/>
      <c r="BG219" s="113"/>
      <c r="BH219" s="113"/>
      <c r="BI219" s="113"/>
      <c r="BJ219" s="46">
        <v>0</v>
      </c>
      <c r="BK219" s="113"/>
      <c r="BL219" s="113"/>
      <c r="BM219" s="113"/>
      <c r="BN219" s="113"/>
      <c r="BO219" s="113"/>
      <c r="BP219" s="121"/>
      <c r="BQ219" s="121"/>
      <c r="GA219" t="s">
        <v>113</v>
      </c>
      <c r="GB219" t="s">
        <v>23106</v>
      </c>
      <c r="GC219" s="46">
        <v>0</v>
      </c>
      <c r="GD219" s="113"/>
      <c r="GE219" s="113"/>
      <c r="GF219" s="113"/>
      <c r="GG219" s="113"/>
      <c r="GH219" s="113"/>
      <c r="GI219" s="46">
        <v>0</v>
      </c>
      <c r="GJ219" s="113"/>
      <c r="GK219" s="113"/>
      <c r="GL219" s="113"/>
      <c r="GM219" s="113"/>
      <c r="GN219" s="113"/>
      <c r="GO219" s="46">
        <v>0</v>
      </c>
      <c r="GP219" s="113"/>
      <c r="GQ219" s="113"/>
      <c r="GR219" s="113"/>
      <c r="GS219" s="113"/>
      <c r="GT219" s="113"/>
      <c r="GU219" s="46">
        <v>0</v>
      </c>
      <c r="GV219" s="113"/>
      <c r="GW219" s="113"/>
      <c r="GX219" s="113"/>
      <c r="GY219" s="113"/>
      <c r="GZ219" s="113"/>
      <c r="HA219" s="46">
        <v>0</v>
      </c>
      <c r="HB219" s="113"/>
      <c r="HC219" s="113"/>
      <c r="HD219" s="113"/>
      <c r="HE219" s="113"/>
      <c r="HF219" s="113"/>
      <c r="HG219" s="46">
        <v>0</v>
      </c>
      <c r="HH219" s="113"/>
      <c r="HI219" s="113"/>
      <c r="HJ219" s="113"/>
      <c r="HK219" s="113"/>
      <c r="HL219" s="113"/>
      <c r="HM219" s="121"/>
      <c r="HN219" s="121"/>
      <c r="LM219" t="str">
        <v/>
      </c>
      <c r="LN219" t="str">
        <v/>
      </c>
      <c r="LO219" t="str">
        <v/>
      </c>
    </row>
    <row r="220" spans="30:327">
      <c r="AD220" t="s">
        <v>113</v>
      </c>
      <c r="AE220" t="s">
        <v>23107</v>
      </c>
      <c r="AF220" s="46">
        <v>0</v>
      </c>
      <c r="AG220" s="113"/>
      <c r="AH220" s="113"/>
      <c r="AI220" s="113"/>
      <c r="AJ220" s="113"/>
      <c r="AK220" s="113"/>
      <c r="AL220" s="46">
        <v>0</v>
      </c>
      <c r="AM220" s="113"/>
      <c r="AN220" s="113"/>
      <c r="AO220" s="113"/>
      <c r="AP220" s="113"/>
      <c r="AQ220" s="113"/>
      <c r="AR220" s="46">
        <v>0</v>
      </c>
      <c r="AS220" s="113"/>
      <c r="AT220" s="113"/>
      <c r="AU220" s="113"/>
      <c r="AV220" s="113"/>
      <c r="AW220" s="113"/>
      <c r="AX220" s="46">
        <v>0</v>
      </c>
      <c r="AY220" s="113"/>
      <c r="AZ220" s="113"/>
      <c r="BA220" s="113"/>
      <c r="BB220" s="113"/>
      <c r="BC220" s="113"/>
      <c r="BD220" s="46">
        <v>0</v>
      </c>
      <c r="BE220" s="113"/>
      <c r="BF220" s="113"/>
      <c r="BG220" s="113"/>
      <c r="BH220" s="113"/>
      <c r="BI220" s="113"/>
      <c r="BJ220" s="46">
        <v>0</v>
      </c>
      <c r="BK220" s="113"/>
      <c r="BL220" s="113"/>
      <c r="BM220" s="113"/>
      <c r="BN220" s="113"/>
      <c r="BO220" s="113"/>
      <c r="BP220" s="121"/>
      <c r="BQ220" s="121"/>
      <c r="GA220" t="s">
        <v>113</v>
      </c>
      <c r="GB220" t="s">
        <v>23107</v>
      </c>
      <c r="GC220" s="46">
        <v>0</v>
      </c>
      <c r="GD220" s="113"/>
      <c r="GE220" s="113"/>
      <c r="GF220" s="113"/>
      <c r="GG220" s="113"/>
      <c r="GH220" s="113"/>
      <c r="GI220" s="46">
        <v>0</v>
      </c>
      <c r="GJ220" s="113"/>
      <c r="GK220" s="113"/>
      <c r="GL220" s="113"/>
      <c r="GM220" s="113"/>
      <c r="GN220" s="113"/>
      <c r="GO220" s="46">
        <v>0</v>
      </c>
      <c r="GP220" s="113"/>
      <c r="GQ220" s="113"/>
      <c r="GR220" s="113"/>
      <c r="GS220" s="113"/>
      <c r="GT220" s="113"/>
      <c r="GU220" s="46">
        <v>0</v>
      </c>
      <c r="GV220" s="113"/>
      <c r="GW220" s="113"/>
      <c r="GX220" s="113"/>
      <c r="GY220" s="113"/>
      <c r="GZ220" s="113"/>
      <c r="HA220" s="46">
        <v>0</v>
      </c>
      <c r="HB220" s="113"/>
      <c r="HC220" s="113"/>
      <c r="HD220" s="113"/>
      <c r="HE220" s="113"/>
      <c r="HF220" s="113"/>
      <c r="HG220" s="46">
        <v>0</v>
      </c>
      <c r="HH220" s="113"/>
      <c r="HI220" s="113"/>
      <c r="HJ220" s="113"/>
      <c r="HK220" s="113"/>
      <c r="HL220" s="113"/>
      <c r="HM220" s="121"/>
      <c r="HN220" s="121"/>
      <c r="LM220" t="str">
        <v/>
      </c>
      <c r="LN220" t="str">
        <v/>
      </c>
      <c r="LO220" t="str">
        <v/>
      </c>
    </row>
    <row r="221" spans="30:327">
      <c r="AD221" t="s">
        <v>113</v>
      </c>
      <c r="AE221" t="s">
        <v>23108</v>
      </c>
      <c r="AF221" s="46">
        <v>0</v>
      </c>
      <c r="AG221" s="113"/>
      <c r="AH221" s="113"/>
      <c r="AI221" s="113"/>
      <c r="AJ221" s="113"/>
      <c r="AK221" s="113"/>
      <c r="AL221" s="46">
        <v>0</v>
      </c>
      <c r="AM221" s="113"/>
      <c r="AN221" s="113"/>
      <c r="AO221" s="113"/>
      <c r="AP221" s="113"/>
      <c r="AQ221" s="113"/>
      <c r="AR221" s="46">
        <v>0</v>
      </c>
      <c r="AS221" s="113"/>
      <c r="AT221" s="113"/>
      <c r="AU221" s="113"/>
      <c r="AV221" s="113"/>
      <c r="AW221" s="113"/>
      <c r="AX221" s="46">
        <v>0</v>
      </c>
      <c r="AY221" s="113"/>
      <c r="AZ221" s="113"/>
      <c r="BA221" s="113"/>
      <c r="BB221" s="113"/>
      <c r="BC221" s="113"/>
      <c r="BD221" s="46">
        <v>0</v>
      </c>
      <c r="BE221" s="113"/>
      <c r="BF221" s="113"/>
      <c r="BG221" s="113"/>
      <c r="BH221" s="113"/>
      <c r="BI221" s="113"/>
      <c r="BJ221" s="46">
        <v>0</v>
      </c>
      <c r="BK221" s="113"/>
      <c r="BL221" s="113"/>
      <c r="BM221" s="113"/>
      <c r="BN221" s="113"/>
      <c r="BO221" s="113"/>
      <c r="BP221" s="121"/>
      <c r="BQ221" s="121"/>
      <c r="GA221" t="s">
        <v>113</v>
      </c>
      <c r="GB221" t="s">
        <v>23108</v>
      </c>
      <c r="GC221" s="46">
        <v>0</v>
      </c>
      <c r="GD221" s="113"/>
      <c r="GE221" s="113"/>
      <c r="GF221" s="113"/>
      <c r="GG221" s="113"/>
      <c r="GH221" s="113"/>
      <c r="GI221" s="46">
        <v>0</v>
      </c>
      <c r="GJ221" s="113"/>
      <c r="GK221" s="113"/>
      <c r="GL221" s="113"/>
      <c r="GM221" s="113"/>
      <c r="GN221" s="113"/>
      <c r="GO221" s="46">
        <v>0</v>
      </c>
      <c r="GP221" s="113"/>
      <c r="GQ221" s="113"/>
      <c r="GR221" s="113"/>
      <c r="GS221" s="113"/>
      <c r="GT221" s="113"/>
      <c r="GU221" s="46">
        <v>0</v>
      </c>
      <c r="GV221" s="113"/>
      <c r="GW221" s="113"/>
      <c r="GX221" s="113"/>
      <c r="GY221" s="113"/>
      <c r="GZ221" s="113"/>
      <c r="HA221" s="46">
        <v>0</v>
      </c>
      <c r="HB221" s="113"/>
      <c r="HC221" s="113"/>
      <c r="HD221" s="113"/>
      <c r="HE221" s="113"/>
      <c r="HF221" s="113"/>
      <c r="HG221" s="46">
        <v>0</v>
      </c>
      <c r="HH221" s="113"/>
      <c r="HI221" s="113"/>
      <c r="HJ221" s="113"/>
      <c r="HK221" s="113"/>
      <c r="HL221" s="113"/>
      <c r="HM221" s="121"/>
      <c r="HN221" s="121"/>
      <c r="LM221" t="str">
        <v/>
      </c>
      <c r="LN221" t="str">
        <v/>
      </c>
      <c r="LO221" t="str">
        <v/>
      </c>
    </row>
    <row r="222" spans="30:327">
      <c r="AD222" t="s">
        <v>113</v>
      </c>
      <c r="AE222" t="s">
        <v>23109</v>
      </c>
      <c r="AF222" s="46">
        <v>0</v>
      </c>
      <c r="AG222" s="113"/>
      <c r="AH222" s="113"/>
      <c r="AI222" s="113"/>
      <c r="AJ222" s="113"/>
      <c r="AK222" s="113"/>
      <c r="AL222" s="46">
        <v>0</v>
      </c>
      <c r="AM222" s="113"/>
      <c r="AN222" s="113"/>
      <c r="AO222" s="113"/>
      <c r="AP222" s="113"/>
      <c r="AQ222" s="113"/>
      <c r="AR222" s="46">
        <v>0</v>
      </c>
      <c r="AS222" s="113"/>
      <c r="AT222" s="113"/>
      <c r="AU222" s="113"/>
      <c r="AV222" s="113"/>
      <c r="AW222" s="113"/>
      <c r="AX222" s="46">
        <v>0</v>
      </c>
      <c r="AY222" s="113"/>
      <c r="AZ222" s="113"/>
      <c r="BA222" s="113"/>
      <c r="BB222" s="113"/>
      <c r="BC222" s="113"/>
      <c r="BD222" s="46">
        <v>0</v>
      </c>
      <c r="BE222" s="113"/>
      <c r="BF222" s="113"/>
      <c r="BG222" s="113"/>
      <c r="BH222" s="113"/>
      <c r="BI222" s="113"/>
      <c r="BJ222" s="46">
        <v>0</v>
      </c>
      <c r="BK222" s="113"/>
      <c r="BL222" s="113"/>
      <c r="BM222" s="113"/>
      <c r="BN222" s="113"/>
      <c r="BO222" s="113"/>
      <c r="BP222" s="121"/>
      <c r="BQ222" s="121"/>
      <c r="GA222" t="s">
        <v>113</v>
      </c>
      <c r="GB222" t="s">
        <v>23109</v>
      </c>
      <c r="GC222" s="46">
        <v>0</v>
      </c>
      <c r="GD222" s="113"/>
      <c r="GE222" s="113"/>
      <c r="GF222" s="113"/>
      <c r="GG222" s="113"/>
      <c r="GH222" s="113"/>
      <c r="GI222" s="46">
        <v>0</v>
      </c>
      <c r="GJ222" s="113"/>
      <c r="GK222" s="113"/>
      <c r="GL222" s="113"/>
      <c r="GM222" s="113"/>
      <c r="GN222" s="113"/>
      <c r="GO222" s="46">
        <v>0</v>
      </c>
      <c r="GP222" s="113"/>
      <c r="GQ222" s="113"/>
      <c r="GR222" s="113"/>
      <c r="GS222" s="113"/>
      <c r="GT222" s="113"/>
      <c r="GU222" s="46">
        <v>0</v>
      </c>
      <c r="GV222" s="113"/>
      <c r="GW222" s="113"/>
      <c r="GX222" s="113"/>
      <c r="GY222" s="113"/>
      <c r="GZ222" s="113"/>
      <c r="HA222" s="46">
        <v>0</v>
      </c>
      <c r="HB222" s="113"/>
      <c r="HC222" s="113"/>
      <c r="HD222" s="113"/>
      <c r="HE222" s="113"/>
      <c r="HF222" s="113"/>
      <c r="HG222" s="46">
        <v>0</v>
      </c>
      <c r="HH222" s="113"/>
      <c r="HI222" s="113"/>
      <c r="HJ222" s="113"/>
      <c r="HK222" s="113"/>
      <c r="HL222" s="113"/>
      <c r="HM222" s="121"/>
      <c r="HN222" s="121"/>
      <c r="LM222" t="str">
        <v/>
      </c>
      <c r="LN222" t="str">
        <v/>
      </c>
      <c r="LO222" t="str">
        <v/>
      </c>
    </row>
    <row r="223" spans="30:327">
      <c r="AD223" t="s">
        <v>113</v>
      </c>
      <c r="AE223" t="s">
        <v>23110</v>
      </c>
      <c r="AF223" s="46">
        <v>0</v>
      </c>
      <c r="AG223" s="113"/>
      <c r="AH223" s="113"/>
      <c r="AI223" s="113"/>
      <c r="AJ223" s="113"/>
      <c r="AK223" s="113"/>
      <c r="AL223" s="46">
        <v>0</v>
      </c>
      <c r="AM223" s="113"/>
      <c r="AN223" s="113"/>
      <c r="AO223" s="113"/>
      <c r="AP223" s="113"/>
      <c r="AQ223" s="113"/>
      <c r="AR223" s="46">
        <v>0</v>
      </c>
      <c r="AS223" s="113"/>
      <c r="AT223" s="113"/>
      <c r="AU223" s="113"/>
      <c r="AV223" s="113"/>
      <c r="AW223" s="113"/>
      <c r="AX223" s="46">
        <v>0</v>
      </c>
      <c r="AY223" s="113"/>
      <c r="AZ223" s="113"/>
      <c r="BA223" s="113"/>
      <c r="BB223" s="113"/>
      <c r="BC223" s="113"/>
      <c r="BD223" s="46">
        <v>0</v>
      </c>
      <c r="BE223" s="113"/>
      <c r="BF223" s="113"/>
      <c r="BG223" s="113"/>
      <c r="BH223" s="113"/>
      <c r="BI223" s="113"/>
      <c r="BJ223" s="46">
        <v>0</v>
      </c>
      <c r="BK223" s="113"/>
      <c r="BL223" s="113"/>
      <c r="BM223" s="113"/>
      <c r="BN223" s="113"/>
      <c r="BO223" s="113"/>
      <c r="BP223" s="121"/>
      <c r="BQ223" s="121"/>
      <c r="GA223" t="s">
        <v>113</v>
      </c>
      <c r="GB223" t="s">
        <v>23110</v>
      </c>
      <c r="GC223" s="46">
        <v>0</v>
      </c>
      <c r="GD223" s="113"/>
      <c r="GE223" s="113"/>
      <c r="GF223" s="113"/>
      <c r="GG223" s="113"/>
      <c r="GH223" s="113"/>
      <c r="GI223" s="46">
        <v>0</v>
      </c>
      <c r="GJ223" s="113"/>
      <c r="GK223" s="113"/>
      <c r="GL223" s="113"/>
      <c r="GM223" s="113"/>
      <c r="GN223" s="113"/>
      <c r="GO223" s="46">
        <v>0</v>
      </c>
      <c r="GP223" s="113"/>
      <c r="GQ223" s="113"/>
      <c r="GR223" s="113"/>
      <c r="GS223" s="113"/>
      <c r="GT223" s="113"/>
      <c r="GU223" s="46">
        <v>0</v>
      </c>
      <c r="GV223" s="113"/>
      <c r="GW223" s="113"/>
      <c r="GX223" s="113"/>
      <c r="GY223" s="113"/>
      <c r="GZ223" s="113"/>
      <c r="HA223" s="46">
        <v>0</v>
      </c>
      <c r="HB223" s="113"/>
      <c r="HC223" s="113"/>
      <c r="HD223" s="113"/>
      <c r="HE223" s="113"/>
      <c r="HF223" s="113"/>
      <c r="HG223" s="46">
        <v>0</v>
      </c>
      <c r="HH223" s="113"/>
      <c r="HI223" s="113"/>
      <c r="HJ223" s="113"/>
      <c r="HK223" s="113"/>
      <c r="HL223" s="113"/>
      <c r="HM223" s="121"/>
      <c r="HN223" s="121"/>
      <c r="LM223" t="str">
        <v/>
      </c>
      <c r="LN223" t="str">
        <v/>
      </c>
      <c r="LO223" t="str">
        <v/>
      </c>
    </row>
    <row r="224" spans="30:327">
      <c r="AD224" t="s">
        <v>113</v>
      </c>
      <c r="AE224" t="s">
        <v>23111</v>
      </c>
      <c r="AF224" s="46">
        <v>0</v>
      </c>
      <c r="AG224" s="113"/>
      <c r="AH224" s="113"/>
      <c r="AI224" s="113"/>
      <c r="AJ224" s="113"/>
      <c r="AK224" s="113"/>
      <c r="AL224" s="46">
        <v>0</v>
      </c>
      <c r="AM224" s="113"/>
      <c r="AN224" s="113"/>
      <c r="AO224" s="113"/>
      <c r="AP224" s="113"/>
      <c r="AQ224" s="113"/>
      <c r="AR224" s="46">
        <v>0</v>
      </c>
      <c r="AS224" s="113"/>
      <c r="AT224" s="113"/>
      <c r="AU224" s="113"/>
      <c r="AV224" s="113"/>
      <c r="AW224" s="113"/>
      <c r="AX224" s="46">
        <v>0</v>
      </c>
      <c r="AY224" s="113"/>
      <c r="AZ224" s="113"/>
      <c r="BA224" s="113"/>
      <c r="BB224" s="113"/>
      <c r="BC224" s="113"/>
      <c r="BD224" s="46">
        <v>0</v>
      </c>
      <c r="BE224" s="113"/>
      <c r="BF224" s="113"/>
      <c r="BG224" s="113"/>
      <c r="BH224" s="113"/>
      <c r="BI224" s="113"/>
      <c r="BJ224" s="46">
        <v>0</v>
      </c>
      <c r="BK224" s="113"/>
      <c r="BL224" s="113"/>
      <c r="BM224" s="113"/>
      <c r="BN224" s="113"/>
      <c r="BO224" s="113"/>
      <c r="BP224" s="121"/>
      <c r="BQ224" s="121"/>
      <c r="GA224" t="s">
        <v>113</v>
      </c>
      <c r="GB224" t="s">
        <v>23111</v>
      </c>
      <c r="GC224" s="46">
        <v>0</v>
      </c>
      <c r="GD224" s="113"/>
      <c r="GE224" s="113"/>
      <c r="GF224" s="113"/>
      <c r="GG224" s="113"/>
      <c r="GH224" s="113"/>
      <c r="GI224" s="46">
        <v>0</v>
      </c>
      <c r="GJ224" s="113"/>
      <c r="GK224" s="113"/>
      <c r="GL224" s="113"/>
      <c r="GM224" s="113"/>
      <c r="GN224" s="113"/>
      <c r="GO224" s="46">
        <v>0</v>
      </c>
      <c r="GP224" s="113"/>
      <c r="GQ224" s="113"/>
      <c r="GR224" s="113"/>
      <c r="GS224" s="113"/>
      <c r="GT224" s="113"/>
      <c r="GU224" s="46">
        <v>0</v>
      </c>
      <c r="GV224" s="113"/>
      <c r="GW224" s="113"/>
      <c r="GX224" s="113"/>
      <c r="GY224" s="113"/>
      <c r="GZ224" s="113"/>
      <c r="HA224" s="46">
        <v>0</v>
      </c>
      <c r="HB224" s="113"/>
      <c r="HC224" s="113"/>
      <c r="HD224" s="113"/>
      <c r="HE224" s="113"/>
      <c r="HF224" s="113"/>
      <c r="HG224" s="46">
        <v>0</v>
      </c>
      <c r="HH224" s="113"/>
      <c r="HI224" s="113"/>
      <c r="HJ224" s="113"/>
      <c r="HK224" s="113"/>
      <c r="HL224" s="113"/>
      <c r="HM224" s="121"/>
      <c r="HN224" s="121"/>
      <c r="LM224" t="str">
        <v/>
      </c>
      <c r="LN224" t="str">
        <v/>
      </c>
      <c r="LO224" t="str">
        <v/>
      </c>
    </row>
    <row r="225" spans="30:327">
      <c r="AD225" t="s">
        <v>113</v>
      </c>
      <c r="AE225" t="s">
        <v>23112</v>
      </c>
      <c r="AF225" s="46">
        <v>0</v>
      </c>
      <c r="AG225" s="113"/>
      <c r="AH225" s="113"/>
      <c r="AI225" s="113"/>
      <c r="AJ225" s="113"/>
      <c r="AK225" s="113"/>
      <c r="AL225" s="46">
        <v>0</v>
      </c>
      <c r="AM225" s="113"/>
      <c r="AN225" s="113"/>
      <c r="AO225" s="113"/>
      <c r="AP225" s="113"/>
      <c r="AQ225" s="113"/>
      <c r="AR225" s="46">
        <v>0</v>
      </c>
      <c r="AS225" s="113"/>
      <c r="AT225" s="113"/>
      <c r="AU225" s="113"/>
      <c r="AV225" s="113"/>
      <c r="AW225" s="113"/>
      <c r="AX225" s="46">
        <v>0</v>
      </c>
      <c r="AY225" s="113"/>
      <c r="AZ225" s="113"/>
      <c r="BA225" s="113"/>
      <c r="BB225" s="113"/>
      <c r="BC225" s="113"/>
      <c r="BD225" s="46">
        <v>0</v>
      </c>
      <c r="BE225" s="113"/>
      <c r="BF225" s="113"/>
      <c r="BG225" s="113"/>
      <c r="BH225" s="113"/>
      <c r="BI225" s="113"/>
      <c r="BJ225" s="46">
        <v>0</v>
      </c>
      <c r="BK225" s="113"/>
      <c r="BL225" s="113"/>
      <c r="BM225" s="113"/>
      <c r="BN225" s="113"/>
      <c r="BO225" s="113"/>
      <c r="BP225" s="121"/>
      <c r="BQ225" s="121"/>
      <c r="GA225" t="s">
        <v>113</v>
      </c>
      <c r="GB225" t="s">
        <v>23112</v>
      </c>
      <c r="GC225" s="46">
        <v>0</v>
      </c>
      <c r="GD225" s="113"/>
      <c r="GE225" s="113"/>
      <c r="GF225" s="113"/>
      <c r="GG225" s="113"/>
      <c r="GH225" s="113"/>
      <c r="GI225" s="46">
        <v>0</v>
      </c>
      <c r="GJ225" s="113"/>
      <c r="GK225" s="113"/>
      <c r="GL225" s="113"/>
      <c r="GM225" s="113"/>
      <c r="GN225" s="113"/>
      <c r="GO225" s="46">
        <v>0</v>
      </c>
      <c r="GP225" s="113"/>
      <c r="GQ225" s="113"/>
      <c r="GR225" s="113"/>
      <c r="GS225" s="113"/>
      <c r="GT225" s="113"/>
      <c r="GU225" s="46">
        <v>0</v>
      </c>
      <c r="GV225" s="113"/>
      <c r="GW225" s="113"/>
      <c r="GX225" s="113"/>
      <c r="GY225" s="113"/>
      <c r="GZ225" s="113"/>
      <c r="HA225" s="46">
        <v>0</v>
      </c>
      <c r="HB225" s="113"/>
      <c r="HC225" s="113"/>
      <c r="HD225" s="113"/>
      <c r="HE225" s="113"/>
      <c r="HF225" s="113"/>
      <c r="HG225" s="46">
        <v>0</v>
      </c>
      <c r="HH225" s="113"/>
      <c r="HI225" s="113"/>
      <c r="HJ225" s="113"/>
      <c r="HK225" s="113"/>
      <c r="HL225" s="113"/>
      <c r="HM225" s="121"/>
      <c r="HN225" s="121"/>
      <c r="LM225" t="str">
        <v/>
      </c>
      <c r="LN225" t="str">
        <v/>
      </c>
      <c r="LO225" t="str">
        <v/>
      </c>
    </row>
    <row r="226" spans="30:327">
      <c r="AD226" t="s">
        <v>113</v>
      </c>
      <c r="AE226" t="s">
        <v>23113</v>
      </c>
      <c r="AF226" s="46">
        <v>0</v>
      </c>
      <c r="AG226" s="113"/>
      <c r="AH226" s="113"/>
      <c r="AI226" s="113"/>
      <c r="AJ226" s="113"/>
      <c r="AK226" s="113"/>
      <c r="AL226" s="46">
        <v>0</v>
      </c>
      <c r="AM226" s="113"/>
      <c r="AN226" s="113"/>
      <c r="AO226" s="113"/>
      <c r="AP226" s="113"/>
      <c r="AQ226" s="113"/>
      <c r="AR226" s="46">
        <v>0</v>
      </c>
      <c r="AS226" s="113"/>
      <c r="AT226" s="113"/>
      <c r="AU226" s="113"/>
      <c r="AV226" s="113"/>
      <c r="AW226" s="113"/>
      <c r="AX226" s="46">
        <v>0</v>
      </c>
      <c r="AY226" s="113"/>
      <c r="AZ226" s="113"/>
      <c r="BA226" s="113"/>
      <c r="BB226" s="113"/>
      <c r="BC226" s="113"/>
      <c r="BD226" s="46">
        <v>0</v>
      </c>
      <c r="BE226" s="113"/>
      <c r="BF226" s="113"/>
      <c r="BG226" s="113"/>
      <c r="BH226" s="113"/>
      <c r="BI226" s="113"/>
      <c r="BJ226" s="46">
        <v>0</v>
      </c>
      <c r="BK226" s="113"/>
      <c r="BL226" s="113"/>
      <c r="BM226" s="113"/>
      <c r="BN226" s="113"/>
      <c r="BO226" s="113"/>
      <c r="BP226" s="121"/>
      <c r="BQ226" s="121"/>
      <c r="GA226" t="s">
        <v>113</v>
      </c>
      <c r="GB226" t="s">
        <v>23113</v>
      </c>
      <c r="GC226" s="46">
        <v>0</v>
      </c>
      <c r="GD226" s="113"/>
      <c r="GE226" s="113"/>
      <c r="GF226" s="113"/>
      <c r="GG226" s="113"/>
      <c r="GH226" s="113"/>
      <c r="GI226" s="46">
        <v>0</v>
      </c>
      <c r="GJ226" s="113"/>
      <c r="GK226" s="113"/>
      <c r="GL226" s="113"/>
      <c r="GM226" s="113"/>
      <c r="GN226" s="113"/>
      <c r="GO226" s="46">
        <v>0</v>
      </c>
      <c r="GP226" s="113"/>
      <c r="GQ226" s="113"/>
      <c r="GR226" s="113"/>
      <c r="GS226" s="113"/>
      <c r="GT226" s="113"/>
      <c r="GU226" s="46">
        <v>0</v>
      </c>
      <c r="GV226" s="113"/>
      <c r="GW226" s="113"/>
      <c r="GX226" s="113"/>
      <c r="GY226" s="113"/>
      <c r="GZ226" s="113"/>
      <c r="HA226" s="46">
        <v>0</v>
      </c>
      <c r="HB226" s="113"/>
      <c r="HC226" s="113"/>
      <c r="HD226" s="113"/>
      <c r="HE226" s="113"/>
      <c r="HF226" s="113"/>
      <c r="HG226" s="46">
        <v>0</v>
      </c>
      <c r="HH226" s="113"/>
      <c r="HI226" s="113"/>
      <c r="HJ226" s="113"/>
      <c r="HK226" s="113"/>
      <c r="HL226" s="113"/>
      <c r="HM226" s="121"/>
      <c r="HN226" s="121"/>
      <c r="LM226" t="str">
        <v/>
      </c>
      <c r="LN226" t="str">
        <v/>
      </c>
      <c r="LO226" t="str">
        <v/>
      </c>
    </row>
    <row r="227" spans="30:327">
      <c r="AD227" t="s">
        <v>113</v>
      </c>
      <c r="AE227" t="s">
        <v>23114</v>
      </c>
      <c r="AF227" s="46">
        <v>0</v>
      </c>
      <c r="AG227" s="113"/>
      <c r="AH227" s="113"/>
      <c r="AI227" s="113"/>
      <c r="AJ227" s="113"/>
      <c r="AK227" s="113"/>
      <c r="AL227" s="46">
        <v>0</v>
      </c>
      <c r="AM227" s="113"/>
      <c r="AN227" s="113"/>
      <c r="AO227" s="113"/>
      <c r="AP227" s="113"/>
      <c r="AQ227" s="113"/>
      <c r="AR227" s="46">
        <v>0</v>
      </c>
      <c r="AS227" s="113"/>
      <c r="AT227" s="113"/>
      <c r="AU227" s="113"/>
      <c r="AV227" s="113"/>
      <c r="AW227" s="113"/>
      <c r="AX227" s="46">
        <v>0</v>
      </c>
      <c r="AY227" s="113"/>
      <c r="AZ227" s="113"/>
      <c r="BA227" s="113"/>
      <c r="BB227" s="113"/>
      <c r="BC227" s="113"/>
      <c r="BD227" s="46">
        <v>0</v>
      </c>
      <c r="BE227" s="113"/>
      <c r="BF227" s="113"/>
      <c r="BG227" s="113"/>
      <c r="BH227" s="113"/>
      <c r="BI227" s="113"/>
      <c r="BJ227" s="46">
        <v>0</v>
      </c>
      <c r="BK227" s="113"/>
      <c r="BL227" s="113"/>
      <c r="BM227" s="113"/>
      <c r="BN227" s="113"/>
      <c r="BO227" s="113"/>
      <c r="BP227" s="121"/>
      <c r="BQ227" s="121"/>
      <c r="GA227" t="s">
        <v>113</v>
      </c>
      <c r="GB227" t="s">
        <v>23114</v>
      </c>
      <c r="GC227" s="46">
        <v>0</v>
      </c>
      <c r="GD227" s="113"/>
      <c r="GE227" s="113"/>
      <c r="GF227" s="113"/>
      <c r="GG227" s="113"/>
      <c r="GH227" s="113"/>
      <c r="GI227" s="46">
        <v>0</v>
      </c>
      <c r="GJ227" s="113"/>
      <c r="GK227" s="113"/>
      <c r="GL227" s="113"/>
      <c r="GM227" s="113"/>
      <c r="GN227" s="113"/>
      <c r="GO227" s="46">
        <v>0</v>
      </c>
      <c r="GP227" s="113"/>
      <c r="GQ227" s="113"/>
      <c r="GR227" s="113"/>
      <c r="GS227" s="113"/>
      <c r="GT227" s="113"/>
      <c r="GU227" s="46">
        <v>0</v>
      </c>
      <c r="GV227" s="113"/>
      <c r="GW227" s="113"/>
      <c r="GX227" s="113"/>
      <c r="GY227" s="113"/>
      <c r="GZ227" s="113"/>
      <c r="HA227" s="46">
        <v>0</v>
      </c>
      <c r="HB227" s="113"/>
      <c r="HC227" s="113"/>
      <c r="HD227" s="113"/>
      <c r="HE227" s="113"/>
      <c r="HF227" s="113"/>
      <c r="HG227" s="46">
        <v>0</v>
      </c>
      <c r="HH227" s="113"/>
      <c r="HI227" s="113"/>
      <c r="HJ227" s="113"/>
      <c r="HK227" s="113"/>
      <c r="HL227" s="113"/>
      <c r="HM227" s="121"/>
      <c r="HN227" s="121"/>
      <c r="LM227" t="str">
        <v/>
      </c>
      <c r="LN227" t="str">
        <v/>
      </c>
      <c r="LO227" t="str">
        <v/>
      </c>
    </row>
    <row r="228" spans="30:327">
      <c r="AD228" t="s">
        <v>113</v>
      </c>
      <c r="AE228" t="s">
        <v>23115</v>
      </c>
      <c r="AF228" s="46">
        <v>0</v>
      </c>
      <c r="AG228" s="113"/>
      <c r="AH228" s="113"/>
      <c r="AI228" s="113"/>
      <c r="AJ228" s="113"/>
      <c r="AK228" s="113"/>
      <c r="AL228" s="46">
        <v>0</v>
      </c>
      <c r="AM228" s="113"/>
      <c r="AN228" s="113"/>
      <c r="AO228" s="113"/>
      <c r="AP228" s="113"/>
      <c r="AQ228" s="113"/>
      <c r="AR228" s="46">
        <v>0</v>
      </c>
      <c r="AS228" s="113"/>
      <c r="AT228" s="113"/>
      <c r="AU228" s="113"/>
      <c r="AV228" s="113"/>
      <c r="AW228" s="113"/>
      <c r="AX228" s="46">
        <v>0</v>
      </c>
      <c r="AY228" s="113"/>
      <c r="AZ228" s="113"/>
      <c r="BA228" s="113"/>
      <c r="BB228" s="113"/>
      <c r="BC228" s="113"/>
      <c r="BD228" s="46">
        <v>0</v>
      </c>
      <c r="BE228" s="113"/>
      <c r="BF228" s="113"/>
      <c r="BG228" s="113"/>
      <c r="BH228" s="113"/>
      <c r="BI228" s="113"/>
      <c r="BJ228" s="46">
        <v>0</v>
      </c>
      <c r="BK228" s="113"/>
      <c r="BL228" s="113"/>
      <c r="BM228" s="113"/>
      <c r="BN228" s="113"/>
      <c r="BO228" s="113"/>
      <c r="BP228" s="121"/>
      <c r="BQ228" s="121"/>
      <c r="GA228" t="s">
        <v>113</v>
      </c>
      <c r="GB228" t="s">
        <v>23115</v>
      </c>
      <c r="GC228" s="46">
        <v>0</v>
      </c>
      <c r="GD228" s="113"/>
      <c r="GE228" s="113"/>
      <c r="GF228" s="113"/>
      <c r="GG228" s="113"/>
      <c r="GH228" s="113"/>
      <c r="GI228" s="46">
        <v>0</v>
      </c>
      <c r="GJ228" s="113"/>
      <c r="GK228" s="113"/>
      <c r="GL228" s="113"/>
      <c r="GM228" s="113"/>
      <c r="GN228" s="113"/>
      <c r="GO228" s="46">
        <v>0</v>
      </c>
      <c r="GP228" s="113"/>
      <c r="GQ228" s="113"/>
      <c r="GR228" s="113"/>
      <c r="GS228" s="113"/>
      <c r="GT228" s="113"/>
      <c r="GU228" s="46">
        <v>0</v>
      </c>
      <c r="GV228" s="113"/>
      <c r="GW228" s="113"/>
      <c r="GX228" s="113"/>
      <c r="GY228" s="113"/>
      <c r="GZ228" s="113"/>
      <c r="HA228" s="46">
        <v>0</v>
      </c>
      <c r="HB228" s="113"/>
      <c r="HC228" s="113"/>
      <c r="HD228" s="113"/>
      <c r="HE228" s="113"/>
      <c r="HF228" s="113"/>
      <c r="HG228" s="46">
        <v>0</v>
      </c>
      <c r="HH228" s="113"/>
      <c r="HI228" s="113"/>
      <c r="HJ228" s="113"/>
      <c r="HK228" s="113"/>
      <c r="HL228" s="113"/>
      <c r="HM228" s="121"/>
      <c r="HN228" s="121"/>
      <c r="LM228" t="str">
        <v/>
      </c>
      <c r="LN228" t="str">
        <v/>
      </c>
      <c r="LO228" t="str">
        <v/>
      </c>
    </row>
    <row r="229" spans="30:327">
      <c r="AD229" t="s">
        <v>113</v>
      </c>
      <c r="AE229" t="s">
        <v>23116</v>
      </c>
      <c r="AF229" s="46">
        <v>0</v>
      </c>
      <c r="AG229" s="113"/>
      <c r="AH229" s="113"/>
      <c r="AI229" s="113"/>
      <c r="AJ229" s="113"/>
      <c r="AK229" s="113"/>
      <c r="AL229" s="46">
        <v>0</v>
      </c>
      <c r="AM229" s="113"/>
      <c r="AN229" s="113"/>
      <c r="AO229" s="113"/>
      <c r="AP229" s="113"/>
      <c r="AQ229" s="113"/>
      <c r="AR229" s="46">
        <v>0</v>
      </c>
      <c r="AS229" s="113"/>
      <c r="AT229" s="113"/>
      <c r="AU229" s="113"/>
      <c r="AV229" s="113"/>
      <c r="AW229" s="113"/>
      <c r="AX229" s="46">
        <v>0</v>
      </c>
      <c r="AY229" s="113"/>
      <c r="AZ229" s="113"/>
      <c r="BA229" s="113"/>
      <c r="BB229" s="113"/>
      <c r="BC229" s="113"/>
      <c r="BD229" s="46">
        <v>0</v>
      </c>
      <c r="BE229" s="113"/>
      <c r="BF229" s="113"/>
      <c r="BG229" s="113"/>
      <c r="BH229" s="113"/>
      <c r="BI229" s="113"/>
      <c r="BJ229" s="46">
        <v>0</v>
      </c>
      <c r="BK229" s="113"/>
      <c r="BL229" s="113"/>
      <c r="BM229" s="113"/>
      <c r="BN229" s="113"/>
      <c r="BO229" s="113"/>
      <c r="BP229" s="121"/>
      <c r="BQ229" s="121"/>
      <c r="GA229" t="s">
        <v>113</v>
      </c>
      <c r="GB229" t="s">
        <v>23116</v>
      </c>
      <c r="GC229" s="46">
        <v>0</v>
      </c>
      <c r="GD229" s="113"/>
      <c r="GE229" s="113"/>
      <c r="GF229" s="113"/>
      <c r="GG229" s="113"/>
      <c r="GH229" s="113"/>
      <c r="GI229" s="46">
        <v>0</v>
      </c>
      <c r="GJ229" s="113"/>
      <c r="GK229" s="113"/>
      <c r="GL229" s="113"/>
      <c r="GM229" s="113"/>
      <c r="GN229" s="113"/>
      <c r="GO229" s="46">
        <v>0</v>
      </c>
      <c r="GP229" s="113"/>
      <c r="GQ229" s="113"/>
      <c r="GR229" s="113"/>
      <c r="GS229" s="113"/>
      <c r="GT229" s="113"/>
      <c r="GU229" s="46">
        <v>0</v>
      </c>
      <c r="GV229" s="113"/>
      <c r="GW229" s="113"/>
      <c r="GX229" s="113"/>
      <c r="GY229" s="113"/>
      <c r="GZ229" s="113"/>
      <c r="HA229" s="46">
        <v>0</v>
      </c>
      <c r="HB229" s="113"/>
      <c r="HC229" s="113"/>
      <c r="HD229" s="113"/>
      <c r="HE229" s="113"/>
      <c r="HF229" s="113"/>
      <c r="HG229" s="46">
        <v>0</v>
      </c>
      <c r="HH229" s="113"/>
      <c r="HI229" s="113"/>
      <c r="HJ229" s="113"/>
      <c r="HK229" s="113"/>
      <c r="HL229" s="113"/>
      <c r="HM229" s="121"/>
      <c r="HN229" s="121"/>
      <c r="LM229" t="str">
        <v/>
      </c>
      <c r="LN229" t="str">
        <v/>
      </c>
      <c r="LO229" t="str">
        <v/>
      </c>
    </row>
    <row r="230" spans="30:327">
      <c r="AD230" t="s">
        <v>113</v>
      </c>
      <c r="AE230" t="s">
        <v>23117</v>
      </c>
      <c r="AF230" s="46">
        <v>0</v>
      </c>
      <c r="AG230" s="113"/>
      <c r="AH230" s="113"/>
      <c r="AI230" s="113"/>
      <c r="AJ230" s="113"/>
      <c r="AK230" s="113"/>
      <c r="AL230" s="46">
        <v>0</v>
      </c>
      <c r="AM230" s="113"/>
      <c r="AN230" s="113"/>
      <c r="AO230" s="113"/>
      <c r="AP230" s="113"/>
      <c r="AQ230" s="113"/>
      <c r="AR230" s="46">
        <v>0</v>
      </c>
      <c r="AS230" s="113"/>
      <c r="AT230" s="113"/>
      <c r="AU230" s="113"/>
      <c r="AV230" s="113"/>
      <c r="AW230" s="113"/>
      <c r="AX230" s="46">
        <v>0</v>
      </c>
      <c r="AY230" s="113"/>
      <c r="AZ230" s="113"/>
      <c r="BA230" s="113"/>
      <c r="BB230" s="113"/>
      <c r="BC230" s="113"/>
      <c r="BD230" s="46">
        <v>0</v>
      </c>
      <c r="BE230" s="113"/>
      <c r="BF230" s="113"/>
      <c r="BG230" s="113"/>
      <c r="BH230" s="113"/>
      <c r="BI230" s="113"/>
      <c r="BJ230" s="46">
        <v>0</v>
      </c>
      <c r="BK230" s="113"/>
      <c r="BL230" s="113"/>
      <c r="BM230" s="113"/>
      <c r="BN230" s="113"/>
      <c r="BO230" s="113"/>
      <c r="BP230" s="121"/>
      <c r="BQ230" s="121"/>
      <c r="GA230" t="s">
        <v>113</v>
      </c>
      <c r="GB230" t="s">
        <v>23117</v>
      </c>
      <c r="GC230" s="46">
        <v>0</v>
      </c>
      <c r="GD230" s="113"/>
      <c r="GE230" s="113"/>
      <c r="GF230" s="113"/>
      <c r="GG230" s="113"/>
      <c r="GH230" s="113"/>
      <c r="GI230" s="46">
        <v>0</v>
      </c>
      <c r="GJ230" s="113"/>
      <c r="GK230" s="113"/>
      <c r="GL230" s="113"/>
      <c r="GM230" s="113"/>
      <c r="GN230" s="113"/>
      <c r="GO230" s="46">
        <v>0</v>
      </c>
      <c r="GP230" s="113"/>
      <c r="GQ230" s="113"/>
      <c r="GR230" s="113"/>
      <c r="GS230" s="113"/>
      <c r="GT230" s="113"/>
      <c r="GU230" s="46">
        <v>0</v>
      </c>
      <c r="GV230" s="113"/>
      <c r="GW230" s="113"/>
      <c r="GX230" s="113"/>
      <c r="GY230" s="113"/>
      <c r="GZ230" s="113"/>
      <c r="HA230" s="46">
        <v>0</v>
      </c>
      <c r="HB230" s="113"/>
      <c r="HC230" s="113"/>
      <c r="HD230" s="113"/>
      <c r="HE230" s="113"/>
      <c r="HF230" s="113"/>
      <c r="HG230" s="46">
        <v>0</v>
      </c>
      <c r="HH230" s="113"/>
      <c r="HI230" s="113"/>
      <c r="HJ230" s="113"/>
      <c r="HK230" s="113"/>
      <c r="HL230" s="113"/>
      <c r="HM230" s="121"/>
      <c r="HN230" s="121"/>
      <c r="LM230" t="str">
        <v/>
      </c>
      <c r="LN230" t="str">
        <v/>
      </c>
      <c r="LO230" t="str">
        <v/>
      </c>
    </row>
    <row r="231" spans="30:327">
      <c r="AD231" t="s">
        <v>113</v>
      </c>
      <c r="AE231" t="s">
        <v>23118</v>
      </c>
      <c r="AF231" s="46">
        <v>0</v>
      </c>
      <c r="AG231" s="113"/>
      <c r="AH231" s="113"/>
      <c r="AI231" s="113"/>
      <c r="AJ231" s="113"/>
      <c r="AK231" s="113"/>
      <c r="AL231" s="46">
        <v>0</v>
      </c>
      <c r="AM231" s="113"/>
      <c r="AN231" s="113"/>
      <c r="AO231" s="113"/>
      <c r="AP231" s="113"/>
      <c r="AQ231" s="113"/>
      <c r="AR231" s="46">
        <v>0</v>
      </c>
      <c r="AS231" s="113"/>
      <c r="AT231" s="113"/>
      <c r="AU231" s="113"/>
      <c r="AV231" s="113"/>
      <c r="AW231" s="113"/>
      <c r="AX231" s="46">
        <v>0</v>
      </c>
      <c r="AY231" s="113"/>
      <c r="AZ231" s="113"/>
      <c r="BA231" s="113"/>
      <c r="BB231" s="113"/>
      <c r="BC231" s="113"/>
      <c r="BD231" s="46">
        <v>0</v>
      </c>
      <c r="BE231" s="113"/>
      <c r="BF231" s="113"/>
      <c r="BG231" s="113"/>
      <c r="BH231" s="113"/>
      <c r="BI231" s="113"/>
      <c r="BJ231" s="46">
        <v>0</v>
      </c>
      <c r="BK231" s="113"/>
      <c r="BL231" s="113"/>
      <c r="BM231" s="113"/>
      <c r="BN231" s="113"/>
      <c r="BO231" s="113"/>
      <c r="BP231" s="121"/>
      <c r="BQ231" s="121"/>
      <c r="GA231" t="s">
        <v>113</v>
      </c>
      <c r="GB231" t="s">
        <v>23118</v>
      </c>
      <c r="GC231" s="46">
        <v>0</v>
      </c>
      <c r="GD231" s="113"/>
      <c r="GE231" s="113"/>
      <c r="GF231" s="113"/>
      <c r="GG231" s="113"/>
      <c r="GH231" s="113"/>
      <c r="GI231" s="46">
        <v>0</v>
      </c>
      <c r="GJ231" s="113"/>
      <c r="GK231" s="113"/>
      <c r="GL231" s="113"/>
      <c r="GM231" s="113"/>
      <c r="GN231" s="113"/>
      <c r="GO231" s="46">
        <v>0</v>
      </c>
      <c r="GP231" s="113"/>
      <c r="GQ231" s="113"/>
      <c r="GR231" s="113"/>
      <c r="GS231" s="113"/>
      <c r="GT231" s="113"/>
      <c r="GU231" s="46">
        <v>0</v>
      </c>
      <c r="GV231" s="113"/>
      <c r="GW231" s="113"/>
      <c r="GX231" s="113"/>
      <c r="GY231" s="113"/>
      <c r="GZ231" s="113"/>
      <c r="HA231" s="46">
        <v>0</v>
      </c>
      <c r="HB231" s="113"/>
      <c r="HC231" s="113"/>
      <c r="HD231" s="113"/>
      <c r="HE231" s="113"/>
      <c r="HF231" s="113"/>
      <c r="HG231" s="46">
        <v>0</v>
      </c>
      <c r="HH231" s="113"/>
      <c r="HI231" s="113"/>
      <c r="HJ231" s="113"/>
      <c r="HK231" s="113"/>
      <c r="HL231" s="113"/>
      <c r="HM231" s="121"/>
      <c r="HN231" s="121"/>
      <c r="LM231" t="str">
        <v/>
      </c>
      <c r="LN231" t="str">
        <v/>
      </c>
      <c r="LO231" t="str">
        <v/>
      </c>
    </row>
    <row r="232" spans="30:327">
      <c r="AD232" t="s">
        <v>113</v>
      </c>
      <c r="AE232" t="s">
        <v>23119</v>
      </c>
      <c r="AF232" s="46">
        <v>0</v>
      </c>
      <c r="AG232" s="113"/>
      <c r="AH232" s="113"/>
      <c r="AI232" s="113"/>
      <c r="AJ232" s="113"/>
      <c r="AK232" s="113"/>
      <c r="AL232" s="46">
        <v>0</v>
      </c>
      <c r="AM232" s="113"/>
      <c r="AN232" s="113"/>
      <c r="AO232" s="113"/>
      <c r="AP232" s="113"/>
      <c r="AQ232" s="113"/>
      <c r="AR232" s="46">
        <v>0</v>
      </c>
      <c r="AS232" s="113"/>
      <c r="AT232" s="113"/>
      <c r="AU232" s="113"/>
      <c r="AV232" s="113"/>
      <c r="AW232" s="113"/>
      <c r="AX232" s="46">
        <v>0</v>
      </c>
      <c r="AY232" s="113"/>
      <c r="AZ232" s="113"/>
      <c r="BA232" s="113"/>
      <c r="BB232" s="113"/>
      <c r="BC232" s="113"/>
      <c r="BD232" s="46">
        <v>0</v>
      </c>
      <c r="BE232" s="113"/>
      <c r="BF232" s="113"/>
      <c r="BG232" s="113"/>
      <c r="BH232" s="113"/>
      <c r="BI232" s="113"/>
      <c r="BJ232" s="46">
        <v>0</v>
      </c>
      <c r="BK232" s="113"/>
      <c r="BL232" s="113"/>
      <c r="BM232" s="113"/>
      <c r="BN232" s="113"/>
      <c r="BO232" s="113"/>
      <c r="BP232" s="121"/>
      <c r="BQ232" s="121"/>
      <c r="GA232" t="s">
        <v>113</v>
      </c>
      <c r="GB232" t="s">
        <v>23119</v>
      </c>
      <c r="GC232" s="46">
        <v>0</v>
      </c>
      <c r="GD232" s="113"/>
      <c r="GE232" s="113"/>
      <c r="GF232" s="113"/>
      <c r="GG232" s="113"/>
      <c r="GH232" s="113"/>
      <c r="GI232" s="46">
        <v>0</v>
      </c>
      <c r="GJ232" s="113"/>
      <c r="GK232" s="113"/>
      <c r="GL232" s="113"/>
      <c r="GM232" s="113"/>
      <c r="GN232" s="113"/>
      <c r="GO232" s="46">
        <v>0</v>
      </c>
      <c r="GP232" s="113"/>
      <c r="GQ232" s="113"/>
      <c r="GR232" s="113"/>
      <c r="GS232" s="113"/>
      <c r="GT232" s="113"/>
      <c r="GU232" s="46">
        <v>0</v>
      </c>
      <c r="GV232" s="113"/>
      <c r="GW232" s="113"/>
      <c r="GX232" s="113"/>
      <c r="GY232" s="113"/>
      <c r="GZ232" s="113"/>
      <c r="HA232" s="46">
        <v>0</v>
      </c>
      <c r="HB232" s="113"/>
      <c r="HC232" s="113"/>
      <c r="HD232" s="113"/>
      <c r="HE232" s="113"/>
      <c r="HF232" s="113"/>
      <c r="HG232" s="46">
        <v>0</v>
      </c>
      <c r="HH232" s="113"/>
      <c r="HI232" s="113"/>
      <c r="HJ232" s="113"/>
      <c r="HK232" s="113"/>
      <c r="HL232" s="113"/>
      <c r="HM232" s="121"/>
      <c r="HN232" s="121"/>
      <c r="LM232" t="str">
        <v/>
      </c>
      <c r="LN232" t="str">
        <v/>
      </c>
      <c r="LO232" t="str">
        <v/>
      </c>
    </row>
    <row r="233" spans="30:327">
      <c r="AD233" t="s">
        <v>113</v>
      </c>
      <c r="AE233" t="s">
        <v>23120</v>
      </c>
      <c r="AF233" s="46">
        <v>0</v>
      </c>
      <c r="AG233" s="113"/>
      <c r="AH233" s="113"/>
      <c r="AI233" s="113"/>
      <c r="AJ233" s="113"/>
      <c r="AK233" s="113"/>
      <c r="AL233" s="46">
        <v>0</v>
      </c>
      <c r="AM233" s="113"/>
      <c r="AN233" s="113"/>
      <c r="AO233" s="113"/>
      <c r="AP233" s="113"/>
      <c r="AQ233" s="113"/>
      <c r="AR233" s="46">
        <v>0</v>
      </c>
      <c r="AS233" s="113"/>
      <c r="AT233" s="113"/>
      <c r="AU233" s="113"/>
      <c r="AV233" s="113"/>
      <c r="AW233" s="113"/>
      <c r="AX233" s="46">
        <v>0</v>
      </c>
      <c r="AY233" s="113"/>
      <c r="AZ233" s="113"/>
      <c r="BA233" s="113"/>
      <c r="BB233" s="113"/>
      <c r="BC233" s="113"/>
      <c r="BD233" s="46">
        <v>0</v>
      </c>
      <c r="BE233" s="113"/>
      <c r="BF233" s="113"/>
      <c r="BG233" s="113"/>
      <c r="BH233" s="113"/>
      <c r="BI233" s="113"/>
      <c r="BJ233" s="46">
        <v>0</v>
      </c>
      <c r="BK233" s="113"/>
      <c r="BL233" s="113"/>
      <c r="BM233" s="113"/>
      <c r="BN233" s="113"/>
      <c r="BO233" s="113"/>
      <c r="BP233" s="121"/>
      <c r="BQ233" s="121"/>
      <c r="GA233" t="s">
        <v>113</v>
      </c>
      <c r="GB233" t="s">
        <v>23120</v>
      </c>
      <c r="GC233" s="46">
        <v>0</v>
      </c>
      <c r="GD233" s="113"/>
      <c r="GE233" s="113"/>
      <c r="GF233" s="113"/>
      <c r="GG233" s="113"/>
      <c r="GH233" s="113"/>
      <c r="GI233" s="46">
        <v>0</v>
      </c>
      <c r="GJ233" s="113"/>
      <c r="GK233" s="113"/>
      <c r="GL233" s="113"/>
      <c r="GM233" s="113"/>
      <c r="GN233" s="113"/>
      <c r="GO233" s="46">
        <v>0</v>
      </c>
      <c r="GP233" s="113"/>
      <c r="GQ233" s="113"/>
      <c r="GR233" s="113"/>
      <c r="GS233" s="113"/>
      <c r="GT233" s="113"/>
      <c r="GU233" s="46">
        <v>0</v>
      </c>
      <c r="GV233" s="113"/>
      <c r="GW233" s="113"/>
      <c r="GX233" s="113"/>
      <c r="GY233" s="113"/>
      <c r="GZ233" s="113"/>
      <c r="HA233" s="46">
        <v>0</v>
      </c>
      <c r="HB233" s="113"/>
      <c r="HC233" s="113"/>
      <c r="HD233" s="113"/>
      <c r="HE233" s="113"/>
      <c r="HF233" s="113"/>
      <c r="HG233" s="46">
        <v>0</v>
      </c>
      <c r="HH233" s="113"/>
      <c r="HI233" s="113"/>
      <c r="HJ233" s="113"/>
      <c r="HK233" s="113"/>
      <c r="HL233" s="113"/>
      <c r="HM233" s="121"/>
      <c r="HN233" s="121"/>
      <c r="LM233" t="str">
        <v/>
      </c>
      <c r="LN233" t="str">
        <v/>
      </c>
      <c r="LO233" t="str">
        <v/>
      </c>
    </row>
    <row r="234" spans="30:327">
      <c r="AD234" t="s">
        <v>113</v>
      </c>
      <c r="AE234" t="s">
        <v>23121</v>
      </c>
      <c r="AF234" s="46">
        <v>0</v>
      </c>
      <c r="AG234" s="113"/>
      <c r="AH234" s="113"/>
      <c r="AI234" s="113"/>
      <c r="AJ234" s="113"/>
      <c r="AK234" s="113"/>
      <c r="AL234" s="46">
        <v>0</v>
      </c>
      <c r="AM234" s="113"/>
      <c r="AN234" s="113"/>
      <c r="AO234" s="113"/>
      <c r="AP234" s="113"/>
      <c r="AQ234" s="113"/>
      <c r="AR234" s="46">
        <v>0</v>
      </c>
      <c r="AS234" s="113"/>
      <c r="AT234" s="113"/>
      <c r="AU234" s="113"/>
      <c r="AV234" s="113"/>
      <c r="AW234" s="113"/>
      <c r="AX234" s="46">
        <v>0</v>
      </c>
      <c r="AY234" s="113"/>
      <c r="AZ234" s="113"/>
      <c r="BA234" s="113"/>
      <c r="BB234" s="113"/>
      <c r="BC234" s="113"/>
      <c r="BD234" s="46">
        <v>0</v>
      </c>
      <c r="BE234" s="113"/>
      <c r="BF234" s="113"/>
      <c r="BG234" s="113"/>
      <c r="BH234" s="113"/>
      <c r="BI234" s="113"/>
      <c r="BJ234" s="46">
        <v>0</v>
      </c>
      <c r="BK234" s="113"/>
      <c r="BL234" s="113"/>
      <c r="BM234" s="113"/>
      <c r="BN234" s="113"/>
      <c r="BO234" s="113"/>
      <c r="BP234" s="121"/>
      <c r="BQ234" s="121"/>
      <c r="GA234" t="s">
        <v>113</v>
      </c>
      <c r="GB234" t="s">
        <v>23121</v>
      </c>
      <c r="GC234" s="46">
        <v>0</v>
      </c>
      <c r="GD234" s="113"/>
      <c r="GE234" s="113"/>
      <c r="GF234" s="113"/>
      <c r="GG234" s="113"/>
      <c r="GH234" s="113"/>
      <c r="GI234" s="46">
        <v>0</v>
      </c>
      <c r="GJ234" s="113"/>
      <c r="GK234" s="113"/>
      <c r="GL234" s="113"/>
      <c r="GM234" s="113"/>
      <c r="GN234" s="113"/>
      <c r="GO234" s="46">
        <v>0</v>
      </c>
      <c r="GP234" s="113"/>
      <c r="GQ234" s="113"/>
      <c r="GR234" s="113"/>
      <c r="GS234" s="113"/>
      <c r="GT234" s="113"/>
      <c r="GU234" s="46">
        <v>0</v>
      </c>
      <c r="GV234" s="113"/>
      <c r="GW234" s="113"/>
      <c r="GX234" s="113"/>
      <c r="GY234" s="113"/>
      <c r="GZ234" s="113"/>
      <c r="HA234" s="46">
        <v>0</v>
      </c>
      <c r="HB234" s="113"/>
      <c r="HC234" s="113"/>
      <c r="HD234" s="113"/>
      <c r="HE234" s="113"/>
      <c r="HF234" s="113"/>
      <c r="HG234" s="46">
        <v>0</v>
      </c>
      <c r="HH234" s="113"/>
      <c r="HI234" s="113"/>
      <c r="HJ234" s="113"/>
      <c r="HK234" s="113"/>
      <c r="HL234" s="113"/>
      <c r="HM234" s="121"/>
      <c r="HN234" s="121"/>
      <c r="LM234" t="str">
        <v/>
      </c>
      <c r="LN234" t="str">
        <v/>
      </c>
      <c r="LO234" t="str">
        <v/>
      </c>
    </row>
    <row r="235" spans="30:327">
      <c r="AD235" t="s">
        <v>113</v>
      </c>
      <c r="AE235" t="s">
        <v>23122</v>
      </c>
      <c r="AF235" s="46">
        <v>0</v>
      </c>
      <c r="AG235" s="113"/>
      <c r="AH235" s="113"/>
      <c r="AI235" s="113"/>
      <c r="AJ235" s="113"/>
      <c r="AK235" s="113"/>
      <c r="AL235" s="46">
        <v>0</v>
      </c>
      <c r="AM235" s="113"/>
      <c r="AN235" s="113"/>
      <c r="AO235" s="113"/>
      <c r="AP235" s="113"/>
      <c r="AQ235" s="113"/>
      <c r="AR235" s="46">
        <v>0</v>
      </c>
      <c r="AS235" s="113"/>
      <c r="AT235" s="113"/>
      <c r="AU235" s="113"/>
      <c r="AV235" s="113"/>
      <c r="AW235" s="113"/>
      <c r="AX235" s="46">
        <v>0</v>
      </c>
      <c r="AY235" s="113"/>
      <c r="AZ235" s="113"/>
      <c r="BA235" s="113"/>
      <c r="BB235" s="113"/>
      <c r="BC235" s="113"/>
      <c r="BD235" s="46">
        <v>0</v>
      </c>
      <c r="BE235" s="113"/>
      <c r="BF235" s="113"/>
      <c r="BG235" s="113"/>
      <c r="BH235" s="113"/>
      <c r="BI235" s="113"/>
      <c r="BJ235" s="46">
        <v>0</v>
      </c>
      <c r="BK235" s="113"/>
      <c r="BL235" s="113"/>
      <c r="BM235" s="113"/>
      <c r="BN235" s="113"/>
      <c r="BO235" s="113"/>
      <c r="BP235" s="121"/>
      <c r="BQ235" s="121"/>
      <c r="GA235" t="s">
        <v>113</v>
      </c>
      <c r="GB235" t="s">
        <v>23122</v>
      </c>
      <c r="GC235" s="46">
        <v>0</v>
      </c>
      <c r="GD235" s="113"/>
      <c r="GE235" s="113"/>
      <c r="GF235" s="113"/>
      <c r="GG235" s="113"/>
      <c r="GH235" s="113"/>
      <c r="GI235" s="46">
        <v>0</v>
      </c>
      <c r="GJ235" s="113"/>
      <c r="GK235" s="113"/>
      <c r="GL235" s="113"/>
      <c r="GM235" s="113"/>
      <c r="GN235" s="113"/>
      <c r="GO235" s="46">
        <v>0</v>
      </c>
      <c r="GP235" s="113"/>
      <c r="GQ235" s="113"/>
      <c r="GR235" s="113"/>
      <c r="GS235" s="113"/>
      <c r="GT235" s="113"/>
      <c r="GU235" s="46">
        <v>0</v>
      </c>
      <c r="GV235" s="113"/>
      <c r="GW235" s="113"/>
      <c r="GX235" s="113"/>
      <c r="GY235" s="113"/>
      <c r="GZ235" s="113"/>
      <c r="HA235" s="46">
        <v>0</v>
      </c>
      <c r="HB235" s="113"/>
      <c r="HC235" s="113"/>
      <c r="HD235" s="113"/>
      <c r="HE235" s="113"/>
      <c r="HF235" s="113"/>
      <c r="HG235" s="46">
        <v>0</v>
      </c>
      <c r="HH235" s="113"/>
      <c r="HI235" s="113"/>
      <c r="HJ235" s="113"/>
      <c r="HK235" s="113"/>
      <c r="HL235" s="113"/>
      <c r="HM235" s="121"/>
      <c r="HN235" s="121"/>
      <c r="LM235" t="str">
        <v/>
      </c>
      <c r="LN235" t="str">
        <v/>
      </c>
      <c r="LO235" t="str">
        <v/>
      </c>
    </row>
    <row r="236" spans="30:327">
      <c r="AD236" t="s">
        <v>113</v>
      </c>
      <c r="AE236" t="s">
        <v>23123</v>
      </c>
      <c r="AF236" s="46">
        <v>0</v>
      </c>
      <c r="AG236" s="113"/>
      <c r="AH236" s="113"/>
      <c r="AI236" s="113"/>
      <c r="AJ236" s="113"/>
      <c r="AK236" s="113"/>
      <c r="AL236" s="46">
        <v>0</v>
      </c>
      <c r="AM236" s="113"/>
      <c r="AN236" s="113"/>
      <c r="AO236" s="113"/>
      <c r="AP236" s="113"/>
      <c r="AQ236" s="113"/>
      <c r="AR236" s="46">
        <v>0</v>
      </c>
      <c r="AS236" s="113"/>
      <c r="AT236" s="113"/>
      <c r="AU236" s="113"/>
      <c r="AV236" s="113"/>
      <c r="AW236" s="113"/>
      <c r="AX236" s="46">
        <v>0</v>
      </c>
      <c r="AY236" s="113"/>
      <c r="AZ236" s="113"/>
      <c r="BA236" s="113"/>
      <c r="BB236" s="113"/>
      <c r="BC236" s="113"/>
      <c r="BD236" s="46">
        <v>0</v>
      </c>
      <c r="BE236" s="113"/>
      <c r="BF236" s="113"/>
      <c r="BG236" s="113"/>
      <c r="BH236" s="113"/>
      <c r="BI236" s="113"/>
      <c r="BJ236" s="46">
        <v>0</v>
      </c>
      <c r="BK236" s="113"/>
      <c r="BL236" s="113"/>
      <c r="BM236" s="113"/>
      <c r="BN236" s="113"/>
      <c r="BO236" s="113"/>
      <c r="BP236" s="121"/>
      <c r="BQ236" s="121"/>
      <c r="GA236" t="s">
        <v>113</v>
      </c>
      <c r="GB236" t="s">
        <v>23123</v>
      </c>
      <c r="GC236" s="46">
        <v>0</v>
      </c>
      <c r="GD236" s="113"/>
      <c r="GE236" s="113"/>
      <c r="GF236" s="113"/>
      <c r="GG236" s="113"/>
      <c r="GH236" s="113"/>
      <c r="GI236" s="46">
        <v>0</v>
      </c>
      <c r="GJ236" s="113"/>
      <c r="GK236" s="113"/>
      <c r="GL236" s="113"/>
      <c r="GM236" s="113"/>
      <c r="GN236" s="113"/>
      <c r="GO236" s="46">
        <v>0</v>
      </c>
      <c r="GP236" s="113"/>
      <c r="GQ236" s="113"/>
      <c r="GR236" s="113"/>
      <c r="GS236" s="113"/>
      <c r="GT236" s="113"/>
      <c r="GU236" s="46">
        <v>0</v>
      </c>
      <c r="GV236" s="113"/>
      <c r="GW236" s="113"/>
      <c r="GX236" s="113"/>
      <c r="GY236" s="113"/>
      <c r="GZ236" s="113"/>
      <c r="HA236" s="46">
        <v>0</v>
      </c>
      <c r="HB236" s="113"/>
      <c r="HC236" s="113"/>
      <c r="HD236" s="113"/>
      <c r="HE236" s="113"/>
      <c r="HF236" s="113"/>
      <c r="HG236" s="46">
        <v>0</v>
      </c>
      <c r="HH236" s="113"/>
      <c r="HI236" s="113"/>
      <c r="HJ236" s="113"/>
      <c r="HK236" s="113"/>
      <c r="HL236" s="113"/>
      <c r="HM236" s="121"/>
      <c r="HN236" s="121"/>
      <c r="LM236" t="str">
        <v/>
      </c>
      <c r="LN236" t="str">
        <v/>
      </c>
      <c r="LO236" t="str">
        <v/>
      </c>
    </row>
    <row r="237" spans="30:327">
      <c r="AD237" t="s">
        <v>113</v>
      </c>
      <c r="AE237" t="s">
        <v>23124</v>
      </c>
      <c r="AF237" s="46">
        <v>0</v>
      </c>
      <c r="AG237" s="113"/>
      <c r="AH237" s="113"/>
      <c r="AI237" s="113"/>
      <c r="AJ237" s="113"/>
      <c r="AK237" s="113"/>
      <c r="AL237" s="46">
        <v>0</v>
      </c>
      <c r="AM237" s="113"/>
      <c r="AN237" s="113"/>
      <c r="AO237" s="113"/>
      <c r="AP237" s="113"/>
      <c r="AQ237" s="113"/>
      <c r="AR237" s="46">
        <v>0</v>
      </c>
      <c r="AS237" s="113"/>
      <c r="AT237" s="113"/>
      <c r="AU237" s="113"/>
      <c r="AV237" s="113"/>
      <c r="AW237" s="113"/>
      <c r="AX237" s="46">
        <v>0</v>
      </c>
      <c r="AY237" s="113"/>
      <c r="AZ237" s="113"/>
      <c r="BA237" s="113"/>
      <c r="BB237" s="113"/>
      <c r="BC237" s="113"/>
      <c r="BD237" s="46">
        <v>0</v>
      </c>
      <c r="BE237" s="113"/>
      <c r="BF237" s="113"/>
      <c r="BG237" s="113"/>
      <c r="BH237" s="113"/>
      <c r="BI237" s="113"/>
      <c r="BJ237" s="46">
        <v>0</v>
      </c>
      <c r="BK237" s="113"/>
      <c r="BL237" s="113"/>
      <c r="BM237" s="113"/>
      <c r="BN237" s="113"/>
      <c r="BO237" s="113"/>
      <c r="BP237" s="121"/>
      <c r="BQ237" s="121"/>
      <c r="GA237" t="s">
        <v>113</v>
      </c>
      <c r="GB237" t="s">
        <v>23124</v>
      </c>
      <c r="GC237" s="46">
        <v>0</v>
      </c>
      <c r="GD237" s="113"/>
      <c r="GE237" s="113"/>
      <c r="GF237" s="113"/>
      <c r="GG237" s="113"/>
      <c r="GH237" s="113"/>
      <c r="GI237" s="46">
        <v>0</v>
      </c>
      <c r="GJ237" s="113"/>
      <c r="GK237" s="113"/>
      <c r="GL237" s="113"/>
      <c r="GM237" s="113"/>
      <c r="GN237" s="113"/>
      <c r="GO237" s="46">
        <v>0</v>
      </c>
      <c r="GP237" s="113"/>
      <c r="GQ237" s="113"/>
      <c r="GR237" s="113"/>
      <c r="GS237" s="113"/>
      <c r="GT237" s="113"/>
      <c r="GU237" s="46">
        <v>0</v>
      </c>
      <c r="GV237" s="113"/>
      <c r="GW237" s="113"/>
      <c r="GX237" s="113"/>
      <c r="GY237" s="113"/>
      <c r="GZ237" s="113"/>
      <c r="HA237" s="46">
        <v>0</v>
      </c>
      <c r="HB237" s="113"/>
      <c r="HC237" s="113"/>
      <c r="HD237" s="113"/>
      <c r="HE237" s="113"/>
      <c r="HF237" s="113"/>
      <c r="HG237" s="46">
        <v>0</v>
      </c>
      <c r="HH237" s="113"/>
      <c r="HI237" s="113"/>
      <c r="HJ237" s="113"/>
      <c r="HK237" s="113"/>
      <c r="HL237" s="113"/>
      <c r="HM237" s="121"/>
      <c r="HN237" s="121"/>
      <c r="LM237" t="str">
        <v/>
      </c>
      <c r="LN237" t="str">
        <v/>
      </c>
      <c r="LO237" t="str">
        <v/>
      </c>
    </row>
    <row r="238" spans="30:327">
      <c r="AD238" t="s">
        <v>113</v>
      </c>
      <c r="AE238" t="s">
        <v>23125</v>
      </c>
      <c r="AF238" s="46">
        <v>0</v>
      </c>
      <c r="AG238" s="113"/>
      <c r="AH238" s="113"/>
      <c r="AI238" s="113"/>
      <c r="AJ238" s="113"/>
      <c r="AK238" s="113"/>
      <c r="AL238" s="46">
        <v>0</v>
      </c>
      <c r="AM238" s="113"/>
      <c r="AN238" s="113"/>
      <c r="AO238" s="113"/>
      <c r="AP238" s="113"/>
      <c r="AQ238" s="113"/>
      <c r="AR238" s="46">
        <v>0</v>
      </c>
      <c r="AS238" s="113"/>
      <c r="AT238" s="113"/>
      <c r="AU238" s="113"/>
      <c r="AV238" s="113"/>
      <c r="AW238" s="113"/>
      <c r="AX238" s="46">
        <v>0</v>
      </c>
      <c r="AY238" s="113"/>
      <c r="AZ238" s="113"/>
      <c r="BA238" s="113"/>
      <c r="BB238" s="113"/>
      <c r="BC238" s="113"/>
      <c r="BD238" s="46">
        <v>0</v>
      </c>
      <c r="BE238" s="113"/>
      <c r="BF238" s="113"/>
      <c r="BG238" s="113"/>
      <c r="BH238" s="113"/>
      <c r="BI238" s="113"/>
      <c r="BJ238" s="46">
        <v>0</v>
      </c>
      <c r="BK238" s="113"/>
      <c r="BL238" s="113"/>
      <c r="BM238" s="113"/>
      <c r="BN238" s="113"/>
      <c r="BO238" s="113"/>
      <c r="BP238" s="121"/>
      <c r="BQ238" s="121"/>
      <c r="GA238" t="s">
        <v>113</v>
      </c>
      <c r="GB238" t="s">
        <v>23125</v>
      </c>
      <c r="GC238" s="46">
        <v>0</v>
      </c>
      <c r="GD238" s="113"/>
      <c r="GE238" s="113"/>
      <c r="GF238" s="113"/>
      <c r="GG238" s="113"/>
      <c r="GH238" s="113"/>
      <c r="GI238" s="46">
        <v>0</v>
      </c>
      <c r="GJ238" s="113"/>
      <c r="GK238" s="113"/>
      <c r="GL238" s="113"/>
      <c r="GM238" s="113"/>
      <c r="GN238" s="113"/>
      <c r="GO238" s="46">
        <v>0</v>
      </c>
      <c r="GP238" s="113"/>
      <c r="GQ238" s="113"/>
      <c r="GR238" s="113"/>
      <c r="GS238" s="113"/>
      <c r="GT238" s="113"/>
      <c r="GU238" s="46">
        <v>0</v>
      </c>
      <c r="GV238" s="113"/>
      <c r="GW238" s="113"/>
      <c r="GX238" s="113"/>
      <c r="GY238" s="113"/>
      <c r="GZ238" s="113"/>
      <c r="HA238" s="46">
        <v>0</v>
      </c>
      <c r="HB238" s="113"/>
      <c r="HC238" s="113"/>
      <c r="HD238" s="113"/>
      <c r="HE238" s="113"/>
      <c r="HF238" s="113"/>
      <c r="HG238" s="46">
        <v>0</v>
      </c>
      <c r="HH238" s="113"/>
      <c r="HI238" s="113"/>
      <c r="HJ238" s="113"/>
      <c r="HK238" s="113"/>
      <c r="HL238" s="113"/>
      <c r="HM238" s="121"/>
      <c r="HN238" s="121"/>
      <c r="LM238" t="str">
        <v/>
      </c>
      <c r="LN238" t="str">
        <v/>
      </c>
      <c r="LO238" t="str">
        <v/>
      </c>
    </row>
    <row r="239" spans="30:327">
      <c r="AD239" t="s">
        <v>113</v>
      </c>
      <c r="AE239" t="s">
        <v>23126</v>
      </c>
      <c r="AF239" s="46">
        <v>0</v>
      </c>
      <c r="AG239" s="113"/>
      <c r="AH239" s="113"/>
      <c r="AI239" s="113"/>
      <c r="AJ239" s="113"/>
      <c r="AK239" s="113"/>
      <c r="AL239" s="46">
        <v>0</v>
      </c>
      <c r="AM239" s="113"/>
      <c r="AN239" s="113"/>
      <c r="AO239" s="113"/>
      <c r="AP239" s="113"/>
      <c r="AQ239" s="113"/>
      <c r="AR239" s="46">
        <v>0</v>
      </c>
      <c r="AS239" s="113"/>
      <c r="AT239" s="113"/>
      <c r="AU239" s="113"/>
      <c r="AV239" s="113"/>
      <c r="AW239" s="113"/>
      <c r="AX239" s="46">
        <v>0</v>
      </c>
      <c r="AY239" s="113"/>
      <c r="AZ239" s="113"/>
      <c r="BA239" s="113"/>
      <c r="BB239" s="113"/>
      <c r="BC239" s="113"/>
      <c r="BD239" s="46">
        <v>0</v>
      </c>
      <c r="BE239" s="113"/>
      <c r="BF239" s="113"/>
      <c r="BG239" s="113"/>
      <c r="BH239" s="113"/>
      <c r="BI239" s="113"/>
      <c r="BJ239" s="46">
        <v>0</v>
      </c>
      <c r="BK239" s="113"/>
      <c r="BL239" s="113"/>
      <c r="BM239" s="113"/>
      <c r="BN239" s="113"/>
      <c r="BO239" s="113"/>
      <c r="BP239" s="121"/>
      <c r="BQ239" s="121"/>
      <c r="GA239" t="s">
        <v>113</v>
      </c>
      <c r="GB239" t="s">
        <v>23126</v>
      </c>
      <c r="GC239" s="46">
        <v>0</v>
      </c>
      <c r="GD239" s="113"/>
      <c r="GE239" s="113"/>
      <c r="GF239" s="113"/>
      <c r="GG239" s="113"/>
      <c r="GH239" s="113"/>
      <c r="GI239" s="46">
        <v>0</v>
      </c>
      <c r="GJ239" s="113"/>
      <c r="GK239" s="113"/>
      <c r="GL239" s="113"/>
      <c r="GM239" s="113"/>
      <c r="GN239" s="113"/>
      <c r="GO239" s="46">
        <v>0</v>
      </c>
      <c r="GP239" s="113"/>
      <c r="GQ239" s="113"/>
      <c r="GR239" s="113"/>
      <c r="GS239" s="113"/>
      <c r="GT239" s="113"/>
      <c r="GU239" s="46">
        <v>0</v>
      </c>
      <c r="GV239" s="113"/>
      <c r="GW239" s="113"/>
      <c r="GX239" s="113"/>
      <c r="GY239" s="113"/>
      <c r="GZ239" s="113"/>
      <c r="HA239" s="46">
        <v>0</v>
      </c>
      <c r="HB239" s="113"/>
      <c r="HC239" s="113"/>
      <c r="HD239" s="113"/>
      <c r="HE239" s="113"/>
      <c r="HF239" s="113"/>
      <c r="HG239" s="46">
        <v>0</v>
      </c>
      <c r="HH239" s="113"/>
      <c r="HI239" s="113"/>
      <c r="HJ239" s="113"/>
      <c r="HK239" s="113"/>
      <c r="HL239" s="113"/>
      <c r="HM239" s="121"/>
      <c r="HN239" s="121"/>
      <c r="LM239" t="str">
        <v/>
      </c>
      <c r="LN239" t="str">
        <v/>
      </c>
      <c r="LO239" t="str">
        <v/>
      </c>
    </row>
    <row r="240" spans="30:327">
      <c r="AD240" t="s">
        <v>113</v>
      </c>
      <c r="AE240" t="s">
        <v>23127</v>
      </c>
      <c r="AF240" s="46">
        <v>0</v>
      </c>
      <c r="AG240" s="113"/>
      <c r="AH240" s="113"/>
      <c r="AI240" s="113"/>
      <c r="AJ240" s="113"/>
      <c r="AK240" s="113"/>
      <c r="AL240" s="46">
        <v>0</v>
      </c>
      <c r="AM240" s="113"/>
      <c r="AN240" s="113"/>
      <c r="AO240" s="113"/>
      <c r="AP240" s="113"/>
      <c r="AQ240" s="113"/>
      <c r="AR240" s="46">
        <v>0</v>
      </c>
      <c r="AS240" s="113"/>
      <c r="AT240" s="113"/>
      <c r="AU240" s="113"/>
      <c r="AV240" s="113"/>
      <c r="AW240" s="113"/>
      <c r="AX240" s="46">
        <v>0</v>
      </c>
      <c r="AY240" s="113"/>
      <c r="AZ240" s="113"/>
      <c r="BA240" s="113"/>
      <c r="BB240" s="113"/>
      <c r="BC240" s="113"/>
      <c r="BD240" s="46">
        <v>0</v>
      </c>
      <c r="BE240" s="113"/>
      <c r="BF240" s="113"/>
      <c r="BG240" s="113"/>
      <c r="BH240" s="113"/>
      <c r="BI240" s="113"/>
      <c r="BJ240" s="46">
        <v>0</v>
      </c>
      <c r="BK240" s="113"/>
      <c r="BL240" s="113"/>
      <c r="BM240" s="113"/>
      <c r="BN240" s="113"/>
      <c r="BO240" s="113"/>
      <c r="BP240" s="121"/>
      <c r="BQ240" s="121"/>
      <c r="GA240" t="s">
        <v>113</v>
      </c>
      <c r="GB240" t="s">
        <v>23127</v>
      </c>
      <c r="GC240" s="46">
        <v>0</v>
      </c>
      <c r="GD240" s="113"/>
      <c r="GE240" s="113"/>
      <c r="GF240" s="113"/>
      <c r="GG240" s="113"/>
      <c r="GH240" s="113"/>
      <c r="GI240" s="46">
        <v>0</v>
      </c>
      <c r="GJ240" s="113"/>
      <c r="GK240" s="113"/>
      <c r="GL240" s="113"/>
      <c r="GM240" s="113"/>
      <c r="GN240" s="113"/>
      <c r="GO240" s="46">
        <v>0</v>
      </c>
      <c r="GP240" s="113"/>
      <c r="GQ240" s="113"/>
      <c r="GR240" s="113"/>
      <c r="GS240" s="113"/>
      <c r="GT240" s="113"/>
      <c r="GU240" s="46">
        <v>0</v>
      </c>
      <c r="GV240" s="113"/>
      <c r="GW240" s="113"/>
      <c r="GX240" s="113"/>
      <c r="GY240" s="113"/>
      <c r="GZ240" s="113"/>
      <c r="HA240" s="46">
        <v>0</v>
      </c>
      <c r="HB240" s="113"/>
      <c r="HC240" s="113"/>
      <c r="HD240" s="113"/>
      <c r="HE240" s="113"/>
      <c r="HF240" s="113"/>
      <c r="HG240" s="46">
        <v>0</v>
      </c>
      <c r="HH240" s="113"/>
      <c r="HI240" s="113"/>
      <c r="HJ240" s="113"/>
      <c r="HK240" s="113"/>
      <c r="HL240" s="113"/>
      <c r="HM240" s="121"/>
      <c r="HN240" s="121"/>
      <c r="LM240" t="str">
        <v/>
      </c>
      <c r="LN240" t="str">
        <v/>
      </c>
      <c r="LO240" t="str">
        <v/>
      </c>
    </row>
    <row r="241" spans="30:327">
      <c r="AD241" t="s">
        <v>113</v>
      </c>
      <c r="AE241" t="s">
        <v>23128</v>
      </c>
      <c r="AF241" s="46">
        <v>0</v>
      </c>
      <c r="AG241" s="113"/>
      <c r="AH241" s="113"/>
      <c r="AI241" s="113"/>
      <c r="AJ241" s="113"/>
      <c r="AK241" s="113"/>
      <c r="AL241" s="46">
        <v>0</v>
      </c>
      <c r="AM241" s="113"/>
      <c r="AN241" s="113"/>
      <c r="AO241" s="113"/>
      <c r="AP241" s="113"/>
      <c r="AQ241" s="113"/>
      <c r="AR241" s="46">
        <v>0</v>
      </c>
      <c r="AS241" s="113"/>
      <c r="AT241" s="113"/>
      <c r="AU241" s="113"/>
      <c r="AV241" s="113"/>
      <c r="AW241" s="113"/>
      <c r="AX241" s="46">
        <v>0</v>
      </c>
      <c r="AY241" s="113"/>
      <c r="AZ241" s="113"/>
      <c r="BA241" s="113"/>
      <c r="BB241" s="113"/>
      <c r="BC241" s="113"/>
      <c r="BD241" s="46">
        <v>0</v>
      </c>
      <c r="BE241" s="113"/>
      <c r="BF241" s="113"/>
      <c r="BG241" s="113"/>
      <c r="BH241" s="113"/>
      <c r="BI241" s="113"/>
      <c r="BJ241" s="46">
        <v>0</v>
      </c>
      <c r="BK241" s="113"/>
      <c r="BL241" s="113"/>
      <c r="BM241" s="113"/>
      <c r="BN241" s="113"/>
      <c r="BO241" s="113"/>
      <c r="BP241" s="121"/>
      <c r="BQ241" s="121"/>
      <c r="GA241" t="s">
        <v>113</v>
      </c>
      <c r="GB241" t="s">
        <v>23128</v>
      </c>
      <c r="GC241" s="46">
        <v>0</v>
      </c>
      <c r="GD241" s="113"/>
      <c r="GE241" s="113"/>
      <c r="GF241" s="113"/>
      <c r="GG241" s="113"/>
      <c r="GH241" s="113"/>
      <c r="GI241" s="46">
        <v>0</v>
      </c>
      <c r="GJ241" s="113"/>
      <c r="GK241" s="113"/>
      <c r="GL241" s="113"/>
      <c r="GM241" s="113"/>
      <c r="GN241" s="113"/>
      <c r="GO241" s="46">
        <v>0</v>
      </c>
      <c r="GP241" s="113"/>
      <c r="GQ241" s="113"/>
      <c r="GR241" s="113"/>
      <c r="GS241" s="113"/>
      <c r="GT241" s="113"/>
      <c r="GU241" s="46">
        <v>0</v>
      </c>
      <c r="GV241" s="113"/>
      <c r="GW241" s="113"/>
      <c r="GX241" s="113"/>
      <c r="GY241" s="113"/>
      <c r="GZ241" s="113"/>
      <c r="HA241" s="46">
        <v>0</v>
      </c>
      <c r="HB241" s="113"/>
      <c r="HC241" s="113"/>
      <c r="HD241" s="113"/>
      <c r="HE241" s="113"/>
      <c r="HF241" s="113"/>
      <c r="HG241" s="46">
        <v>0</v>
      </c>
      <c r="HH241" s="113"/>
      <c r="HI241" s="113"/>
      <c r="HJ241" s="113"/>
      <c r="HK241" s="113"/>
      <c r="HL241" s="113"/>
      <c r="HM241" s="121"/>
      <c r="HN241" s="121"/>
      <c r="LM241" t="str">
        <v/>
      </c>
      <c r="LN241" t="str">
        <v/>
      </c>
      <c r="LO241" t="str">
        <v/>
      </c>
    </row>
    <row r="242" spans="30:327">
      <c r="AD242" t="s">
        <v>113</v>
      </c>
      <c r="AE242" t="s">
        <v>23129</v>
      </c>
      <c r="AF242" s="46">
        <v>0</v>
      </c>
      <c r="AG242" s="113"/>
      <c r="AH242" s="113"/>
      <c r="AI242" s="113"/>
      <c r="AJ242" s="113"/>
      <c r="AK242" s="113"/>
      <c r="AL242" s="46">
        <v>0</v>
      </c>
      <c r="AM242" s="113"/>
      <c r="AN242" s="113"/>
      <c r="AO242" s="113"/>
      <c r="AP242" s="113"/>
      <c r="AQ242" s="113"/>
      <c r="AR242" s="46">
        <v>0</v>
      </c>
      <c r="AS242" s="113"/>
      <c r="AT242" s="113"/>
      <c r="AU242" s="113"/>
      <c r="AV242" s="113"/>
      <c r="AW242" s="113"/>
      <c r="AX242" s="46">
        <v>0</v>
      </c>
      <c r="AY242" s="113"/>
      <c r="AZ242" s="113"/>
      <c r="BA242" s="113"/>
      <c r="BB242" s="113"/>
      <c r="BC242" s="113"/>
      <c r="BD242" s="46">
        <v>0</v>
      </c>
      <c r="BE242" s="113"/>
      <c r="BF242" s="113"/>
      <c r="BG242" s="113"/>
      <c r="BH242" s="113"/>
      <c r="BI242" s="113"/>
      <c r="BJ242" s="46">
        <v>0</v>
      </c>
      <c r="BK242" s="113"/>
      <c r="BL242" s="113"/>
      <c r="BM242" s="113"/>
      <c r="BN242" s="113"/>
      <c r="BO242" s="113"/>
      <c r="BP242" s="121"/>
      <c r="BQ242" s="121"/>
      <c r="GA242" t="s">
        <v>113</v>
      </c>
      <c r="GB242" t="s">
        <v>23129</v>
      </c>
      <c r="GC242" s="46">
        <v>0</v>
      </c>
      <c r="GD242" s="113"/>
      <c r="GE242" s="113"/>
      <c r="GF242" s="113"/>
      <c r="GG242" s="113"/>
      <c r="GH242" s="113"/>
      <c r="GI242" s="46">
        <v>0</v>
      </c>
      <c r="GJ242" s="113"/>
      <c r="GK242" s="113"/>
      <c r="GL242" s="113"/>
      <c r="GM242" s="113"/>
      <c r="GN242" s="113"/>
      <c r="GO242" s="46">
        <v>0</v>
      </c>
      <c r="GP242" s="113"/>
      <c r="GQ242" s="113"/>
      <c r="GR242" s="113"/>
      <c r="GS242" s="113"/>
      <c r="GT242" s="113"/>
      <c r="GU242" s="46">
        <v>0</v>
      </c>
      <c r="GV242" s="113"/>
      <c r="GW242" s="113"/>
      <c r="GX242" s="113"/>
      <c r="GY242" s="113"/>
      <c r="GZ242" s="113"/>
      <c r="HA242" s="46">
        <v>0</v>
      </c>
      <c r="HB242" s="113"/>
      <c r="HC242" s="113"/>
      <c r="HD242" s="113"/>
      <c r="HE242" s="113"/>
      <c r="HF242" s="113"/>
      <c r="HG242" s="46">
        <v>0</v>
      </c>
      <c r="HH242" s="113"/>
      <c r="HI242" s="113"/>
      <c r="HJ242" s="113"/>
      <c r="HK242" s="113"/>
      <c r="HL242" s="113"/>
      <c r="HM242" s="121"/>
      <c r="HN242" s="121"/>
      <c r="LM242" t="str">
        <v/>
      </c>
      <c r="LN242" t="str">
        <v/>
      </c>
      <c r="LO242" t="str">
        <v/>
      </c>
    </row>
    <row r="243" spans="30:327">
      <c r="AD243" t="s">
        <v>113</v>
      </c>
      <c r="AE243" t="s">
        <v>23130</v>
      </c>
      <c r="AF243" s="46">
        <v>0</v>
      </c>
      <c r="AG243" s="113"/>
      <c r="AH243" s="113"/>
      <c r="AI243" s="113"/>
      <c r="AJ243" s="113"/>
      <c r="AK243" s="113"/>
      <c r="AL243" s="46">
        <v>0</v>
      </c>
      <c r="AM243" s="113"/>
      <c r="AN243" s="113"/>
      <c r="AO243" s="113"/>
      <c r="AP243" s="113"/>
      <c r="AQ243" s="113"/>
      <c r="AR243" s="46">
        <v>0</v>
      </c>
      <c r="AS243" s="113"/>
      <c r="AT243" s="113"/>
      <c r="AU243" s="113"/>
      <c r="AV243" s="113"/>
      <c r="AW243" s="113"/>
      <c r="AX243" s="46">
        <v>0</v>
      </c>
      <c r="AY243" s="113"/>
      <c r="AZ243" s="113"/>
      <c r="BA243" s="113"/>
      <c r="BB243" s="113"/>
      <c r="BC243" s="113"/>
      <c r="BD243" s="46">
        <v>0</v>
      </c>
      <c r="BE243" s="113"/>
      <c r="BF243" s="113"/>
      <c r="BG243" s="113"/>
      <c r="BH243" s="113"/>
      <c r="BI243" s="113"/>
      <c r="BJ243" s="46">
        <v>0</v>
      </c>
      <c r="BK243" s="113"/>
      <c r="BL243" s="113"/>
      <c r="BM243" s="113"/>
      <c r="BN243" s="113"/>
      <c r="BO243" s="113"/>
      <c r="BP243" s="121"/>
      <c r="BQ243" s="121"/>
      <c r="GA243" t="s">
        <v>113</v>
      </c>
      <c r="GB243" t="s">
        <v>23130</v>
      </c>
      <c r="GC243" s="46">
        <v>0</v>
      </c>
      <c r="GD243" s="113"/>
      <c r="GE243" s="113"/>
      <c r="GF243" s="113"/>
      <c r="GG243" s="113"/>
      <c r="GH243" s="113"/>
      <c r="GI243" s="46">
        <v>0</v>
      </c>
      <c r="GJ243" s="113"/>
      <c r="GK243" s="113"/>
      <c r="GL243" s="113"/>
      <c r="GM243" s="113"/>
      <c r="GN243" s="113"/>
      <c r="GO243" s="46">
        <v>0</v>
      </c>
      <c r="GP243" s="113"/>
      <c r="GQ243" s="113"/>
      <c r="GR243" s="113"/>
      <c r="GS243" s="113"/>
      <c r="GT243" s="113"/>
      <c r="GU243" s="46">
        <v>0</v>
      </c>
      <c r="GV243" s="113"/>
      <c r="GW243" s="113"/>
      <c r="GX243" s="113"/>
      <c r="GY243" s="113"/>
      <c r="GZ243" s="113"/>
      <c r="HA243" s="46">
        <v>0</v>
      </c>
      <c r="HB243" s="113"/>
      <c r="HC243" s="113"/>
      <c r="HD243" s="113"/>
      <c r="HE243" s="113"/>
      <c r="HF243" s="113"/>
      <c r="HG243" s="46">
        <v>0</v>
      </c>
      <c r="HH243" s="113"/>
      <c r="HI243" s="113"/>
      <c r="HJ243" s="113"/>
      <c r="HK243" s="113"/>
      <c r="HL243" s="113"/>
      <c r="HM243" s="121"/>
      <c r="HN243" s="121"/>
      <c r="LM243" t="str">
        <v/>
      </c>
      <c r="LN243" t="str">
        <v/>
      </c>
      <c r="LO243" t="str">
        <v/>
      </c>
    </row>
    <row r="244" spans="30:327">
      <c r="AD244" t="s">
        <v>113</v>
      </c>
      <c r="AE244" t="s">
        <v>23131</v>
      </c>
      <c r="AF244" s="46">
        <v>0</v>
      </c>
      <c r="AG244" s="113"/>
      <c r="AH244" s="113"/>
      <c r="AI244" s="113"/>
      <c r="AJ244" s="113"/>
      <c r="AK244" s="113"/>
      <c r="AL244" s="46">
        <v>0</v>
      </c>
      <c r="AM244" s="113"/>
      <c r="AN244" s="113"/>
      <c r="AO244" s="113"/>
      <c r="AP244" s="113"/>
      <c r="AQ244" s="113"/>
      <c r="AR244" s="46">
        <v>0</v>
      </c>
      <c r="AS244" s="113"/>
      <c r="AT244" s="113"/>
      <c r="AU244" s="113"/>
      <c r="AV244" s="113"/>
      <c r="AW244" s="113"/>
      <c r="AX244" s="46">
        <v>0</v>
      </c>
      <c r="AY244" s="113"/>
      <c r="AZ244" s="113"/>
      <c r="BA244" s="113"/>
      <c r="BB244" s="113"/>
      <c r="BC244" s="113"/>
      <c r="BD244" s="46">
        <v>0</v>
      </c>
      <c r="BE244" s="113"/>
      <c r="BF244" s="113"/>
      <c r="BG244" s="113"/>
      <c r="BH244" s="113"/>
      <c r="BI244" s="113"/>
      <c r="BJ244" s="46">
        <v>0</v>
      </c>
      <c r="BK244" s="113"/>
      <c r="BL244" s="113"/>
      <c r="BM244" s="113"/>
      <c r="BN244" s="113"/>
      <c r="BO244" s="113"/>
      <c r="BP244" s="121"/>
      <c r="BQ244" s="121"/>
      <c r="GA244" t="s">
        <v>113</v>
      </c>
      <c r="GB244" t="s">
        <v>23131</v>
      </c>
      <c r="GC244" s="46">
        <v>0</v>
      </c>
      <c r="GD244" s="113"/>
      <c r="GE244" s="113"/>
      <c r="GF244" s="113"/>
      <c r="GG244" s="113"/>
      <c r="GH244" s="113"/>
      <c r="GI244" s="46">
        <v>0</v>
      </c>
      <c r="GJ244" s="113"/>
      <c r="GK244" s="113"/>
      <c r="GL244" s="113"/>
      <c r="GM244" s="113"/>
      <c r="GN244" s="113"/>
      <c r="GO244" s="46">
        <v>0</v>
      </c>
      <c r="GP244" s="113"/>
      <c r="GQ244" s="113"/>
      <c r="GR244" s="113"/>
      <c r="GS244" s="113"/>
      <c r="GT244" s="113"/>
      <c r="GU244" s="46">
        <v>0</v>
      </c>
      <c r="GV244" s="113"/>
      <c r="GW244" s="113"/>
      <c r="GX244" s="113"/>
      <c r="GY244" s="113"/>
      <c r="GZ244" s="113"/>
      <c r="HA244" s="46">
        <v>0</v>
      </c>
      <c r="HB244" s="113"/>
      <c r="HC244" s="113"/>
      <c r="HD244" s="113"/>
      <c r="HE244" s="113"/>
      <c r="HF244" s="113"/>
      <c r="HG244" s="46">
        <v>0</v>
      </c>
      <c r="HH244" s="113"/>
      <c r="HI244" s="113"/>
      <c r="HJ244" s="113"/>
      <c r="HK244" s="113"/>
      <c r="HL244" s="113"/>
      <c r="HM244" s="121"/>
      <c r="HN244" s="121"/>
      <c r="LM244" t="str">
        <v/>
      </c>
      <c r="LN244" t="str">
        <v/>
      </c>
      <c r="LO244" t="str">
        <v/>
      </c>
    </row>
    <row r="245" spans="30:327">
      <c r="AD245" t="s">
        <v>113</v>
      </c>
      <c r="AE245" t="s">
        <v>23132</v>
      </c>
      <c r="AF245" s="46">
        <v>0</v>
      </c>
      <c r="AG245" s="113"/>
      <c r="AH245" s="113"/>
      <c r="AI245" s="113"/>
      <c r="AJ245" s="113"/>
      <c r="AK245" s="113"/>
      <c r="AL245" s="46">
        <v>0</v>
      </c>
      <c r="AM245" s="113"/>
      <c r="AN245" s="113"/>
      <c r="AO245" s="113"/>
      <c r="AP245" s="113"/>
      <c r="AQ245" s="113"/>
      <c r="AR245" s="46">
        <v>0</v>
      </c>
      <c r="AS245" s="113"/>
      <c r="AT245" s="113"/>
      <c r="AU245" s="113"/>
      <c r="AV245" s="113"/>
      <c r="AW245" s="113"/>
      <c r="AX245" s="46">
        <v>0</v>
      </c>
      <c r="AY245" s="113"/>
      <c r="AZ245" s="113"/>
      <c r="BA245" s="113"/>
      <c r="BB245" s="113"/>
      <c r="BC245" s="113"/>
      <c r="BD245" s="46">
        <v>0</v>
      </c>
      <c r="BE245" s="113"/>
      <c r="BF245" s="113"/>
      <c r="BG245" s="113"/>
      <c r="BH245" s="113"/>
      <c r="BI245" s="113"/>
      <c r="BJ245" s="46">
        <v>0</v>
      </c>
      <c r="BK245" s="113"/>
      <c r="BL245" s="113"/>
      <c r="BM245" s="113"/>
      <c r="BN245" s="113"/>
      <c r="BO245" s="113"/>
      <c r="BP245" s="121"/>
      <c r="BQ245" s="121"/>
      <c r="GA245" t="s">
        <v>113</v>
      </c>
      <c r="GB245" t="s">
        <v>23132</v>
      </c>
      <c r="GC245" s="46">
        <v>0</v>
      </c>
      <c r="GD245" s="113"/>
      <c r="GE245" s="113"/>
      <c r="GF245" s="113"/>
      <c r="GG245" s="113"/>
      <c r="GH245" s="113"/>
      <c r="GI245" s="46">
        <v>0</v>
      </c>
      <c r="GJ245" s="113"/>
      <c r="GK245" s="113"/>
      <c r="GL245" s="113"/>
      <c r="GM245" s="113"/>
      <c r="GN245" s="113"/>
      <c r="GO245" s="46">
        <v>0</v>
      </c>
      <c r="GP245" s="113"/>
      <c r="GQ245" s="113"/>
      <c r="GR245" s="113"/>
      <c r="GS245" s="113"/>
      <c r="GT245" s="113"/>
      <c r="GU245" s="46">
        <v>0</v>
      </c>
      <c r="GV245" s="113"/>
      <c r="GW245" s="113"/>
      <c r="GX245" s="113"/>
      <c r="GY245" s="113"/>
      <c r="GZ245" s="113"/>
      <c r="HA245" s="46">
        <v>0</v>
      </c>
      <c r="HB245" s="113"/>
      <c r="HC245" s="113"/>
      <c r="HD245" s="113"/>
      <c r="HE245" s="113"/>
      <c r="HF245" s="113"/>
      <c r="HG245" s="46">
        <v>0</v>
      </c>
      <c r="HH245" s="113"/>
      <c r="HI245" s="113"/>
      <c r="HJ245" s="113"/>
      <c r="HK245" s="113"/>
      <c r="HL245" s="113"/>
      <c r="HM245" s="121"/>
      <c r="HN245" s="121"/>
      <c r="LM245" t="str">
        <v/>
      </c>
      <c r="LN245" t="str">
        <v/>
      </c>
      <c r="LO245" t="str">
        <v/>
      </c>
    </row>
    <row r="246" spans="30:327">
      <c r="AD246" t="s">
        <v>113</v>
      </c>
      <c r="AE246" t="s">
        <v>23133</v>
      </c>
      <c r="AF246" s="46">
        <v>0</v>
      </c>
      <c r="AG246" s="113"/>
      <c r="AH246" s="113"/>
      <c r="AI246" s="113"/>
      <c r="AJ246" s="113"/>
      <c r="AK246" s="113"/>
      <c r="AL246" s="46">
        <v>0</v>
      </c>
      <c r="AM246" s="113"/>
      <c r="AN246" s="113"/>
      <c r="AO246" s="113"/>
      <c r="AP246" s="113"/>
      <c r="AQ246" s="113"/>
      <c r="AR246" s="46">
        <v>0</v>
      </c>
      <c r="AS246" s="113"/>
      <c r="AT246" s="113"/>
      <c r="AU246" s="113"/>
      <c r="AV246" s="113"/>
      <c r="AW246" s="113"/>
      <c r="AX246" s="46">
        <v>0</v>
      </c>
      <c r="AY246" s="113"/>
      <c r="AZ246" s="113"/>
      <c r="BA246" s="113"/>
      <c r="BB246" s="113"/>
      <c r="BC246" s="113"/>
      <c r="BD246" s="46">
        <v>0</v>
      </c>
      <c r="BE246" s="113"/>
      <c r="BF246" s="113"/>
      <c r="BG246" s="113"/>
      <c r="BH246" s="113"/>
      <c r="BI246" s="113"/>
      <c r="BJ246" s="46">
        <v>0</v>
      </c>
      <c r="BK246" s="113"/>
      <c r="BL246" s="113"/>
      <c r="BM246" s="113"/>
      <c r="BN246" s="113"/>
      <c r="BO246" s="113"/>
      <c r="BP246" s="121"/>
      <c r="BQ246" s="121"/>
      <c r="GA246" t="s">
        <v>113</v>
      </c>
      <c r="GB246" t="s">
        <v>23133</v>
      </c>
      <c r="GC246" s="46">
        <v>0</v>
      </c>
      <c r="GD246" s="113"/>
      <c r="GE246" s="113"/>
      <c r="GF246" s="113"/>
      <c r="GG246" s="113"/>
      <c r="GH246" s="113"/>
      <c r="GI246" s="46">
        <v>0</v>
      </c>
      <c r="GJ246" s="113"/>
      <c r="GK246" s="113"/>
      <c r="GL246" s="113"/>
      <c r="GM246" s="113"/>
      <c r="GN246" s="113"/>
      <c r="GO246" s="46">
        <v>0</v>
      </c>
      <c r="GP246" s="113"/>
      <c r="GQ246" s="113"/>
      <c r="GR246" s="113"/>
      <c r="GS246" s="113"/>
      <c r="GT246" s="113"/>
      <c r="GU246" s="46">
        <v>0</v>
      </c>
      <c r="GV246" s="113"/>
      <c r="GW246" s="113"/>
      <c r="GX246" s="113"/>
      <c r="GY246" s="113"/>
      <c r="GZ246" s="113"/>
      <c r="HA246" s="46">
        <v>0</v>
      </c>
      <c r="HB246" s="113"/>
      <c r="HC246" s="113"/>
      <c r="HD246" s="113"/>
      <c r="HE246" s="113"/>
      <c r="HF246" s="113"/>
      <c r="HG246" s="46">
        <v>0</v>
      </c>
      <c r="HH246" s="113"/>
      <c r="HI246" s="113"/>
      <c r="HJ246" s="113"/>
      <c r="HK246" s="113"/>
      <c r="HL246" s="113"/>
      <c r="HM246" s="121"/>
      <c r="HN246" s="121"/>
      <c r="LM246" t="str">
        <v/>
      </c>
      <c r="LN246" t="str">
        <v/>
      </c>
      <c r="LO246" t="str">
        <v/>
      </c>
    </row>
    <row r="247" spans="30:327">
      <c r="AD247" t="s">
        <v>113</v>
      </c>
      <c r="AE247" t="s">
        <v>23134</v>
      </c>
      <c r="AF247" s="46">
        <v>0</v>
      </c>
      <c r="AG247" s="113"/>
      <c r="AH247" s="113"/>
      <c r="AI247" s="113"/>
      <c r="AJ247" s="113"/>
      <c r="AK247" s="113"/>
      <c r="AL247" s="46">
        <v>0</v>
      </c>
      <c r="AM247" s="113"/>
      <c r="AN247" s="113"/>
      <c r="AO247" s="113"/>
      <c r="AP247" s="113"/>
      <c r="AQ247" s="113"/>
      <c r="AR247" s="46">
        <v>0</v>
      </c>
      <c r="AS247" s="113"/>
      <c r="AT247" s="113"/>
      <c r="AU247" s="113"/>
      <c r="AV247" s="113"/>
      <c r="AW247" s="113"/>
      <c r="AX247" s="46">
        <v>0</v>
      </c>
      <c r="AY247" s="113"/>
      <c r="AZ247" s="113"/>
      <c r="BA247" s="113"/>
      <c r="BB247" s="113"/>
      <c r="BC247" s="113"/>
      <c r="BD247" s="46">
        <v>0</v>
      </c>
      <c r="BE247" s="113"/>
      <c r="BF247" s="113"/>
      <c r="BG247" s="113"/>
      <c r="BH247" s="113"/>
      <c r="BI247" s="113"/>
      <c r="BJ247" s="46">
        <v>0</v>
      </c>
      <c r="BK247" s="113"/>
      <c r="BL247" s="113"/>
      <c r="BM247" s="113"/>
      <c r="BN247" s="113"/>
      <c r="BO247" s="113"/>
      <c r="BP247" s="121"/>
      <c r="BQ247" s="121"/>
      <c r="GA247" t="s">
        <v>113</v>
      </c>
      <c r="GB247" t="s">
        <v>23134</v>
      </c>
      <c r="GC247" s="46">
        <v>0</v>
      </c>
      <c r="GD247" s="113"/>
      <c r="GE247" s="113"/>
      <c r="GF247" s="113"/>
      <c r="GG247" s="113"/>
      <c r="GH247" s="113"/>
      <c r="GI247" s="46">
        <v>0</v>
      </c>
      <c r="GJ247" s="113"/>
      <c r="GK247" s="113"/>
      <c r="GL247" s="113"/>
      <c r="GM247" s="113"/>
      <c r="GN247" s="113"/>
      <c r="GO247" s="46">
        <v>0</v>
      </c>
      <c r="GP247" s="113"/>
      <c r="GQ247" s="113"/>
      <c r="GR247" s="113"/>
      <c r="GS247" s="113"/>
      <c r="GT247" s="113"/>
      <c r="GU247" s="46">
        <v>0</v>
      </c>
      <c r="GV247" s="113"/>
      <c r="GW247" s="113"/>
      <c r="GX247" s="113"/>
      <c r="GY247" s="113"/>
      <c r="GZ247" s="113"/>
      <c r="HA247" s="46">
        <v>0</v>
      </c>
      <c r="HB247" s="113"/>
      <c r="HC247" s="113"/>
      <c r="HD247" s="113"/>
      <c r="HE247" s="113"/>
      <c r="HF247" s="113"/>
      <c r="HG247" s="46">
        <v>0</v>
      </c>
      <c r="HH247" s="113"/>
      <c r="HI247" s="113"/>
      <c r="HJ247" s="113"/>
      <c r="HK247" s="113"/>
      <c r="HL247" s="113"/>
      <c r="HM247" s="121"/>
      <c r="HN247" s="121"/>
      <c r="LM247" t="str">
        <v/>
      </c>
      <c r="LN247" t="str">
        <v/>
      </c>
      <c r="LO247" t="str">
        <v/>
      </c>
    </row>
    <row r="248" spans="30:327">
      <c r="AD248" t="s">
        <v>113</v>
      </c>
      <c r="AE248" t="s">
        <v>23135</v>
      </c>
      <c r="AF248" s="46">
        <v>0</v>
      </c>
      <c r="AG248" s="113"/>
      <c r="AH248" s="113"/>
      <c r="AI248" s="113"/>
      <c r="AJ248" s="113"/>
      <c r="AK248" s="113"/>
      <c r="AL248" s="46">
        <v>0</v>
      </c>
      <c r="AM248" s="113"/>
      <c r="AN248" s="113"/>
      <c r="AO248" s="113"/>
      <c r="AP248" s="113"/>
      <c r="AQ248" s="113"/>
      <c r="AR248" s="46">
        <v>0</v>
      </c>
      <c r="AS248" s="113"/>
      <c r="AT248" s="113"/>
      <c r="AU248" s="113"/>
      <c r="AV248" s="113"/>
      <c r="AW248" s="113"/>
      <c r="AX248" s="46">
        <v>0</v>
      </c>
      <c r="AY248" s="113"/>
      <c r="AZ248" s="113"/>
      <c r="BA248" s="113"/>
      <c r="BB248" s="113"/>
      <c r="BC248" s="113"/>
      <c r="BD248" s="46">
        <v>0</v>
      </c>
      <c r="BE248" s="113"/>
      <c r="BF248" s="113"/>
      <c r="BG248" s="113"/>
      <c r="BH248" s="113"/>
      <c r="BI248" s="113"/>
      <c r="BJ248" s="46">
        <v>0</v>
      </c>
      <c r="BK248" s="113"/>
      <c r="BL248" s="113"/>
      <c r="BM248" s="113"/>
      <c r="BN248" s="113"/>
      <c r="BO248" s="113"/>
      <c r="BP248" s="121"/>
      <c r="BQ248" s="121"/>
      <c r="GA248" t="s">
        <v>113</v>
      </c>
      <c r="GB248" t="s">
        <v>23135</v>
      </c>
      <c r="GC248" s="46">
        <v>0</v>
      </c>
      <c r="GD248" s="113"/>
      <c r="GE248" s="113"/>
      <c r="GF248" s="113"/>
      <c r="GG248" s="113"/>
      <c r="GH248" s="113"/>
      <c r="GI248" s="46">
        <v>0</v>
      </c>
      <c r="GJ248" s="113"/>
      <c r="GK248" s="113"/>
      <c r="GL248" s="113"/>
      <c r="GM248" s="113"/>
      <c r="GN248" s="113"/>
      <c r="GO248" s="46">
        <v>0</v>
      </c>
      <c r="GP248" s="113"/>
      <c r="GQ248" s="113"/>
      <c r="GR248" s="113"/>
      <c r="GS248" s="113"/>
      <c r="GT248" s="113"/>
      <c r="GU248" s="46">
        <v>0</v>
      </c>
      <c r="GV248" s="113"/>
      <c r="GW248" s="113"/>
      <c r="GX248" s="113"/>
      <c r="GY248" s="113"/>
      <c r="GZ248" s="113"/>
      <c r="HA248" s="46">
        <v>0</v>
      </c>
      <c r="HB248" s="113"/>
      <c r="HC248" s="113"/>
      <c r="HD248" s="113"/>
      <c r="HE248" s="113"/>
      <c r="HF248" s="113"/>
      <c r="HG248" s="46">
        <v>0</v>
      </c>
      <c r="HH248" s="113"/>
      <c r="HI248" s="113"/>
      <c r="HJ248" s="113"/>
      <c r="HK248" s="113"/>
      <c r="HL248" s="113"/>
      <c r="HM248" s="121"/>
      <c r="HN248" s="121"/>
      <c r="LM248" t="str">
        <v/>
      </c>
      <c r="LN248" t="str">
        <v/>
      </c>
      <c r="LO248" t="str">
        <v/>
      </c>
    </row>
    <row r="249" spans="30:327">
      <c r="AD249" t="s">
        <v>113</v>
      </c>
      <c r="AE249" t="s">
        <v>23136</v>
      </c>
      <c r="AF249" s="46">
        <v>0</v>
      </c>
      <c r="AG249" s="113"/>
      <c r="AH249" s="113"/>
      <c r="AI249" s="113"/>
      <c r="AJ249" s="113"/>
      <c r="AK249" s="113"/>
      <c r="AL249" s="46">
        <v>0</v>
      </c>
      <c r="AM249" s="113"/>
      <c r="AN249" s="113"/>
      <c r="AO249" s="113"/>
      <c r="AP249" s="113"/>
      <c r="AQ249" s="113"/>
      <c r="AR249" s="46">
        <v>0</v>
      </c>
      <c r="AS249" s="113"/>
      <c r="AT249" s="113"/>
      <c r="AU249" s="113"/>
      <c r="AV249" s="113"/>
      <c r="AW249" s="113"/>
      <c r="AX249" s="46">
        <v>0</v>
      </c>
      <c r="AY249" s="113"/>
      <c r="AZ249" s="113"/>
      <c r="BA249" s="113"/>
      <c r="BB249" s="113"/>
      <c r="BC249" s="113"/>
      <c r="BD249" s="46">
        <v>0</v>
      </c>
      <c r="BE249" s="113"/>
      <c r="BF249" s="113"/>
      <c r="BG249" s="113"/>
      <c r="BH249" s="113"/>
      <c r="BI249" s="113"/>
      <c r="BJ249" s="46">
        <v>0</v>
      </c>
      <c r="BK249" s="113"/>
      <c r="BL249" s="113"/>
      <c r="BM249" s="113"/>
      <c r="BN249" s="113"/>
      <c r="BO249" s="113"/>
      <c r="BP249" s="121"/>
      <c r="BQ249" s="121"/>
      <c r="GA249" t="s">
        <v>113</v>
      </c>
      <c r="GB249" t="s">
        <v>23136</v>
      </c>
      <c r="GC249" s="46">
        <v>0</v>
      </c>
      <c r="GD249" s="113"/>
      <c r="GE249" s="113"/>
      <c r="GF249" s="113"/>
      <c r="GG249" s="113"/>
      <c r="GH249" s="113"/>
      <c r="GI249" s="46">
        <v>0</v>
      </c>
      <c r="GJ249" s="113"/>
      <c r="GK249" s="113"/>
      <c r="GL249" s="113"/>
      <c r="GM249" s="113"/>
      <c r="GN249" s="113"/>
      <c r="GO249" s="46">
        <v>0</v>
      </c>
      <c r="GP249" s="113"/>
      <c r="GQ249" s="113"/>
      <c r="GR249" s="113"/>
      <c r="GS249" s="113"/>
      <c r="GT249" s="113"/>
      <c r="GU249" s="46">
        <v>0</v>
      </c>
      <c r="GV249" s="113"/>
      <c r="GW249" s="113"/>
      <c r="GX249" s="113"/>
      <c r="GY249" s="113"/>
      <c r="GZ249" s="113"/>
      <c r="HA249" s="46">
        <v>0</v>
      </c>
      <c r="HB249" s="113"/>
      <c r="HC249" s="113"/>
      <c r="HD249" s="113"/>
      <c r="HE249" s="113"/>
      <c r="HF249" s="113"/>
      <c r="HG249" s="46">
        <v>0</v>
      </c>
      <c r="HH249" s="113"/>
      <c r="HI249" s="113"/>
      <c r="HJ249" s="113"/>
      <c r="HK249" s="113"/>
      <c r="HL249" s="113"/>
      <c r="HM249" s="121"/>
      <c r="HN249" s="121"/>
      <c r="LM249" t="str">
        <v/>
      </c>
      <c r="LN249" t="str">
        <v/>
      </c>
      <c r="LO249" t="str">
        <v/>
      </c>
    </row>
    <row r="250" spans="30:327">
      <c r="AD250" t="s">
        <v>113</v>
      </c>
      <c r="AE250" t="s">
        <v>23137</v>
      </c>
      <c r="AF250" s="46">
        <v>0</v>
      </c>
      <c r="AG250" s="113"/>
      <c r="AH250" s="113"/>
      <c r="AI250" s="113"/>
      <c r="AJ250" s="113"/>
      <c r="AK250" s="113"/>
      <c r="AL250" s="46">
        <v>0</v>
      </c>
      <c r="AM250" s="113"/>
      <c r="AN250" s="113"/>
      <c r="AO250" s="113"/>
      <c r="AP250" s="113"/>
      <c r="AQ250" s="113"/>
      <c r="AR250" s="46">
        <v>0</v>
      </c>
      <c r="AS250" s="113"/>
      <c r="AT250" s="113"/>
      <c r="AU250" s="113"/>
      <c r="AV250" s="113"/>
      <c r="AW250" s="113"/>
      <c r="AX250" s="46">
        <v>0</v>
      </c>
      <c r="AY250" s="113"/>
      <c r="AZ250" s="113"/>
      <c r="BA250" s="113"/>
      <c r="BB250" s="113"/>
      <c r="BC250" s="113"/>
      <c r="BD250" s="46">
        <v>0</v>
      </c>
      <c r="BE250" s="113"/>
      <c r="BF250" s="113"/>
      <c r="BG250" s="113"/>
      <c r="BH250" s="113"/>
      <c r="BI250" s="113"/>
      <c r="BJ250" s="46">
        <v>0</v>
      </c>
      <c r="BK250" s="113"/>
      <c r="BL250" s="113"/>
      <c r="BM250" s="113"/>
      <c r="BN250" s="113"/>
      <c r="BO250" s="113"/>
      <c r="BP250" s="121"/>
      <c r="BQ250" s="121"/>
      <c r="GA250" t="s">
        <v>113</v>
      </c>
      <c r="GB250" t="s">
        <v>23137</v>
      </c>
      <c r="GC250" s="46">
        <v>0</v>
      </c>
      <c r="GD250" s="113"/>
      <c r="GE250" s="113"/>
      <c r="GF250" s="113"/>
      <c r="GG250" s="113"/>
      <c r="GH250" s="113"/>
      <c r="GI250" s="46">
        <v>0</v>
      </c>
      <c r="GJ250" s="113"/>
      <c r="GK250" s="113"/>
      <c r="GL250" s="113"/>
      <c r="GM250" s="113"/>
      <c r="GN250" s="113"/>
      <c r="GO250" s="46">
        <v>0</v>
      </c>
      <c r="GP250" s="113"/>
      <c r="GQ250" s="113"/>
      <c r="GR250" s="113"/>
      <c r="GS250" s="113"/>
      <c r="GT250" s="113"/>
      <c r="GU250" s="46">
        <v>0</v>
      </c>
      <c r="GV250" s="113"/>
      <c r="GW250" s="113"/>
      <c r="GX250" s="113"/>
      <c r="GY250" s="113"/>
      <c r="GZ250" s="113"/>
      <c r="HA250" s="46">
        <v>0</v>
      </c>
      <c r="HB250" s="113"/>
      <c r="HC250" s="113"/>
      <c r="HD250" s="113"/>
      <c r="HE250" s="113"/>
      <c r="HF250" s="113"/>
      <c r="HG250" s="46">
        <v>0</v>
      </c>
      <c r="HH250" s="113"/>
      <c r="HI250" s="113"/>
      <c r="HJ250" s="113"/>
      <c r="HK250" s="113"/>
      <c r="HL250" s="113"/>
      <c r="HM250" s="121"/>
      <c r="HN250" s="121"/>
      <c r="LM250" t="str">
        <v/>
      </c>
      <c r="LN250" t="str">
        <v/>
      </c>
      <c r="LO250" t="str">
        <v/>
      </c>
    </row>
    <row r="251" spans="30:327">
      <c r="AD251" t="s">
        <v>113</v>
      </c>
      <c r="AE251" t="s">
        <v>23138</v>
      </c>
      <c r="AF251" s="46">
        <v>0</v>
      </c>
      <c r="AG251" s="113"/>
      <c r="AH251" s="113"/>
      <c r="AI251" s="113"/>
      <c r="AJ251" s="113"/>
      <c r="AK251" s="113"/>
      <c r="AL251" s="46">
        <v>0</v>
      </c>
      <c r="AM251" s="113"/>
      <c r="AN251" s="113"/>
      <c r="AO251" s="113"/>
      <c r="AP251" s="113"/>
      <c r="AQ251" s="113"/>
      <c r="AR251" s="46">
        <v>0</v>
      </c>
      <c r="AS251" s="113"/>
      <c r="AT251" s="113"/>
      <c r="AU251" s="113"/>
      <c r="AV251" s="113"/>
      <c r="AW251" s="113"/>
      <c r="AX251" s="46">
        <v>0</v>
      </c>
      <c r="AY251" s="113"/>
      <c r="AZ251" s="113"/>
      <c r="BA251" s="113"/>
      <c r="BB251" s="113"/>
      <c r="BC251" s="113"/>
      <c r="BD251" s="46">
        <v>0</v>
      </c>
      <c r="BE251" s="113"/>
      <c r="BF251" s="113"/>
      <c r="BG251" s="113"/>
      <c r="BH251" s="113"/>
      <c r="BI251" s="113"/>
      <c r="BJ251" s="46">
        <v>0</v>
      </c>
      <c r="BK251" s="113"/>
      <c r="BL251" s="113"/>
      <c r="BM251" s="113"/>
      <c r="BN251" s="113"/>
      <c r="BO251" s="113"/>
      <c r="BP251" s="121"/>
      <c r="BQ251" s="121"/>
      <c r="GA251" t="s">
        <v>113</v>
      </c>
      <c r="GB251" t="s">
        <v>23138</v>
      </c>
      <c r="GC251" s="46">
        <v>0</v>
      </c>
      <c r="GD251" s="113"/>
      <c r="GE251" s="113"/>
      <c r="GF251" s="113"/>
      <c r="GG251" s="113"/>
      <c r="GH251" s="113"/>
      <c r="GI251" s="46">
        <v>0</v>
      </c>
      <c r="GJ251" s="113"/>
      <c r="GK251" s="113"/>
      <c r="GL251" s="113"/>
      <c r="GM251" s="113"/>
      <c r="GN251" s="113"/>
      <c r="GO251" s="46">
        <v>0</v>
      </c>
      <c r="GP251" s="113"/>
      <c r="GQ251" s="113"/>
      <c r="GR251" s="113"/>
      <c r="GS251" s="113"/>
      <c r="GT251" s="113"/>
      <c r="GU251" s="46">
        <v>0</v>
      </c>
      <c r="GV251" s="113"/>
      <c r="GW251" s="113"/>
      <c r="GX251" s="113"/>
      <c r="GY251" s="113"/>
      <c r="GZ251" s="113"/>
      <c r="HA251" s="46">
        <v>0</v>
      </c>
      <c r="HB251" s="113"/>
      <c r="HC251" s="113"/>
      <c r="HD251" s="113"/>
      <c r="HE251" s="113"/>
      <c r="HF251" s="113"/>
      <c r="HG251" s="46">
        <v>0</v>
      </c>
      <c r="HH251" s="113"/>
      <c r="HI251" s="113"/>
      <c r="HJ251" s="113"/>
      <c r="HK251" s="113"/>
      <c r="HL251" s="113"/>
      <c r="HM251" s="121"/>
      <c r="HN251" s="121"/>
      <c r="LM251" t="str">
        <v/>
      </c>
      <c r="LN251" t="str">
        <v/>
      </c>
      <c r="LO251" t="str">
        <v/>
      </c>
    </row>
    <row r="252" spans="30:327">
      <c r="AD252" t="s">
        <v>113</v>
      </c>
      <c r="AE252" t="s">
        <v>23139</v>
      </c>
      <c r="AF252" s="46">
        <v>0</v>
      </c>
      <c r="AG252" s="113"/>
      <c r="AH252" s="113"/>
      <c r="AI252" s="113"/>
      <c r="AJ252" s="113"/>
      <c r="AK252" s="113"/>
      <c r="AL252" s="46">
        <v>0</v>
      </c>
      <c r="AM252" s="113"/>
      <c r="AN252" s="113"/>
      <c r="AO252" s="113"/>
      <c r="AP252" s="113"/>
      <c r="AQ252" s="113"/>
      <c r="AR252" s="46">
        <v>0</v>
      </c>
      <c r="AS252" s="113"/>
      <c r="AT252" s="113"/>
      <c r="AU252" s="113"/>
      <c r="AV252" s="113"/>
      <c r="AW252" s="113"/>
      <c r="AX252" s="46">
        <v>0</v>
      </c>
      <c r="AY252" s="113"/>
      <c r="AZ252" s="113"/>
      <c r="BA252" s="113"/>
      <c r="BB252" s="113"/>
      <c r="BC252" s="113"/>
      <c r="BD252" s="46">
        <v>0</v>
      </c>
      <c r="BE252" s="113"/>
      <c r="BF252" s="113"/>
      <c r="BG252" s="113"/>
      <c r="BH252" s="113"/>
      <c r="BI252" s="113"/>
      <c r="BJ252" s="46">
        <v>0</v>
      </c>
      <c r="BK252" s="113"/>
      <c r="BL252" s="113"/>
      <c r="BM252" s="113"/>
      <c r="BN252" s="113"/>
      <c r="BO252" s="113"/>
      <c r="BP252" s="121"/>
      <c r="BQ252" s="121"/>
      <c r="GA252" t="s">
        <v>113</v>
      </c>
      <c r="GB252" t="s">
        <v>23139</v>
      </c>
      <c r="GC252" s="46">
        <v>0</v>
      </c>
      <c r="GD252" s="113"/>
      <c r="GE252" s="113"/>
      <c r="GF252" s="113"/>
      <c r="GG252" s="113"/>
      <c r="GH252" s="113"/>
      <c r="GI252" s="46">
        <v>0</v>
      </c>
      <c r="GJ252" s="113"/>
      <c r="GK252" s="113"/>
      <c r="GL252" s="113"/>
      <c r="GM252" s="113"/>
      <c r="GN252" s="113"/>
      <c r="GO252" s="46">
        <v>0</v>
      </c>
      <c r="GP252" s="113"/>
      <c r="GQ252" s="113"/>
      <c r="GR252" s="113"/>
      <c r="GS252" s="113"/>
      <c r="GT252" s="113"/>
      <c r="GU252" s="46">
        <v>0</v>
      </c>
      <c r="GV252" s="113"/>
      <c r="GW252" s="113"/>
      <c r="GX252" s="113"/>
      <c r="GY252" s="113"/>
      <c r="GZ252" s="113"/>
      <c r="HA252" s="46">
        <v>0</v>
      </c>
      <c r="HB252" s="113"/>
      <c r="HC252" s="113"/>
      <c r="HD252" s="113"/>
      <c r="HE252" s="113"/>
      <c r="HF252" s="113"/>
      <c r="HG252" s="46">
        <v>0</v>
      </c>
      <c r="HH252" s="113"/>
      <c r="HI252" s="113"/>
      <c r="HJ252" s="113"/>
      <c r="HK252" s="113"/>
      <c r="HL252" s="113"/>
      <c r="HM252" s="121"/>
      <c r="HN252" s="121"/>
      <c r="LM252" t="str">
        <v/>
      </c>
      <c r="LN252" t="str">
        <v/>
      </c>
      <c r="LO252" t="str">
        <v/>
      </c>
    </row>
    <row r="253" spans="30:327">
      <c r="AD253" t="s">
        <v>113</v>
      </c>
      <c r="AE253" t="s">
        <v>23140</v>
      </c>
      <c r="AF253" s="46">
        <v>0</v>
      </c>
      <c r="AG253" s="113"/>
      <c r="AH253" s="113"/>
      <c r="AI253" s="113"/>
      <c r="AJ253" s="113"/>
      <c r="AK253" s="113"/>
      <c r="AL253" s="46">
        <v>0</v>
      </c>
      <c r="AM253" s="113"/>
      <c r="AN253" s="113"/>
      <c r="AO253" s="113"/>
      <c r="AP253" s="113"/>
      <c r="AQ253" s="113"/>
      <c r="AR253" s="46">
        <v>0</v>
      </c>
      <c r="AS253" s="113"/>
      <c r="AT253" s="113"/>
      <c r="AU253" s="113"/>
      <c r="AV253" s="113"/>
      <c r="AW253" s="113"/>
      <c r="AX253" s="46">
        <v>0</v>
      </c>
      <c r="AY253" s="113"/>
      <c r="AZ253" s="113"/>
      <c r="BA253" s="113"/>
      <c r="BB253" s="113"/>
      <c r="BC253" s="113"/>
      <c r="BD253" s="46">
        <v>0</v>
      </c>
      <c r="BE253" s="113"/>
      <c r="BF253" s="113"/>
      <c r="BG253" s="113"/>
      <c r="BH253" s="113"/>
      <c r="BI253" s="113"/>
      <c r="BJ253" s="46">
        <v>0</v>
      </c>
      <c r="BK253" s="113"/>
      <c r="BL253" s="113"/>
      <c r="BM253" s="113"/>
      <c r="BN253" s="113"/>
      <c r="BO253" s="113"/>
      <c r="BP253" s="121"/>
      <c r="BQ253" s="121"/>
      <c r="GA253" t="s">
        <v>113</v>
      </c>
      <c r="GB253" t="s">
        <v>23140</v>
      </c>
      <c r="GC253" s="46">
        <v>0</v>
      </c>
      <c r="GD253" s="113"/>
      <c r="GE253" s="113"/>
      <c r="GF253" s="113"/>
      <c r="GG253" s="113"/>
      <c r="GH253" s="113"/>
      <c r="GI253" s="46">
        <v>0</v>
      </c>
      <c r="GJ253" s="113"/>
      <c r="GK253" s="113"/>
      <c r="GL253" s="113"/>
      <c r="GM253" s="113"/>
      <c r="GN253" s="113"/>
      <c r="GO253" s="46">
        <v>0</v>
      </c>
      <c r="GP253" s="113"/>
      <c r="GQ253" s="113"/>
      <c r="GR253" s="113"/>
      <c r="GS253" s="113"/>
      <c r="GT253" s="113"/>
      <c r="GU253" s="46">
        <v>0</v>
      </c>
      <c r="GV253" s="113"/>
      <c r="GW253" s="113"/>
      <c r="GX253" s="113"/>
      <c r="GY253" s="113"/>
      <c r="GZ253" s="113"/>
      <c r="HA253" s="46">
        <v>0</v>
      </c>
      <c r="HB253" s="113"/>
      <c r="HC253" s="113"/>
      <c r="HD253" s="113"/>
      <c r="HE253" s="113"/>
      <c r="HF253" s="113"/>
      <c r="HG253" s="46">
        <v>0</v>
      </c>
      <c r="HH253" s="113"/>
      <c r="HI253" s="113"/>
      <c r="HJ253" s="113"/>
      <c r="HK253" s="113"/>
      <c r="HL253" s="113"/>
      <c r="HM253" s="121"/>
      <c r="HN253" s="121"/>
      <c r="LM253" t="str">
        <v/>
      </c>
      <c r="LN253" t="str">
        <v/>
      </c>
      <c r="LO253" t="str">
        <v/>
      </c>
    </row>
    <row r="254" spans="30:327">
      <c r="AD254" t="s">
        <v>113</v>
      </c>
      <c r="AE254" t="s">
        <v>23141</v>
      </c>
      <c r="AF254" s="46">
        <v>0</v>
      </c>
      <c r="AG254" s="113"/>
      <c r="AH254" s="113"/>
      <c r="AI254" s="113"/>
      <c r="AJ254" s="113"/>
      <c r="AK254" s="113"/>
      <c r="AL254" s="46">
        <v>0</v>
      </c>
      <c r="AM254" s="113"/>
      <c r="AN254" s="113"/>
      <c r="AO254" s="113"/>
      <c r="AP254" s="113"/>
      <c r="AQ254" s="113"/>
      <c r="AR254" s="46">
        <v>0</v>
      </c>
      <c r="AS254" s="113"/>
      <c r="AT254" s="113"/>
      <c r="AU254" s="113"/>
      <c r="AV254" s="113"/>
      <c r="AW254" s="113"/>
      <c r="AX254" s="46">
        <v>0</v>
      </c>
      <c r="AY254" s="113"/>
      <c r="AZ254" s="113"/>
      <c r="BA254" s="113"/>
      <c r="BB254" s="113"/>
      <c r="BC254" s="113"/>
      <c r="BD254" s="46">
        <v>0</v>
      </c>
      <c r="BE254" s="113"/>
      <c r="BF254" s="113"/>
      <c r="BG254" s="113"/>
      <c r="BH254" s="113"/>
      <c r="BI254" s="113"/>
      <c r="BJ254" s="46">
        <v>0</v>
      </c>
      <c r="BK254" s="113"/>
      <c r="BL254" s="113"/>
      <c r="BM254" s="113"/>
      <c r="BN254" s="113"/>
      <c r="BO254" s="113"/>
      <c r="BP254" s="121"/>
      <c r="BQ254" s="121"/>
      <c r="GA254" t="s">
        <v>113</v>
      </c>
      <c r="GB254" t="s">
        <v>23141</v>
      </c>
      <c r="GC254" s="46">
        <v>0</v>
      </c>
      <c r="GD254" s="113"/>
      <c r="GE254" s="113"/>
      <c r="GF254" s="113"/>
      <c r="GG254" s="113"/>
      <c r="GH254" s="113"/>
      <c r="GI254" s="46">
        <v>0</v>
      </c>
      <c r="GJ254" s="113"/>
      <c r="GK254" s="113"/>
      <c r="GL254" s="113"/>
      <c r="GM254" s="113"/>
      <c r="GN254" s="113"/>
      <c r="GO254" s="46">
        <v>0</v>
      </c>
      <c r="GP254" s="113"/>
      <c r="GQ254" s="113"/>
      <c r="GR254" s="113"/>
      <c r="GS254" s="113"/>
      <c r="GT254" s="113"/>
      <c r="GU254" s="46">
        <v>0</v>
      </c>
      <c r="GV254" s="113"/>
      <c r="GW254" s="113"/>
      <c r="GX254" s="113"/>
      <c r="GY254" s="113"/>
      <c r="GZ254" s="113"/>
      <c r="HA254" s="46">
        <v>0</v>
      </c>
      <c r="HB254" s="113"/>
      <c r="HC254" s="113"/>
      <c r="HD254" s="113"/>
      <c r="HE254" s="113"/>
      <c r="HF254" s="113"/>
      <c r="HG254" s="46">
        <v>0</v>
      </c>
      <c r="HH254" s="113"/>
      <c r="HI254" s="113"/>
      <c r="HJ254" s="113"/>
      <c r="HK254" s="113"/>
      <c r="HL254" s="113"/>
      <c r="HM254" s="121"/>
      <c r="HN254" s="121"/>
      <c r="LM254" t="str">
        <v/>
      </c>
      <c r="LN254" t="str">
        <v/>
      </c>
      <c r="LO254" t="str">
        <v/>
      </c>
    </row>
    <row r="255" spans="30:327">
      <c r="AD255" t="s">
        <v>113</v>
      </c>
      <c r="AE255" t="s">
        <v>23142</v>
      </c>
      <c r="AF255" s="46">
        <v>0</v>
      </c>
      <c r="AG255" s="113"/>
      <c r="AH255" s="113"/>
      <c r="AI255" s="113"/>
      <c r="AJ255" s="113"/>
      <c r="AK255" s="113"/>
      <c r="AL255" s="46">
        <v>0</v>
      </c>
      <c r="AM255" s="113"/>
      <c r="AN255" s="113"/>
      <c r="AO255" s="113"/>
      <c r="AP255" s="113"/>
      <c r="AQ255" s="113"/>
      <c r="AR255" s="46">
        <v>0</v>
      </c>
      <c r="AS255" s="113"/>
      <c r="AT255" s="113"/>
      <c r="AU255" s="113"/>
      <c r="AV255" s="113"/>
      <c r="AW255" s="113"/>
      <c r="AX255" s="46">
        <v>0</v>
      </c>
      <c r="AY255" s="113"/>
      <c r="AZ255" s="113"/>
      <c r="BA255" s="113"/>
      <c r="BB255" s="113"/>
      <c r="BC255" s="113"/>
      <c r="BD255" s="46">
        <v>0</v>
      </c>
      <c r="BE255" s="113"/>
      <c r="BF255" s="113"/>
      <c r="BG255" s="113"/>
      <c r="BH255" s="113"/>
      <c r="BI255" s="113"/>
      <c r="BJ255" s="46">
        <v>0</v>
      </c>
      <c r="BK255" s="113"/>
      <c r="BL255" s="113"/>
      <c r="BM255" s="113"/>
      <c r="BN255" s="113"/>
      <c r="BO255" s="113"/>
      <c r="BP255" s="121"/>
      <c r="BQ255" s="121"/>
      <c r="GA255" t="s">
        <v>113</v>
      </c>
      <c r="GB255" t="s">
        <v>23142</v>
      </c>
      <c r="GC255" s="46">
        <v>0</v>
      </c>
      <c r="GD255" s="113"/>
      <c r="GE255" s="113"/>
      <c r="GF255" s="113"/>
      <c r="GG255" s="113"/>
      <c r="GH255" s="113"/>
      <c r="GI255" s="46">
        <v>0</v>
      </c>
      <c r="GJ255" s="113"/>
      <c r="GK255" s="113"/>
      <c r="GL255" s="113"/>
      <c r="GM255" s="113"/>
      <c r="GN255" s="113"/>
      <c r="GO255" s="46">
        <v>0</v>
      </c>
      <c r="GP255" s="113"/>
      <c r="GQ255" s="113"/>
      <c r="GR255" s="113"/>
      <c r="GS255" s="113"/>
      <c r="GT255" s="113"/>
      <c r="GU255" s="46">
        <v>0</v>
      </c>
      <c r="GV255" s="113"/>
      <c r="GW255" s="113"/>
      <c r="GX255" s="113"/>
      <c r="GY255" s="113"/>
      <c r="GZ255" s="113"/>
      <c r="HA255" s="46">
        <v>0</v>
      </c>
      <c r="HB255" s="113"/>
      <c r="HC255" s="113"/>
      <c r="HD255" s="113"/>
      <c r="HE255" s="113"/>
      <c r="HF255" s="113"/>
      <c r="HG255" s="46">
        <v>0</v>
      </c>
      <c r="HH255" s="113"/>
      <c r="HI255" s="113"/>
      <c r="HJ255" s="113"/>
      <c r="HK255" s="113"/>
      <c r="HL255" s="113"/>
      <c r="HM255" s="121"/>
      <c r="HN255" s="121"/>
      <c r="LM255" t="str">
        <v/>
      </c>
      <c r="LN255" t="str">
        <v/>
      </c>
      <c r="LO255" t="str">
        <v/>
      </c>
    </row>
    <row r="256" spans="30:327">
      <c r="AD256" t="s">
        <v>113</v>
      </c>
      <c r="AE256" t="s">
        <v>23143</v>
      </c>
      <c r="AF256" s="46">
        <v>0</v>
      </c>
      <c r="AG256" s="113"/>
      <c r="AH256" s="113"/>
      <c r="AI256" s="113"/>
      <c r="AJ256" s="113"/>
      <c r="AK256" s="113"/>
      <c r="AL256" s="46">
        <v>0</v>
      </c>
      <c r="AM256" s="113"/>
      <c r="AN256" s="113"/>
      <c r="AO256" s="113"/>
      <c r="AP256" s="113"/>
      <c r="AQ256" s="113"/>
      <c r="AR256" s="46">
        <v>0</v>
      </c>
      <c r="AS256" s="113"/>
      <c r="AT256" s="113"/>
      <c r="AU256" s="113"/>
      <c r="AV256" s="113"/>
      <c r="AW256" s="113"/>
      <c r="AX256" s="46">
        <v>0</v>
      </c>
      <c r="AY256" s="113"/>
      <c r="AZ256" s="113"/>
      <c r="BA256" s="113"/>
      <c r="BB256" s="113"/>
      <c r="BC256" s="113"/>
      <c r="BD256" s="46">
        <v>0</v>
      </c>
      <c r="BE256" s="113"/>
      <c r="BF256" s="113"/>
      <c r="BG256" s="113"/>
      <c r="BH256" s="113"/>
      <c r="BI256" s="113"/>
      <c r="BJ256" s="46">
        <v>0</v>
      </c>
      <c r="BK256" s="113"/>
      <c r="BL256" s="113"/>
      <c r="BM256" s="113"/>
      <c r="BN256" s="113"/>
      <c r="BO256" s="113"/>
      <c r="BP256" s="121"/>
      <c r="BQ256" s="121"/>
      <c r="GA256" t="s">
        <v>113</v>
      </c>
      <c r="GB256" t="s">
        <v>23143</v>
      </c>
      <c r="GC256" s="46">
        <v>0</v>
      </c>
      <c r="GD256" s="113"/>
      <c r="GE256" s="113"/>
      <c r="GF256" s="113"/>
      <c r="GG256" s="113"/>
      <c r="GH256" s="113"/>
      <c r="GI256" s="46">
        <v>0</v>
      </c>
      <c r="GJ256" s="113"/>
      <c r="GK256" s="113"/>
      <c r="GL256" s="113"/>
      <c r="GM256" s="113"/>
      <c r="GN256" s="113"/>
      <c r="GO256" s="46">
        <v>0</v>
      </c>
      <c r="GP256" s="113"/>
      <c r="GQ256" s="113"/>
      <c r="GR256" s="113"/>
      <c r="GS256" s="113"/>
      <c r="GT256" s="113"/>
      <c r="GU256" s="46">
        <v>0</v>
      </c>
      <c r="GV256" s="113"/>
      <c r="GW256" s="113"/>
      <c r="GX256" s="113"/>
      <c r="GY256" s="113"/>
      <c r="GZ256" s="113"/>
      <c r="HA256" s="46">
        <v>0</v>
      </c>
      <c r="HB256" s="113"/>
      <c r="HC256" s="113"/>
      <c r="HD256" s="113"/>
      <c r="HE256" s="113"/>
      <c r="HF256" s="113"/>
      <c r="HG256" s="46">
        <v>0</v>
      </c>
      <c r="HH256" s="113"/>
      <c r="HI256" s="113"/>
      <c r="HJ256" s="113"/>
      <c r="HK256" s="113"/>
      <c r="HL256" s="113"/>
      <c r="HM256" s="121"/>
      <c r="HN256" s="121"/>
      <c r="LM256" t="str">
        <v/>
      </c>
      <c r="LN256" t="str">
        <v/>
      </c>
      <c r="LO256" t="str">
        <v/>
      </c>
    </row>
    <row r="257" spans="30:327">
      <c r="AD257" t="s">
        <v>113</v>
      </c>
      <c r="AE257" t="s">
        <v>23144</v>
      </c>
      <c r="AF257" s="46">
        <v>0</v>
      </c>
      <c r="AG257" s="113"/>
      <c r="AH257" s="113"/>
      <c r="AI257" s="113"/>
      <c r="AJ257" s="113"/>
      <c r="AK257" s="113"/>
      <c r="AL257" s="46">
        <v>0</v>
      </c>
      <c r="AM257" s="113"/>
      <c r="AN257" s="113"/>
      <c r="AO257" s="113"/>
      <c r="AP257" s="113"/>
      <c r="AQ257" s="113"/>
      <c r="AR257" s="46">
        <v>0</v>
      </c>
      <c r="AS257" s="113"/>
      <c r="AT257" s="113"/>
      <c r="AU257" s="113"/>
      <c r="AV257" s="113"/>
      <c r="AW257" s="113"/>
      <c r="AX257" s="46">
        <v>0</v>
      </c>
      <c r="AY257" s="113"/>
      <c r="AZ257" s="113"/>
      <c r="BA257" s="113"/>
      <c r="BB257" s="113"/>
      <c r="BC257" s="113"/>
      <c r="BD257" s="46">
        <v>0</v>
      </c>
      <c r="BE257" s="113"/>
      <c r="BF257" s="113"/>
      <c r="BG257" s="113"/>
      <c r="BH257" s="113"/>
      <c r="BI257" s="113"/>
      <c r="BJ257" s="46">
        <v>0</v>
      </c>
      <c r="BK257" s="113"/>
      <c r="BL257" s="113"/>
      <c r="BM257" s="113"/>
      <c r="BN257" s="113"/>
      <c r="BO257" s="113"/>
      <c r="BP257" s="121"/>
      <c r="BQ257" s="121"/>
      <c r="GA257" t="s">
        <v>113</v>
      </c>
      <c r="GB257" t="s">
        <v>23144</v>
      </c>
      <c r="GC257" s="46">
        <v>0</v>
      </c>
      <c r="GD257" s="113"/>
      <c r="GE257" s="113"/>
      <c r="GF257" s="113"/>
      <c r="GG257" s="113"/>
      <c r="GH257" s="113"/>
      <c r="GI257" s="46">
        <v>0</v>
      </c>
      <c r="GJ257" s="113"/>
      <c r="GK257" s="113"/>
      <c r="GL257" s="113"/>
      <c r="GM257" s="113"/>
      <c r="GN257" s="113"/>
      <c r="GO257" s="46">
        <v>0</v>
      </c>
      <c r="GP257" s="113"/>
      <c r="GQ257" s="113"/>
      <c r="GR257" s="113"/>
      <c r="GS257" s="113"/>
      <c r="GT257" s="113"/>
      <c r="GU257" s="46">
        <v>0</v>
      </c>
      <c r="GV257" s="113"/>
      <c r="GW257" s="113"/>
      <c r="GX257" s="113"/>
      <c r="GY257" s="113"/>
      <c r="GZ257" s="113"/>
      <c r="HA257" s="46">
        <v>0</v>
      </c>
      <c r="HB257" s="113"/>
      <c r="HC257" s="113"/>
      <c r="HD257" s="113"/>
      <c r="HE257" s="113"/>
      <c r="HF257" s="113"/>
      <c r="HG257" s="46">
        <v>0</v>
      </c>
      <c r="HH257" s="113"/>
      <c r="HI257" s="113"/>
      <c r="HJ257" s="113"/>
      <c r="HK257" s="113"/>
      <c r="HL257" s="113"/>
      <c r="HM257" s="121"/>
      <c r="HN257" s="121"/>
      <c r="LM257" t="str">
        <v/>
      </c>
      <c r="LN257" t="str">
        <v/>
      </c>
      <c r="LO257" t="str">
        <v/>
      </c>
    </row>
    <row r="258" spans="30:327">
      <c r="AD258" t="s">
        <v>113</v>
      </c>
      <c r="AE258" t="s">
        <v>23145</v>
      </c>
      <c r="AF258" s="46">
        <v>0</v>
      </c>
      <c r="AG258" s="113"/>
      <c r="AH258" s="113"/>
      <c r="AI258" s="113"/>
      <c r="AJ258" s="113"/>
      <c r="AK258" s="113"/>
      <c r="AL258" s="46">
        <v>0</v>
      </c>
      <c r="AM258" s="113"/>
      <c r="AN258" s="113"/>
      <c r="AO258" s="113"/>
      <c r="AP258" s="113"/>
      <c r="AQ258" s="113"/>
      <c r="AR258" s="46">
        <v>0</v>
      </c>
      <c r="AS258" s="113"/>
      <c r="AT258" s="113"/>
      <c r="AU258" s="113"/>
      <c r="AV258" s="113"/>
      <c r="AW258" s="113"/>
      <c r="AX258" s="46">
        <v>0</v>
      </c>
      <c r="AY258" s="113"/>
      <c r="AZ258" s="113"/>
      <c r="BA258" s="113"/>
      <c r="BB258" s="113"/>
      <c r="BC258" s="113"/>
      <c r="BD258" s="46">
        <v>0</v>
      </c>
      <c r="BE258" s="113"/>
      <c r="BF258" s="113"/>
      <c r="BG258" s="113"/>
      <c r="BH258" s="113"/>
      <c r="BI258" s="113"/>
      <c r="BJ258" s="46">
        <v>0</v>
      </c>
      <c r="BK258" s="113"/>
      <c r="BL258" s="113"/>
      <c r="BM258" s="113"/>
      <c r="BN258" s="113"/>
      <c r="BO258" s="113"/>
      <c r="BP258" s="121"/>
      <c r="BQ258" s="121"/>
      <c r="GA258" t="s">
        <v>113</v>
      </c>
      <c r="GB258" t="s">
        <v>23145</v>
      </c>
      <c r="GC258" s="46">
        <v>0</v>
      </c>
      <c r="GD258" s="113"/>
      <c r="GE258" s="113"/>
      <c r="GF258" s="113"/>
      <c r="GG258" s="113"/>
      <c r="GH258" s="113"/>
      <c r="GI258" s="46">
        <v>0</v>
      </c>
      <c r="GJ258" s="113"/>
      <c r="GK258" s="113"/>
      <c r="GL258" s="113"/>
      <c r="GM258" s="113"/>
      <c r="GN258" s="113"/>
      <c r="GO258" s="46">
        <v>0</v>
      </c>
      <c r="GP258" s="113"/>
      <c r="GQ258" s="113"/>
      <c r="GR258" s="113"/>
      <c r="GS258" s="113"/>
      <c r="GT258" s="113"/>
      <c r="GU258" s="46">
        <v>0</v>
      </c>
      <c r="GV258" s="113"/>
      <c r="GW258" s="113"/>
      <c r="GX258" s="113"/>
      <c r="GY258" s="113"/>
      <c r="GZ258" s="113"/>
      <c r="HA258" s="46">
        <v>0</v>
      </c>
      <c r="HB258" s="113"/>
      <c r="HC258" s="113"/>
      <c r="HD258" s="113"/>
      <c r="HE258" s="113"/>
      <c r="HF258" s="113"/>
      <c r="HG258" s="46">
        <v>0</v>
      </c>
      <c r="HH258" s="113"/>
      <c r="HI258" s="113"/>
      <c r="HJ258" s="113"/>
      <c r="HK258" s="113"/>
      <c r="HL258" s="113"/>
      <c r="HM258" s="121"/>
      <c r="HN258" s="121"/>
      <c r="LM258" t="str">
        <v/>
      </c>
      <c r="LN258" t="str">
        <v/>
      </c>
      <c r="LO258" t="str">
        <v/>
      </c>
    </row>
    <row r="259" spans="30:327">
      <c r="AD259" t="s">
        <v>113</v>
      </c>
      <c r="AE259" t="s">
        <v>23146</v>
      </c>
      <c r="AF259" s="46">
        <v>0</v>
      </c>
      <c r="AG259" s="113"/>
      <c r="AH259" s="113"/>
      <c r="AI259" s="113"/>
      <c r="AJ259" s="113"/>
      <c r="AK259" s="113"/>
      <c r="AL259" s="46">
        <v>0</v>
      </c>
      <c r="AM259" s="113"/>
      <c r="AN259" s="113"/>
      <c r="AO259" s="113"/>
      <c r="AP259" s="113"/>
      <c r="AQ259" s="113"/>
      <c r="AR259" s="46">
        <v>0</v>
      </c>
      <c r="AS259" s="113"/>
      <c r="AT259" s="113"/>
      <c r="AU259" s="113"/>
      <c r="AV259" s="113"/>
      <c r="AW259" s="113"/>
      <c r="AX259" s="46">
        <v>0</v>
      </c>
      <c r="AY259" s="113"/>
      <c r="AZ259" s="113"/>
      <c r="BA259" s="113"/>
      <c r="BB259" s="113"/>
      <c r="BC259" s="113"/>
      <c r="BD259" s="46">
        <v>0</v>
      </c>
      <c r="BE259" s="113"/>
      <c r="BF259" s="113"/>
      <c r="BG259" s="113"/>
      <c r="BH259" s="113"/>
      <c r="BI259" s="113"/>
      <c r="BJ259" s="46">
        <v>0</v>
      </c>
      <c r="BK259" s="113"/>
      <c r="BL259" s="113"/>
      <c r="BM259" s="113"/>
      <c r="BN259" s="113"/>
      <c r="BO259" s="113"/>
      <c r="BP259" s="121"/>
      <c r="BQ259" s="121"/>
      <c r="GA259" t="s">
        <v>113</v>
      </c>
      <c r="GB259" t="s">
        <v>23146</v>
      </c>
      <c r="GC259" s="46">
        <v>0</v>
      </c>
      <c r="GD259" s="113"/>
      <c r="GE259" s="113"/>
      <c r="GF259" s="113"/>
      <c r="GG259" s="113"/>
      <c r="GH259" s="113"/>
      <c r="GI259" s="46">
        <v>0</v>
      </c>
      <c r="GJ259" s="113"/>
      <c r="GK259" s="113"/>
      <c r="GL259" s="113"/>
      <c r="GM259" s="113"/>
      <c r="GN259" s="113"/>
      <c r="GO259" s="46">
        <v>0</v>
      </c>
      <c r="GP259" s="113"/>
      <c r="GQ259" s="113"/>
      <c r="GR259" s="113"/>
      <c r="GS259" s="113"/>
      <c r="GT259" s="113"/>
      <c r="GU259" s="46">
        <v>0</v>
      </c>
      <c r="GV259" s="113"/>
      <c r="GW259" s="113"/>
      <c r="GX259" s="113"/>
      <c r="GY259" s="113"/>
      <c r="GZ259" s="113"/>
      <c r="HA259" s="46">
        <v>0</v>
      </c>
      <c r="HB259" s="113"/>
      <c r="HC259" s="113"/>
      <c r="HD259" s="113"/>
      <c r="HE259" s="113"/>
      <c r="HF259" s="113"/>
      <c r="HG259" s="46">
        <v>0</v>
      </c>
      <c r="HH259" s="113"/>
      <c r="HI259" s="113"/>
      <c r="HJ259" s="113"/>
      <c r="HK259" s="113"/>
      <c r="HL259" s="113"/>
      <c r="HM259" s="121"/>
      <c r="HN259" s="121"/>
      <c r="LM259" t="str">
        <v/>
      </c>
      <c r="LN259" t="str">
        <v/>
      </c>
      <c r="LO259" t="str">
        <v/>
      </c>
    </row>
    <row r="260" spans="30:327">
      <c r="AD260" t="s">
        <v>113</v>
      </c>
      <c r="AE260" t="s">
        <v>23147</v>
      </c>
      <c r="AF260" s="46">
        <v>0</v>
      </c>
      <c r="AG260" s="113"/>
      <c r="AH260" s="113"/>
      <c r="AI260" s="113"/>
      <c r="AJ260" s="113"/>
      <c r="AK260" s="113"/>
      <c r="AL260" s="46">
        <v>0</v>
      </c>
      <c r="AM260" s="113"/>
      <c r="AN260" s="113"/>
      <c r="AO260" s="113"/>
      <c r="AP260" s="113"/>
      <c r="AQ260" s="113"/>
      <c r="AR260" s="46">
        <v>0</v>
      </c>
      <c r="AS260" s="113"/>
      <c r="AT260" s="113"/>
      <c r="AU260" s="113"/>
      <c r="AV260" s="113"/>
      <c r="AW260" s="113"/>
      <c r="AX260" s="46">
        <v>0</v>
      </c>
      <c r="AY260" s="113"/>
      <c r="AZ260" s="113"/>
      <c r="BA260" s="113"/>
      <c r="BB260" s="113"/>
      <c r="BC260" s="113"/>
      <c r="BD260" s="46">
        <v>0</v>
      </c>
      <c r="BE260" s="113"/>
      <c r="BF260" s="113"/>
      <c r="BG260" s="113"/>
      <c r="BH260" s="113"/>
      <c r="BI260" s="113"/>
      <c r="BJ260" s="46">
        <v>0</v>
      </c>
      <c r="BK260" s="113"/>
      <c r="BL260" s="113"/>
      <c r="BM260" s="113"/>
      <c r="BN260" s="113"/>
      <c r="BO260" s="113"/>
      <c r="BP260" s="121"/>
      <c r="BQ260" s="121"/>
      <c r="GA260" t="s">
        <v>113</v>
      </c>
      <c r="GB260" t="s">
        <v>23147</v>
      </c>
      <c r="GC260" s="46">
        <v>0</v>
      </c>
      <c r="GD260" s="113"/>
      <c r="GE260" s="113"/>
      <c r="GF260" s="113"/>
      <c r="GG260" s="113"/>
      <c r="GH260" s="113"/>
      <c r="GI260" s="46">
        <v>0</v>
      </c>
      <c r="GJ260" s="113"/>
      <c r="GK260" s="113"/>
      <c r="GL260" s="113"/>
      <c r="GM260" s="113"/>
      <c r="GN260" s="113"/>
      <c r="GO260" s="46">
        <v>0</v>
      </c>
      <c r="GP260" s="113"/>
      <c r="GQ260" s="113"/>
      <c r="GR260" s="113"/>
      <c r="GS260" s="113"/>
      <c r="GT260" s="113"/>
      <c r="GU260" s="46">
        <v>0</v>
      </c>
      <c r="GV260" s="113"/>
      <c r="GW260" s="113"/>
      <c r="GX260" s="113"/>
      <c r="GY260" s="113"/>
      <c r="GZ260" s="113"/>
      <c r="HA260" s="46">
        <v>0</v>
      </c>
      <c r="HB260" s="113"/>
      <c r="HC260" s="113"/>
      <c r="HD260" s="113"/>
      <c r="HE260" s="113"/>
      <c r="HF260" s="113"/>
      <c r="HG260" s="46">
        <v>0</v>
      </c>
      <c r="HH260" s="113"/>
      <c r="HI260" s="113"/>
      <c r="HJ260" s="113"/>
      <c r="HK260" s="113"/>
      <c r="HL260" s="113"/>
      <c r="HM260" s="121"/>
      <c r="HN260" s="121"/>
      <c r="LM260" t="str">
        <v/>
      </c>
      <c r="LN260" t="str">
        <v/>
      </c>
      <c r="LO260" t="str">
        <v/>
      </c>
    </row>
    <row r="261" spans="30:327">
      <c r="AD261" t="s">
        <v>113</v>
      </c>
      <c r="AE261" t="s">
        <v>23148</v>
      </c>
      <c r="AF261" s="46">
        <v>0</v>
      </c>
      <c r="AG261" s="113"/>
      <c r="AH261" s="113"/>
      <c r="AI261" s="113"/>
      <c r="AJ261" s="113"/>
      <c r="AK261" s="113"/>
      <c r="AL261" s="46">
        <v>0</v>
      </c>
      <c r="AM261" s="113"/>
      <c r="AN261" s="113"/>
      <c r="AO261" s="113"/>
      <c r="AP261" s="113"/>
      <c r="AQ261" s="113"/>
      <c r="AR261" s="46">
        <v>0</v>
      </c>
      <c r="AS261" s="113"/>
      <c r="AT261" s="113"/>
      <c r="AU261" s="113"/>
      <c r="AV261" s="113"/>
      <c r="AW261" s="113"/>
      <c r="AX261" s="46">
        <v>0</v>
      </c>
      <c r="AY261" s="113"/>
      <c r="AZ261" s="113"/>
      <c r="BA261" s="113"/>
      <c r="BB261" s="113"/>
      <c r="BC261" s="113"/>
      <c r="BD261" s="46">
        <v>0</v>
      </c>
      <c r="BE261" s="113"/>
      <c r="BF261" s="113"/>
      <c r="BG261" s="113"/>
      <c r="BH261" s="113"/>
      <c r="BI261" s="113"/>
      <c r="BJ261" s="46">
        <v>0</v>
      </c>
      <c r="BK261" s="113"/>
      <c r="BL261" s="113"/>
      <c r="BM261" s="113"/>
      <c r="BN261" s="113"/>
      <c r="BO261" s="113"/>
      <c r="BP261" s="121"/>
      <c r="BQ261" s="121"/>
      <c r="GA261" t="s">
        <v>113</v>
      </c>
      <c r="GB261" t="s">
        <v>23148</v>
      </c>
      <c r="GC261" s="46">
        <v>0</v>
      </c>
      <c r="GD261" s="113"/>
      <c r="GE261" s="113"/>
      <c r="GF261" s="113"/>
      <c r="GG261" s="113"/>
      <c r="GH261" s="113"/>
      <c r="GI261" s="46">
        <v>0</v>
      </c>
      <c r="GJ261" s="113"/>
      <c r="GK261" s="113"/>
      <c r="GL261" s="113"/>
      <c r="GM261" s="113"/>
      <c r="GN261" s="113"/>
      <c r="GO261" s="46">
        <v>0</v>
      </c>
      <c r="GP261" s="113"/>
      <c r="GQ261" s="113"/>
      <c r="GR261" s="113"/>
      <c r="GS261" s="113"/>
      <c r="GT261" s="113"/>
      <c r="GU261" s="46">
        <v>0</v>
      </c>
      <c r="GV261" s="113"/>
      <c r="GW261" s="113"/>
      <c r="GX261" s="113"/>
      <c r="GY261" s="113"/>
      <c r="GZ261" s="113"/>
      <c r="HA261" s="46">
        <v>0</v>
      </c>
      <c r="HB261" s="113"/>
      <c r="HC261" s="113"/>
      <c r="HD261" s="113"/>
      <c r="HE261" s="113"/>
      <c r="HF261" s="113"/>
      <c r="HG261" s="46">
        <v>0</v>
      </c>
      <c r="HH261" s="113"/>
      <c r="HI261" s="113"/>
      <c r="HJ261" s="113"/>
      <c r="HK261" s="113"/>
      <c r="HL261" s="113"/>
      <c r="HM261" s="121"/>
      <c r="HN261" s="121"/>
      <c r="LM261" t="str">
        <v/>
      </c>
      <c r="LN261" t="str">
        <v/>
      </c>
      <c r="LO261" t="str">
        <v/>
      </c>
    </row>
    <row r="262" spans="30:327">
      <c r="AD262" t="s">
        <v>113</v>
      </c>
      <c r="AE262" t="s">
        <v>23149</v>
      </c>
      <c r="AF262" s="46">
        <v>0</v>
      </c>
      <c r="AG262" s="113"/>
      <c r="AH262" s="113"/>
      <c r="AI262" s="113"/>
      <c r="AJ262" s="113"/>
      <c r="AK262" s="113"/>
      <c r="AL262" s="46">
        <v>0</v>
      </c>
      <c r="AM262" s="113"/>
      <c r="AN262" s="113"/>
      <c r="AO262" s="113"/>
      <c r="AP262" s="113"/>
      <c r="AQ262" s="113"/>
      <c r="AR262" s="46">
        <v>0</v>
      </c>
      <c r="AS262" s="113"/>
      <c r="AT262" s="113"/>
      <c r="AU262" s="113"/>
      <c r="AV262" s="113"/>
      <c r="AW262" s="113"/>
      <c r="AX262" s="46">
        <v>0</v>
      </c>
      <c r="AY262" s="113"/>
      <c r="AZ262" s="113"/>
      <c r="BA262" s="113"/>
      <c r="BB262" s="113"/>
      <c r="BC262" s="113"/>
      <c r="BD262" s="46">
        <v>0</v>
      </c>
      <c r="BE262" s="113"/>
      <c r="BF262" s="113"/>
      <c r="BG262" s="113"/>
      <c r="BH262" s="113"/>
      <c r="BI262" s="113"/>
      <c r="BJ262" s="46">
        <v>0</v>
      </c>
      <c r="BK262" s="113"/>
      <c r="BL262" s="113"/>
      <c r="BM262" s="113"/>
      <c r="BN262" s="113"/>
      <c r="BO262" s="113"/>
      <c r="BP262" s="121"/>
      <c r="BQ262" s="121"/>
      <c r="GA262" t="s">
        <v>113</v>
      </c>
      <c r="GB262" t="s">
        <v>23149</v>
      </c>
      <c r="GC262" s="46">
        <v>0</v>
      </c>
      <c r="GD262" s="113"/>
      <c r="GE262" s="113"/>
      <c r="GF262" s="113"/>
      <c r="GG262" s="113"/>
      <c r="GH262" s="113"/>
      <c r="GI262" s="46">
        <v>0</v>
      </c>
      <c r="GJ262" s="113"/>
      <c r="GK262" s="113"/>
      <c r="GL262" s="113"/>
      <c r="GM262" s="113"/>
      <c r="GN262" s="113"/>
      <c r="GO262" s="46">
        <v>0</v>
      </c>
      <c r="GP262" s="113"/>
      <c r="GQ262" s="113"/>
      <c r="GR262" s="113"/>
      <c r="GS262" s="113"/>
      <c r="GT262" s="113"/>
      <c r="GU262" s="46">
        <v>0</v>
      </c>
      <c r="GV262" s="113"/>
      <c r="GW262" s="113"/>
      <c r="GX262" s="113"/>
      <c r="GY262" s="113"/>
      <c r="GZ262" s="113"/>
      <c r="HA262" s="46">
        <v>0</v>
      </c>
      <c r="HB262" s="113"/>
      <c r="HC262" s="113"/>
      <c r="HD262" s="113"/>
      <c r="HE262" s="113"/>
      <c r="HF262" s="113"/>
      <c r="HG262" s="46">
        <v>0</v>
      </c>
      <c r="HH262" s="113"/>
      <c r="HI262" s="113"/>
      <c r="HJ262" s="113"/>
      <c r="HK262" s="113"/>
      <c r="HL262" s="113"/>
      <c r="HM262" s="121"/>
      <c r="HN262" s="121"/>
      <c r="LM262" t="str">
        <v/>
      </c>
      <c r="LN262" t="str">
        <v/>
      </c>
      <c r="LO262" t="str">
        <v/>
      </c>
    </row>
    <row r="263" spans="30:327">
      <c r="AD263" t="s">
        <v>113</v>
      </c>
      <c r="AE263" t="s">
        <v>23150</v>
      </c>
      <c r="AF263" s="46">
        <v>0</v>
      </c>
      <c r="AG263" s="113"/>
      <c r="AH263" s="113"/>
      <c r="AI263" s="113"/>
      <c r="AJ263" s="113"/>
      <c r="AK263" s="113"/>
      <c r="AL263" s="46">
        <v>0</v>
      </c>
      <c r="AM263" s="113"/>
      <c r="AN263" s="113"/>
      <c r="AO263" s="113"/>
      <c r="AP263" s="113"/>
      <c r="AQ263" s="113"/>
      <c r="AR263" s="46">
        <v>0</v>
      </c>
      <c r="AS263" s="113"/>
      <c r="AT263" s="113"/>
      <c r="AU263" s="113"/>
      <c r="AV263" s="113"/>
      <c r="AW263" s="113"/>
      <c r="AX263" s="46">
        <v>0</v>
      </c>
      <c r="AY263" s="113"/>
      <c r="AZ263" s="113"/>
      <c r="BA263" s="113"/>
      <c r="BB263" s="113"/>
      <c r="BC263" s="113"/>
      <c r="BD263" s="46">
        <v>0</v>
      </c>
      <c r="BE263" s="113"/>
      <c r="BF263" s="113"/>
      <c r="BG263" s="113"/>
      <c r="BH263" s="113"/>
      <c r="BI263" s="113"/>
      <c r="BJ263" s="46">
        <v>0</v>
      </c>
      <c r="BK263" s="113"/>
      <c r="BL263" s="113"/>
      <c r="BM263" s="113"/>
      <c r="BN263" s="113"/>
      <c r="BO263" s="113"/>
      <c r="BP263" s="121"/>
      <c r="BQ263" s="121"/>
      <c r="GA263" t="s">
        <v>113</v>
      </c>
      <c r="GB263" t="s">
        <v>23150</v>
      </c>
      <c r="GC263" s="46">
        <v>0</v>
      </c>
      <c r="GD263" s="113"/>
      <c r="GE263" s="113"/>
      <c r="GF263" s="113"/>
      <c r="GG263" s="113"/>
      <c r="GH263" s="113"/>
      <c r="GI263" s="46">
        <v>0</v>
      </c>
      <c r="GJ263" s="113"/>
      <c r="GK263" s="113"/>
      <c r="GL263" s="113"/>
      <c r="GM263" s="113"/>
      <c r="GN263" s="113"/>
      <c r="GO263" s="46">
        <v>0</v>
      </c>
      <c r="GP263" s="113"/>
      <c r="GQ263" s="113"/>
      <c r="GR263" s="113"/>
      <c r="GS263" s="113"/>
      <c r="GT263" s="113"/>
      <c r="GU263" s="46">
        <v>0</v>
      </c>
      <c r="GV263" s="113"/>
      <c r="GW263" s="113"/>
      <c r="GX263" s="113"/>
      <c r="GY263" s="113"/>
      <c r="GZ263" s="113"/>
      <c r="HA263" s="46">
        <v>0</v>
      </c>
      <c r="HB263" s="113"/>
      <c r="HC263" s="113"/>
      <c r="HD263" s="113"/>
      <c r="HE263" s="113"/>
      <c r="HF263" s="113"/>
      <c r="HG263" s="46">
        <v>0</v>
      </c>
      <c r="HH263" s="113"/>
      <c r="HI263" s="113"/>
      <c r="HJ263" s="113"/>
      <c r="HK263" s="113"/>
      <c r="HL263" s="113"/>
      <c r="HM263" s="121"/>
      <c r="HN263" s="121"/>
      <c r="LM263" t="str">
        <v/>
      </c>
      <c r="LN263" t="str">
        <v/>
      </c>
      <c r="LO263" t="str">
        <v/>
      </c>
    </row>
    <row r="264" spans="30:327">
      <c r="AD264" t="s">
        <v>113</v>
      </c>
      <c r="AE264" t="s">
        <v>23151</v>
      </c>
      <c r="AF264" s="46">
        <v>0</v>
      </c>
      <c r="AG264" s="113"/>
      <c r="AH264" s="113"/>
      <c r="AI264" s="113"/>
      <c r="AJ264" s="113"/>
      <c r="AK264" s="113"/>
      <c r="AL264" s="46">
        <v>0</v>
      </c>
      <c r="AM264" s="113"/>
      <c r="AN264" s="113"/>
      <c r="AO264" s="113"/>
      <c r="AP264" s="113"/>
      <c r="AQ264" s="113"/>
      <c r="AR264" s="46">
        <v>0</v>
      </c>
      <c r="AS264" s="113"/>
      <c r="AT264" s="113"/>
      <c r="AU264" s="113"/>
      <c r="AV264" s="113"/>
      <c r="AW264" s="113"/>
      <c r="AX264" s="46">
        <v>0</v>
      </c>
      <c r="AY264" s="113"/>
      <c r="AZ264" s="113"/>
      <c r="BA264" s="113"/>
      <c r="BB264" s="113"/>
      <c r="BC264" s="113"/>
      <c r="BD264" s="46">
        <v>0</v>
      </c>
      <c r="BE264" s="113"/>
      <c r="BF264" s="113"/>
      <c r="BG264" s="113"/>
      <c r="BH264" s="113"/>
      <c r="BI264" s="113"/>
      <c r="BJ264" s="46">
        <v>0</v>
      </c>
      <c r="BK264" s="113"/>
      <c r="BL264" s="113"/>
      <c r="BM264" s="113"/>
      <c r="BN264" s="113"/>
      <c r="BO264" s="113"/>
      <c r="BP264" s="121"/>
      <c r="BQ264" s="121"/>
      <c r="GA264" t="s">
        <v>113</v>
      </c>
      <c r="GB264" t="s">
        <v>23151</v>
      </c>
      <c r="GC264" s="46">
        <v>0</v>
      </c>
      <c r="GD264" s="113"/>
      <c r="GE264" s="113"/>
      <c r="GF264" s="113"/>
      <c r="GG264" s="113"/>
      <c r="GH264" s="113"/>
      <c r="GI264" s="46">
        <v>0</v>
      </c>
      <c r="GJ264" s="113"/>
      <c r="GK264" s="113"/>
      <c r="GL264" s="113"/>
      <c r="GM264" s="113"/>
      <c r="GN264" s="113"/>
      <c r="GO264" s="46">
        <v>0</v>
      </c>
      <c r="GP264" s="113"/>
      <c r="GQ264" s="113"/>
      <c r="GR264" s="113"/>
      <c r="GS264" s="113"/>
      <c r="GT264" s="113"/>
      <c r="GU264" s="46">
        <v>0</v>
      </c>
      <c r="GV264" s="113"/>
      <c r="GW264" s="113"/>
      <c r="GX264" s="113"/>
      <c r="GY264" s="113"/>
      <c r="GZ264" s="113"/>
      <c r="HA264" s="46">
        <v>0</v>
      </c>
      <c r="HB264" s="113"/>
      <c r="HC264" s="113"/>
      <c r="HD264" s="113"/>
      <c r="HE264" s="113"/>
      <c r="HF264" s="113"/>
      <c r="HG264" s="46">
        <v>0</v>
      </c>
      <c r="HH264" s="113"/>
      <c r="HI264" s="113"/>
      <c r="HJ264" s="113"/>
      <c r="HK264" s="113"/>
      <c r="HL264" s="113"/>
      <c r="HM264" s="121"/>
      <c r="HN264" s="121"/>
      <c r="LM264" t="str">
        <v/>
      </c>
      <c r="LN264" t="str">
        <v/>
      </c>
      <c r="LO264" t="str">
        <v/>
      </c>
    </row>
    <row r="265" spans="30:327">
      <c r="AD265" t="s">
        <v>113</v>
      </c>
      <c r="AE265" t="s">
        <v>23152</v>
      </c>
      <c r="AF265" s="46">
        <v>0</v>
      </c>
      <c r="AG265" s="113"/>
      <c r="AH265" s="113"/>
      <c r="AI265" s="113"/>
      <c r="AJ265" s="113"/>
      <c r="AK265" s="113"/>
      <c r="AL265" s="46">
        <v>0</v>
      </c>
      <c r="AM265" s="113"/>
      <c r="AN265" s="113"/>
      <c r="AO265" s="113"/>
      <c r="AP265" s="113"/>
      <c r="AQ265" s="113"/>
      <c r="AR265" s="46">
        <v>0</v>
      </c>
      <c r="AS265" s="113"/>
      <c r="AT265" s="113"/>
      <c r="AU265" s="113"/>
      <c r="AV265" s="113"/>
      <c r="AW265" s="113"/>
      <c r="AX265" s="46">
        <v>0</v>
      </c>
      <c r="AY265" s="113"/>
      <c r="AZ265" s="113"/>
      <c r="BA265" s="113"/>
      <c r="BB265" s="113"/>
      <c r="BC265" s="113"/>
      <c r="BD265" s="46">
        <v>0</v>
      </c>
      <c r="BE265" s="113"/>
      <c r="BF265" s="113"/>
      <c r="BG265" s="113"/>
      <c r="BH265" s="113"/>
      <c r="BI265" s="113"/>
      <c r="BJ265" s="46">
        <v>0</v>
      </c>
      <c r="BK265" s="113"/>
      <c r="BL265" s="113"/>
      <c r="BM265" s="113"/>
      <c r="BN265" s="113"/>
      <c r="BO265" s="113"/>
      <c r="BP265" s="121"/>
      <c r="BQ265" s="121"/>
      <c r="GA265" t="s">
        <v>113</v>
      </c>
      <c r="GB265" t="s">
        <v>23152</v>
      </c>
      <c r="GC265" s="46">
        <v>0</v>
      </c>
      <c r="GD265" s="113"/>
      <c r="GE265" s="113"/>
      <c r="GF265" s="113"/>
      <c r="GG265" s="113"/>
      <c r="GH265" s="113"/>
      <c r="GI265" s="46">
        <v>0</v>
      </c>
      <c r="GJ265" s="113"/>
      <c r="GK265" s="113"/>
      <c r="GL265" s="113"/>
      <c r="GM265" s="113"/>
      <c r="GN265" s="113"/>
      <c r="GO265" s="46">
        <v>0</v>
      </c>
      <c r="GP265" s="113"/>
      <c r="GQ265" s="113"/>
      <c r="GR265" s="113"/>
      <c r="GS265" s="113"/>
      <c r="GT265" s="113"/>
      <c r="GU265" s="46">
        <v>0</v>
      </c>
      <c r="GV265" s="113"/>
      <c r="GW265" s="113"/>
      <c r="GX265" s="113"/>
      <c r="GY265" s="113"/>
      <c r="GZ265" s="113"/>
      <c r="HA265" s="46">
        <v>0</v>
      </c>
      <c r="HB265" s="113"/>
      <c r="HC265" s="113"/>
      <c r="HD265" s="113"/>
      <c r="HE265" s="113"/>
      <c r="HF265" s="113"/>
      <c r="HG265" s="46">
        <v>0</v>
      </c>
      <c r="HH265" s="113"/>
      <c r="HI265" s="113"/>
      <c r="HJ265" s="113"/>
      <c r="HK265" s="113"/>
      <c r="HL265" s="113"/>
      <c r="HM265" s="121"/>
      <c r="HN265" s="121"/>
      <c r="LM265" t="str">
        <v/>
      </c>
      <c r="LN265" t="str">
        <v/>
      </c>
      <c r="LO265" t="str">
        <v/>
      </c>
    </row>
    <row r="266" spans="30:327">
      <c r="AD266" t="s">
        <v>113</v>
      </c>
      <c r="AE266" t="s">
        <v>23153</v>
      </c>
      <c r="AF266" s="46">
        <v>0</v>
      </c>
      <c r="AG266" s="113"/>
      <c r="AH266" s="113"/>
      <c r="AI266" s="113"/>
      <c r="AJ266" s="113"/>
      <c r="AK266" s="113"/>
      <c r="AL266" s="46">
        <v>0</v>
      </c>
      <c r="AM266" s="113"/>
      <c r="AN266" s="113"/>
      <c r="AO266" s="113"/>
      <c r="AP266" s="113"/>
      <c r="AQ266" s="113"/>
      <c r="AR266" s="46">
        <v>0</v>
      </c>
      <c r="AS266" s="113"/>
      <c r="AT266" s="113"/>
      <c r="AU266" s="113"/>
      <c r="AV266" s="113"/>
      <c r="AW266" s="113"/>
      <c r="AX266" s="46">
        <v>0</v>
      </c>
      <c r="AY266" s="113"/>
      <c r="AZ266" s="113"/>
      <c r="BA266" s="113"/>
      <c r="BB266" s="113"/>
      <c r="BC266" s="113"/>
      <c r="BD266" s="46">
        <v>0</v>
      </c>
      <c r="BE266" s="113"/>
      <c r="BF266" s="113"/>
      <c r="BG266" s="113"/>
      <c r="BH266" s="113"/>
      <c r="BI266" s="113"/>
      <c r="BJ266" s="46">
        <v>0</v>
      </c>
      <c r="BK266" s="113"/>
      <c r="BL266" s="113"/>
      <c r="BM266" s="113"/>
      <c r="BN266" s="113"/>
      <c r="BO266" s="113"/>
      <c r="BP266" s="121"/>
      <c r="BQ266" s="121"/>
      <c r="GA266" t="s">
        <v>113</v>
      </c>
      <c r="GB266" t="s">
        <v>23153</v>
      </c>
      <c r="GC266" s="46">
        <v>0</v>
      </c>
      <c r="GD266" s="113"/>
      <c r="GE266" s="113"/>
      <c r="GF266" s="113"/>
      <c r="GG266" s="113"/>
      <c r="GH266" s="113"/>
      <c r="GI266" s="46">
        <v>0</v>
      </c>
      <c r="GJ266" s="113"/>
      <c r="GK266" s="113"/>
      <c r="GL266" s="113"/>
      <c r="GM266" s="113"/>
      <c r="GN266" s="113"/>
      <c r="GO266" s="46">
        <v>0</v>
      </c>
      <c r="GP266" s="113"/>
      <c r="GQ266" s="113"/>
      <c r="GR266" s="113"/>
      <c r="GS266" s="113"/>
      <c r="GT266" s="113"/>
      <c r="GU266" s="46">
        <v>0</v>
      </c>
      <c r="GV266" s="113"/>
      <c r="GW266" s="113"/>
      <c r="GX266" s="113"/>
      <c r="GY266" s="113"/>
      <c r="GZ266" s="113"/>
      <c r="HA266" s="46">
        <v>0</v>
      </c>
      <c r="HB266" s="113"/>
      <c r="HC266" s="113"/>
      <c r="HD266" s="113"/>
      <c r="HE266" s="113"/>
      <c r="HF266" s="113"/>
      <c r="HG266" s="46">
        <v>0</v>
      </c>
      <c r="HH266" s="113"/>
      <c r="HI266" s="113"/>
      <c r="HJ266" s="113"/>
      <c r="HK266" s="113"/>
      <c r="HL266" s="113"/>
      <c r="HM266" s="121"/>
      <c r="HN266" s="121"/>
      <c r="LM266" t="str">
        <v/>
      </c>
      <c r="LN266" t="str">
        <v/>
      </c>
      <c r="LO266" t="str">
        <v/>
      </c>
    </row>
    <row r="267" spans="30:327">
      <c r="AD267" t="s">
        <v>113</v>
      </c>
      <c r="AE267" t="s">
        <v>23154</v>
      </c>
      <c r="AF267" s="46">
        <v>0</v>
      </c>
      <c r="AG267" s="113"/>
      <c r="AH267" s="113"/>
      <c r="AI267" s="113"/>
      <c r="AJ267" s="113"/>
      <c r="AK267" s="113"/>
      <c r="AL267" s="46">
        <v>0</v>
      </c>
      <c r="AM267" s="113"/>
      <c r="AN267" s="113"/>
      <c r="AO267" s="113"/>
      <c r="AP267" s="113"/>
      <c r="AQ267" s="113"/>
      <c r="AR267" s="46">
        <v>0</v>
      </c>
      <c r="AS267" s="113"/>
      <c r="AT267" s="113"/>
      <c r="AU267" s="113"/>
      <c r="AV267" s="113"/>
      <c r="AW267" s="113"/>
      <c r="AX267" s="46">
        <v>0</v>
      </c>
      <c r="AY267" s="113"/>
      <c r="AZ267" s="113"/>
      <c r="BA267" s="113"/>
      <c r="BB267" s="113"/>
      <c r="BC267" s="113"/>
      <c r="BD267" s="46">
        <v>0</v>
      </c>
      <c r="BE267" s="113"/>
      <c r="BF267" s="113"/>
      <c r="BG267" s="113"/>
      <c r="BH267" s="113"/>
      <c r="BI267" s="113"/>
      <c r="BJ267" s="46">
        <v>0</v>
      </c>
      <c r="BK267" s="113"/>
      <c r="BL267" s="113"/>
      <c r="BM267" s="113"/>
      <c r="BN267" s="113"/>
      <c r="BO267" s="113"/>
      <c r="BP267" s="121"/>
      <c r="BQ267" s="121"/>
      <c r="GA267" t="s">
        <v>113</v>
      </c>
      <c r="GB267" t="s">
        <v>23154</v>
      </c>
      <c r="GC267" s="46">
        <v>0</v>
      </c>
      <c r="GD267" s="113"/>
      <c r="GE267" s="113"/>
      <c r="GF267" s="113"/>
      <c r="GG267" s="113"/>
      <c r="GH267" s="113"/>
      <c r="GI267" s="46">
        <v>0</v>
      </c>
      <c r="GJ267" s="113"/>
      <c r="GK267" s="113"/>
      <c r="GL267" s="113"/>
      <c r="GM267" s="113"/>
      <c r="GN267" s="113"/>
      <c r="GO267" s="46">
        <v>0</v>
      </c>
      <c r="GP267" s="113"/>
      <c r="GQ267" s="113"/>
      <c r="GR267" s="113"/>
      <c r="GS267" s="113"/>
      <c r="GT267" s="113"/>
      <c r="GU267" s="46">
        <v>0</v>
      </c>
      <c r="GV267" s="113"/>
      <c r="GW267" s="113"/>
      <c r="GX267" s="113"/>
      <c r="GY267" s="113"/>
      <c r="GZ267" s="113"/>
      <c r="HA267" s="46">
        <v>0</v>
      </c>
      <c r="HB267" s="113"/>
      <c r="HC267" s="113"/>
      <c r="HD267" s="113"/>
      <c r="HE267" s="113"/>
      <c r="HF267" s="113"/>
      <c r="HG267" s="46">
        <v>0</v>
      </c>
      <c r="HH267" s="113"/>
      <c r="HI267" s="113"/>
      <c r="HJ267" s="113"/>
      <c r="HK267" s="113"/>
      <c r="HL267" s="113"/>
      <c r="HM267" s="121"/>
      <c r="HN267" s="121"/>
      <c r="LM267" t="str">
        <v/>
      </c>
      <c r="LN267" t="str">
        <v/>
      </c>
      <c r="LO267" t="str">
        <v/>
      </c>
    </row>
    <row r="268" spans="30:327">
      <c r="AD268" t="s">
        <v>113</v>
      </c>
      <c r="AE268" t="s">
        <v>23155</v>
      </c>
      <c r="AF268" s="46">
        <v>0</v>
      </c>
      <c r="AG268" s="113"/>
      <c r="AH268" s="113"/>
      <c r="AI268" s="113"/>
      <c r="AJ268" s="113"/>
      <c r="AK268" s="113"/>
      <c r="AL268" s="46">
        <v>0</v>
      </c>
      <c r="AM268" s="113"/>
      <c r="AN268" s="113"/>
      <c r="AO268" s="113"/>
      <c r="AP268" s="113"/>
      <c r="AQ268" s="113"/>
      <c r="AR268" s="46">
        <v>0</v>
      </c>
      <c r="AS268" s="113"/>
      <c r="AT268" s="113"/>
      <c r="AU268" s="113"/>
      <c r="AV268" s="113"/>
      <c r="AW268" s="113"/>
      <c r="AX268" s="46">
        <v>0</v>
      </c>
      <c r="AY268" s="113"/>
      <c r="AZ268" s="113"/>
      <c r="BA268" s="113"/>
      <c r="BB268" s="113"/>
      <c r="BC268" s="113"/>
      <c r="BD268" s="46">
        <v>0</v>
      </c>
      <c r="BE268" s="113"/>
      <c r="BF268" s="113"/>
      <c r="BG268" s="113"/>
      <c r="BH268" s="113"/>
      <c r="BI268" s="113"/>
      <c r="BJ268" s="46">
        <v>0</v>
      </c>
      <c r="BK268" s="113"/>
      <c r="BL268" s="113"/>
      <c r="BM268" s="113"/>
      <c r="BN268" s="113"/>
      <c r="BO268" s="113"/>
      <c r="BP268" s="121"/>
      <c r="BQ268" s="121"/>
      <c r="GA268" t="s">
        <v>113</v>
      </c>
      <c r="GB268" t="s">
        <v>23155</v>
      </c>
      <c r="GC268" s="46">
        <v>0</v>
      </c>
      <c r="GD268" s="113"/>
      <c r="GE268" s="113"/>
      <c r="GF268" s="113"/>
      <c r="GG268" s="113"/>
      <c r="GH268" s="113"/>
      <c r="GI268" s="46">
        <v>0</v>
      </c>
      <c r="GJ268" s="113"/>
      <c r="GK268" s="113"/>
      <c r="GL268" s="113"/>
      <c r="GM268" s="113"/>
      <c r="GN268" s="113"/>
      <c r="GO268" s="46">
        <v>0</v>
      </c>
      <c r="GP268" s="113"/>
      <c r="GQ268" s="113"/>
      <c r="GR268" s="113"/>
      <c r="GS268" s="113"/>
      <c r="GT268" s="113"/>
      <c r="GU268" s="46">
        <v>0</v>
      </c>
      <c r="GV268" s="113"/>
      <c r="GW268" s="113"/>
      <c r="GX268" s="113"/>
      <c r="GY268" s="113"/>
      <c r="GZ268" s="113"/>
      <c r="HA268" s="46">
        <v>0</v>
      </c>
      <c r="HB268" s="113"/>
      <c r="HC268" s="113"/>
      <c r="HD268" s="113"/>
      <c r="HE268" s="113"/>
      <c r="HF268" s="113"/>
      <c r="HG268" s="46">
        <v>0</v>
      </c>
      <c r="HH268" s="113"/>
      <c r="HI268" s="113"/>
      <c r="HJ268" s="113"/>
      <c r="HK268" s="113"/>
      <c r="HL268" s="113"/>
      <c r="HM268" s="121"/>
      <c r="HN268" s="121"/>
      <c r="LM268" t="str">
        <v/>
      </c>
      <c r="LN268" t="str">
        <v/>
      </c>
      <c r="LO268" t="str">
        <v/>
      </c>
    </row>
    <row r="269" spans="30:327">
      <c r="AD269" t="s">
        <v>113</v>
      </c>
      <c r="AE269" t="s">
        <v>23156</v>
      </c>
      <c r="AF269" s="46">
        <v>0</v>
      </c>
      <c r="AG269" s="113"/>
      <c r="AH269" s="113"/>
      <c r="AI269" s="113"/>
      <c r="AJ269" s="113"/>
      <c r="AK269" s="113"/>
      <c r="AL269" s="46">
        <v>0</v>
      </c>
      <c r="AM269" s="113"/>
      <c r="AN269" s="113"/>
      <c r="AO269" s="113"/>
      <c r="AP269" s="113"/>
      <c r="AQ269" s="113"/>
      <c r="AR269" s="46">
        <v>0</v>
      </c>
      <c r="AS269" s="113"/>
      <c r="AT269" s="113"/>
      <c r="AU269" s="113"/>
      <c r="AV269" s="113"/>
      <c r="AW269" s="113"/>
      <c r="AX269" s="46">
        <v>0</v>
      </c>
      <c r="AY269" s="113"/>
      <c r="AZ269" s="113"/>
      <c r="BA269" s="113"/>
      <c r="BB269" s="113"/>
      <c r="BC269" s="113"/>
      <c r="BD269" s="46">
        <v>0</v>
      </c>
      <c r="BE269" s="113"/>
      <c r="BF269" s="113"/>
      <c r="BG269" s="113"/>
      <c r="BH269" s="113"/>
      <c r="BI269" s="113"/>
      <c r="BJ269" s="46">
        <v>0</v>
      </c>
      <c r="BK269" s="113"/>
      <c r="BL269" s="113"/>
      <c r="BM269" s="113"/>
      <c r="BN269" s="113"/>
      <c r="BO269" s="113"/>
      <c r="BP269" s="121"/>
      <c r="BQ269" s="121"/>
      <c r="GA269" t="s">
        <v>113</v>
      </c>
      <c r="GB269" t="s">
        <v>23156</v>
      </c>
      <c r="GC269" s="46">
        <v>0</v>
      </c>
      <c r="GD269" s="113"/>
      <c r="GE269" s="113"/>
      <c r="GF269" s="113"/>
      <c r="GG269" s="113"/>
      <c r="GH269" s="113"/>
      <c r="GI269" s="46">
        <v>0</v>
      </c>
      <c r="GJ269" s="113"/>
      <c r="GK269" s="113"/>
      <c r="GL269" s="113"/>
      <c r="GM269" s="113"/>
      <c r="GN269" s="113"/>
      <c r="GO269" s="46">
        <v>0</v>
      </c>
      <c r="GP269" s="113"/>
      <c r="GQ269" s="113"/>
      <c r="GR269" s="113"/>
      <c r="GS269" s="113"/>
      <c r="GT269" s="113"/>
      <c r="GU269" s="46">
        <v>0</v>
      </c>
      <c r="GV269" s="113"/>
      <c r="GW269" s="113"/>
      <c r="GX269" s="113"/>
      <c r="GY269" s="113"/>
      <c r="GZ269" s="113"/>
      <c r="HA269" s="46">
        <v>0</v>
      </c>
      <c r="HB269" s="113"/>
      <c r="HC269" s="113"/>
      <c r="HD269" s="113"/>
      <c r="HE269" s="113"/>
      <c r="HF269" s="113"/>
      <c r="HG269" s="46">
        <v>0</v>
      </c>
      <c r="HH269" s="113"/>
      <c r="HI269" s="113"/>
      <c r="HJ269" s="113"/>
      <c r="HK269" s="113"/>
      <c r="HL269" s="113"/>
      <c r="HM269" s="121"/>
      <c r="HN269" s="121"/>
      <c r="LM269" t="str">
        <v/>
      </c>
      <c r="LN269" t="str">
        <v/>
      </c>
      <c r="LO269" t="str">
        <v/>
      </c>
    </row>
    <row r="270" spans="30:327">
      <c r="AD270" t="s">
        <v>113</v>
      </c>
      <c r="AE270" t="s">
        <v>23157</v>
      </c>
      <c r="AF270" s="46">
        <v>0</v>
      </c>
      <c r="AG270" s="113"/>
      <c r="AH270" s="113"/>
      <c r="AI270" s="113"/>
      <c r="AJ270" s="113"/>
      <c r="AK270" s="113"/>
      <c r="AL270" s="46">
        <v>0</v>
      </c>
      <c r="AM270" s="113"/>
      <c r="AN270" s="113"/>
      <c r="AO270" s="113"/>
      <c r="AP270" s="113"/>
      <c r="AQ270" s="113"/>
      <c r="AR270" s="46">
        <v>0</v>
      </c>
      <c r="AS270" s="113"/>
      <c r="AT270" s="113"/>
      <c r="AU270" s="113"/>
      <c r="AV270" s="113"/>
      <c r="AW270" s="113"/>
      <c r="AX270" s="46">
        <v>0</v>
      </c>
      <c r="AY270" s="113"/>
      <c r="AZ270" s="113"/>
      <c r="BA270" s="113"/>
      <c r="BB270" s="113"/>
      <c r="BC270" s="113"/>
      <c r="BD270" s="46">
        <v>0</v>
      </c>
      <c r="BE270" s="113"/>
      <c r="BF270" s="113"/>
      <c r="BG270" s="113"/>
      <c r="BH270" s="113"/>
      <c r="BI270" s="113"/>
      <c r="BJ270" s="46">
        <v>0</v>
      </c>
      <c r="BK270" s="113"/>
      <c r="BL270" s="113"/>
      <c r="BM270" s="113"/>
      <c r="BN270" s="113"/>
      <c r="BO270" s="113"/>
      <c r="BP270" s="121"/>
      <c r="BQ270" s="121"/>
      <c r="GA270" t="s">
        <v>113</v>
      </c>
      <c r="GB270" t="s">
        <v>23157</v>
      </c>
      <c r="GC270" s="46">
        <v>0</v>
      </c>
      <c r="GD270" s="113"/>
      <c r="GE270" s="113"/>
      <c r="GF270" s="113"/>
      <c r="GG270" s="113"/>
      <c r="GH270" s="113"/>
      <c r="GI270" s="46">
        <v>0</v>
      </c>
      <c r="GJ270" s="113"/>
      <c r="GK270" s="113"/>
      <c r="GL270" s="113"/>
      <c r="GM270" s="113"/>
      <c r="GN270" s="113"/>
      <c r="GO270" s="46">
        <v>0</v>
      </c>
      <c r="GP270" s="113"/>
      <c r="GQ270" s="113"/>
      <c r="GR270" s="113"/>
      <c r="GS270" s="113"/>
      <c r="GT270" s="113"/>
      <c r="GU270" s="46">
        <v>0</v>
      </c>
      <c r="GV270" s="113"/>
      <c r="GW270" s="113"/>
      <c r="GX270" s="113"/>
      <c r="GY270" s="113"/>
      <c r="GZ270" s="113"/>
      <c r="HA270" s="46">
        <v>0</v>
      </c>
      <c r="HB270" s="113"/>
      <c r="HC270" s="113"/>
      <c r="HD270" s="113"/>
      <c r="HE270" s="113"/>
      <c r="HF270" s="113"/>
      <c r="HG270" s="46">
        <v>0</v>
      </c>
      <c r="HH270" s="113"/>
      <c r="HI270" s="113"/>
      <c r="HJ270" s="113"/>
      <c r="HK270" s="113"/>
      <c r="HL270" s="113"/>
      <c r="HM270" s="121"/>
      <c r="HN270" s="121"/>
      <c r="LM270" t="str">
        <v/>
      </c>
      <c r="LN270" t="str">
        <v/>
      </c>
      <c r="LO270" t="str">
        <v/>
      </c>
    </row>
    <row r="271" spans="30:327">
      <c r="AD271" t="s">
        <v>113</v>
      </c>
      <c r="AE271" t="s">
        <v>23158</v>
      </c>
      <c r="AF271" s="46">
        <v>0</v>
      </c>
      <c r="AG271" s="113"/>
      <c r="AH271" s="113"/>
      <c r="AI271" s="113"/>
      <c r="AJ271" s="113"/>
      <c r="AK271" s="113"/>
      <c r="AL271" s="46">
        <v>0</v>
      </c>
      <c r="AM271" s="113"/>
      <c r="AN271" s="113"/>
      <c r="AO271" s="113"/>
      <c r="AP271" s="113"/>
      <c r="AQ271" s="113"/>
      <c r="AR271" s="46">
        <v>0</v>
      </c>
      <c r="AS271" s="113"/>
      <c r="AT271" s="113"/>
      <c r="AU271" s="113"/>
      <c r="AV271" s="113"/>
      <c r="AW271" s="113"/>
      <c r="AX271" s="46">
        <v>0</v>
      </c>
      <c r="AY271" s="113"/>
      <c r="AZ271" s="113"/>
      <c r="BA271" s="113"/>
      <c r="BB271" s="113"/>
      <c r="BC271" s="113"/>
      <c r="BD271" s="46">
        <v>0</v>
      </c>
      <c r="BE271" s="113"/>
      <c r="BF271" s="113"/>
      <c r="BG271" s="113"/>
      <c r="BH271" s="113"/>
      <c r="BI271" s="113"/>
      <c r="BJ271" s="46">
        <v>0</v>
      </c>
      <c r="BK271" s="113"/>
      <c r="BL271" s="113"/>
      <c r="BM271" s="113"/>
      <c r="BN271" s="113"/>
      <c r="BO271" s="113"/>
      <c r="BP271" s="121"/>
      <c r="BQ271" s="121"/>
      <c r="GA271" t="s">
        <v>113</v>
      </c>
      <c r="GB271" t="s">
        <v>23158</v>
      </c>
      <c r="GC271" s="46">
        <v>0</v>
      </c>
      <c r="GD271" s="113"/>
      <c r="GE271" s="113"/>
      <c r="GF271" s="113"/>
      <c r="GG271" s="113"/>
      <c r="GH271" s="113"/>
      <c r="GI271" s="46">
        <v>0</v>
      </c>
      <c r="GJ271" s="113"/>
      <c r="GK271" s="113"/>
      <c r="GL271" s="113"/>
      <c r="GM271" s="113"/>
      <c r="GN271" s="113"/>
      <c r="GO271" s="46">
        <v>0</v>
      </c>
      <c r="GP271" s="113"/>
      <c r="GQ271" s="113"/>
      <c r="GR271" s="113"/>
      <c r="GS271" s="113"/>
      <c r="GT271" s="113"/>
      <c r="GU271" s="46">
        <v>0</v>
      </c>
      <c r="GV271" s="113"/>
      <c r="GW271" s="113"/>
      <c r="GX271" s="113"/>
      <c r="GY271" s="113"/>
      <c r="GZ271" s="113"/>
      <c r="HA271" s="46">
        <v>0</v>
      </c>
      <c r="HB271" s="113"/>
      <c r="HC271" s="113"/>
      <c r="HD271" s="113"/>
      <c r="HE271" s="113"/>
      <c r="HF271" s="113"/>
      <c r="HG271" s="46">
        <v>0</v>
      </c>
      <c r="HH271" s="113"/>
      <c r="HI271" s="113"/>
      <c r="HJ271" s="113"/>
      <c r="HK271" s="113"/>
      <c r="HL271" s="113"/>
      <c r="HM271" s="121"/>
      <c r="HN271" s="121"/>
      <c r="LM271" t="str">
        <v/>
      </c>
      <c r="LN271" t="str">
        <v/>
      </c>
      <c r="LO271" t="str">
        <v/>
      </c>
    </row>
    <row r="272" spans="30:327">
      <c r="AD272" t="s">
        <v>113</v>
      </c>
      <c r="AE272" t="s">
        <v>23159</v>
      </c>
      <c r="AF272" s="46">
        <v>0</v>
      </c>
      <c r="AG272" s="113"/>
      <c r="AH272" s="113"/>
      <c r="AI272" s="113"/>
      <c r="AJ272" s="113"/>
      <c r="AK272" s="113"/>
      <c r="AL272" s="46">
        <v>0</v>
      </c>
      <c r="AM272" s="113"/>
      <c r="AN272" s="113"/>
      <c r="AO272" s="113"/>
      <c r="AP272" s="113"/>
      <c r="AQ272" s="113"/>
      <c r="AR272" s="46">
        <v>0</v>
      </c>
      <c r="AS272" s="113"/>
      <c r="AT272" s="113"/>
      <c r="AU272" s="113"/>
      <c r="AV272" s="113"/>
      <c r="AW272" s="113"/>
      <c r="AX272" s="46">
        <v>0</v>
      </c>
      <c r="AY272" s="113"/>
      <c r="AZ272" s="113"/>
      <c r="BA272" s="113"/>
      <c r="BB272" s="113"/>
      <c r="BC272" s="113"/>
      <c r="BD272" s="46">
        <v>0</v>
      </c>
      <c r="BE272" s="113"/>
      <c r="BF272" s="113"/>
      <c r="BG272" s="113"/>
      <c r="BH272" s="113"/>
      <c r="BI272" s="113"/>
      <c r="BJ272" s="46">
        <v>0</v>
      </c>
      <c r="BK272" s="113"/>
      <c r="BL272" s="113"/>
      <c r="BM272" s="113"/>
      <c r="BN272" s="113"/>
      <c r="BO272" s="113"/>
      <c r="BP272" s="121"/>
      <c r="BQ272" s="121"/>
      <c r="GA272" t="s">
        <v>113</v>
      </c>
      <c r="GB272" t="s">
        <v>23159</v>
      </c>
      <c r="GC272" s="46">
        <v>0</v>
      </c>
      <c r="GD272" s="113"/>
      <c r="GE272" s="113"/>
      <c r="GF272" s="113"/>
      <c r="GG272" s="113"/>
      <c r="GH272" s="113"/>
      <c r="GI272" s="46">
        <v>0</v>
      </c>
      <c r="GJ272" s="113"/>
      <c r="GK272" s="113"/>
      <c r="GL272" s="113"/>
      <c r="GM272" s="113"/>
      <c r="GN272" s="113"/>
      <c r="GO272" s="46">
        <v>0</v>
      </c>
      <c r="GP272" s="113"/>
      <c r="GQ272" s="113"/>
      <c r="GR272" s="113"/>
      <c r="GS272" s="113"/>
      <c r="GT272" s="113"/>
      <c r="GU272" s="46">
        <v>0</v>
      </c>
      <c r="GV272" s="113"/>
      <c r="GW272" s="113"/>
      <c r="GX272" s="113"/>
      <c r="GY272" s="113"/>
      <c r="GZ272" s="113"/>
      <c r="HA272" s="46">
        <v>0</v>
      </c>
      <c r="HB272" s="113"/>
      <c r="HC272" s="113"/>
      <c r="HD272" s="113"/>
      <c r="HE272" s="113"/>
      <c r="HF272" s="113"/>
      <c r="HG272" s="46">
        <v>0</v>
      </c>
      <c r="HH272" s="113"/>
      <c r="HI272" s="113"/>
      <c r="HJ272" s="113"/>
      <c r="HK272" s="113"/>
      <c r="HL272" s="113"/>
      <c r="HM272" s="121"/>
      <c r="HN272" s="121"/>
      <c r="LM272" t="str">
        <v/>
      </c>
      <c r="LN272" t="str">
        <v/>
      </c>
      <c r="LO272" t="str">
        <v/>
      </c>
    </row>
    <row r="273" spans="30:327">
      <c r="AD273" t="s">
        <v>113</v>
      </c>
      <c r="AE273" t="s">
        <v>23160</v>
      </c>
      <c r="AF273" s="46">
        <v>0</v>
      </c>
      <c r="AG273" s="113"/>
      <c r="AH273" s="113"/>
      <c r="AI273" s="113"/>
      <c r="AJ273" s="113"/>
      <c r="AK273" s="113"/>
      <c r="AL273" s="46">
        <v>0</v>
      </c>
      <c r="AM273" s="113"/>
      <c r="AN273" s="113"/>
      <c r="AO273" s="113"/>
      <c r="AP273" s="113"/>
      <c r="AQ273" s="113"/>
      <c r="AR273" s="46">
        <v>0</v>
      </c>
      <c r="AS273" s="113"/>
      <c r="AT273" s="113"/>
      <c r="AU273" s="113"/>
      <c r="AV273" s="113"/>
      <c r="AW273" s="113"/>
      <c r="AX273" s="46">
        <v>0</v>
      </c>
      <c r="AY273" s="113"/>
      <c r="AZ273" s="113"/>
      <c r="BA273" s="113"/>
      <c r="BB273" s="113"/>
      <c r="BC273" s="113"/>
      <c r="BD273" s="46">
        <v>0</v>
      </c>
      <c r="BE273" s="113"/>
      <c r="BF273" s="113"/>
      <c r="BG273" s="113"/>
      <c r="BH273" s="113"/>
      <c r="BI273" s="113"/>
      <c r="BJ273" s="46">
        <v>0</v>
      </c>
      <c r="BK273" s="113"/>
      <c r="BL273" s="113"/>
      <c r="BM273" s="113"/>
      <c r="BN273" s="113"/>
      <c r="BO273" s="113"/>
      <c r="BP273" s="121"/>
      <c r="BQ273" s="121"/>
      <c r="GA273" t="s">
        <v>113</v>
      </c>
      <c r="GB273" t="s">
        <v>23160</v>
      </c>
      <c r="GC273" s="46">
        <v>0</v>
      </c>
      <c r="GD273" s="113"/>
      <c r="GE273" s="113"/>
      <c r="GF273" s="113"/>
      <c r="GG273" s="113"/>
      <c r="GH273" s="113"/>
      <c r="GI273" s="46">
        <v>0</v>
      </c>
      <c r="GJ273" s="113"/>
      <c r="GK273" s="113"/>
      <c r="GL273" s="113"/>
      <c r="GM273" s="113"/>
      <c r="GN273" s="113"/>
      <c r="GO273" s="46">
        <v>0</v>
      </c>
      <c r="GP273" s="113"/>
      <c r="GQ273" s="113"/>
      <c r="GR273" s="113"/>
      <c r="GS273" s="113"/>
      <c r="GT273" s="113"/>
      <c r="GU273" s="46">
        <v>0</v>
      </c>
      <c r="GV273" s="113"/>
      <c r="GW273" s="113"/>
      <c r="GX273" s="113"/>
      <c r="GY273" s="113"/>
      <c r="GZ273" s="113"/>
      <c r="HA273" s="46">
        <v>0</v>
      </c>
      <c r="HB273" s="113"/>
      <c r="HC273" s="113"/>
      <c r="HD273" s="113"/>
      <c r="HE273" s="113"/>
      <c r="HF273" s="113"/>
      <c r="HG273" s="46">
        <v>0</v>
      </c>
      <c r="HH273" s="113"/>
      <c r="HI273" s="113"/>
      <c r="HJ273" s="113"/>
      <c r="HK273" s="113"/>
      <c r="HL273" s="113"/>
      <c r="HM273" s="121"/>
      <c r="HN273" s="121"/>
      <c r="LM273" t="str">
        <v/>
      </c>
      <c r="LN273" t="str">
        <v/>
      </c>
      <c r="LO273" t="str">
        <v/>
      </c>
    </row>
    <row r="274" spans="30:327">
      <c r="AD274" t="s">
        <v>113</v>
      </c>
      <c r="AE274" t="s">
        <v>23161</v>
      </c>
      <c r="AF274" s="46">
        <v>0</v>
      </c>
      <c r="AG274" s="113"/>
      <c r="AH274" s="113"/>
      <c r="AI274" s="113"/>
      <c r="AJ274" s="113"/>
      <c r="AK274" s="113"/>
      <c r="AL274" s="46">
        <v>0</v>
      </c>
      <c r="AM274" s="113"/>
      <c r="AN274" s="113"/>
      <c r="AO274" s="113"/>
      <c r="AP274" s="113"/>
      <c r="AQ274" s="113"/>
      <c r="AR274" s="46">
        <v>0</v>
      </c>
      <c r="AS274" s="113"/>
      <c r="AT274" s="113"/>
      <c r="AU274" s="113"/>
      <c r="AV274" s="113"/>
      <c r="AW274" s="113"/>
      <c r="AX274" s="46">
        <v>0</v>
      </c>
      <c r="AY274" s="113"/>
      <c r="AZ274" s="113"/>
      <c r="BA274" s="113"/>
      <c r="BB274" s="113"/>
      <c r="BC274" s="113"/>
      <c r="BD274" s="46">
        <v>0</v>
      </c>
      <c r="BE274" s="113"/>
      <c r="BF274" s="113"/>
      <c r="BG274" s="113"/>
      <c r="BH274" s="113"/>
      <c r="BI274" s="113"/>
      <c r="BJ274" s="46">
        <v>0</v>
      </c>
      <c r="BK274" s="113"/>
      <c r="BL274" s="113"/>
      <c r="BM274" s="113"/>
      <c r="BN274" s="113"/>
      <c r="BO274" s="113"/>
      <c r="BP274" s="121"/>
      <c r="BQ274" s="121"/>
      <c r="GA274" t="s">
        <v>113</v>
      </c>
      <c r="GB274" t="s">
        <v>23161</v>
      </c>
      <c r="GC274" s="46">
        <v>0</v>
      </c>
      <c r="GD274" s="113"/>
      <c r="GE274" s="113"/>
      <c r="GF274" s="113"/>
      <c r="GG274" s="113"/>
      <c r="GH274" s="113"/>
      <c r="GI274" s="46">
        <v>0</v>
      </c>
      <c r="GJ274" s="113"/>
      <c r="GK274" s="113"/>
      <c r="GL274" s="113"/>
      <c r="GM274" s="113"/>
      <c r="GN274" s="113"/>
      <c r="GO274" s="46">
        <v>0</v>
      </c>
      <c r="GP274" s="113"/>
      <c r="GQ274" s="113"/>
      <c r="GR274" s="113"/>
      <c r="GS274" s="113"/>
      <c r="GT274" s="113"/>
      <c r="GU274" s="46">
        <v>0</v>
      </c>
      <c r="GV274" s="113"/>
      <c r="GW274" s="113"/>
      <c r="GX274" s="113"/>
      <c r="GY274" s="113"/>
      <c r="GZ274" s="113"/>
      <c r="HA274" s="46">
        <v>0</v>
      </c>
      <c r="HB274" s="113"/>
      <c r="HC274" s="113"/>
      <c r="HD274" s="113"/>
      <c r="HE274" s="113"/>
      <c r="HF274" s="113"/>
      <c r="HG274" s="46">
        <v>0</v>
      </c>
      <c r="HH274" s="113"/>
      <c r="HI274" s="113"/>
      <c r="HJ274" s="113"/>
      <c r="HK274" s="113"/>
      <c r="HL274" s="113"/>
      <c r="HM274" s="121"/>
      <c r="HN274" s="121"/>
      <c r="LM274" t="str">
        <v/>
      </c>
      <c r="LN274" t="str">
        <v/>
      </c>
      <c r="LO274" t="str">
        <v/>
      </c>
    </row>
    <row r="275" spans="30:327">
      <c r="AD275" t="s">
        <v>113</v>
      </c>
      <c r="AE275" t="s">
        <v>23162</v>
      </c>
      <c r="AF275" s="46">
        <v>0</v>
      </c>
      <c r="AG275" s="113"/>
      <c r="AH275" s="113"/>
      <c r="AI275" s="113"/>
      <c r="AJ275" s="113"/>
      <c r="AK275" s="113"/>
      <c r="AL275" s="46">
        <v>0</v>
      </c>
      <c r="AM275" s="113"/>
      <c r="AN275" s="113"/>
      <c r="AO275" s="113"/>
      <c r="AP275" s="113"/>
      <c r="AQ275" s="113"/>
      <c r="AR275" s="46">
        <v>0</v>
      </c>
      <c r="AS275" s="113"/>
      <c r="AT275" s="113"/>
      <c r="AU275" s="113"/>
      <c r="AV275" s="113"/>
      <c r="AW275" s="113"/>
      <c r="AX275" s="46">
        <v>0</v>
      </c>
      <c r="AY275" s="113"/>
      <c r="AZ275" s="113"/>
      <c r="BA275" s="113"/>
      <c r="BB275" s="113"/>
      <c r="BC275" s="113"/>
      <c r="BD275" s="46">
        <v>0</v>
      </c>
      <c r="BE275" s="113"/>
      <c r="BF275" s="113"/>
      <c r="BG275" s="113"/>
      <c r="BH275" s="113"/>
      <c r="BI275" s="113"/>
      <c r="BJ275" s="46">
        <v>0</v>
      </c>
      <c r="BK275" s="113"/>
      <c r="BL275" s="113"/>
      <c r="BM275" s="113"/>
      <c r="BN275" s="113"/>
      <c r="BO275" s="113"/>
      <c r="BP275" s="121"/>
      <c r="BQ275" s="121"/>
      <c r="GA275" t="s">
        <v>113</v>
      </c>
      <c r="GB275" t="s">
        <v>23162</v>
      </c>
      <c r="GC275" s="46">
        <v>0</v>
      </c>
      <c r="GD275" s="113"/>
      <c r="GE275" s="113"/>
      <c r="GF275" s="113"/>
      <c r="GG275" s="113"/>
      <c r="GH275" s="113"/>
      <c r="GI275" s="46">
        <v>0</v>
      </c>
      <c r="GJ275" s="113"/>
      <c r="GK275" s="113"/>
      <c r="GL275" s="113"/>
      <c r="GM275" s="113"/>
      <c r="GN275" s="113"/>
      <c r="GO275" s="46">
        <v>0</v>
      </c>
      <c r="GP275" s="113"/>
      <c r="GQ275" s="113"/>
      <c r="GR275" s="113"/>
      <c r="GS275" s="113"/>
      <c r="GT275" s="113"/>
      <c r="GU275" s="46">
        <v>0</v>
      </c>
      <c r="GV275" s="113"/>
      <c r="GW275" s="113"/>
      <c r="GX275" s="113"/>
      <c r="GY275" s="113"/>
      <c r="GZ275" s="113"/>
      <c r="HA275" s="46">
        <v>0</v>
      </c>
      <c r="HB275" s="113"/>
      <c r="HC275" s="113"/>
      <c r="HD275" s="113"/>
      <c r="HE275" s="113"/>
      <c r="HF275" s="113"/>
      <c r="HG275" s="46">
        <v>0</v>
      </c>
      <c r="HH275" s="113"/>
      <c r="HI275" s="113"/>
      <c r="HJ275" s="113"/>
      <c r="HK275" s="113"/>
      <c r="HL275" s="113"/>
      <c r="HM275" s="121"/>
      <c r="HN275" s="121"/>
      <c r="LM275" t="str">
        <v/>
      </c>
      <c r="LN275" t="str">
        <v/>
      </c>
      <c r="LO275" t="str">
        <v/>
      </c>
    </row>
    <row r="276" spans="30:327">
      <c r="AD276" t="s">
        <v>113</v>
      </c>
      <c r="AE276" t="s">
        <v>23163</v>
      </c>
      <c r="AF276" s="46">
        <v>0</v>
      </c>
      <c r="AG276" s="113"/>
      <c r="AH276" s="113"/>
      <c r="AI276" s="113"/>
      <c r="AJ276" s="113"/>
      <c r="AK276" s="113"/>
      <c r="AL276" s="46">
        <v>0</v>
      </c>
      <c r="AM276" s="113"/>
      <c r="AN276" s="113"/>
      <c r="AO276" s="113"/>
      <c r="AP276" s="113"/>
      <c r="AQ276" s="113"/>
      <c r="AR276" s="46">
        <v>0</v>
      </c>
      <c r="AS276" s="113"/>
      <c r="AT276" s="113"/>
      <c r="AU276" s="113"/>
      <c r="AV276" s="113"/>
      <c r="AW276" s="113"/>
      <c r="AX276" s="46">
        <v>0</v>
      </c>
      <c r="AY276" s="113"/>
      <c r="AZ276" s="113"/>
      <c r="BA276" s="113"/>
      <c r="BB276" s="113"/>
      <c r="BC276" s="113"/>
      <c r="BD276" s="46">
        <v>0</v>
      </c>
      <c r="BE276" s="113"/>
      <c r="BF276" s="113"/>
      <c r="BG276" s="113"/>
      <c r="BH276" s="113"/>
      <c r="BI276" s="113"/>
      <c r="BJ276" s="46">
        <v>0</v>
      </c>
      <c r="BK276" s="113"/>
      <c r="BL276" s="113"/>
      <c r="BM276" s="113"/>
      <c r="BN276" s="113"/>
      <c r="BO276" s="113"/>
      <c r="BP276" s="121"/>
      <c r="BQ276" s="121"/>
      <c r="GA276" t="s">
        <v>113</v>
      </c>
      <c r="GB276" t="s">
        <v>23163</v>
      </c>
      <c r="GC276" s="46">
        <v>0</v>
      </c>
      <c r="GD276" s="113"/>
      <c r="GE276" s="113"/>
      <c r="GF276" s="113"/>
      <c r="GG276" s="113"/>
      <c r="GH276" s="113"/>
      <c r="GI276" s="46">
        <v>0</v>
      </c>
      <c r="GJ276" s="113"/>
      <c r="GK276" s="113"/>
      <c r="GL276" s="113"/>
      <c r="GM276" s="113"/>
      <c r="GN276" s="113"/>
      <c r="GO276" s="46">
        <v>0</v>
      </c>
      <c r="GP276" s="113"/>
      <c r="GQ276" s="113"/>
      <c r="GR276" s="113"/>
      <c r="GS276" s="113"/>
      <c r="GT276" s="113"/>
      <c r="GU276" s="46">
        <v>0</v>
      </c>
      <c r="GV276" s="113"/>
      <c r="GW276" s="113"/>
      <c r="GX276" s="113"/>
      <c r="GY276" s="113"/>
      <c r="GZ276" s="113"/>
      <c r="HA276" s="46">
        <v>0</v>
      </c>
      <c r="HB276" s="113"/>
      <c r="HC276" s="113"/>
      <c r="HD276" s="113"/>
      <c r="HE276" s="113"/>
      <c r="HF276" s="113"/>
      <c r="HG276" s="46">
        <v>0</v>
      </c>
      <c r="HH276" s="113"/>
      <c r="HI276" s="113"/>
      <c r="HJ276" s="113"/>
      <c r="HK276" s="113"/>
      <c r="HL276" s="113"/>
      <c r="HM276" s="121"/>
      <c r="HN276" s="121"/>
      <c r="LM276" t="str">
        <v/>
      </c>
      <c r="LN276" t="str">
        <v/>
      </c>
      <c r="LO276" t="str">
        <v/>
      </c>
    </row>
    <row r="277" spans="30:327">
      <c r="AD277" t="s">
        <v>113</v>
      </c>
      <c r="AE277" t="s">
        <v>23164</v>
      </c>
      <c r="AF277" s="46">
        <v>0</v>
      </c>
      <c r="AG277" s="113"/>
      <c r="AH277" s="113"/>
      <c r="AI277" s="113"/>
      <c r="AJ277" s="113"/>
      <c r="AK277" s="113"/>
      <c r="AL277" s="46">
        <v>0</v>
      </c>
      <c r="AM277" s="113"/>
      <c r="AN277" s="113"/>
      <c r="AO277" s="113"/>
      <c r="AP277" s="113"/>
      <c r="AQ277" s="113"/>
      <c r="AR277" s="46">
        <v>0</v>
      </c>
      <c r="AS277" s="113"/>
      <c r="AT277" s="113"/>
      <c r="AU277" s="113"/>
      <c r="AV277" s="113"/>
      <c r="AW277" s="113"/>
      <c r="AX277" s="46">
        <v>0</v>
      </c>
      <c r="AY277" s="113"/>
      <c r="AZ277" s="113"/>
      <c r="BA277" s="113"/>
      <c r="BB277" s="113"/>
      <c r="BC277" s="113"/>
      <c r="BD277" s="46">
        <v>0</v>
      </c>
      <c r="BE277" s="113"/>
      <c r="BF277" s="113"/>
      <c r="BG277" s="113"/>
      <c r="BH277" s="113"/>
      <c r="BI277" s="113"/>
      <c r="BJ277" s="46">
        <v>0</v>
      </c>
      <c r="BK277" s="113"/>
      <c r="BL277" s="113"/>
      <c r="BM277" s="113"/>
      <c r="BN277" s="113"/>
      <c r="BO277" s="113"/>
      <c r="BP277" s="121"/>
      <c r="BQ277" s="121"/>
      <c r="GA277" t="s">
        <v>113</v>
      </c>
      <c r="GB277" t="s">
        <v>23164</v>
      </c>
      <c r="GC277" s="46">
        <v>0</v>
      </c>
      <c r="GD277" s="113"/>
      <c r="GE277" s="113"/>
      <c r="GF277" s="113"/>
      <c r="GG277" s="113"/>
      <c r="GH277" s="113"/>
      <c r="GI277" s="46">
        <v>0</v>
      </c>
      <c r="GJ277" s="113"/>
      <c r="GK277" s="113"/>
      <c r="GL277" s="113"/>
      <c r="GM277" s="113"/>
      <c r="GN277" s="113"/>
      <c r="GO277" s="46">
        <v>0</v>
      </c>
      <c r="GP277" s="113"/>
      <c r="GQ277" s="113"/>
      <c r="GR277" s="113"/>
      <c r="GS277" s="113"/>
      <c r="GT277" s="113"/>
      <c r="GU277" s="46">
        <v>0</v>
      </c>
      <c r="GV277" s="113"/>
      <c r="GW277" s="113"/>
      <c r="GX277" s="113"/>
      <c r="GY277" s="113"/>
      <c r="GZ277" s="113"/>
      <c r="HA277" s="46">
        <v>0</v>
      </c>
      <c r="HB277" s="113"/>
      <c r="HC277" s="113"/>
      <c r="HD277" s="113"/>
      <c r="HE277" s="113"/>
      <c r="HF277" s="113"/>
      <c r="HG277" s="46">
        <v>0</v>
      </c>
      <c r="HH277" s="113"/>
      <c r="HI277" s="113"/>
      <c r="HJ277" s="113"/>
      <c r="HK277" s="113"/>
      <c r="HL277" s="113"/>
      <c r="HM277" s="121"/>
      <c r="HN277" s="121"/>
      <c r="LM277" t="str">
        <v/>
      </c>
      <c r="LN277" t="str">
        <v/>
      </c>
      <c r="LO277" t="str">
        <v/>
      </c>
    </row>
    <row r="278" spans="30:327">
      <c r="AD278" t="s">
        <v>113</v>
      </c>
      <c r="AE278" t="s">
        <v>23165</v>
      </c>
      <c r="AF278" s="46">
        <v>0</v>
      </c>
      <c r="AG278" s="113"/>
      <c r="AH278" s="113"/>
      <c r="AI278" s="113"/>
      <c r="AJ278" s="113"/>
      <c r="AK278" s="113"/>
      <c r="AL278" s="46">
        <v>0</v>
      </c>
      <c r="AM278" s="113"/>
      <c r="AN278" s="113"/>
      <c r="AO278" s="113"/>
      <c r="AP278" s="113"/>
      <c r="AQ278" s="113"/>
      <c r="AR278" s="46">
        <v>0</v>
      </c>
      <c r="AS278" s="113"/>
      <c r="AT278" s="113"/>
      <c r="AU278" s="113"/>
      <c r="AV278" s="113"/>
      <c r="AW278" s="113"/>
      <c r="AX278" s="46">
        <v>0</v>
      </c>
      <c r="AY278" s="113"/>
      <c r="AZ278" s="113"/>
      <c r="BA278" s="113"/>
      <c r="BB278" s="113"/>
      <c r="BC278" s="113"/>
      <c r="BD278" s="46">
        <v>0</v>
      </c>
      <c r="BE278" s="113"/>
      <c r="BF278" s="113"/>
      <c r="BG278" s="113"/>
      <c r="BH278" s="113"/>
      <c r="BI278" s="113"/>
      <c r="BJ278" s="46">
        <v>0</v>
      </c>
      <c r="BK278" s="113"/>
      <c r="BL278" s="113"/>
      <c r="BM278" s="113"/>
      <c r="BN278" s="113"/>
      <c r="BO278" s="113"/>
      <c r="BP278" s="121"/>
      <c r="BQ278" s="121"/>
      <c r="GA278" t="s">
        <v>113</v>
      </c>
      <c r="GB278" t="s">
        <v>23165</v>
      </c>
      <c r="GC278" s="46">
        <v>0</v>
      </c>
      <c r="GD278" s="113"/>
      <c r="GE278" s="113"/>
      <c r="GF278" s="113"/>
      <c r="GG278" s="113"/>
      <c r="GH278" s="113"/>
      <c r="GI278" s="46">
        <v>0</v>
      </c>
      <c r="GJ278" s="113"/>
      <c r="GK278" s="113"/>
      <c r="GL278" s="113"/>
      <c r="GM278" s="113"/>
      <c r="GN278" s="113"/>
      <c r="GO278" s="46">
        <v>0</v>
      </c>
      <c r="GP278" s="113"/>
      <c r="GQ278" s="113"/>
      <c r="GR278" s="113"/>
      <c r="GS278" s="113"/>
      <c r="GT278" s="113"/>
      <c r="GU278" s="46">
        <v>0</v>
      </c>
      <c r="GV278" s="113"/>
      <c r="GW278" s="113"/>
      <c r="GX278" s="113"/>
      <c r="GY278" s="113"/>
      <c r="GZ278" s="113"/>
      <c r="HA278" s="46">
        <v>0</v>
      </c>
      <c r="HB278" s="113"/>
      <c r="HC278" s="113"/>
      <c r="HD278" s="113"/>
      <c r="HE278" s="113"/>
      <c r="HF278" s="113"/>
      <c r="HG278" s="46">
        <v>0</v>
      </c>
      <c r="HH278" s="113"/>
      <c r="HI278" s="113"/>
      <c r="HJ278" s="113"/>
      <c r="HK278" s="113"/>
      <c r="HL278" s="113"/>
      <c r="HM278" s="121"/>
      <c r="HN278" s="121"/>
      <c r="LM278" t="str">
        <v/>
      </c>
      <c r="LN278" t="str">
        <v/>
      </c>
      <c r="LO278" t="str">
        <v/>
      </c>
    </row>
    <row r="279" spans="30:327">
      <c r="AD279" t="s">
        <v>113</v>
      </c>
      <c r="AE279" t="s">
        <v>23166</v>
      </c>
      <c r="AF279" s="46">
        <v>0</v>
      </c>
      <c r="AG279" s="113"/>
      <c r="AH279" s="113"/>
      <c r="AI279" s="113"/>
      <c r="AJ279" s="113"/>
      <c r="AK279" s="113"/>
      <c r="AL279" s="46">
        <v>0</v>
      </c>
      <c r="AM279" s="113"/>
      <c r="AN279" s="113"/>
      <c r="AO279" s="113"/>
      <c r="AP279" s="113"/>
      <c r="AQ279" s="113"/>
      <c r="AR279" s="46">
        <v>0</v>
      </c>
      <c r="AS279" s="113"/>
      <c r="AT279" s="113"/>
      <c r="AU279" s="113"/>
      <c r="AV279" s="113"/>
      <c r="AW279" s="113"/>
      <c r="AX279" s="46">
        <v>0</v>
      </c>
      <c r="AY279" s="113"/>
      <c r="AZ279" s="113"/>
      <c r="BA279" s="113"/>
      <c r="BB279" s="113"/>
      <c r="BC279" s="113"/>
      <c r="BD279" s="46">
        <v>0</v>
      </c>
      <c r="BE279" s="113"/>
      <c r="BF279" s="113"/>
      <c r="BG279" s="113"/>
      <c r="BH279" s="113"/>
      <c r="BI279" s="113"/>
      <c r="BJ279" s="46">
        <v>0</v>
      </c>
      <c r="BK279" s="113"/>
      <c r="BL279" s="113"/>
      <c r="BM279" s="113"/>
      <c r="BN279" s="113"/>
      <c r="BO279" s="113"/>
      <c r="BP279" s="121"/>
      <c r="BQ279" s="121"/>
      <c r="GA279" t="s">
        <v>113</v>
      </c>
      <c r="GB279" t="s">
        <v>23166</v>
      </c>
      <c r="GC279" s="46">
        <v>0</v>
      </c>
      <c r="GD279" s="113"/>
      <c r="GE279" s="113"/>
      <c r="GF279" s="113"/>
      <c r="GG279" s="113"/>
      <c r="GH279" s="113"/>
      <c r="GI279" s="46">
        <v>0</v>
      </c>
      <c r="GJ279" s="113"/>
      <c r="GK279" s="113"/>
      <c r="GL279" s="113"/>
      <c r="GM279" s="113"/>
      <c r="GN279" s="113"/>
      <c r="GO279" s="46">
        <v>0</v>
      </c>
      <c r="GP279" s="113"/>
      <c r="GQ279" s="113"/>
      <c r="GR279" s="113"/>
      <c r="GS279" s="113"/>
      <c r="GT279" s="113"/>
      <c r="GU279" s="46">
        <v>0</v>
      </c>
      <c r="GV279" s="113"/>
      <c r="GW279" s="113"/>
      <c r="GX279" s="113"/>
      <c r="GY279" s="113"/>
      <c r="GZ279" s="113"/>
      <c r="HA279" s="46">
        <v>0</v>
      </c>
      <c r="HB279" s="113"/>
      <c r="HC279" s="113"/>
      <c r="HD279" s="113"/>
      <c r="HE279" s="113"/>
      <c r="HF279" s="113"/>
      <c r="HG279" s="46">
        <v>0</v>
      </c>
      <c r="HH279" s="113"/>
      <c r="HI279" s="113"/>
      <c r="HJ279" s="113"/>
      <c r="HK279" s="113"/>
      <c r="HL279" s="113"/>
      <c r="HM279" s="121"/>
      <c r="HN279" s="121"/>
      <c r="LM279" t="str">
        <v/>
      </c>
      <c r="LN279" t="str">
        <v/>
      </c>
      <c r="LO279" t="str">
        <v/>
      </c>
    </row>
    <row r="280" spans="30:327">
      <c r="AD280" t="s">
        <v>113</v>
      </c>
      <c r="AE280" t="s">
        <v>23167</v>
      </c>
      <c r="AF280" s="46">
        <v>0</v>
      </c>
      <c r="AG280" s="113"/>
      <c r="AH280" s="113"/>
      <c r="AI280" s="113"/>
      <c r="AJ280" s="113"/>
      <c r="AK280" s="113"/>
      <c r="AL280" s="46">
        <v>0</v>
      </c>
      <c r="AM280" s="113"/>
      <c r="AN280" s="113"/>
      <c r="AO280" s="113"/>
      <c r="AP280" s="113"/>
      <c r="AQ280" s="113"/>
      <c r="AR280" s="46">
        <v>0</v>
      </c>
      <c r="AS280" s="113"/>
      <c r="AT280" s="113"/>
      <c r="AU280" s="113"/>
      <c r="AV280" s="113"/>
      <c r="AW280" s="113"/>
      <c r="AX280" s="46">
        <v>0</v>
      </c>
      <c r="AY280" s="113"/>
      <c r="AZ280" s="113"/>
      <c r="BA280" s="113"/>
      <c r="BB280" s="113"/>
      <c r="BC280" s="113"/>
      <c r="BD280" s="46">
        <v>0</v>
      </c>
      <c r="BE280" s="113"/>
      <c r="BF280" s="113"/>
      <c r="BG280" s="113"/>
      <c r="BH280" s="113"/>
      <c r="BI280" s="113"/>
      <c r="BJ280" s="46">
        <v>0</v>
      </c>
      <c r="BK280" s="113"/>
      <c r="BL280" s="113"/>
      <c r="BM280" s="113"/>
      <c r="BN280" s="113"/>
      <c r="BO280" s="113"/>
      <c r="BP280" s="121"/>
      <c r="BQ280" s="121"/>
      <c r="GA280" t="s">
        <v>113</v>
      </c>
      <c r="GB280" t="s">
        <v>23167</v>
      </c>
      <c r="GC280" s="46">
        <v>0</v>
      </c>
      <c r="GD280" s="113"/>
      <c r="GE280" s="113"/>
      <c r="GF280" s="113"/>
      <c r="GG280" s="113"/>
      <c r="GH280" s="113"/>
      <c r="GI280" s="46">
        <v>0</v>
      </c>
      <c r="GJ280" s="113"/>
      <c r="GK280" s="113"/>
      <c r="GL280" s="113"/>
      <c r="GM280" s="113"/>
      <c r="GN280" s="113"/>
      <c r="GO280" s="46">
        <v>0</v>
      </c>
      <c r="GP280" s="113"/>
      <c r="GQ280" s="113"/>
      <c r="GR280" s="113"/>
      <c r="GS280" s="113"/>
      <c r="GT280" s="113"/>
      <c r="GU280" s="46">
        <v>0</v>
      </c>
      <c r="GV280" s="113"/>
      <c r="GW280" s="113"/>
      <c r="GX280" s="113"/>
      <c r="GY280" s="113"/>
      <c r="GZ280" s="113"/>
      <c r="HA280" s="46">
        <v>0</v>
      </c>
      <c r="HB280" s="113"/>
      <c r="HC280" s="113"/>
      <c r="HD280" s="113"/>
      <c r="HE280" s="113"/>
      <c r="HF280" s="113"/>
      <c r="HG280" s="46">
        <v>0</v>
      </c>
      <c r="HH280" s="113"/>
      <c r="HI280" s="113"/>
      <c r="HJ280" s="113"/>
      <c r="HK280" s="113"/>
      <c r="HL280" s="113"/>
      <c r="HM280" s="121"/>
      <c r="HN280" s="121"/>
      <c r="LM280" t="str">
        <v/>
      </c>
      <c r="LN280" t="str">
        <v/>
      </c>
      <c r="LO280" t="str">
        <v/>
      </c>
    </row>
    <row r="281" spans="30:327">
      <c r="AD281" t="s">
        <v>113</v>
      </c>
      <c r="AE281" t="s">
        <v>23168</v>
      </c>
      <c r="AF281" s="46">
        <v>0</v>
      </c>
      <c r="AG281" s="113"/>
      <c r="AH281" s="113"/>
      <c r="AI281" s="113"/>
      <c r="AJ281" s="113"/>
      <c r="AK281" s="113"/>
      <c r="AL281" s="46">
        <v>0</v>
      </c>
      <c r="AM281" s="113"/>
      <c r="AN281" s="113"/>
      <c r="AO281" s="113"/>
      <c r="AP281" s="113"/>
      <c r="AQ281" s="113"/>
      <c r="AR281" s="46">
        <v>0</v>
      </c>
      <c r="AS281" s="113"/>
      <c r="AT281" s="113"/>
      <c r="AU281" s="113"/>
      <c r="AV281" s="113"/>
      <c r="AW281" s="113"/>
      <c r="AX281" s="46">
        <v>0</v>
      </c>
      <c r="AY281" s="113"/>
      <c r="AZ281" s="113"/>
      <c r="BA281" s="113"/>
      <c r="BB281" s="113"/>
      <c r="BC281" s="113"/>
      <c r="BD281" s="46">
        <v>0</v>
      </c>
      <c r="BE281" s="113"/>
      <c r="BF281" s="113"/>
      <c r="BG281" s="113"/>
      <c r="BH281" s="113"/>
      <c r="BI281" s="113"/>
      <c r="BJ281" s="46">
        <v>0</v>
      </c>
      <c r="BK281" s="113"/>
      <c r="BL281" s="113"/>
      <c r="BM281" s="113"/>
      <c r="BN281" s="113"/>
      <c r="BO281" s="113"/>
      <c r="BP281" s="121"/>
      <c r="BQ281" s="121"/>
      <c r="GA281" t="s">
        <v>113</v>
      </c>
      <c r="GB281" t="s">
        <v>23168</v>
      </c>
      <c r="GC281" s="46">
        <v>0</v>
      </c>
      <c r="GD281" s="113"/>
      <c r="GE281" s="113"/>
      <c r="GF281" s="113"/>
      <c r="GG281" s="113"/>
      <c r="GH281" s="113"/>
      <c r="GI281" s="46">
        <v>0</v>
      </c>
      <c r="GJ281" s="113"/>
      <c r="GK281" s="113"/>
      <c r="GL281" s="113"/>
      <c r="GM281" s="113"/>
      <c r="GN281" s="113"/>
      <c r="GO281" s="46">
        <v>0</v>
      </c>
      <c r="GP281" s="113"/>
      <c r="GQ281" s="113"/>
      <c r="GR281" s="113"/>
      <c r="GS281" s="113"/>
      <c r="GT281" s="113"/>
      <c r="GU281" s="46">
        <v>0</v>
      </c>
      <c r="GV281" s="113"/>
      <c r="GW281" s="113"/>
      <c r="GX281" s="113"/>
      <c r="GY281" s="113"/>
      <c r="GZ281" s="113"/>
      <c r="HA281" s="46">
        <v>0</v>
      </c>
      <c r="HB281" s="113"/>
      <c r="HC281" s="113"/>
      <c r="HD281" s="113"/>
      <c r="HE281" s="113"/>
      <c r="HF281" s="113"/>
      <c r="HG281" s="46">
        <v>0</v>
      </c>
      <c r="HH281" s="113"/>
      <c r="HI281" s="113"/>
      <c r="HJ281" s="113"/>
      <c r="HK281" s="113"/>
      <c r="HL281" s="113"/>
      <c r="HM281" s="121"/>
      <c r="HN281" s="121"/>
      <c r="LM281" t="str">
        <v/>
      </c>
      <c r="LN281" t="str">
        <v/>
      </c>
      <c r="LO281" t="str">
        <v/>
      </c>
    </row>
    <row r="282" spans="30:327">
      <c r="AD282" t="s">
        <v>113</v>
      </c>
      <c r="AE282" t="s">
        <v>23169</v>
      </c>
      <c r="AF282" s="46">
        <v>0</v>
      </c>
      <c r="AG282" s="113"/>
      <c r="AH282" s="113"/>
      <c r="AI282" s="113"/>
      <c r="AJ282" s="113"/>
      <c r="AK282" s="113"/>
      <c r="AL282" s="46">
        <v>0</v>
      </c>
      <c r="AM282" s="113"/>
      <c r="AN282" s="113"/>
      <c r="AO282" s="113"/>
      <c r="AP282" s="113"/>
      <c r="AQ282" s="113"/>
      <c r="AR282" s="46">
        <v>0</v>
      </c>
      <c r="AS282" s="113"/>
      <c r="AT282" s="113"/>
      <c r="AU282" s="113"/>
      <c r="AV282" s="113"/>
      <c r="AW282" s="113"/>
      <c r="AX282" s="46">
        <v>0</v>
      </c>
      <c r="AY282" s="113"/>
      <c r="AZ282" s="113"/>
      <c r="BA282" s="113"/>
      <c r="BB282" s="113"/>
      <c r="BC282" s="113"/>
      <c r="BD282" s="46">
        <v>0</v>
      </c>
      <c r="BE282" s="113"/>
      <c r="BF282" s="113"/>
      <c r="BG282" s="113"/>
      <c r="BH282" s="113"/>
      <c r="BI282" s="113"/>
      <c r="BJ282" s="46">
        <v>0</v>
      </c>
      <c r="BK282" s="113"/>
      <c r="BL282" s="113"/>
      <c r="BM282" s="113"/>
      <c r="BN282" s="113"/>
      <c r="BO282" s="113"/>
      <c r="BP282" s="121"/>
      <c r="BQ282" s="121"/>
      <c r="GA282" t="s">
        <v>113</v>
      </c>
      <c r="GB282" t="s">
        <v>23169</v>
      </c>
      <c r="GC282" s="46">
        <v>0</v>
      </c>
      <c r="GD282" s="113"/>
      <c r="GE282" s="113"/>
      <c r="GF282" s="113"/>
      <c r="GG282" s="113"/>
      <c r="GH282" s="113"/>
      <c r="GI282" s="46">
        <v>0</v>
      </c>
      <c r="GJ282" s="113"/>
      <c r="GK282" s="113"/>
      <c r="GL282" s="113"/>
      <c r="GM282" s="113"/>
      <c r="GN282" s="113"/>
      <c r="GO282" s="46">
        <v>0</v>
      </c>
      <c r="GP282" s="113"/>
      <c r="GQ282" s="113"/>
      <c r="GR282" s="113"/>
      <c r="GS282" s="113"/>
      <c r="GT282" s="113"/>
      <c r="GU282" s="46">
        <v>0</v>
      </c>
      <c r="GV282" s="113"/>
      <c r="GW282" s="113"/>
      <c r="GX282" s="113"/>
      <c r="GY282" s="113"/>
      <c r="GZ282" s="113"/>
      <c r="HA282" s="46">
        <v>0</v>
      </c>
      <c r="HB282" s="113"/>
      <c r="HC282" s="113"/>
      <c r="HD282" s="113"/>
      <c r="HE282" s="113"/>
      <c r="HF282" s="113"/>
      <c r="HG282" s="46">
        <v>0</v>
      </c>
      <c r="HH282" s="113"/>
      <c r="HI282" s="113"/>
      <c r="HJ282" s="113"/>
      <c r="HK282" s="113"/>
      <c r="HL282" s="113"/>
      <c r="HM282" s="121"/>
      <c r="HN282" s="121"/>
      <c r="LM282" t="str">
        <v/>
      </c>
      <c r="LN282" t="str">
        <v/>
      </c>
      <c r="LO282" t="str">
        <v/>
      </c>
    </row>
    <row r="283" spans="30:327">
      <c r="AD283" t="s">
        <v>113</v>
      </c>
      <c r="AE283" t="s">
        <v>23170</v>
      </c>
      <c r="AF283" s="46">
        <v>0</v>
      </c>
      <c r="AG283" s="113"/>
      <c r="AH283" s="113"/>
      <c r="AI283" s="113"/>
      <c r="AJ283" s="113"/>
      <c r="AK283" s="113"/>
      <c r="AL283" s="46">
        <v>0</v>
      </c>
      <c r="AM283" s="113"/>
      <c r="AN283" s="113"/>
      <c r="AO283" s="113"/>
      <c r="AP283" s="113"/>
      <c r="AQ283" s="113"/>
      <c r="AR283" s="46">
        <v>0</v>
      </c>
      <c r="AS283" s="113"/>
      <c r="AT283" s="113"/>
      <c r="AU283" s="113"/>
      <c r="AV283" s="113"/>
      <c r="AW283" s="113"/>
      <c r="AX283" s="46">
        <v>0</v>
      </c>
      <c r="AY283" s="113"/>
      <c r="AZ283" s="113"/>
      <c r="BA283" s="113"/>
      <c r="BB283" s="113"/>
      <c r="BC283" s="113"/>
      <c r="BD283" s="46">
        <v>0</v>
      </c>
      <c r="BE283" s="113"/>
      <c r="BF283" s="113"/>
      <c r="BG283" s="113"/>
      <c r="BH283" s="113"/>
      <c r="BI283" s="113"/>
      <c r="BJ283" s="46">
        <v>0</v>
      </c>
      <c r="BK283" s="113"/>
      <c r="BL283" s="113"/>
      <c r="BM283" s="113"/>
      <c r="BN283" s="113"/>
      <c r="BO283" s="113"/>
      <c r="BP283" s="121"/>
      <c r="BQ283" s="121"/>
      <c r="GA283" t="s">
        <v>113</v>
      </c>
      <c r="GB283" t="s">
        <v>23170</v>
      </c>
      <c r="GC283" s="46">
        <v>0</v>
      </c>
      <c r="GD283" s="113"/>
      <c r="GE283" s="113"/>
      <c r="GF283" s="113"/>
      <c r="GG283" s="113"/>
      <c r="GH283" s="113"/>
      <c r="GI283" s="46">
        <v>0</v>
      </c>
      <c r="GJ283" s="113"/>
      <c r="GK283" s="113"/>
      <c r="GL283" s="113"/>
      <c r="GM283" s="113"/>
      <c r="GN283" s="113"/>
      <c r="GO283" s="46">
        <v>0</v>
      </c>
      <c r="GP283" s="113"/>
      <c r="GQ283" s="113"/>
      <c r="GR283" s="113"/>
      <c r="GS283" s="113"/>
      <c r="GT283" s="113"/>
      <c r="GU283" s="46">
        <v>0</v>
      </c>
      <c r="GV283" s="113"/>
      <c r="GW283" s="113"/>
      <c r="GX283" s="113"/>
      <c r="GY283" s="113"/>
      <c r="GZ283" s="113"/>
      <c r="HA283" s="46">
        <v>0</v>
      </c>
      <c r="HB283" s="113"/>
      <c r="HC283" s="113"/>
      <c r="HD283" s="113"/>
      <c r="HE283" s="113"/>
      <c r="HF283" s="113"/>
      <c r="HG283" s="46">
        <v>0</v>
      </c>
      <c r="HH283" s="113"/>
      <c r="HI283" s="113"/>
      <c r="HJ283" s="113"/>
      <c r="HK283" s="113"/>
      <c r="HL283" s="113"/>
      <c r="HM283" s="121"/>
      <c r="HN283" s="121"/>
      <c r="LM283" t="str">
        <v/>
      </c>
      <c r="LN283" t="str">
        <v/>
      </c>
      <c r="LO283" t="str">
        <v/>
      </c>
    </row>
    <row r="284" spans="30:327">
      <c r="AD284" t="s">
        <v>113</v>
      </c>
      <c r="AE284" t="s">
        <v>23171</v>
      </c>
      <c r="AF284" s="46">
        <v>0</v>
      </c>
      <c r="AG284" s="113"/>
      <c r="AH284" s="113"/>
      <c r="AI284" s="113"/>
      <c r="AJ284" s="113"/>
      <c r="AK284" s="113"/>
      <c r="AL284" s="46">
        <v>0</v>
      </c>
      <c r="AM284" s="113"/>
      <c r="AN284" s="113"/>
      <c r="AO284" s="113"/>
      <c r="AP284" s="113"/>
      <c r="AQ284" s="113"/>
      <c r="AR284" s="46">
        <v>0</v>
      </c>
      <c r="AS284" s="113"/>
      <c r="AT284" s="113"/>
      <c r="AU284" s="113"/>
      <c r="AV284" s="113"/>
      <c r="AW284" s="113"/>
      <c r="AX284" s="46">
        <v>0</v>
      </c>
      <c r="AY284" s="113"/>
      <c r="AZ284" s="113"/>
      <c r="BA284" s="113"/>
      <c r="BB284" s="113"/>
      <c r="BC284" s="113"/>
      <c r="BD284" s="46">
        <v>0</v>
      </c>
      <c r="BE284" s="113"/>
      <c r="BF284" s="113"/>
      <c r="BG284" s="113"/>
      <c r="BH284" s="113"/>
      <c r="BI284" s="113"/>
      <c r="BJ284" s="46">
        <v>0</v>
      </c>
      <c r="BK284" s="113"/>
      <c r="BL284" s="113"/>
      <c r="BM284" s="113"/>
      <c r="BN284" s="113"/>
      <c r="BO284" s="113"/>
      <c r="BP284" s="121"/>
      <c r="BQ284" s="121"/>
      <c r="GA284" t="s">
        <v>113</v>
      </c>
      <c r="GB284" t="s">
        <v>23171</v>
      </c>
      <c r="GC284" s="46">
        <v>0</v>
      </c>
      <c r="GD284" s="113"/>
      <c r="GE284" s="113"/>
      <c r="GF284" s="113"/>
      <c r="GG284" s="113"/>
      <c r="GH284" s="113"/>
      <c r="GI284" s="46">
        <v>0</v>
      </c>
      <c r="GJ284" s="113"/>
      <c r="GK284" s="113"/>
      <c r="GL284" s="113"/>
      <c r="GM284" s="113"/>
      <c r="GN284" s="113"/>
      <c r="GO284" s="46">
        <v>0</v>
      </c>
      <c r="GP284" s="113"/>
      <c r="GQ284" s="113"/>
      <c r="GR284" s="113"/>
      <c r="GS284" s="113"/>
      <c r="GT284" s="113"/>
      <c r="GU284" s="46">
        <v>0</v>
      </c>
      <c r="GV284" s="113"/>
      <c r="GW284" s="113"/>
      <c r="GX284" s="113"/>
      <c r="GY284" s="113"/>
      <c r="GZ284" s="113"/>
      <c r="HA284" s="46">
        <v>0</v>
      </c>
      <c r="HB284" s="113"/>
      <c r="HC284" s="113"/>
      <c r="HD284" s="113"/>
      <c r="HE284" s="113"/>
      <c r="HF284" s="113"/>
      <c r="HG284" s="46">
        <v>0</v>
      </c>
      <c r="HH284" s="113"/>
      <c r="HI284" s="113"/>
      <c r="HJ284" s="113"/>
      <c r="HK284" s="113"/>
      <c r="HL284" s="113"/>
      <c r="HM284" s="121"/>
      <c r="HN284" s="121"/>
      <c r="LM284" t="str">
        <v/>
      </c>
      <c r="LN284" t="str">
        <v/>
      </c>
      <c r="LO284" t="str">
        <v/>
      </c>
    </row>
    <row r="285" spans="30:327">
      <c r="AD285" t="s">
        <v>113</v>
      </c>
      <c r="AE285" t="s">
        <v>23172</v>
      </c>
      <c r="AF285" s="46">
        <v>0</v>
      </c>
      <c r="AG285" s="113"/>
      <c r="AH285" s="113"/>
      <c r="AI285" s="113"/>
      <c r="AJ285" s="113"/>
      <c r="AK285" s="113"/>
      <c r="AL285" s="46">
        <v>0</v>
      </c>
      <c r="AM285" s="113"/>
      <c r="AN285" s="113"/>
      <c r="AO285" s="113"/>
      <c r="AP285" s="113"/>
      <c r="AQ285" s="113"/>
      <c r="AR285" s="46">
        <v>0</v>
      </c>
      <c r="AS285" s="113"/>
      <c r="AT285" s="113"/>
      <c r="AU285" s="113"/>
      <c r="AV285" s="113"/>
      <c r="AW285" s="113"/>
      <c r="AX285" s="46">
        <v>0</v>
      </c>
      <c r="AY285" s="113"/>
      <c r="AZ285" s="113"/>
      <c r="BA285" s="113"/>
      <c r="BB285" s="113"/>
      <c r="BC285" s="113"/>
      <c r="BD285" s="46">
        <v>0</v>
      </c>
      <c r="BE285" s="113"/>
      <c r="BF285" s="113"/>
      <c r="BG285" s="113"/>
      <c r="BH285" s="113"/>
      <c r="BI285" s="113"/>
      <c r="BJ285" s="46">
        <v>0</v>
      </c>
      <c r="BK285" s="113"/>
      <c r="BL285" s="113"/>
      <c r="BM285" s="113"/>
      <c r="BN285" s="113"/>
      <c r="BO285" s="113"/>
      <c r="BP285" s="121"/>
      <c r="BQ285" s="121"/>
      <c r="GA285" t="s">
        <v>113</v>
      </c>
      <c r="GB285" t="s">
        <v>23172</v>
      </c>
      <c r="GC285" s="46">
        <v>0</v>
      </c>
      <c r="GD285" s="113"/>
      <c r="GE285" s="113"/>
      <c r="GF285" s="113"/>
      <c r="GG285" s="113"/>
      <c r="GH285" s="113"/>
      <c r="GI285" s="46">
        <v>0</v>
      </c>
      <c r="GJ285" s="113"/>
      <c r="GK285" s="113"/>
      <c r="GL285" s="113"/>
      <c r="GM285" s="113"/>
      <c r="GN285" s="113"/>
      <c r="GO285" s="46">
        <v>0</v>
      </c>
      <c r="GP285" s="113"/>
      <c r="GQ285" s="113"/>
      <c r="GR285" s="113"/>
      <c r="GS285" s="113"/>
      <c r="GT285" s="113"/>
      <c r="GU285" s="46">
        <v>0</v>
      </c>
      <c r="GV285" s="113"/>
      <c r="GW285" s="113"/>
      <c r="GX285" s="113"/>
      <c r="GY285" s="113"/>
      <c r="GZ285" s="113"/>
      <c r="HA285" s="46">
        <v>0</v>
      </c>
      <c r="HB285" s="113"/>
      <c r="HC285" s="113"/>
      <c r="HD285" s="113"/>
      <c r="HE285" s="113"/>
      <c r="HF285" s="113"/>
      <c r="HG285" s="46">
        <v>0</v>
      </c>
      <c r="HH285" s="113"/>
      <c r="HI285" s="113"/>
      <c r="HJ285" s="113"/>
      <c r="HK285" s="113"/>
      <c r="HL285" s="113"/>
      <c r="HM285" s="121"/>
      <c r="HN285" s="121"/>
      <c r="LM285" t="str">
        <v/>
      </c>
      <c r="LN285" t="str">
        <v/>
      </c>
      <c r="LO285" t="str">
        <v/>
      </c>
    </row>
    <row r="286" spans="30:327">
      <c r="AD286" t="s">
        <v>113</v>
      </c>
      <c r="AE286" t="s">
        <v>23173</v>
      </c>
      <c r="AF286" s="46">
        <v>0</v>
      </c>
      <c r="AG286" s="113"/>
      <c r="AH286" s="113"/>
      <c r="AI286" s="113"/>
      <c r="AJ286" s="113"/>
      <c r="AK286" s="113"/>
      <c r="AL286" s="46">
        <v>0</v>
      </c>
      <c r="AM286" s="113"/>
      <c r="AN286" s="113"/>
      <c r="AO286" s="113"/>
      <c r="AP286" s="113"/>
      <c r="AQ286" s="113"/>
      <c r="AR286" s="46">
        <v>0</v>
      </c>
      <c r="AS286" s="113"/>
      <c r="AT286" s="113"/>
      <c r="AU286" s="113"/>
      <c r="AV286" s="113"/>
      <c r="AW286" s="113"/>
      <c r="AX286" s="46">
        <v>0</v>
      </c>
      <c r="AY286" s="113"/>
      <c r="AZ286" s="113"/>
      <c r="BA286" s="113"/>
      <c r="BB286" s="113"/>
      <c r="BC286" s="113"/>
      <c r="BD286" s="46">
        <v>0</v>
      </c>
      <c r="BE286" s="113"/>
      <c r="BF286" s="113"/>
      <c r="BG286" s="113"/>
      <c r="BH286" s="113"/>
      <c r="BI286" s="113"/>
      <c r="BJ286" s="46">
        <v>0</v>
      </c>
      <c r="BK286" s="113"/>
      <c r="BL286" s="113"/>
      <c r="BM286" s="113"/>
      <c r="BN286" s="113"/>
      <c r="BO286" s="113"/>
      <c r="BP286" s="121"/>
      <c r="BQ286" s="121"/>
      <c r="GA286" t="s">
        <v>113</v>
      </c>
      <c r="GB286" t="s">
        <v>23173</v>
      </c>
      <c r="GC286" s="46">
        <v>0</v>
      </c>
      <c r="GD286" s="113"/>
      <c r="GE286" s="113"/>
      <c r="GF286" s="113"/>
      <c r="GG286" s="113"/>
      <c r="GH286" s="113"/>
      <c r="GI286" s="46">
        <v>0</v>
      </c>
      <c r="GJ286" s="113"/>
      <c r="GK286" s="113"/>
      <c r="GL286" s="113"/>
      <c r="GM286" s="113"/>
      <c r="GN286" s="113"/>
      <c r="GO286" s="46">
        <v>0</v>
      </c>
      <c r="GP286" s="113"/>
      <c r="GQ286" s="113"/>
      <c r="GR286" s="113"/>
      <c r="GS286" s="113"/>
      <c r="GT286" s="113"/>
      <c r="GU286" s="46">
        <v>0</v>
      </c>
      <c r="GV286" s="113"/>
      <c r="GW286" s="113"/>
      <c r="GX286" s="113"/>
      <c r="GY286" s="113"/>
      <c r="GZ286" s="113"/>
      <c r="HA286" s="46">
        <v>0</v>
      </c>
      <c r="HB286" s="113"/>
      <c r="HC286" s="113"/>
      <c r="HD286" s="113"/>
      <c r="HE286" s="113"/>
      <c r="HF286" s="113"/>
      <c r="HG286" s="46">
        <v>0</v>
      </c>
      <c r="HH286" s="113"/>
      <c r="HI286" s="113"/>
      <c r="HJ286" s="113"/>
      <c r="HK286" s="113"/>
      <c r="HL286" s="113"/>
      <c r="HM286" s="121"/>
      <c r="HN286" s="121"/>
      <c r="LM286" t="str">
        <v/>
      </c>
      <c r="LN286" t="str">
        <v/>
      </c>
      <c r="LO286" t="str">
        <v/>
      </c>
    </row>
    <row r="287" spans="30:327">
      <c r="AD287" t="s">
        <v>113</v>
      </c>
      <c r="AE287" t="s">
        <v>23174</v>
      </c>
      <c r="AF287" s="46">
        <v>0</v>
      </c>
      <c r="AG287" s="113"/>
      <c r="AH287" s="113"/>
      <c r="AI287" s="113"/>
      <c r="AJ287" s="113"/>
      <c r="AK287" s="113"/>
      <c r="AL287" s="46">
        <v>0</v>
      </c>
      <c r="AM287" s="113"/>
      <c r="AN287" s="113"/>
      <c r="AO287" s="113"/>
      <c r="AP287" s="113"/>
      <c r="AQ287" s="113"/>
      <c r="AR287" s="46">
        <v>0</v>
      </c>
      <c r="AS287" s="113"/>
      <c r="AT287" s="113"/>
      <c r="AU287" s="113"/>
      <c r="AV287" s="113"/>
      <c r="AW287" s="113"/>
      <c r="AX287" s="46">
        <v>0</v>
      </c>
      <c r="AY287" s="113"/>
      <c r="AZ287" s="113"/>
      <c r="BA287" s="113"/>
      <c r="BB287" s="113"/>
      <c r="BC287" s="113"/>
      <c r="BD287" s="46">
        <v>0</v>
      </c>
      <c r="BE287" s="113"/>
      <c r="BF287" s="113"/>
      <c r="BG287" s="113"/>
      <c r="BH287" s="113"/>
      <c r="BI287" s="113"/>
      <c r="BJ287" s="46">
        <v>0</v>
      </c>
      <c r="BK287" s="113"/>
      <c r="BL287" s="113"/>
      <c r="BM287" s="113"/>
      <c r="BN287" s="113"/>
      <c r="BO287" s="113"/>
      <c r="BP287" s="121"/>
      <c r="BQ287" s="121"/>
      <c r="GA287" t="s">
        <v>113</v>
      </c>
      <c r="GB287" t="s">
        <v>23174</v>
      </c>
      <c r="GC287" s="46">
        <v>0</v>
      </c>
      <c r="GD287" s="113"/>
      <c r="GE287" s="113"/>
      <c r="GF287" s="113"/>
      <c r="GG287" s="113"/>
      <c r="GH287" s="113"/>
      <c r="GI287" s="46">
        <v>0</v>
      </c>
      <c r="GJ287" s="113"/>
      <c r="GK287" s="113"/>
      <c r="GL287" s="113"/>
      <c r="GM287" s="113"/>
      <c r="GN287" s="113"/>
      <c r="GO287" s="46">
        <v>0</v>
      </c>
      <c r="GP287" s="113"/>
      <c r="GQ287" s="113"/>
      <c r="GR287" s="113"/>
      <c r="GS287" s="113"/>
      <c r="GT287" s="113"/>
      <c r="GU287" s="46">
        <v>0</v>
      </c>
      <c r="GV287" s="113"/>
      <c r="GW287" s="113"/>
      <c r="GX287" s="113"/>
      <c r="GY287" s="113"/>
      <c r="GZ287" s="113"/>
      <c r="HA287" s="46">
        <v>0</v>
      </c>
      <c r="HB287" s="113"/>
      <c r="HC287" s="113"/>
      <c r="HD287" s="113"/>
      <c r="HE287" s="113"/>
      <c r="HF287" s="113"/>
      <c r="HG287" s="46">
        <v>0</v>
      </c>
      <c r="HH287" s="113"/>
      <c r="HI287" s="113"/>
      <c r="HJ287" s="113"/>
      <c r="HK287" s="113"/>
      <c r="HL287" s="113"/>
      <c r="HM287" s="121"/>
      <c r="HN287" s="121"/>
      <c r="LM287" t="str">
        <v/>
      </c>
      <c r="LN287" t="str">
        <v/>
      </c>
      <c r="LO287" t="str">
        <v/>
      </c>
    </row>
    <row r="288" spans="30:327">
      <c r="AD288" t="s">
        <v>113</v>
      </c>
      <c r="AE288" t="s">
        <v>23175</v>
      </c>
      <c r="AF288" s="46">
        <v>0</v>
      </c>
      <c r="AG288" s="113"/>
      <c r="AH288" s="113"/>
      <c r="AI288" s="113"/>
      <c r="AJ288" s="113"/>
      <c r="AK288" s="113"/>
      <c r="AL288" s="46">
        <v>0</v>
      </c>
      <c r="AM288" s="113"/>
      <c r="AN288" s="113"/>
      <c r="AO288" s="113"/>
      <c r="AP288" s="113"/>
      <c r="AQ288" s="113"/>
      <c r="AR288" s="46">
        <v>0</v>
      </c>
      <c r="AS288" s="113"/>
      <c r="AT288" s="113"/>
      <c r="AU288" s="113"/>
      <c r="AV288" s="113"/>
      <c r="AW288" s="113"/>
      <c r="AX288" s="46">
        <v>0</v>
      </c>
      <c r="AY288" s="113"/>
      <c r="AZ288" s="113"/>
      <c r="BA288" s="113"/>
      <c r="BB288" s="113"/>
      <c r="BC288" s="113"/>
      <c r="BD288" s="46">
        <v>0</v>
      </c>
      <c r="BE288" s="113"/>
      <c r="BF288" s="113"/>
      <c r="BG288" s="113"/>
      <c r="BH288" s="113"/>
      <c r="BI288" s="113"/>
      <c r="BJ288" s="46">
        <v>0</v>
      </c>
      <c r="BK288" s="113"/>
      <c r="BL288" s="113"/>
      <c r="BM288" s="113"/>
      <c r="BN288" s="113"/>
      <c r="BO288" s="113"/>
      <c r="BP288" s="121"/>
      <c r="BQ288" s="121"/>
      <c r="GA288" t="s">
        <v>113</v>
      </c>
      <c r="GB288" t="s">
        <v>23175</v>
      </c>
      <c r="GC288" s="46">
        <v>0</v>
      </c>
      <c r="GD288" s="113"/>
      <c r="GE288" s="113"/>
      <c r="GF288" s="113"/>
      <c r="GG288" s="113"/>
      <c r="GH288" s="113"/>
      <c r="GI288" s="46">
        <v>0</v>
      </c>
      <c r="GJ288" s="113"/>
      <c r="GK288" s="113"/>
      <c r="GL288" s="113"/>
      <c r="GM288" s="113"/>
      <c r="GN288" s="113"/>
      <c r="GO288" s="46">
        <v>0</v>
      </c>
      <c r="GP288" s="113"/>
      <c r="GQ288" s="113"/>
      <c r="GR288" s="113"/>
      <c r="GS288" s="113"/>
      <c r="GT288" s="113"/>
      <c r="GU288" s="46">
        <v>0</v>
      </c>
      <c r="GV288" s="113"/>
      <c r="GW288" s="113"/>
      <c r="GX288" s="113"/>
      <c r="GY288" s="113"/>
      <c r="GZ288" s="113"/>
      <c r="HA288" s="46">
        <v>0</v>
      </c>
      <c r="HB288" s="113"/>
      <c r="HC288" s="113"/>
      <c r="HD288" s="113"/>
      <c r="HE288" s="113"/>
      <c r="HF288" s="113"/>
      <c r="HG288" s="46">
        <v>0</v>
      </c>
      <c r="HH288" s="113"/>
      <c r="HI288" s="113"/>
      <c r="HJ288" s="113"/>
      <c r="HK288" s="113"/>
      <c r="HL288" s="113"/>
      <c r="HM288" s="121"/>
      <c r="HN288" s="121"/>
      <c r="LM288" t="str">
        <v/>
      </c>
      <c r="LN288" t="str">
        <v/>
      </c>
      <c r="LO288" t="str">
        <v/>
      </c>
    </row>
    <row r="289" spans="30:327">
      <c r="AD289" t="s">
        <v>113</v>
      </c>
      <c r="AE289" t="s">
        <v>23176</v>
      </c>
      <c r="AF289" s="46">
        <v>0</v>
      </c>
      <c r="AG289" s="113"/>
      <c r="AH289" s="113"/>
      <c r="AI289" s="113"/>
      <c r="AJ289" s="113"/>
      <c r="AK289" s="113"/>
      <c r="AL289" s="46">
        <v>0</v>
      </c>
      <c r="AM289" s="113"/>
      <c r="AN289" s="113"/>
      <c r="AO289" s="113"/>
      <c r="AP289" s="113"/>
      <c r="AQ289" s="113"/>
      <c r="AR289" s="46">
        <v>0</v>
      </c>
      <c r="AS289" s="113"/>
      <c r="AT289" s="113"/>
      <c r="AU289" s="113"/>
      <c r="AV289" s="113"/>
      <c r="AW289" s="113"/>
      <c r="AX289" s="46">
        <v>0</v>
      </c>
      <c r="AY289" s="113"/>
      <c r="AZ289" s="113"/>
      <c r="BA289" s="113"/>
      <c r="BB289" s="113"/>
      <c r="BC289" s="113"/>
      <c r="BD289" s="46">
        <v>0</v>
      </c>
      <c r="BE289" s="113"/>
      <c r="BF289" s="113"/>
      <c r="BG289" s="113"/>
      <c r="BH289" s="113"/>
      <c r="BI289" s="113"/>
      <c r="BJ289" s="46">
        <v>0</v>
      </c>
      <c r="BK289" s="113"/>
      <c r="BL289" s="113"/>
      <c r="BM289" s="113"/>
      <c r="BN289" s="113"/>
      <c r="BO289" s="113"/>
      <c r="BP289" s="121"/>
      <c r="BQ289" s="121"/>
      <c r="GA289" t="s">
        <v>113</v>
      </c>
      <c r="GB289" t="s">
        <v>23176</v>
      </c>
      <c r="GC289" s="46">
        <v>0</v>
      </c>
      <c r="GD289" s="113"/>
      <c r="GE289" s="113"/>
      <c r="GF289" s="113"/>
      <c r="GG289" s="113"/>
      <c r="GH289" s="113"/>
      <c r="GI289" s="46">
        <v>0</v>
      </c>
      <c r="GJ289" s="113"/>
      <c r="GK289" s="113"/>
      <c r="GL289" s="113"/>
      <c r="GM289" s="113"/>
      <c r="GN289" s="113"/>
      <c r="GO289" s="46">
        <v>0</v>
      </c>
      <c r="GP289" s="113"/>
      <c r="GQ289" s="113"/>
      <c r="GR289" s="113"/>
      <c r="GS289" s="113"/>
      <c r="GT289" s="113"/>
      <c r="GU289" s="46">
        <v>0</v>
      </c>
      <c r="GV289" s="113"/>
      <c r="GW289" s="113"/>
      <c r="GX289" s="113"/>
      <c r="GY289" s="113"/>
      <c r="GZ289" s="113"/>
      <c r="HA289" s="46">
        <v>0</v>
      </c>
      <c r="HB289" s="113"/>
      <c r="HC289" s="113"/>
      <c r="HD289" s="113"/>
      <c r="HE289" s="113"/>
      <c r="HF289" s="113"/>
      <c r="HG289" s="46">
        <v>0</v>
      </c>
      <c r="HH289" s="113"/>
      <c r="HI289" s="113"/>
      <c r="HJ289" s="113"/>
      <c r="HK289" s="113"/>
      <c r="HL289" s="113"/>
      <c r="HM289" s="121"/>
      <c r="HN289" s="121"/>
      <c r="LM289" t="str">
        <v/>
      </c>
      <c r="LN289" t="str">
        <v/>
      </c>
      <c r="LO289" t="str">
        <v/>
      </c>
    </row>
    <row r="290" spans="30:327">
      <c r="AD290" t="s">
        <v>113</v>
      </c>
      <c r="AE290" t="s">
        <v>19748</v>
      </c>
      <c r="AF290" s="46">
        <v>0</v>
      </c>
      <c r="AG290" s="113"/>
      <c r="AH290" s="113"/>
      <c r="AI290" s="113"/>
      <c r="AJ290" s="113"/>
      <c r="AK290" s="113"/>
      <c r="AL290" s="46">
        <v>0</v>
      </c>
      <c r="AM290" s="113"/>
      <c r="AN290" s="113"/>
      <c r="AO290" s="113"/>
      <c r="AP290" s="113"/>
      <c r="AQ290" s="113"/>
      <c r="AR290" s="46">
        <v>0</v>
      </c>
      <c r="AS290" s="113"/>
      <c r="AT290" s="113"/>
      <c r="AU290" s="113"/>
      <c r="AV290" s="113"/>
      <c r="AW290" s="113"/>
      <c r="AX290" s="46">
        <v>0</v>
      </c>
      <c r="AY290" s="113"/>
      <c r="AZ290" s="113"/>
      <c r="BA290" s="113"/>
      <c r="BB290" s="113"/>
      <c r="BC290" s="113"/>
      <c r="BD290" s="46">
        <v>0</v>
      </c>
      <c r="BE290" s="113"/>
      <c r="BF290" s="113"/>
      <c r="BG290" s="113"/>
      <c r="BH290" s="113"/>
      <c r="BI290" s="113"/>
      <c r="BJ290" s="46">
        <v>0</v>
      </c>
      <c r="BK290" s="113"/>
      <c r="BL290" s="113"/>
      <c r="BM290" s="113"/>
      <c r="BN290" s="113"/>
      <c r="BO290" s="113"/>
      <c r="BP290" s="121"/>
      <c r="BQ290" s="121"/>
      <c r="GA290" t="s">
        <v>113</v>
      </c>
      <c r="GB290" t="s">
        <v>19748</v>
      </c>
      <c r="GC290" s="46">
        <v>0</v>
      </c>
      <c r="GD290" s="113"/>
      <c r="GE290" s="113"/>
      <c r="GF290" s="113"/>
      <c r="GG290" s="113"/>
      <c r="GH290" s="113"/>
      <c r="GI290" s="46">
        <v>0</v>
      </c>
      <c r="GJ290" s="113"/>
      <c r="GK290" s="113"/>
      <c r="GL290" s="113"/>
      <c r="GM290" s="113"/>
      <c r="GN290" s="113"/>
      <c r="GO290" s="46">
        <v>0</v>
      </c>
      <c r="GP290" s="113"/>
      <c r="GQ290" s="113"/>
      <c r="GR290" s="113"/>
      <c r="GS290" s="113"/>
      <c r="GT290" s="113"/>
      <c r="GU290" s="46">
        <v>0</v>
      </c>
      <c r="GV290" s="113"/>
      <c r="GW290" s="113"/>
      <c r="GX290" s="113"/>
      <c r="GY290" s="113"/>
      <c r="GZ290" s="113"/>
      <c r="HA290" s="46">
        <v>0</v>
      </c>
      <c r="HB290" s="113"/>
      <c r="HC290" s="113"/>
      <c r="HD290" s="113"/>
      <c r="HE290" s="113"/>
      <c r="HF290" s="113"/>
      <c r="HG290" s="46">
        <v>0</v>
      </c>
      <c r="HH290" s="113"/>
      <c r="HI290" s="113"/>
      <c r="HJ290" s="113"/>
      <c r="HK290" s="113"/>
      <c r="HL290" s="113"/>
      <c r="HM290" s="121"/>
      <c r="HN290" s="121"/>
      <c r="LM290" t="str">
        <v/>
      </c>
      <c r="LN290" t="str">
        <v/>
      </c>
      <c r="LO290" t="str">
        <v/>
      </c>
    </row>
    <row r="291" spans="30:327">
      <c r="AD291" t="s">
        <v>113</v>
      </c>
      <c r="AE291" t="s">
        <v>19749</v>
      </c>
      <c r="AF291" s="46">
        <v>0</v>
      </c>
      <c r="AG291" s="113"/>
      <c r="AH291" s="113"/>
      <c r="AI291" s="113"/>
      <c r="AJ291" s="113"/>
      <c r="AK291" s="113"/>
      <c r="AL291" s="46">
        <v>0</v>
      </c>
      <c r="AM291" s="113"/>
      <c r="AN291" s="113"/>
      <c r="AO291" s="113"/>
      <c r="AP291" s="113"/>
      <c r="AQ291" s="113"/>
      <c r="AR291" s="46">
        <v>0</v>
      </c>
      <c r="AS291" s="113"/>
      <c r="AT291" s="113"/>
      <c r="AU291" s="113"/>
      <c r="AV291" s="113"/>
      <c r="AW291" s="113"/>
      <c r="AX291" s="46">
        <v>0</v>
      </c>
      <c r="AY291" s="113"/>
      <c r="AZ291" s="113"/>
      <c r="BA291" s="113"/>
      <c r="BB291" s="113"/>
      <c r="BC291" s="113"/>
      <c r="BD291" s="46">
        <v>0</v>
      </c>
      <c r="BE291" s="113"/>
      <c r="BF291" s="113"/>
      <c r="BG291" s="113"/>
      <c r="BH291" s="113"/>
      <c r="BI291" s="113"/>
      <c r="BJ291" s="46">
        <v>0</v>
      </c>
      <c r="BK291" s="113"/>
      <c r="BL291" s="113"/>
      <c r="BM291" s="113"/>
      <c r="BN291" s="113"/>
      <c r="BO291" s="113"/>
      <c r="BP291" s="121"/>
      <c r="BQ291" s="121"/>
      <c r="GA291" t="s">
        <v>113</v>
      </c>
      <c r="GB291" t="s">
        <v>19749</v>
      </c>
      <c r="GC291" s="46">
        <v>0</v>
      </c>
      <c r="GD291" s="113"/>
      <c r="GE291" s="113"/>
      <c r="GF291" s="113"/>
      <c r="GG291" s="113"/>
      <c r="GH291" s="113"/>
      <c r="GI291" s="46">
        <v>0</v>
      </c>
      <c r="GJ291" s="113"/>
      <c r="GK291" s="113"/>
      <c r="GL291" s="113"/>
      <c r="GM291" s="113"/>
      <c r="GN291" s="113"/>
      <c r="GO291" s="46">
        <v>0</v>
      </c>
      <c r="GP291" s="113"/>
      <c r="GQ291" s="113"/>
      <c r="GR291" s="113"/>
      <c r="GS291" s="113"/>
      <c r="GT291" s="113"/>
      <c r="GU291" s="46">
        <v>0</v>
      </c>
      <c r="GV291" s="113"/>
      <c r="GW291" s="113"/>
      <c r="GX291" s="113"/>
      <c r="GY291" s="113"/>
      <c r="GZ291" s="113"/>
      <c r="HA291" s="46">
        <v>0</v>
      </c>
      <c r="HB291" s="113"/>
      <c r="HC291" s="113"/>
      <c r="HD291" s="113"/>
      <c r="HE291" s="113"/>
      <c r="HF291" s="113"/>
      <c r="HG291" s="46">
        <v>0</v>
      </c>
      <c r="HH291" s="113"/>
      <c r="HI291" s="113"/>
      <c r="HJ291" s="113"/>
      <c r="HK291" s="113"/>
      <c r="HL291" s="113"/>
      <c r="HM291" s="121"/>
      <c r="HN291" s="121"/>
      <c r="LM291" t="str">
        <v/>
      </c>
      <c r="LN291" t="str">
        <v/>
      </c>
      <c r="LO291" t="str">
        <v/>
      </c>
    </row>
    <row r="292" spans="30:327">
      <c r="AD292" t="s">
        <v>113</v>
      </c>
      <c r="AE292" t="s">
        <v>19750</v>
      </c>
      <c r="AF292" s="46">
        <v>0</v>
      </c>
      <c r="AG292" s="113"/>
      <c r="AH292" s="113"/>
      <c r="AI292" s="113"/>
      <c r="AJ292" s="113"/>
      <c r="AK292" s="113"/>
      <c r="AL292" s="46">
        <v>0</v>
      </c>
      <c r="AM292" s="113"/>
      <c r="AN292" s="113"/>
      <c r="AO292" s="113"/>
      <c r="AP292" s="113"/>
      <c r="AQ292" s="113"/>
      <c r="AR292" s="46">
        <v>0</v>
      </c>
      <c r="AS292" s="113"/>
      <c r="AT292" s="113"/>
      <c r="AU292" s="113"/>
      <c r="AV292" s="113"/>
      <c r="AW292" s="113"/>
      <c r="AX292" s="46">
        <v>0</v>
      </c>
      <c r="AY292" s="113"/>
      <c r="AZ292" s="113"/>
      <c r="BA292" s="113"/>
      <c r="BB292" s="113"/>
      <c r="BC292" s="113"/>
      <c r="BD292" s="46">
        <v>0</v>
      </c>
      <c r="BE292" s="113"/>
      <c r="BF292" s="113"/>
      <c r="BG292" s="113"/>
      <c r="BH292" s="113"/>
      <c r="BI292" s="113"/>
      <c r="BJ292" s="46">
        <v>0</v>
      </c>
      <c r="BK292" s="113"/>
      <c r="BL292" s="113"/>
      <c r="BM292" s="113"/>
      <c r="BN292" s="113"/>
      <c r="BO292" s="113"/>
      <c r="BP292" s="121"/>
      <c r="BQ292" s="121"/>
      <c r="GA292" t="s">
        <v>113</v>
      </c>
      <c r="GB292" t="s">
        <v>19750</v>
      </c>
      <c r="GC292" s="46">
        <v>0</v>
      </c>
      <c r="GD292" s="113"/>
      <c r="GE292" s="113"/>
      <c r="GF292" s="113"/>
      <c r="GG292" s="113"/>
      <c r="GH292" s="113"/>
      <c r="GI292" s="46">
        <v>0</v>
      </c>
      <c r="GJ292" s="113"/>
      <c r="GK292" s="113"/>
      <c r="GL292" s="113"/>
      <c r="GM292" s="113"/>
      <c r="GN292" s="113"/>
      <c r="GO292" s="46">
        <v>0</v>
      </c>
      <c r="GP292" s="113"/>
      <c r="GQ292" s="113"/>
      <c r="GR292" s="113"/>
      <c r="GS292" s="113"/>
      <c r="GT292" s="113"/>
      <c r="GU292" s="46">
        <v>0</v>
      </c>
      <c r="GV292" s="113"/>
      <c r="GW292" s="113"/>
      <c r="GX292" s="113"/>
      <c r="GY292" s="113"/>
      <c r="GZ292" s="113"/>
      <c r="HA292" s="46">
        <v>0</v>
      </c>
      <c r="HB292" s="113"/>
      <c r="HC292" s="113"/>
      <c r="HD292" s="113"/>
      <c r="HE292" s="113"/>
      <c r="HF292" s="113"/>
      <c r="HG292" s="46">
        <v>0</v>
      </c>
      <c r="HH292" s="113"/>
      <c r="HI292" s="113"/>
      <c r="HJ292" s="113"/>
      <c r="HK292" s="113"/>
      <c r="HL292" s="113"/>
      <c r="HM292" s="121"/>
      <c r="HN292" s="121"/>
      <c r="LM292" t="str">
        <v/>
      </c>
      <c r="LN292" t="str">
        <v/>
      </c>
      <c r="LO292" t="str">
        <v/>
      </c>
    </row>
    <row r="293" spans="30:327">
      <c r="AD293" t="s">
        <v>113</v>
      </c>
      <c r="AE293" t="s">
        <v>19751</v>
      </c>
      <c r="AF293" s="46">
        <v>0</v>
      </c>
      <c r="AG293" s="113"/>
      <c r="AH293" s="113"/>
      <c r="AI293" s="113"/>
      <c r="AJ293" s="113"/>
      <c r="AK293" s="113"/>
      <c r="AL293" s="46">
        <v>0</v>
      </c>
      <c r="AM293" s="113"/>
      <c r="AN293" s="113"/>
      <c r="AO293" s="113"/>
      <c r="AP293" s="113"/>
      <c r="AQ293" s="113"/>
      <c r="AR293" s="46">
        <v>0</v>
      </c>
      <c r="AS293" s="113"/>
      <c r="AT293" s="113"/>
      <c r="AU293" s="113"/>
      <c r="AV293" s="113"/>
      <c r="AW293" s="113"/>
      <c r="AX293" s="46">
        <v>0</v>
      </c>
      <c r="AY293" s="113"/>
      <c r="AZ293" s="113"/>
      <c r="BA293" s="113"/>
      <c r="BB293" s="113"/>
      <c r="BC293" s="113"/>
      <c r="BD293" s="46">
        <v>0</v>
      </c>
      <c r="BE293" s="113"/>
      <c r="BF293" s="113"/>
      <c r="BG293" s="113"/>
      <c r="BH293" s="113"/>
      <c r="BI293" s="113"/>
      <c r="BJ293" s="46">
        <v>0</v>
      </c>
      <c r="BK293" s="113"/>
      <c r="BL293" s="113"/>
      <c r="BM293" s="113"/>
      <c r="BN293" s="113"/>
      <c r="BO293" s="113"/>
      <c r="BP293" s="121"/>
      <c r="BQ293" s="121"/>
      <c r="GA293" t="s">
        <v>113</v>
      </c>
      <c r="GB293" t="s">
        <v>19751</v>
      </c>
      <c r="GC293" s="46">
        <v>0</v>
      </c>
      <c r="GD293" s="113"/>
      <c r="GE293" s="113"/>
      <c r="GF293" s="113"/>
      <c r="GG293" s="113"/>
      <c r="GH293" s="113"/>
      <c r="GI293" s="46">
        <v>0</v>
      </c>
      <c r="GJ293" s="113"/>
      <c r="GK293" s="113"/>
      <c r="GL293" s="113"/>
      <c r="GM293" s="113"/>
      <c r="GN293" s="113"/>
      <c r="GO293" s="46">
        <v>0</v>
      </c>
      <c r="GP293" s="113"/>
      <c r="GQ293" s="113"/>
      <c r="GR293" s="113"/>
      <c r="GS293" s="113"/>
      <c r="GT293" s="113"/>
      <c r="GU293" s="46">
        <v>0</v>
      </c>
      <c r="GV293" s="113"/>
      <c r="GW293" s="113"/>
      <c r="GX293" s="113"/>
      <c r="GY293" s="113"/>
      <c r="GZ293" s="113"/>
      <c r="HA293" s="46">
        <v>0</v>
      </c>
      <c r="HB293" s="113"/>
      <c r="HC293" s="113"/>
      <c r="HD293" s="113"/>
      <c r="HE293" s="113"/>
      <c r="HF293" s="113"/>
      <c r="HG293" s="46">
        <v>0</v>
      </c>
      <c r="HH293" s="113"/>
      <c r="HI293" s="113"/>
      <c r="HJ293" s="113"/>
      <c r="HK293" s="113"/>
      <c r="HL293" s="113"/>
      <c r="HM293" s="121"/>
      <c r="HN293" s="121"/>
      <c r="LM293" t="str">
        <v/>
      </c>
      <c r="LN293" t="str">
        <v/>
      </c>
      <c r="LO293" t="str">
        <v/>
      </c>
    </row>
    <row r="294" spans="30:327">
      <c r="AD294" t="s">
        <v>113</v>
      </c>
      <c r="AE294" t="s">
        <v>19752</v>
      </c>
      <c r="AF294" s="46">
        <v>0</v>
      </c>
      <c r="AG294" s="113"/>
      <c r="AH294" s="113"/>
      <c r="AI294" s="113"/>
      <c r="AJ294" s="113"/>
      <c r="AK294" s="113"/>
      <c r="AL294" s="46">
        <v>0</v>
      </c>
      <c r="AM294" s="113"/>
      <c r="AN294" s="113"/>
      <c r="AO294" s="113"/>
      <c r="AP294" s="113"/>
      <c r="AQ294" s="113"/>
      <c r="AR294" s="46">
        <v>0</v>
      </c>
      <c r="AS294" s="113"/>
      <c r="AT294" s="113"/>
      <c r="AU294" s="113"/>
      <c r="AV294" s="113"/>
      <c r="AW294" s="113"/>
      <c r="AX294" s="46">
        <v>0</v>
      </c>
      <c r="AY294" s="113"/>
      <c r="AZ294" s="113"/>
      <c r="BA294" s="113"/>
      <c r="BB294" s="113"/>
      <c r="BC294" s="113"/>
      <c r="BD294" s="46">
        <v>0</v>
      </c>
      <c r="BE294" s="113"/>
      <c r="BF294" s="113"/>
      <c r="BG294" s="113"/>
      <c r="BH294" s="113"/>
      <c r="BI294" s="113"/>
      <c r="BJ294" s="46">
        <v>0</v>
      </c>
      <c r="BK294" s="113"/>
      <c r="BL294" s="113"/>
      <c r="BM294" s="113"/>
      <c r="BN294" s="113"/>
      <c r="BO294" s="113"/>
      <c r="BP294" s="121"/>
      <c r="BQ294" s="121"/>
      <c r="GA294" t="s">
        <v>113</v>
      </c>
      <c r="GB294" t="s">
        <v>19752</v>
      </c>
      <c r="GC294" s="46">
        <v>0</v>
      </c>
      <c r="GD294" s="113"/>
      <c r="GE294" s="113"/>
      <c r="GF294" s="113"/>
      <c r="GG294" s="113"/>
      <c r="GH294" s="113"/>
      <c r="GI294" s="46">
        <v>0</v>
      </c>
      <c r="GJ294" s="113"/>
      <c r="GK294" s="113"/>
      <c r="GL294" s="113"/>
      <c r="GM294" s="113"/>
      <c r="GN294" s="113"/>
      <c r="GO294" s="46">
        <v>0</v>
      </c>
      <c r="GP294" s="113"/>
      <c r="GQ294" s="113"/>
      <c r="GR294" s="113"/>
      <c r="GS294" s="113"/>
      <c r="GT294" s="113"/>
      <c r="GU294" s="46">
        <v>0</v>
      </c>
      <c r="GV294" s="113"/>
      <c r="GW294" s="113"/>
      <c r="GX294" s="113"/>
      <c r="GY294" s="113"/>
      <c r="GZ294" s="113"/>
      <c r="HA294" s="46">
        <v>0</v>
      </c>
      <c r="HB294" s="113"/>
      <c r="HC294" s="113"/>
      <c r="HD294" s="113"/>
      <c r="HE294" s="113"/>
      <c r="HF294" s="113"/>
      <c r="HG294" s="46">
        <v>0</v>
      </c>
      <c r="HH294" s="113"/>
      <c r="HI294" s="113"/>
      <c r="HJ294" s="113"/>
      <c r="HK294" s="113"/>
      <c r="HL294" s="113"/>
      <c r="HM294" s="121"/>
      <c r="HN294" s="121"/>
      <c r="LM294" t="str">
        <v/>
      </c>
      <c r="LN294" t="str">
        <v/>
      </c>
      <c r="LO294" t="str">
        <v/>
      </c>
    </row>
    <row r="295" spans="30:327">
      <c r="AD295" t="s">
        <v>113</v>
      </c>
      <c r="AE295" t="s">
        <v>19753</v>
      </c>
      <c r="AF295" s="46">
        <v>0</v>
      </c>
      <c r="AG295" s="113"/>
      <c r="AH295" s="113"/>
      <c r="AI295" s="113"/>
      <c r="AJ295" s="113"/>
      <c r="AK295" s="113"/>
      <c r="AL295" s="46">
        <v>0</v>
      </c>
      <c r="AM295" s="113"/>
      <c r="AN295" s="113"/>
      <c r="AO295" s="113"/>
      <c r="AP295" s="113"/>
      <c r="AQ295" s="113"/>
      <c r="AR295" s="46">
        <v>0</v>
      </c>
      <c r="AS295" s="113"/>
      <c r="AT295" s="113"/>
      <c r="AU295" s="113"/>
      <c r="AV295" s="113"/>
      <c r="AW295" s="113"/>
      <c r="AX295" s="46">
        <v>0</v>
      </c>
      <c r="AY295" s="113"/>
      <c r="AZ295" s="113"/>
      <c r="BA295" s="113"/>
      <c r="BB295" s="113"/>
      <c r="BC295" s="113"/>
      <c r="BD295" s="46">
        <v>0</v>
      </c>
      <c r="BE295" s="113"/>
      <c r="BF295" s="113"/>
      <c r="BG295" s="113"/>
      <c r="BH295" s="113"/>
      <c r="BI295" s="113"/>
      <c r="BJ295" s="46">
        <v>0</v>
      </c>
      <c r="BK295" s="113"/>
      <c r="BL295" s="113"/>
      <c r="BM295" s="113"/>
      <c r="BN295" s="113"/>
      <c r="BO295" s="113"/>
      <c r="BP295" s="121"/>
      <c r="BQ295" s="121"/>
      <c r="GA295" t="s">
        <v>113</v>
      </c>
      <c r="GB295" t="s">
        <v>19753</v>
      </c>
      <c r="GC295" s="46">
        <v>0</v>
      </c>
      <c r="GD295" s="113"/>
      <c r="GE295" s="113"/>
      <c r="GF295" s="113"/>
      <c r="GG295" s="113"/>
      <c r="GH295" s="113"/>
      <c r="GI295" s="46">
        <v>0</v>
      </c>
      <c r="GJ295" s="113"/>
      <c r="GK295" s="113"/>
      <c r="GL295" s="113"/>
      <c r="GM295" s="113"/>
      <c r="GN295" s="113"/>
      <c r="GO295" s="46">
        <v>0</v>
      </c>
      <c r="GP295" s="113"/>
      <c r="GQ295" s="113"/>
      <c r="GR295" s="113"/>
      <c r="GS295" s="113"/>
      <c r="GT295" s="113"/>
      <c r="GU295" s="46">
        <v>0</v>
      </c>
      <c r="GV295" s="113"/>
      <c r="GW295" s="113"/>
      <c r="GX295" s="113"/>
      <c r="GY295" s="113"/>
      <c r="GZ295" s="113"/>
      <c r="HA295" s="46">
        <v>0</v>
      </c>
      <c r="HB295" s="113"/>
      <c r="HC295" s="113"/>
      <c r="HD295" s="113"/>
      <c r="HE295" s="113"/>
      <c r="HF295" s="113"/>
      <c r="HG295" s="46">
        <v>0</v>
      </c>
      <c r="HH295" s="113"/>
      <c r="HI295" s="113"/>
      <c r="HJ295" s="113"/>
      <c r="HK295" s="113"/>
      <c r="HL295" s="113"/>
      <c r="HM295" s="121"/>
      <c r="HN295" s="121"/>
      <c r="LM295" t="str">
        <v/>
      </c>
      <c r="LN295" t="str">
        <v/>
      </c>
      <c r="LO295" t="str">
        <v/>
      </c>
    </row>
    <row r="296" spans="30:327">
      <c r="AD296" t="s">
        <v>113</v>
      </c>
      <c r="AE296" t="s">
        <v>19754</v>
      </c>
      <c r="AF296" s="46">
        <v>0</v>
      </c>
      <c r="AG296" s="113"/>
      <c r="AH296" s="113"/>
      <c r="AI296" s="113"/>
      <c r="AJ296" s="113"/>
      <c r="AK296" s="113"/>
      <c r="AL296" s="46">
        <v>0</v>
      </c>
      <c r="AM296" s="113"/>
      <c r="AN296" s="113"/>
      <c r="AO296" s="113"/>
      <c r="AP296" s="113"/>
      <c r="AQ296" s="113"/>
      <c r="AR296" s="46">
        <v>0</v>
      </c>
      <c r="AS296" s="113"/>
      <c r="AT296" s="113"/>
      <c r="AU296" s="113"/>
      <c r="AV296" s="113"/>
      <c r="AW296" s="113"/>
      <c r="AX296" s="46">
        <v>0</v>
      </c>
      <c r="AY296" s="113"/>
      <c r="AZ296" s="113"/>
      <c r="BA296" s="113"/>
      <c r="BB296" s="113"/>
      <c r="BC296" s="113"/>
      <c r="BD296" s="46">
        <v>0</v>
      </c>
      <c r="BE296" s="113"/>
      <c r="BF296" s="113"/>
      <c r="BG296" s="113"/>
      <c r="BH296" s="113"/>
      <c r="BI296" s="113"/>
      <c r="BJ296" s="46">
        <v>0</v>
      </c>
      <c r="BK296" s="113"/>
      <c r="BL296" s="113"/>
      <c r="BM296" s="113"/>
      <c r="BN296" s="113"/>
      <c r="BO296" s="113"/>
      <c r="BP296" s="121"/>
      <c r="BQ296" s="121"/>
      <c r="GA296" t="s">
        <v>113</v>
      </c>
      <c r="GB296" t="s">
        <v>19754</v>
      </c>
      <c r="GC296" s="46">
        <v>0</v>
      </c>
      <c r="GD296" s="113"/>
      <c r="GE296" s="113"/>
      <c r="GF296" s="113"/>
      <c r="GG296" s="113"/>
      <c r="GH296" s="113"/>
      <c r="GI296" s="46">
        <v>0</v>
      </c>
      <c r="GJ296" s="113"/>
      <c r="GK296" s="113"/>
      <c r="GL296" s="113"/>
      <c r="GM296" s="113"/>
      <c r="GN296" s="113"/>
      <c r="GO296" s="46">
        <v>0</v>
      </c>
      <c r="GP296" s="113"/>
      <c r="GQ296" s="113"/>
      <c r="GR296" s="113"/>
      <c r="GS296" s="113"/>
      <c r="GT296" s="113"/>
      <c r="GU296" s="46">
        <v>0</v>
      </c>
      <c r="GV296" s="113"/>
      <c r="GW296" s="113"/>
      <c r="GX296" s="113"/>
      <c r="GY296" s="113"/>
      <c r="GZ296" s="113"/>
      <c r="HA296" s="46">
        <v>0</v>
      </c>
      <c r="HB296" s="113"/>
      <c r="HC296" s="113"/>
      <c r="HD296" s="113"/>
      <c r="HE296" s="113"/>
      <c r="HF296" s="113"/>
      <c r="HG296" s="46">
        <v>0</v>
      </c>
      <c r="HH296" s="113"/>
      <c r="HI296" s="113"/>
      <c r="HJ296" s="113"/>
      <c r="HK296" s="113"/>
      <c r="HL296" s="113"/>
      <c r="HM296" s="121"/>
      <c r="HN296" s="121"/>
      <c r="LM296" t="str">
        <v/>
      </c>
      <c r="LN296" t="str">
        <v/>
      </c>
      <c r="LO296" t="str">
        <v/>
      </c>
    </row>
    <row r="297" spans="30:327">
      <c r="AD297" t="s">
        <v>113</v>
      </c>
      <c r="AE297" t="s">
        <v>19755</v>
      </c>
      <c r="AF297" s="46">
        <v>0</v>
      </c>
      <c r="AG297" s="113"/>
      <c r="AH297" s="113"/>
      <c r="AI297" s="113"/>
      <c r="AJ297" s="113"/>
      <c r="AK297" s="113"/>
      <c r="AL297" s="46">
        <v>0</v>
      </c>
      <c r="AM297" s="113"/>
      <c r="AN297" s="113"/>
      <c r="AO297" s="113"/>
      <c r="AP297" s="113"/>
      <c r="AQ297" s="113"/>
      <c r="AR297" s="46">
        <v>0</v>
      </c>
      <c r="AS297" s="113"/>
      <c r="AT297" s="113"/>
      <c r="AU297" s="113"/>
      <c r="AV297" s="113"/>
      <c r="AW297" s="113"/>
      <c r="AX297" s="46">
        <v>0</v>
      </c>
      <c r="AY297" s="113"/>
      <c r="AZ297" s="113"/>
      <c r="BA297" s="113"/>
      <c r="BB297" s="113"/>
      <c r="BC297" s="113"/>
      <c r="BD297" s="46">
        <v>0</v>
      </c>
      <c r="BE297" s="113"/>
      <c r="BF297" s="113"/>
      <c r="BG297" s="113"/>
      <c r="BH297" s="113"/>
      <c r="BI297" s="113"/>
      <c r="BJ297" s="46">
        <v>0</v>
      </c>
      <c r="BK297" s="113"/>
      <c r="BL297" s="113"/>
      <c r="BM297" s="113"/>
      <c r="BN297" s="113"/>
      <c r="BO297" s="113"/>
      <c r="BP297" s="121"/>
      <c r="BQ297" s="121"/>
      <c r="GA297" t="s">
        <v>113</v>
      </c>
      <c r="GB297" t="s">
        <v>19755</v>
      </c>
      <c r="GC297" s="46">
        <v>0</v>
      </c>
      <c r="GD297" s="113"/>
      <c r="GE297" s="113"/>
      <c r="GF297" s="113"/>
      <c r="GG297" s="113"/>
      <c r="GH297" s="113"/>
      <c r="GI297" s="46">
        <v>0</v>
      </c>
      <c r="GJ297" s="113"/>
      <c r="GK297" s="113"/>
      <c r="GL297" s="113"/>
      <c r="GM297" s="113"/>
      <c r="GN297" s="113"/>
      <c r="GO297" s="46">
        <v>0</v>
      </c>
      <c r="GP297" s="113"/>
      <c r="GQ297" s="113"/>
      <c r="GR297" s="113"/>
      <c r="GS297" s="113"/>
      <c r="GT297" s="113"/>
      <c r="GU297" s="46">
        <v>0</v>
      </c>
      <c r="GV297" s="113"/>
      <c r="GW297" s="113"/>
      <c r="GX297" s="113"/>
      <c r="GY297" s="113"/>
      <c r="GZ297" s="113"/>
      <c r="HA297" s="46">
        <v>0</v>
      </c>
      <c r="HB297" s="113"/>
      <c r="HC297" s="113"/>
      <c r="HD297" s="113"/>
      <c r="HE297" s="113"/>
      <c r="HF297" s="113"/>
      <c r="HG297" s="46">
        <v>0</v>
      </c>
      <c r="HH297" s="113"/>
      <c r="HI297" s="113"/>
      <c r="HJ297" s="113"/>
      <c r="HK297" s="113"/>
      <c r="HL297" s="113"/>
      <c r="HM297" s="121"/>
      <c r="HN297" s="121"/>
      <c r="LM297" t="str">
        <v/>
      </c>
      <c r="LN297" t="str">
        <v/>
      </c>
      <c r="LO297" t="str">
        <v/>
      </c>
    </row>
    <row r="298" spans="30:327">
      <c r="AD298" t="s">
        <v>113</v>
      </c>
      <c r="AE298" t="s">
        <v>19756</v>
      </c>
      <c r="AF298" s="46">
        <v>0</v>
      </c>
      <c r="AG298" s="113"/>
      <c r="AH298" s="113"/>
      <c r="AI298" s="113"/>
      <c r="AJ298" s="113"/>
      <c r="AK298" s="113"/>
      <c r="AL298" s="46">
        <v>0</v>
      </c>
      <c r="AM298" s="113"/>
      <c r="AN298" s="113"/>
      <c r="AO298" s="113"/>
      <c r="AP298" s="113"/>
      <c r="AQ298" s="113"/>
      <c r="AR298" s="46">
        <v>0</v>
      </c>
      <c r="AS298" s="113"/>
      <c r="AT298" s="113"/>
      <c r="AU298" s="113"/>
      <c r="AV298" s="113"/>
      <c r="AW298" s="113"/>
      <c r="AX298" s="46">
        <v>0</v>
      </c>
      <c r="AY298" s="113"/>
      <c r="AZ298" s="113"/>
      <c r="BA298" s="113"/>
      <c r="BB298" s="113"/>
      <c r="BC298" s="113"/>
      <c r="BD298" s="46">
        <v>0</v>
      </c>
      <c r="BE298" s="113"/>
      <c r="BF298" s="113"/>
      <c r="BG298" s="113"/>
      <c r="BH298" s="113"/>
      <c r="BI298" s="113"/>
      <c r="BJ298" s="46">
        <v>0</v>
      </c>
      <c r="BK298" s="113"/>
      <c r="BL298" s="113"/>
      <c r="BM298" s="113"/>
      <c r="BN298" s="113"/>
      <c r="BO298" s="113"/>
      <c r="BP298" s="121"/>
      <c r="BQ298" s="121"/>
      <c r="GA298" t="s">
        <v>113</v>
      </c>
      <c r="GB298" t="s">
        <v>19756</v>
      </c>
      <c r="GC298" s="46">
        <v>0</v>
      </c>
      <c r="GD298" s="113"/>
      <c r="GE298" s="113"/>
      <c r="GF298" s="113"/>
      <c r="GG298" s="113"/>
      <c r="GH298" s="113"/>
      <c r="GI298" s="46">
        <v>0</v>
      </c>
      <c r="GJ298" s="113"/>
      <c r="GK298" s="113"/>
      <c r="GL298" s="113"/>
      <c r="GM298" s="113"/>
      <c r="GN298" s="113"/>
      <c r="GO298" s="46">
        <v>0</v>
      </c>
      <c r="GP298" s="113"/>
      <c r="GQ298" s="113"/>
      <c r="GR298" s="113"/>
      <c r="GS298" s="113"/>
      <c r="GT298" s="113"/>
      <c r="GU298" s="46">
        <v>0</v>
      </c>
      <c r="GV298" s="113"/>
      <c r="GW298" s="113"/>
      <c r="GX298" s="113"/>
      <c r="GY298" s="113"/>
      <c r="GZ298" s="113"/>
      <c r="HA298" s="46">
        <v>0</v>
      </c>
      <c r="HB298" s="113"/>
      <c r="HC298" s="113"/>
      <c r="HD298" s="113"/>
      <c r="HE298" s="113"/>
      <c r="HF298" s="113"/>
      <c r="HG298" s="46">
        <v>0</v>
      </c>
      <c r="HH298" s="113"/>
      <c r="HI298" s="113"/>
      <c r="HJ298" s="113"/>
      <c r="HK298" s="113"/>
      <c r="HL298" s="113"/>
      <c r="HM298" s="121"/>
      <c r="HN298" s="121"/>
      <c r="LM298" t="str">
        <v/>
      </c>
      <c r="LN298" t="str">
        <v/>
      </c>
      <c r="LO298" t="str">
        <v/>
      </c>
    </row>
    <row r="299" spans="30:327">
      <c r="AD299" t="s">
        <v>113</v>
      </c>
      <c r="AE299" t="s">
        <v>19757</v>
      </c>
      <c r="AF299" s="46">
        <v>0</v>
      </c>
      <c r="AG299" s="113"/>
      <c r="AH299" s="113"/>
      <c r="AI299" s="113"/>
      <c r="AJ299" s="113"/>
      <c r="AK299" s="113"/>
      <c r="AL299" s="46">
        <v>0</v>
      </c>
      <c r="AM299" s="113"/>
      <c r="AN299" s="113"/>
      <c r="AO299" s="113"/>
      <c r="AP299" s="113"/>
      <c r="AQ299" s="113"/>
      <c r="AR299" s="46">
        <v>0</v>
      </c>
      <c r="AS299" s="113"/>
      <c r="AT299" s="113"/>
      <c r="AU299" s="113"/>
      <c r="AV299" s="113"/>
      <c r="AW299" s="113"/>
      <c r="AX299" s="46">
        <v>0</v>
      </c>
      <c r="AY299" s="113"/>
      <c r="AZ299" s="113"/>
      <c r="BA299" s="113"/>
      <c r="BB299" s="113"/>
      <c r="BC299" s="113"/>
      <c r="BD299" s="46">
        <v>0</v>
      </c>
      <c r="BE299" s="113"/>
      <c r="BF299" s="113"/>
      <c r="BG299" s="113"/>
      <c r="BH299" s="113"/>
      <c r="BI299" s="113"/>
      <c r="BJ299" s="46">
        <v>0</v>
      </c>
      <c r="BK299" s="113"/>
      <c r="BL299" s="113"/>
      <c r="BM299" s="113"/>
      <c r="BN299" s="113"/>
      <c r="BO299" s="113"/>
      <c r="BP299" s="121"/>
      <c r="BQ299" s="121"/>
      <c r="GA299" t="s">
        <v>113</v>
      </c>
      <c r="GB299" t="s">
        <v>19757</v>
      </c>
      <c r="GC299" s="46">
        <v>0</v>
      </c>
      <c r="GD299" s="113"/>
      <c r="GE299" s="113"/>
      <c r="GF299" s="113"/>
      <c r="GG299" s="113"/>
      <c r="GH299" s="113"/>
      <c r="GI299" s="46">
        <v>0</v>
      </c>
      <c r="GJ299" s="113"/>
      <c r="GK299" s="113"/>
      <c r="GL299" s="113"/>
      <c r="GM299" s="113"/>
      <c r="GN299" s="113"/>
      <c r="GO299" s="46">
        <v>0</v>
      </c>
      <c r="GP299" s="113"/>
      <c r="GQ299" s="113"/>
      <c r="GR299" s="113"/>
      <c r="GS299" s="113"/>
      <c r="GT299" s="113"/>
      <c r="GU299" s="46">
        <v>0</v>
      </c>
      <c r="GV299" s="113"/>
      <c r="GW299" s="113"/>
      <c r="GX299" s="113"/>
      <c r="GY299" s="113"/>
      <c r="GZ299" s="113"/>
      <c r="HA299" s="46">
        <v>0</v>
      </c>
      <c r="HB299" s="113"/>
      <c r="HC299" s="113"/>
      <c r="HD299" s="113"/>
      <c r="HE299" s="113"/>
      <c r="HF299" s="113"/>
      <c r="HG299" s="46">
        <v>0</v>
      </c>
      <c r="HH299" s="113"/>
      <c r="HI299" s="113"/>
      <c r="HJ299" s="113"/>
      <c r="HK299" s="113"/>
      <c r="HL299" s="113"/>
      <c r="HM299" s="121"/>
      <c r="HN299" s="121"/>
      <c r="LM299" t="str">
        <v/>
      </c>
      <c r="LN299" t="str">
        <v/>
      </c>
      <c r="LO299" t="str">
        <v/>
      </c>
    </row>
    <row r="300" spans="30:327">
      <c r="AD300" t="s">
        <v>113</v>
      </c>
      <c r="AE300" t="s">
        <v>19758</v>
      </c>
      <c r="AF300" s="46">
        <v>0</v>
      </c>
      <c r="AG300" s="113"/>
      <c r="AH300" s="113"/>
      <c r="AI300" s="113"/>
      <c r="AJ300" s="113"/>
      <c r="AK300" s="113"/>
      <c r="AL300" s="46">
        <v>0</v>
      </c>
      <c r="AM300" s="113"/>
      <c r="AN300" s="113"/>
      <c r="AO300" s="113"/>
      <c r="AP300" s="113"/>
      <c r="AQ300" s="113"/>
      <c r="AR300" s="46">
        <v>0</v>
      </c>
      <c r="AS300" s="113"/>
      <c r="AT300" s="113"/>
      <c r="AU300" s="113"/>
      <c r="AV300" s="113"/>
      <c r="AW300" s="113"/>
      <c r="AX300" s="46">
        <v>0</v>
      </c>
      <c r="AY300" s="113"/>
      <c r="AZ300" s="113"/>
      <c r="BA300" s="113"/>
      <c r="BB300" s="113"/>
      <c r="BC300" s="113"/>
      <c r="BD300" s="46">
        <v>0</v>
      </c>
      <c r="BE300" s="113"/>
      <c r="BF300" s="113"/>
      <c r="BG300" s="113"/>
      <c r="BH300" s="113"/>
      <c r="BI300" s="113"/>
      <c r="BJ300" s="46">
        <v>0</v>
      </c>
      <c r="BK300" s="113"/>
      <c r="BL300" s="113"/>
      <c r="BM300" s="113"/>
      <c r="BN300" s="113"/>
      <c r="BO300" s="113"/>
      <c r="BP300" s="121"/>
      <c r="BQ300" s="121"/>
      <c r="GA300" t="s">
        <v>113</v>
      </c>
      <c r="GB300" t="s">
        <v>19758</v>
      </c>
      <c r="GC300" s="46">
        <v>0</v>
      </c>
      <c r="GD300" s="113"/>
      <c r="GE300" s="113"/>
      <c r="GF300" s="113"/>
      <c r="GG300" s="113"/>
      <c r="GH300" s="113"/>
      <c r="GI300" s="46">
        <v>0</v>
      </c>
      <c r="GJ300" s="113"/>
      <c r="GK300" s="113"/>
      <c r="GL300" s="113"/>
      <c r="GM300" s="113"/>
      <c r="GN300" s="113"/>
      <c r="GO300" s="46">
        <v>0</v>
      </c>
      <c r="GP300" s="113"/>
      <c r="GQ300" s="113"/>
      <c r="GR300" s="113"/>
      <c r="GS300" s="113"/>
      <c r="GT300" s="113"/>
      <c r="GU300" s="46">
        <v>0</v>
      </c>
      <c r="GV300" s="113"/>
      <c r="GW300" s="113"/>
      <c r="GX300" s="113"/>
      <c r="GY300" s="113"/>
      <c r="GZ300" s="113"/>
      <c r="HA300" s="46">
        <v>0</v>
      </c>
      <c r="HB300" s="113"/>
      <c r="HC300" s="113"/>
      <c r="HD300" s="113"/>
      <c r="HE300" s="113"/>
      <c r="HF300" s="113"/>
      <c r="HG300" s="46">
        <v>0</v>
      </c>
      <c r="HH300" s="113"/>
      <c r="HI300" s="113"/>
      <c r="HJ300" s="113"/>
      <c r="HK300" s="113"/>
      <c r="HL300" s="113"/>
      <c r="HM300" s="121"/>
      <c r="HN300" s="121"/>
      <c r="LM300" t="str">
        <v/>
      </c>
      <c r="LN300" t="str">
        <v/>
      </c>
      <c r="LO300" t="str">
        <v/>
      </c>
    </row>
    <row r="301" spans="30:327">
      <c r="AD301" t="s">
        <v>113</v>
      </c>
      <c r="AE301" t="s">
        <v>19759</v>
      </c>
      <c r="AF301" s="46">
        <v>0</v>
      </c>
      <c r="AG301" s="113"/>
      <c r="AH301" s="113"/>
      <c r="AI301" s="113"/>
      <c r="AJ301" s="113"/>
      <c r="AK301" s="113"/>
      <c r="AL301" s="46">
        <v>0</v>
      </c>
      <c r="AM301" s="113"/>
      <c r="AN301" s="113"/>
      <c r="AO301" s="113"/>
      <c r="AP301" s="113"/>
      <c r="AQ301" s="113"/>
      <c r="AR301" s="46">
        <v>0</v>
      </c>
      <c r="AS301" s="113"/>
      <c r="AT301" s="113"/>
      <c r="AU301" s="113"/>
      <c r="AV301" s="113"/>
      <c r="AW301" s="113"/>
      <c r="AX301" s="46">
        <v>0</v>
      </c>
      <c r="AY301" s="113"/>
      <c r="AZ301" s="113"/>
      <c r="BA301" s="113"/>
      <c r="BB301" s="113"/>
      <c r="BC301" s="113"/>
      <c r="BD301" s="46">
        <v>0</v>
      </c>
      <c r="BE301" s="113"/>
      <c r="BF301" s="113"/>
      <c r="BG301" s="113"/>
      <c r="BH301" s="113"/>
      <c r="BI301" s="113"/>
      <c r="BJ301" s="46">
        <v>0</v>
      </c>
      <c r="BK301" s="113"/>
      <c r="BL301" s="113"/>
      <c r="BM301" s="113"/>
      <c r="BN301" s="113"/>
      <c r="BO301" s="113"/>
      <c r="BP301" s="121"/>
      <c r="BQ301" s="121"/>
      <c r="GA301" t="s">
        <v>113</v>
      </c>
      <c r="GB301" t="s">
        <v>19759</v>
      </c>
      <c r="GC301" s="46">
        <v>0</v>
      </c>
      <c r="GD301" s="113"/>
      <c r="GE301" s="113"/>
      <c r="GF301" s="113"/>
      <c r="GG301" s="113"/>
      <c r="GH301" s="113"/>
      <c r="GI301" s="46">
        <v>0</v>
      </c>
      <c r="GJ301" s="113"/>
      <c r="GK301" s="113"/>
      <c r="GL301" s="113"/>
      <c r="GM301" s="113"/>
      <c r="GN301" s="113"/>
      <c r="GO301" s="46">
        <v>0</v>
      </c>
      <c r="GP301" s="113"/>
      <c r="GQ301" s="113"/>
      <c r="GR301" s="113"/>
      <c r="GS301" s="113"/>
      <c r="GT301" s="113"/>
      <c r="GU301" s="46">
        <v>0</v>
      </c>
      <c r="GV301" s="113"/>
      <c r="GW301" s="113"/>
      <c r="GX301" s="113"/>
      <c r="GY301" s="113"/>
      <c r="GZ301" s="113"/>
      <c r="HA301" s="46">
        <v>0</v>
      </c>
      <c r="HB301" s="113"/>
      <c r="HC301" s="113"/>
      <c r="HD301" s="113"/>
      <c r="HE301" s="113"/>
      <c r="HF301" s="113"/>
      <c r="HG301" s="46">
        <v>0</v>
      </c>
      <c r="HH301" s="113"/>
      <c r="HI301" s="113"/>
      <c r="HJ301" s="113"/>
      <c r="HK301" s="113"/>
      <c r="HL301" s="113"/>
      <c r="HM301" s="121"/>
      <c r="HN301" s="121"/>
      <c r="LM301" t="str">
        <v/>
      </c>
      <c r="LN301" t="str">
        <v/>
      </c>
      <c r="LO301" t="str">
        <v/>
      </c>
    </row>
    <row r="302" spans="30:327">
      <c r="AD302" t="s">
        <v>113</v>
      </c>
      <c r="AE302" t="s">
        <v>16274</v>
      </c>
      <c r="AF302" s="46">
        <v>0</v>
      </c>
      <c r="AG302" s="113"/>
      <c r="AH302" s="113"/>
      <c r="AI302" s="113"/>
      <c r="AJ302" s="113"/>
      <c r="AK302" s="113"/>
      <c r="AL302" s="46">
        <v>0</v>
      </c>
      <c r="AM302" s="113"/>
      <c r="AN302" s="113"/>
      <c r="AO302" s="113"/>
      <c r="AP302" s="113"/>
      <c r="AQ302" s="113"/>
      <c r="AR302" s="46">
        <v>0</v>
      </c>
      <c r="AS302" s="113"/>
      <c r="AT302" s="113"/>
      <c r="AU302" s="113"/>
      <c r="AV302" s="113"/>
      <c r="AW302" s="113"/>
      <c r="AX302" s="46">
        <v>0</v>
      </c>
      <c r="AY302" s="113"/>
      <c r="AZ302" s="113"/>
      <c r="BA302" s="113"/>
      <c r="BB302" s="113"/>
      <c r="BC302" s="113"/>
      <c r="BD302" s="46">
        <v>0</v>
      </c>
      <c r="BE302" s="113"/>
      <c r="BF302" s="113"/>
      <c r="BG302" s="113"/>
      <c r="BH302" s="113"/>
      <c r="BI302" s="113"/>
      <c r="BJ302" s="46">
        <v>0</v>
      </c>
      <c r="BK302" s="113"/>
      <c r="BL302" s="113"/>
      <c r="BM302" s="113"/>
      <c r="BN302" s="113"/>
      <c r="BO302" s="113"/>
      <c r="BP302" s="121"/>
      <c r="BQ302" s="121"/>
      <c r="GA302" t="s">
        <v>113</v>
      </c>
      <c r="GB302" t="s">
        <v>16274</v>
      </c>
      <c r="GC302" s="46">
        <v>0</v>
      </c>
      <c r="GD302" s="113"/>
      <c r="GE302" s="113"/>
      <c r="GF302" s="113"/>
      <c r="GG302" s="113"/>
      <c r="GH302" s="113"/>
      <c r="GI302" s="46">
        <v>0</v>
      </c>
      <c r="GJ302" s="113"/>
      <c r="GK302" s="113"/>
      <c r="GL302" s="113"/>
      <c r="GM302" s="113"/>
      <c r="GN302" s="113"/>
      <c r="GO302" s="46">
        <v>0</v>
      </c>
      <c r="GP302" s="113"/>
      <c r="GQ302" s="113"/>
      <c r="GR302" s="113"/>
      <c r="GS302" s="113"/>
      <c r="GT302" s="113"/>
      <c r="GU302" s="46">
        <v>0</v>
      </c>
      <c r="GV302" s="113"/>
      <c r="GW302" s="113"/>
      <c r="GX302" s="113"/>
      <c r="GY302" s="113"/>
      <c r="GZ302" s="113"/>
      <c r="HA302" s="46">
        <v>0</v>
      </c>
      <c r="HB302" s="113"/>
      <c r="HC302" s="113"/>
      <c r="HD302" s="113"/>
      <c r="HE302" s="113"/>
      <c r="HF302" s="113"/>
      <c r="HG302" s="46">
        <v>0</v>
      </c>
      <c r="HH302" s="113"/>
      <c r="HI302" s="113"/>
      <c r="HJ302" s="113"/>
      <c r="HK302" s="113"/>
      <c r="HL302" s="113"/>
      <c r="HM302" s="121"/>
      <c r="HN302" s="121"/>
      <c r="LM302" t="str">
        <v/>
      </c>
      <c r="LN302" t="str">
        <v/>
      </c>
      <c r="LO302" t="str">
        <v/>
      </c>
    </row>
    <row r="303" spans="30:327">
      <c r="AD303" t="s">
        <v>113</v>
      </c>
      <c r="AE303" t="s">
        <v>16486</v>
      </c>
      <c r="AF303" s="46">
        <v>0</v>
      </c>
      <c r="AG303" s="113"/>
      <c r="AH303" s="113"/>
      <c r="AI303" s="113"/>
      <c r="AJ303" s="113"/>
      <c r="AK303" s="113"/>
      <c r="AL303" s="46">
        <v>0</v>
      </c>
      <c r="AM303" s="113"/>
      <c r="AN303" s="113"/>
      <c r="AO303" s="113"/>
      <c r="AP303" s="113"/>
      <c r="AQ303" s="113"/>
      <c r="AR303" s="46">
        <v>0</v>
      </c>
      <c r="AS303" s="113"/>
      <c r="AT303" s="113"/>
      <c r="AU303" s="113"/>
      <c r="AV303" s="113"/>
      <c r="AW303" s="113"/>
      <c r="AX303" s="46">
        <v>0</v>
      </c>
      <c r="AY303" s="113"/>
      <c r="AZ303" s="113"/>
      <c r="BA303" s="113"/>
      <c r="BB303" s="113"/>
      <c r="BC303" s="113"/>
      <c r="BD303" s="46">
        <v>0</v>
      </c>
      <c r="BE303" s="113"/>
      <c r="BF303" s="113"/>
      <c r="BG303" s="113"/>
      <c r="BH303" s="113"/>
      <c r="BI303" s="113"/>
      <c r="BJ303" s="46">
        <v>0</v>
      </c>
      <c r="BK303" s="113"/>
      <c r="BL303" s="113"/>
      <c r="BM303" s="113"/>
      <c r="BN303" s="113"/>
      <c r="BO303" s="113"/>
      <c r="BP303" s="121"/>
      <c r="BQ303" s="121"/>
      <c r="GA303" t="s">
        <v>113</v>
      </c>
      <c r="GB303" t="s">
        <v>16486</v>
      </c>
      <c r="GC303" s="46">
        <v>0</v>
      </c>
      <c r="GD303" s="113"/>
      <c r="GE303" s="113"/>
      <c r="GF303" s="113"/>
      <c r="GG303" s="113"/>
      <c r="GH303" s="113"/>
      <c r="GI303" s="46">
        <v>0</v>
      </c>
      <c r="GJ303" s="113"/>
      <c r="GK303" s="113"/>
      <c r="GL303" s="113"/>
      <c r="GM303" s="113"/>
      <c r="GN303" s="113"/>
      <c r="GO303" s="46">
        <v>0</v>
      </c>
      <c r="GP303" s="113"/>
      <c r="GQ303" s="113"/>
      <c r="GR303" s="113"/>
      <c r="GS303" s="113"/>
      <c r="GT303" s="113"/>
      <c r="GU303" s="46">
        <v>0</v>
      </c>
      <c r="GV303" s="113"/>
      <c r="GW303" s="113"/>
      <c r="GX303" s="113"/>
      <c r="GY303" s="113"/>
      <c r="GZ303" s="113"/>
      <c r="HA303" s="46">
        <v>0</v>
      </c>
      <c r="HB303" s="113"/>
      <c r="HC303" s="113"/>
      <c r="HD303" s="113"/>
      <c r="HE303" s="113"/>
      <c r="HF303" s="113"/>
      <c r="HG303" s="46">
        <v>0</v>
      </c>
      <c r="HH303" s="113"/>
      <c r="HI303" s="113"/>
      <c r="HJ303" s="113"/>
      <c r="HK303" s="113"/>
      <c r="HL303" s="113"/>
      <c r="HM303" s="121"/>
      <c r="HN303" s="121"/>
      <c r="LM303" t="str">
        <v/>
      </c>
      <c r="LN303" t="str">
        <v/>
      </c>
      <c r="LO303" t="str">
        <v/>
      </c>
    </row>
    <row r="304" spans="30:327">
      <c r="AD304" t="s">
        <v>113</v>
      </c>
      <c r="AE304" t="s">
        <v>16487</v>
      </c>
      <c r="AF304" s="46">
        <v>0</v>
      </c>
      <c r="AG304" s="113"/>
      <c r="AH304" s="113"/>
      <c r="AI304" s="113"/>
      <c r="AJ304" s="113"/>
      <c r="AK304" s="113"/>
      <c r="AL304" s="46">
        <v>0</v>
      </c>
      <c r="AM304" s="113"/>
      <c r="AN304" s="113"/>
      <c r="AO304" s="113"/>
      <c r="AP304" s="113"/>
      <c r="AQ304" s="113"/>
      <c r="AR304" s="46">
        <v>0</v>
      </c>
      <c r="AS304" s="113"/>
      <c r="AT304" s="113"/>
      <c r="AU304" s="113"/>
      <c r="AV304" s="113"/>
      <c r="AW304" s="113"/>
      <c r="AX304" s="46">
        <v>0</v>
      </c>
      <c r="AY304" s="113"/>
      <c r="AZ304" s="113"/>
      <c r="BA304" s="113"/>
      <c r="BB304" s="113"/>
      <c r="BC304" s="113"/>
      <c r="BD304" s="46">
        <v>0</v>
      </c>
      <c r="BE304" s="113"/>
      <c r="BF304" s="113"/>
      <c r="BG304" s="113"/>
      <c r="BH304" s="113"/>
      <c r="BI304" s="113"/>
      <c r="BJ304" s="46">
        <v>0</v>
      </c>
      <c r="BK304" s="113"/>
      <c r="BL304" s="113"/>
      <c r="BM304" s="113"/>
      <c r="BN304" s="113"/>
      <c r="BO304" s="113"/>
      <c r="BP304" s="121"/>
      <c r="BQ304" s="121"/>
      <c r="GA304" t="s">
        <v>113</v>
      </c>
      <c r="GB304" t="s">
        <v>16487</v>
      </c>
      <c r="GC304" s="46">
        <v>0</v>
      </c>
      <c r="GD304" s="113"/>
      <c r="GE304" s="113"/>
      <c r="GF304" s="113"/>
      <c r="GG304" s="113"/>
      <c r="GH304" s="113"/>
      <c r="GI304" s="46">
        <v>0</v>
      </c>
      <c r="GJ304" s="113"/>
      <c r="GK304" s="113"/>
      <c r="GL304" s="113"/>
      <c r="GM304" s="113"/>
      <c r="GN304" s="113"/>
      <c r="GO304" s="46">
        <v>0</v>
      </c>
      <c r="GP304" s="113"/>
      <c r="GQ304" s="113"/>
      <c r="GR304" s="113"/>
      <c r="GS304" s="113"/>
      <c r="GT304" s="113"/>
      <c r="GU304" s="46">
        <v>0</v>
      </c>
      <c r="GV304" s="113"/>
      <c r="GW304" s="113"/>
      <c r="GX304" s="113"/>
      <c r="GY304" s="113"/>
      <c r="GZ304" s="113"/>
      <c r="HA304" s="46">
        <v>0</v>
      </c>
      <c r="HB304" s="113"/>
      <c r="HC304" s="113"/>
      <c r="HD304" s="113"/>
      <c r="HE304" s="113"/>
      <c r="HF304" s="113"/>
      <c r="HG304" s="46">
        <v>0</v>
      </c>
      <c r="HH304" s="113"/>
      <c r="HI304" s="113"/>
      <c r="HJ304" s="113"/>
      <c r="HK304" s="113"/>
      <c r="HL304" s="113"/>
      <c r="HM304" s="121"/>
      <c r="HN304" s="121"/>
      <c r="LM304" t="str">
        <v/>
      </c>
      <c r="LN304" t="str">
        <v/>
      </c>
      <c r="LO304" t="str">
        <v/>
      </c>
    </row>
    <row r="305" spans="30:327">
      <c r="AD305" t="s">
        <v>113</v>
      </c>
      <c r="AE305" t="s">
        <v>16488</v>
      </c>
      <c r="AF305" s="46">
        <v>0</v>
      </c>
      <c r="AG305" s="113"/>
      <c r="AH305" s="113"/>
      <c r="AI305" s="113"/>
      <c r="AJ305" s="113"/>
      <c r="AK305" s="113"/>
      <c r="AL305" s="46">
        <v>0</v>
      </c>
      <c r="AM305" s="113"/>
      <c r="AN305" s="113"/>
      <c r="AO305" s="113"/>
      <c r="AP305" s="113"/>
      <c r="AQ305" s="113"/>
      <c r="AR305" s="46">
        <v>0</v>
      </c>
      <c r="AS305" s="113"/>
      <c r="AT305" s="113"/>
      <c r="AU305" s="113"/>
      <c r="AV305" s="113"/>
      <c r="AW305" s="113"/>
      <c r="AX305" s="46">
        <v>0</v>
      </c>
      <c r="AY305" s="113"/>
      <c r="AZ305" s="113"/>
      <c r="BA305" s="113"/>
      <c r="BB305" s="113"/>
      <c r="BC305" s="113"/>
      <c r="BD305" s="46">
        <v>0</v>
      </c>
      <c r="BE305" s="113"/>
      <c r="BF305" s="113"/>
      <c r="BG305" s="113"/>
      <c r="BH305" s="113"/>
      <c r="BI305" s="113"/>
      <c r="BJ305" s="46">
        <v>0</v>
      </c>
      <c r="BK305" s="113"/>
      <c r="BL305" s="113"/>
      <c r="BM305" s="113"/>
      <c r="BN305" s="113"/>
      <c r="BO305" s="113"/>
      <c r="BP305" s="121"/>
      <c r="BQ305" s="121"/>
      <c r="GA305" t="s">
        <v>113</v>
      </c>
      <c r="GB305" t="s">
        <v>16488</v>
      </c>
      <c r="GC305" s="46">
        <v>0</v>
      </c>
      <c r="GD305" s="113"/>
      <c r="GE305" s="113"/>
      <c r="GF305" s="113"/>
      <c r="GG305" s="113"/>
      <c r="GH305" s="113"/>
      <c r="GI305" s="46">
        <v>0</v>
      </c>
      <c r="GJ305" s="113"/>
      <c r="GK305" s="113"/>
      <c r="GL305" s="113"/>
      <c r="GM305" s="113"/>
      <c r="GN305" s="113"/>
      <c r="GO305" s="46">
        <v>0</v>
      </c>
      <c r="GP305" s="113"/>
      <c r="GQ305" s="113"/>
      <c r="GR305" s="113"/>
      <c r="GS305" s="113"/>
      <c r="GT305" s="113"/>
      <c r="GU305" s="46">
        <v>0</v>
      </c>
      <c r="GV305" s="113"/>
      <c r="GW305" s="113"/>
      <c r="GX305" s="113"/>
      <c r="GY305" s="113"/>
      <c r="GZ305" s="113"/>
      <c r="HA305" s="46">
        <v>0</v>
      </c>
      <c r="HB305" s="113"/>
      <c r="HC305" s="113"/>
      <c r="HD305" s="113"/>
      <c r="HE305" s="113"/>
      <c r="HF305" s="113"/>
      <c r="HG305" s="46">
        <v>0</v>
      </c>
      <c r="HH305" s="113"/>
      <c r="HI305" s="113"/>
      <c r="HJ305" s="113"/>
      <c r="HK305" s="113"/>
      <c r="HL305" s="113"/>
      <c r="HM305" s="121"/>
      <c r="HN305" s="121"/>
      <c r="LM305" t="str">
        <v/>
      </c>
      <c r="LN305" t="str">
        <v/>
      </c>
      <c r="LO305" t="str">
        <v/>
      </c>
    </row>
    <row r="306" spans="30:327">
      <c r="AD306" t="s">
        <v>113</v>
      </c>
      <c r="AE306" t="s">
        <v>16491</v>
      </c>
      <c r="AF306" s="46">
        <v>0</v>
      </c>
      <c r="AG306" s="113"/>
      <c r="AH306" s="113"/>
      <c r="AI306" s="113"/>
      <c r="AJ306" s="113"/>
      <c r="AK306" s="113"/>
      <c r="AL306" s="46">
        <v>0</v>
      </c>
      <c r="AM306" s="113"/>
      <c r="AN306" s="113"/>
      <c r="AO306" s="113"/>
      <c r="AP306" s="113"/>
      <c r="AQ306" s="113"/>
      <c r="AR306" s="46">
        <v>0</v>
      </c>
      <c r="AS306" s="113"/>
      <c r="AT306" s="113"/>
      <c r="AU306" s="113"/>
      <c r="AV306" s="113"/>
      <c r="AW306" s="113"/>
      <c r="AX306" s="46">
        <v>0</v>
      </c>
      <c r="AY306" s="113"/>
      <c r="AZ306" s="113"/>
      <c r="BA306" s="113"/>
      <c r="BB306" s="113"/>
      <c r="BC306" s="113"/>
      <c r="BD306" s="46">
        <v>0</v>
      </c>
      <c r="BE306" s="113"/>
      <c r="BF306" s="113"/>
      <c r="BG306" s="113"/>
      <c r="BH306" s="113"/>
      <c r="BI306" s="113"/>
      <c r="BJ306" s="46">
        <v>0</v>
      </c>
      <c r="BK306" s="113"/>
      <c r="BL306" s="113"/>
      <c r="BM306" s="113"/>
      <c r="BN306" s="113"/>
      <c r="BO306" s="113"/>
      <c r="BP306" s="121"/>
      <c r="BQ306" s="121"/>
      <c r="GA306" t="s">
        <v>113</v>
      </c>
      <c r="GB306" t="s">
        <v>16491</v>
      </c>
      <c r="GC306" s="46">
        <v>0</v>
      </c>
      <c r="GD306" s="113"/>
      <c r="GE306" s="113"/>
      <c r="GF306" s="113"/>
      <c r="GG306" s="113"/>
      <c r="GH306" s="113"/>
      <c r="GI306" s="46">
        <v>0</v>
      </c>
      <c r="GJ306" s="113"/>
      <c r="GK306" s="113"/>
      <c r="GL306" s="113"/>
      <c r="GM306" s="113"/>
      <c r="GN306" s="113"/>
      <c r="GO306" s="46">
        <v>0</v>
      </c>
      <c r="GP306" s="113"/>
      <c r="GQ306" s="113"/>
      <c r="GR306" s="113"/>
      <c r="GS306" s="113"/>
      <c r="GT306" s="113"/>
      <c r="GU306" s="46">
        <v>0</v>
      </c>
      <c r="GV306" s="113"/>
      <c r="GW306" s="113"/>
      <c r="GX306" s="113"/>
      <c r="GY306" s="113"/>
      <c r="GZ306" s="113"/>
      <c r="HA306" s="46">
        <v>0</v>
      </c>
      <c r="HB306" s="113"/>
      <c r="HC306" s="113"/>
      <c r="HD306" s="113"/>
      <c r="HE306" s="113"/>
      <c r="HF306" s="113"/>
      <c r="HG306" s="46">
        <v>0</v>
      </c>
      <c r="HH306" s="113"/>
      <c r="HI306" s="113"/>
      <c r="HJ306" s="113"/>
      <c r="HK306" s="113"/>
      <c r="HL306" s="113"/>
      <c r="HM306" s="121"/>
      <c r="HN306" s="121"/>
      <c r="LM306" t="str">
        <v/>
      </c>
      <c r="LN306" t="str">
        <v/>
      </c>
      <c r="LO306" t="str">
        <v/>
      </c>
    </row>
    <row r="307" spans="30:327">
      <c r="AD307" t="s">
        <v>113</v>
      </c>
      <c r="AE307" t="s">
        <v>16492</v>
      </c>
      <c r="AF307" s="46">
        <v>0</v>
      </c>
      <c r="AG307" s="113"/>
      <c r="AH307" s="113"/>
      <c r="AI307" s="113"/>
      <c r="AJ307" s="113"/>
      <c r="AK307" s="113"/>
      <c r="AL307" s="46">
        <v>0</v>
      </c>
      <c r="AM307" s="113"/>
      <c r="AN307" s="113"/>
      <c r="AO307" s="113"/>
      <c r="AP307" s="113"/>
      <c r="AQ307" s="113"/>
      <c r="AR307" s="46">
        <v>0</v>
      </c>
      <c r="AS307" s="113"/>
      <c r="AT307" s="113"/>
      <c r="AU307" s="113"/>
      <c r="AV307" s="113"/>
      <c r="AW307" s="113"/>
      <c r="AX307" s="46">
        <v>0</v>
      </c>
      <c r="AY307" s="113"/>
      <c r="AZ307" s="113"/>
      <c r="BA307" s="113"/>
      <c r="BB307" s="113"/>
      <c r="BC307" s="113"/>
      <c r="BD307" s="46">
        <v>0</v>
      </c>
      <c r="BE307" s="113"/>
      <c r="BF307" s="113"/>
      <c r="BG307" s="113"/>
      <c r="BH307" s="113"/>
      <c r="BI307" s="113"/>
      <c r="BJ307" s="46">
        <v>0</v>
      </c>
      <c r="BK307" s="113"/>
      <c r="BL307" s="113"/>
      <c r="BM307" s="113"/>
      <c r="BN307" s="113"/>
      <c r="BO307" s="113"/>
      <c r="BP307" s="121"/>
      <c r="BQ307" s="121"/>
      <c r="GA307" t="s">
        <v>113</v>
      </c>
      <c r="GB307" t="s">
        <v>16492</v>
      </c>
      <c r="GC307" s="46">
        <v>0</v>
      </c>
      <c r="GD307" s="113"/>
      <c r="GE307" s="113"/>
      <c r="GF307" s="113"/>
      <c r="GG307" s="113"/>
      <c r="GH307" s="113"/>
      <c r="GI307" s="46">
        <v>0</v>
      </c>
      <c r="GJ307" s="113"/>
      <c r="GK307" s="113"/>
      <c r="GL307" s="113"/>
      <c r="GM307" s="113"/>
      <c r="GN307" s="113"/>
      <c r="GO307" s="46">
        <v>0</v>
      </c>
      <c r="GP307" s="113"/>
      <c r="GQ307" s="113"/>
      <c r="GR307" s="113"/>
      <c r="GS307" s="113"/>
      <c r="GT307" s="113"/>
      <c r="GU307" s="46">
        <v>0</v>
      </c>
      <c r="GV307" s="113"/>
      <c r="GW307" s="113"/>
      <c r="GX307" s="113"/>
      <c r="GY307" s="113"/>
      <c r="GZ307" s="113"/>
      <c r="HA307" s="46">
        <v>0</v>
      </c>
      <c r="HB307" s="113"/>
      <c r="HC307" s="113"/>
      <c r="HD307" s="113"/>
      <c r="HE307" s="113"/>
      <c r="HF307" s="113"/>
      <c r="HG307" s="46">
        <v>0</v>
      </c>
      <c r="HH307" s="113"/>
      <c r="HI307" s="113"/>
      <c r="HJ307" s="113"/>
      <c r="HK307" s="113"/>
      <c r="HL307" s="113"/>
      <c r="HM307" s="121"/>
      <c r="HN307" s="121"/>
      <c r="LM307" t="str">
        <v/>
      </c>
      <c r="LN307" t="str">
        <v/>
      </c>
      <c r="LO307" t="str">
        <v/>
      </c>
    </row>
    <row r="308" spans="30:327">
      <c r="AD308" t="s">
        <v>113</v>
      </c>
      <c r="AE308" t="s">
        <v>16493</v>
      </c>
      <c r="AF308" s="46">
        <v>0</v>
      </c>
      <c r="AG308" s="113"/>
      <c r="AH308" s="113"/>
      <c r="AI308" s="113"/>
      <c r="AJ308" s="113"/>
      <c r="AK308" s="113"/>
      <c r="AL308" s="46">
        <v>0</v>
      </c>
      <c r="AM308" s="113"/>
      <c r="AN308" s="113"/>
      <c r="AO308" s="113"/>
      <c r="AP308" s="113"/>
      <c r="AQ308" s="113"/>
      <c r="AR308" s="46">
        <v>0</v>
      </c>
      <c r="AS308" s="113"/>
      <c r="AT308" s="113"/>
      <c r="AU308" s="113"/>
      <c r="AV308" s="113"/>
      <c r="AW308" s="113"/>
      <c r="AX308" s="46">
        <v>0</v>
      </c>
      <c r="AY308" s="113"/>
      <c r="AZ308" s="113"/>
      <c r="BA308" s="113"/>
      <c r="BB308" s="113"/>
      <c r="BC308" s="113"/>
      <c r="BD308" s="46">
        <v>0</v>
      </c>
      <c r="BE308" s="113"/>
      <c r="BF308" s="113"/>
      <c r="BG308" s="113"/>
      <c r="BH308" s="113"/>
      <c r="BI308" s="113"/>
      <c r="BJ308" s="46">
        <v>0</v>
      </c>
      <c r="BK308" s="113"/>
      <c r="BL308" s="113"/>
      <c r="BM308" s="113"/>
      <c r="BN308" s="113"/>
      <c r="BO308" s="113"/>
      <c r="BP308" s="121"/>
      <c r="BQ308" s="121"/>
      <c r="GA308" t="s">
        <v>113</v>
      </c>
      <c r="GB308" t="s">
        <v>16493</v>
      </c>
      <c r="GC308" s="46">
        <v>0</v>
      </c>
      <c r="GD308" s="113"/>
      <c r="GE308" s="113"/>
      <c r="GF308" s="113"/>
      <c r="GG308" s="113"/>
      <c r="GH308" s="113"/>
      <c r="GI308" s="46">
        <v>0</v>
      </c>
      <c r="GJ308" s="113"/>
      <c r="GK308" s="113"/>
      <c r="GL308" s="113"/>
      <c r="GM308" s="113"/>
      <c r="GN308" s="113"/>
      <c r="GO308" s="46">
        <v>0</v>
      </c>
      <c r="GP308" s="113"/>
      <c r="GQ308" s="113"/>
      <c r="GR308" s="113"/>
      <c r="GS308" s="113"/>
      <c r="GT308" s="113"/>
      <c r="GU308" s="46">
        <v>0</v>
      </c>
      <c r="GV308" s="113"/>
      <c r="GW308" s="113"/>
      <c r="GX308" s="113"/>
      <c r="GY308" s="113"/>
      <c r="GZ308" s="113"/>
      <c r="HA308" s="46">
        <v>0</v>
      </c>
      <c r="HB308" s="113"/>
      <c r="HC308" s="113"/>
      <c r="HD308" s="113"/>
      <c r="HE308" s="113"/>
      <c r="HF308" s="113"/>
      <c r="HG308" s="46">
        <v>0</v>
      </c>
      <c r="HH308" s="113"/>
      <c r="HI308" s="113"/>
      <c r="HJ308" s="113"/>
      <c r="HK308" s="113"/>
      <c r="HL308" s="113"/>
      <c r="HM308" s="121"/>
      <c r="HN308" s="121"/>
      <c r="LM308" t="str">
        <v/>
      </c>
      <c r="LN308" t="str">
        <v/>
      </c>
      <c r="LO308" t="str">
        <v/>
      </c>
    </row>
    <row r="309" spans="30:327">
      <c r="AD309" t="s">
        <v>113</v>
      </c>
      <c r="AE309" t="s">
        <v>16494</v>
      </c>
      <c r="AF309" s="46">
        <v>0</v>
      </c>
      <c r="AG309" s="113"/>
      <c r="AH309" s="113"/>
      <c r="AI309" s="113"/>
      <c r="AJ309" s="113"/>
      <c r="AK309" s="113"/>
      <c r="AL309" s="46">
        <v>0</v>
      </c>
      <c r="AM309" s="113"/>
      <c r="AN309" s="113"/>
      <c r="AO309" s="113"/>
      <c r="AP309" s="113"/>
      <c r="AQ309" s="113"/>
      <c r="AR309" s="46">
        <v>0</v>
      </c>
      <c r="AS309" s="113"/>
      <c r="AT309" s="113"/>
      <c r="AU309" s="113"/>
      <c r="AV309" s="113"/>
      <c r="AW309" s="113"/>
      <c r="AX309" s="46">
        <v>0</v>
      </c>
      <c r="AY309" s="113"/>
      <c r="AZ309" s="113"/>
      <c r="BA309" s="113"/>
      <c r="BB309" s="113"/>
      <c r="BC309" s="113"/>
      <c r="BD309" s="46">
        <v>0</v>
      </c>
      <c r="BE309" s="113"/>
      <c r="BF309" s="113"/>
      <c r="BG309" s="113"/>
      <c r="BH309" s="113"/>
      <c r="BI309" s="113"/>
      <c r="BJ309" s="46">
        <v>0</v>
      </c>
      <c r="BK309" s="113"/>
      <c r="BL309" s="113"/>
      <c r="BM309" s="113"/>
      <c r="BN309" s="113"/>
      <c r="BO309" s="113"/>
      <c r="BP309" s="121"/>
      <c r="BQ309" s="121"/>
      <c r="GA309" t="s">
        <v>113</v>
      </c>
      <c r="GB309" t="s">
        <v>16494</v>
      </c>
      <c r="GC309" s="46">
        <v>0</v>
      </c>
      <c r="GD309" s="113"/>
      <c r="GE309" s="113"/>
      <c r="GF309" s="113"/>
      <c r="GG309" s="113"/>
      <c r="GH309" s="113"/>
      <c r="GI309" s="46">
        <v>0</v>
      </c>
      <c r="GJ309" s="113"/>
      <c r="GK309" s="113"/>
      <c r="GL309" s="113"/>
      <c r="GM309" s="113"/>
      <c r="GN309" s="113"/>
      <c r="GO309" s="46">
        <v>0</v>
      </c>
      <c r="GP309" s="113"/>
      <c r="GQ309" s="113"/>
      <c r="GR309" s="113"/>
      <c r="GS309" s="113"/>
      <c r="GT309" s="113"/>
      <c r="GU309" s="46">
        <v>0</v>
      </c>
      <c r="GV309" s="113"/>
      <c r="GW309" s="113"/>
      <c r="GX309" s="113"/>
      <c r="GY309" s="113"/>
      <c r="GZ309" s="113"/>
      <c r="HA309" s="46">
        <v>0</v>
      </c>
      <c r="HB309" s="113"/>
      <c r="HC309" s="113"/>
      <c r="HD309" s="113"/>
      <c r="HE309" s="113"/>
      <c r="HF309" s="113"/>
      <c r="HG309" s="46">
        <v>0</v>
      </c>
      <c r="HH309" s="113"/>
      <c r="HI309" s="113"/>
      <c r="HJ309" s="113"/>
      <c r="HK309" s="113"/>
      <c r="HL309" s="113"/>
      <c r="HM309" s="121"/>
      <c r="HN309" s="121"/>
      <c r="LM309" t="str">
        <v/>
      </c>
      <c r="LN309" t="str">
        <v/>
      </c>
      <c r="LO309" t="str">
        <v/>
      </c>
    </row>
    <row r="310" spans="30:327">
      <c r="AD310" t="s">
        <v>113</v>
      </c>
      <c r="AE310" t="s">
        <v>16495</v>
      </c>
      <c r="AF310" s="46">
        <v>0</v>
      </c>
      <c r="AG310" s="113"/>
      <c r="AH310" s="113"/>
      <c r="AI310" s="113"/>
      <c r="AJ310" s="113"/>
      <c r="AK310" s="113"/>
      <c r="AL310" s="46">
        <v>0</v>
      </c>
      <c r="AM310" s="113"/>
      <c r="AN310" s="113"/>
      <c r="AO310" s="113"/>
      <c r="AP310" s="113"/>
      <c r="AQ310" s="113"/>
      <c r="AR310" s="46">
        <v>0</v>
      </c>
      <c r="AS310" s="113"/>
      <c r="AT310" s="113"/>
      <c r="AU310" s="113"/>
      <c r="AV310" s="113"/>
      <c r="AW310" s="113"/>
      <c r="AX310" s="46">
        <v>0</v>
      </c>
      <c r="AY310" s="113"/>
      <c r="AZ310" s="113"/>
      <c r="BA310" s="113"/>
      <c r="BB310" s="113"/>
      <c r="BC310" s="113"/>
      <c r="BD310" s="46">
        <v>0</v>
      </c>
      <c r="BE310" s="113"/>
      <c r="BF310" s="113"/>
      <c r="BG310" s="113"/>
      <c r="BH310" s="113"/>
      <c r="BI310" s="113"/>
      <c r="BJ310" s="46">
        <v>0</v>
      </c>
      <c r="BK310" s="113"/>
      <c r="BL310" s="113"/>
      <c r="BM310" s="113"/>
      <c r="BN310" s="113"/>
      <c r="BO310" s="113"/>
      <c r="BP310" s="121"/>
      <c r="BQ310" s="121"/>
      <c r="GA310" t="s">
        <v>113</v>
      </c>
      <c r="GB310" t="s">
        <v>16495</v>
      </c>
      <c r="GC310" s="46">
        <v>0</v>
      </c>
      <c r="GD310" s="113"/>
      <c r="GE310" s="113"/>
      <c r="GF310" s="113"/>
      <c r="GG310" s="113"/>
      <c r="GH310" s="113"/>
      <c r="GI310" s="46">
        <v>0</v>
      </c>
      <c r="GJ310" s="113"/>
      <c r="GK310" s="113"/>
      <c r="GL310" s="113"/>
      <c r="GM310" s="113"/>
      <c r="GN310" s="113"/>
      <c r="GO310" s="46">
        <v>0</v>
      </c>
      <c r="GP310" s="113"/>
      <c r="GQ310" s="113"/>
      <c r="GR310" s="113"/>
      <c r="GS310" s="113"/>
      <c r="GT310" s="113"/>
      <c r="GU310" s="46">
        <v>0</v>
      </c>
      <c r="GV310" s="113"/>
      <c r="GW310" s="113"/>
      <c r="GX310" s="113"/>
      <c r="GY310" s="113"/>
      <c r="GZ310" s="113"/>
      <c r="HA310" s="46">
        <v>0</v>
      </c>
      <c r="HB310" s="113"/>
      <c r="HC310" s="113"/>
      <c r="HD310" s="113"/>
      <c r="HE310" s="113"/>
      <c r="HF310" s="113"/>
      <c r="HG310" s="46">
        <v>0</v>
      </c>
      <c r="HH310" s="113"/>
      <c r="HI310" s="113"/>
      <c r="HJ310" s="113"/>
      <c r="HK310" s="113"/>
      <c r="HL310" s="113"/>
      <c r="HM310" s="121"/>
      <c r="HN310" s="121"/>
      <c r="LM310" t="str">
        <v/>
      </c>
      <c r="LN310" t="str">
        <v/>
      </c>
      <c r="LO310" t="str">
        <v/>
      </c>
    </row>
    <row r="311" spans="30:327">
      <c r="AD311" t="s">
        <v>113</v>
      </c>
      <c r="AE311" t="s">
        <v>16496</v>
      </c>
      <c r="AF311" s="46">
        <v>0</v>
      </c>
      <c r="AG311" s="113"/>
      <c r="AH311" s="113"/>
      <c r="AI311" s="113"/>
      <c r="AJ311" s="113"/>
      <c r="AK311" s="113"/>
      <c r="AL311" s="46">
        <v>0</v>
      </c>
      <c r="AM311" s="113"/>
      <c r="AN311" s="113"/>
      <c r="AO311" s="113"/>
      <c r="AP311" s="113"/>
      <c r="AQ311" s="113"/>
      <c r="AR311" s="46">
        <v>0</v>
      </c>
      <c r="AS311" s="113"/>
      <c r="AT311" s="113"/>
      <c r="AU311" s="113"/>
      <c r="AV311" s="113"/>
      <c r="AW311" s="113"/>
      <c r="AX311" s="46">
        <v>0</v>
      </c>
      <c r="AY311" s="113"/>
      <c r="AZ311" s="113"/>
      <c r="BA311" s="113"/>
      <c r="BB311" s="113"/>
      <c r="BC311" s="113"/>
      <c r="BD311" s="46">
        <v>0</v>
      </c>
      <c r="BE311" s="113"/>
      <c r="BF311" s="113"/>
      <c r="BG311" s="113"/>
      <c r="BH311" s="113"/>
      <c r="BI311" s="113"/>
      <c r="BJ311" s="46">
        <v>0</v>
      </c>
      <c r="BK311" s="113"/>
      <c r="BL311" s="113"/>
      <c r="BM311" s="113"/>
      <c r="BN311" s="113"/>
      <c r="BO311" s="113"/>
      <c r="BP311" s="121"/>
      <c r="BQ311" s="121"/>
      <c r="GA311" t="s">
        <v>113</v>
      </c>
      <c r="GB311" t="s">
        <v>16496</v>
      </c>
      <c r="GC311" s="46">
        <v>0</v>
      </c>
      <c r="GD311" s="113"/>
      <c r="GE311" s="113"/>
      <c r="GF311" s="113"/>
      <c r="GG311" s="113"/>
      <c r="GH311" s="113"/>
      <c r="GI311" s="46">
        <v>0</v>
      </c>
      <c r="GJ311" s="113"/>
      <c r="GK311" s="113"/>
      <c r="GL311" s="113"/>
      <c r="GM311" s="113"/>
      <c r="GN311" s="113"/>
      <c r="GO311" s="46">
        <v>0</v>
      </c>
      <c r="GP311" s="113"/>
      <c r="GQ311" s="113"/>
      <c r="GR311" s="113"/>
      <c r="GS311" s="113"/>
      <c r="GT311" s="113"/>
      <c r="GU311" s="46">
        <v>0</v>
      </c>
      <c r="GV311" s="113"/>
      <c r="GW311" s="113"/>
      <c r="GX311" s="113"/>
      <c r="GY311" s="113"/>
      <c r="GZ311" s="113"/>
      <c r="HA311" s="46">
        <v>0</v>
      </c>
      <c r="HB311" s="113"/>
      <c r="HC311" s="113"/>
      <c r="HD311" s="113"/>
      <c r="HE311" s="113"/>
      <c r="HF311" s="113"/>
      <c r="HG311" s="46">
        <v>0</v>
      </c>
      <c r="HH311" s="113"/>
      <c r="HI311" s="113"/>
      <c r="HJ311" s="113"/>
      <c r="HK311" s="113"/>
      <c r="HL311" s="113"/>
      <c r="HM311" s="121"/>
      <c r="HN311" s="121"/>
      <c r="LM311" t="str">
        <v/>
      </c>
      <c r="LN311" t="str">
        <v/>
      </c>
      <c r="LO311" t="str">
        <v/>
      </c>
    </row>
    <row r="312" spans="30:327">
      <c r="AD312" t="s">
        <v>113</v>
      </c>
      <c r="AE312" t="s">
        <v>16497</v>
      </c>
      <c r="AF312" s="46">
        <v>0</v>
      </c>
      <c r="AG312" s="113"/>
      <c r="AH312" s="113"/>
      <c r="AI312" s="113"/>
      <c r="AJ312" s="113"/>
      <c r="AK312" s="113"/>
      <c r="AL312" s="46">
        <v>0</v>
      </c>
      <c r="AM312" s="113"/>
      <c r="AN312" s="113"/>
      <c r="AO312" s="113"/>
      <c r="AP312" s="113"/>
      <c r="AQ312" s="113"/>
      <c r="AR312" s="46">
        <v>0</v>
      </c>
      <c r="AS312" s="113"/>
      <c r="AT312" s="113"/>
      <c r="AU312" s="113"/>
      <c r="AV312" s="113"/>
      <c r="AW312" s="113"/>
      <c r="AX312" s="46">
        <v>0</v>
      </c>
      <c r="AY312" s="113"/>
      <c r="AZ312" s="113"/>
      <c r="BA312" s="113"/>
      <c r="BB312" s="113"/>
      <c r="BC312" s="113"/>
      <c r="BD312" s="46">
        <v>0</v>
      </c>
      <c r="BE312" s="113"/>
      <c r="BF312" s="113"/>
      <c r="BG312" s="113"/>
      <c r="BH312" s="113"/>
      <c r="BI312" s="113"/>
      <c r="BJ312" s="46">
        <v>0</v>
      </c>
      <c r="BK312" s="113"/>
      <c r="BL312" s="113"/>
      <c r="BM312" s="113"/>
      <c r="BN312" s="113"/>
      <c r="BO312" s="113"/>
      <c r="BP312" s="121"/>
      <c r="BQ312" s="121"/>
      <c r="GA312" t="s">
        <v>113</v>
      </c>
      <c r="GB312" t="s">
        <v>16497</v>
      </c>
      <c r="GC312" s="46">
        <v>0</v>
      </c>
      <c r="GD312" s="113"/>
      <c r="GE312" s="113"/>
      <c r="GF312" s="113"/>
      <c r="GG312" s="113"/>
      <c r="GH312" s="113"/>
      <c r="GI312" s="46">
        <v>0</v>
      </c>
      <c r="GJ312" s="113"/>
      <c r="GK312" s="113"/>
      <c r="GL312" s="113"/>
      <c r="GM312" s="113"/>
      <c r="GN312" s="113"/>
      <c r="GO312" s="46">
        <v>0</v>
      </c>
      <c r="GP312" s="113"/>
      <c r="GQ312" s="113"/>
      <c r="GR312" s="113"/>
      <c r="GS312" s="113"/>
      <c r="GT312" s="113"/>
      <c r="GU312" s="46">
        <v>0</v>
      </c>
      <c r="GV312" s="113"/>
      <c r="GW312" s="113"/>
      <c r="GX312" s="113"/>
      <c r="GY312" s="113"/>
      <c r="GZ312" s="113"/>
      <c r="HA312" s="46">
        <v>0</v>
      </c>
      <c r="HB312" s="113"/>
      <c r="HC312" s="113"/>
      <c r="HD312" s="113"/>
      <c r="HE312" s="113"/>
      <c r="HF312" s="113"/>
      <c r="HG312" s="46">
        <v>0</v>
      </c>
      <c r="HH312" s="113"/>
      <c r="HI312" s="113"/>
      <c r="HJ312" s="113"/>
      <c r="HK312" s="113"/>
      <c r="HL312" s="113"/>
      <c r="HM312" s="121"/>
      <c r="HN312" s="121"/>
      <c r="LM312" t="str">
        <v/>
      </c>
      <c r="LN312" t="str">
        <v/>
      </c>
      <c r="LO312" t="str">
        <v/>
      </c>
    </row>
    <row r="313" spans="30:327">
      <c r="AD313" t="s">
        <v>113</v>
      </c>
      <c r="AE313" t="s">
        <v>16498</v>
      </c>
      <c r="AF313" s="46">
        <v>0</v>
      </c>
      <c r="AG313" s="113"/>
      <c r="AH313" s="113"/>
      <c r="AI313" s="113"/>
      <c r="AJ313" s="113"/>
      <c r="AK313" s="113"/>
      <c r="AL313" s="46">
        <v>0</v>
      </c>
      <c r="AM313" s="113"/>
      <c r="AN313" s="113"/>
      <c r="AO313" s="113"/>
      <c r="AP313" s="113"/>
      <c r="AQ313" s="113"/>
      <c r="AR313" s="46">
        <v>0</v>
      </c>
      <c r="AS313" s="113"/>
      <c r="AT313" s="113"/>
      <c r="AU313" s="113"/>
      <c r="AV313" s="113"/>
      <c r="AW313" s="113"/>
      <c r="AX313" s="46">
        <v>0</v>
      </c>
      <c r="AY313" s="113"/>
      <c r="AZ313" s="113"/>
      <c r="BA313" s="113"/>
      <c r="BB313" s="113"/>
      <c r="BC313" s="113"/>
      <c r="BD313" s="46">
        <v>0</v>
      </c>
      <c r="BE313" s="113"/>
      <c r="BF313" s="113"/>
      <c r="BG313" s="113"/>
      <c r="BH313" s="113"/>
      <c r="BI313" s="113"/>
      <c r="BJ313" s="46">
        <v>0</v>
      </c>
      <c r="BK313" s="113"/>
      <c r="BL313" s="113"/>
      <c r="BM313" s="113"/>
      <c r="BN313" s="113"/>
      <c r="BO313" s="113"/>
      <c r="BP313" s="121"/>
      <c r="BQ313" s="121"/>
      <c r="GA313" t="s">
        <v>113</v>
      </c>
      <c r="GB313" t="s">
        <v>16498</v>
      </c>
      <c r="GC313" s="46">
        <v>0</v>
      </c>
      <c r="GD313" s="113"/>
      <c r="GE313" s="113"/>
      <c r="GF313" s="113"/>
      <c r="GG313" s="113"/>
      <c r="GH313" s="113"/>
      <c r="GI313" s="46">
        <v>0</v>
      </c>
      <c r="GJ313" s="113"/>
      <c r="GK313" s="113"/>
      <c r="GL313" s="113"/>
      <c r="GM313" s="113"/>
      <c r="GN313" s="113"/>
      <c r="GO313" s="46">
        <v>0</v>
      </c>
      <c r="GP313" s="113"/>
      <c r="GQ313" s="113"/>
      <c r="GR313" s="113"/>
      <c r="GS313" s="113"/>
      <c r="GT313" s="113"/>
      <c r="GU313" s="46">
        <v>0</v>
      </c>
      <c r="GV313" s="113"/>
      <c r="GW313" s="113"/>
      <c r="GX313" s="113"/>
      <c r="GY313" s="113"/>
      <c r="GZ313" s="113"/>
      <c r="HA313" s="46">
        <v>0</v>
      </c>
      <c r="HB313" s="113"/>
      <c r="HC313" s="113"/>
      <c r="HD313" s="113"/>
      <c r="HE313" s="113"/>
      <c r="HF313" s="113"/>
      <c r="HG313" s="46">
        <v>0</v>
      </c>
      <c r="HH313" s="113"/>
      <c r="HI313" s="113"/>
      <c r="HJ313" s="113"/>
      <c r="HK313" s="113"/>
      <c r="HL313" s="113"/>
      <c r="HM313" s="121"/>
      <c r="HN313" s="121"/>
      <c r="LM313" t="str">
        <v/>
      </c>
      <c r="LN313" t="str">
        <v/>
      </c>
      <c r="LO313" t="str">
        <v/>
      </c>
    </row>
    <row r="314" spans="30:327">
      <c r="AD314" t="s">
        <v>113</v>
      </c>
      <c r="AE314" t="s">
        <v>16499</v>
      </c>
      <c r="AF314" s="46">
        <v>0</v>
      </c>
      <c r="AG314" s="113"/>
      <c r="AH314" s="113"/>
      <c r="AI314" s="113"/>
      <c r="AJ314" s="113"/>
      <c r="AK314" s="113"/>
      <c r="AL314" s="46">
        <v>0</v>
      </c>
      <c r="AM314" s="113"/>
      <c r="AN314" s="113"/>
      <c r="AO314" s="113"/>
      <c r="AP314" s="113"/>
      <c r="AQ314" s="113"/>
      <c r="AR314" s="46">
        <v>0</v>
      </c>
      <c r="AS314" s="113"/>
      <c r="AT314" s="113"/>
      <c r="AU314" s="113"/>
      <c r="AV314" s="113"/>
      <c r="AW314" s="113"/>
      <c r="AX314" s="46">
        <v>0</v>
      </c>
      <c r="AY314" s="113"/>
      <c r="AZ314" s="113"/>
      <c r="BA314" s="113"/>
      <c r="BB314" s="113"/>
      <c r="BC314" s="113"/>
      <c r="BD314" s="46">
        <v>0</v>
      </c>
      <c r="BE314" s="113"/>
      <c r="BF314" s="113"/>
      <c r="BG314" s="113"/>
      <c r="BH314" s="113"/>
      <c r="BI314" s="113"/>
      <c r="BJ314" s="46">
        <v>0</v>
      </c>
      <c r="BK314" s="113"/>
      <c r="BL314" s="113"/>
      <c r="BM314" s="113"/>
      <c r="BN314" s="113"/>
      <c r="BO314" s="113"/>
      <c r="BP314" s="121"/>
      <c r="BQ314" s="121"/>
      <c r="GA314" t="s">
        <v>113</v>
      </c>
      <c r="GB314" t="s">
        <v>16499</v>
      </c>
      <c r="GC314" s="46">
        <v>0</v>
      </c>
      <c r="GD314" s="113"/>
      <c r="GE314" s="113"/>
      <c r="GF314" s="113"/>
      <c r="GG314" s="113"/>
      <c r="GH314" s="113"/>
      <c r="GI314" s="46">
        <v>0</v>
      </c>
      <c r="GJ314" s="113"/>
      <c r="GK314" s="113"/>
      <c r="GL314" s="113"/>
      <c r="GM314" s="113"/>
      <c r="GN314" s="113"/>
      <c r="GO314" s="46">
        <v>0</v>
      </c>
      <c r="GP314" s="113"/>
      <c r="GQ314" s="113"/>
      <c r="GR314" s="113"/>
      <c r="GS314" s="113"/>
      <c r="GT314" s="113"/>
      <c r="GU314" s="46">
        <v>0</v>
      </c>
      <c r="GV314" s="113"/>
      <c r="GW314" s="113"/>
      <c r="GX314" s="113"/>
      <c r="GY314" s="113"/>
      <c r="GZ314" s="113"/>
      <c r="HA314" s="46">
        <v>0</v>
      </c>
      <c r="HB314" s="113"/>
      <c r="HC314" s="113"/>
      <c r="HD314" s="113"/>
      <c r="HE314" s="113"/>
      <c r="HF314" s="113"/>
      <c r="HG314" s="46">
        <v>0</v>
      </c>
      <c r="HH314" s="113"/>
      <c r="HI314" s="113"/>
      <c r="HJ314" s="113"/>
      <c r="HK314" s="113"/>
      <c r="HL314" s="113"/>
      <c r="HM314" s="121"/>
      <c r="HN314" s="121"/>
      <c r="LM314" t="str">
        <v/>
      </c>
      <c r="LN314" t="str">
        <v/>
      </c>
      <c r="LO314" t="str">
        <v/>
      </c>
    </row>
    <row r="315" spans="30:327">
      <c r="AD315" t="s">
        <v>113</v>
      </c>
      <c r="AE315" t="s">
        <v>16500</v>
      </c>
      <c r="AF315" s="46">
        <v>0</v>
      </c>
      <c r="AG315" s="113"/>
      <c r="AH315" s="113"/>
      <c r="AI315" s="113"/>
      <c r="AJ315" s="113"/>
      <c r="AK315" s="113"/>
      <c r="AL315" s="46">
        <v>0</v>
      </c>
      <c r="AM315" s="113"/>
      <c r="AN315" s="113"/>
      <c r="AO315" s="113"/>
      <c r="AP315" s="113"/>
      <c r="AQ315" s="113"/>
      <c r="AR315" s="46">
        <v>0</v>
      </c>
      <c r="AS315" s="113"/>
      <c r="AT315" s="113"/>
      <c r="AU315" s="113"/>
      <c r="AV315" s="113"/>
      <c r="AW315" s="113"/>
      <c r="AX315" s="46">
        <v>0</v>
      </c>
      <c r="AY315" s="113"/>
      <c r="AZ315" s="113"/>
      <c r="BA315" s="113"/>
      <c r="BB315" s="113"/>
      <c r="BC315" s="113"/>
      <c r="BD315" s="46">
        <v>0</v>
      </c>
      <c r="BE315" s="113"/>
      <c r="BF315" s="113"/>
      <c r="BG315" s="113"/>
      <c r="BH315" s="113"/>
      <c r="BI315" s="113"/>
      <c r="BJ315" s="46">
        <v>0</v>
      </c>
      <c r="BK315" s="113"/>
      <c r="BL315" s="113"/>
      <c r="BM315" s="113"/>
      <c r="BN315" s="113"/>
      <c r="BO315" s="113"/>
      <c r="BP315" s="121"/>
      <c r="BQ315" s="121"/>
      <c r="GA315" t="s">
        <v>113</v>
      </c>
      <c r="GB315" t="s">
        <v>16500</v>
      </c>
      <c r="GC315" s="46">
        <v>0</v>
      </c>
      <c r="GD315" s="113"/>
      <c r="GE315" s="113"/>
      <c r="GF315" s="113"/>
      <c r="GG315" s="113"/>
      <c r="GH315" s="113"/>
      <c r="GI315" s="46">
        <v>0</v>
      </c>
      <c r="GJ315" s="113"/>
      <c r="GK315" s="113"/>
      <c r="GL315" s="113"/>
      <c r="GM315" s="113"/>
      <c r="GN315" s="113"/>
      <c r="GO315" s="46">
        <v>0</v>
      </c>
      <c r="GP315" s="113"/>
      <c r="GQ315" s="113"/>
      <c r="GR315" s="113"/>
      <c r="GS315" s="113"/>
      <c r="GT315" s="113"/>
      <c r="GU315" s="46">
        <v>0</v>
      </c>
      <c r="GV315" s="113"/>
      <c r="GW315" s="113"/>
      <c r="GX315" s="113"/>
      <c r="GY315" s="113"/>
      <c r="GZ315" s="113"/>
      <c r="HA315" s="46">
        <v>0</v>
      </c>
      <c r="HB315" s="113"/>
      <c r="HC315" s="113"/>
      <c r="HD315" s="113"/>
      <c r="HE315" s="113"/>
      <c r="HF315" s="113"/>
      <c r="HG315" s="46">
        <v>0</v>
      </c>
      <c r="HH315" s="113"/>
      <c r="HI315" s="113"/>
      <c r="HJ315" s="113"/>
      <c r="HK315" s="113"/>
      <c r="HL315" s="113"/>
      <c r="HM315" s="121"/>
      <c r="HN315" s="121"/>
      <c r="LM315" t="str">
        <v/>
      </c>
      <c r="LN315" t="str">
        <v/>
      </c>
      <c r="LO315" t="str">
        <v/>
      </c>
    </row>
    <row r="316" spans="30:327">
      <c r="AD316" t="s">
        <v>113</v>
      </c>
      <c r="AE316" t="s">
        <v>16501</v>
      </c>
      <c r="AF316" s="46">
        <v>0</v>
      </c>
      <c r="AG316" s="113"/>
      <c r="AH316" s="113"/>
      <c r="AI316" s="113"/>
      <c r="AJ316" s="113"/>
      <c r="AK316" s="113"/>
      <c r="AL316" s="46">
        <v>0</v>
      </c>
      <c r="AM316" s="113"/>
      <c r="AN316" s="113"/>
      <c r="AO316" s="113"/>
      <c r="AP316" s="113"/>
      <c r="AQ316" s="113"/>
      <c r="AR316" s="46">
        <v>0</v>
      </c>
      <c r="AS316" s="113"/>
      <c r="AT316" s="113"/>
      <c r="AU316" s="113"/>
      <c r="AV316" s="113"/>
      <c r="AW316" s="113"/>
      <c r="AX316" s="46">
        <v>0</v>
      </c>
      <c r="AY316" s="113"/>
      <c r="AZ316" s="113"/>
      <c r="BA316" s="113"/>
      <c r="BB316" s="113"/>
      <c r="BC316" s="113"/>
      <c r="BD316" s="46">
        <v>0</v>
      </c>
      <c r="BE316" s="113"/>
      <c r="BF316" s="113"/>
      <c r="BG316" s="113"/>
      <c r="BH316" s="113"/>
      <c r="BI316" s="113"/>
      <c r="BJ316" s="46">
        <v>0</v>
      </c>
      <c r="BK316" s="113"/>
      <c r="BL316" s="113"/>
      <c r="BM316" s="113"/>
      <c r="BN316" s="113"/>
      <c r="BO316" s="113"/>
      <c r="BP316" s="121"/>
      <c r="BQ316" s="121"/>
      <c r="GA316" t="s">
        <v>113</v>
      </c>
      <c r="GB316" t="s">
        <v>16501</v>
      </c>
      <c r="GC316" s="46">
        <v>0</v>
      </c>
      <c r="GD316" s="113"/>
      <c r="GE316" s="113"/>
      <c r="GF316" s="113"/>
      <c r="GG316" s="113"/>
      <c r="GH316" s="113"/>
      <c r="GI316" s="46">
        <v>0</v>
      </c>
      <c r="GJ316" s="113"/>
      <c r="GK316" s="113"/>
      <c r="GL316" s="113"/>
      <c r="GM316" s="113"/>
      <c r="GN316" s="113"/>
      <c r="GO316" s="46">
        <v>0</v>
      </c>
      <c r="GP316" s="113"/>
      <c r="GQ316" s="113"/>
      <c r="GR316" s="113"/>
      <c r="GS316" s="113"/>
      <c r="GT316" s="113"/>
      <c r="GU316" s="46">
        <v>0</v>
      </c>
      <c r="GV316" s="113"/>
      <c r="GW316" s="113"/>
      <c r="GX316" s="113"/>
      <c r="GY316" s="113"/>
      <c r="GZ316" s="113"/>
      <c r="HA316" s="46">
        <v>0</v>
      </c>
      <c r="HB316" s="113"/>
      <c r="HC316" s="113"/>
      <c r="HD316" s="113"/>
      <c r="HE316" s="113"/>
      <c r="HF316" s="113"/>
      <c r="HG316" s="46">
        <v>0</v>
      </c>
      <c r="HH316" s="113"/>
      <c r="HI316" s="113"/>
      <c r="HJ316" s="113"/>
      <c r="HK316" s="113"/>
      <c r="HL316" s="113"/>
      <c r="HM316" s="121"/>
      <c r="HN316" s="121"/>
      <c r="LM316" t="str">
        <v/>
      </c>
      <c r="LN316" t="str">
        <v/>
      </c>
      <c r="LO316" t="str">
        <v/>
      </c>
    </row>
    <row r="317" spans="30:327">
      <c r="AD317" t="s">
        <v>113</v>
      </c>
      <c r="AE317" t="s">
        <v>16502</v>
      </c>
      <c r="AF317" s="46">
        <v>0</v>
      </c>
      <c r="AG317" s="113"/>
      <c r="AH317" s="113"/>
      <c r="AI317" s="113"/>
      <c r="AJ317" s="113"/>
      <c r="AK317" s="113"/>
      <c r="AL317" s="46">
        <v>0</v>
      </c>
      <c r="AM317" s="113"/>
      <c r="AN317" s="113"/>
      <c r="AO317" s="113"/>
      <c r="AP317" s="113"/>
      <c r="AQ317" s="113"/>
      <c r="AR317" s="46">
        <v>0</v>
      </c>
      <c r="AS317" s="113"/>
      <c r="AT317" s="113"/>
      <c r="AU317" s="113"/>
      <c r="AV317" s="113"/>
      <c r="AW317" s="113"/>
      <c r="AX317" s="46">
        <v>0</v>
      </c>
      <c r="AY317" s="113"/>
      <c r="AZ317" s="113"/>
      <c r="BA317" s="113"/>
      <c r="BB317" s="113"/>
      <c r="BC317" s="113"/>
      <c r="BD317" s="46">
        <v>0</v>
      </c>
      <c r="BE317" s="113"/>
      <c r="BF317" s="113"/>
      <c r="BG317" s="113"/>
      <c r="BH317" s="113"/>
      <c r="BI317" s="113"/>
      <c r="BJ317" s="46">
        <v>0</v>
      </c>
      <c r="BK317" s="113"/>
      <c r="BL317" s="113"/>
      <c r="BM317" s="113"/>
      <c r="BN317" s="113"/>
      <c r="BO317" s="113"/>
      <c r="BP317" s="121"/>
      <c r="BQ317" s="121"/>
      <c r="GA317" t="s">
        <v>113</v>
      </c>
      <c r="GB317" t="s">
        <v>16502</v>
      </c>
      <c r="GC317" s="46">
        <v>0</v>
      </c>
      <c r="GD317" s="113"/>
      <c r="GE317" s="113"/>
      <c r="GF317" s="113"/>
      <c r="GG317" s="113"/>
      <c r="GH317" s="113"/>
      <c r="GI317" s="46">
        <v>0</v>
      </c>
      <c r="GJ317" s="113"/>
      <c r="GK317" s="113"/>
      <c r="GL317" s="113"/>
      <c r="GM317" s="113"/>
      <c r="GN317" s="113"/>
      <c r="GO317" s="46">
        <v>0</v>
      </c>
      <c r="GP317" s="113"/>
      <c r="GQ317" s="113"/>
      <c r="GR317" s="113"/>
      <c r="GS317" s="113"/>
      <c r="GT317" s="113"/>
      <c r="GU317" s="46">
        <v>0</v>
      </c>
      <c r="GV317" s="113"/>
      <c r="GW317" s="113"/>
      <c r="GX317" s="113"/>
      <c r="GY317" s="113"/>
      <c r="GZ317" s="113"/>
      <c r="HA317" s="46">
        <v>0</v>
      </c>
      <c r="HB317" s="113"/>
      <c r="HC317" s="113"/>
      <c r="HD317" s="113"/>
      <c r="HE317" s="113"/>
      <c r="HF317" s="113"/>
      <c r="HG317" s="46">
        <v>0</v>
      </c>
      <c r="HH317" s="113"/>
      <c r="HI317" s="113"/>
      <c r="HJ317" s="113"/>
      <c r="HK317" s="113"/>
      <c r="HL317" s="113"/>
      <c r="HM317" s="121"/>
      <c r="HN317" s="121"/>
      <c r="LM317" t="str">
        <v/>
      </c>
      <c r="LN317" t="str">
        <v/>
      </c>
      <c r="LO317" t="str">
        <v/>
      </c>
    </row>
    <row r="318" spans="30:327">
      <c r="AD318" t="s">
        <v>113</v>
      </c>
      <c r="AE318" t="s">
        <v>16503</v>
      </c>
      <c r="AF318" s="46">
        <v>0</v>
      </c>
      <c r="AG318" s="113"/>
      <c r="AH318" s="113"/>
      <c r="AI318" s="113"/>
      <c r="AJ318" s="113"/>
      <c r="AK318" s="113"/>
      <c r="AL318" s="46">
        <v>0</v>
      </c>
      <c r="AM318" s="113"/>
      <c r="AN318" s="113"/>
      <c r="AO318" s="113"/>
      <c r="AP318" s="113"/>
      <c r="AQ318" s="113"/>
      <c r="AR318" s="46">
        <v>0</v>
      </c>
      <c r="AS318" s="113"/>
      <c r="AT318" s="113"/>
      <c r="AU318" s="113"/>
      <c r="AV318" s="113"/>
      <c r="AW318" s="113"/>
      <c r="AX318" s="46">
        <v>0</v>
      </c>
      <c r="AY318" s="113"/>
      <c r="AZ318" s="113"/>
      <c r="BA318" s="113"/>
      <c r="BB318" s="113"/>
      <c r="BC318" s="113"/>
      <c r="BD318" s="46">
        <v>0</v>
      </c>
      <c r="BE318" s="113"/>
      <c r="BF318" s="113"/>
      <c r="BG318" s="113"/>
      <c r="BH318" s="113"/>
      <c r="BI318" s="113"/>
      <c r="BJ318" s="46">
        <v>0</v>
      </c>
      <c r="BK318" s="113"/>
      <c r="BL318" s="113"/>
      <c r="BM318" s="113"/>
      <c r="BN318" s="113"/>
      <c r="BO318" s="113"/>
      <c r="BP318" s="121"/>
      <c r="BQ318" s="121"/>
      <c r="GA318" t="s">
        <v>113</v>
      </c>
      <c r="GB318" t="s">
        <v>16503</v>
      </c>
      <c r="GC318" s="46">
        <v>0</v>
      </c>
      <c r="GD318" s="113"/>
      <c r="GE318" s="113"/>
      <c r="GF318" s="113"/>
      <c r="GG318" s="113"/>
      <c r="GH318" s="113"/>
      <c r="GI318" s="46">
        <v>0</v>
      </c>
      <c r="GJ318" s="113"/>
      <c r="GK318" s="113"/>
      <c r="GL318" s="113"/>
      <c r="GM318" s="113"/>
      <c r="GN318" s="113"/>
      <c r="GO318" s="46">
        <v>0</v>
      </c>
      <c r="GP318" s="113"/>
      <c r="GQ318" s="113"/>
      <c r="GR318" s="113"/>
      <c r="GS318" s="113"/>
      <c r="GT318" s="113"/>
      <c r="GU318" s="46">
        <v>0</v>
      </c>
      <c r="GV318" s="113"/>
      <c r="GW318" s="113"/>
      <c r="GX318" s="113"/>
      <c r="GY318" s="113"/>
      <c r="GZ318" s="113"/>
      <c r="HA318" s="46">
        <v>0</v>
      </c>
      <c r="HB318" s="113"/>
      <c r="HC318" s="113"/>
      <c r="HD318" s="113"/>
      <c r="HE318" s="113"/>
      <c r="HF318" s="113"/>
      <c r="HG318" s="46">
        <v>0</v>
      </c>
      <c r="HH318" s="113"/>
      <c r="HI318" s="113"/>
      <c r="HJ318" s="113"/>
      <c r="HK318" s="113"/>
      <c r="HL318" s="113"/>
      <c r="HM318" s="121"/>
      <c r="HN318" s="121"/>
      <c r="LM318" t="str">
        <v/>
      </c>
      <c r="LN318" t="str">
        <v/>
      </c>
      <c r="LO318" t="str">
        <v/>
      </c>
    </row>
    <row r="319" spans="30:327">
      <c r="AD319" t="s">
        <v>113</v>
      </c>
      <c r="AE319" t="s">
        <v>16504</v>
      </c>
      <c r="AF319" s="46">
        <v>0</v>
      </c>
      <c r="AG319" s="113"/>
      <c r="AH319" s="113"/>
      <c r="AI319" s="113"/>
      <c r="AJ319" s="113"/>
      <c r="AK319" s="113"/>
      <c r="AL319" s="46">
        <v>0</v>
      </c>
      <c r="AM319" s="113"/>
      <c r="AN319" s="113"/>
      <c r="AO319" s="113"/>
      <c r="AP319" s="113"/>
      <c r="AQ319" s="113"/>
      <c r="AR319" s="46">
        <v>0</v>
      </c>
      <c r="AS319" s="113"/>
      <c r="AT319" s="113"/>
      <c r="AU319" s="113"/>
      <c r="AV319" s="113"/>
      <c r="AW319" s="113"/>
      <c r="AX319" s="46">
        <v>0</v>
      </c>
      <c r="AY319" s="113"/>
      <c r="AZ319" s="113"/>
      <c r="BA319" s="113"/>
      <c r="BB319" s="113"/>
      <c r="BC319" s="113"/>
      <c r="BD319" s="46">
        <v>0</v>
      </c>
      <c r="BE319" s="113"/>
      <c r="BF319" s="113"/>
      <c r="BG319" s="113"/>
      <c r="BH319" s="113"/>
      <c r="BI319" s="113"/>
      <c r="BJ319" s="46">
        <v>0</v>
      </c>
      <c r="BK319" s="113"/>
      <c r="BL319" s="113"/>
      <c r="BM319" s="113"/>
      <c r="BN319" s="113"/>
      <c r="BO319" s="113"/>
      <c r="BP319" s="121"/>
      <c r="BQ319" s="121"/>
      <c r="GA319" t="s">
        <v>113</v>
      </c>
      <c r="GB319" t="s">
        <v>16504</v>
      </c>
      <c r="GC319" s="46">
        <v>0</v>
      </c>
      <c r="GD319" s="113"/>
      <c r="GE319" s="113"/>
      <c r="GF319" s="113"/>
      <c r="GG319" s="113"/>
      <c r="GH319" s="113"/>
      <c r="GI319" s="46">
        <v>0</v>
      </c>
      <c r="GJ319" s="113"/>
      <c r="GK319" s="113"/>
      <c r="GL319" s="113"/>
      <c r="GM319" s="113"/>
      <c r="GN319" s="113"/>
      <c r="GO319" s="46">
        <v>0</v>
      </c>
      <c r="GP319" s="113"/>
      <c r="GQ319" s="113"/>
      <c r="GR319" s="113"/>
      <c r="GS319" s="113"/>
      <c r="GT319" s="113"/>
      <c r="GU319" s="46">
        <v>0</v>
      </c>
      <c r="GV319" s="113"/>
      <c r="GW319" s="113"/>
      <c r="GX319" s="113"/>
      <c r="GY319" s="113"/>
      <c r="GZ319" s="113"/>
      <c r="HA319" s="46">
        <v>0</v>
      </c>
      <c r="HB319" s="113"/>
      <c r="HC319" s="113"/>
      <c r="HD319" s="113"/>
      <c r="HE319" s="113"/>
      <c r="HF319" s="113"/>
      <c r="HG319" s="46">
        <v>0</v>
      </c>
      <c r="HH319" s="113"/>
      <c r="HI319" s="113"/>
      <c r="HJ319" s="113"/>
      <c r="HK319" s="113"/>
      <c r="HL319" s="113"/>
      <c r="HM319" s="121"/>
      <c r="HN319" s="121"/>
      <c r="LM319" t="str">
        <v/>
      </c>
      <c r="LN319" t="str">
        <v/>
      </c>
      <c r="LO319" t="str">
        <v/>
      </c>
    </row>
    <row r="320" spans="30:327">
      <c r="AD320" t="s">
        <v>113</v>
      </c>
      <c r="AE320" t="s">
        <v>16505</v>
      </c>
      <c r="AF320" s="46">
        <v>0</v>
      </c>
      <c r="AG320" s="113"/>
      <c r="AH320" s="113"/>
      <c r="AI320" s="113"/>
      <c r="AJ320" s="113"/>
      <c r="AK320" s="113"/>
      <c r="AL320" s="46">
        <v>0</v>
      </c>
      <c r="AM320" s="113"/>
      <c r="AN320" s="113"/>
      <c r="AO320" s="113"/>
      <c r="AP320" s="113"/>
      <c r="AQ320" s="113"/>
      <c r="AR320" s="46">
        <v>0</v>
      </c>
      <c r="AS320" s="113"/>
      <c r="AT320" s="113"/>
      <c r="AU320" s="113"/>
      <c r="AV320" s="113"/>
      <c r="AW320" s="113"/>
      <c r="AX320" s="46">
        <v>0</v>
      </c>
      <c r="AY320" s="113"/>
      <c r="AZ320" s="113"/>
      <c r="BA320" s="113"/>
      <c r="BB320" s="113"/>
      <c r="BC320" s="113"/>
      <c r="BD320" s="46">
        <v>0</v>
      </c>
      <c r="BE320" s="113"/>
      <c r="BF320" s="113"/>
      <c r="BG320" s="113"/>
      <c r="BH320" s="113"/>
      <c r="BI320" s="113"/>
      <c r="BJ320" s="46">
        <v>0</v>
      </c>
      <c r="BK320" s="113"/>
      <c r="BL320" s="113"/>
      <c r="BM320" s="113"/>
      <c r="BN320" s="113"/>
      <c r="BO320" s="113"/>
      <c r="BP320" s="121"/>
      <c r="BQ320" s="121"/>
      <c r="GA320" t="s">
        <v>113</v>
      </c>
      <c r="GB320" t="s">
        <v>16505</v>
      </c>
      <c r="GC320" s="46">
        <v>0</v>
      </c>
      <c r="GD320" s="113"/>
      <c r="GE320" s="113"/>
      <c r="GF320" s="113"/>
      <c r="GG320" s="113"/>
      <c r="GH320" s="113"/>
      <c r="GI320" s="46">
        <v>0</v>
      </c>
      <c r="GJ320" s="113"/>
      <c r="GK320" s="113"/>
      <c r="GL320" s="113"/>
      <c r="GM320" s="113"/>
      <c r="GN320" s="113"/>
      <c r="GO320" s="46">
        <v>0</v>
      </c>
      <c r="GP320" s="113"/>
      <c r="GQ320" s="113"/>
      <c r="GR320" s="113"/>
      <c r="GS320" s="113"/>
      <c r="GT320" s="113"/>
      <c r="GU320" s="46">
        <v>0</v>
      </c>
      <c r="GV320" s="113"/>
      <c r="GW320" s="113"/>
      <c r="GX320" s="113"/>
      <c r="GY320" s="113"/>
      <c r="GZ320" s="113"/>
      <c r="HA320" s="46">
        <v>0</v>
      </c>
      <c r="HB320" s="113"/>
      <c r="HC320" s="113"/>
      <c r="HD320" s="113"/>
      <c r="HE320" s="113"/>
      <c r="HF320" s="113"/>
      <c r="HG320" s="46">
        <v>0</v>
      </c>
      <c r="HH320" s="113"/>
      <c r="HI320" s="113"/>
      <c r="HJ320" s="113"/>
      <c r="HK320" s="113"/>
      <c r="HL320" s="113"/>
      <c r="HM320" s="121"/>
      <c r="HN320" s="121"/>
      <c r="LM320" t="str">
        <v/>
      </c>
      <c r="LN320" t="str">
        <v/>
      </c>
      <c r="LO320" t="str">
        <v/>
      </c>
    </row>
    <row r="321" spans="30:327">
      <c r="AD321" t="s">
        <v>113</v>
      </c>
      <c r="AE321" t="s">
        <v>16506</v>
      </c>
      <c r="AF321" s="46">
        <v>0</v>
      </c>
      <c r="AG321" s="113"/>
      <c r="AH321" s="113"/>
      <c r="AI321" s="113"/>
      <c r="AJ321" s="113"/>
      <c r="AK321" s="113"/>
      <c r="AL321" s="46">
        <v>0</v>
      </c>
      <c r="AM321" s="113"/>
      <c r="AN321" s="113"/>
      <c r="AO321" s="113"/>
      <c r="AP321" s="113"/>
      <c r="AQ321" s="113"/>
      <c r="AR321" s="46">
        <v>0</v>
      </c>
      <c r="AS321" s="113"/>
      <c r="AT321" s="113"/>
      <c r="AU321" s="113"/>
      <c r="AV321" s="113"/>
      <c r="AW321" s="113"/>
      <c r="AX321" s="46">
        <v>0</v>
      </c>
      <c r="AY321" s="113"/>
      <c r="AZ321" s="113"/>
      <c r="BA321" s="113"/>
      <c r="BB321" s="113"/>
      <c r="BC321" s="113"/>
      <c r="BD321" s="46">
        <v>0</v>
      </c>
      <c r="BE321" s="113"/>
      <c r="BF321" s="113"/>
      <c r="BG321" s="113"/>
      <c r="BH321" s="113"/>
      <c r="BI321" s="113"/>
      <c r="BJ321" s="46">
        <v>0</v>
      </c>
      <c r="BK321" s="113"/>
      <c r="BL321" s="113"/>
      <c r="BM321" s="113"/>
      <c r="BN321" s="113"/>
      <c r="BO321" s="113"/>
      <c r="BP321" s="121"/>
      <c r="BQ321" s="121"/>
      <c r="GA321" t="s">
        <v>113</v>
      </c>
      <c r="GB321" t="s">
        <v>16506</v>
      </c>
      <c r="GC321" s="46">
        <v>0</v>
      </c>
      <c r="GD321" s="113"/>
      <c r="GE321" s="113"/>
      <c r="GF321" s="113"/>
      <c r="GG321" s="113"/>
      <c r="GH321" s="113"/>
      <c r="GI321" s="46">
        <v>0</v>
      </c>
      <c r="GJ321" s="113"/>
      <c r="GK321" s="113"/>
      <c r="GL321" s="113"/>
      <c r="GM321" s="113"/>
      <c r="GN321" s="113"/>
      <c r="GO321" s="46">
        <v>0</v>
      </c>
      <c r="GP321" s="113"/>
      <c r="GQ321" s="113"/>
      <c r="GR321" s="113"/>
      <c r="GS321" s="113"/>
      <c r="GT321" s="113"/>
      <c r="GU321" s="46">
        <v>0</v>
      </c>
      <c r="GV321" s="113"/>
      <c r="GW321" s="113"/>
      <c r="GX321" s="113"/>
      <c r="GY321" s="113"/>
      <c r="GZ321" s="113"/>
      <c r="HA321" s="46">
        <v>0</v>
      </c>
      <c r="HB321" s="113"/>
      <c r="HC321" s="113"/>
      <c r="HD321" s="113"/>
      <c r="HE321" s="113"/>
      <c r="HF321" s="113"/>
      <c r="HG321" s="46">
        <v>0</v>
      </c>
      <c r="HH321" s="113"/>
      <c r="HI321" s="113"/>
      <c r="HJ321" s="113"/>
      <c r="HK321" s="113"/>
      <c r="HL321" s="113"/>
      <c r="HM321" s="121"/>
      <c r="HN321" s="121"/>
      <c r="LM321" t="str">
        <v/>
      </c>
      <c r="LN321" t="str">
        <v/>
      </c>
      <c r="LO321" t="str">
        <v/>
      </c>
    </row>
    <row r="322" spans="30:327">
      <c r="AD322" t="s">
        <v>113</v>
      </c>
      <c r="AE322" t="s">
        <v>16507</v>
      </c>
      <c r="AF322" s="46">
        <v>0</v>
      </c>
      <c r="AG322" s="113"/>
      <c r="AH322" s="113"/>
      <c r="AI322" s="113"/>
      <c r="AJ322" s="113"/>
      <c r="AK322" s="113"/>
      <c r="AL322" s="46">
        <v>0</v>
      </c>
      <c r="AM322" s="113"/>
      <c r="AN322" s="113"/>
      <c r="AO322" s="113"/>
      <c r="AP322" s="113"/>
      <c r="AQ322" s="113"/>
      <c r="AR322" s="46">
        <v>0</v>
      </c>
      <c r="AS322" s="113"/>
      <c r="AT322" s="113"/>
      <c r="AU322" s="113"/>
      <c r="AV322" s="113"/>
      <c r="AW322" s="113"/>
      <c r="AX322" s="46">
        <v>0</v>
      </c>
      <c r="AY322" s="113"/>
      <c r="AZ322" s="113"/>
      <c r="BA322" s="113"/>
      <c r="BB322" s="113"/>
      <c r="BC322" s="113"/>
      <c r="BD322" s="46">
        <v>0</v>
      </c>
      <c r="BE322" s="113"/>
      <c r="BF322" s="113"/>
      <c r="BG322" s="113"/>
      <c r="BH322" s="113"/>
      <c r="BI322" s="113"/>
      <c r="BJ322" s="46">
        <v>0</v>
      </c>
      <c r="BK322" s="113"/>
      <c r="BL322" s="113"/>
      <c r="BM322" s="113"/>
      <c r="BN322" s="113"/>
      <c r="BO322" s="113"/>
      <c r="BP322" s="121"/>
      <c r="BQ322" s="121"/>
      <c r="GA322" t="s">
        <v>113</v>
      </c>
      <c r="GB322" t="s">
        <v>16507</v>
      </c>
      <c r="GC322" s="46">
        <v>0</v>
      </c>
      <c r="GD322" s="113"/>
      <c r="GE322" s="113"/>
      <c r="GF322" s="113"/>
      <c r="GG322" s="113"/>
      <c r="GH322" s="113"/>
      <c r="GI322" s="46">
        <v>0</v>
      </c>
      <c r="GJ322" s="113"/>
      <c r="GK322" s="113"/>
      <c r="GL322" s="113"/>
      <c r="GM322" s="113"/>
      <c r="GN322" s="113"/>
      <c r="GO322" s="46">
        <v>0</v>
      </c>
      <c r="GP322" s="113"/>
      <c r="GQ322" s="113"/>
      <c r="GR322" s="113"/>
      <c r="GS322" s="113"/>
      <c r="GT322" s="113"/>
      <c r="GU322" s="46">
        <v>0</v>
      </c>
      <c r="GV322" s="113"/>
      <c r="GW322" s="113"/>
      <c r="GX322" s="113"/>
      <c r="GY322" s="113"/>
      <c r="GZ322" s="113"/>
      <c r="HA322" s="46">
        <v>0</v>
      </c>
      <c r="HB322" s="113"/>
      <c r="HC322" s="113"/>
      <c r="HD322" s="113"/>
      <c r="HE322" s="113"/>
      <c r="HF322" s="113"/>
      <c r="HG322" s="46">
        <v>0</v>
      </c>
      <c r="HH322" s="113"/>
      <c r="HI322" s="113"/>
      <c r="HJ322" s="113"/>
      <c r="HK322" s="113"/>
      <c r="HL322" s="113"/>
      <c r="HM322" s="121"/>
      <c r="HN322" s="121"/>
      <c r="LM322" t="str">
        <v/>
      </c>
      <c r="LN322" t="str">
        <v/>
      </c>
      <c r="LO322" t="str">
        <v/>
      </c>
    </row>
    <row r="323" spans="30:327">
      <c r="AD323" t="s">
        <v>113</v>
      </c>
      <c r="AE323" t="s">
        <v>16508</v>
      </c>
      <c r="AF323" s="46">
        <v>0</v>
      </c>
      <c r="AG323" s="113"/>
      <c r="AH323" s="113"/>
      <c r="AI323" s="113"/>
      <c r="AJ323" s="113"/>
      <c r="AK323" s="113"/>
      <c r="AL323" s="46">
        <v>0</v>
      </c>
      <c r="AM323" s="113"/>
      <c r="AN323" s="113"/>
      <c r="AO323" s="113"/>
      <c r="AP323" s="113"/>
      <c r="AQ323" s="113"/>
      <c r="AR323" s="46">
        <v>0</v>
      </c>
      <c r="AS323" s="113"/>
      <c r="AT323" s="113"/>
      <c r="AU323" s="113"/>
      <c r="AV323" s="113"/>
      <c r="AW323" s="113"/>
      <c r="AX323" s="46">
        <v>0</v>
      </c>
      <c r="AY323" s="113"/>
      <c r="AZ323" s="113"/>
      <c r="BA323" s="113"/>
      <c r="BB323" s="113"/>
      <c r="BC323" s="113"/>
      <c r="BD323" s="46">
        <v>0</v>
      </c>
      <c r="BE323" s="113"/>
      <c r="BF323" s="113"/>
      <c r="BG323" s="113"/>
      <c r="BH323" s="113"/>
      <c r="BI323" s="113"/>
      <c r="BJ323" s="46">
        <v>0</v>
      </c>
      <c r="BK323" s="113"/>
      <c r="BL323" s="113"/>
      <c r="BM323" s="113"/>
      <c r="BN323" s="113"/>
      <c r="BO323" s="113"/>
      <c r="BP323" s="121"/>
      <c r="BQ323" s="121"/>
      <c r="GA323" t="s">
        <v>113</v>
      </c>
      <c r="GB323" t="s">
        <v>16508</v>
      </c>
      <c r="GC323" s="46">
        <v>0</v>
      </c>
      <c r="GD323" s="113"/>
      <c r="GE323" s="113"/>
      <c r="GF323" s="113"/>
      <c r="GG323" s="113"/>
      <c r="GH323" s="113"/>
      <c r="GI323" s="46">
        <v>0</v>
      </c>
      <c r="GJ323" s="113"/>
      <c r="GK323" s="113"/>
      <c r="GL323" s="113"/>
      <c r="GM323" s="113"/>
      <c r="GN323" s="113"/>
      <c r="GO323" s="46">
        <v>0</v>
      </c>
      <c r="GP323" s="113"/>
      <c r="GQ323" s="113"/>
      <c r="GR323" s="113"/>
      <c r="GS323" s="113"/>
      <c r="GT323" s="113"/>
      <c r="GU323" s="46">
        <v>0</v>
      </c>
      <c r="GV323" s="113"/>
      <c r="GW323" s="113"/>
      <c r="GX323" s="113"/>
      <c r="GY323" s="113"/>
      <c r="GZ323" s="113"/>
      <c r="HA323" s="46">
        <v>0</v>
      </c>
      <c r="HB323" s="113"/>
      <c r="HC323" s="113"/>
      <c r="HD323" s="113"/>
      <c r="HE323" s="113"/>
      <c r="HF323" s="113"/>
      <c r="HG323" s="46">
        <v>0</v>
      </c>
      <c r="HH323" s="113"/>
      <c r="HI323" s="113"/>
      <c r="HJ323" s="113"/>
      <c r="HK323" s="113"/>
      <c r="HL323" s="113"/>
      <c r="HM323" s="121"/>
      <c r="HN323" s="121"/>
      <c r="LM323" t="str">
        <v/>
      </c>
      <c r="LN323" t="str">
        <v/>
      </c>
      <c r="LO323" t="str">
        <v/>
      </c>
    </row>
    <row r="324" spans="30:327">
      <c r="AD324" t="s">
        <v>113</v>
      </c>
      <c r="AE324" t="s">
        <v>16509</v>
      </c>
      <c r="AF324" s="46">
        <v>0</v>
      </c>
      <c r="AG324" s="113"/>
      <c r="AH324" s="113"/>
      <c r="AI324" s="113"/>
      <c r="AJ324" s="113"/>
      <c r="AK324" s="113"/>
      <c r="AL324" s="46">
        <v>0</v>
      </c>
      <c r="AM324" s="113"/>
      <c r="AN324" s="113"/>
      <c r="AO324" s="113"/>
      <c r="AP324" s="113"/>
      <c r="AQ324" s="113"/>
      <c r="AR324" s="46">
        <v>0</v>
      </c>
      <c r="AS324" s="113"/>
      <c r="AT324" s="113"/>
      <c r="AU324" s="113"/>
      <c r="AV324" s="113"/>
      <c r="AW324" s="113"/>
      <c r="AX324" s="46">
        <v>0</v>
      </c>
      <c r="AY324" s="113"/>
      <c r="AZ324" s="113"/>
      <c r="BA324" s="113"/>
      <c r="BB324" s="113"/>
      <c r="BC324" s="113"/>
      <c r="BD324" s="46">
        <v>0</v>
      </c>
      <c r="BE324" s="113"/>
      <c r="BF324" s="113"/>
      <c r="BG324" s="113"/>
      <c r="BH324" s="113"/>
      <c r="BI324" s="113"/>
      <c r="BJ324" s="46">
        <v>0</v>
      </c>
      <c r="BK324" s="113"/>
      <c r="BL324" s="113"/>
      <c r="BM324" s="113"/>
      <c r="BN324" s="113"/>
      <c r="BO324" s="113"/>
      <c r="BP324" s="121"/>
      <c r="BQ324" s="121"/>
      <c r="GA324" t="s">
        <v>113</v>
      </c>
      <c r="GB324" t="s">
        <v>16509</v>
      </c>
      <c r="GC324" s="46">
        <v>0</v>
      </c>
      <c r="GD324" s="113"/>
      <c r="GE324" s="113"/>
      <c r="GF324" s="113"/>
      <c r="GG324" s="113"/>
      <c r="GH324" s="113"/>
      <c r="GI324" s="46">
        <v>0</v>
      </c>
      <c r="GJ324" s="113"/>
      <c r="GK324" s="113"/>
      <c r="GL324" s="113"/>
      <c r="GM324" s="113"/>
      <c r="GN324" s="113"/>
      <c r="GO324" s="46">
        <v>0</v>
      </c>
      <c r="GP324" s="113"/>
      <c r="GQ324" s="113"/>
      <c r="GR324" s="113"/>
      <c r="GS324" s="113"/>
      <c r="GT324" s="113"/>
      <c r="GU324" s="46">
        <v>0</v>
      </c>
      <c r="GV324" s="113"/>
      <c r="GW324" s="113"/>
      <c r="GX324" s="113"/>
      <c r="GY324" s="113"/>
      <c r="GZ324" s="113"/>
      <c r="HA324" s="46">
        <v>0</v>
      </c>
      <c r="HB324" s="113"/>
      <c r="HC324" s="113"/>
      <c r="HD324" s="113"/>
      <c r="HE324" s="113"/>
      <c r="HF324" s="113"/>
      <c r="HG324" s="46">
        <v>0</v>
      </c>
      <c r="HH324" s="113"/>
      <c r="HI324" s="113"/>
      <c r="HJ324" s="113"/>
      <c r="HK324" s="113"/>
      <c r="HL324" s="113"/>
      <c r="HM324" s="121"/>
      <c r="HN324" s="121"/>
      <c r="LM324" t="str">
        <v/>
      </c>
      <c r="LN324" t="str">
        <v/>
      </c>
      <c r="LO324" t="str">
        <v/>
      </c>
    </row>
    <row r="325" spans="30:327">
      <c r="AD325" t="s">
        <v>113</v>
      </c>
      <c r="AE325" t="s">
        <v>16510</v>
      </c>
      <c r="AF325" s="46">
        <v>0</v>
      </c>
      <c r="AG325" s="113"/>
      <c r="AH325" s="113"/>
      <c r="AI325" s="113"/>
      <c r="AJ325" s="113"/>
      <c r="AK325" s="113"/>
      <c r="AL325" s="46">
        <v>0</v>
      </c>
      <c r="AM325" s="113"/>
      <c r="AN325" s="113"/>
      <c r="AO325" s="113"/>
      <c r="AP325" s="113"/>
      <c r="AQ325" s="113"/>
      <c r="AR325" s="46">
        <v>0</v>
      </c>
      <c r="AS325" s="113"/>
      <c r="AT325" s="113"/>
      <c r="AU325" s="113"/>
      <c r="AV325" s="113"/>
      <c r="AW325" s="113"/>
      <c r="AX325" s="46">
        <v>0</v>
      </c>
      <c r="AY325" s="113"/>
      <c r="AZ325" s="113"/>
      <c r="BA325" s="113"/>
      <c r="BB325" s="113"/>
      <c r="BC325" s="113"/>
      <c r="BD325" s="46">
        <v>0</v>
      </c>
      <c r="BE325" s="113"/>
      <c r="BF325" s="113"/>
      <c r="BG325" s="113"/>
      <c r="BH325" s="113"/>
      <c r="BI325" s="113"/>
      <c r="BJ325" s="46">
        <v>0</v>
      </c>
      <c r="BK325" s="113"/>
      <c r="BL325" s="113"/>
      <c r="BM325" s="113"/>
      <c r="BN325" s="113"/>
      <c r="BO325" s="113"/>
      <c r="BP325" s="121"/>
      <c r="BQ325" s="121"/>
      <c r="GA325" t="s">
        <v>113</v>
      </c>
      <c r="GB325" t="s">
        <v>16510</v>
      </c>
      <c r="GC325" s="46">
        <v>0</v>
      </c>
      <c r="GD325" s="113"/>
      <c r="GE325" s="113"/>
      <c r="GF325" s="113"/>
      <c r="GG325" s="113"/>
      <c r="GH325" s="113"/>
      <c r="GI325" s="46">
        <v>0</v>
      </c>
      <c r="GJ325" s="113"/>
      <c r="GK325" s="113"/>
      <c r="GL325" s="113"/>
      <c r="GM325" s="113"/>
      <c r="GN325" s="113"/>
      <c r="GO325" s="46">
        <v>0</v>
      </c>
      <c r="GP325" s="113"/>
      <c r="GQ325" s="113"/>
      <c r="GR325" s="113"/>
      <c r="GS325" s="113"/>
      <c r="GT325" s="113"/>
      <c r="GU325" s="46">
        <v>0</v>
      </c>
      <c r="GV325" s="113"/>
      <c r="GW325" s="113"/>
      <c r="GX325" s="113"/>
      <c r="GY325" s="113"/>
      <c r="GZ325" s="113"/>
      <c r="HA325" s="46">
        <v>0</v>
      </c>
      <c r="HB325" s="113"/>
      <c r="HC325" s="113"/>
      <c r="HD325" s="113"/>
      <c r="HE325" s="113"/>
      <c r="HF325" s="113"/>
      <c r="HG325" s="46">
        <v>0</v>
      </c>
      <c r="HH325" s="113"/>
      <c r="HI325" s="113"/>
      <c r="HJ325" s="113"/>
      <c r="HK325" s="113"/>
      <c r="HL325" s="113"/>
      <c r="HM325" s="121"/>
      <c r="HN325" s="121"/>
      <c r="LM325" t="str">
        <v/>
      </c>
      <c r="LN325" t="str">
        <v/>
      </c>
      <c r="LO325" t="str">
        <v/>
      </c>
    </row>
    <row r="326" spans="30:327">
      <c r="AD326" t="s">
        <v>113</v>
      </c>
      <c r="AE326" t="s">
        <v>22881</v>
      </c>
      <c r="AF326" s="46">
        <v>0</v>
      </c>
      <c r="AG326" s="113"/>
      <c r="AH326" s="113"/>
      <c r="AI326" s="113"/>
      <c r="AJ326" s="113"/>
      <c r="AK326" s="113"/>
      <c r="AL326" s="46">
        <v>0</v>
      </c>
      <c r="AM326" s="113"/>
      <c r="AN326" s="113"/>
      <c r="AO326" s="113"/>
      <c r="AP326" s="113"/>
      <c r="AQ326" s="113"/>
      <c r="AR326" s="46">
        <v>0</v>
      </c>
      <c r="AS326" s="113"/>
      <c r="AT326" s="113"/>
      <c r="AU326" s="113"/>
      <c r="AV326" s="113"/>
      <c r="AW326" s="113"/>
      <c r="AX326" s="46">
        <v>0</v>
      </c>
      <c r="AY326" s="113"/>
      <c r="AZ326" s="113"/>
      <c r="BA326" s="113"/>
      <c r="BB326" s="113"/>
      <c r="BC326" s="113"/>
      <c r="BD326" s="46">
        <v>0</v>
      </c>
      <c r="BE326" s="113"/>
      <c r="BF326" s="113"/>
      <c r="BG326" s="113"/>
      <c r="BH326" s="113"/>
      <c r="BI326" s="113"/>
      <c r="BJ326" s="46">
        <v>0</v>
      </c>
      <c r="BK326" s="113"/>
      <c r="BL326" s="113"/>
      <c r="BM326" s="113"/>
      <c r="BN326" s="113"/>
      <c r="BO326" s="113"/>
      <c r="BP326" s="121"/>
      <c r="BQ326" s="121"/>
      <c r="GA326" t="s">
        <v>113</v>
      </c>
      <c r="GB326" t="s">
        <v>22881</v>
      </c>
      <c r="GC326" s="46">
        <v>0</v>
      </c>
      <c r="GD326" s="113"/>
      <c r="GE326" s="113"/>
      <c r="GF326" s="113"/>
      <c r="GG326" s="113"/>
      <c r="GH326" s="113"/>
      <c r="GI326" s="46">
        <v>0</v>
      </c>
      <c r="GJ326" s="113"/>
      <c r="GK326" s="113"/>
      <c r="GL326" s="113"/>
      <c r="GM326" s="113"/>
      <c r="GN326" s="113"/>
      <c r="GO326" s="46">
        <v>0</v>
      </c>
      <c r="GP326" s="113"/>
      <c r="GQ326" s="113"/>
      <c r="GR326" s="113"/>
      <c r="GS326" s="113"/>
      <c r="GT326" s="113"/>
      <c r="GU326" s="46">
        <v>0</v>
      </c>
      <c r="GV326" s="113"/>
      <c r="GW326" s="113"/>
      <c r="GX326" s="113"/>
      <c r="GY326" s="113"/>
      <c r="GZ326" s="113"/>
      <c r="HA326" s="46">
        <v>0</v>
      </c>
      <c r="HB326" s="113"/>
      <c r="HC326" s="113"/>
      <c r="HD326" s="113"/>
      <c r="HE326" s="113"/>
      <c r="HF326" s="113"/>
      <c r="HG326" s="46">
        <v>0</v>
      </c>
      <c r="HH326" s="113"/>
      <c r="HI326" s="113"/>
      <c r="HJ326" s="113"/>
      <c r="HK326" s="113"/>
      <c r="HL326" s="113"/>
      <c r="HM326" s="121"/>
      <c r="HN326" s="121"/>
      <c r="LM326" t="str">
        <v/>
      </c>
      <c r="LN326" t="str">
        <v/>
      </c>
      <c r="LO326" t="str">
        <v/>
      </c>
    </row>
    <row r="327" spans="30:327">
      <c r="AD327" t="s">
        <v>113</v>
      </c>
      <c r="AE327" t="s">
        <v>22882</v>
      </c>
      <c r="AF327" s="46">
        <v>0</v>
      </c>
      <c r="AG327" s="113"/>
      <c r="AH327" s="113"/>
      <c r="AI327" s="113"/>
      <c r="AJ327" s="113"/>
      <c r="AK327" s="113"/>
      <c r="AL327" s="46">
        <v>0</v>
      </c>
      <c r="AM327" s="113"/>
      <c r="AN327" s="113"/>
      <c r="AO327" s="113"/>
      <c r="AP327" s="113"/>
      <c r="AQ327" s="113"/>
      <c r="AR327" s="46">
        <v>0</v>
      </c>
      <c r="AS327" s="113"/>
      <c r="AT327" s="113"/>
      <c r="AU327" s="113"/>
      <c r="AV327" s="113"/>
      <c r="AW327" s="113"/>
      <c r="AX327" s="46">
        <v>0</v>
      </c>
      <c r="AY327" s="113"/>
      <c r="AZ327" s="113"/>
      <c r="BA327" s="113"/>
      <c r="BB327" s="113"/>
      <c r="BC327" s="113"/>
      <c r="BD327" s="46">
        <v>0</v>
      </c>
      <c r="BE327" s="113"/>
      <c r="BF327" s="113"/>
      <c r="BG327" s="113"/>
      <c r="BH327" s="113"/>
      <c r="BI327" s="113"/>
      <c r="BJ327" s="46">
        <v>0</v>
      </c>
      <c r="BK327" s="113"/>
      <c r="BL327" s="113"/>
      <c r="BM327" s="113"/>
      <c r="BN327" s="113"/>
      <c r="BO327" s="113"/>
      <c r="BP327" s="121"/>
      <c r="BQ327" s="121"/>
      <c r="GA327" t="s">
        <v>113</v>
      </c>
      <c r="GB327" t="s">
        <v>22882</v>
      </c>
      <c r="GC327" s="46">
        <v>0</v>
      </c>
      <c r="GD327" s="113"/>
      <c r="GE327" s="113"/>
      <c r="GF327" s="113"/>
      <c r="GG327" s="113"/>
      <c r="GH327" s="113"/>
      <c r="GI327" s="46">
        <v>0</v>
      </c>
      <c r="GJ327" s="113"/>
      <c r="GK327" s="113"/>
      <c r="GL327" s="113"/>
      <c r="GM327" s="113"/>
      <c r="GN327" s="113"/>
      <c r="GO327" s="46">
        <v>0</v>
      </c>
      <c r="GP327" s="113"/>
      <c r="GQ327" s="113"/>
      <c r="GR327" s="113"/>
      <c r="GS327" s="113"/>
      <c r="GT327" s="113"/>
      <c r="GU327" s="46">
        <v>0</v>
      </c>
      <c r="GV327" s="113"/>
      <c r="GW327" s="113"/>
      <c r="GX327" s="113"/>
      <c r="GY327" s="113"/>
      <c r="GZ327" s="113"/>
      <c r="HA327" s="46">
        <v>0</v>
      </c>
      <c r="HB327" s="113"/>
      <c r="HC327" s="113"/>
      <c r="HD327" s="113"/>
      <c r="HE327" s="113"/>
      <c r="HF327" s="113"/>
      <c r="HG327" s="46">
        <v>0</v>
      </c>
      <c r="HH327" s="113"/>
      <c r="HI327" s="113"/>
      <c r="HJ327" s="113"/>
      <c r="HK327" s="113"/>
      <c r="HL327" s="113"/>
      <c r="HM327" s="121"/>
      <c r="HN327" s="121"/>
      <c r="LM327" t="str">
        <v/>
      </c>
      <c r="LN327" t="str">
        <v/>
      </c>
      <c r="LO327" t="str">
        <v/>
      </c>
    </row>
    <row r="328" spans="30:327">
      <c r="AD328" t="s">
        <v>113</v>
      </c>
      <c r="AE328" t="s">
        <v>22883</v>
      </c>
      <c r="AF328" s="46">
        <v>0</v>
      </c>
      <c r="AG328" s="113"/>
      <c r="AH328" s="113"/>
      <c r="AI328" s="113"/>
      <c r="AJ328" s="113"/>
      <c r="AK328" s="113"/>
      <c r="AL328" s="46">
        <v>0</v>
      </c>
      <c r="AM328" s="113"/>
      <c r="AN328" s="113"/>
      <c r="AO328" s="113"/>
      <c r="AP328" s="113"/>
      <c r="AQ328" s="113"/>
      <c r="AR328" s="46">
        <v>0</v>
      </c>
      <c r="AS328" s="113"/>
      <c r="AT328" s="113"/>
      <c r="AU328" s="113"/>
      <c r="AV328" s="113"/>
      <c r="AW328" s="113"/>
      <c r="AX328" s="46">
        <v>0</v>
      </c>
      <c r="AY328" s="113"/>
      <c r="AZ328" s="113"/>
      <c r="BA328" s="113"/>
      <c r="BB328" s="113"/>
      <c r="BC328" s="113"/>
      <c r="BD328" s="46">
        <v>0</v>
      </c>
      <c r="BE328" s="113"/>
      <c r="BF328" s="113"/>
      <c r="BG328" s="113"/>
      <c r="BH328" s="113"/>
      <c r="BI328" s="113"/>
      <c r="BJ328" s="46">
        <v>0</v>
      </c>
      <c r="BK328" s="113"/>
      <c r="BL328" s="113"/>
      <c r="BM328" s="113"/>
      <c r="BN328" s="113"/>
      <c r="BO328" s="113"/>
      <c r="BP328" s="121"/>
      <c r="BQ328" s="121"/>
      <c r="GA328" t="s">
        <v>113</v>
      </c>
      <c r="GB328" t="s">
        <v>22883</v>
      </c>
      <c r="GC328" s="46">
        <v>0</v>
      </c>
      <c r="GD328" s="113"/>
      <c r="GE328" s="113"/>
      <c r="GF328" s="113"/>
      <c r="GG328" s="113"/>
      <c r="GH328" s="113"/>
      <c r="GI328" s="46">
        <v>0</v>
      </c>
      <c r="GJ328" s="113"/>
      <c r="GK328" s="113"/>
      <c r="GL328" s="113"/>
      <c r="GM328" s="113"/>
      <c r="GN328" s="113"/>
      <c r="GO328" s="46">
        <v>0</v>
      </c>
      <c r="GP328" s="113"/>
      <c r="GQ328" s="113"/>
      <c r="GR328" s="113"/>
      <c r="GS328" s="113"/>
      <c r="GT328" s="113"/>
      <c r="GU328" s="46">
        <v>0</v>
      </c>
      <c r="GV328" s="113"/>
      <c r="GW328" s="113"/>
      <c r="GX328" s="113"/>
      <c r="GY328" s="113"/>
      <c r="GZ328" s="113"/>
      <c r="HA328" s="46">
        <v>0</v>
      </c>
      <c r="HB328" s="113"/>
      <c r="HC328" s="113"/>
      <c r="HD328" s="113"/>
      <c r="HE328" s="113"/>
      <c r="HF328" s="113"/>
      <c r="HG328" s="46">
        <v>0</v>
      </c>
      <c r="HH328" s="113"/>
      <c r="HI328" s="113"/>
      <c r="HJ328" s="113"/>
      <c r="HK328" s="113"/>
      <c r="HL328" s="113"/>
      <c r="HM328" s="121"/>
      <c r="HN328" s="121"/>
      <c r="LM328" t="str">
        <v/>
      </c>
      <c r="LN328" t="str">
        <v/>
      </c>
      <c r="LO328" t="str">
        <v/>
      </c>
    </row>
    <row r="329" spans="30:327">
      <c r="AD329" t="s">
        <v>113</v>
      </c>
      <c r="AE329" t="s">
        <v>22884</v>
      </c>
      <c r="AF329" s="46">
        <v>0</v>
      </c>
      <c r="AG329" s="113"/>
      <c r="AH329" s="113"/>
      <c r="AI329" s="113"/>
      <c r="AJ329" s="113"/>
      <c r="AK329" s="113"/>
      <c r="AL329" s="46">
        <v>0</v>
      </c>
      <c r="AM329" s="113"/>
      <c r="AN329" s="113"/>
      <c r="AO329" s="113"/>
      <c r="AP329" s="113"/>
      <c r="AQ329" s="113"/>
      <c r="AR329" s="46">
        <v>0</v>
      </c>
      <c r="AS329" s="113"/>
      <c r="AT329" s="113"/>
      <c r="AU329" s="113"/>
      <c r="AV329" s="113"/>
      <c r="AW329" s="113"/>
      <c r="AX329" s="46">
        <v>0</v>
      </c>
      <c r="AY329" s="113"/>
      <c r="AZ329" s="113"/>
      <c r="BA329" s="113"/>
      <c r="BB329" s="113"/>
      <c r="BC329" s="113"/>
      <c r="BD329" s="46">
        <v>0</v>
      </c>
      <c r="BE329" s="113"/>
      <c r="BF329" s="113"/>
      <c r="BG329" s="113"/>
      <c r="BH329" s="113"/>
      <c r="BI329" s="113"/>
      <c r="BJ329" s="46">
        <v>0</v>
      </c>
      <c r="BK329" s="113"/>
      <c r="BL329" s="113"/>
      <c r="BM329" s="113"/>
      <c r="BN329" s="113"/>
      <c r="BO329" s="113"/>
      <c r="BP329" s="121"/>
      <c r="BQ329" s="121"/>
      <c r="GA329" t="s">
        <v>113</v>
      </c>
      <c r="GB329" t="s">
        <v>22884</v>
      </c>
      <c r="GC329" s="46">
        <v>0</v>
      </c>
      <c r="GD329" s="113"/>
      <c r="GE329" s="113"/>
      <c r="GF329" s="113"/>
      <c r="GG329" s="113"/>
      <c r="GH329" s="113"/>
      <c r="GI329" s="46">
        <v>0</v>
      </c>
      <c r="GJ329" s="113"/>
      <c r="GK329" s="113"/>
      <c r="GL329" s="113"/>
      <c r="GM329" s="113"/>
      <c r="GN329" s="113"/>
      <c r="GO329" s="46">
        <v>0</v>
      </c>
      <c r="GP329" s="113"/>
      <c r="GQ329" s="113"/>
      <c r="GR329" s="113"/>
      <c r="GS329" s="113"/>
      <c r="GT329" s="113"/>
      <c r="GU329" s="46">
        <v>0</v>
      </c>
      <c r="GV329" s="113"/>
      <c r="GW329" s="113"/>
      <c r="GX329" s="113"/>
      <c r="GY329" s="113"/>
      <c r="GZ329" s="113"/>
      <c r="HA329" s="46">
        <v>0</v>
      </c>
      <c r="HB329" s="113"/>
      <c r="HC329" s="113"/>
      <c r="HD329" s="113"/>
      <c r="HE329" s="113"/>
      <c r="HF329" s="113"/>
      <c r="HG329" s="46">
        <v>0</v>
      </c>
      <c r="HH329" s="113"/>
      <c r="HI329" s="113"/>
      <c r="HJ329" s="113"/>
      <c r="HK329" s="113"/>
      <c r="HL329" s="113"/>
      <c r="HM329" s="121"/>
      <c r="HN329" s="121"/>
      <c r="LM329" t="str">
        <v/>
      </c>
      <c r="LN329" t="str">
        <v/>
      </c>
      <c r="LO329" t="str">
        <v/>
      </c>
    </row>
    <row r="330" spans="30:327">
      <c r="AD330" t="s">
        <v>113</v>
      </c>
      <c r="AE330" t="s">
        <v>22885</v>
      </c>
      <c r="AF330" s="46">
        <v>0</v>
      </c>
      <c r="AG330" s="113"/>
      <c r="AH330" s="113"/>
      <c r="AI330" s="113"/>
      <c r="AJ330" s="113"/>
      <c r="AK330" s="113"/>
      <c r="AL330" s="46">
        <v>0</v>
      </c>
      <c r="AM330" s="113"/>
      <c r="AN330" s="113"/>
      <c r="AO330" s="113"/>
      <c r="AP330" s="113"/>
      <c r="AQ330" s="113"/>
      <c r="AR330" s="46">
        <v>0</v>
      </c>
      <c r="AS330" s="113"/>
      <c r="AT330" s="113"/>
      <c r="AU330" s="113"/>
      <c r="AV330" s="113"/>
      <c r="AW330" s="113"/>
      <c r="AX330" s="46">
        <v>0</v>
      </c>
      <c r="AY330" s="113"/>
      <c r="AZ330" s="113"/>
      <c r="BA330" s="113"/>
      <c r="BB330" s="113"/>
      <c r="BC330" s="113"/>
      <c r="BD330" s="46">
        <v>0</v>
      </c>
      <c r="BE330" s="113"/>
      <c r="BF330" s="113"/>
      <c r="BG330" s="113"/>
      <c r="BH330" s="113"/>
      <c r="BI330" s="113"/>
      <c r="BJ330" s="46">
        <v>0</v>
      </c>
      <c r="BK330" s="113"/>
      <c r="BL330" s="113"/>
      <c r="BM330" s="113"/>
      <c r="BN330" s="113"/>
      <c r="BO330" s="113"/>
      <c r="BP330" s="121"/>
      <c r="BQ330" s="121"/>
      <c r="GA330" t="s">
        <v>113</v>
      </c>
      <c r="GB330" t="s">
        <v>22885</v>
      </c>
      <c r="GC330" s="46">
        <v>0</v>
      </c>
      <c r="GD330" s="113"/>
      <c r="GE330" s="113"/>
      <c r="GF330" s="113"/>
      <c r="GG330" s="113"/>
      <c r="GH330" s="113"/>
      <c r="GI330" s="46">
        <v>0</v>
      </c>
      <c r="GJ330" s="113"/>
      <c r="GK330" s="113"/>
      <c r="GL330" s="113"/>
      <c r="GM330" s="113"/>
      <c r="GN330" s="113"/>
      <c r="GO330" s="46">
        <v>0</v>
      </c>
      <c r="GP330" s="113"/>
      <c r="GQ330" s="113"/>
      <c r="GR330" s="113"/>
      <c r="GS330" s="113"/>
      <c r="GT330" s="113"/>
      <c r="GU330" s="46">
        <v>0</v>
      </c>
      <c r="GV330" s="113"/>
      <c r="GW330" s="113"/>
      <c r="GX330" s="113"/>
      <c r="GY330" s="113"/>
      <c r="GZ330" s="113"/>
      <c r="HA330" s="46">
        <v>0</v>
      </c>
      <c r="HB330" s="113"/>
      <c r="HC330" s="113"/>
      <c r="HD330" s="113"/>
      <c r="HE330" s="113"/>
      <c r="HF330" s="113"/>
      <c r="HG330" s="46">
        <v>0</v>
      </c>
      <c r="HH330" s="113"/>
      <c r="HI330" s="113"/>
      <c r="HJ330" s="113"/>
      <c r="HK330" s="113"/>
      <c r="HL330" s="113"/>
      <c r="HM330" s="121"/>
      <c r="HN330" s="121"/>
      <c r="LM330" t="str">
        <v/>
      </c>
      <c r="LN330" t="str">
        <v/>
      </c>
      <c r="LO330" t="str">
        <v/>
      </c>
    </row>
    <row r="331" spans="30:327">
      <c r="AD331" t="s">
        <v>113</v>
      </c>
      <c r="AE331" t="s">
        <v>22886</v>
      </c>
      <c r="AF331" s="46">
        <v>0</v>
      </c>
      <c r="AG331" s="113"/>
      <c r="AH331" s="113"/>
      <c r="AI331" s="113"/>
      <c r="AJ331" s="113"/>
      <c r="AK331" s="113"/>
      <c r="AL331" s="46">
        <v>0</v>
      </c>
      <c r="AM331" s="113"/>
      <c r="AN331" s="113"/>
      <c r="AO331" s="113"/>
      <c r="AP331" s="113"/>
      <c r="AQ331" s="113"/>
      <c r="AR331" s="46">
        <v>0</v>
      </c>
      <c r="AS331" s="113"/>
      <c r="AT331" s="113"/>
      <c r="AU331" s="113"/>
      <c r="AV331" s="113"/>
      <c r="AW331" s="113"/>
      <c r="AX331" s="46">
        <v>0</v>
      </c>
      <c r="AY331" s="113"/>
      <c r="AZ331" s="113"/>
      <c r="BA331" s="113"/>
      <c r="BB331" s="113"/>
      <c r="BC331" s="113"/>
      <c r="BD331" s="46">
        <v>0</v>
      </c>
      <c r="BE331" s="113"/>
      <c r="BF331" s="113"/>
      <c r="BG331" s="113"/>
      <c r="BH331" s="113"/>
      <c r="BI331" s="113"/>
      <c r="BJ331" s="46">
        <v>0</v>
      </c>
      <c r="BK331" s="113"/>
      <c r="BL331" s="113"/>
      <c r="BM331" s="113"/>
      <c r="BN331" s="113"/>
      <c r="BO331" s="113"/>
      <c r="BP331" s="121"/>
      <c r="BQ331" s="121"/>
      <c r="GA331" t="s">
        <v>113</v>
      </c>
      <c r="GB331" t="s">
        <v>22886</v>
      </c>
      <c r="GC331" s="46">
        <v>0</v>
      </c>
      <c r="GD331" s="113"/>
      <c r="GE331" s="113"/>
      <c r="GF331" s="113"/>
      <c r="GG331" s="113"/>
      <c r="GH331" s="113"/>
      <c r="GI331" s="46">
        <v>0</v>
      </c>
      <c r="GJ331" s="113"/>
      <c r="GK331" s="113"/>
      <c r="GL331" s="113"/>
      <c r="GM331" s="113"/>
      <c r="GN331" s="113"/>
      <c r="GO331" s="46">
        <v>0</v>
      </c>
      <c r="GP331" s="113"/>
      <c r="GQ331" s="113"/>
      <c r="GR331" s="113"/>
      <c r="GS331" s="113"/>
      <c r="GT331" s="113"/>
      <c r="GU331" s="46">
        <v>0</v>
      </c>
      <c r="GV331" s="113"/>
      <c r="GW331" s="113"/>
      <c r="GX331" s="113"/>
      <c r="GY331" s="113"/>
      <c r="GZ331" s="113"/>
      <c r="HA331" s="46">
        <v>0</v>
      </c>
      <c r="HB331" s="113"/>
      <c r="HC331" s="113"/>
      <c r="HD331" s="113"/>
      <c r="HE331" s="113"/>
      <c r="HF331" s="113"/>
      <c r="HG331" s="46">
        <v>0</v>
      </c>
      <c r="HH331" s="113"/>
      <c r="HI331" s="113"/>
      <c r="HJ331" s="113"/>
      <c r="HK331" s="113"/>
      <c r="HL331" s="113"/>
      <c r="HM331" s="121"/>
      <c r="HN331" s="121"/>
      <c r="LM331" t="str">
        <v/>
      </c>
      <c r="LN331" t="str">
        <v/>
      </c>
      <c r="LO331" t="str">
        <v/>
      </c>
    </row>
    <row r="332" spans="30:327">
      <c r="AD332" t="s">
        <v>113</v>
      </c>
      <c r="AE332" t="s">
        <v>22887</v>
      </c>
      <c r="AF332" s="46">
        <v>0</v>
      </c>
      <c r="AG332" s="113"/>
      <c r="AH332" s="113"/>
      <c r="AI332" s="113"/>
      <c r="AJ332" s="113"/>
      <c r="AK332" s="113"/>
      <c r="AL332" s="46">
        <v>0</v>
      </c>
      <c r="AM332" s="113"/>
      <c r="AN332" s="113"/>
      <c r="AO332" s="113"/>
      <c r="AP332" s="113"/>
      <c r="AQ332" s="113"/>
      <c r="AR332" s="46">
        <v>0</v>
      </c>
      <c r="AS332" s="113"/>
      <c r="AT332" s="113"/>
      <c r="AU332" s="113"/>
      <c r="AV332" s="113"/>
      <c r="AW332" s="113"/>
      <c r="AX332" s="46">
        <v>0</v>
      </c>
      <c r="AY332" s="113"/>
      <c r="AZ332" s="113"/>
      <c r="BA332" s="113"/>
      <c r="BB332" s="113"/>
      <c r="BC332" s="113"/>
      <c r="BD332" s="46">
        <v>0</v>
      </c>
      <c r="BE332" s="113"/>
      <c r="BF332" s="113"/>
      <c r="BG332" s="113"/>
      <c r="BH332" s="113"/>
      <c r="BI332" s="113"/>
      <c r="BJ332" s="46">
        <v>0</v>
      </c>
      <c r="BK332" s="113"/>
      <c r="BL332" s="113"/>
      <c r="BM332" s="113"/>
      <c r="BN332" s="113"/>
      <c r="BO332" s="113"/>
      <c r="BP332" s="121"/>
      <c r="BQ332" s="121"/>
      <c r="GA332" t="s">
        <v>113</v>
      </c>
      <c r="GB332" t="s">
        <v>22887</v>
      </c>
      <c r="GC332" s="46">
        <v>0</v>
      </c>
      <c r="GD332" s="113"/>
      <c r="GE332" s="113"/>
      <c r="GF332" s="113"/>
      <c r="GG332" s="113"/>
      <c r="GH332" s="113"/>
      <c r="GI332" s="46">
        <v>0</v>
      </c>
      <c r="GJ332" s="113"/>
      <c r="GK332" s="113"/>
      <c r="GL332" s="113"/>
      <c r="GM332" s="113"/>
      <c r="GN332" s="113"/>
      <c r="GO332" s="46">
        <v>0</v>
      </c>
      <c r="GP332" s="113"/>
      <c r="GQ332" s="113"/>
      <c r="GR332" s="113"/>
      <c r="GS332" s="113"/>
      <c r="GT332" s="113"/>
      <c r="GU332" s="46">
        <v>0</v>
      </c>
      <c r="GV332" s="113"/>
      <c r="GW332" s="113"/>
      <c r="GX332" s="113"/>
      <c r="GY332" s="113"/>
      <c r="GZ332" s="113"/>
      <c r="HA332" s="46">
        <v>0</v>
      </c>
      <c r="HB332" s="113"/>
      <c r="HC332" s="113"/>
      <c r="HD332" s="113"/>
      <c r="HE332" s="113"/>
      <c r="HF332" s="113"/>
      <c r="HG332" s="46">
        <v>0</v>
      </c>
      <c r="HH332" s="113"/>
      <c r="HI332" s="113"/>
      <c r="HJ332" s="113"/>
      <c r="HK332" s="113"/>
      <c r="HL332" s="113"/>
      <c r="HM332" s="121"/>
      <c r="HN332" s="121"/>
      <c r="LM332" t="str">
        <v/>
      </c>
      <c r="LN332" t="str">
        <v/>
      </c>
      <c r="LO332" t="str">
        <v/>
      </c>
    </row>
    <row r="333" spans="30:327">
      <c r="AD333" t="s">
        <v>113</v>
      </c>
      <c r="AE333" t="s">
        <v>22888</v>
      </c>
      <c r="AF333" s="46">
        <v>0</v>
      </c>
      <c r="AG333" s="113"/>
      <c r="AH333" s="113"/>
      <c r="AI333" s="113"/>
      <c r="AJ333" s="113"/>
      <c r="AK333" s="113"/>
      <c r="AL333" s="46">
        <v>0</v>
      </c>
      <c r="AM333" s="113"/>
      <c r="AN333" s="113"/>
      <c r="AO333" s="113"/>
      <c r="AP333" s="113"/>
      <c r="AQ333" s="113"/>
      <c r="AR333" s="46">
        <v>0</v>
      </c>
      <c r="AS333" s="113"/>
      <c r="AT333" s="113"/>
      <c r="AU333" s="113"/>
      <c r="AV333" s="113"/>
      <c r="AW333" s="113"/>
      <c r="AX333" s="46">
        <v>0</v>
      </c>
      <c r="AY333" s="113"/>
      <c r="AZ333" s="113"/>
      <c r="BA333" s="113"/>
      <c r="BB333" s="113"/>
      <c r="BC333" s="113"/>
      <c r="BD333" s="46">
        <v>0</v>
      </c>
      <c r="BE333" s="113"/>
      <c r="BF333" s="113"/>
      <c r="BG333" s="113"/>
      <c r="BH333" s="113"/>
      <c r="BI333" s="113"/>
      <c r="BJ333" s="46">
        <v>0</v>
      </c>
      <c r="BK333" s="113"/>
      <c r="BL333" s="113"/>
      <c r="BM333" s="113"/>
      <c r="BN333" s="113"/>
      <c r="BO333" s="113"/>
      <c r="BP333" s="121"/>
      <c r="BQ333" s="121"/>
      <c r="GA333" t="s">
        <v>113</v>
      </c>
      <c r="GB333" t="s">
        <v>22888</v>
      </c>
      <c r="GC333" s="46">
        <v>0</v>
      </c>
      <c r="GD333" s="113"/>
      <c r="GE333" s="113"/>
      <c r="GF333" s="113"/>
      <c r="GG333" s="113"/>
      <c r="GH333" s="113"/>
      <c r="GI333" s="46">
        <v>0</v>
      </c>
      <c r="GJ333" s="113"/>
      <c r="GK333" s="113"/>
      <c r="GL333" s="113"/>
      <c r="GM333" s="113"/>
      <c r="GN333" s="113"/>
      <c r="GO333" s="46">
        <v>0</v>
      </c>
      <c r="GP333" s="113"/>
      <c r="GQ333" s="113"/>
      <c r="GR333" s="113"/>
      <c r="GS333" s="113"/>
      <c r="GT333" s="113"/>
      <c r="GU333" s="46">
        <v>0</v>
      </c>
      <c r="GV333" s="113"/>
      <c r="GW333" s="113"/>
      <c r="GX333" s="113"/>
      <c r="GY333" s="113"/>
      <c r="GZ333" s="113"/>
      <c r="HA333" s="46">
        <v>0</v>
      </c>
      <c r="HB333" s="113"/>
      <c r="HC333" s="113"/>
      <c r="HD333" s="113"/>
      <c r="HE333" s="113"/>
      <c r="HF333" s="113"/>
      <c r="HG333" s="46">
        <v>0</v>
      </c>
      <c r="HH333" s="113"/>
      <c r="HI333" s="113"/>
      <c r="HJ333" s="113"/>
      <c r="HK333" s="113"/>
      <c r="HL333" s="113"/>
      <c r="HM333" s="121"/>
      <c r="HN333" s="121"/>
      <c r="LM333" t="str">
        <v/>
      </c>
      <c r="LN333" t="str">
        <v/>
      </c>
      <c r="LO333" t="str">
        <v/>
      </c>
    </row>
    <row r="334" spans="30:327">
      <c r="AD334" t="s">
        <v>113</v>
      </c>
      <c r="AE334" t="s">
        <v>22889</v>
      </c>
      <c r="AF334" s="46">
        <v>0</v>
      </c>
      <c r="AG334" s="113"/>
      <c r="AH334" s="113"/>
      <c r="AI334" s="113"/>
      <c r="AJ334" s="113"/>
      <c r="AK334" s="113"/>
      <c r="AL334" s="46">
        <v>0</v>
      </c>
      <c r="AM334" s="113"/>
      <c r="AN334" s="113"/>
      <c r="AO334" s="113"/>
      <c r="AP334" s="113"/>
      <c r="AQ334" s="113"/>
      <c r="AR334" s="46">
        <v>0</v>
      </c>
      <c r="AS334" s="113"/>
      <c r="AT334" s="113"/>
      <c r="AU334" s="113"/>
      <c r="AV334" s="113"/>
      <c r="AW334" s="113"/>
      <c r="AX334" s="46">
        <v>0</v>
      </c>
      <c r="AY334" s="113"/>
      <c r="AZ334" s="113"/>
      <c r="BA334" s="113"/>
      <c r="BB334" s="113"/>
      <c r="BC334" s="113"/>
      <c r="BD334" s="46">
        <v>0</v>
      </c>
      <c r="BE334" s="113"/>
      <c r="BF334" s="113"/>
      <c r="BG334" s="113"/>
      <c r="BH334" s="113"/>
      <c r="BI334" s="113"/>
      <c r="BJ334" s="46">
        <v>0</v>
      </c>
      <c r="BK334" s="113"/>
      <c r="BL334" s="113"/>
      <c r="BM334" s="113"/>
      <c r="BN334" s="113"/>
      <c r="BO334" s="113"/>
      <c r="BP334" s="121"/>
      <c r="BQ334" s="121"/>
      <c r="GA334" t="s">
        <v>113</v>
      </c>
      <c r="GB334" t="s">
        <v>22889</v>
      </c>
      <c r="GC334" s="46">
        <v>0</v>
      </c>
      <c r="GD334" s="113"/>
      <c r="GE334" s="113"/>
      <c r="GF334" s="113"/>
      <c r="GG334" s="113"/>
      <c r="GH334" s="113"/>
      <c r="GI334" s="46">
        <v>0</v>
      </c>
      <c r="GJ334" s="113"/>
      <c r="GK334" s="113"/>
      <c r="GL334" s="113"/>
      <c r="GM334" s="113"/>
      <c r="GN334" s="113"/>
      <c r="GO334" s="46">
        <v>0</v>
      </c>
      <c r="GP334" s="113"/>
      <c r="GQ334" s="113"/>
      <c r="GR334" s="113"/>
      <c r="GS334" s="113"/>
      <c r="GT334" s="113"/>
      <c r="GU334" s="46">
        <v>0</v>
      </c>
      <c r="GV334" s="113"/>
      <c r="GW334" s="113"/>
      <c r="GX334" s="113"/>
      <c r="GY334" s="113"/>
      <c r="GZ334" s="113"/>
      <c r="HA334" s="46">
        <v>0</v>
      </c>
      <c r="HB334" s="113"/>
      <c r="HC334" s="113"/>
      <c r="HD334" s="113"/>
      <c r="HE334" s="113"/>
      <c r="HF334" s="113"/>
      <c r="HG334" s="46">
        <v>0</v>
      </c>
      <c r="HH334" s="113"/>
      <c r="HI334" s="113"/>
      <c r="HJ334" s="113"/>
      <c r="HK334" s="113"/>
      <c r="HL334" s="113"/>
      <c r="HM334" s="121"/>
      <c r="HN334" s="121"/>
      <c r="LM334" t="str">
        <v/>
      </c>
      <c r="LN334" t="str">
        <v/>
      </c>
      <c r="LO334" t="str">
        <v/>
      </c>
    </row>
    <row r="335" spans="30:327">
      <c r="AD335" t="s">
        <v>113</v>
      </c>
      <c r="AE335" t="s">
        <v>22890</v>
      </c>
      <c r="AF335" s="46">
        <v>0</v>
      </c>
      <c r="AG335" s="113"/>
      <c r="AH335" s="113"/>
      <c r="AI335" s="113"/>
      <c r="AJ335" s="113"/>
      <c r="AK335" s="113"/>
      <c r="AL335" s="46">
        <v>0</v>
      </c>
      <c r="AM335" s="113"/>
      <c r="AN335" s="113"/>
      <c r="AO335" s="113"/>
      <c r="AP335" s="113"/>
      <c r="AQ335" s="113"/>
      <c r="AR335" s="46">
        <v>0</v>
      </c>
      <c r="AS335" s="113"/>
      <c r="AT335" s="113"/>
      <c r="AU335" s="113"/>
      <c r="AV335" s="113"/>
      <c r="AW335" s="113"/>
      <c r="AX335" s="46">
        <v>0</v>
      </c>
      <c r="AY335" s="113"/>
      <c r="AZ335" s="113"/>
      <c r="BA335" s="113"/>
      <c r="BB335" s="113"/>
      <c r="BC335" s="113"/>
      <c r="BD335" s="46">
        <v>0</v>
      </c>
      <c r="BE335" s="113"/>
      <c r="BF335" s="113"/>
      <c r="BG335" s="113"/>
      <c r="BH335" s="113"/>
      <c r="BI335" s="113"/>
      <c r="BJ335" s="46">
        <v>0</v>
      </c>
      <c r="BK335" s="113"/>
      <c r="BL335" s="113"/>
      <c r="BM335" s="113"/>
      <c r="BN335" s="113"/>
      <c r="BO335" s="113"/>
      <c r="BP335" s="121"/>
      <c r="BQ335" s="121"/>
      <c r="GA335" t="s">
        <v>113</v>
      </c>
      <c r="GB335" t="s">
        <v>22890</v>
      </c>
      <c r="GC335" s="46">
        <v>0</v>
      </c>
      <c r="GD335" s="113"/>
      <c r="GE335" s="113"/>
      <c r="GF335" s="113"/>
      <c r="GG335" s="113"/>
      <c r="GH335" s="113"/>
      <c r="GI335" s="46">
        <v>0</v>
      </c>
      <c r="GJ335" s="113"/>
      <c r="GK335" s="113"/>
      <c r="GL335" s="113"/>
      <c r="GM335" s="113"/>
      <c r="GN335" s="113"/>
      <c r="GO335" s="46">
        <v>0</v>
      </c>
      <c r="GP335" s="113"/>
      <c r="GQ335" s="113"/>
      <c r="GR335" s="113"/>
      <c r="GS335" s="113"/>
      <c r="GT335" s="113"/>
      <c r="GU335" s="46">
        <v>0</v>
      </c>
      <c r="GV335" s="113"/>
      <c r="GW335" s="113"/>
      <c r="GX335" s="113"/>
      <c r="GY335" s="113"/>
      <c r="GZ335" s="113"/>
      <c r="HA335" s="46">
        <v>0</v>
      </c>
      <c r="HB335" s="113"/>
      <c r="HC335" s="113"/>
      <c r="HD335" s="113"/>
      <c r="HE335" s="113"/>
      <c r="HF335" s="113"/>
      <c r="HG335" s="46">
        <v>0</v>
      </c>
      <c r="HH335" s="113"/>
      <c r="HI335" s="113"/>
      <c r="HJ335" s="113"/>
      <c r="HK335" s="113"/>
      <c r="HL335" s="113"/>
      <c r="HM335" s="121"/>
      <c r="HN335" s="121"/>
      <c r="LM335" t="str">
        <v/>
      </c>
      <c r="LN335" t="str">
        <v/>
      </c>
      <c r="LO335" t="str">
        <v/>
      </c>
    </row>
    <row r="336" spans="30:327">
      <c r="AD336" t="s">
        <v>113</v>
      </c>
      <c r="AE336" t="s">
        <v>22891</v>
      </c>
      <c r="AF336" s="46">
        <v>0</v>
      </c>
      <c r="AG336" s="113"/>
      <c r="AH336" s="113"/>
      <c r="AI336" s="113"/>
      <c r="AJ336" s="113"/>
      <c r="AK336" s="113"/>
      <c r="AL336" s="46">
        <v>0</v>
      </c>
      <c r="AM336" s="113"/>
      <c r="AN336" s="113"/>
      <c r="AO336" s="113"/>
      <c r="AP336" s="113"/>
      <c r="AQ336" s="113"/>
      <c r="AR336" s="46">
        <v>0</v>
      </c>
      <c r="AS336" s="113"/>
      <c r="AT336" s="113"/>
      <c r="AU336" s="113"/>
      <c r="AV336" s="113"/>
      <c r="AW336" s="113"/>
      <c r="AX336" s="46">
        <v>0</v>
      </c>
      <c r="AY336" s="113"/>
      <c r="AZ336" s="113"/>
      <c r="BA336" s="113"/>
      <c r="BB336" s="113"/>
      <c r="BC336" s="113"/>
      <c r="BD336" s="46">
        <v>0</v>
      </c>
      <c r="BE336" s="113"/>
      <c r="BF336" s="113"/>
      <c r="BG336" s="113"/>
      <c r="BH336" s="113"/>
      <c r="BI336" s="113"/>
      <c r="BJ336" s="46">
        <v>0</v>
      </c>
      <c r="BK336" s="113"/>
      <c r="BL336" s="113"/>
      <c r="BM336" s="113"/>
      <c r="BN336" s="113"/>
      <c r="BO336" s="113"/>
      <c r="BP336" s="121"/>
      <c r="BQ336" s="121"/>
      <c r="GA336" t="s">
        <v>113</v>
      </c>
      <c r="GB336" t="s">
        <v>22891</v>
      </c>
      <c r="GC336" s="46">
        <v>0</v>
      </c>
      <c r="GD336" s="113"/>
      <c r="GE336" s="113"/>
      <c r="GF336" s="113"/>
      <c r="GG336" s="113"/>
      <c r="GH336" s="113"/>
      <c r="GI336" s="46">
        <v>0</v>
      </c>
      <c r="GJ336" s="113"/>
      <c r="GK336" s="113"/>
      <c r="GL336" s="113"/>
      <c r="GM336" s="113"/>
      <c r="GN336" s="113"/>
      <c r="GO336" s="46">
        <v>0</v>
      </c>
      <c r="GP336" s="113"/>
      <c r="GQ336" s="113"/>
      <c r="GR336" s="113"/>
      <c r="GS336" s="113"/>
      <c r="GT336" s="113"/>
      <c r="GU336" s="46">
        <v>0</v>
      </c>
      <c r="GV336" s="113"/>
      <c r="GW336" s="113"/>
      <c r="GX336" s="113"/>
      <c r="GY336" s="113"/>
      <c r="GZ336" s="113"/>
      <c r="HA336" s="46">
        <v>0</v>
      </c>
      <c r="HB336" s="113"/>
      <c r="HC336" s="113"/>
      <c r="HD336" s="113"/>
      <c r="HE336" s="113"/>
      <c r="HF336" s="113"/>
      <c r="HG336" s="46">
        <v>0</v>
      </c>
      <c r="HH336" s="113"/>
      <c r="HI336" s="113"/>
      <c r="HJ336" s="113"/>
      <c r="HK336" s="113"/>
      <c r="HL336" s="113"/>
      <c r="HM336" s="121"/>
      <c r="HN336" s="121"/>
      <c r="LM336" t="str">
        <v/>
      </c>
      <c r="LN336" t="str">
        <v/>
      </c>
      <c r="LO336" t="str">
        <v/>
      </c>
    </row>
    <row r="337" spans="30:327">
      <c r="AD337" t="s">
        <v>113</v>
      </c>
      <c r="AE337" t="s">
        <v>22892</v>
      </c>
      <c r="AF337" s="46">
        <v>0</v>
      </c>
      <c r="AG337" s="113"/>
      <c r="AH337" s="113"/>
      <c r="AI337" s="113"/>
      <c r="AJ337" s="113"/>
      <c r="AK337" s="113"/>
      <c r="AL337" s="46">
        <v>0</v>
      </c>
      <c r="AM337" s="113"/>
      <c r="AN337" s="113"/>
      <c r="AO337" s="113"/>
      <c r="AP337" s="113"/>
      <c r="AQ337" s="113"/>
      <c r="AR337" s="46">
        <v>0</v>
      </c>
      <c r="AS337" s="113"/>
      <c r="AT337" s="113"/>
      <c r="AU337" s="113"/>
      <c r="AV337" s="113"/>
      <c r="AW337" s="113"/>
      <c r="AX337" s="46">
        <v>0</v>
      </c>
      <c r="AY337" s="113"/>
      <c r="AZ337" s="113"/>
      <c r="BA337" s="113"/>
      <c r="BB337" s="113"/>
      <c r="BC337" s="113"/>
      <c r="BD337" s="46">
        <v>0</v>
      </c>
      <c r="BE337" s="113"/>
      <c r="BF337" s="113"/>
      <c r="BG337" s="113"/>
      <c r="BH337" s="113"/>
      <c r="BI337" s="113"/>
      <c r="BJ337" s="46">
        <v>0</v>
      </c>
      <c r="BK337" s="113"/>
      <c r="BL337" s="113"/>
      <c r="BM337" s="113"/>
      <c r="BN337" s="113"/>
      <c r="BO337" s="113"/>
      <c r="BP337" s="121"/>
      <c r="BQ337" s="121"/>
      <c r="GA337" t="s">
        <v>113</v>
      </c>
      <c r="GB337" t="s">
        <v>22892</v>
      </c>
      <c r="GC337" s="46">
        <v>0</v>
      </c>
      <c r="GD337" s="113"/>
      <c r="GE337" s="113"/>
      <c r="GF337" s="113"/>
      <c r="GG337" s="113"/>
      <c r="GH337" s="113"/>
      <c r="GI337" s="46">
        <v>0</v>
      </c>
      <c r="GJ337" s="113"/>
      <c r="GK337" s="113"/>
      <c r="GL337" s="113"/>
      <c r="GM337" s="113"/>
      <c r="GN337" s="113"/>
      <c r="GO337" s="46">
        <v>0</v>
      </c>
      <c r="GP337" s="113"/>
      <c r="GQ337" s="113"/>
      <c r="GR337" s="113"/>
      <c r="GS337" s="113"/>
      <c r="GT337" s="113"/>
      <c r="GU337" s="46">
        <v>0</v>
      </c>
      <c r="GV337" s="113"/>
      <c r="GW337" s="113"/>
      <c r="GX337" s="113"/>
      <c r="GY337" s="113"/>
      <c r="GZ337" s="113"/>
      <c r="HA337" s="46">
        <v>0</v>
      </c>
      <c r="HB337" s="113"/>
      <c r="HC337" s="113"/>
      <c r="HD337" s="113"/>
      <c r="HE337" s="113"/>
      <c r="HF337" s="113"/>
      <c r="HG337" s="46">
        <v>0</v>
      </c>
      <c r="HH337" s="113"/>
      <c r="HI337" s="113"/>
      <c r="HJ337" s="113"/>
      <c r="HK337" s="113"/>
      <c r="HL337" s="113"/>
      <c r="HM337" s="121"/>
      <c r="HN337" s="121"/>
      <c r="LM337" t="str">
        <v/>
      </c>
      <c r="LN337" t="str">
        <v/>
      </c>
      <c r="LO337" t="str">
        <v/>
      </c>
    </row>
    <row r="338" spans="30:327">
      <c r="AD338" t="s">
        <v>113</v>
      </c>
      <c r="AE338" t="s">
        <v>23177</v>
      </c>
      <c r="AF338" s="46">
        <v>0</v>
      </c>
      <c r="AG338" s="113"/>
      <c r="AH338" s="113"/>
      <c r="AI338" s="113"/>
      <c r="AJ338" s="113"/>
      <c r="AK338" s="113"/>
      <c r="AL338" s="46">
        <v>0</v>
      </c>
      <c r="AM338" s="113"/>
      <c r="AN338" s="113"/>
      <c r="AO338" s="113"/>
      <c r="AP338" s="113"/>
      <c r="AQ338" s="113"/>
      <c r="AR338" s="46">
        <v>0</v>
      </c>
      <c r="AS338" s="113"/>
      <c r="AT338" s="113"/>
      <c r="AU338" s="113"/>
      <c r="AV338" s="113"/>
      <c r="AW338" s="113"/>
      <c r="AX338" s="46">
        <v>0</v>
      </c>
      <c r="AY338" s="113"/>
      <c r="AZ338" s="113"/>
      <c r="BA338" s="113"/>
      <c r="BB338" s="113"/>
      <c r="BC338" s="113"/>
      <c r="BD338" s="46">
        <v>0</v>
      </c>
      <c r="BE338" s="113"/>
      <c r="BF338" s="113"/>
      <c r="BG338" s="113"/>
      <c r="BH338" s="113"/>
      <c r="BI338" s="113"/>
      <c r="BJ338" s="46">
        <v>0</v>
      </c>
      <c r="BK338" s="113"/>
      <c r="BL338" s="113"/>
      <c r="BM338" s="113"/>
      <c r="BN338" s="113"/>
      <c r="BO338" s="113"/>
      <c r="BP338" s="121"/>
      <c r="BQ338" s="121"/>
      <c r="GA338" t="s">
        <v>113</v>
      </c>
      <c r="GB338" t="s">
        <v>23177</v>
      </c>
      <c r="GC338" s="46">
        <v>0</v>
      </c>
      <c r="GD338" s="113"/>
      <c r="GE338" s="113"/>
      <c r="GF338" s="113"/>
      <c r="GG338" s="113"/>
      <c r="GH338" s="113"/>
      <c r="GI338" s="46">
        <v>0</v>
      </c>
      <c r="GJ338" s="113"/>
      <c r="GK338" s="113"/>
      <c r="GL338" s="113"/>
      <c r="GM338" s="113"/>
      <c r="GN338" s="113"/>
      <c r="GO338" s="46">
        <v>0</v>
      </c>
      <c r="GP338" s="113"/>
      <c r="GQ338" s="113"/>
      <c r="GR338" s="113"/>
      <c r="GS338" s="113"/>
      <c r="GT338" s="113"/>
      <c r="GU338" s="46">
        <v>0</v>
      </c>
      <c r="GV338" s="113"/>
      <c r="GW338" s="113"/>
      <c r="GX338" s="113"/>
      <c r="GY338" s="113"/>
      <c r="GZ338" s="113"/>
      <c r="HA338" s="46">
        <v>0</v>
      </c>
      <c r="HB338" s="113"/>
      <c r="HC338" s="113"/>
      <c r="HD338" s="113"/>
      <c r="HE338" s="113"/>
      <c r="HF338" s="113"/>
      <c r="HG338" s="46">
        <v>0</v>
      </c>
      <c r="HH338" s="113"/>
      <c r="HI338" s="113"/>
      <c r="HJ338" s="113"/>
      <c r="HK338" s="113"/>
      <c r="HL338" s="113"/>
      <c r="HM338" s="121"/>
      <c r="HN338" s="121"/>
      <c r="LM338" t="str">
        <v/>
      </c>
      <c r="LN338" t="str">
        <v/>
      </c>
      <c r="LO338" t="str">
        <v/>
      </c>
    </row>
    <row r="339" spans="30:327">
      <c r="AD339" t="s">
        <v>113</v>
      </c>
      <c r="AE339" t="s">
        <v>23178</v>
      </c>
      <c r="AF339" s="46">
        <v>0</v>
      </c>
      <c r="AG339" s="113"/>
      <c r="AH339" s="113"/>
      <c r="AI339" s="113"/>
      <c r="AJ339" s="113"/>
      <c r="AK339" s="113"/>
      <c r="AL339" s="46">
        <v>0</v>
      </c>
      <c r="AM339" s="113"/>
      <c r="AN339" s="113"/>
      <c r="AO339" s="113"/>
      <c r="AP339" s="113"/>
      <c r="AQ339" s="113"/>
      <c r="AR339" s="46">
        <v>0</v>
      </c>
      <c r="AS339" s="113"/>
      <c r="AT339" s="113"/>
      <c r="AU339" s="113"/>
      <c r="AV339" s="113"/>
      <c r="AW339" s="113"/>
      <c r="AX339" s="46">
        <v>0</v>
      </c>
      <c r="AY339" s="113"/>
      <c r="AZ339" s="113"/>
      <c r="BA339" s="113"/>
      <c r="BB339" s="113"/>
      <c r="BC339" s="113"/>
      <c r="BD339" s="46">
        <v>0</v>
      </c>
      <c r="BE339" s="113"/>
      <c r="BF339" s="113"/>
      <c r="BG339" s="113"/>
      <c r="BH339" s="113"/>
      <c r="BI339" s="113"/>
      <c r="BJ339" s="46">
        <v>0</v>
      </c>
      <c r="BK339" s="113"/>
      <c r="BL339" s="113"/>
      <c r="BM339" s="113"/>
      <c r="BN339" s="113"/>
      <c r="BO339" s="113"/>
      <c r="BP339" s="121"/>
      <c r="BQ339" s="121"/>
      <c r="GA339" t="s">
        <v>113</v>
      </c>
      <c r="GB339" t="s">
        <v>23178</v>
      </c>
      <c r="GC339" s="46">
        <v>0</v>
      </c>
      <c r="GD339" s="113"/>
      <c r="GE339" s="113"/>
      <c r="GF339" s="113"/>
      <c r="GG339" s="113"/>
      <c r="GH339" s="113"/>
      <c r="GI339" s="46">
        <v>0</v>
      </c>
      <c r="GJ339" s="113"/>
      <c r="GK339" s="113"/>
      <c r="GL339" s="113"/>
      <c r="GM339" s="113"/>
      <c r="GN339" s="113"/>
      <c r="GO339" s="46">
        <v>0</v>
      </c>
      <c r="GP339" s="113"/>
      <c r="GQ339" s="113"/>
      <c r="GR339" s="113"/>
      <c r="GS339" s="113"/>
      <c r="GT339" s="113"/>
      <c r="GU339" s="46">
        <v>0</v>
      </c>
      <c r="GV339" s="113"/>
      <c r="GW339" s="113"/>
      <c r="GX339" s="113"/>
      <c r="GY339" s="113"/>
      <c r="GZ339" s="113"/>
      <c r="HA339" s="46">
        <v>0</v>
      </c>
      <c r="HB339" s="113"/>
      <c r="HC339" s="113"/>
      <c r="HD339" s="113"/>
      <c r="HE339" s="113"/>
      <c r="HF339" s="113"/>
      <c r="HG339" s="46">
        <v>0</v>
      </c>
      <c r="HH339" s="113"/>
      <c r="HI339" s="113"/>
      <c r="HJ339" s="113"/>
      <c r="HK339" s="113"/>
      <c r="HL339" s="113"/>
      <c r="HM339" s="121"/>
      <c r="HN339" s="121"/>
      <c r="LM339" t="str">
        <v/>
      </c>
      <c r="LN339" t="str">
        <v/>
      </c>
      <c r="LO339" t="str">
        <v/>
      </c>
    </row>
    <row r="340" spans="30:327">
      <c r="AD340" t="s">
        <v>113</v>
      </c>
      <c r="AE340" t="s">
        <v>23179</v>
      </c>
      <c r="AF340" s="46">
        <v>0</v>
      </c>
      <c r="AG340" s="113"/>
      <c r="AH340" s="113"/>
      <c r="AI340" s="113"/>
      <c r="AJ340" s="113"/>
      <c r="AK340" s="113"/>
      <c r="AL340" s="46">
        <v>0</v>
      </c>
      <c r="AM340" s="113"/>
      <c r="AN340" s="113"/>
      <c r="AO340" s="113"/>
      <c r="AP340" s="113"/>
      <c r="AQ340" s="113"/>
      <c r="AR340" s="46">
        <v>0</v>
      </c>
      <c r="AS340" s="113"/>
      <c r="AT340" s="113"/>
      <c r="AU340" s="113"/>
      <c r="AV340" s="113"/>
      <c r="AW340" s="113"/>
      <c r="AX340" s="46">
        <v>0</v>
      </c>
      <c r="AY340" s="113"/>
      <c r="AZ340" s="113"/>
      <c r="BA340" s="113"/>
      <c r="BB340" s="113"/>
      <c r="BC340" s="113"/>
      <c r="BD340" s="46">
        <v>0</v>
      </c>
      <c r="BE340" s="113"/>
      <c r="BF340" s="113"/>
      <c r="BG340" s="113"/>
      <c r="BH340" s="113"/>
      <c r="BI340" s="113"/>
      <c r="BJ340" s="46">
        <v>0</v>
      </c>
      <c r="BK340" s="113"/>
      <c r="BL340" s="113"/>
      <c r="BM340" s="113"/>
      <c r="BN340" s="113"/>
      <c r="BO340" s="113"/>
      <c r="BP340" s="121"/>
      <c r="BQ340" s="121"/>
      <c r="GA340" t="s">
        <v>113</v>
      </c>
      <c r="GB340" t="s">
        <v>23179</v>
      </c>
      <c r="GC340" s="46">
        <v>0</v>
      </c>
      <c r="GD340" s="113"/>
      <c r="GE340" s="113"/>
      <c r="GF340" s="113"/>
      <c r="GG340" s="113"/>
      <c r="GH340" s="113"/>
      <c r="GI340" s="46">
        <v>0</v>
      </c>
      <c r="GJ340" s="113"/>
      <c r="GK340" s="113"/>
      <c r="GL340" s="113"/>
      <c r="GM340" s="113"/>
      <c r="GN340" s="113"/>
      <c r="GO340" s="46">
        <v>0</v>
      </c>
      <c r="GP340" s="113"/>
      <c r="GQ340" s="113"/>
      <c r="GR340" s="113"/>
      <c r="GS340" s="113"/>
      <c r="GT340" s="113"/>
      <c r="GU340" s="46">
        <v>0</v>
      </c>
      <c r="GV340" s="113"/>
      <c r="GW340" s="113"/>
      <c r="GX340" s="113"/>
      <c r="GY340" s="113"/>
      <c r="GZ340" s="113"/>
      <c r="HA340" s="46">
        <v>0</v>
      </c>
      <c r="HB340" s="113"/>
      <c r="HC340" s="113"/>
      <c r="HD340" s="113"/>
      <c r="HE340" s="113"/>
      <c r="HF340" s="113"/>
      <c r="HG340" s="46">
        <v>0</v>
      </c>
      <c r="HH340" s="113"/>
      <c r="HI340" s="113"/>
      <c r="HJ340" s="113"/>
      <c r="HK340" s="113"/>
      <c r="HL340" s="113"/>
      <c r="HM340" s="121"/>
      <c r="HN340" s="121"/>
      <c r="LM340" t="str">
        <v/>
      </c>
      <c r="LN340" t="str">
        <v/>
      </c>
      <c r="LO340" t="str">
        <v/>
      </c>
    </row>
    <row r="341" spans="30:327">
      <c r="AD341" t="s">
        <v>113</v>
      </c>
      <c r="AE341" t="s">
        <v>23180</v>
      </c>
      <c r="AF341" s="46">
        <v>0</v>
      </c>
      <c r="AG341" s="113"/>
      <c r="AH341" s="113"/>
      <c r="AI341" s="113"/>
      <c r="AJ341" s="113"/>
      <c r="AK341" s="113"/>
      <c r="AL341" s="46">
        <v>0</v>
      </c>
      <c r="AM341" s="113"/>
      <c r="AN341" s="113"/>
      <c r="AO341" s="113"/>
      <c r="AP341" s="113"/>
      <c r="AQ341" s="113"/>
      <c r="AR341" s="46">
        <v>0</v>
      </c>
      <c r="AS341" s="113"/>
      <c r="AT341" s="113"/>
      <c r="AU341" s="113"/>
      <c r="AV341" s="113"/>
      <c r="AW341" s="113"/>
      <c r="AX341" s="46">
        <v>0</v>
      </c>
      <c r="AY341" s="113"/>
      <c r="AZ341" s="113"/>
      <c r="BA341" s="113"/>
      <c r="BB341" s="113"/>
      <c r="BC341" s="113"/>
      <c r="BD341" s="46">
        <v>0</v>
      </c>
      <c r="BE341" s="113"/>
      <c r="BF341" s="113"/>
      <c r="BG341" s="113"/>
      <c r="BH341" s="113"/>
      <c r="BI341" s="113"/>
      <c r="BJ341" s="46">
        <v>0</v>
      </c>
      <c r="BK341" s="113"/>
      <c r="BL341" s="113"/>
      <c r="BM341" s="113"/>
      <c r="BN341" s="113"/>
      <c r="BO341" s="113"/>
      <c r="BP341" s="121"/>
      <c r="BQ341" s="121"/>
      <c r="GA341" t="s">
        <v>113</v>
      </c>
      <c r="GB341" t="s">
        <v>23180</v>
      </c>
      <c r="GC341" s="46">
        <v>0</v>
      </c>
      <c r="GD341" s="113"/>
      <c r="GE341" s="113"/>
      <c r="GF341" s="113"/>
      <c r="GG341" s="113"/>
      <c r="GH341" s="113"/>
      <c r="GI341" s="46">
        <v>0</v>
      </c>
      <c r="GJ341" s="113"/>
      <c r="GK341" s="113"/>
      <c r="GL341" s="113"/>
      <c r="GM341" s="113"/>
      <c r="GN341" s="113"/>
      <c r="GO341" s="46">
        <v>0</v>
      </c>
      <c r="GP341" s="113"/>
      <c r="GQ341" s="113"/>
      <c r="GR341" s="113"/>
      <c r="GS341" s="113"/>
      <c r="GT341" s="113"/>
      <c r="GU341" s="46">
        <v>0</v>
      </c>
      <c r="GV341" s="113"/>
      <c r="GW341" s="113"/>
      <c r="GX341" s="113"/>
      <c r="GY341" s="113"/>
      <c r="GZ341" s="113"/>
      <c r="HA341" s="46">
        <v>0</v>
      </c>
      <c r="HB341" s="113"/>
      <c r="HC341" s="113"/>
      <c r="HD341" s="113"/>
      <c r="HE341" s="113"/>
      <c r="HF341" s="113"/>
      <c r="HG341" s="46">
        <v>0</v>
      </c>
      <c r="HH341" s="113"/>
      <c r="HI341" s="113"/>
      <c r="HJ341" s="113"/>
      <c r="HK341" s="113"/>
      <c r="HL341" s="113"/>
      <c r="HM341" s="121"/>
      <c r="HN341" s="121"/>
      <c r="LM341" t="str">
        <v/>
      </c>
      <c r="LN341" t="str">
        <v/>
      </c>
      <c r="LO341" t="str">
        <v/>
      </c>
    </row>
    <row r="342" spans="30:327">
      <c r="AD342" t="s">
        <v>113</v>
      </c>
      <c r="AE342" t="s">
        <v>23181</v>
      </c>
      <c r="AF342" s="46">
        <v>0</v>
      </c>
      <c r="AG342" s="113"/>
      <c r="AH342" s="113"/>
      <c r="AI342" s="113"/>
      <c r="AJ342" s="113"/>
      <c r="AK342" s="113"/>
      <c r="AL342" s="46">
        <v>0</v>
      </c>
      <c r="AM342" s="113"/>
      <c r="AN342" s="113"/>
      <c r="AO342" s="113"/>
      <c r="AP342" s="113"/>
      <c r="AQ342" s="113"/>
      <c r="AR342" s="46">
        <v>0</v>
      </c>
      <c r="AS342" s="113"/>
      <c r="AT342" s="113"/>
      <c r="AU342" s="113"/>
      <c r="AV342" s="113"/>
      <c r="AW342" s="113"/>
      <c r="AX342" s="46">
        <v>0</v>
      </c>
      <c r="AY342" s="113"/>
      <c r="AZ342" s="113"/>
      <c r="BA342" s="113"/>
      <c r="BB342" s="113"/>
      <c r="BC342" s="113"/>
      <c r="BD342" s="46">
        <v>0</v>
      </c>
      <c r="BE342" s="113"/>
      <c r="BF342" s="113"/>
      <c r="BG342" s="113"/>
      <c r="BH342" s="113"/>
      <c r="BI342" s="113"/>
      <c r="BJ342" s="46">
        <v>0</v>
      </c>
      <c r="BK342" s="113"/>
      <c r="BL342" s="113"/>
      <c r="BM342" s="113"/>
      <c r="BN342" s="113"/>
      <c r="BO342" s="113"/>
      <c r="BP342" s="121"/>
      <c r="BQ342" s="121"/>
      <c r="GA342" t="s">
        <v>113</v>
      </c>
      <c r="GB342" t="s">
        <v>23181</v>
      </c>
      <c r="GC342" s="46">
        <v>0</v>
      </c>
      <c r="GD342" s="113"/>
      <c r="GE342" s="113"/>
      <c r="GF342" s="113"/>
      <c r="GG342" s="113"/>
      <c r="GH342" s="113"/>
      <c r="GI342" s="46">
        <v>0</v>
      </c>
      <c r="GJ342" s="113"/>
      <c r="GK342" s="113"/>
      <c r="GL342" s="113"/>
      <c r="GM342" s="113"/>
      <c r="GN342" s="113"/>
      <c r="GO342" s="46">
        <v>0</v>
      </c>
      <c r="GP342" s="113"/>
      <c r="GQ342" s="113"/>
      <c r="GR342" s="113"/>
      <c r="GS342" s="113"/>
      <c r="GT342" s="113"/>
      <c r="GU342" s="46">
        <v>0</v>
      </c>
      <c r="GV342" s="113"/>
      <c r="GW342" s="113"/>
      <c r="GX342" s="113"/>
      <c r="GY342" s="113"/>
      <c r="GZ342" s="113"/>
      <c r="HA342" s="46">
        <v>0</v>
      </c>
      <c r="HB342" s="113"/>
      <c r="HC342" s="113"/>
      <c r="HD342" s="113"/>
      <c r="HE342" s="113"/>
      <c r="HF342" s="113"/>
      <c r="HG342" s="46">
        <v>0</v>
      </c>
      <c r="HH342" s="113"/>
      <c r="HI342" s="113"/>
      <c r="HJ342" s="113"/>
      <c r="HK342" s="113"/>
      <c r="HL342" s="113"/>
      <c r="HM342" s="121"/>
      <c r="HN342" s="121"/>
      <c r="LM342" t="str">
        <v/>
      </c>
      <c r="LN342" t="str">
        <v/>
      </c>
      <c r="LO342" t="str">
        <v/>
      </c>
    </row>
    <row r="343" spans="30:327">
      <c r="AD343" t="s">
        <v>113</v>
      </c>
      <c r="AE343" t="s">
        <v>23182</v>
      </c>
      <c r="AF343" s="46">
        <v>0</v>
      </c>
      <c r="AG343" s="113"/>
      <c r="AH343" s="113"/>
      <c r="AI343" s="113"/>
      <c r="AJ343" s="113"/>
      <c r="AK343" s="113"/>
      <c r="AL343" s="46">
        <v>0</v>
      </c>
      <c r="AM343" s="113"/>
      <c r="AN343" s="113"/>
      <c r="AO343" s="113"/>
      <c r="AP343" s="113"/>
      <c r="AQ343" s="113"/>
      <c r="AR343" s="46">
        <v>0</v>
      </c>
      <c r="AS343" s="113"/>
      <c r="AT343" s="113"/>
      <c r="AU343" s="113"/>
      <c r="AV343" s="113"/>
      <c r="AW343" s="113"/>
      <c r="AX343" s="46">
        <v>0</v>
      </c>
      <c r="AY343" s="113"/>
      <c r="AZ343" s="113"/>
      <c r="BA343" s="113"/>
      <c r="BB343" s="113"/>
      <c r="BC343" s="113"/>
      <c r="BD343" s="46">
        <v>0</v>
      </c>
      <c r="BE343" s="113"/>
      <c r="BF343" s="113"/>
      <c r="BG343" s="113"/>
      <c r="BH343" s="113"/>
      <c r="BI343" s="113"/>
      <c r="BJ343" s="46">
        <v>0</v>
      </c>
      <c r="BK343" s="113"/>
      <c r="BL343" s="113"/>
      <c r="BM343" s="113"/>
      <c r="BN343" s="113"/>
      <c r="BO343" s="113"/>
      <c r="BP343" s="121"/>
      <c r="BQ343" s="121"/>
      <c r="GA343" t="s">
        <v>113</v>
      </c>
      <c r="GB343" t="s">
        <v>23182</v>
      </c>
      <c r="GC343" s="46">
        <v>0</v>
      </c>
      <c r="GD343" s="113"/>
      <c r="GE343" s="113"/>
      <c r="GF343" s="113"/>
      <c r="GG343" s="113"/>
      <c r="GH343" s="113"/>
      <c r="GI343" s="46">
        <v>0</v>
      </c>
      <c r="GJ343" s="113"/>
      <c r="GK343" s="113"/>
      <c r="GL343" s="113"/>
      <c r="GM343" s="113"/>
      <c r="GN343" s="113"/>
      <c r="GO343" s="46">
        <v>0</v>
      </c>
      <c r="GP343" s="113"/>
      <c r="GQ343" s="113"/>
      <c r="GR343" s="113"/>
      <c r="GS343" s="113"/>
      <c r="GT343" s="113"/>
      <c r="GU343" s="46">
        <v>0</v>
      </c>
      <c r="GV343" s="113"/>
      <c r="GW343" s="113"/>
      <c r="GX343" s="113"/>
      <c r="GY343" s="113"/>
      <c r="GZ343" s="113"/>
      <c r="HA343" s="46">
        <v>0</v>
      </c>
      <c r="HB343" s="113"/>
      <c r="HC343" s="113"/>
      <c r="HD343" s="113"/>
      <c r="HE343" s="113"/>
      <c r="HF343" s="113"/>
      <c r="HG343" s="46">
        <v>0</v>
      </c>
      <c r="HH343" s="113"/>
      <c r="HI343" s="113"/>
      <c r="HJ343" s="113"/>
      <c r="HK343" s="113"/>
      <c r="HL343" s="113"/>
      <c r="HM343" s="121"/>
      <c r="HN343" s="121"/>
      <c r="LM343" t="str">
        <v/>
      </c>
      <c r="LN343" t="str">
        <v/>
      </c>
      <c r="LO343" t="str">
        <v/>
      </c>
    </row>
    <row r="344" spans="30:327">
      <c r="AD344" t="s">
        <v>113</v>
      </c>
      <c r="AE344" t="s">
        <v>23183</v>
      </c>
      <c r="AF344" s="46">
        <v>0</v>
      </c>
      <c r="AG344" s="113"/>
      <c r="AH344" s="113"/>
      <c r="AI344" s="113"/>
      <c r="AJ344" s="113"/>
      <c r="AK344" s="113"/>
      <c r="AL344" s="46">
        <v>0</v>
      </c>
      <c r="AM344" s="113"/>
      <c r="AN344" s="113"/>
      <c r="AO344" s="113"/>
      <c r="AP344" s="113"/>
      <c r="AQ344" s="113"/>
      <c r="AR344" s="46">
        <v>0</v>
      </c>
      <c r="AS344" s="113"/>
      <c r="AT344" s="113"/>
      <c r="AU344" s="113"/>
      <c r="AV344" s="113"/>
      <c r="AW344" s="113"/>
      <c r="AX344" s="46">
        <v>0</v>
      </c>
      <c r="AY344" s="113"/>
      <c r="AZ344" s="113"/>
      <c r="BA344" s="113"/>
      <c r="BB344" s="113"/>
      <c r="BC344" s="113"/>
      <c r="BD344" s="46">
        <v>0</v>
      </c>
      <c r="BE344" s="113"/>
      <c r="BF344" s="113"/>
      <c r="BG344" s="113"/>
      <c r="BH344" s="113"/>
      <c r="BI344" s="113"/>
      <c r="BJ344" s="46">
        <v>0</v>
      </c>
      <c r="BK344" s="113"/>
      <c r="BL344" s="113"/>
      <c r="BM344" s="113"/>
      <c r="BN344" s="113"/>
      <c r="BO344" s="113"/>
      <c r="BP344" s="121"/>
      <c r="BQ344" s="121"/>
      <c r="GA344" t="s">
        <v>113</v>
      </c>
      <c r="GB344" t="s">
        <v>23183</v>
      </c>
      <c r="GC344" s="46">
        <v>0</v>
      </c>
      <c r="GD344" s="113"/>
      <c r="GE344" s="113"/>
      <c r="GF344" s="113"/>
      <c r="GG344" s="113"/>
      <c r="GH344" s="113"/>
      <c r="GI344" s="46">
        <v>0</v>
      </c>
      <c r="GJ344" s="113"/>
      <c r="GK344" s="113"/>
      <c r="GL344" s="113"/>
      <c r="GM344" s="113"/>
      <c r="GN344" s="113"/>
      <c r="GO344" s="46">
        <v>0</v>
      </c>
      <c r="GP344" s="113"/>
      <c r="GQ344" s="113"/>
      <c r="GR344" s="113"/>
      <c r="GS344" s="113"/>
      <c r="GT344" s="113"/>
      <c r="GU344" s="46">
        <v>0</v>
      </c>
      <c r="GV344" s="113"/>
      <c r="GW344" s="113"/>
      <c r="GX344" s="113"/>
      <c r="GY344" s="113"/>
      <c r="GZ344" s="113"/>
      <c r="HA344" s="46">
        <v>0</v>
      </c>
      <c r="HB344" s="113"/>
      <c r="HC344" s="113"/>
      <c r="HD344" s="113"/>
      <c r="HE344" s="113"/>
      <c r="HF344" s="113"/>
      <c r="HG344" s="46">
        <v>0</v>
      </c>
      <c r="HH344" s="113"/>
      <c r="HI344" s="113"/>
      <c r="HJ344" s="113"/>
      <c r="HK344" s="113"/>
      <c r="HL344" s="113"/>
      <c r="HM344" s="121"/>
      <c r="HN344" s="121"/>
      <c r="LM344" t="str">
        <v/>
      </c>
      <c r="LN344" t="str">
        <v/>
      </c>
      <c r="LO344" t="str">
        <v/>
      </c>
    </row>
    <row r="345" spans="30:327">
      <c r="AD345" t="s">
        <v>113</v>
      </c>
      <c r="AE345" t="s">
        <v>23184</v>
      </c>
      <c r="AF345" s="46">
        <v>0</v>
      </c>
      <c r="AG345" s="113"/>
      <c r="AH345" s="113"/>
      <c r="AI345" s="113"/>
      <c r="AJ345" s="113"/>
      <c r="AK345" s="113"/>
      <c r="AL345" s="46">
        <v>0</v>
      </c>
      <c r="AM345" s="113"/>
      <c r="AN345" s="113"/>
      <c r="AO345" s="113"/>
      <c r="AP345" s="113"/>
      <c r="AQ345" s="113"/>
      <c r="AR345" s="46">
        <v>0</v>
      </c>
      <c r="AS345" s="113"/>
      <c r="AT345" s="113"/>
      <c r="AU345" s="113"/>
      <c r="AV345" s="113"/>
      <c r="AW345" s="113"/>
      <c r="AX345" s="46">
        <v>0</v>
      </c>
      <c r="AY345" s="113"/>
      <c r="AZ345" s="113"/>
      <c r="BA345" s="113"/>
      <c r="BB345" s="113"/>
      <c r="BC345" s="113"/>
      <c r="BD345" s="46">
        <v>0</v>
      </c>
      <c r="BE345" s="113"/>
      <c r="BF345" s="113"/>
      <c r="BG345" s="113"/>
      <c r="BH345" s="113"/>
      <c r="BI345" s="113"/>
      <c r="BJ345" s="46">
        <v>0</v>
      </c>
      <c r="BK345" s="113"/>
      <c r="BL345" s="113"/>
      <c r="BM345" s="113"/>
      <c r="BN345" s="113"/>
      <c r="BO345" s="113"/>
      <c r="BP345" s="121"/>
      <c r="BQ345" s="121"/>
      <c r="GA345" t="s">
        <v>113</v>
      </c>
      <c r="GB345" t="s">
        <v>23184</v>
      </c>
      <c r="GC345" s="46">
        <v>0</v>
      </c>
      <c r="GD345" s="113"/>
      <c r="GE345" s="113"/>
      <c r="GF345" s="113"/>
      <c r="GG345" s="113"/>
      <c r="GH345" s="113"/>
      <c r="GI345" s="46">
        <v>0</v>
      </c>
      <c r="GJ345" s="113"/>
      <c r="GK345" s="113"/>
      <c r="GL345" s="113"/>
      <c r="GM345" s="113"/>
      <c r="GN345" s="113"/>
      <c r="GO345" s="46">
        <v>0</v>
      </c>
      <c r="GP345" s="113"/>
      <c r="GQ345" s="113"/>
      <c r="GR345" s="113"/>
      <c r="GS345" s="113"/>
      <c r="GT345" s="113"/>
      <c r="GU345" s="46">
        <v>0</v>
      </c>
      <c r="GV345" s="113"/>
      <c r="GW345" s="113"/>
      <c r="GX345" s="113"/>
      <c r="GY345" s="113"/>
      <c r="GZ345" s="113"/>
      <c r="HA345" s="46">
        <v>0</v>
      </c>
      <c r="HB345" s="113"/>
      <c r="HC345" s="113"/>
      <c r="HD345" s="113"/>
      <c r="HE345" s="113"/>
      <c r="HF345" s="113"/>
      <c r="HG345" s="46">
        <v>0</v>
      </c>
      <c r="HH345" s="113"/>
      <c r="HI345" s="113"/>
      <c r="HJ345" s="113"/>
      <c r="HK345" s="113"/>
      <c r="HL345" s="113"/>
      <c r="HM345" s="121"/>
      <c r="HN345" s="121"/>
      <c r="LM345" t="str">
        <v/>
      </c>
      <c r="LN345" t="str">
        <v/>
      </c>
      <c r="LO345" t="str">
        <v/>
      </c>
    </row>
    <row r="346" spans="30:327">
      <c r="AD346" t="s">
        <v>113</v>
      </c>
      <c r="AE346" t="s">
        <v>23185</v>
      </c>
      <c r="AF346" s="46">
        <v>0</v>
      </c>
      <c r="AG346" s="113"/>
      <c r="AH346" s="113"/>
      <c r="AI346" s="113"/>
      <c r="AJ346" s="113"/>
      <c r="AK346" s="113"/>
      <c r="AL346" s="46">
        <v>0</v>
      </c>
      <c r="AM346" s="113"/>
      <c r="AN346" s="113"/>
      <c r="AO346" s="113"/>
      <c r="AP346" s="113"/>
      <c r="AQ346" s="113"/>
      <c r="AR346" s="46">
        <v>0</v>
      </c>
      <c r="AS346" s="113"/>
      <c r="AT346" s="113"/>
      <c r="AU346" s="113"/>
      <c r="AV346" s="113"/>
      <c r="AW346" s="113"/>
      <c r="AX346" s="46">
        <v>0</v>
      </c>
      <c r="AY346" s="113"/>
      <c r="AZ346" s="113"/>
      <c r="BA346" s="113"/>
      <c r="BB346" s="113"/>
      <c r="BC346" s="113"/>
      <c r="BD346" s="46">
        <v>0</v>
      </c>
      <c r="BE346" s="113"/>
      <c r="BF346" s="113"/>
      <c r="BG346" s="113"/>
      <c r="BH346" s="113"/>
      <c r="BI346" s="113"/>
      <c r="BJ346" s="46">
        <v>0</v>
      </c>
      <c r="BK346" s="113"/>
      <c r="BL346" s="113"/>
      <c r="BM346" s="113"/>
      <c r="BN346" s="113"/>
      <c r="BO346" s="113"/>
      <c r="BP346" s="121"/>
      <c r="BQ346" s="121"/>
      <c r="GA346" t="s">
        <v>113</v>
      </c>
      <c r="GB346" t="s">
        <v>23185</v>
      </c>
      <c r="GC346" s="46">
        <v>0</v>
      </c>
      <c r="GD346" s="113"/>
      <c r="GE346" s="113"/>
      <c r="GF346" s="113"/>
      <c r="GG346" s="113"/>
      <c r="GH346" s="113"/>
      <c r="GI346" s="46">
        <v>0</v>
      </c>
      <c r="GJ346" s="113"/>
      <c r="GK346" s="113"/>
      <c r="GL346" s="113"/>
      <c r="GM346" s="113"/>
      <c r="GN346" s="113"/>
      <c r="GO346" s="46">
        <v>0</v>
      </c>
      <c r="GP346" s="113"/>
      <c r="GQ346" s="113"/>
      <c r="GR346" s="113"/>
      <c r="GS346" s="113"/>
      <c r="GT346" s="113"/>
      <c r="GU346" s="46">
        <v>0</v>
      </c>
      <c r="GV346" s="113"/>
      <c r="GW346" s="113"/>
      <c r="GX346" s="113"/>
      <c r="GY346" s="113"/>
      <c r="GZ346" s="113"/>
      <c r="HA346" s="46">
        <v>0</v>
      </c>
      <c r="HB346" s="113"/>
      <c r="HC346" s="113"/>
      <c r="HD346" s="113"/>
      <c r="HE346" s="113"/>
      <c r="HF346" s="113"/>
      <c r="HG346" s="46">
        <v>0</v>
      </c>
      <c r="HH346" s="113"/>
      <c r="HI346" s="113"/>
      <c r="HJ346" s="113"/>
      <c r="HK346" s="113"/>
      <c r="HL346" s="113"/>
      <c r="HM346" s="121"/>
      <c r="HN346" s="121"/>
      <c r="LM346" t="str">
        <v/>
      </c>
      <c r="LN346" t="str">
        <v/>
      </c>
      <c r="LO346" t="str">
        <v/>
      </c>
    </row>
    <row r="347" spans="30:327">
      <c r="AD347" t="s">
        <v>113</v>
      </c>
      <c r="AE347" t="s">
        <v>23186</v>
      </c>
      <c r="AF347" s="46">
        <v>0</v>
      </c>
      <c r="AG347" s="113"/>
      <c r="AH347" s="113"/>
      <c r="AI347" s="113"/>
      <c r="AJ347" s="113"/>
      <c r="AK347" s="113"/>
      <c r="AL347" s="46">
        <v>0</v>
      </c>
      <c r="AM347" s="113"/>
      <c r="AN347" s="113"/>
      <c r="AO347" s="113"/>
      <c r="AP347" s="113"/>
      <c r="AQ347" s="113"/>
      <c r="AR347" s="46">
        <v>0</v>
      </c>
      <c r="AS347" s="113"/>
      <c r="AT347" s="113"/>
      <c r="AU347" s="113"/>
      <c r="AV347" s="113"/>
      <c r="AW347" s="113"/>
      <c r="AX347" s="46">
        <v>0</v>
      </c>
      <c r="AY347" s="113"/>
      <c r="AZ347" s="113"/>
      <c r="BA347" s="113"/>
      <c r="BB347" s="113"/>
      <c r="BC347" s="113"/>
      <c r="BD347" s="46">
        <v>0</v>
      </c>
      <c r="BE347" s="113"/>
      <c r="BF347" s="113"/>
      <c r="BG347" s="113"/>
      <c r="BH347" s="113"/>
      <c r="BI347" s="113"/>
      <c r="BJ347" s="46">
        <v>0</v>
      </c>
      <c r="BK347" s="113"/>
      <c r="BL347" s="113"/>
      <c r="BM347" s="113"/>
      <c r="BN347" s="113"/>
      <c r="BO347" s="113"/>
      <c r="BP347" s="121"/>
      <c r="BQ347" s="121"/>
      <c r="GA347" t="s">
        <v>113</v>
      </c>
      <c r="GB347" t="s">
        <v>23186</v>
      </c>
      <c r="GC347" s="46">
        <v>0</v>
      </c>
      <c r="GD347" s="113"/>
      <c r="GE347" s="113"/>
      <c r="GF347" s="113"/>
      <c r="GG347" s="113"/>
      <c r="GH347" s="113"/>
      <c r="GI347" s="46">
        <v>0</v>
      </c>
      <c r="GJ347" s="113"/>
      <c r="GK347" s="113"/>
      <c r="GL347" s="113"/>
      <c r="GM347" s="113"/>
      <c r="GN347" s="113"/>
      <c r="GO347" s="46">
        <v>0</v>
      </c>
      <c r="GP347" s="113"/>
      <c r="GQ347" s="113"/>
      <c r="GR347" s="113"/>
      <c r="GS347" s="113"/>
      <c r="GT347" s="113"/>
      <c r="GU347" s="46">
        <v>0</v>
      </c>
      <c r="GV347" s="113"/>
      <c r="GW347" s="113"/>
      <c r="GX347" s="113"/>
      <c r="GY347" s="113"/>
      <c r="GZ347" s="113"/>
      <c r="HA347" s="46">
        <v>0</v>
      </c>
      <c r="HB347" s="113"/>
      <c r="HC347" s="113"/>
      <c r="HD347" s="113"/>
      <c r="HE347" s="113"/>
      <c r="HF347" s="113"/>
      <c r="HG347" s="46">
        <v>0</v>
      </c>
      <c r="HH347" s="113"/>
      <c r="HI347" s="113"/>
      <c r="HJ347" s="113"/>
      <c r="HK347" s="113"/>
      <c r="HL347" s="113"/>
      <c r="HM347" s="121"/>
      <c r="HN347" s="121"/>
      <c r="LM347" t="str">
        <v/>
      </c>
      <c r="LN347" t="str">
        <v/>
      </c>
      <c r="LO347" t="str">
        <v/>
      </c>
    </row>
    <row r="348" spans="30:327">
      <c r="AD348" t="s">
        <v>113</v>
      </c>
      <c r="AE348" t="s">
        <v>23187</v>
      </c>
      <c r="AF348" s="46">
        <v>0</v>
      </c>
      <c r="AG348" s="113"/>
      <c r="AH348" s="113"/>
      <c r="AI348" s="113"/>
      <c r="AJ348" s="113"/>
      <c r="AK348" s="113"/>
      <c r="AL348" s="46">
        <v>0</v>
      </c>
      <c r="AM348" s="113"/>
      <c r="AN348" s="113"/>
      <c r="AO348" s="113"/>
      <c r="AP348" s="113"/>
      <c r="AQ348" s="113"/>
      <c r="AR348" s="46">
        <v>0</v>
      </c>
      <c r="AS348" s="113"/>
      <c r="AT348" s="113"/>
      <c r="AU348" s="113"/>
      <c r="AV348" s="113"/>
      <c r="AW348" s="113"/>
      <c r="AX348" s="46">
        <v>0</v>
      </c>
      <c r="AY348" s="113"/>
      <c r="AZ348" s="113"/>
      <c r="BA348" s="113"/>
      <c r="BB348" s="113"/>
      <c r="BC348" s="113"/>
      <c r="BD348" s="46">
        <v>0</v>
      </c>
      <c r="BE348" s="113"/>
      <c r="BF348" s="113"/>
      <c r="BG348" s="113"/>
      <c r="BH348" s="113"/>
      <c r="BI348" s="113"/>
      <c r="BJ348" s="46">
        <v>0</v>
      </c>
      <c r="BK348" s="113"/>
      <c r="BL348" s="113"/>
      <c r="BM348" s="113"/>
      <c r="BN348" s="113"/>
      <c r="BO348" s="113"/>
      <c r="BP348" s="121"/>
      <c r="BQ348" s="121"/>
      <c r="GA348" t="s">
        <v>113</v>
      </c>
      <c r="GB348" t="s">
        <v>23187</v>
      </c>
      <c r="GC348" s="46">
        <v>0</v>
      </c>
      <c r="GD348" s="113"/>
      <c r="GE348" s="113"/>
      <c r="GF348" s="113"/>
      <c r="GG348" s="113"/>
      <c r="GH348" s="113"/>
      <c r="GI348" s="46">
        <v>0</v>
      </c>
      <c r="GJ348" s="113"/>
      <c r="GK348" s="113"/>
      <c r="GL348" s="113"/>
      <c r="GM348" s="113"/>
      <c r="GN348" s="113"/>
      <c r="GO348" s="46">
        <v>0</v>
      </c>
      <c r="GP348" s="113"/>
      <c r="GQ348" s="113"/>
      <c r="GR348" s="113"/>
      <c r="GS348" s="113"/>
      <c r="GT348" s="113"/>
      <c r="GU348" s="46">
        <v>0</v>
      </c>
      <c r="GV348" s="113"/>
      <c r="GW348" s="113"/>
      <c r="GX348" s="113"/>
      <c r="GY348" s="113"/>
      <c r="GZ348" s="113"/>
      <c r="HA348" s="46">
        <v>0</v>
      </c>
      <c r="HB348" s="113"/>
      <c r="HC348" s="113"/>
      <c r="HD348" s="113"/>
      <c r="HE348" s="113"/>
      <c r="HF348" s="113"/>
      <c r="HG348" s="46">
        <v>0</v>
      </c>
      <c r="HH348" s="113"/>
      <c r="HI348" s="113"/>
      <c r="HJ348" s="113"/>
      <c r="HK348" s="113"/>
      <c r="HL348" s="113"/>
      <c r="HM348" s="121"/>
      <c r="HN348" s="121"/>
      <c r="LM348" t="str">
        <v/>
      </c>
      <c r="LN348" t="str">
        <v/>
      </c>
      <c r="LO348" t="str">
        <v/>
      </c>
    </row>
    <row r="349" spans="30:327">
      <c r="AD349" t="s">
        <v>113</v>
      </c>
      <c r="AE349" t="s">
        <v>23188</v>
      </c>
      <c r="AF349" s="46">
        <v>0</v>
      </c>
      <c r="AG349" s="113"/>
      <c r="AH349" s="113"/>
      <c r="AI349" s="113"/>
      <c r="AJ349" s="113"/>
      <c r="AK349" s="113"/>
      <c r="AL349" s="46">
        <v>0</v>
      </c>
      <c r="AM349" s="113"/>
      <c r="AN349" s="113"/>
      <c r="AO349" s="113"/>
      <c r="AP349" s="113"/>
      <c r="AQ349" s="113"/>
      <c r="AR349" s="46">
        <v>0</v>
      </c>
      <c r="AS349" s="113"/>
      <c r="AT349" s="113"/>
      <c r="AU349" s="113"/>
      <c r="AV349" s="113"/>
      <c r="AW349" s="113"/>
      <c r="AX349" s="46">
        <v>0</v>
      </c>
      <c r="AY349" s="113"/>
      <c r="AZ349" s="113"/>
      <c r="BA349" s="113"/>
      <c r="BB349" s="113"/>
      <c r="BC349" s="113"/>
      <c r="BD349" s="46">
        <v>0</v>
      </c>
      <c r="BE349" s="113"/>
      <c r="BF349" s="113"/>
      <c r="BG349" s="113"/>
      <c r="BH349" s="113"/>
      <c r="BI349" s="113"/>
      <c r="BJ349" s="46">
        <v>0</v>
      </c>
      <c r="BK349" s="113"/>
      <c r="BL349" s="113"/>
      <c r="BM349" s="113"/>
      <c r="BN349" s="113"/>
      <c r="BO349" s="113"/>
      <c r="BP349" s="121"/>
      <c r="BQ349" s="121"/>
      <c r="GA349" t="s">
        <v>113</v>
      </c>
      <c r="GB349" t="s">
        <v>23188</v>
      </c>
      <c r="GC349" s="46">
        <v>0</v>
      </c>
      <c r="GD349" s="113"/>
      <c r="GE349" s="113"/>
      <c r="GF349" s="113"/>
      <c r="GG349" s="113"/>
      <c r="GH349" s="113"/>
      <c r="GI349" s="46">
        <v>0</v>
      </c>
      <c r="GJ349" s="113"/>
      <c r="GK349" s="113"/>
      <c r="GL349" s="113"/>
      <c r="GM349" s="113"/>
      <c r="GN349" s="113"/>
      <c r="GO349" s="46">
        <v>0</v>
      </c>
      <c r="GP349" s="113"/>
      <c r="GQ349" s="113"/>
      <c r="GR349" s="113"/>
      <c r="GS349" s="113"/>
      <c r="GT349" s="113"/>
      <c r="GU349" s="46">
        <v>0</v>
      </c>
      <c r="GV349" s="113"/>
      <c r="GW349" s="113"/>
      <c r="GX349" s="113"/>
      <c r="GY349" s="113"/>
      <c r="GZ349" s="113"/>
      <c r="HA349" s="46">
        <v>0</v>
      </c>
      <c r="HB349" s="113"/>
      <c r="HC349" s="113"/>
      <c r="HD349" s="113"/>
      <c r="HE349" s="113"/>
      <c r="HF349" s="113"/>
      <c r="HG349" s="46">
        <v>0</v>
      </c>
      <c r="HH349" s="113"/>
      <c r="HI349" s="113"/>
      <c r="HJ349" s="113"/>
      <c r="HK349" s="113"/>
      <c r="HL349" s="113"/>
      <c r="HM349" s="121"/>
      <c r="HN349" s="121"/>
      <c r="LM349" t="str">
        <v/>
      </c>
      <c r="LN349" t="str">
        <v/>
      </c>
      <c r="LO349" t="str">
        <v/>
      </c>
    </row>
    <row r="350" spans="30:327">
      <c r="AD350" t="s">
        <v>113</v>
      </c>
      <c r="AE350" t="s">
        <v>23189</v>
      </c>
      <c r="AF350" s="46">
        <v>0</v>
      </c>
      <c r="AG350" s="113"/>
      <c r="AH350" s="113"/>
      <c r="AI350" s="113"/>
      <c r="AJ350" s="113"/>
      <c r="AK350" s="113"/>
      <c r="AL350" s="46">
        <v>0</v>
      </c>
      <c r="AM350" s="113"/>
      <c r="AN350" s="113"/>
      <c r="AO350" s="113"/>
      <c r="AP350" s="113"/>
      <c r="AQ350" s="113"/>
      <c r="AR350" s="46">
        <v>0</v>
      </c>
      <c r="AS350" s="113"/>
      <c r="AT350" s="113"/>
      <c r="AU350" s="113"/>
      <c r="AV350" s="113"/>
      <c r="AW350" s="113"/>
      <c r="AX350" s="46">
        <v>0</v>
      </c>
      <c r="AY350" s="113"/>
      <c r="AZ350" s="113"/>
      <c r="BA350" s="113"/>
      <c r="BB350" s="113"/>
      <c r="BC350" s="113"/>
      <c r="BD350" s="46">
        <v>0</v>
      </c>
      <c r="BE350" s="113"/>
      <c r="BF350" s="113"/>
      <c r="BG350" s="113"/>
      <c r="BH350" s="113"/>
      <c r="BI350" s="113"/>
      <c r="BJ350" s="46">
        <v>0</v>
      </c>
      <c r="BK350" s="113"/>
      <c r="BL350" s="113"/>
      <c r="BM350" s="113"/>
      <c r="BN350" s="113"/>
      <c r="BO350" s="113"/>
      <c r="BP350" s="121"/>
      <c r="BQ350" s="121"/>
      <c r="GA350" t="s">
        <v>113</v>
      </c>
      <c r="GB350" t="s">
        <v>23189</v>
      </c>
      <c r="GC350" s="46">
        <v>0</v>
      </c>
      <c r="GD350" s="113"/>
      <c r="GE350" s="113"/>
      <c r="GF350" s="113"/>
      <c r="GG350" s="113"/>
      <c r="GH350" s="113"/>
      <c r="GI350" s="46">
        <v>0</v>
      </c>
      <c r="GJ350" s="113"/>
      <c r="GK350" s="113"/>
      <c r="GL350" s="113"/>
      <c r="GM350" s="113"/>
      <c r="GN350" s="113"/>
      <c r="GO350" s="46">
        <v>0</v>
      </c>
      <c r="GP350" s="113"/>
      <c r="GQ350" s="113"/>
      <c r="GR350" s="113"/>
      <c r="GS350" s="113"/>
      <c r="GT350" s="113"/>
      <c r="GU350" s="46">
        <v>0</v>
      </c>
      <c r="GV350" s="113"/>
      <c r="GW350" s="113"/>
      <c r="GX350" s="113"/>
      <c r="GY350" s="113"/>
      <c r="GZ350" s="113"/>
      <c r="HA350" s="46">
        <v>0</v>
      </c>
      <c r="HB350" s="113"/>
      <c r="HC350" s="113"/>
      <c r="HD350" s="113"/>
      <c r="HE350" s="113"/>
      <c r="HF350" s="113"/>
      <c r="HG350" s="46">
        <v>0</v>
      </c>
      <c r="HH350" s="113"/>
      <c r="HI350" s="113"/>
      <c r="HJ350" s="113"/>
      <c r="HK350" s="113"/>
      <c r="HL350" s="113"/>
      <c r="HM350" s="121"/>
      <c r="HN350" s="121"/>
      <c r="LM350" t="str">
        <v/>
      </c>
      <c r="LN350" t="str">
        <v/>
      </c>
      <c r="LO350" t="str">
        <v/>
      </c>
    </row>
    <row r="351" spans="30:327">
      <c r="AD351" t="s">
        <v>113</v>
      </c>
      <c r="AE351" t="s">
        <v>23190</v>
      </c>
      <c r="AF351" s="46">
        <v>0</v>
      </c>
      <c r="AG351" s="113"/>
      <c r="AH351" s="113"/>
      <c r="AI351" s="113"/>
      <c r="AJ351" s="113"/>
      <c r="AK351" s="113"/>
      <c r="AL351" s="46">
        <v>0</v>
      </c>
      <c r="AM351" s="113"/>
      <c r="AN351" s="113"/>
      <c r="AO351" s="113"/>
      <c r="AP351" s="113"/>
      <c r="AQ351" s="113"/>
      <c r="AR351" s="46">
        <v>0</v>
      </c>
      <c r="AS351" s="113"/>
      <c r="AT351" s="113"/>
      <c r="AU351" s="113"/>
      <c r="AV351" s="113"/>
      <c r="AW351" s="113"/>
      <c r="AX351" s="46">
        <v>0</v>
      </c>
      <c r="AY351" s="113"/>
      <c r="AZ351" s="113"/>
      <c r="BA351" s="113"/>
      <c r="BB351" s="113"/>
      <c r="BC351" s="113"/>
      <c r="BD351" s="46">
        <v>0</v>
      </c>
      <c r="BE351" s="113"/>
      <c r="BF351" s="113"/>
      <c r="BG351" s="113"/>
      <c r="BH351" s="113"/>
      <c r="BI351" s="113"/>
      <c r="BJ351" s="46">
        <v>0</v>
      </c>
      <c r="BK351" s="113"/>
      <c r="BL351" s="113"/>
      <c r="BM351" s="113"/>
      <c r="BN351" s="113"/>
      <c r="BO351" s="113"/>
      <c r="BP351" s="121"/>
      <c r="BQ351" s="121"/>
      <c r="GA351" t="s">
        <v>113</v>
      </c>
      <c r="GB351" t="s">
        <v>23190</v>
      </c>
      <c r="GC351" s="46">
        <v>0</v>
      </c>
      <c r="GD351" s="113"/>
      <c r="GE351" s="113"/>
      <c r="GF351" s="113"/>
      <c r="GG351" s="113"/>
      <c r="GH351" s="113"/>
      <c r="GI351" s="46">
        <v>0</v>
      </c>
      <c r="GJ351" s="113"/>
      <c r="GK351" s="113"/>
      <c r="GL351" s="113"/>
      <c r="GM351" s="113"/>
      <c r="GN351" s="113"/>
      <c r="GO351" s="46">
        <v>0</v>
      </c>
      <c r="GP351" s="113"/>
      <c r="GQ351" s="113"/>
      <c r="GR351" s="113"/>
      <c r="GS351" s="113"/>
      <c r="GT351" s="113"/>
      <c r="GU351" s="46">
        <v>0</v>
      </c>
      <c r="GV351" s="113"/>
      <c r="GW351" s="113"/>
      <c r="GX351" s="113"/>
      <c r="GY351" s="113"/>
      <c r="GZ351" s="113"/>
      <c r="HA351" s="46">
        <v>0</v>
      </c>
      <c r="HB351" s="113"/>
      <c r="HC351" s="113"/>
      <c r="HD351" s="113"/>
      <c r="HE351" s="113"/>
      <c r="HF351" s="113"/>
      <c r="HG351" s="46">
        <v>0</v>
      </c>
      <c r="HH351" s="113"/>
      <c r="HI351" s="113"/>
      <c r="HJ351" s="113"/>
      <c r="HK351" s="113"/>
      <c r="HL351" s="113"/>
      <c r="HM351" s="121"/>
      <c r="HN351" s="121"/>
      <c r="LM351" t="str">
        <v/>
      </c>
      <c r="LN351" t="str">
        <v/>
      </c>
      <c r="LO351" t="str">
        <v/>
      </c>
    </row>
    <row r="352" spans="30:327">
      <c r="AD352" t="s">
        <v>113</v>
      </c>
      <c r="AE352" t="s">
        <v>23191</v>
      </c>
      <c r="AF352" s="46">
        <v>0</v>
      </c>
      <c r="AG352" s="113"/>
      <c r="AH352" s="113"/>
      <c r="AI352" s="113"/>
      <c r="AJ352" s="113"/>
      <c r="AK352" s="113"/>
      <c r="AL352" s="46">
        <v>0</v>
      </c>
      <c r="AM352" s="113"/>
      <c r="AN352" s="113"/>
      <c r="AO352" s="113"/>
      <c r="AP352" s="113"/>
      <c r="AQ352" s="113"/>
      <c r="AR352" s="46">
        <v>0</v>
      </c>
      <c r="AS352" s="113"/>
      <c r="AT352" s="113"/>
      <c r="AU352" s="113"/>
      <c r="AV352" s="113"/>
      <c r="AW352" s="113"/>
      <c r="AX352" s="46">
        <v>0</v>
      </c>
      <c r="AY352" s="113"/>
      <c r="AZ352" s="113"/>
      <c r="BA352" s="113"/>
      <c r="BB352" s="113"/>
      <c r="BC352" s="113"/>
      <c r="BD352" s="46">
        <v>0</v>
      </c>
      <c r="BE352" s="113"/>
      <c r="BF352" s="113"/>
      <c r="BG352" s="113"/>
      <c r="BH352" s="113"/>
      <c r="BI352" s="113"/>
      <c r="BJ352" s="46">
        <v>0</v>
      </c>
      <c r="BK352" s="113"/>
      <c r="BL352" s="113"/>
      <c r="BM352" s="113"/>
      <c r="BN352" s="113"/>
      <c r="BO352" s="113"/>
      <c r="BP352" s="121"/>
      <c r="BQ352" s="121"/>
      <c r="GA352" t="s">
        <v>113</v>
      </c>
      <c r="GB352" t="s">
        <v>23191</v>
      </c>
      <c r="GC352" s="46">
        <v>0</v>
      </c>
      <c r="GD352" s="113"/>
      <c r="GE352" s="113"/>
      <c r="GF352" s="113"/>
      <c r="GG352" s="113"/>
      <c r="GH352" s="113"/>
      <c r="GI352" s="46">
        <v>0</v>
      </c>
      <c r="GJ352" s="113"/>
      <c r="GK352" s="113"/>
      <c r="GL352" s="113"/>
      <c r="GM352" s="113"/>
      <c r="GN352" s="113"/>
      <c r="GO352" s="46">
        <v>0</v>
      </c>
      <c r="GP352" s="113"/>
      <c r="GQ352" s="113"/>
      <c r="GR352" s="113"/>
      <c r="GS352" s="113"/>
      <c r="GT352" s="113"/>
      <c r="GU352" s="46">
        <v>0</v>
      </c>
      <c r="GV352" s="113"/>
      <c r="GW352" s="113"/>
      <c r="GX352" s="113"/>
      <c r="GY352" s="113"/>
      <c r="GZ352" s="113"/>
      <c r="HA352" s="46">
        <v>0</v>
      </c>
      <c r="HB352" s="113"/>
      <c r="HC352" s="113"/>
      <c r="HD352" s="113"/>
      <c r="HE352" s="113"/>
      <c r="HF352" s="113"/>
      <c r="HG352" s="46">
        <v>0</v>
      </c>
      <c r="HH352" s="113"/>
      <c r="HI352" s="113"/>
      <c r="HJ352" s="113"/>
      <c r="HK352" s="113"/>
      <c r="HL352" s="113"/>
      <c r="HM352" s="121"/>
      <c r="HN352" s="121"/>
      <c r="LM352" t="str">
        <v/>
      </c>
      <c r="LN352" t="str">
        <v/>
      </c>
      <c r="LO352" t="str">
        <v/>
      </c>
    </row>
    <row r="353" spans="30:327">
      <c r="AD353" t="s">
        <v>113</v>
      </c>
      <c r="AE353" t="s">
        <v>23192</v>
      </c>
      <c r="AF353" s="46">
        <v>0</v>
      </c>
      <c r="AG353" s="113"/>
      <c r="AH353" s="113"/>
      <c r="AI353" s="113"/>
      <c r="AJ353" s="113"/>
      <c r="AK353" s="113"/>
      <c r="AL353" s="46">
        <v>0</v>
      </c>
      <c r="AM353" s="113"/>
      <c r="AN353" s="113"/>
      <c r="AO353" s="113"/>
      <c r="AP353" s="113"/>
      <c r="AQ353" s="113"/>
      <c r="AR353" s="46">
        <v>0</v>
      </c>
      <c r="AS353" s="113"/>
      <c r="AT353" s="113"/>
      <c r="AU353" s="113"/>
      <c r="AV353" s="113"/>
      <c r="AW353" s="113"/>
      <c r="AX353" s="46">
        <v>0</v>
      </c>
      <c r="AY353" s="113"/>
      <c r="AZ353" s="113"/>
      <c r="BA353" s="113"/>
      <c r="BB353" s="113"/>
      <c r="BC353" s="113"/>
      <c r="BD353" s="46">
        <v>0</v>
      </c>
      <c r="BE353" s="113"/>
      <c r="BF353" s="113"/>
      <c r="BG353" s="113"/>
      <c r="BH353" s="113"/>
      <c r="BI353" s="113"/>
      <c r="BJ353" s="46">
        <v>0</v>
      </c>
      <c r="BK353" s="113"/>
      <c r="BL353" s="113"/>
      <c r="BM353" s="113"/>
      <c r="BN353" s="113"/>
      <c r="BO353" s="113"/>
      <c r="BP353" s="121"/>
      <c r="BQ353" s="121"/>
      <c r="GA353" t="s">
        <v>113</v>
      </c>
      <c r="GB353" t="s">
        <v>23192</v>
      </c>
      <c r="GC353" s="46">
        <v>0</v>
      </c>
      <c r="GD353" s="113"/>
      <c r="GE353" s="113"/>
      <c r="GF353" s="113"/>
      <c r="GG353" s="113"/>
      <c r="GH353" s="113"/>
      <c r="GI353" s="46">
        <v>0</v>
      </c>
      <c r="GJ353" s="113"/>
      <c r="GK353" s="113"/>
      <c r="GL353" s="113"/>
      <c r="GM353" s="113"/>
      <c r="GN353" s="113"/>
      <c r="GO353" s="46">
        <v>0</v>
      </c>
      <c r="GP353" s="113"/>
      <c r="GQ353" s="113"/>
      <c r="GR353" s="113"/>
      <c r="GS353" s="113"/>
      <c r="GT353" s="113"/>
      <c r="GU353" s="46">
        <v>0</v>
      </c>
      <c r="GV353" s="113"/>
      <c r="GW353" s="113"/>
      <c r="GX353" s="113"/>
      <c r="GY353" s="113"/>
      <c r="GZ353" s="113"/>
      <c r="HA353" s="46">
        <v>0</v>
      </c>
      <c r="HB353" s="113"/>
      <c r="HC353" s="113"/>
      <c r="HD353" s="113"/>
      <c r="HE353" s="113"/>
      <c r="HF353" s="113"/>
      <c r="HG353" s="46">
        <v>0</v>
      </c>
      <c r="HH353" s="113"/>
      <c r="HI353" s="113"/>
      <c r="HJ353" s="113"/>
      <c r="HK353" s="113"/>
      <c r="HL353" s="113"/>
      <c r="HM353" s="121"/>
      <c r="HN353" s="121"/>
      <c r="LM353" t="str">
        <v/>
      </c>
      <c r="LN353" t="str">
        <v/>
      </c>
      <c r="LO353" t="str">
        <v/>
      </c>
    </row>
    <row r="354" spans="30:327">
      <c r="AD354" t="s">
        <v>113</v>
      </c>
      <c r="AE354" t="s">
        <v>23193</v>
      </c>
      <c r="AF354" s="46">
        <v>0</v>
      </c>
      <c r="AG354" s="113"/>
      <c r="AH354" s="113"/>
      <c r="AI354" s="113"/>
      <c r="AJ354" s="113"/>
      <c r="AK354" s="113"/>
      <c r="AL354" s="46">
        <v>0</v>
      </c>
      <c r="AM354" s="113"/>
      <c r="AN354" s="113"/>
      <c r="AO354" s="113"/>
      <c r="AP354" s="113"/>
      <c r="AQ354" s="113"/>
      <c r="AR354" s="46">
        <v>0</v>
      </c>
      <c r="AS354" s="113"/>
      <c r="AT354" s="113"/>
      <c r="AU354" s="113"/>
      <c r="AV354" s="113"/>
      <c r="AW354" s="113"/>
      <c r="AX354" s="46">
        <v>0</v>
      </c>
      <c r="AY354" s="113"/>
      <c r="AZ354" s="113"/>
      <c r="BA354" s="113"/>
      <c r="BB354" s="113"/>
      <c r="BC354" s="113"/>
      <c r="BD354" s="46">
        <v>0</v>
      </c>
      <c r="BE354" s="113"/>
      <c r="BF354" s="113"/>
      <c r="BG354" s="113"/>
      <c r="BH354" s="113"/>
      <c r="BI354" s="113"/>
      <c r="BJ354" s="46">
        <v>0</v>
      </c>
      <c r="BK354" s="113"/>
      <c r="BL354" s="113"/>
      <c r="BM354" s="113"/>
      <c r="BN354" s="113"/>
      <c r="BO354" s="113"/>
      <c r="BP354" s="121"/>
      <c r="BQ354" s="121"/>
      <c r="GA354" t="s">
        <v>113</v>
      </c>
      <c r="GB354" t="s">
        <v>23193</v>
      </c>
      <c r="GC354" s="46">
        <v>0</v>
      </c>
      <c r="GD354" s="113"/>
      <c r="GE354" s="113"/>
      <c r="GF354" s="113"/>
      <c r="GG354" s="113"/>
      <c r="GH354" s="113"/>
      <c r="GI354" s="46">
        <v>0</v>
      </c>
      <c r="GJ354" s="113"/>
      <c r="GK354" s="113"/>
      <c r="GL354" s="113"/>
      <c r="GM354" s="113"/>
      <c r="GN354" s="113"/>
      <c r="GO354" s="46">
        <v>0</v>
      </c>
      <c r="GP354" s="113"/>
      <c r="GQ354" s="113"/>
      <c r="GR354" s="113"/>
      <c r="GS354" s="113"/>
      <c r="GT354" s="113"/>
      <c r="GU354" s="46">
        <v>0</v>
      </c>
      <c r="GV354" s="113"/>
      <c r="GW354" s="113"/>
      <c r="GX354" s="113"/>
      <c r="GY354" s="113"/>
      <c r="GZ354" s="113"/>
      <c r="HA354" s="46">
        <v>0</v>
      </c>
      <c r="HB354" s="113"/>
      <c r="HC354" s="113"/>
      <c r="HD354" s="113"/>
      <c r="HE354" s="113"/>
      <c r="HF354" s="113"/>
      <c r="HG354" s="46">
        <v>0</v>
      </c>
      <c r="HH354" s="113"/>
      <c r="HI354" s="113"/>
      <c r="HJ354" s="113"/>
      <c r="HK354" s="113"/>
      <c r="HL354" s="113"/>
      <c r="HM354" s="121"/>
      <c r="HN354" s="121"/>
      <c r="LM354" t="str">
        <v/>
      </c>
      <c r="LN354" t="str">
        <v/>
      </c>
      <c r="LO354" t="str">
        <v/>
      </c>
    </row>
    <row r="355" spans="30:327">
      <c r="AD355" t="s">
        <v>113</v>
      </c>
      <c r="AE355" t="s">
        <v>23194</v>
      </c>
      <c r="AF355" s="46">
        <v>0</v>
      </c>
      <c r="AG355" s="113"/>
      <c r="AH355" s="113"/>
      <c r="AI355" s="113"/>
      <c r="AJ355" s="113"/>
      <c r="AK355" s="113"/>
      <c r="AL355" s="46">
        <v>0</v>
      </c>
      <c r="AM355" s="113"/>
      <c r="AN355" s="113"/>
      <c r="AO355" s="113"/>
      <c r="AP355" s="113"/>
      <c r="AQ355" s="113"/>
      <c r="AR355" s="46">
        <v>0</v>
      </c>
      <c r="AS355" s="113"/>
      <c r="AT355" s="113"/>
      <c r="AU355" s="113"/>
      <c r="AV355" s="113"/>
      <c r="AW355" s="113"/>
      <c r="AX355" s="46">
        <v>0</v>
      </c>
      <c r="AY355" s="113"/>
      <c r="AZ355" s="113"/>
      <c r="BA355" s="113"/>
      <c r="BB355" s="113"/>
      <c r="BC355" s="113"/>
      <c r="BD355" s="46">
        <v>0</v>
      </c>
      <c r="BE355" s="113"/>
      <c r="BF355" s="113"/>
      <c r="BG355" s="113"/>
      <c r="BH355" s="113"/>
      <c r="BI355" s="113"/>
      <c r="BJ355" s="46">
        <v>0</v>
      </c>
      <c r="BK355" s="113"/>
      <c r="BL355" s="113"/>
      <c r="BM355" s="113"/>
      <c r="BN355" s="113"/>
      <c r="BO355" s="113"/>
      <c r="BP355" s="121"/>
      <c r="BQ355" s="121"/>
      <c r="GA355" t="s">
        <v>113</v>
      </c>
      <c r="GB355" t="s">
        <v>23194</v>
      </c>
      <c r="GC355" s="46">
        <v>0</v>
      </c>
      <c r="GD355" s="113"/>
      <c r="GE355" s="113"/>
      <c r="GF355" s="113"/>
      <c r="GG355" s="113"/>
      <c r="GH355" s="113"/>
      <c r="GI355" s="46">
        <v>0</v>
      </c>
      <c r="GJ355" s="113"/>
      <c r="GK355" s="113"/>
      <c r="GL355" s="113"/>
      <c r="GM355" s="113"/>
      <c r="GN355" s="113"/>
      <c r="GO355" s="46">
        <v>0</v>
      </c>
      <c r="GP355" s="113"/>
      <c r="GQ355" s="113"/>
      <c r="GR355" s="113"/>
      <c r="GS355" s="113"/>
      <c r="GT355" s="113"/>
      <c r="GU355" s="46">
        <v>0</v>
      </c>
      <c r="GV355" s="113"/>
      <c r="GW355" s="113"/>
      <c r="GX355" s="113"/>
      <c r="GY355" s="113"/>
      <c r="GZ355" s="113"/>
      <c r="HA355" s="46">
        <v>0</v>
      </c>
      <c r="HB355" s="113"/>
      <c r="HC355" s="113"/>
      <c r="HD355" s="113"/>
      <c r="HE355" s="113"/>
      <c r="HF355" s="113"/>
      <c r="HG355" s="46">
        <v>0</v>
      </c>
      <c r="HH355" s="113"/>
      <c r="HI355" s="113"/>
      <c r="HJ355" s="113"/>
      <c r="HK355" s="113"/>
      <c r="HL355" s="113"/>
      <c r="HM355" s="121"/>
      <c r="HN355" s="121"/>
      <c r="LM355" t="str">
        <v/>
      </c>
      <c r="LN355" t="str">
        <v/>
      </c>
      <c r="LO355" t="str">
        <v/>
      </c>
    </row>
    <row r="356" spans="30:327">
      <c r="AD356" t="s">
        <v>113</v>
      </c>
      <c r="AE356" t="s">
        <v>23195</v>
      </c>
      <c r="AF356" s="46">
        <v>0</v>
      </c>
      <c r="AG356" s="113"/>
      <c r="AH356" s="113"/>
      <c r="AI356" s="113"/>
      <c r="AJ356" s="113"/>
      <c r="AK356" s="113"/>
      <c r="AL356" s="46">
        <v>0</v>
      </c>
      <c r="AM356" s="113"/>
      <c r="AN356" s="113"/>
      <c r="AO356" s="113"/>
      <c r="AP356" s="113"/>
      <c r="AQ356" s="113"/>
      <c r="AR356" s="46">
        <v>0</v>
      </c>
      <c r="AS356" s="113"/>
      <c r="AT356" s="113"/>
      <c r="AU356" s="113"/>
      <c r="AV356" s="113"/>
      <c r="AW356" s="113"/>
      <c r="AX356" s="46">
        <v>0</v>
      </c>
      <c r="AY356" s="113"/>
      <c r="AZ356" s="113"/>
      <c r="BA356" s="113"/>
      <c r="BB356" s="113"/>
      <c r="BC356" s="113"/>
      <c r="BD356" s="46">
        <v>0</v>
      </c>
      <c r="BE356" s="113"/>
      <c r="BF356" s="113"/>
      <c r="BG356" s="113"/>
      <c r="BH356" s="113"/>
      <c r="BI356" s="113"/>
      <c r="BJ356" s="46">
        <v>0</v>
      </c>
      <c r="BK356" s="113"/>
      <c r="BL356" s="113"/>
      <c r="BM356" s="113"/>
      <c r="BN356" s="113"/>
      <c r="BO356" s="113"/>
      <c r="BP356" s="121"/>
      <c r="BQ356" s="121"/>
      <c r="GA356" t="s">
        <v>113</v>
      </c>
      <c r="GB356" t="s">
        <v>23195</v>
      </c>
      <c r="GC356" s="46">
        <v>0</v>
      </c>
      <c r="GD356" s="113"/>
      <c r="GE356" s="113"/>
      <c r="GF356" s="113"/>
      <c r="GG356" s="113"/>
      <c r="GH356" s="113"/>
      <c r="GI356" s="46">
        <v>0</v>
      </c>
      <c r="GJ356" s="113"/>
      <c r="GK356" s="113"/>
      <c r="GL356" s="113"/>
      <c r="GM356" s="113"/>
      <c r="GN356" s="113"/>
      <c r="GO356" s="46">
        <v>0</v>
      </c>
      <c r="GP356" s="113"/>
      <c r="GQ356" s="113"/>
      <c r="GR356" s="113"/>
      <c r="GS356" s="113"/>
      <c r="GT356" s="113"/>
      <c r="GU356" s="46">
        <v>0</v>
      </c>
      <c r="GV356" s="113"/>
      <c r="GW356" s="113"/>
      <c r="GX356" s="113"/>
      <c r="GY356" s="113"/>
      <c r="GZ356" s="113"/>
      <c r="HA356" s="46">
        <v>0</v>
      </c>
      <c r="HB356" s="113"/>
      <c r="HC356" s="113"/>
      <c r="HD356" s="113"/>
      <c r="HE356" s="113"/>
      <c r="HF356" s="113"/>
      <c r="HG356" s="46">
        <v>0</v>
      </c>
      <c r="HH356" s="113"/>
      <c r="HI356" s="113"/>
      <c r="HJ356" s="113"/>
      <c r="HK356" s="113"/>
      <c r="HL356" s="113"/>
      <c r="HM356" s="121"/>
      <c r="HN356" s="121"/>
      <c r="LM356" t="str">
        <v/>
      </c>
      <c r="LN356" t="str">
        <v/>
      </c>
      <c r="LO356" t="str">
        <v/>
      </c>
    </row>
    <row r="357" spans="30:327">
      <c r="AD357" t="s">
        <v>113</v>
      </c>
      <c r="AE357" t="s">
        <v>23196</v>
      </c>
      <c r="AF357" s="46">
        <v>0</v>
      </c>
      <c r="AG357" s="113"/>
      <c r="AH357" s="113"/>
      <c r="AI357" s="113"/>
      <c r="AJ357" s="113"/>
      <c r="AK357" s="113"/>
      <c r="AL357" s="46">
        <v>0</v>
      </c>
      <c r="AM357" s="113"/>
      <c r="AN357" s="113"/>
      <c r="AO357" s="113"/>
      <c r="AP357" s="113"/>
      <c r="AQ357" s="113"/>
      <c r="AR357" s="46">
        <v>0</v>
      </c>
      <c r="AS357" s="113"/>
      <c r="AT357" s="113"/>
      <c r="AU357" s="113"/>
      <c r="AV357" s="113"/>
      <c r="AW357" s="113"/>
      <c r="AX357" s="46">
        <v>0</v>
      </c>
      <c r="AY357" s="113"/>
      <c r="AZ357" s="113"/>
      <c r="BA357" s="113"/>
      <c r="BB357" s="113"/>
      <c r="BC357" s="113"/>
      <c r="BD357" s="46">
        <v>0</v>
      </c>
      <c r="BE357" s="113"/>
      <c r="BF357" s="113"/>
      <c r="BG357" s="113"/>
      <c r="BH357" s="113"/>
      <c r="BI357" s="113"/>
      <c r="BJ357" s="46">
        <v>0</v>
      </c>
      <c r="BK357" s="113"/>
      <c r="BL357" s="113"/>
      <c r="BM357" s="113"/>
      <c r="BN357" s="113"/>
      <c r="BO357" s="113"/>
      <c r="BP357" s="121"/>
      <c r="BQ357" s="121"/>
      <c r="GA357" t="s">
        <v>113</v>
      </c>
      <c r="GB357" t="s">
        <v>23196</v>
      </c>
      <c r="GC357" s="46">
        <v>0</v>
      </c>
      <c r="GD357" s="113"/>
      <c r="GE357" s="113"/>
      <c r="GF357" s="113"/>
      <c r="GG357" s="113"/>
      <c r="GH357" s="113"/>
      <c r="GI357" s="46">
        <v>0</v>
      </c>
      <c r="GJ357" s="113"/>
      <c r="GK357" s="113"/>
      <c r="GL357" s="113"/>
      <c r="GM357" s="113"/>
      <c r="GN357" s="113"/>
      <c r="GO357" s="46">
        <v>0</v>
      </c>
      <c r="GP357" s="113"/>
      <c r="GQ357" s="113"/>
      <c r="GR357" s="113"/>
      <c r="GS357" s="113"/>
      <c r="GT357" s="113"/>
      <c r="GU357" s="46">
        <v>0</v>
      </c>
      <c r="GV357" s="113"/>
      <c r="GW357" s="113"/>
      <c r="GX357" s="113"/>
      <c r="GY357" s="113"/>
      <c r="GZ357" s="113"/>
      <c r="HA357" s="46">
        <v>0</v>
      </c>
      <c r="HB357" s="113"/>
      <c r="HC357" s="113"/>
      <c r="HD357" s="113"/>
      <c r="HE357" s="113"/>
      <c r="HF357" s="113"/>
      <c r="HG357" s="46">
        <v>0</v>
      </c>
      <c r="HH357" s="113"/>
      <c r="HI357" s="113"/>
      <c r="HJ357" s="113"/>
      <c r="HK357" s="113"/>
      <c r="HL357" s="113"/>
      <c r="HM357" s="121"/>
      <c r="HN357" s="121"/>
      <c r="LM357" t="str">
        <v/>
      </c>
      <c r="LN357" t="str">
        <v/>
      </c>
      <c r="LO357" t="str">
        <v/>
      </c>
    </row>
    <row r="358" spans="30:327">
      <c r="AD358" t="s">
        <v>113</v>
      </c>
      <c r="AE358" t="s">
        <v>23197</v>
      </c>
      <c r="AF358" s="46">
        <v>0</v>
      </c>
      <c r="AG358" s="113"/>
      <c r="AH358" s="113"/>
      <c r="AI358" s="113"/>
      <c r="AJ358" s="113"/>
      <c r="AK358" s="113"/>
      <c r="AL358" s="46">
        <v>0</v>
      </c>
      <c r="AM358" s="113"/>
      <c r="AN358" s="113"/>
      <c r="AO358" s="113"/>
      <c r="AP358" s="113"/>
      <c r="AQ358" s="113"/>
      <c r="AR358" s="46">
        <v>0</v>
      </c>
      <c r="AS358" s="113"/>
      <c r="AT358" s="113"/>
      <c r="AU358" s="113"/>
      <c r="AV358" s="113"/>
      <c r="AW358" s="113"/>
      <c r="AX358" s="46">
        <v>0</v>
      </c>
      <c r="AY358" s="113"/>
      <c r="AZ358" s="113"/>
      <c r="BA358" s="113"/>
      <c r="BB358" s="113"/>
      <c r="BC358" s="113"/>
      <c r="BD358" s="46">
        <v>0</v>
      </c>
      <c r="BE358" s="113"/>
      <c r="BF358" s="113"/>
      <c r="BG358" s="113"/>
      <c r="BH358" s="113"/>
      <c r="BI358" s="113"/>
      <c r="BJ358" s="46">
        <v>0</v>
      </c>
      <c r="BK358" s="113"/>
      <c r="BL358" s="113"/>
      <c r="BM358" s="113"/>
      <c r="BN358" s="113"/>
      <c r="BO358" s="113"/>
      <c r="BP358" s="121"/>
      <c r="BQ358" s="121"/>
      <c r="GA358" t="s">
        <v>113</v>
      </c>
      <c r="GB358" t="s">
        <v>23197</v>
      </c>
      <c r="GC358" s="46">
        <v>0</v>
      </c>
      <c r="GD358" s="113"/>
      <c r="GE358" s="113"/>
      <c r="GF358" s="113"/>
      <c r="GG358" s="113"/>
      <c r="GH358" s="113"/>
      <c r="GI358" s="46">
        <v>0</v>
      </c>
      <c r="GJ358" s="113"/>
      <c r="GK358" s="113"/>
      <c r="GL358" s="113"/>
      <c r="GM358" s="113"/>
      <c r="GN358" s="113"/>
      <c r="GO358" s="46">
        <v>0</v>
      </c>
      <c r="GP358" s="113"/>
      <c r="GQ358" s="113"/>
      <c r="GR358" s="113"/>
      <c r="GS358" s="113"/>
      <c r="GT358" s="113"/>
      <c r="GU358" s="46">
        <v>0</v>
      </c>
      <c r="GV358" s="113"/>
      <c r="GW358" s="113"/>
      <c r="GX358" s="113"/>
      <c r="GY358" s="113"/>
      <c r="GZ358" s="113"/>
      <c r="HA358" s="46">
        <v>0</v>
      </c>
      <c r="HB358" s="113"/>
      <c r="HC358" s="113"/>
      <c r="HD358" s="113"/>
      <c r="HE358" s="113"/>
      <c r="HF358" s="113"/>
      <c r="HG358" s="46">
        <v>0</v>
      </c>
      <c r="HH358" s="113"/>
      <c r="HI358" s="113"/>
      <c r="HJ358" s="113"/>
      <c r="HK358" s="113"/>
      <c r="HL358" s="113"/>
      <c r="HM358" s="121"/>
      <c r="HN358" s="121"/>
      <c r="LM358" t="str">
        <v/>
      </c>
      <c r="LN358" t="str">
        <v/>
      </c>
      <c r="LO358" t="str">
        <v/>
      </c>
    </row>
    <row r="359" spans="30:327">
      <c r="AD359" t="s">
        <v>113</v>
      </c>
      <c r="AE359" t="s">
        <v>23198</v>
      </c>
      <c r="AF359" s="46">
        <v>0</v>
      </c>
      <c r="AG359" s="113"/>
      <c r="AH359" s="113"/>
      <c r="AI359" s="113"/>
      <c r="AJ359" s="113"/>
      <c r="AK359" s="113"/>
      <c r="AL359" s="46">
        <v>0</v>
      </c>
      <c r="AM359" s="113"/>
      <c r="AN359" s="113"/>
      <c r="AO359" s="113"/>
      <c r="AP359" s="113"/>
      <c r="AQ359" s="113"/>
      <c r="AR359" s="46">
        <v>0</v>
      </c>
      <c r="AS359" s="113"/>
      <c r="AT359" s="113"/>
      <c r="AU359" s="113"/>
      <c r="AV359" s="113"/>
      <c r="AW359" s="113"/>
      <c r="AX359" s="46">
        <v>0</v>
      </c>
      <c r="AY359" s="113"/>
      <c r="AZ359" s="113"/>
      <c r="BA359" s="113"/>
      <c r="BB359" s="113"/>
      <c r="BC359" s="113"/>
      <c r="BD359" s="46">
        <v>0</v>
      </c>
      <c r="BE359" s="113"/>
      <c r="BF359" s="113"/>
      <c r="BG359" s="113"/>
      <c r="BH359" s="113"/>
      <c r="BI359" s="113"/>
      <c r="BJ359" s="46">
        <v>0</v>
      </c>
      <c r="BK359" s="113"/>
      <c r="BL359" s="113"/>
      <c r="BM359" s="113"/>
      <c r="BN359" s="113"/>
      <c r="BO359" s="113"/>
      <c r="BP359" s="121"/>
      <c r="BQ359" s="121"/>
      <c r="GA359" t="s">
        <v>113</v>
      </c>
      <c r="GB359" t="s">
        <v>23198</v>
      </c>
      <c r="GC359" s="46">
        <v>0</v>
      </c>
      <c r="GD359" s="113"/>
      <c r="GE359" s="113"/>
      <c r="GF359" s="113"/>
      <c r="GG359" s="113"/>
      <c r="GH359" s="113"/>
      <c r="GI359" s="46">
        <v>0</v>
      </c>
      <c r="GJ359" s="113"/>
      <c r="GK359" s="113"/>
      <c r="GL359" s="113"/>
      <c r="GM359" s="113"/>
      <c r="GN359" s="113"/>
      <c r="GO359" s="46">
        <v>0</v>
      </c>
      <c r="GP359" s="113"/>
      <c r="GQ359" s="113"/>
      <c r="GR359" s="113"/>
      <c r="GS359" s="113"/>
      <c r="GT359" s="113"/>
      <c r="GU359" s="46">
        <v>0</v>
      </c>
      <c r="GV359" s="113"/>
      <c r="GW359" s="113"/>
      <c r="GX359" s="113"/>
      <c r="GY359" s="113"/>
      <c r="GZ359" s="113"/>
      <c r="HA359" s="46">
        <v>0</v>
      </c>
      <c r="HB359" s="113"/>
      <c r="HC359" s="113"/>
      <c r="HD359" s="113"/>
      <c r="HE359" s="113"/>
      <c r="HF359" s="113"/>
      <c r="HG359" s="46">
        <v>0</v>
      </c>
      <c r="HH359" s="113"/>
      <c r="HI359" s="113"/>
      <c r="HJ359" s="113"/>
      <c r="HK359" s="113"/>
      <c r="HL359" s="113"/>
      <c r="HM359" s="121"/>
      <c r="HN359" s="121"/>
      <c r="LM359" t="str">
        <v/>
      </c>
      <c r="LN359" t="str">
        <v/>
      </c>
      <c r="LO359" t="str">
        <v/>
      </c>
    </row>
    <row r="360" spans="30:327">
      <c r="AD360" t="s">
        <v>113</v>
      </c>
      <c r="AE360" t="s">
        <v>23199</v>
      </c>
      <c r="AF360" s="46">
        <v>0</v>
      </c>
      <c r="AG360" s="113"/>
      <c r="AH360" s="113"/>
      <c r="AI360" s="113"/>
      <c r="AJ360" s="113"/>
      <c r="AK360" s="113"/>
      <c r="AL360" s="46">
        <v>0</v>
      </c>
      <c r="AM360" s="113"/>
      <c r="AN360" s="113"/>
      <c r="AO360" s="113"/>
      <c r="AP360" s="113"/>
      <c r="AQ360" s="113"/>
      <c r="AR360" s="46">
        <v>0</v>
      </c>
      <c r="AS360" s="113"/>
      <c r="AT360" s="113"/>
      <c r="AU360" s="113"/>
      <c r="AV360" s="113"/>
      <c r="AW360" s="113"/>
      <c r="AX360" s="46">
        <v>0</v>
      </c>
      <c r="AY360" s="113"/>
      <c r="AZ360" s="113"/>
      <c r="BA360" s="113"/>
      <c r="BB360" s="113"/>
      <c r="BC360" s="113"/>
      <c r="BD360" s="46">
        <v>0</v>
      </c>
      <c r="BE360" s="113"/>
      <c r="BF360" s="113"/>
      <c r="BG360" s="113"/>
      <c r="BH360" s="113"/>
      <c r="BI360" s="113"/>
      <c r="BJ360" s="46">
        <v>0</v>
      </c>
      <c r="BK360" s="113"/>
      <c r="BL360" s="113"/>
      <c r="BM360" s="113"/>
      <c r="BN360" s="113"/>
      <c r="BO360" s="113"/>
      <c r="BP360" s="121"/>
      <c r="BQ360" s="121"/>
      <c r="GA360" t="s">
        <v>113</v>
      </c>
      <c r="GB360" t="s">
        <v>23199</v>
      </c>
      <c r="GC360" s="46">
        <v>0</v>
      </c>
      <c r="GD360" s="113"/>
      <c r="GE360" s="113"/>
      <c r="GF360" s="113"/>
      <c r="GG360" s="113"/>
      <c r="GH360" s="113"/>
      <c r="GI360" s="46">
        <v>0</v>
      </c>
      <c r="GJ360" s="113"/>
      <c r="GK360" s="113"/>
      <c r="GL360" s="113"/>
      <c r="GM360" s="113"/>
      <c r="GN360" s="113"/>
      <c r="GO360" s="46">
        <v>0</v>
      </c>
      <c r="GP360" s="113"/>
      <c r="GQ360" s="113"/>
      <c r="GR360" s="113"/>
      <c r="GS360" s="113"/>
      <c r="GT360" s="113"/>
      <c r="GU360" s="46">
        <v>0</v>
      </c>
      <c r="GV360" s="113"/>
      <c r="GW360" s="113"/>
      <c r="GX360" s="113"/>
      <c r="GY360" s="113"/>
      <c r="GZ360" s="113"/>
      <c r="HA360" s="46">
        <v>0</v>
      </c>
      <c r="HB360" s="113"/>
      <c r="HC360" s="113"/>
      <c r="HD360" s="113"/>
      <c r="HE360" s="113"/>
      <c r="HF360" s="113"/>
      <c r="HG360" s="46">
        <v>0</v>
      </c>
      <c r="HH360" s="113"/>
      <c r="HI360" s="113"/>
      <c r="HJ360" s="113"/>
      <c r="HK360" s="113"/>
      <c r="HL360" s="113"/>
      <c r="HM360" s="121"/>
      <c r="HN360" s="121"/>
      <c r="LM360" t="str">
        <v/>
      </c>
      <c r="LN360" t="str">
        <v/>
      </c>
      <c r="LO360" t="str">
        <v/>
      </c>
    </row>
    <row r="361" spans="30:327">
      <c r="AD361" t="s">
        <v>113</v>
      </c>
      <c r="AE361" t="s">
        <v>23200</v>
      </c>
      <c r="AF361" s="46">
        <v>0</v>
      </c>
      <c r="AG361" s="113"/>
      <c r="AH361" s="113"/>
      <c r="AI361" s="113"/>
      <c r="AJ361" s="113"/>
      <c r="AK361" s="113"/>
      <c r="AL361" s="46">
        <v>0</v>
      </c>
      <c r="AM361" s="113"/>
      <c r="AN361" s="113"/>
      <c r="AO361" s="113"/>
      <c r="AP361" s="113"/>
      <c r="AQ361" s="113"/>
      <c r="AR361" s="46">
        <v>0</v>
      </c>
      <c r="AS361" s="113"/>
      <c r="AT361" s="113"/>
      <c r="AU361" s="113"/>
      <c r="AV361" s="113"/>
      <c r="AW361" s="113"/>
      <c r="AX361" s="46">
        <v>0</v>
      </c>
      <c r="AY361" s="113"/>
      <c r="AZ361" s="113"/>
      <c r="BA361" s="113"/>
      <c r="BB361" s="113"/>
      <c r="BC361" s="113"/>
      <c r="BD361" s="46">
        <v>0</v>
      </c>
      <c r="BE361" s="113"/>
      <c r="BF361" s="113"/>
      <c r="BG361" s="113"/>
      <c r="BH361" s="113"/>
      <c r="BI361" s="113"/>
      <c r="BJ361" s="46">
        <v>0</v>
      </c>
      <c r="BK361" s="113"/>
      <c r="BL361" s="113"/>
      <c r="BM361" s="113"/>
      <c r="BN361" s="113"/>
      <c r="BO361" s="113"/>
      <c r="BP361" s="121"/>
      <c r="BQ361" s="121"/>
      <c r="GA361" t="s">
        <v>113</v>
      </c>
      <c r="GB361" t="s">
        <v>23200</v>
      </c>
      <c r="GC361" s="46">
        <v>0</v>
      </c>
      <c r="GD361" s="113"/>
      <c r="GE361" s="113"/>
      <c r="GF361" s="113"/>
      <c r="GG361" s="113"/>
      <c r="GH361" s="113"/>
      <c r="GI361" s="46">
        <v>0</v>
      </c>
      <c r="GJ361" s="113"/>
      <c r="GK361" s="113"/>
      <c r="GL361" s="113"/>
      <c r="GM361" s="113"/>
      <c r="GN361" s="113"/>
      <c r="GO361" s="46">
        <v>0</v>
      </c>
      <c r="GP361" s="113"/>
      <c r="GQ361" s="113"/>
      <c r="GR361" s="113"/>
      <c r="GS361" s="113"/>
      <c r="GT361" s="113"/>
      <c r="GU361" s="46">
        <v>0</v>
      </c>
      <c r="GV361" s="113"/>
      <c r="GW361" s="113"/>
      <c r="GX361" s="113"/>
      <c r="GY361" s="113"/>
      <c r="GZ361" s="113"/>
      <c r="HA361" s="46">
        <v>0</v>
      </c>
      <c r="HB361" s="113"/>
      <c r="HC361" s="113"/>
      <c r="HD361" s="113"/>
      <c r="HE361" s="113"/>
      <c r="HF361" s="113"/>
      <c r="HG361" s="46">
        <v>0</v>
      </c>
      <c r="HH361" s="113"/>
      <c r="HI361" s="113"/>
      <c r="HJ361" s="113"/>
      <c r="HK361" s="113"/>
      <c r="HL361" s="113"/>
      <c r="HM361" s="121"/>
      <c r="HN361" s="121"/>
      <c r="LM361" t="str">
        <v/>
      </c>
      <c r="LN361" t="str">
        <v/>
      </c>
      <c r="LO361" t="str">
        <v/>
      </c>
    </row>
    <row r="362" spans="30:327">
      <c r="AD362" t="s">
        <v>113</v>
      </c>
      <c r="AE362" t="s">
        <v>23201</v>
      </c>
      <c r="AF362" s="46">
        <v>0</v>
      </c>
      <c r="AG362" s="113"/>
      <c r="AH362" s="113"/>
      <c r="AI362" s="113"/>
      <c r="AJ362" s="113"/>
      <c r="AK362" s="113"/>
      <c r="AL362" s="46">
        <v>0</v>
      </c>
      <c r="AM362" s="113"/>
      <c r="AN362" s="113"/>
      <c r="AO362" s="113"/>
      <c r="AP362" s="113"/>
      <c r="AQ362" s="113"/>
      <c r="AR362" s="46">
        <v>0</v>
      </c>
      <c r="AS362" s="113"/>
      <c r="AT362" s="113"/>
      <c r="AU362" s="113"/>
      <c r="AV362" s="113"/>
      <c r="AW362" s="113"/>
      <c r="AX362" s="46">
        <v>0</v>
      </c>
      <c r="AY362" s="113"/>
      <c r="AZ362" s="113"/>
      <c r="BA362" s="113"/>
      <c r="BB362" s="113"/>
      <c r="BC362" s="113"/>
      <c r="BD362" s="46">
        <v>0</v>
      </c>
      <c r="BE362" s="113"/>
      <c r="BF362" s="113"/>
      <c r="BG362" s="113"/>
      <c r="BH362" s="113"/>
      <c r="BI362" s="113"/>
      <c r="BJ362" s="46">
        <v>0</v>
      </c>
      <c r="BK362" s="113"/>
      <c r="BL362" s="113"/>
      <c r="BM362" s="113"/>
      <c r="BN362" s="113"/>
      <c r="BO362" s="113"/>
      <c r="BP362" s="121"/>
      <c r="BQ362" s="121"/>
      <c r="GA362" t="s">
        <v>113</v>
      </c>
      <c r="GB362" t="s">
        <v>23201</v>
      </c>
      <c r="GC362" s="46">
        <v>0</v>
      </c>
      <c r="GD362" s="113"/>
      <c r="GE362" s="113"/>
      <c r="GF362" s="113"/>
      <c r="GG362" s="113"/>
      <c r="GH362" s="113"/>
      <c r="GI362" s="46">
        <v>0</v>
      </c>
      <c r="GJ362" s="113"/>
      <c r="GK362" s="113"/>
      <c r="GL362" s="113"/>
      <c r="GM362" s="113"/>
      <c r="GN362" s="113"/>
      <c r="GO362" s="46">
        <v>0</v>
      </c>
      <c r="GP362" s="113"/>
      <c r="GQ362" s="113"/>
      <c r="GR362" s="113"/>
      <c r="GS362" s="113"/>
      <c r="GT362" s="113"/>
      <c r="GU362" s="46">
        <v>0</v>
      </c>
      <c r="GV362" s="113"/>
      <c r="GW362" s="113"/>
      <c r="GX362" s="113"/>
      <c r="GY362" s="113"/>
      <c r="GZ362" s="113"/>
      <c r="HA362" s="46">
        <v>0</v>
      </c>
      <c r="HB362" s="113"/>
      <c r="HC362" s="113"/>
      <c r="HD362" s="113"/>
      <c r="HE362" s="113"/>
      <c r="HF362" s="113"/>
      <c r="HG362" s="46">
        <v>0</v>
      </c>
      <c r="HH362" s="113"/>
      <c r="HI362" s="113"/>
      <c r="HJ362" s="113"/>
      <c r="HK362" s="113"/>
      <c r="HL362" s="113"/>
      <c r="HM362" s="121"/>
      <c r="HN362" s="121"/>
      <c r="LM362" t="str">
        <v/>
      </c>
      <c r="LN362" t="str">
        <v/>
      </c>
      <c r="LO362" t="str">
        <v/>
      </c>
    </row>
    <row r="363" spans="30:327">
      <c r="AD363" t="s">
        <v>113</v>
      </c>
      <c r="AE363" t="s">
        <v>23202</v>
      </c>
      <c r="AF363" s="46">
        <v>0</v>
      </c>
      <c r="AG363" s="113"/>
      <c r="AH363" s="113"/>
      <c r="AI363" s="113"/>
      <c r="AJ363" s="113"/>
      <c r="AK363" s="113"/>
      <c r="AL363" s="46">
        <v>0</v>
      </c>
      <c r="AM363" s="113"/>
      <c r="AN363" s="113"/>
      <c r="AO363" s="113"/>
      <c r="AP363" s="113"/>
      <c r="AQ363" s="113"/>
      <c r="AR363" s="46">
        <v>0</v>
      </c>
      <c r="AS363" s="113"/>
      <c r="AT363" s="113"/>
      <c r="AU363" s="113"/>
      <c r="AV363" s="113"/>
      <c r="AW363" s="113"/>
      <c r="AX363" s="46">
        <v>0</v>
      </c>
      <c r="AY363" s="113"/>
      <c r="AZ363" s="113"/>
      <c r="BA363" s="113"/>
      <c r="BB363" s="113"/>
      <c r="BC363" s="113"/>
      <c r="BD363" s="46">
        <v>0</v>
      </c>
      <c r="BE363" s="113"/>
      <c r="BF363" s="113"/>
      <c r="BG363" s="113"/>
      <c r="BH363" s="113"/>
      <c r="BI363" s="113"/>
      <c r="BJ363" s="46">
        <v>0</v>
      </c>
      <c r="BK363" s="113"/>
      <c r="BL363" s="113"/>
      <c r="BM363" s="113"/>
      <c r="BN363" s="113"/>
      <c r="BO363" s="113"/>
      <c r="BP363" s="121"/>
      <c r="BQ363" s="121"/>
      <c r="GA363" t="s">
        <v>113</v>
      </c>
      <c r="GB363" t="s">
        <v>23202</v>
      </c>
      <c r="GC363" s="46">
        <v>0</v>
      </c>
      <c r="GD363" s="113"/>
      <c r="GE363" s="113"/>
      <c r="GF363" s="113"/>
      <c r="GG363" s="113"/>
      <c r="GH363" s="113"/>
      <c r="GI363" s="46">
        <v>0</v>
      </c>
      <c r="GJ363" s="113"/>
      <c r="GK363" s="113"/>
      <c r="GL363" s="113"/>
      <c r="GM363" s="113"/>
      <c r="GN363" s="113"/>
      <c r="GO363" s="46">
        <v>0</v>
      </c>
      <c r="GP363" s="113"/>
      <c r="GQ363" s="113"/>
      <c r="GR363" s="113"/>
      <c r="GS363" s="113"/>
      <c r="GT363" s="113"/>
      <c r="GU363" s="46">
        <v>0</v>
      </c>
      <c r="GV363" s="113"/>
      <c r="GW363" s="113"/>
      <c r="GX363" s="113"/>
      <c r="GY363" s="113"/>
      <c r="GZ363" s="113"/>
      <c r="HA363" s="46">
        <v>0</v>
      </c>
      <c r="HB363" s="113"/>
      <c r="HC363" s="113"/>
      <c r="HD363" s="113"/>
      <c r="HE363" s="113"/>
      <c r="HF363" s="113"/>
      <c r="HG363" s="46">
        <v>0</v>
      </c>
      <c r="HH363" s="113"/>
      <c r="HI363" s="113"/>
      <c r="HJ363" s="113"/>
      <c r="HK363" s="113"/>
      <c r="HL363" s="113"/>
      <c r="HM363" s="121"/>
      <c r="HN363" s="121"/>
      <c r="LM363" t="str">
        <v/>
      </c>
      <c r="LN363" t="str">
        <v/>
      </c>
      <c r="LO363" t="str">
        <v/>
      </c>
    </row>
    <row r="364" spans="30:327">
      <c r="AD364" t="s">
        <v>113</v>
      </c>
      <c r="AE364" t="s">
        <v>23203</v>
      </c>
      <c r="AF364" s="46">
        <v>0</v>
      </c>
      <c r="AG364" s="113"/>
      <c r="AH364" s="113"/>
      <c r="AI364" s="113"/>
      <c r="AJ364" s="113"/>
      <c r="AK364" s="113"/>
      <c r="AL364" s="46">
        <v>0</v>
      </c>
      <c r="AM364" s="113"/>
      <c r="AN364" s="113"/>
      <c r="AO364" s="113"/>
      <c r="AP364" s="113"/>
      <c r="AQ364" s="113"/>
      <c r="AR364" s="46">
        <v>0</v>
      </c>
      <c r="AS364" s="113"/>
      <c r="AT364" s="113"/>
      <c r="AU364" s="113"/>
      <c r="AV364" s="113"/>
      <c r="AW364" s="113"/>
      <c r="AX364" s="46">
        <v>0</v>
      </c>
      <c r="AY364" s="113"/>
      <c r="AZ364" s="113"/>
      <c r="BA364" s="113"/>
      <c r="BB364" s="113"/>
      <c r="BC364" s="113"/>
      <c r="BD364" s="46">
        <v>0</v>
      </c>
      <c r="BE364" s="113"/>
      <c r="BF364" s="113"/>
      <c r="BG364" s="113"/>
      <c r="BH364" s="113"/>
      <c r="BI364" s="113"/>
      <c r="BJ364" s="46">
        <v>0</v>
      </c>
      <c r="BK364" s="113"/>
      <c r="BL364" s="113"/>
      <c r="BM364" s="113"/>
      <c r="BN364" s="113"/>
      <c r="BO364" s="113"/>
      <c r="BP364" s="121"/>
      <c r="BQ364" s="121"/>
      <c r="GA364" t="s">
        <v>113</v>
      </c>
      <c r="GB364" t="s">
        <v>23203</v>
      </c>
      <c r="GC364" s="46">
        <v>0</v>
      </c>
      <c r="GD364" s="113"/>
      <c r="GE364" s="113"/>
      <c r="GF364" s="113"/>
      <c r="GG364" s="113"/>
      <c r="GH364" s="113"/>
      <c r="GI364" s="46">
        <v>0</v>
      </c>
      <c r="GJ364" s="113"/>
      <c r="GK364" s="113"/>
      <c r="GL364" s="113"/>
      <c r="GM364" s="113"/>
      <c r="GN364" s="113"/>
      <c r="GO364" s="46">
        <v>0</v>
      </c>
      <c r="GP364" s="113"/>
      <c r="GQ364" s="113"/>
      <c r="GR364" s="113"/>
      <c r="GS364" s="113"/>
      <c r="GT364" s="113"/>
      <c r="GU364" s="46">
        <v>0</v>
      </c>
      <c r="GV364" s="113"/>
      <c r="GW364" s="113"/>
      <c r="GX364" s="113"/>
      <c r="GY364" s="113"/>
      <c r="GZ364" s="113"/>
      <c r="HA364" s="46">
        <v>0</v>
      </c>
      <c r="HB364" s="113"/>
      <c r="HC364" s="113"/>
      <c r="HD364" s="113"/>
      <c r="HE364" s="113"/>
      <c r="HF364" s="113"/>
      <c r="HG364" s="46">
        <v>0</v>
      </c>
      <c r="HH364" s="113"/>
      <c r="HI364" s="113"/>
      <c r="HJ364" s="113"/>
      <c r="HK364" s="113"/>
      <c r="HL364" s="113"/>
      <c r="HM364" s="121"/>
      <c r="HN364" s="121"/>
      <c r="LM364" t="str">
        <v/>
      </c>
      <c r="LN364" t="str">
        <v/>
      </c>
      <c r="LO364" t="str">
        <v/>
      </c>
    </row>
    <row r="365" spans="30:327">
      <c r="AD365" t="s">
        <v>113</v>
      </c>
      <c r="AE365" t="s">
        <v>23204</v>
      </c>
      <c r="AF365" s="46">
        <v>0</v>
      </c>
      <c r="AG365" s="113"/>
      <c r="AH365" s="113"/>
      <c r="AI365" s="113"/>
      <c r="AJ365" s="113"/>
      <c r="AK365" s="113"/>
      <c r="AL365" s="46">
        <v>0</v>
      </c>
      <c r="AM365" s="113"/>
      <c r="AN365" s="113"/>
      <c r="AO365" s="113"/>
      <c r="AP365" s="113"/>
      <c r="AQ365" s="113"/>
      <c r="AR365" s="46">
        <v>0</v>
      </c>
      <c r="AS365" s="113"/>
      <c r="AT365" s="113"/>
      <c r="AU365" s="113"/>
      <c r="AV365" s="113"/>
      <c r="AW365" s="113"/>
      <c r="AX365" s="46">
        <v>0</v>
      </c>
      <c r="AY365" s="113"/>
      <c r="AZ365" s="113"/>
      <c r="BA365" s="113"/>
      <c r="BB365" s="113"/>
      <c r="BC365" s="113"/>
      <c r="BD365" s="46">
        <v>0</v>
      </c>
      <c r="BE365" s="113"/>
      <c r="BF365" s="113"/>
      <c r="BG365" s="113"/>
      <c r="BH365" s="113"/>
      <c r="BI365" s="113"/>
      <c r="BJ365" s="46">
        <v>0</v>
      </c>
      <c r="BK365" s="113"/>
      <c r="BL365" s="113"/>
      <c r="BM365" s="113"/>
      <c r="BN365" s="113"/>
      <c r="BO365" s="113"/>
      <c r="BP365" s="121"/>
      <c r="BQ365" s="121"/>
      <c r="GA365" t="s">
        <v>113</v>
      </c>
      <c r="GB365" t="s">
        <v>23204</v>
      </c>
      <c r="GC365" s="46">
        <v>0</v>
      </c>
      <c r="GD365" s="113"/>
      <c r="GE365" s="113"/>
      <c r="GF365" s="113"/>
      <c r="GG365" s="113"/>
      <c r="GH365" s="113"/>
      <c r="GI365" s="46">
        <v>0</v>
      </c>
      <c r="GJ365" s="113"/>
      <c r="GK365" s="113"/>
      <c r="GL365" s="113"/>
      <c r="GM365" s="113"/>
      <c r="GN365" s="113"/>
      <c r="GO365" s="46">
        <v>0</v>
      </c>
      <c r="GP365" s="113"/>
      <c r="GQ365" s="113"/>
      <c r="GR365" s="113"/>
      <c r="GS365" s="113"/>
      <c r="GT365" s="113"/>
      <c r="GU365" s="46">
        <v>0</v>
      </c>
      <c r="GV365" s="113"/>
      <c r="GW365" s="113"/>
      <c r="GX365" s="113"/>
      <c r="GY365" s="113"/>
      <c r="GZ365" s="113"/>
      <c r="HA365" s="46">
        <v>0</v>
      </c>
      <c r="HB365" s="113"/>
      <c r="HC365" s="113"/>
      <c r="HD365" s="113"/>
      <c r="HE365" s="113"/>
      <c r="HF365" s="113"/>
      <c r="HG365" s="46">
        <v>0</v>
      </c>
      <c r="HH365" s="113"/>
      <c r="HI365" s="113"/>
      <c r="HJ365" s="113"/>
      <c r="HK365" s="113"/>
      <c r="HL365" s="113"/>
      <c r="HM365" s="121"/>
      <c r="HN365" s="121"/>
      <c r="LM365" t="str">
        <v/>
      </c>
      <c r="LN365" t="str">
        <v/>
      </c>
      <c r="LO365" t="str">
        <v/>
      </c>
    </row>
    <row r="366" spans="30:327">
      <c r="AD366" t="s">
        <v>113</v>
      </c>
      <c r="AE366" t="s">
        <v>23205</v>
      </c>
      <c r="AF366" s="46">
        <v>0</v>
      </c>
      <c r="AG366" s="113"/>
      <c r="AH366" s="113"/>
      <c r="AI366" s="113"/>
      <c r="AJ366" s="113"/>
      <c r="AK366" s="113"/>
      <c r="AL366" s="46">
        <v>0</v>
      </c>
      <c r="AM366" s="113"/>
      <c r="AN366" s="113"/>
      <c r="AO366" s="113"/>
      <c r="AP366" s="113"/>
      <c r="AQ366" s="113"/>
      <c r="AR366" s="46">
        <v>0</v>
      </c>
      <c r="AS366" s="113"/>
      <c r="AT366" s="113"/>
      <c r="AU366" s="113"/>
      <c r="AV366" s="113"/>
      <c r="AW366" s="113"/>
      <c r="AX366" s="46">
        <v>0</v>
      </c>
      <c r="AY366" s="113"/>
      <c r="AZ366" s="113"/>
      <c r="BA366" s="113"/>
      <c r="BB366" s="113"/>
      <c r="BC366" s="113"/>
      <c r="BD366" s="46">
        <v>0</v>
      </c>
      <c r="BE366" s="113"/>
      <c r="BF366" s="113"/>
      <c r="BG366" s="113"/>
      <c r="BH366" s="113"/>
      <c r="BI366" s="113"/>
      <c r="BJ366" s="46">
        <v>0</v>
      </c>
      <c r="BK366" s="113"/>
      <c r="BL366" s="113"/>
      <c r="BM366" s="113"/>
      <c r="BN366" s="113"/>
      <c r="BO366" s="113"/>
      <c r="BP366" s="121"/>
      <c r="BQ366" s="121"/>
      <c r="GA366" t="s">
        <v>113</v>
      </c>
      <c r="GB366" t="s">
        <v>23205</v>
      </c>
      <c r="GC366" s="46">
        <v>0</v>
      </c>
      <c r="GD366" s="113"/>
      <c r="GE366" s="113"/>
      <c r="GF366" s="113"/>
      <c r="GG366" s="113"/>
      <c r="GH366" s="113"/>
      <c r="GI366" s="46">
        <v>0</v>
      </c>
      <c r="GJ366" s="113"/>
      <c r="GK366" s="113"/>
      <c r="GL366" s="113"/>
      <c r="GM366" s="113"/>
      <c r="GN366" s="113"/>
      <c r="GO366" s="46">
        <v>0</v>
      </c>
      <c r="GP366" s="113"/>
      <c r="GQ366" s="113"/>
      <c r="GR366" s="113"/>
      <c r="GS366" s="113"/>
      <c r="GT366" s="113"/>
      <c r="GU366" s="46">
        <v>0</v>
      </c>
      <c r="GV366" s="113"/>
      <c r="GW366" s="113"/>
      <c r="GX366" s="113"/>
      <c r="GY366" s="113"/>
      <c r="GZ366" s="113"/>
      <c r="HA366" s="46">
        <v>0</v>
      </c>
      <c r="HB366" s="113"/>
      <c r="HC366" s="113"/>
      <c r="HD366" s="113"/>
      <c r="HE366" s="113"/>
      <c r="HF366" s="113"/>
      <c r="HG366" s="46">
        <v>0</v>
      </c>
      <c r="HH366" s="113"/>
      <c r="HI366" s="113"/>
      <c r="HJ366" s="113"/>
      <c r="HK366" s="113"/>
      <c r="HL366" s="113"/>
      <c r="HM366" s="121"/>
      <c r="HN366" s="121"/>
      <c r="LM366" t="str">
        <v/>
      </c>
      <c r="LN366" t="str">
        <v/>
      </c>
      <c r="LO366" t="str">
        <v/>
      </c>
    </row>
    <row r="367" spans="30:327">
      <c r="AD367" t="s">
        <v>113</v>
      </c>
      <c r="AE367" t="s">
        <v>23206</v>
      </c>
      <c r="AF367" s="46">
        <v>0</v>
      </c>
      <c r="AG367" s="113"/>
      <c r="AH367" s="113"/>
      <c r="AI367" s="113"/>
      <c r="AJ367" s="113"/>
      <c r="AK367" s="113"/>
      <c r="AL367" s="46">
        <v>0</v>
      </c>
      <c r="AM367" s="113"/>
      <c r="AN367" s="113"/>
      <c r="AO367" s="113"/>
      <c r="AP367" s="113"/>
      <c r="AQ367" s="113"/>
      <c r="AR367" s="46">
        <v>0</v>
      </c>
      <c r="AS367" s="113"/>
      <c r="AT367" s="113"/>
      <c r="AU367" s="113"/>
      <c r="AV367" s="113"/>
      <c r="AW367" s="113"/>
      <c r="AX367" s="46">
        <v>0</v>
      </c>
      <c r="AY367" s="113"/>
      <c r="AZ367" s="113"/>
      <c r="BA367" s="113"/>
      <c r="BB367" s="113"/>
      <c r="BC367" s="113"/>
      <c r="BD367" s="46">
        <v>0</v>
      </c>
      <c r="BE367" s="113"/>
      <c r="BF367" s="113"/>
      <c r="BG367" s="113"/>
      <c r="BH367" s="113"/>
      <c r="BI367" s="113"/>
      <c r="BJ367" s="46">
        <v>0</v>
      </c>
      <c r="BK367" s="113"/>
      <c r="BL367" s="113"/>
      <c r="BM367" s="113"/>
      <c r="BN367" s="113"/>
      <c r="BO367" s="113"/>
      <c r="BP367" s="121"/>
      <c r="BQ367" s="121"/>
      <c r="GA367" t="s">
        <v>113</v>
      </c>
      <c r="GB367" t="s">
        <v>23206</v>
      </c>
      <c r="GC367" s="46">
        <v>0</v>
      </c>
      <c r="GD367" s="113"/>
      <c r="GE367" s="113"/>
      <c r="GF367" s="113"/>
      <c r="GG367" s="113"/>
      <c r="GH367" s="113"/>
      <c r="GI367" s="46">
        <v>0</v>
      </c>
      <c r="GJ367" s="113"/>
      <c r="GK367" s="113"/>
      <c r="GL367" s="113"/>
      <c r="GM367" s="113"/>
      <c r="GN367" s="113"/>
      <c r="GO367" s="46">
        <v>0</v>
      </c>
      <c r="GP367" s="113"/>
      <c r="GQ367" s="113"/>
      <c r="GR367" s="113"/>
      <c r="GS367" s="113"/>
      <c r="GT367" s="113"/>
      <c r="GU367" s="46">
        <v>0</v>
      </c>
      <c r="GV367" s="113"/>
      <c r="GW367" s="113"/>
      <c r="GX367" s="113"/>
      <c r="GY367" s="113"/>
      <c r="GZ367" s="113"/>
      <c r="HA367" s="46">
        <v>0</v>
      </c>
      <c r="HB367" s="113"/>
      <c r="HC367" s="113"/>
      <c r="HD367" s="113"/>
      <c r="HE367" s="113"/>
      <c r="HF367" s="113"/>
      <c r="HG367" s="46">
        <v>0</v>
      </c>
      <c r="HH367" s="113"/>
      <c r="HI367" s="113"/>
      <c r="HJ367" s="113"/>
      <c r="HK367" s="113"/>
      <c r="HL367" s="113"/>
      <c r="HM367" s="121"/>
      <c r="HN367" s="121"/>
      <c r="LM367" t="str">
        <v/>
      </c>
      <c r="LN367" t="str">
        <v/>
      </c>
      <c r="LO367" t="str">
        <v/>
      </c>
    </row>
    <row r="368" spans="30:327">
      <c r="AD368" t="s">
        <v>113</v>
      </c>
      <c r="AE368" t="s">
        <v>23207</v>
      </c>
      <c r="AF368" s="46">
        <v>0</v>
      </c>
      <c r="AG368" s="113"/>
      <c r="AH368" s="113"/>
      <c r="AI368" s="113"/>
      <c r="AJ368" s="113"/>
      <c r="AK368" s="113"/>
      <c r="AL368" s="46">
        <v>0</v>
      </c>
      <c r="AM368" s="113"/>
      <c r="AN368" s="113"/>
      <c r="AO368" s="113"/>
      <c r="AP368" s="113"/>
      <c r="AQ368" s="113"/>
      <c r="AR368" s="46">
        <v>0</v>
      </c>
      <c r="AS368" s="113"/>
      <c r="AT368" s="113"/>
      <c r="AU368" s="113"/>
      <c r="AV368" s="113"/>
      <c r="AW368" s="113"/>
      <c r="AX368" s="46">
        <v>0</v>
      </c>
      <c r="AY368" s="113"/>
      <c r="AZ368" s="113"/>
      <c r="BA368" s="113"/>
      <c r="BB368" s="113"/>
      <c r="BC368" s="113"/>
      <c r="BD368" s="46">
        <v>0</v>
      </c>
      <c r="BE368" s="113"/>
      <c r="BF368" s="113"/>
      <c r="BG368" s="113"/>
      <c r="BH368" s="113"/>
      <c r="BI368" s="113"/>
      <c r="BJ368" s="46">
        <v>0</v>
      </c>
      <c r="BK368" s="113"/>
      <c r="BL368" s="113"/>
      <c r="BM368" s="113"/>
      <c r="BN368" s="113"/>
      <c r="BO368" s="113"/>
      <c r="BP368" s="121"/>
      <c r="BQ368" s="121"/>
      <c r="GA368" t="s">
        <v>113</v>
      </c>
      <c r="GB368" t="s">
        <v>23207</v>
      </c>
      <c r="GC368" s="46">
        <v>0</v>
      </c>
      <c r="GD368" s="113"/>
      <c r="GE368" s="113"/>
      <c r="GF368" s="113"/>
      <c r="GG368" s="113"/>
      <c r="GH368" s="113"/>
      <c r="GI368" s="46">
        <v>0</v>
      </c>
      <c r="GJ368" s="113"/>
      <c r="GK368" s="113"/>
      <c r="GL368" s="113"/>
      <c r="GM368" s="113"/>
      <c r="GN368" s="113"/>
      <c r="GO368" s="46">
        <v>0</v>
      </c>
      <c r="GP368" s="113"/>
      <c r="GQ368" s="113"/>
      <c r="GR368" s="113"/>
      <c r="GS368" s="113"/>
      <c r="GT368" s="113"/>
      <c r="GU368" s="46">
        <v>0</v>
      </c>
      <c r="GV368" s="113"/>
      <c r="GW368" s="113"/>
      <c r="GX368" s="113"/>
      <c r="GY368" s="113"/>
      <c r="GZ368" s="113"/>
      <c r="HA368" s="46">
        <v>0</v>
      </c>
      <c r="HB368" s="113"/>
      <c r="HC368" s="113"/>
      <c r="HD368" s="113"/>
      <c r="HE368" s="113"/>
      <c r="HF368" s="113"/>
      <c r="HG368" s="46">
        <v>0</v>
      </c>
      <c r="HH368" s="113"/>
      <c r="HI368" s="113"/>
      <c r="HJ368" s="113"/>
      <c r="HK368" s="113"/>
      <c r="HL368" s="113"/>
      <c r="HM368" s="121"/>
      <c r="HN368" s="121"/>
      <c r="LM368" t="str">
        <v/>
      </c>
      <c r="LN368" t="str">
        <v/>
      </c>
      <c r="LO368" t="str">
        <v/>
      </c>
    </row>
    <row r="369" spans="30:327">
      <c r="AD369" t="s">
        <v>113</v>
      </c>
      <c r="AE369" t="s">
        <v>23208</v>
      </c>
      <c r="AF369" s="46">
        <v>0</v>
      </c>
      <c r="AG369" s="113"/>
      <c r="AH369" s="113"/>
      <c r="AI369" s="113"/>
      <c r="AJ369" s="113"/>
      <c r="AK369" s="113"/>
      <c r="AL369" s="46">
        <v>0</v>
      </c>
      <c r="AM369" s="113"/>
      <c r="AN369" s="113"/>
      <c r="AO369" s="113"/>
      <c r="AP369" s="113"/>
      <c r="AQ369" s="113"/>
      <c r="AR369" s="46">
        <v>0</v>
      </c>
      <c r="AS369" s="113"/>
      <c r="AT369" s="113"/>
      <c r="AU369" s="113"/>
      <c r="AV369" s="113"/>
      <c r="AW369" s="113"/>
      <c r="AX369" s="46">
        <v>0</v>
      </c>
      <c r="AY369" s="113"/>
      <c r="AZ369" s="113"/>
      <c r="BA369" s="113"/>
      <c r="BB369" s="113"/>
      <c r="BC369" s="113"/>
      <c r="BD369" s="46">
        <v>0</v>
      </c>
      <c r="BE369" s="113"/>
      <c r="BF369" s="113"/>
      <c r="BG369" s="113"/>
      <c r="BH369" s="113"/>
      <c r="BI369" s="113"/>
      <c r="BJ369" s="46">
        <v>0</v>
      </c>
      <c r="BK369" s="113"/>
      <c r="BL369" s="113"/>
      <c r="BM369" s="113"/>
      <c r="BN369" s="113"/>
      <c r="BO369" s="113"/>
      <c r="BP369" s="121"/>
      <c r="BQ369" s="121"/>
      <c r="GA369" t="s">
        <v>113</v>
      </c>
      <c r="GB369" t="s">
        <v>23208</v>
      </c>
      <c r="GC369" s="46">
        <v>0</v>
      </c>
      <c r="GD369" s="113"/>
      <c r="GE369" s="113"/>
      <c r="GF369" s="113"/>
      <c r="GG369" s="113"/>
      <c r="GH369" s="113"/>
      <c r="GI369" s="46">
        <v>0</v>
      </c>
      <c r="GJ369" s="113"/>
      <c r="GK369" s="113"/>
      <c r="GL369" s="113"/>
      <c r="GM369" s="113"/>
      <c r="GN369" s="113"/>
      <c r="GO369" s="46">
        <v>0</v>
      </c>
      <c r="GP369" s="113"/>
      <c r="GQ369" s="113"/>
      <c r="GR369" s="113"/>
      <c r="GS369" s="113"/>
      <c r="GT369" s="113"/>
      <c r="GU369" s="46">
        <v>0</v>
      </c>
      <c r="GV369" s="113"/>
      <c r="GW369" s="113"/>
      <c r="GX369" s="113"/>
      <c r="GY369" s="113"/>
      <c r="GZ369" s="113"/>
      <c r="HA369" s="46">
        <v>0</v>
      </c>
      <c r="HB369" s="113"/>
      <c r="HC369" s="113"/>
      <c r="HD369" s="113"/>
      <c r="HE369" s="113"/>
      <c r="HF369" s="113"/>
      <c r="HG369" s="46">
        <v>0</v>
      </c>
      <c r="HH369" s="113"/>
      <c r="HI369" s="113"/>
      <c r="HJ369" s="113"/>
      <c r="HK369" s="113"/>
      <c r="HL369" s="113"/>
      <c r="HM369" s="121"/>
      <c r="HN369" s="121"/>
      <c r="LM369" t="str">
        <v/>
      </c>
      <c r="LN369" t="str">
        <v/>
      </c>
      <c r="LO369" t="str">
        <v/>
      </c>
    </row>
    <row r="370" spans="30:327">
      <c r="AD370" t="s">
        <v>113</v>
      </c>
      <c r="AE370" t="s">
        <v>23209</v>
      </c>
      <c r="AF370" s="46">
        <v>0</v>
      </c>
      <c r="AG370" s="113"/>
      <c r="AH370" s="113"/>
      <c r="AI370" s="113"/>
      <c r="AJ370" s="113"/>
      <c r="AK370" s="113"/>
      <c r="AL370" s="46">
        <v>0</v>
      </c>
      <c r="AM370" s="113"/>
      <c r="AN370" s="113"/>
      <c r="AO370" s="113"/>
      <c r="AP370" s="113"/>
      <c r="AQ370" s="113"/>
      <c r="AR370" s="46">
        <v>0</v>
      </c>
      <c r="AS370" s="113"/>
      <c r="AT370" s="113"/>
      <c r="AU370" s="113"/>
      <c r="AV370" s="113"/>
      <c r="AW370" s="113"/>
      <c r="AX370" s="46">
        <v>0</v>
      </c>
      <c r="AY370" s="113"/>
      <c r="AZ370" s="113"/>
      <c r="BA370" s="113"/>
      <c r="BB370" s="113"/>
      <c r="BC370" s="113"/>
      <c r="BD370" s="46">
        <v>0</v>
      </c>
      <c r="BE370" s="113"/>
      <c r="BF370" s="113"/>
      <c r="BG370" s="113"/>
      <c r="BH370" s="113"/>
      <c r="BI370" s="113"/>
      <c r="BJ370" s="46">
        <v>0</v>
      </c>
      <c r="BK370" s="113"/>
      <c r="BL370" s="113"/>
      <c r="BM370" s="113"/>
      <c r="BN370" s="113"/>
      <c r="BO370" s="113"/>
      <c r="BP370" s="121"/>
      <c r="BQ370" s="121"/>
      <c r="GA370" t="s">
        <v>113</v>
      </c>
      <c r="GB370" t="s">
        <v>23209</v>
      </c>
      <c r="GC370" s="46">
        <v>0</v>
      </c>
      <c r="GD370" s="113"/>
      <c r="GE370" s="113"/>
      <c r="GF370" s="113"/>
      <c r="GG370" s="113"/>
      <c r="GH370" s="113"/>
      <c r="GI370" s="46">
        <v>0</v>
      </c>
      <c r="GJ370" s="113"/>
      <c r="GK370" s="113"/>
      <c r="GL370" s="113"/>
      <c r="GM370" s="113"/>
      <c r="GN370" s="113"/>
      <c r="GO370" s="46">
        <v>0</v>
      </c>
      <c r="GP370" s="113"/>
      <c r="GQ370" s="113"/>
      <c r="GR370" s="113"/>
      <c r="GS370" s="113"/>
      <c r="GT370" s="113"/>
      <c r="GU370" s="46">
        <v>0</v>
      </c>
      <c r="GV370" s="113"/>
      <c r="GW370" s="113"/>
      <c r="GX370" s="113"/>
      <c r="GY370" s="113"/>
      <c r="GZ370" s="113"/>
      <c r="HA370" s="46">
        <v>0</v>
      </c>
      <c r="HB370" s="113"/>
      <c r="HC370" s="113"/>
      <c r="HD370" s="113"/>
      <c r="HE370" s="113"/>
      <c r="HF370" s="113"/>
      <c r="HG370" s="46">
        <v>0</v>
      </c>
      <c r="HH370" s="113"/>
      <c r="HI370" s="113"/>
      <c r="HJ370" s="113"/>
      <c r="HK370" s="113"/>
      <c r="HL370" s="113"/>
      <c r="HM370" s="121"/>
      <c r="HN370" s="121"/>
      <c r="LM370" t="str">
        <v/>
      </c>
      <c r="LN370" t="str">
        <v/>
      </c>
      <c r="LO370" t="str">
        <v/>
      </c>
    </row>
    <row r="371" spans="30:327">
      <c r="AD371" t="s">
        <v>113</v>
      </c>
      <c r="AE371" t="s">
        <v>23210</v>
      </c>
      <c r="AF371" s="46">
        <v>0</v>
      </c>
      <c r="AG371" s="113"/>
      <c r="AH371" s="113"/>
      <c r="AI371" s="113"/>
      <c r="AJ371" s="113"/>
      <c r="AK371" s="113"/>
      <c r="AL371" s="46">
        <v>0</v>
      </c>
      <c r="AM371" s="113"/>
      <c r="AN371" s="113"/>
      <c r="AO371" s="113"/>
      <c r="AP371" s="113"/>
      <c r="AQ371" s="113"/>
      <c r="AR371" s="46">
        <v>0</v>
      </c>
      <c r="AS371" s="113"/>
      <c r="AT371" s="113"/>
      <c r="AU371" s="113"/>
      <c r="AV371" s="113"/>
      <c r="AW371" s="113"/>
      <c r="AX371" s="46">
        <v>0</v>
      </c>
      <c r="AY371" s="113"/>
      <c r="AZ371" s="113"/>
      <c r="BA371" s="113"/>
      <c r="BB371" s="113"/>
      <c r="BC371" s="113"/>
      <c r="BD371" s="46">
        <v>0</v>
      </c>
      <c r="BE371" s="113"/>
      <c r="BF371" s="113"/>
      <c r="BG371" s="113"/>
      <c r="BH371" s="113"/>
      <c r="BI371" s="113"/>
      <c r="BJ371" s="46">
        <v>0</v>
      </c>
      <c r="BK371" s="113"/>
      <c r="BL371" s="113"/>
      <c r="BM371" s="113"/>
      <c r="BN371" s="113"/>
      <c r="BO371" s="113"/>
      <c r="BP371" s="121"/>
      <c r="BQ371" s="121"/>
      <c r="GA371" t="s">
        <v>113</v>
      </c>
      <c r="GB371" t="s">
        <v>23210</v>
      </c>
      <c r="GC371" s="46">
        <v>0</v>
      </c>
      <c r="GD371" s="113"/>
      <c r="GE371" s="113"/>
      <c r="GF371" s="113"/>
      <c r="GG371" s="113"/>
      <c r="GH371" s="113"/>
      <c r="GI371" s="46">
        <v>0</v>
      </c>
      <c r="GJ371" s="113"/>
      <c r="GK371" s="113"/>
      <c r="GL371" s="113"/>
      <c r="GM371" s="113"/>
      <c r="GN371" s="113"/>
      <c r="GO371" s="46">
        <v>0</v>
      </c>
      <c r="GP371" s="113"/>
      <c r="GQ371" s="113"/>
      <c r="GR371" s="113"/>
      <c r="GS371" s="113"/>
      <c r="GT371" s="113"/>
      <c r="GU371" s="46">
        <v>0</v>
      </c>
      <c r="GV371" s="113"/>
      <c r="GW371" s="113"/>
      <c r="GX371" s="113"/>
      <c r="GY371" s="113"/>
      <c r="GZ371" s="113"/>
      <c r="HA371" s="46">
        <v>0</v>
      </c>
      <c r="HB371" s="113"/>
      <c r="HC371" s="113"/>
      <c r="HD371" s="113"/>
      <c r="HE371" s="113"/>
      <c r="HF371" s="113"/>
      <c r="HG371" s="46">
        <v>0</v>
      </c>
      <c r="HH371" s="113"/>
      <c r="HI371" s="113"/>
      <c r="HJ371" s="113"/>
      <c r="HK371" s="113"/>
      <c r="HL371" s="113"/>
      <c r="HM371" s="121"/>
      <c r="HN371" s="121"/>
      <c r="LM371" t="str">
        <v/>
      </c>
      <c r="LN371" t="str">
        <v/>
      </c>
      <c r="LO371" t="str">
        <v/>
      </c>
    </row>
    <row r="372" spans="30:327">
      <c r="AD372" t="s">
        <v>113</v>
      </c>
      <c r="AE372" t="s">
        <v>23211</v>
      </c>
      <c r="AF372" s="46">
        <v>0</v>
      </c>
      <c r="AG372" s="113"/>
      <c r="AH372" s="113"/>
      <c r="AI372" s="113"/>
      <c r="AJ372" s="113"/>
      <c r="AK372" s="113"/>
      <c r="AL372" s="46">
        <v>0</v>
      </c>
      <c r="AM372" s="113"/>
      <c r="AN372" s="113"/>
      <c r="AO372" s="113"/>
      <c r="AP372" s="113"/>
      <c r="AQ372" s="113"/>
      <c r="AR372" s="46">
        <v>0</v>
      </c>
      <c r="AS372" s="113"/>
      <c r="AT372" s="113"/>
      <c r="AU372" s="113"/>
      <c r="AV372" s="113"/>
      <c r="AW372" s="113"/>
      <c r="AX372" s="46">
        <v>0</v>
      </c>
      <c r="AY372" s="113"/>
      <c r="AZ372" s="113"/>
      <c r="BA372" s="113"/>
      <c r="BB372" s="113"/>
      <c r="BC372" s="113"/>
      <c r="BD372" s="46">
        <v>0</v>
      </c>
      <c r="BE372" s="113"/>
      <c r="BF372" s="113"/>
      <c r="BG372" s="113"/>
      <c r="BH372" s="113"/>
      <c r="BI372" s="113"/>
      <c r="BJ372" s="46">
        <v>0</v>
      </c>
      <c r="BK372" s="113"/>
      <c r="BL372" s="113"/>
      <c r="BM372" s="113"/>
      <c r="BN372" s="113"/>
      <c r="BO372" s="113"/>
      <c r="BP372" s="121"/>
      <c r="BQ372" s="121"/>
      <c r="GA372" t="s">
        <v>113</v>
      </c>
      <c r="GB372" t="s">
        <v>23211</v>
      </c>
      <c r="GC372" s="46">
        <v>0</v>
      </c>
      <c r="GD372" s="113"/>
      <c r="GE372" s="113"/>
      <c r="GF372" s="113"/>
      <c r="GG372" s="113"/>
      <c r="GH372" s="113"/>
      <c r="GI372" s="46">
        <v>0</v>
      </c>
      <c r="GJ372" s="113"/>
      <c r="GK372" s="113"/>
      <c r="GL372" s="113"/>
      <c r="GM372" s="113"/>
      <c r="GN372" s="113"/>
      <c r="GO372" s="46">
        <v>0</v>
      </c>
      <c r="GP372" s="113"/>
      <c r="GQ372" s="113"/>
      <c r="GR372" s="113"/>
      <c r="GS372" s="113"/>
      <c r="GT372" s="113"/>
      <c r="GU372" s="46">
        <v>0</v>
      </c>
      <c r="GV372" s="113"/>
      <c r="GW372" s="113"/>
      <c r="GX372" s="113"/>
      <c r="GY372" s="113"/>
      <c r="GZ372" s="113"/>
      <c r="HA372" s="46">
        <v>0</v>
      </c>
      <c r="HB372" s="113"/>
      <c r="HC372" s="113"/>
      <c r="HD372" s="113"/>
      <c r="HE372" s="113"/>
      <c r="HF372" s="113"/>
      <c r="HG372" s="46">
        <v>0</v>
      </c>
      <c r="HH372" s="113"/>
      <c r="HI372" s="113"/>
      <c r="HJ372" s="113"/>
      <c r="HK372" s="113"/>
      <c r="HL372" s="113"/>
      <c r="HM372" s="121"/>
      <c r="HN372" s="121"/>
      <c r="LM372" t="str">
        <v/>
      </c>
      <c r="LN372" t="str">
        <v/>
      </c>
      <c r="LO372" t="str">
        <v/>
      </c>
    </row>
    <row r="373" spans="30:327">
      <c r="AD373" t="s">
        <v>113</v>
      </c>
      <c r="AE373" t="s">
        <v>23212</v>
      </c>
      <c r="AF373" s="46">
        <v>0</v>
      </c>
      <c r="AG373" s="113"/>
      <c r="AH373" s="113"/>
      <c r="AI373" s="113"/>
      <c r="AJ373" s="113"/>
      <c r="AK373" s="113"/>
      <c r="AL373" s="46">
        <v>0</v>
      </c>
      <c r="AM373" s="113"/>
      <c r="AN373" s="113"/>
      <c r="AO373" s="113"/>
      <c r="AP373" s="113"/>
      <c r="AQ373" s="113"/>
      <c r="AR373" s="46">
        <v>0</v>
      </c>
      <c r="AS373" s="113"/>
      <c r="AT373" s="113"/>
      <c r="AU373" s="113"/>
      <c r="AV373" s="113"/>
      <c r="AW373" s="113"/>
      <c r="AX373" s="46">
        <v>0</v>
      </c>
      <c r="AY373" s="113"/>
      <c r="AZ373" s="113"/>
      <c r="BA373" s="113"/>
      <c r="BB373" s="113"/>
      <c r="BC373" s="113"/>
      <c r="BD373" s="46">
        <v>0</v>
      </c>
      <c r="BE373" s="113"/>
      <c r="BF373" s="113"/>
      <c r="BG373" s="113"/>
      <c r="BH373" s="113"/>
      <c r="BI373" s="113"/>
      <c r="BJ373" s="46">
        <v>0</v>
      </c>
      <c r="BK373" s="113"/>
      <c r="BL373" s="113"/>
      <c r="BM373" s="113"/>
      <c r="BN373" s="113"/>
      <c r="BO373" s="113"/>
      <c r="BP373" s="121"/>
      <c r="BQ373" s="121"/>
      <c r="GA373" t="s">
        <v>113</v>
      </c>
      <c r="GB373" t="s">
        <v>23212</v>
      </c>
      <c r="GC373" s="46">
        <v>0</v>
      </c>
      <c r="GD373" s="113"/>
      <c r="GE373" s="113"/>
      <c r="GF373" s="113"/>
      <c r="GG373" s="113"/>
      <c r="GH373" s="113"/>
      <c r="GI373" s="46">
        <v>0</v>
      </c>
      <c r="GJ373" s="113"/>
      <c r="GK373" s="113"/>
      <c r="GL373" s="113"/>
      <c r="GM373" s="113"/>
      <c r="GN373" s="113"/>
      <c r="GO373" s="46">
        <v>0</v>
      </c>
      <c r="GP373" s="113"/>
      <c r="GQ373" s="113"/>
      <c r="GR373" s="113"/>
      <c r="GS373" s="113"/>
      <c r="GT373" s="113"/>
      <c r="GU373" s="46">
        <v>0</v>
      </c>
      <c r="GV373" s="113"/>
      <c r="GW373" s="113"/>
      <c r="GX373" s="113"/>
      <c r="GY373" s="113"/>
      <c r="GZ373" s="113"/>
      <c r="HA373" s="46">
        <v>0</v>
      </c>
      <c r="HB373" s="113"/>
      <c r="HC373" s="113"/>
      <c r="HD373" s="113"/>
      <c r="HE373" s="113"/>
      <c r="HF373" s="113"/>
      <c r="HG373" s="46">
        <v>0</v>
      </c>
      <c r="HH373" s="113"/>
      <c r="HI373" s="113"/>
      <c r="HJ373" s="113"/>
      <c r="HK373" s="113"/>
      <c r="HL373" s="113"/>
      <c r="HM373" s="121"/>
      <c r="HN373" s="121"/>
      <c r="LM373" t="str">
        <v/>
      </c>
      <c r="LN373" t="str">
        <v/>
      </c>
      <c r="LO373" t="str">
        <v/>
      </c>
    </row>
    <row r="374" spans="30:327">
      <c r="AD374" t="s">
        <v>113</v>
      </c>
      <c r="AE374" t="s">
        <v>23213</v>
      </c>
      <c r="AF374" s="46">
        <v>0</v>
      </c>
      <c r="AG374" s="113"/>
      <c r="AH374" s="113"/>
      <c r="AI374" s="113"/>
      <c r="AJ374" s="113"/>
      <c r="AK374" s="113"/>
      <c r="AL374" s="46">
        <v>0</v>
      </c>
      <c r="AM374" s="113"/>
      <c r="AN374" s="113"/>
      <c r="AO374" s="113"/>
      <c r="AP374" s="113"/>
      <c r="AQ374" s="113"/>
      <c r="AR374" s="46">
        <v>0</v>
      </c>
      <c r="AS374" s="113"/>
      <c r="AT374" s="113"/>
      <c r="AU374" s="113"/>
      <c r="AV374" s="113"/>
      <c r="AW374" s="113"/>
      <c r="AX374" s="46">
        <v>0</v>
      </c>
      <c r="AY374" s="113"/>
      <c r="AZ374" s="113"/>
      <c r="BA374" s="113"/>
      <c r="BB374" s="113"/>
      <c r="BC374" s="113"/>
      <c r="BD374" s="46">
        <v>0</v>
      </c>
      <c r="BE374" s="113"/>
      <c r="BF374" s="113"/>
      <c r="BG374" s="113"/>
      <c r="BH374" s="113"/>
      <c r="BI374" s="113"/>
      <c r="BJ374" s="46">
        <v>0</v>
      </c>
      <c r="BK374" s="113"/>
      <c r="BL374" s="113"/>
      <c r="BM374" s="113"/>
      <c r="BN374" s="113"/>
      <c r="BO374" s="113"/>
      <c r="BP374" s="121"/>
      <c r="BQ374" s="121"/>
      <c r="GA374" t="s">
        <v>113</v>
      </c>
      <c r="GB374" t="s">
        <v>23213</v>
      </c>
      <c r="GC374" s="46">
        <v>0</v>
      </c>
      <c r="GD374" s="113"/>
      <c r="GE374" s="113"/>
      <c r="GF374" s="113"/>
      <c r="GG374" s="113"/>
      <c r="GH374" s="113"/>
      <c r="GI374" s="46">
        <v>0</v>
      </c>
      <c r="GJ374" s="113"/>
      <c r="GK374" s="113"/>
      <c r="GL374" s="113"/>
      <c r="GM374" s="113"/>
      <c r="GN374" s="113"/>
      <c r="GO374" s="46">
        <v>0</v>
      </c>
      <c r="GP374" s="113"/>
      <c r="GQ374" s="113"/>
      <c r="GR374" s="113"/>
      <c r="GS374" s="113"/>
      <c r="GT374" s="113"/>
      <c r="GU374" s="46">
        <v>0</v>
      </c>
      <c r="GV374" s="113"/>
      <c r="GW374" s="113"/>
      <c r="GX374" s="113"/>
      <c r="GY374" s="113"/>
      <c r="GZ374" s="113"/>
      <c r="HA374" s="46">
        <v>0</v>
      </c>
      <c r="HB374" s="113"/>
      <c r="HC374" s="113"/>
      <c r="HD374" s="113"/>
      <c r="HE374" s="113"/>
      <c r="HF374" s="113"/>
      <c r="HG374" s="46">
        <v>0</v>
      </c>
      <c r="HH374" s="113"/>
      <c r="HI374" s="113"/>
      <c r="HJ374" s="113"/>
      <c r="HK374" s="113"/>
      <c r="HL374" s="113"/>
      <c r="HM374" s="121"/>
      <c r="HN374" s="121"/>
      <c r="LM374" t="str">
        <v/>
      </c>
      <c r="LN374" t="str">
        <v/>
      </c>
      <c r="LO374" t="str">
        <v/>
      </c>
    </row>
    <row r="375" spans="30:327">
      <c r="AD375" t="s">
        <v>113</v>
      </c>
      <c r="AE375" t="s">
        <v>23214</v>
      </c>
      <c r="AF375" s="46">
        <v>0</v>
      </c>
      <c r="AG375" s="113"/>
      <c r="AH375" s="113"/>
      <c r="AI375" s="113"/>
      <c r="AJ375" s="113"/>
      <c r="AK375" s="113"/>
      <c r="AL375" s="46">
        <v>0</v>
      </c>
      <c r="AM375" s="113"/>
      <c r="AN375" s="113"/>
      <c r="AO375" s="113"/>
      <c r="AP375" s="113"/>
      <c r="AQ375" s="113"/>
      <c r="AR375" s="46">
        <v>0</v>
      </c>
      <c r="AS375" s="113"/>
      <c r="AT375" s="113"/>
      <c r="AU375" s="113"/>
      <c r="AV375" s="113"/>
      <c r="AW375" s="113"/>
      <c r="AX375" s="46">
        <v>0</v>
      </c>
      <c r="AY375" s="113"/>
      <c r="AZ375" s="113"/>
      <c r="BA375" s="113"/>
      <c r="BB375" s="113"/>
      <c r="BC375" s="113"/>
      <c r="BD375" s="46">
        <v>0</v>
      </c>
      <c r="BE375" s="113"/>
      <c r="BF375" s="113"/>
      <c r="BG375" s="113"/>
      <c r="BH375" s="113"/>
      <c r="BI375" s="113"/>
      <c r="BJ375" s="46">
        <v>0</v>
      </c>
      <c r="BK375" s="113"/>
      <c r="BL375" s="113"/>
      <c r="BM375" s="113"/>
      <c r="BN375" s="113"/>
      <c r="BO375" s="113"/>
      <c r="BP375" s="121"/>
      <c r="BQ375" s="121"/>
      <c r="GA375" t="s">
        <v>113</v>
      </c>
      <c r="GB375" t="s">
        <v>23214</v>
      </c>
      <c r="GC375" s="46">
        <v>0</v>
      </c>
      <c r="GD375" s="113"/>
      <c r="GE375" s="113"/>
      <c r="GF375" s="113"/>
      <c r="GG375" s="113"/>
      <c r="GH375" s="113"/>
      <c r="GI375" s="46">
        <v>0</v>
      </c>
      <c r="GJ375" s="113"/>
      <c r="GK375" s="113"/>
      <c r="GL375" s="113"/>
      <c r="GM375" s="113"/>
      <c r="GN375" s="113"/>
      <c r="GO375" s="46">
        <v>0</v>
      </c>
      <c r="GP375" s="113"/>
      <c r="GQ375" s="113"/>
      <c r="GR375" s="113"/>
      <c r="GS375" s="113"/>
      <c r="GT375" s="113"/>
      <c r="GU375" s="46">
        <v>0</v>
      </c>
      <c r="GV375" s="113"/>
      <c r="GW375" s="113"/>
      <c r="GX375" s="113"/>
      <c r="GY375" s="113"/>
      <c r="GZ375" s="113"/>
      <c r="HA375" s="46">
        <v>0</v>
      </c>
      <c r="HB375" s="113"/>
      <c r="HC375" s="113"/>
      <c r="HD375" s="113"/>
      <c r="HE375" s="113"/>
      <c r="HF375" s="113"/>
      <c r="HG375" s="46">
        <v>0</v>
      </c>
      <c r="HH375" s="113"/>
      <c r="HI375" s="113"/>
      <c r="HJ375" s="113"/>
      <c r="HK375" s="113"/>
      <c r="HL375" s="113"/>
      <c r="HM375" s="121"/>
      <c r="HN375" s="121"/>
      <c r="LM375" t="str">
        <v/>
      </c>
      <c r="LN375" t="str">
        <v/>
      </c>
      <c r="LO375" t="str">
        <v/>
      </c>
    </row>
    <row r="376" spans="30:327">
      <c r="AD376" t="s">
        <v>113</v>
      </c>
      <c r="AE376" t="s">
        <v>23215</v>
      </c>
      <c r="AF376" s="46">
        <v>0</v>
      </c>
      <c r="AG376" s="113"/>
      <c r="AH376" s="113"/>
      <c r="AI376" s="113"/>
      <c r="AJ376" s="113"/>
      <c r="AK376" s="113"/>
      <c r="AL376" s="46">
        <v>0</v>
      </c>
      <c r="AM376" s="113"/>
      <c r="AN376" s="113"/>
      <c r="AO376" s="113"/>
      <c r="AP376" s="113"/>
      <c r="AQ376" s="113"/>
      <c r="AR376" s="46">
        <v>0</v>
      </c>
      <c r="AS376" s="113"/>
      <c r="AT376" s="113"/>
      <c r="AU376" s="113"/>
      <c r="AV376" s="113"/>
      <c r="AW376" s="113"/>
      <c r="AX376" s="46">
        <v>0</v>
      </c>
      <c r="AY376" s="113"/>
      <c r="AZ376" s="113"/>
      <c r="BA376" s="113"/>
      <c r="BB376" s="113"/>
      <c r="BC376" s="113"/>
      <c r="BD376" s="46">
        <v>0</v>
      </c>
      <c r="BE376" s="113"/>
      <c r="BF376" s="113"/>
      <c r="BG376" s="113"/>
      <c r="BH376" s="113"/>
      <c r="BI376" s="113"/>
      <c r="BJ376" s="46">
        <v>0</v>
      </c>
      <c r="BK376" s="113"/>
      <c r="BL376" s="113"/>
      <c r="BM376" s="113"/>
      <c r="BN376" s="113"/>
      <c r="BO376" s="113"/>
      <c r="BP376" s="121"/>
      <c r="BQ376" s="121"/>
      <c r="GA376" t="s">
        <v>113</v>
      </c>
      <c r="GB376" t="s">
        <v>23215</v>
      </c>
      <c r="GC376" s="46">
        <v>0</v>
      </c>
      <c r="GD376" s="113"/>
      <c r="GE376" s="113"/>
      <c r="GF376" s="113"/>
      <c r="GG376" s="113"/>
      <c r="GH376" s="113"/>
      <c r="GI376" s="46">
        <v>0</v>
      </c>
      <c r="GJ376" s="113"/>
      <c r="GK376" s="113"/>
      <c r="GL376" s="113"/>
      <c r="GM376" s="113"/>
      <c r="GN376" s="113"/>
      <c r="GO376" s="46">
        <v>0</v>
      </c>
      <c r="GP376" s="113"/>
      <c r="GQ376" s="113"/>
      <c r="GR376" s="113"/>
      <c r="GS376" s="113"/>
      <c r="GT376" s="113"/>
      <c r="GU376" s="46">
        <v>0</v>
      </c>
      <c r="GV376" s="113"/>
      <c r="GW376" s="113"/>
      <c r="GX376" s="113"/>
      <c r="GY376" s="113"/>
      <c r="GZ376" s="113"/>
      <c r="HA376" s="46">
        <v>0</v>
      </c>
      <c r="HB376" s="113"/>
      <c r="HC376" s="113"/>
      <c r="HD376" s="113"/>
      <c r="HE376" s="113"/>
      <c r="HF376" s="113"/>
      <c r="HG376" s="46">
        <v>0</v>
      </c>
      <c r="HH376" s="113"/>
      <c r="HI376" s="113"/>
      <c r="HJ376" s="113"/>
      <c r="HK376" s="113"/>
      <c r="HL376" s="113"/>
      <c r="HM376" s="121"/>
      <c r="HN376" s="121"/>
      <c r="LM376" t="str">
        <v/>
      </c>
      <c r="LN376" t="str">
        <v/>
      </c>
      <c r="LO376" t="str">
        <v/>
      </c>
    </row>
    <row r="377" spans="30:327">
      <c r="AD377" t="s">
        <v>113</v>
      </c>
      <c r="AE377" t="s">
        <v>23216</v>
      </c>
      <c r="AF377" s="46">
        <v>0</v>
      </c>
      <c r="AG377" s="113"/>
      <c r="AH377" s="113"/>
      <c r="AI377" s="113"/>
      <c r="AJ377" s="113"/>
      <c r="AK377" s="113"/>
      <c r="AL377" s="46">
        <v>0</v>
      </c>
      <c r="AM377" s="113"/>
      <c r="AN377" s="113"/>
      <c r="AO377" s="113"/>
      <c r="AP377" s="113"/>
      <c r="AQ377" s="113"/>
      <c r="AR377" s="46">
        <v>0</v>
      </c>
      <c r="AS377" s="113"/>
      <c r="AT377" s="113"/>
      <c r="AU377" s="113"/>
      <c r="AV377" s="113"/>
      <c r="AW377" s="113"/>
      <c r="AX377" s="46">
        <v>0</v>
      </c>
      <c r="AY377" s="113"/>
      <c r="AZ377" s="113"/>
      <c r="BA377" s="113"/>
      <c r="BB377" s="113"/>
      <c r="BC377" s="113"/>
      <c r="BD377" s="46">
        <v>0</v>
      </c>
      <c r="BE377" s="113"/>
      <c r="BF377" s="113"/>
      <c r="BG377" s="113"/>
      <c r="BH377" s="113"/>
      <c r="BI377" s="113"/>
      <c r="BJ377" s="46">
        <v>0</v>
      </c>
      <c r="BK377" s="113"/>
      <c r="BL377" s="113"/>
      <c r="BM377" s="113"/>
      <c r="BN377" s="113"/>
      <c r="BO377" s="113"/>
      <c r="BP377" s="121"/>
      <c r="BQ377" s="121"/>
      <c r="GA377" t="s">
        <v>113</v>
      </c>
      <c r="GB377" t="s">
        <v>23216</v>
      </c>
      <c r="GC377" s="46">
        <v>0</v>
      </c>
      <c r="GD377" s="113"/>
      <c r="GE377" s="113"/>
      <c r="GF377" s="113"/>
      <c r="GG377" s="113"/>
      <c r="GH377" s="113"/>
      <c r="GI377" s="46">
        <v>0</v>
      </c>
      <c r="GJ377" s="113"/>
      <c r="GK377" s="113"/>
      <c r="GL377" s="113"/>
      <c r="GM377" s="113"/>
      <c r="GN377" s="113"/>
      <c r="GO377" s="46">
        <v>0</v>
      </c>
      <c r="GP377" s="113"/>
      <c r="GQ377" s="113"/>
      <c r="GR377" s="113"/>
      <c r="GS377" s="113"/>
      <c r="GT377" s="113"/>
      <c r="GU377" s="46">
        <v>0</v>
      </c>
      <c r="GV377" s="113"/>
      <c r="GW377" s="113"/>
      <c r="GX377" s="113"/>
      <c r="GY377" s="113"/>
      <c r="GZ377" s="113"/>
      <c r="HA377" s="46">
        <v>0</v>
      </c>
      <c r="HB377" s="113"/>
      <c r="HC377" s="113"/>
      <c r="HD377" s="113"/>
      <c r="HE377" s="113"/>
      <c r="HF377" s="113"/>
      <c r="HG377" s="46">
        <v>0</v>
      </c>
      <c r="HH377" s="113"/>
      <c r="HI377" s="113"/>
      <c r="HJ377" s="113"/>
      <c r="HK377" s="113"/>
      <c r="HL377" s="113"/>
      <c r="HM377" s="121"/>
      <c r="HN377" s="121"/>
      <c r="LM377" t="str">
        <v/>
      </c>
      <c r="LN377" t="str">
        <v/>
      </c>
      <c r="LO377" t="str">
        <v/>
      </c>
    </row>
    <row r="378" spans="30:327">
      <c r="AD378" t="s">
        <v>112</v>
      </c>
      <c r="AE378" t="s">
        <v>22893</v>
      </c>
      <c r="AF378" s="46">
        <v>0</v>
      </c>
      <c r="AG378" s="113"/>
      <c r="AH378" s="113"/>
      <c r="AI378" s="113"/>
      <c r="AJ378" s="113"/>
      <c r="AK378" s="113"/>
      <c r="AL378" s="46">
        <v>0</v>
      </c>
      <c r="AM378" s="113"/>
      <c r="AN378" s="113"/>
      <c r="AO378" s="113"/>
      <c r="AP378" s="113"/>
      <c r="AQ378" s="113"/>
      <c r="AR378" s="46">
        <v>0</v>
      </c>
      <c r="AS378" s="113"/>
      <c r="AT378" s="113"/>
      <c r="AU378" s="113"/>
      <c r="AV378" s="113"/>
      <c r="AW378" s="113"/>
      <c r="AX378" s="46">
        <v>0</v>
      </c>
      <c r="AY378" s="113"/>
      <c r="AZ378" s="113"/>
      <c r="BA378" s="113"/>
      <c r="BB378" s="113"/>
      <c r="BC378" s="113"/>
      <c r="BD378" s="46">
        <v>0</v>
      </c>
      <c r="BE378" s="113"/>
      <c r="BF378" s="113"/>
      <c r="BG378" s="113"/>
      <c r="BH378" s="113"/>
      <c r="BI378" s="113"/>
      <c r="BJ378" s="46">
        <v>0</v>
      </c>
      <c r="BK378" s="113"/>
      <c r="BL378" s="113"/>
      <c r="BM378" s="113"/>
      <c r="BN378" s="113"/>
      <c r="BO378" s="113"/>
      <c r="BP378" s="121"/>
      <c r="BQ378" s="121"/>
      <c r="GA378" t="s">
        <v>112</v>
      </c>
      <c r="GB378" t="s">
        <v>22893</v>
      </c>
      <c r="GC378" s="46">
        <v>0</v>
      </c>
      <c r="GD378" s="113"/>
      <c r="GE378" s="113"/>
      <c r="GF378" s="113"/>
      <c r="GG378" s="113"/>
      <c r="GH378" s="113"/>
      <c r="GI378" s="46">
        <v>0</v>
      </c>
      <c r="GJ378" s="113"/>
      <c r="GK378" s="113"/>
      <c r="GL378" s="113"/>
      <c r="GM378" s="113"/>
      <c r="GN378" s="113"/>
      <c r="GO378" s="46">
        <v>0</v>
      </c>
      <c r="GP378" s="113"/>
      <c r="GQ378" s="113"/>
      <c r="GR378" s="113"/>
      <c r="GS378" s="113"/>
      <c r="GT378" s="113"/>
      <c r="GU378" s="46">
        <v>0</v>
      </c>
      <c r="GV378" s="113"/>
      <c r="GW378" s="113"/>
      <c r="GX378" s="113"/>
      <c r="GY378" s="113"/>
      <c r="GZ378" s="113"/>
      <c r="HA378" s="46">
        <v>0</v>
      </c>
      <c r="HB378" s="113"/>
      <c r="HC378" s="113"/>
      <c r="HD378" s="113"/>
      <c r="HE378" s="113"/>
      <c r="HF378" s="113"/>
      <c r="HG378" s="46">
        <v>0</v>
      </c>
      <c r="HH378" s="113"/>
      <c r="HI378" s="113"/>
      <c r="HJ378" s="113"/>
      <c r="HK378" s="113"/>
      <c r="HL378" s="113"/>
      <c r="HM378" s="121"/>
      <c r="HN378" s="121"/>
      <c r="LM378" t="str">
        <v/>
      </c>
      <c r="LN378" t="str">
        <v/>
      </c>
      <c r="LO378" t="str">
        <v/>
      </c>
    </row>
    <row r="379" spans="30:327">
      <c r="AD379" t="s">
        <v>112</v>
      </c>
      <c r="AE379" t="s">
        <v>22894</v>
      </c>
      <c r="AF379" s="46">
        <v>0</v>
      </c>
      <c r="AG379" s="113"/>
      <c r="AH379" s="113"/>
      <c r="AI379" s="113"/>
      <c r="AJ379" s="113"/>
      <c r="AK379" s="113"/>
      <c r="AL379" s="46">
        <v>0</v>
      </c>
      <c r="AM379" s="113"/>
      <c r="AN379" s="113"/>
      <c r="AO379" s="113"/>
      <c r="AP379" s="113"/>
      <c r="AQ379" s="113"/>
      <c r="AR379" s="46">
        <v>0</v>
      </c>
      <c r="AS379" s="113"/>
      <c r="AT379" s="113"/>
      <c r="AU379" s="113"/>
      <c r="AV379" s="113"/>
      <c r="AW379" s="113"/>
      <c r="AX379" s="46">
        <v>0</v>
      </c>
      <c r="AY379" s="113"/>
      <c r="AZ379" s="113"/>
      <c r="BA379" s="113"/>
      <c r="BB379" s="113"/>
      <c r="BC379" s="113"/>
      <c r="BD379" s="46">
        <v>0</v>
      </c>
      <c r="BE379" s="113"/>
      <c r="BF379" s="113"/>
      <c r="BG379" s="113"/>
      <c r="BH379" s="113"/>
      <c r="BI379" s="113"/>
      <c r="BJ379" s="46">
        <v>0</v>
      </c>
      <c r="BK379" s="113"/>
      <c r="BL379" s="113"/>
      <c r="BM379" s="113"/>
      <c r="BN379" s="113"/>
      <c r="BO379" s="113"/>
      <c r="BP379" s="121"/>
      <c r="BQ379" s="121"/>
      <c r="GA379" t="s">
        <v>112</v>
      </c>
      <c r="GB379" t="s">
        <v>22894</v>
      </c>
      <c r="GC379" s="46">
        <v>0</v>
      </c>
      <c r="GD379" s="113"/>
      <c r="GE379" s="113"/>
      <c r="GF379" s="113"/>
      <c r="GG379" s="113"/>
      <c r="GH379" s="113"/>
      <c r="GI379" s="46">
        <v>0</v>
      </c>
      <c r="GJ379" s="113"/>
      <c r="GK379" s="113"/>
      <c r="GL379" s="113"/>
      <c r="GM379" s="113"/>
      <c r="GN379" s="113"/>
      <c r="GO379" s="46">
        <v>0</v>
      </c>
      <c r="GP379" s="113"/>
      <c r="GQ379" s="113"/>
      <c r="GR379" s="113"/>
      <c r="GS379" s="113"/>
      <c r="GT379" s="113"/>
      <c r="GU379" s="46">
        <v>0</v>
      </c>
      <c r="GV379" s="113"/>
      <c r="GW379" s="113"/>
      <c r="GX379" s="113"/>
      <c r="GY379" s="113"/>
      <c r="GZ379" s="113"/>
      <c r="HA379" s="46">
        <v>0</v>
      </c>
      <c r="HB379" s="113"/>
      <c r="HC379" s="113"/>
      <c r="HD379" s="113"/>
      <c r="HE379" s="113"/>
      <c r="HF379" s="113"/>
      <c r="HG379" s="46">
        <v>0</v>
      </c>
      <c r="HH379" s="113"/>
      <c r="HI379" s="113"/>
      <c r="HJ379" s="113"/>
      <c r="HK379" s="113"/>
      <c r="HL379" s="113"/>
      <c r="HM379" s="121"/>
      <c r="HN379" s="121"/>
      <c r="LM379" t="str">
        <v/>
      </c>
      <c r="LN379" t="str">
        <v/>
      </c>
      <c r="LO379" t="str">
        <v/>
      </c>
    </row>
    <row r="380" spans="30:327">
      <c r="AD380" t="s">
        <v>112</v>
      </c>
      <c r="AE380" t="s">
        <v>22895</v>
      </c>
      <c r="AF380" s="46">
        <v>0</v>
      </c>
      <c r="AG380" s="113"/>
      <c r="AH380" s="113"/>
      <c r="AI380" s="113"/>
      <c r="AJ380" s="113"/>
      <c r="AK380" s="113"/>
      <c r="AL380" s="46">
        <v>0</v>
      </c>
      <c r="AM380" s="113"/>
      <c r="AN380" s="113"/>
      <c r="AO380" s="113"/>
      <c r="AP380" s="113"/>
      <c r="AQ380" s="113"/>
      <c r="AR380" s="46">
        <v>0</v>
      </c>
      <c r="AS380" s="113"/>
      <c r="AT380" s="113"/>
      <c r="AU380" s="113"/>
      <c r="AV380" s="113"/>
      <c r="AW380" s="113"/>
      <c r="AX380" s="46">
        <v>0</v>
      </c>
      <c r="AY380" s="113"/>
      <c r="AZ380" s="113"/>
      <c r="BA380" s="113"/>
      <c r="BB380" s="113"/>
      <c r="BC380" s="113"/>
      <c r="BD380" s="46">
        <v>0</v>
      </c>
      <c r="BE380" s="113"/>
      <c r="BF380" s="113"/>
      <c r="BG380" s="113"/>
      <c r="BH380" s="113"/>
      <c r="BI380" s="113"/>
      <c r="BJ380" s="46">
        <v>0</v>
      </c>
      <c r="BK380" s="113"/>
      <c r="BL380" s="113"/>
      <c r="BM380" s="113"/>
      <c r="BN380" s="113"/>
      <c r="BO380" s="113"/>
      <c r="BP380" s="121"/>
      <c r="BQ380" s="121"/>
      <c r="GA380" t="s">
        <v>112</v>
      </c>
      <c r="GB380" t="s">
        <v>22895</v>
      </c>
      <c r="GC380" s="46">
        <v>0</v>
      </c>
      <c r="GD380" s="113"/>
      <c r="GE380" s="113"/>
      <c r="GF380" s="113"/>
      <c r="GG380" s="113"/>
      <c r="GH380" s="113"/>
      <c r="GI380" s="46">
        <v>0</v>
      </c>
      <c r="GJ380" s="113"/>
      <c r="GK380" s="113"/>
      <c r="GL380" s="113"/>
      <c r="GM380" s="113"/>
      <c r="GN380" s="113"/>
      <c r="GO380" s="46">
        <v>0</v>
      </c>
      <c r="GP380" s="113"/>
      <c r="GQ380" s="113"/>
      <c r="GR380" s="113"/>
      <c r="GS380" s="113"/>
      <c r="GT380" s="113"/>
      <c r="GU380" s="46">
        <v>0</v>
      </c>
      <c r="GV380" s="113"/>
      <c r="GW380" s="113"/>
      <c r="GX380" s="113"/>
      <c r="GY380" s="113"/>
      <c r="GZ380" s="113"/>
      <c r="HA380" s="46">
        <v>0</v>
      </c>
      <c r="HB380" s="113"/>
      <c r="HC380" s="113"/>
      <c r="HD380" s="113"/>
      <c r="HE380" s="113"/>
      <c r="HF380" s="113"/>
      <c r="HG380" s="46">
        <v>0</v>
      </c>
      <c r="HH380" s="113"/>
      <c r="HI380" s="113"/>
      <c r="HJ380" s="113"/>
      <c r="HK380" s="113"/>
      <c r="HL380" s="113"/>
      <c r="HM380" s="121"/>
      <c r="HN380" s="121"/>
      <c r="LM380" t="str">
        <v/>
      </c>
      <c r="LN380" t="str">
        <v/>
      </c>
      <c r="LO380" t="str">
        <v/>
      </c>
    </row>
    <row r="381" spans="30:327">
      <c r="AD381" t="s">
        <v>112</v>
      </c>
      <c r="AE381" t="s">
        <v>22896</v>
      </c>
      <c r="AF381" s="46">
        <v>0</v>
      </c>
      <c r="AG381" s="113"/>
      <c r="AH381" s="113"/>
      <c r="AI381" s="113"/>
      <c r="AJ381" s="113"/>
      <c r="AK381" s="113"/>
      <c r="AL381" s="46">
        <v>0</v>
      </c>
      <c r="AM381" s="113"/>
      <c r="AN381" s="113"/>
      <c r="AO381" s="113"/>
      <c r="AP381" s="113"/>
      <c r="AQ381" s="113"/>
      <c r="AR381" s="46">
        <v>0</v>
      </c>
      <c r="AS381" s="113"/>
      <c r="AT381" s="113"/>
      <c r="AU381" s="113"/>
      <c r="AV381" s="113"/>
      <c r="AW381" s="113"/>
      <c r="AX381" s="46">
        <v>0</v>
      </c>
      <c r="AY381" s="113"/>
      <c r="AZ381" s="113"/>
      <c r="BA381" s="113"/>
      <c r="BB381" s="113"/>
      <c r="BC381" s="113"/>
      <c r="BD381" s="46">
        <v>0</v>
      </c>
      <c r="BE381" s="113"/>
      <c r="BF381" s="113"/>
      <c r="BG381" s="113"/>
      <c r="BH381" s="113"/>
      <c r="BI381" s="113"/>
      <c r="BJ381" s="46">
        <v>0</v>
      </c>
      <c r="BK381" s="113"/>
      <c r="BL381" s="113"/>
      <c r="BM381" s="113"/>
      <c r="BN381" s="113"/>
      <c r="BO381" s="113"/>
      <c r="BP381" s="121"/>
      <c r="BQ381" s="121"/>
      <c r="GA381" t="s">
        <v>112</v>
      </c>
      <c r="GB381" t="s">
        <v>22896</v>
      </c>
      <c r="GC381" s="46">
        <v>0</v>
      </c>
      <c r="GD381" s="113"/>
      <c r="GE381" s="113"/>
      <c r="GF381" s="113"/>
      <c r="GG381" s="113"/>
      <c r="GH381" s="113"/>
      <c r="GI381" s="46">
        <v>0</v>
      </c>
      <c r="GJ381" s="113"/>
      <c r="GK381" s="113"/>
      <c r="GL381" s="113"/>
      <c r="GM381" s="113"/>
      <c r="GN381" s="113"/>
      <c r="GO381" s="46">
        <v>0</v>
      </c>
      <c r="GP381" s="113"/>
      <c r="GQ381" s="113"/>
      <c r="GR381" s="113"/>
      <c r="GS381" s="113"/>
      <c r="GT381" s="113"/>
      <c r="GU381" s="46">
        <v>0</v>
      </c>
      <c r="GV381" s="113"/>
      <c r="GW381" s="113"/>
      <c r="GX381" s="113"/>
      <c r="GY381" s="113"/>
      <c r="GZ381" s="113"/>
      <c r="HA381" s="46">
        <v>0</v>
      </c>
      <c r="HB381" s="113"/>
      <c r="HC381" s="113"/>
      <c r="HD381" s="113"/>
      <c r="HE381" s="113"/>
      <c r="HF381" s="113"/>
      <c r="HG381" s="46">
        <v>0</v>
      </c>
      <c r="HH381" s="113"/>
      <c r="HI381" s="113"/>
      <c r="HJ381" s="113"/>
      <c r="HK381" s="113"/>
      <c r="HL381" s="113"/>
      <c r="HM381" s="121"/>
      <c r="HN381" s="121"/>
      <c r="LM381" t="str">
        <v/>
      </c>
      <c r="LN381" t="str">
        <v/>
      </c>
      <c r="LO381" t="str">
        <v/>
      </c>
    </row>
    <row r="382" spans="30:327">
      <c r="AD382" t="s">
        <v>112</v>
      </c>
      <c r="AE382" t="s">
        <v>22897</v>
      </c>
      <c r="AF382" s="46">
        <v>0</v>
      </c>
      <c r="AG382" s="113"/>
      <c r="AH382" s="113"/>
      <c r="AI382" s="113"/>
      <c r="AJ382" s="113"/>
      <c r="AK382" s="113"/>
      <c r="AL382" s="46">
        <v>0</v>
      </c>
      <c r="AM382" s="113"/>
      <c r="AN382" s="113"/>
      <c r="AO382" s="113"/>
      <c r="AP382" s="113"/>
      <c r="AQ382" s="113"/>
      <c r="AR382" s="46">
        <v>0</v>
      </c>
      <c r="AS382" s="113"/>
      <c r="AT382" s="113"/>
      <c r="AU382" s="113"/>
      <c r="AV382" s="113"/>
      <c r="AW382" s="113"/>
      <c r="AX382" s="46">
        <v>0</v>
      </c>
      <c r="AY382" s="113"/>
      <c r="AZ382" s="113"/>
      <c r="BA382" s="113"/>
      <c r="BB382" s="113"/>
      <c r="BC382" s="113"/>
      <c r="BD382" s="46">
        <v>0</v>
      </c>
      <c r="BE382" s="113"/>
      <c r="BF382" s="113"/>
      <c r="BG382" s="113"/>
      <c r="BH382" s="113"/>
      <c r="BI382" s="113"/>
      <c r="BJ382" s="46">
        <v>0</v>
      </c>
      <c r="BK382" s="113"/>
      <c r="BL382" s="113"/>
      <c r="BM382" s="113"/>
      <c r="BN382" s="113"/>
      <c r="BO382" s="113"/>
      <c r="BP382" s="121"/>
      <c r="BQ382" s="121"/>
      <c r="GA382" t="s">
        <v>112</v>
      </c>
      <c r="GB382" t="s">
        <v>22897</v>
      </c>
      <c r="GC382" s="46">
        <v>0</v>
      </c>
      <c r="GD382" s="113"/>
      <c r="GE382" s="113"/>
      <c r="GF382" s="113"/>
      <c r="GG382" s="113"/>
      <c r="GH382" s="113"/>
      <c r="GI382" s="46">
        <v>0</v>
      </c>
      <c r="GJ382" s="113"/>
      <c r="GK382" s="113"/>
      <c r="GL382" s="113"/>
      <c r="GM382" s="113"/>
      <c r="GN382" s="113"/>
      <c r="GO382" s="46">
        <v>0</v>
      </c>
      <c r="GP382" s="113"/>
      <c r="GQ382" s="113"/>
      <c r="GR382" s="113"/>
      <c r="GS382" s="113"/>
      <c r="GT382" s="113"/>
      <c r="GU382" s="46">
        <v>0</v>
      </c>
      <c r="GV382" s="113"/>
      <c r="GW382" s="113"/>
      <c r="GX382" s="113"/>
      <c r="GY382" s="113"/>
      <c r="GZ382" s="113"/>
      <c r="HA382" s="46">
        <v>0</v>
      </c>
      <c r="HB382" s="113"/>
      <c r="HC382" s="113"/>
      <c r="HD382" s="113"/>
      <c r="HE382" s="113"/>
      <c r="HF382" s="113"/>
      <c r="HG382" s="46">
        <v>0</v>
      </c>
      <c r="HH382" s="113"/>
      <c r="HI382" s="113"/>
      <c r="HJ382" s="113"/>
      <c r="HK382" s="113"/>
      <c r="HL382" s="113"/>
      <c r="HM382" s="121"/>
      <c r="HN382" s="121"/>
      <c r="LM382" t="str">
        <v/>
      </c>
      <c r="LN382" t="str">
        <v/>
      </c>
      <c r="LO382" t="str">
        <v/>
      </c>
    </row>
    <row r="383" spans="30:327">
      <c r="AD383" t="s">
        <v>112</v>
      </c>
      <c r="AE383" t="s">
        <v>22898</v>
      </c>
      <c r="AF383" s="46">
        <v>0</v>
      </c>
      <c r="AG383" s="113"/>
      <c r="AH383" s="113"/>
      <c r="AI383" s="113"/>
      <c r="AJ383" s="113"/>
      <c r="AK383" s="113"/>
      <c r="AL383" s="46">
        <v>0</v>
      </c>
      <c r="AM383" s="113"/>
      <c r="AN383" s="113"/>
      <c r="AO383" s="113"/>
      <c r="AP383" s="113"/>
      <c r="AQ383" s="113"/>
      <c r="AR383" s="46">
        <v>0</v>
      </c>
      <c r="AS383" s="113"/>
      <c r="AT383" s="113"/>
      <c r="AU383" s="113"/>
      <c r="AV383" s="113"/>
      <c r="AW383" s="113"/>
      <c r="AX383" s="46">
        <v>0</v>
      </c>
      <c r="AY383" s="113"/>
      <c r="AZ383" s="113"/>
      <c r="BA383" s="113"/>
      <c r="BB383" s="113"/>
      <c r="BC383" s="113"/>
      <c r="BD383" s="46">
        <v>0</v>
      </c>
      <c r="BE383" s="113"/>
      <c r="BF383" s="113"/>
      <c r="BG383" s="113"/>
      <c r="BH383" s="113"/>
      <c r="BI383" s="113"/>
      <c r="BJ383" s="46">
        <v>0</v>
      </c>
      <c r="BK383" s="113"/>
      <c r="BL383" s="113"/>
      <c r="BM383" s="113"/>
      <c r="BN383" s="113"/>
      <c r="BO383" s="113"/>
      <c r="BP383" s="121"/>
      <c r="BQ383" s="121"/>
      <c r="GA383" t="s">
        <v>112</v>
      </c>
      <c r="GB383" t="s">
        <v>22898</v>
      </c>
      <c r="GC383" s="46">
        <v>0</v>
      </c>
      <c r="GD383" s="113"/>
      <c r="GE383" s="113"/>
      <c r="GF383" s="113"/>
      <c r="GG383" s="113"/>
      <c r="GH383" s="113"/>
      <c r="GI383" s="46">
        <v>0</v>
      </c>
      <c r="GJ383" s="113"/>
      <c r="GK383" s="113"/>
      <c r="GL383" s="113"/>
      <c r="GM383" s="113"/>
      <c r="GN383" s="113"/>
      <c r="GO383" s="46">
        <v>0</v>
      </c>
      <c r="GP383" s="113"/>
      <c r="GQ383" s="113"/>
      <c r="GR383" s="113"/>
      <c r="GS383" s="113"/>
      <c r="GT383" s="113"/>
      <c r="GU383" s="46">
        <v>0</v>
      </c>
      <c r="GV383" s="113"/>
      <c r="GW383" s="113"/>
      <c r="GX383" s="113"/>
      <c r="GY383" s="113"/>
      <c r="GZ383" s="113"/>
      <c r="HA383" s="46">
        <v>0</v>
      </c>
      <c r="HB383" s="113"/>
      <c r="HC383" s="113"/>
      <c r="HD383" s="113"/>
      <c r="HE383" s="113"/>
      <c r="HF383" s="113"/>
      <c r="HG383" s="46">
        <v>0</v>
      </c>
      <c r="HH383" s="113"/>
      <c r="HI383" s="113"/>
      <c r="HJ383" s="113"/>
      <c r="HK383" s="113"/>
      <c r="HL383" s="113"/>
      <c r="HM383" s="121"/>
      <c r="HN383" s="121"/>
      <c r="LM383" t="str">
        <v/>
      </c>
      <c r="LN383" t="str">
        <v/>
      </c>
      <c r="LO383" t="str">
        <v/>
      </c>
    </row>
    <row r="384" spans="30:327">
      <c r="AD384" t="s">
        <v>112</v>
      </c>
      <c r="AE384" t="s">
        <v>22899</v>
      </c>
      <c r="AF384" s="46">
        <v>0</v>
      </c>
      <c r="AG384" s="113"/>
      <c r="AH384" s="113"/>
      <c r="AI384" s="113"/>
      <c r="AJ384" s="113"/>
      <c r="AK384" s="113"/>
      <c r="AL384" s="46">
        <v>0</v>
      </c>
      <c r="AM384" s="113"/>
      <c r="AN384" s="113"/>
      <c r="AO384" s="113"/>
      <c r="AP384" s="113"/>
      <c r="AQ384" s="113"/>
      <c r="AR384" s="46">
        <v>0</v>
      </c>
      <c r="AS384" s="113"/>
      <c r="AT384" s="113"/>
      <c r="AU384" s="113"/>
      <c r="AV384" s="113"/>
      <c r="AW384" s="113"/>
      <c r="AX384" s="46">
        <v>0</v>
      </c>
      <c r="AY384" s="113"/>
      <c r="AZ384" s="113"/>
      <c r="BA384" s="113"/>
      <c r="BB384" s="113"/>
      <c r="BC384" s="113"/>
      <c r="BD384" s="46">
        <v>0</v>
      </c>
      <c r="BE384" s="113"/>
      <c r="BF384" s="113"/>
      <c r="BG384" s="113"/>
      <c r="BH384" s="113"/>
      <c r="BI384" s="113"/>
      <c r="BJ384" s="46">
        <v>0</v>
      </c>
      <c r="BK384" s="113"/>
      <c r="BL384" s="113"/>
      <c r="BM384" s="113"/>
      <c r="BN384" s="113"/>
      <c r="BO384" s="113"/>
      <c r="BP384" s="121"/>
      <c r="BQ384" s="121"/>
      <c r="GA384" t="s">
        <v>112</v>
      </c>
      <c r="GB384" t="s">
        <v>22899</v>
      </c>
      <c r="GC384" s="46">
        <v>0</v>
      </c>
      <c r="GD384" s="113"/>
      <c r="GE384" s="113"/>
      <c r="GF384" s="113"/>
      <c r="GG384" s="113"/>
      <c r="GH384" s="113"/>
      <c r="GI384" s="46">
        <v>0</v>
      </c>
      <c r="GJ384" s="113"/>
      <c r="GK384" s="113"/>
      <c r="GL384" s="113"/>
      <c r="GM384" s="113"/>
      <c r="GN384" s="113"/>
      <c r="GO384" s="46">
        <v>0</v>
      </c>
      <c r="GP384" s="113"/>
      <c r="GQ384" s="113"/>
      <c r="GR384" s="113"/>
      <c r="GS384" s="113"/>
      <c r="GT384" s="113"/>
      <c r="GU384" s="46">
        <v>0</v>
      </c>
      <c r="GV384" s="113"/>
      <c r="GW384" s="113"/>
      <c r="GX384" s="113"/>
      <c r="GY384" s="113"/>
      <c r="GZ384" s="113"/>
      <c r="HA384" s="46">
        <v>0</v>
      </c>
      <c r="HB384" s="113"/>
      <c r="HC384" s="113"/>
      <c r="HD384" s="113"/>
      <c r="HE384" s="113"/>
      <c r="HF384" s="113"/>
      <c r="HG384" s="46">
        <v>0</v>
      </c>
      <c r="HH384" s="113"/>
      <c r="HI384" s="113"/>
      <c r="HJ384" s="113"/>
      <c r="HK384" s="113"/>
      <c r="HL384" s="113"/>
      <c r="HM384" s="121"/>
      <c r="HN384" s="121"/>
      <c r="LM384" t="str">
        <v/>
      </c>
      <c r="LN384" t="str">
        <v/>
      </c>
      <c r="LO384" t="str">
        <v/>
      </c>
    </row>
    <row r="385" spans="30:327">
      <c r="AD385" t="s">
        <v>112</v>
      </c>
      <c r="AE385" t="s">
        <v>22900</v>
      </c>
      <c r="AF385" s="46">
        <v>0</v>
      </c>
      <c r="AG385" s="113"/>
      <c r="AH385" s="113"/>
      <c r="AI385" s="113"/>
      <c r="AJ385" s="113"/>
      <c r="AK385" s="113"/>
      <c r="AL385" s="46">
        <v>0</v>
      </c>
      <c r="AM385" s="113"/>
      <c r="AN385" s="113"/>
      <c r="AO385" s="113"/>
      <c r="AP385" s="113"/>
      <c r="AQ385" s="113"/>
      <c r="AR385" s="46">
        <v>0</v>
      </c>
      <c r="AS385" s="113"/>
      <c r="AT385" s="113"/>
      <c r="AU385" s="113"/>
      <c r="AV385" s="113"/>
      <c r="AW385" s="113"/>
      <c r="AX385" s="46">
        <v>0</v>
      </c>
      <c r="AY385" s="113"/>
      <c r="AZ385" s="113"/>
      <c r="BA385" s="113"/>
      <c r="BB385" s="113"/>
      <c r="BC385" s="113"/>
      <c r="BD385" s="46">
        <v>0</v>
      </c>
      <c r="BE385" s="113"/>
      <c r="BF385" s="113"/>
      <c r="BG385" s="113"/>
      <c r="BH385" s="113"/>
      <c r="BI385" s="113"/>
      <c r="BJ385" s="46">
        <v>0</v>
      </c>
      <c r="BK385" s="113"/>
      <c r="BL385" s="113"/>
      <c r="BM385" s="113"/>
      <c r="BN385" s="113"/>
      <c r="BO385" s="113"/>
      <c r="BP385" s="121"/>
      <c r="BQ385" s="121"/>
      <c r="GA385" t="s">
        <v>112</v>
      </c>
      <c r="GB385" t="s">
        <v>22900</v>
      </c>
      <c r="GC385" s="46">
        <v>0</v>
      </c>
      <c r="GD385" s="113"/>
      <c r="GE385" s="113"/>
      <c r="GF385" s="113"/>
      <c r="GG385" s="113"/>
      <c r="GH385" s="113"/>
      <c r="GI385" s="46">
        <v>0</v>
      </c>
      <c r="GJ385" s="113"/>
      <c r="GK385" s="113"/>
      <c r="GL385" s="113"/>
      <c r="GM385" s="113"/>
      <c r="GN385" s="113"/>
      <c r="GO385" s="46">
        <v>0</v>
      </c>
      <c r="GP385" s="113"/>
      <c r="GQ385" s="113"/>
      <c r="GR385" s="113"/>
      <c r="GS385" s="113"/>
      <c r="GT385" s="113"/>
      <c r="GU385" s="46">
        <v>0</v>
      </c>
      <c r="GV385" s="113"/>
      <c r="GW385" s="113"/>
      <c r="GX385" s="113"/>
      <c r="GY385" s="113"/>
      <c r="GZ385" s="113"/>
      <c r="HA385" s="46">
        <v>0</v>
      </c>
      <c r="HB385" s="113"/>
      <c r="HC385" s="113"/>
      <c r="HD385" s="113"/>
      <c r="HE385" s="113"/>
      <c r="HF385" s="113"/>
      <c r="HG385" s="46">
        <v>0</v>
      </c>
      <c r="HH385" s="113"/>
      <c r="HI385" s="113"/>
      <c r="HJ385" s="113"/>
      <c r="HK385" s="113"/>
      <c r="HL385" s="113"/>
      <c r="HM385" s="121"/>
      <c r="HN385" s="121"/>
      <c r="LM385" t="str">
        <v/>
      </c>
      <c r="LN385" t="str">
        <v/>
      </c>
      <c r="LO385" t="str">
        <v/>
      </c>
    </row>
    <row r="386" spans="30:327">
      <c r="AD386" t="s">
        <v>112</v>
      </c>
      <c r="AE386" t="s">
        <v>22901</v>
      </c>
      <c r="AF386" s="46">
        <v>0</v>
      </c>
      <c r="AG386" s="113"/>
      <c r="AH386" s="113"/>
      <c r="AI386" s="113"/>
      <c r="AJ386" s="113"/>
      <c r="AK386" s="113"/>
      <c r="AL386" s="46">
        <v>0</v>
      </c>
      <c r="AM386" s="113"/>
      <c r="AN386" s="113"/>
      <c r="AO386" s="113"/>
      <c r="AP386" s="113"/>
      <c r="AQ386" s="113"/>
      <c r="AR386" s="46">
        <v>0</v>
      </c>
      <c r="AS386" s="113"/>
      <c r="AT386" s="113"/>
      <c r="AU386" s="113"/>
      <c r="AV386" s="113"/>
      <c r="AW386" s="113"/>
      <c r="AX386" s="46">
        <v>0</v>
      </c>
      <c r="AY386" s="113"/>
      <c r="AZ386" s="113"/>
      <c r="BA386" s="113"/>
      <c r="BB386" s="113"/>
      <c r="BC386" s="113"/>
      <c r="BD386" s="46">
        <v>0</v>
      </c>
      <c r="BE386" s="113"/>
      <c r="BF386" s="113"/>
      <c r="BG386" s="113"/>
      <c r="BH386" s="113"/>
      <c r="BI386" s="113"/>
      <c r="BJ386" s="46">
        <v>0</v>
      </c>
      <c r="BK386" s="113"/>
      <c r="BL386" s="113"/>
      <c r="BM386" s="113"/>
      <c r="BN386" s="113"/>
      <c r="BO386" s="113"/>
      <c r="BP386" s="121"/>
      <c r="BQ386" s="121"/>
      <c r="GA386" t="s">
        <v>112</v>
      </c>
      <c r="GB386" t="s">
        <v>22901</v>
      </c>
      <c r="GC386" s="46">
        <v>0</v>
      </c>
      <c r="GD386" s="113"/>
      <c r="GE386" s="113"/>
      <c r="GF386" s="113"/>
      <c r="GG386" s="113"/>
      <c r="GH386" s="113"/>
      <c r="GI386" s="46">
        <v>0</v>
      </c>
      <c r="GJ386" s="113"/>
      <c r="GK386" s="113"/>
      <c r="GL386" s="113"/>
      <c r="GM386" s="113"/>
      <c r="GN386" s="113"/>
      <c r="GO386" s="46">
        <v>0</v>
      </c>
      <c r="GP386" s="113"/>
      <c r="GQ386" s="113"/>
      <c r="GR386" s="113"/>
      <c r="GS386" s="113"/>
      <c r="GT386" s="113"/>
      <c r="GU386" s="46">
        <v>0</v>
      </c>
      <c r="GV386" s="113"/>
      <c r="GW386" s="113"/>
      <c r="GX386" s="113"/>
      <c r="GY386" s="113"/>
      <c r="GZ386" s="113"/>
      <c r="HA386" s="46">
        <v>0</v>
      </c>
      <c r="HB386" s="113"/>
      <c r="HC386" s="113"/>
      <c r="HD386" s="113"/>
      <c r="HE386" s="113"/>
      <c r="HF386" s="113"/>
      <c r="HG386" s="46">
        <v>0</v>
      </c>
      <c r="HH386" s="113"/>
      <c r="HI386" s="113"/>
      <c r="HJ386" s="113"/>
      <c r="HK386" s="113"/>
      <c r="HL386" s="113"/>
      <c r="HM386" s="121"/>
      <c r="HN386" s="121"/>
      <c r="LM386" t="str">
        <v/>
      </c>
      <c r="LN386" t="str">
        <v/>
      </c>
      <c r="LO386" t="str">
        <v/>
      </c>
    </row>
    <row r="387" spans="30:327">
      <c r="AD387" t="s">
        <v>112</v>
      </c>
      <c r="AE387" t="s">
        <v>22902</v>
      </c>
      <c r="AF387" s="46">
        <v>0</v>
      </c>
      <c r="AG387" s="113"/>
      <c r="AH387" s="113"/>
      <c r="AI387" s="113"/>
      <c r="AJ387" s="113"/>
      <c r="AK387" s="113"/>
      <c r="AL387" s="46">
        <v>0</v>
      </c>
      <c r="AM387" s="113"/>
      <c r="AN387" s="113"/>
      <c r="AO387" s="113"/>
      <c r="AP387" s="113"/>
      <c r="AQ387" s="113"/>
      <c r="AR387" s="46">
        <v>0</v>
      </c>
      <c r="AS387" s="113"/>
      <c r="AT387" s="113"/>
      <c r="AU387" s="113"/>
      <c r="AV387" s="113"/>
      <c r="AW387" s="113"/>
      <c r="AX387" s="46">
        <v>0</v>
      </c>
      <c r="AY387" s="113"/>
      <c r="AZ387" s="113"/>
      <c r="BA387" s="113"/>
      <c r="BB387" s="113"/>
      <c r="BC387" s="113"/>
      <c r="BD387" s="46">
        <v>0</v>
      </c>
      <c r="BE387" s="113"/>
      <c r="BF387" s="113"/>
      <c r="BG387" s="113"/>
      <c r="BH387" s="113"/>
      <c r="BI387" s="113"/>
      <c r="BJ387" s="46">
        <v>0</v>
      </c>
      <c r="BK387" s="113"/>
      <c r="BL387" s="113"/>
      <c r="BM387" s="113"/>
      <c r="BN387" s="113"/>
      <c r="BO387" s="113"/>
      <c r="BP387" s="121"/>
      <c r="BQ387" s="121"/>
      <c r="GA387" t="s">
        <v>112</v>
      </c>
      <c r="GB387" t="s">
        <v>22902</v>
      </c>
      <c r="GC387" s="46">
        <v>0</v>
      </c>
      <c r="GD387" s="113"/>
      <c r="GE387" s="113"/>
      <c r="GF387" s="113"/>
      <c r="GG387" s="113"/>
      <c r="GH387" s="113"/>
      <c r="GI387" s="46">
        <v>0</v>
      </c>
      <c r="GJ387" s="113"/>
      <c r="GK387" s="113"/>
      <c r="GL387" s="113"/>
      <c r="GM387" s="113"/>
      <c r="GN387" s="113"/>
      <c r="GO387" s="46">
        <v>0</v>
      </c>
      <c r="GP387" s="113"/>
      <c r="GQ387" s="113"/>
      <c r="GR387" s="113"/>
      <c r="GS387" s="113"/>
      <c r="GT387" s="113"/>
      <c r="GU387" s="46">
        <v>0</v>
      </c>
      <c r="GV387" s="113"/>
      <c r="GW387" s="113"/>
      <c r="GX387" s="113"/>
      <c r="GY387" s="113"/>
      <c r="GZ387" s="113"/>
      <c r="HA387" s="46">
        <v>0</v>
      </c>
      <c r="HB387" s="113"/>
      <c r="HC387" s="113"/>
      <c r="HD387" s="113"/>
      <c r="HE387" s="113"/>
      <c r="HF387" s="113"/>
      <c r="HG387" s="46">
        <v>0</v>
      </c>
      <c r="HH387" s="113"/>
      <c r="HI387" s="113"/>
      <c r="HJ387" s="113"/>
      <c r="HK387" s="113"/>
      <c r="HL387" s="113"/>
      <c r="HM387" s="121"/>
      <c r="HN387" s="121"/>
      <c r="LM387" t="str">
        <v/>
      </c>
      <c r="LN387" t="str">
        <v/>
      </c>
      <c r="LO387" t="str">
        <v/>
      </c>
    </row>
    <row r="388" spans="30:327">
      <c r="AD388" t="s">
        <v>112</v>
      </c>
      <c r="AE388" t="s">
        <v>22903</v>
      </c>
      <c r="AF388" s="46">
        <v>0</v>
      </c>
      <c r="AG388" s="113"/>
      <c r="AH388" s="113"/>
      <c r="AI388" s="113"/>
      <c r="AJ388" s="113"/>
      <c r="AK388" s="113"/>
      <c r="AL388" s="46">
        <v>0</v>
      </c>
      <c r="AM388" s="113"/>
      <c r="AN388" s="113"/>
      <c r="AO388" s="113"/>
      <c r="AP388" s="113"/>
      <c r="AQ388" s="113"/>
      <c r="AR388" s="46">
        <v>0</v>
      </c>
      <c r="AS388" s="113"/>
      <c r="AT388" s="113"/>
      <c r="AU388" s="113"/>
      <c r="AV388" s="113"/>
      <c r="AW388" s="113"/>
      <c r="AX388" s="46">
        <v>0</v>
      </c>
      <c r="AY388" s="113"/>
      <c r="AZ388" s="113"/>
      <c r="BA388" s="113"/>
      <c r="BB388" s="113"/>
      <c r="BC388" s="113"/>
      <c r="BD388" s="46">
        <v>0</v>
      </c>
      <c r="BE388" s="113"/>
      <c r="BF388" s="113"/>
      <c r="BG388" s="113"/>
      <c r="BH388" s="113"/>
      <c r="BI388" s="113"/>
      <c r="BJ388" s="46">
        <v>0</v>
      </c>
      <c r="BK388" s="113"/>
      <c r="BL388" s="113"/>
      <c r="BM388" s="113"/>
      <c r="BN388" s="113"/>
      <c r="BO388" s="113"/>
      <c r="BP388" s="121"/>
      <c r="BQ388" s="121"/>
      <c r="GA388" t="s">
        <v>112</v>
      </c>
      <c r="GB388" t="s">
        <v>22903</v>
      </c>
      <c r="GC388" s="46">
        <v>0</v>
      </c>
      <c r="GD388" s="113"/>
      <c r="GE388" s="113"/>
      <c r="GF388" s="113"/>
      <c r="GG388" s="113"/>
      <c r="GH388" s="113"/>
      <c r="GI388" s="46">
        <v>0</v>
      </c>
      <c r="GJ388" s="113"/>
      <c r="GK388" s="113"/>
      <c r="GL388" s="113"/>
      <c r="GM388" s="113"/>
      <c r="GN388" s="113"/>
      <c r="GO388" s="46">
        <v>0</v>
      </c>
      <c r="GP388" s="113"/>
      <c r="GQ388" s="113"/>
      <c r="GR388" s="113"/>
      <c r="GS388" s="113"/>
      <c r="GT388" s="113"/>
      <c r="GU388" s="46">
        <v>0</v>
      </c>
      <c r="GV388" s="113"/>
      <c r="GW388" s="113"/>
      <c r="GX388" s="113"/>
      <c r="GY388" s="113"/>
      <c r="GZ388" s="113"/>
      <c r="HA388" s="46">
        <v>0</v>
      </c>
      <c r="HB388" s="113"/>
      <c r="HC388" s="113"/>
      <c r="HD388" s="113"/>
      <c r="HE388" s="113"/>
      <c r="HF388" s="113"/>
      <c r="HG388" s="46">
        <v>0</v>
      </c>
      <c r="HH388" s="113"/>
      <c r="HI388" s="113"/>
      <c r="HJ388" s="113"/>
      <c r="HK388" s="113"/>
      <c r="HL388" s="113"/>
      <c r="HM388" s="121"/>
      <c r="HN388" s="121"/>
      <c r="LM388" t="str">
        <v/>
      </c>
      <c r="LN388" t="str">
        <v/>
      </c>
      <c r="LO388" t="str">
        <v/>
      </c>
    </row>
    <row r="389" spans="30:327">
      <c r="AD389" t="s">
        <v>112</v>
      </c>
      <c r="AE389" t="s">
        <v>22904</v>
      </c>
      <c r="AF389" s="46">
        <v>0</v>
      </c>
      <c r="AG389" s="113"/>
      <c r="AH389" s="113"/>
      <c r="AI389" s="113"/>
      <c r="AJ389" s="113"/>
      <c r="AK389" s="113"/>
      <c r="AL389" s="46">
        <v>0</v>
      </c>
      <c r="AM389" s="113"/>
      <c r="AN389" s="113"/>
      <c r="AO389" s="113"/>
      <c r="AP389" s="113"/>
      <c r="AQ389" s="113"/>
      <c r="AR389" s="46">
        <v>0</v>
      </c>
      <c r="AS389" s="113"/>
      <c r="AT389" s="113"/>
      <c r="AU389" s="113"/>
      <c r="AV389" s="113"/>
      <c r="AW389" s="113"/>
      <c r="AX389" s="46">
        <v>0</v>
      </c>
      <c r="AY389" s="113"/>
      <c r="AZ389" s="113"/>
      <c r="BA389" s="113"/>
      <c r="BB389" s="113"/>
      <c r="BC389" s="113"/>
      <c r="BD389" s="46">
        <v>0</v>
      </c>
      <c r="BE389" s="113"/>
      <c r="BF389" s="113"/>
      <c r="BG389" s="113"/>
      <c r="BH389" s="113"/>
      <c r="BI389" s="113"/>
      <c r="BJ389" s="46">
        <v>0</v>
      </c>
      <c r="BK389" s="113"/>
      <c r="BL389" s="113"/>
      <c r="BM389" s="113"/>
      <c r="BN389" s="113"/>
      <c r="BO389" s="113"/>
      <c r="BP389" s="121"/>
      <c r="BQ389" s="121"/>
      <c r="GA389" t="s">
        <v>112</v>
      </c>
      <c r="GB389" t="s">
        <v>22904</v>
      </c>
      <c r="GC389" s="46">
        <v>0</v>
      </c>
      <c r="GD389" s="113"/>
      <c r="GE389" s="113"/>
      <c r="GF389" s="113"/>
      <c r="GG389" s="113"/>
      <c r="GH389" s="113"/>
      <c r="GI389" s="46">
        <v>0</v>
      </c>
      <c r="GJ389" s="113"/>
      <c r="GK389" s="113"/>
      <c r="GL389" s="113"/>
      <c r="GM389" s="113"/>
      <c r="GN389" s="113"/>
      <c r="GO389" s="46">
        <v>0</v>
      </c>
      <c r="GP389" s="113"/>
      <c r="GQ389" s="113"/>
      <c r="GR389" s="113"/>
      <c r="GS389" s="113"/>
      <c r="GT389" s="113"/>
      <c r="GU389" s="46">
        <v>0</v>
      </c>
      <c r="GV389" s="113"/>
      <c r="GW389" s="113"/>
      <c r="GX389" s="113"/>
      <c r="GY389" s="113"/>
      <c r="GZ389" s="113"/>
      <c r="HA389" s="46">
        <v>0</v>
      </c>
      <c r="HB389" s="113"/>
      <c r="HC389" s="113"/>
      <c r="HD389" s="113"/>
      <c r="HE389" s="113"/>
      <c r="HF389" s="113"/>
      <c r="HG389" s="46">
        <v>0</v>
      </c>
      <c r="HH389" s="113"/>
      <c r="HI389" s="113"/>
      <c r="HJ389" s="113"/>
      <c r="HK389" s="113"/>
      <c r="HL389" s="113"/>
      <c r="HM389" s="121"/>
      <c r="HN389" s="121"/>
      <c r="LM389" t="str">
        <v/>
      </c>
      <c r="LN389" t="str">
        <v/>
      </c>
      <c r="LO389" t="str">
        <v/>
      </c>
    </row>
    <row r="390" spans="30:327">
      <c r="AD390" t="s">
        <v>112</v>
      </c>
      <c r="AE390" t="s">
        <v>22905</v>
      </c>
      <c r="AF390" s="46">
        <v>0</v>
      </c>
      <c r="AG390" s="113"/>
      <c r="AH390" s="113"/>
      <c r="AI390" s="113"/>
      <c r="AJ390" s="113"/>
      <c r="AK390" s="113"/>
      <c r="AL390" s="46">
        <v>0</v>
      </c>
      <c r="AM390" s="113"/>
      <c r="AN390" s="113"/>
      <c r="AO390" s="113"/>
      <c r="AP390" s="113"/>
      <c r="AQ390" s="113"/>
      <c r="AR390" s="46">
        <v>0</v>
      </c>
      <c r="AS390" s="113"/>
      <c r="AT390" s="113"/>
      <c r="AU390" s="113"/>
      <c r="AV390" s="113"/>
      <c r="AW390" s="113"/>
      <c r="AX390" s="46">
        <v>0</v>
      </c>
      <c r="AY390" s="113"/>
      <c r="AZ390" s="113"/>
      <c r="BA390" s="113"/>
      <c r="BB390" s="113"/>
      <c r="BC390" s="113"/>
      <c r="BD390" s="46">
        <v>0</v>
      </c>
      <c r="BE390" s="113"/>
      <c r="BF390" s="113"/>
      <c r="BG390" s="113"/>
      <c r="BH390" s="113"/>
      <c r="BI390" s="113"/>
      <c r="BJ390" s="46">
        <v>0</v>
      </c>
      <c r="BK390" s="113"/>
      <c r="BL390" s="113"/>
      <c r="BM390" s="113"/>
      <c r="BN390" s="113"/>
      <c r="BO390" s="113"/>
      <c r="BP390" s="121"/>
      <c r="BQ390" s="121"/>
      <c r="GA390" t="s">
        <v>112</v>
      </c>
      <c r="GB390" t="s">
        <v>22905</v>
      </c>
      <c r="GC390" s="46">
        <v>0</v>
      </c>
      <c r="GD390" s="113"/>
      <c r="GE390" s="113"/>
      <c r="GF390" s="113"/>
      <c r="GG390" s="113"/>
      <c r="GH390" s="113"/>
      <c r="GI390" s="46">
        <v>0</v>
      </c>
      <c r="GJ390" s="113"/>
      <c r="GK390" s="113"/>
      <c r="GL390" s="113"/>
      <c r="GM390" s="113"/>
      <c r="GN390" s="113"/>
      <c r="GO390" s="46">
        <v>0</v>
      </c>
      <c r="GP390" s="113"/>
      <c r="GQ390" s="113"/>
      <c r="GR390" s="113"/>
      <c r="GS390" s="113"/>
      <c r="GT390" s="113"/>
      <c r="GU390" s="46">
        <v>0</v>
      </c>
      <c r="GV390" s="113"/>
      <c r="GW390" s="113"/>
      <c r="GX390" s="113"/>
      <c r="GY390" s="113"/>
      <c r="GZ390" s="113"/>
      <c r="HA390" s="46">
        <v>0</v>
      </c>
      <c r="HB390" s="113"/>
      <c r="HC390" s="113"/>
      <c r="HD390" s="113"/>
      <c r="HE390" s="113"/>
      <c r="HF390" s="113"/>
      <c r="HG390" s="46">
        <v>0</v>
      </c>
      <c r="HH390" s="113"/>
      <c r="HI390" s="113"/>
      <c r="HJ390" s="113"/>
      <c r="HK390" s="113"/>
      <c r="HL390" s="113"/>
      <c r="HM390" s="121"/>
      <c r="HN390" s="121"/>
      <c r="LM390" t="str">
        <v/>
      </c>
      <c r="LN390" t="str">
        <v/>
      </c>
      <c r="LO390" t="str">
        <v/>
      </c>
    </row>
    <row r="391" spans="30:327">
      <c r="AD391" t="s">
        <v>112</v>
      </c>
      <c r="AE391" t="s">
        <v>22906</v>
      </c>
      <c r="AF391" s="46">
        <v>0</v>
      </c>
      <c r="AG391" s="113"/>
      <c r="AH391" s="113"/>
      <c r="AI391" s="113"/>
      <c r="AJ391" s="113"/>
      <c r="AK391" s="113"/>
      <c r="AL391" s="46">
        <v>0</v>
      </c>
      <c r="AM391" s="113"/>
      <c r="AN391" s="113"/>
      <c r="AO391" s="113"/>
      <c r="AP391" s="113"/>
      <c r="AQ391" s="113"/>
      <c r="AR391" s="46">
        <v>0</v>
      </c>
      <c r="AS391" s="113"/>
      <c r="AT391" s="113"/>
      <c r="AU391" s="113"/>
      <c r="AV391" s="113"/>
      <c r="AW391" s="113"/>
      <c r="AX391" s="46">
        <v>0</v>
      </c>
      <c r="AY391" s="113"/>
      <c r="AZ391" s="113"/>
      <c r="BA391" s="113"/>
      <c r="BB391" s="113"/>
      <c r="BC391" s="113"/>
      <c r="BD391" s="46">
        <v>0</v>
      </c>
      <c r="BE391" s="113"/>
      <c r="BF391" s="113"/>
      <c r="BG391" s="113"/>
      <c r="BH391" s="113"/>
      <c r="BI391" s="113"/>
      <c r="BJ391" s="46">
        <v>0</v>
      </c>
      <c r="BK391" s="113"/>
      <c r="BL391" s="113"/>
      <c r="BM391" s="113"/>
      <c r="BN391" s="113"/>
      <c r="BO391" s="113"/>
      <c r="BP391" s="121"/>
      <c r="BQ391" s="121"/>
      <c r="GA391" t="s">
        <v>112</v>
      </c>
      <c r="GB391" t="s">
        <v>22906</v>
      </c>
      <c r="GC391" s="46">
        <v>0</v>
      </c>
      <c r="GD391" s="113"/>
      <c r="GE391" s="113"/>
      <c r="GF391" s="113"/>
      <c r="GG391" s="113"/>
      <c r="GH391" s="113"/>
      <c r="GI391" s="46">
        <v>0</v>
      </c>
      <c r="GJ391" s="113"/>
      <c r="GK391" s="113"/>
      <c r="GL391" s="113"/>
      <c r="GM391" s="113"/>
      <c r="GN391" s="113"/>
      <c r="GO391" s="46">
        <v>0</v>
      </c>
      <c r="GP391" s="113"/>
      <c r="GQ391" s="113"/>
      <c r="GR391" s="113"/>
      <c r="GS391" s="113"/>
      <c r="GT391" s="113"/>
      <c r="GU391" s="46">
        <v>0</v>
      </c>
      <c r="GV391" s="113"/>
      <c r="GW391" s="113"/>
      <c r="GX391" s="113"/>
      <c r="GY391" s="113"/>
      <c r="GZ391" s="113"/>
      <c r="HA391" s="46">
        <v>0</v>
      </c>
      <c r="HB391" s="113"/>
      <c r="HC391" s="113"/>
      <c r="HD391" s="113"/>
      <c r="HE391" s="113"/>
      <c r="HF391" s="113"/>
      <c r="HG391" s="46">
        <v>0</v>
      </c>
      <c r="HH391" s="113"/>
      <c r="HI391" s="113"/>
      <c r="HJ391" s="113"/>
      <c r="HK391" s="113"/>
      <c r="HL391" s="113"/>
      <c r="HM391" s="121"/>
      <c r="HN391" s="121"/>
      <c r="LM391" t="str">
        <v/>
      </c>
      <c r="LN391" t="str">
        <v/>
      </c>
      <c r="LO391" t="str">
        <v/>
      </c>
    </row>
    <row r="392" spans="30:327">
      <c r="AD392" t="s">
        <v>112</v>
      </c>
      <c r="AE392" t="s">
        <v>22907</v>
      </c>
      <c r="AF392" s="46">
        <v>0</v>
      </c>
      <c r="AG392" s="113"/>
      <c r="AH392" s="113"/>
      <c r="AI392" s="113"/>
      <c r="AJ392" s="113"/>
      <c r="AK392" s="113"/>
      <c r="AL392" s="46">
        <v>0</v>
      </c>
      <c r="AM392" s="113"/>
      <c r="AN392" s="113"/>
      <c r="AO392" s="113"/>
      <c r="AP392" s="113"/>
      <c r="AQ392" s="113"/>
      <c r="AR392" s="46">
        <v>0</v>
      </c>
      <c r="AS392" s="113"/>
      <c r="AT392" s="113"/>
      <c r="AU392" s="113"/>
      <c r="AV392" s="113"/>
      <c r="AW392" s="113"/>
      <c r="AX392" s="46">
        <v>0</v>
      </c>
      <c r="AY392" s="113"/>
      <c r="AZ392" s="113"/>
      <c r="BA392" s="113"/>
      <c r="BB392" s="113"/>
      <c r="BC392" s="113"/>
      <c r="BD392" s="46">
        <v>0</v>
      </c>
      <c r="BE392" s="113"/>
      <c r="BF392" s="113"/>
      <c r="BG392" s="113"/>
      <c r="BH392" s="113"/>
      <c r="BI392" s="113"/>
      <c r="BJ392" s="46">
        <v>0</v>
      </c>
      <c r="BK392" s="113"/>
      <c r="BL392" s="113"/>
      <c r="BM392" s="113"/>
      <c r="BN392" s="113"/>
      <c r="BO392" s="113"/>
      <c r="BP392" s="121"/>
      <c r="BQ392" s="121"/>
      <c r="GA392" t="s">
        <v>112</v>
      </c>
      <c r="GB392" t="s">
        <v>22907</v>
      </c>
      <c r="GC392" s="46">
        <v>0</v>
      </c>
      <c r="GD392" s="113"/>
      <c r="GE392" s="113"/>
      <c r="GF392" s="113"/>
      <c r="GG392" s="113"/>
      <c r="GH392" s="113"/>
      <c r="GI392" s="46">
        <v>0</v>
      </c>
      <c r="GJ392" s="113"/>
      <c r="GK392" s="113"/>
      <c r="GL392" s="113"/>
      <c r="GM392" s="113"/>
      <c r="GN392" s="113"/>
      <c r="GO392" s="46">
        <v>0</v>
      </c>
      <c r="GP392" s="113"/>
      <c r="GQ392" s="113"/>
      <c r="GR392" s="113"/>
      <c r="GS392" s="113"/>
      <c r="GT392" s="113"/>
      <c r="GU392" s="46">
        <v>0</v>
      </c>
      <c r="GV392" s="113"/>
      <c r="GW392" s="113"/>
      <c r="GX392" s="113"/>
      <c r="GY392" s="113"/>
      <c r="GZ392" s="113"/>
      <c r="HA392" s="46">
        <v>0</v>
      </c>
      <c r="HB392" s="113"/>
      <c r="HC392" s="113"/>
      <c r="HD392" s="113"/>
      <c r="HE392" s="113"/>
      <c r="HF392" s="113"/>
      <c r="HG392" s="46">
        <v>0</v>
      </c>
      <c r="HH392" s="113"/>
      <c r="HI392" s="113"/>
      <c r="HJ392" s="113"/>
      <c r="HK392" s="113"/>
      <c r="HL392" s="113"/>
      <c r="HM392" s="121"/>
      <c r="HN392" s="121"/>
      <c r="LM392" t="str">
        <v/>
      </c>
      <c r="LN392" t="str">
        <v/>
      </c>
      <c r="LO392" t="str">
        <v/>
      </c>
    </row>
    <row r="393" spans="30:327">
      <c r="AD393" t="s">
        <v>112</v>
      </c>
      <c r="AE393" t="s">
        <v>22908</v>
      </c>
      <c r="AF393" s="46">
        <v>0</v>
      </c>
      <c r="AG393" s="113"/>
      <c r="AH393" s="113"/>
      <c r="AI393" s="113"/>
      <c r="AJ393" s="113"/>
      <c r="AK393" s="113"/>
      <c r="AL393" s="46">
        <v>0</v>
      </c>
      <c r="AM393" s="113"/>
      <c r="AN393" s="113"/>
      <c r="AO393" s="113"/>
      <c r="AP393" s="113"/>
      <c r="AQ393" s="113"/>
      <c r="AR393" s="46">
        <v>0</v>
      </c>
      <c r="AS393" s="113"/>
      <c r="AT393" s="113"/>
      <c r="AU393" s="113"/>
      <c r="AV393" s="113"/>
      <c r="AW393" s="113"/>
      <c r="AX393" s="46">
        <v>0</v>
      </c>
      <c r="AY393" s="113"/>
      <c r="AZ393" s="113"/>
      <c r="BA393" s="113"/>
      <c r="BB393" s="113"/>
      <c r="BC393" s="113"/>
      <c r="BD393" s="46">
        <v>0</v>
      </c>
      <c r="BE393" s="113"/>
      <c r="BF393" s="113"/>
      <c r="BG393" s="113"/>
      <c r="BH393" s="113"/>
      <c r="BI393" s="113"/>
      <c r="BJ393" s="46">
        <v>0</v>
      </c>
      <c r="BK393" s="113"/>
      <c r="BL393" s="113"/>
      <c r="BM393" s="113"/>
      <c r="BN393" s="113"/>
      <c r="BO393" s="113"/>
      <c r="BP393" s="121"/>
      <c r="BQ393" s="121"/>
      <c r="GA393" t="s">
        <v>112</v>
      </c>
      <c r="GB393" t="s">
        <v>22908</v>
      </c>
      <c r="GC393" s="46">
        <v>0</v>
      </c>
      <c r="GD393" s="113"/>
      <c r="GE393" s="113"/>
      <c r="GF393" s="113"/>
      <c r="GG393" s="113"/>
      <c r="GH393" s="113"/>
      <c r="GI393" s="46">
        <v>0</v>
      </c>
      <c r="GJ393" s="113"/>
      <c r="GK393" s="113"/>
      <c r="GL393" s="113"/>
      <c r="GM393" s="113"/>
      <c r="GN393" s="113"/>
      <c r="GO393" s="46">
        <v>0</v>
      </c>
      <c r="GP393" s="113"/>
      <c r="GQ393" s="113"/>
      <c r="GR393" s="113"/>
      <c r="GS393" s="113"/>
      <c r="GT393" s="113"/>
      <c r="GU393" s="46">
        <v>0</v>
      </c>
      <c r="GV393" s="113"/>
      <c r="GW393" s="113"/>
      <c r="GX393" s="113"/>
      <c r="GY393" s="113"/>
      <c r="GZ393" s="113"/>
      <c r="HA393" s="46">
        <v>0</v>
      </c>
      <c r="HB393" s="113"/>
      <c r="HC393" s="113"/>
      <c r="HD393" s="113"/>
      <c r="HE393" s="113"/>
      <c r="HF393" s="113"/>
      <c r="HG393" s="46">
        <v>0</v>
      </c>
      <c r="HH393" s="113"/>
      <c r="HI393" s="113"/>
      <c r="HJ393" s="113"/>
      <c r="HK393" s="113"/>
      <c r="HL393" s="113"/>
      <c r="HM393" s="121"/>
      <c r="HN393" s="121"/>
      <c r="LM393" t="str">
        <v/>
      </c>
      <c r="LN393" t="str">
        <v/>
      </c>
      <c r="LO393" t="str">
        <v/>
      </c>
    </row>
    <row r="394" spans="30:327">
      <c r="AD394" t="s">
        <v>112</v>
      </c>
      <c r="AE394" t="s">
        <v>22909</v>
      </c>
      <c r="AF394" s="46">
        <v>0</v>
      </c>
      <c r="AG394" s="113"/>
      <c r="AH394" s="113"/>
      <c r="AI394" s="113"/>
      <c r="AJ394" s="113"/>
      <c r="AK394" s="113"/>
      <c r="AL394" s="46">
        <v>0</v>
      </c>
      <c r="AM394" s="113"/>
      <c r="AN394" s="113"/>
      <c r="AO394" s="113"/>
      <c r="AP394" s="113"/>
      <c r="AQ394" s="113"/>
      <c r="AR394" s="46">
        <v>0</v>
      </c>
      <c r="AS394" s="113"/>
      <c r="AT394" s="113"/>
      <c r="AU394" s="113"/>
      <c r="AV394" s="113"/>
      <c r="AW394" s="113"/>
      <c r="AX394" s="46">
        <v>0</v>
      </c>
      <c r="AY394" s="113"/>
      <c r="AZ394" s="113"/>
      <c r="BA394" s="113"/>
      <c r="BB394" s="113"/>
      <c r="BC394" s="113"/>
      <c r="BD394" s="46">
        <v>0</v>
      </c>
      <c r="BE394" s="113"/>
      <c r="BF394" s="113"/>
      <c r="BG394" s="113"/>
      <c r="BH394" s="113"/>
      <c r="BI394" s="113"/>
      <c r="BJ394" s="46">
        <v>0</v>
      </c>
      <c r="BK394" s="113"/>
      <c r="BL394" s="113"/>
      <c r="BM394" s="113"/>
      <c r="BN394" s="113"/>
      <c r="BO394" s="113"/>
      <c r="BP394" s="121"/>
      <c r="BQ394" s="121"/>
      <c r="GA394" t="s">
        <v>112</v>
      </c>
      <c r="GB394" t="s">
        <v>22909</v>
      </c>
      <c r="GC394" s="46">
        <v>0</v>
      </c>
      <c r="GD394" s="113"/>
      <c r="GE394" s="113"/>
      <c r="GF394" s="113"/>
      <c r="GG394" s="113"/>
      <c r="GH394" s="113"/>
      <c r="GI394" s="46">
        <v>0</v>
      </c>
      <c r="GJ394" s="113"/>
      <c r="GK394" s="113"/>
      <c r="GL394" s="113"/>
      <c r="GM394" s="113"/>
      <c r="GN394" s="113"/>
      <c r="GO394" s="46">
        <v>0</v>
      </c>
      <c r="GP394" s="113"/>
      <c r="GQ394" s="113"/>
      <c r="GR394" s="113"/>
      <c r="GS394" s="113"/>
      <c r="GT394" s="113"/>
      <c r="GU394" s="46">
        <v>0</v>
      </c>
      <c r="GV394" s="113"/>
      <c r="GW394" s="113"/>
      <c r="GX394" s="113"/>
      <c r="GY394" s="113"/>
      <c r="GZ394" s="113"/>
      <c r="HA394" s="46">
        <v>0</v>
      </c>
      <c r="HB394" s="113"/>
      <c r="HC394" s="113"/>
      <c r="HD394" s="113"/>
      <c r="HE394" s="113"/>
      <c r="HF394" s="113"/>
      <c r="HG394" s="46">
        <v>0</v>
      </c>
      <c r="HH394" s="113"/>
      <c r="HI394" s="113"/>
      <c r="HJ394" s="113"/>
      <c r="HK394" s="113"/>
      <c r="HL394" s="113"/>
      <c r="HM394" s="121"/>
      <c r="HN394" s="121"/>
      <c r="LM394" t="str">
        <v/>
      </c>
      <c r="LN394" t="str">
        <v/>
      </c>
      <c r="LO394" t="str">
        <v/>
      </c>
    </row>
    <row r="395" spans="30:327">
      <c r="AD395" t="s">
        <v>112</v>
      </c>
      <c r="AE395" t="s">
        <v>22910</v>
      </c>
      <c r="AF395" s="46">
        <v>0</v>
      </c>
      <c r="AG395" s="113"/>
      <c r="AH395" s="113"/>
      <c r="AI395" s="113"/>
      <c r="AJ395" s="113"/>
      <c r="AK395" s="113"/>
      <c r="AL395" s="46">
        <v>0</v>
      </c>
      <c r="AM395" s="113"/>
      <c r="AN395" s="113"/>
      <c r="AO395" s="113"/>
      <c r="AP395" s="113"/>
      <c r="AQ395" s="113"/>
      <c r="AR395" s="46">
        <v>0</v>
      </c>
      <c r="AS395" s="113"/>
      <c r="AT395" s="113"/>
      <c r="AU395" s="113"/>
      <c r="AV395" s="113"/>
      <c r="AW395" s="113"/>
      <c r="AX395" s="46">
        <v>0</v>
      </c>
      <c r="AY395" s="113"/>
      <c r="AZ395" s="113"/>
      <c r="BA395" s="113"/>
      <c r="BB395" s="113"/>
      <c r="BC395" s="113"/>
      <c r="BD395" s="46">
        <v>0</v>
      </c>
      <c r="BE395" s="113"/>
      <c r="BF395" s="113"/>
      <c r="BG395" s="113"/>
      <c r="BH395" s="113"/>
      <c r="BI395" s="113"/>
      <c r="BJ395" s="46">
        <v>0</v>
      </c>
      <c r="BK395" s="113"/>
      <c r="BL395" s="113"/>
      <c r="BM395" s="113"/>
      <c r="BN395" s="113"/>
      <c r="BO395" s="113"/>
      <c r="BP395" s="121"/>
      <c r="BQ395" s="121"/>
      <c r="GA395" t="s">
        <v>112</v>
      </c>
      <c r="GB395" t="s">
        <v>22910</v>
      </c>
      <c r="GC395" s="46">
        <v>0</v>
      </c>
      <c r="GD395" s="113"/>
      <c r="GE395" s="113"/>
      <c r="GF395" s="113"/>
      <c r="GG395" s="113"/>
      <c r="GH395" s="113"/>
      <c r="GI395" s="46">
        <v>0</v>
      </c>
      <c r="GJ395" s="113"/>
      <c r="GK395" s="113"/>
      <c r="GL395" s="113"/>
      <c r="GM395" s="113"/>
      <c r="GN395" s="113"/>
      <c r="GO395" s="46">
        <v>0</v>
      </c>
      <c r="GP395" s="113"/>
      <c r="GQ395" s="113"/>
      <c r="GR395" s="113"/>
      <c r="GS395" s="113"/>
      <c r="GT395" s="113"/>
      <c r="GU395" s="46">
        <v>0</v>
      </c>
      <c r="GV395" s="113"/>
      <c r="GW395" s="113"/>
      <c r="GX395" s="113"/>
      <c r="GY395" s="113"/>
      <c r="GZ395" s="113"/>
      <c r="HA395" s="46">
        <v>0</v>
      </c>
      <c r="HB395" s="113"/>
      <c r="HC395" s="113"/>
      <c r="HD395" s="113"/>
      <c r="HE395" s="113"/>
      <c r="HF395" s="113"/>
      <c r="HG395" s="46">
        <v>0</v>
      </c>
      <c r="HH395" s="113"/>
      <c r="HI395" s="113"/>
      <c r="HJ395" s="113"/>
      <c r="HK395" s="113"/>
      <c r="HL395" s="113"/>
      <c r="HM395" s="121"/>
      <c r="HN395" s="121"/>
      <c r="LM395" t="str">
        <v/>
      </c>
      <c r="LN395" t="str">
        <v/>
      </c>
      <c r="LO395" t="str">
        <v/>
      </c>
    </row>
    <row r="396" spans="30:327">
      <c r="AD396" t="s">
        <v>112</v>
      </c>
      <c r="AE396" t="s">
        <v>22911</v>
      </c>
      <c r="AF396" s="46">
        <v>0</v>
      </c>
      <c r="AG396" s="113"/>
      <c r="AH396" s="113"/>
      <c r="AI396" s="113"/>
      <c r="AJ396" s="113"/>
      <c r="AK396" s="113"/>
      <c r="AL396" s="46">
        <v>0</v>
      </c>
      <c r="AM396" s="113"/>
      <c r="AN396" s="113"/>
      <c r="AO396" s="113"/>
      <c r="AP396" s="113"/>
      <c r="AQ396" s="113"/>
      <c r="AR396" s="46">
        <v>0</v>
      </c>
      <c r="AS396" s="113"/>
      <c r="AT396" s="113"/>
      <c r="AU396" s="113"/>
      <c r="AV396" s="113"/>
      <c r="AW396" s="113"/>
      <c r="AX396" s="46">
        <v>0</v>
      </c>
      <c r="AY396" s="113"/>
      <c r="AZ396" s="113"/>
      <c r="BA396" s="113"/>
      <c r="BB396" s="113"/>
      <c r="BC396" s="113"/>
      <c r="BD396" s="46">
        <v>0</v>
      </c>
      <c r="BE396" s="113"/>
      <c r="BF396" s="113"/>
      <c r="BG396" s="113"/>
      <c r="BH396" s="113"/>
      <c r="BI396" s="113"/>
      <c r="BJ396" s="46">
        <v>0</v>
      </c>
      <c r="BK396" s="113"/>
      <c r="BL396" s="113"/>
      <c r="BM396" s="113"/>
      <c r="BN396" s="113"/>
      <c r="BO396" s="113"/>
      <c r="BP396" s="121"/>
      <c r="BQ396" s="121"/>
      <c r="GA396" t="s">
        <v>112</v>
      </c>
      <c r="GB396" t="s">
        <v>22911</v>
      </c>
      <c r="GC396" s="46">
        <v>0</v>
      </c>
      <c r="GD396" s="113"/>
      <c r="GE396" s="113"/>
      <c r="GF396" s="113"/>
      <c r="GG396" s="113"/>
      <c r="GH396" s="113"/>
      <c r="GI396" s="46">
        <v>0</v>
      </c>
      <c r="GJ396" s="113"/>
      <c r="GK396" s="113"/>
      <c r="GL396" s="113"/>
      <c r="GM396" s="113"/>
      <c r="GN396" s="113"/>
      <c r="GO396" s="46">
        <v>0</v>
      </c>
      <c r="GP396" s="113"/>
      <c r="GQ396" s="113"/>
      <c r="GR396" s="113"/>
      <c r="GS396" s="113"/>
      <c r="GT396" s="113"/>
      <c r="GU396" s="46">
        <v>0</v>
      </c>
      <c r="GV396" s="113"/>
      <c r="GW396" s="113"/>
      <c r="GX396" s="113"/>
      <c r="GY396" s="113"/>
      <c r="GZ396" s="113"/>
      <c r="HA396" s="46">
        <v>0</v>
      </c>
      <c r="HB396" s="113"/>
      <c r="HC396" s="113"/>
      <c r="HD396" s="113"/>
      <c r="HE396" s="113"/>
      <c r="HF396" s="113"/>
      <c r="HG396" s="46">
        <v>0</v>
      </c>
      <c r="HH396" s="113"/>
      <c r="HI396" s="113"/>
      <c r="HJ396" s="113"/>
      <c r="HK396" s="113"/>
      <c r="HL396" s="113"/>
      <c r="HM396" s="121"/>
      <c r="HN396" s="121"/>
      <c r="LM396" t="str">
        <v/>
      </c>
      <c r="LN396" t="str">
        <v/>
      </c>
      <c r="LO396" t="str">
        <v/>
      </c>
    </row>
    <row r="397" spans="30:327">
      <c r="AD397" t="s">
        <v>112</v>
      </c>
      <c r="AE397" t="s">
        <v>22912</v>
      </c>
      <c r="AF397" s="46">
        <v>0</v>
      </c>
      <c r="AG397" s="113"/>
      <c r="AH397" s="113"/>
      <c r="AI397" s="113"/>
      <c r="AJ397" s="113"/>
      <c r="AK397" s="113"/>
      <c r="AL397" s="46">
        <v>0</v>
      </c>
      <c r="AM397" s="113"/>
      <c r="AN397" s="113"/>
      <c r="AO397" s="113"/>
      <c r="AP397" s="113"/>
      <c r="AQ397" s="113"/>
      <c r="AR397" s="46">
        <v>0</v>
      </c>
      <c r="AS397" s="113"/>
      <c r="AT397" s="113"/>
      <c r="AU397" s="113"/>
      <c r="AV397" s="113"/>
      <c r="AW397" s="113"/>
      <c r="AX397" s="46">
        <v>0</v>
      </c>
      <c r="AY397" s="113"/>
      <c r="AZ397" s="113"/>
      <c r="BA397" s="113"/>
      <c r="BB397" s="113"/>
      <c r="BC397" s="113"/>
      <c r="BD397" s="46">
        <v>0</v>
      </c>
      <c r="BE397" s="113"/>
      <c r="BF397" s="113"/>
      <c r="BG397" s="113"/>
      <c r="BH397" s="113"/>
      <c r="BI397" s="113"/>
      <c r="BJ397" s="46">
        <v>0</v>
      </c>
      <c r="BK397" s="113"/>
      <c r="BL397" s="113"/>
      <c r="BM397" s="113"/>
      <c r="BN397" s="113"/>
      <c r="BO397" s="113"/>
      <c r="BP397" s="121"/>
      <c r="BQ397" s="121"/>
      <c r="GA397" t="s">
        <v>112</v>
      </c>
      <c r="GB397" t="s">
        <v>22912</v>
      </c>
      <c r="GC397" s="46">
        <v>0</v>
      </c>
      <c r="GD397" s="113"/>
      <c r="GE397" s="113"/>
      <c r="GF397" s="113"/>
      <c r="GG397" s="113"/>
      <c r="GH397" s="113"/>
      <c r="GI397" s="46">
        <v>0</v>
      </c>
      <c r="GJ397" s="113"/>
      <c r="GK397" s="113"/>
      <c r="GL397" s="113"/>
      <c r="GM397" s="113"/>
      <c r="GN397" s="113"/>
      <c r="GO397" s="46">
        <v>0</v>
      </c>
      <c r="GP397" s="113"/>
      <c r="GQ397" s="113"/>
      <c r="GR397" s="113"/>
      <c r="GS397" s="113"/>
      <c r="GT397" s="113"/>
      <c r="GU397" s="46">
        <v>0</v>
      </c>
      <c r="GV397" s="113"/>
      <c r="GW397" s="113"/>
      <c r="GX397" s="113"/>
      <c r="GY397" s="113"/>
      <c r="GZ397" s="113"/>
      <c r="HA397" s="46">
        <v>0</v>
      </c>
      <c r="HB397" s="113"/>
      <c r="HC397" s="113"/>
      <c r="HD397" s="113"/>
      <c r="HE397" s="113"/>
      <c r="HF397" s="113"/>
      <c r="HG397" s="46">
        <v>0</v>
      </c>
      <c r="HH397" s="113"/>
      <c r="HI397" s="113"/>
      <c r="HJ397" s="113"/>
      <c r="HK397" s="113"/>
      <c r="HL397" s="113"/>
      <c r="HM397" s="121"/>
      <c r="HN397" s="121"/>
      <c r="LM397" t="str">
        <v/>
      </c>
      <c r="LN397" t="str">
        <v/>
      </c>
      <c r="LO397" t="str">
        <v/>
      </c>
    </row>
    <row r="398" spans="30:327">
      <c r="AD398" t="s">
        <v>112</v>
      </c>
      <c r="AE398" t="s">
        <v>22913</v>
      </c>
      <c r="AF398" s="46">
        <v>0</v>
      </c>
      <c r="AG398" s="113"/>
      <c r="AH398" s="113"/>
      <c r="AI398" s="113"/>
      <c r="AJ398" s="113"/>
      <c r="AK398" s="113"/>
      <c r="AL398" s="46">
        <v>0</v>
      </c>
      <c r="AM398" s="113"/>
      <c r="AN398" s="113"/>
      <c r="AO398" s="113"/>
      <c r="AP398" s="113"/>
      <c r="AQ398" s="113"/>
      <c r="AR398" s="46">
        <v>0</v>
      </c>
      <c r="AS398" s="113"/>
      <c r="AT398" s="113"/>
      <c r="AU398" s="113"/>
      <c r="AV398" s="113"/>
      <c r="AW398" s="113"/>
      <c r="AX398" s="46">
        <v>0</v>
      </c>
      <c r="AY398" s="113"/>
      <c r="AZ398" s="113"/>
      <c r="BA398" s="113"/>
      <c r="BB398" s="113"/>
      <c r="BC398" s="113"/>
      <c r="BD398" s="46">
        <v>0</v>
      </c>
      <c r="BE398" s="113"/>
      <c r="BF398" s="113"/>
      <c r="BG398" s="113"/>
      <c r="BH398" s="113"/>
      <c r="BI398" s="113"/>
      <c r="BJ398" s="46">
        <v>0</v>
      </c>
      <c r="BK398" s="113"/>
      <c r="BL398" s="113"/>
      <c r="BM398" s="113"/>
      <c r="BN398" s="113"/>
      <c r="BO398" s="113"/>
      <c r="BP398" s="121"/>
      <c r="BQ398" s="121"/>
      <c r="GA398" t="s">
        <v>112</v>
      </c>
      <c r="GB398" t="s">
        <v>22913</v>
      </c>
      <c r="GC398" s="46">
        <v>0</v>
      </c>
      <c r="GD398" s="113"/>
      <c r="GE398" s="113"/>
      <c r="GF398" s="113"/>
      <c r="GG398" s="113"/>
      <c r="GH398" s="113"/>
      <c r="GI398" s="46">
        <v>0</v>
      </c>
      <c r="GJ398" s="113"/>
      <c r="GK398" s="113"/>
      <c r="GL398" s="113"/>
      <c r="GM398" s="113"/>
      <c r="GN398" s="113"/>
      <c r="GO398" s="46">
        <v>0</v>
      </c>
      <c r="GP398" s="113"/>
      <c r="GQ398" s="113"/>
      <c r="GR398" s="113"/>
      <c r="GS398" s="113"/>
      <c r="GT398" s="113"/>
      <c r="GU398" s="46">
        <v>0</v>
      </c>
      <c r="GV398" s="113"/>
      <c r="GW398" s="113"/>
      <c r="GX398" s="113"/>
      <c r="GY398" s="113"/>
      <c r="GZ398" s="113"/>
      <c r="HA398" s="46">
        <v>0</v>
      </c>
      <c r="HB398" s="113"/>
      <c r="HC398" s="113"/>
      <c r="HD398" s="113"/>
      <c r="HE398" s="113"/>
      <c r="HF398" s="113"/>
      <c r="HG398" s="46">
        <v>0</v>
      </c>
      <c r="HH398" s="113"/>
      <c r="HI398" s="113"/>
      <c r="HJ398" s="113"/>
      <c r="HK398" s="113"/>
      <c r="HL398" s="113"/>
      <c r="HM398" s="121"/>
      <c r="HN398" s="121"/>
      <c r="LM398" t="str">
        <v/>
      </c>
      <c r="LN398" t="str">
        <v/>
      </c>
      <c r="LO398" t="str">
        <v/>
      </c>
    </row>
    <row r="399" spans="30:327">
      <c r="AD399" t="s">
        <v>112</v>
      </c>
      <c r="AE399" t="s">
        <v>22914</v>
      </c>
      <c r="AF399" s="46">
        <v>0</v>
      </c>
      <c r="AG399" s="113"/>
      <c r="AH399" s="113"/>
      <c r="AI399" s="113"/>
      <c r="AJ399" s="113"/>
      <c r="AK399" s="113"/>
      <c r="AL399" s="46">
        <v>0</v>
      </c>
      <c r="AM399" s="113"/>
      <c r="AN399" s="113"/>
      <c r="AO399" s="113"/>
      <c r="AP399" s="113"/>
      <c r="AQ399" s="113"/>
      <c r="AR399" s="46">
        <v>0</v>
      </c>
      <c r="AS399" s="113"/>
      <c r="AT399" s="113"/>
      <c r="AU399" s="113"/>
      <c r="AV399" s="113"/>
      <c r="AW399" s="113"/>
      <c r="AX399" s="46">
        <v>0</v>
      </c>
      <c r="AY399" s="113"/>
      <c r="AZ399" s="113"/>
      <c r="BA399" s="113"/>
      <c r="BB399" s="113"/>
      <c r="BC399" s="113"/>
      <c r="BD399" s="46">
        <v>0</v>
      </c>
      <c r="BE399" s="113"/>
      <c r="BF399" s="113"/>
      <c r="BG399" s="113"/>
      <c r="BH399" s="113"/>
      <c r="BI399" s="113"/>
      <c r="BJ399" s="46">
        <v>0</v>
      </c>
      <c r="BK399" s="113"/>
      <c r="BL399" s="113"/>
      <c r="BM399" s="113"/>
      <c r="BN399" s="113"/>
      <c r="BO399" s="113"/>
      <c r="BP399" s="121"/>
      <c r="BQ399" s="121"/>
      <c r="GA399" t="s">
        <v>112</v>
      </c>
      <c r="GB399" t="s">
        <v>22914</v>
      </c>
      <c r="GC399" s="46">
        <v>0</v>
      </c>
      <c r="GD399" s="113"/>
      <c r="GE399" s="113"/>
      <c r="GF399" s="113"/>
      <c r="GG399" s="113"/>
      <c r="GH399" s="113"/>
      <c r="GI399" s="46">
        <v>0</v>
      </c>
      <c r="GJ399" s="113"/>
      <c r="GK399" s="113"/>
      <c r="GL399" s="113"/>
      <c r="GM399" s="113"/>
      <c r="GN399" s="113"/>
      <c r="GO399" s="46">
        <v>0</v>
      </c>
      <c r="GP399" s="113"/>
      <c r="GQ399" s="113"/>
      <c r="GR399" s="113"/>
      <c r="GS399" s="113"/>
      <c r="GT399" s="113"/>
      <c r="GU399" s="46">
        <v>0</v>
      </c>
      <c r="GV399" s="113"/>
      <c r="GW399" s="113"/>
      <c r="GX399" s="113"/>
      <c r="GY399" s="113"/>
      <c r="GZ399" s="113"/>
      <c r="HA399" s="46">
        <v>0</v>
      </c>
      <c r="HB399" s="113"/>
      <c r="HC399" s="113"/>
      <c r="HD399" s="113"/>
      <c r="HE399" s="113"/>
      <c r="HF399" s="113"/>
      <c r="HG399" s="46">
        <v>0</v>
      </c>
      <c r="HH399" s="113"/>
      <c r="HI399" s="113"/>
      <c r="HJ399" s="113"/>
      <c r="HK399" s="113"/>
      <c r="HL399" s="113"/>
      <c r="HM399" s="121"/>
      <c r="HN399" s="121"/>
      <c r="LM399" t="str">
        <v/>
      </c>
      <c r="LN399" t="str">
        <v/>
      </c>
      <c r="LO399" t="str">
        <v/>
      </c>
    </row>
    <row r="400" spans="30:327">
      <c r="AD400" t="s">
        <v>112</v>
      </c>
      <c r="AE400" t="s">
        <v>22915</v>
      </c>
      <c r="AF400" s="46">
        <v>0</v>
      </c>
      <c r="AG400" s="113"/>
      <c r="AH400" s="113"/>
      <c r="AI400" s="113"/>
      <c r="AJ400" s="113"/>
      <c r="AK400" s="113"/>
      <c r="AL400" s="46">
        <v>0</v>
      </c>
      <c r="AM400" s="113"/>
      <c r="AN400" s="113"/>
      <c r="AO400" s="113"/>
      <c r="AP400" s="113"/>
      <c r="AQ400" s="113"/>
      <c r="AR400" s="46">
        <v>0</v>
      </c>
      <c r="AS400" s="113"/>
      <c r="AT400" s="113"/>
      <c r="AU400" s="113"/>
      <c r="AV400" s="113"/>
      <c r="AW400" s="113"/>
      <c r="AX400" s="46">
        <v>0</v>
      </c>
      <c r="AY400" s="113"/>
      <c r="AZ400" s="113"/>
      <c r="BA400" s="113"/>
      <c r="BB400" s="113"/>
      <c r="BC400" s="113"/>
      <c r="BD400" s="46">
        <v>0</v>
      </c>
      <c r="BE400" s="113"/>
      <c r="BF400" s="113"/>
      <c r="BG400" s="113"/>
      <c r="BH400" s="113"/>
      <c r="BI400" s="113"/>
      <c r="BJ400" s="46">
        <v>0</v>
      </c>
      <c r="BK400" s="113"/>
      <c r="BL400" s="113"/>
      <c r="BM400" s="113"/>
      <c r="BN400" s="113"/>
      <c r="BO400" s="113"/>
      <c r="BP400" s="121"/>
      <c r="BQ400" s="121"/>
      <c r="GA400" t="s">
        <v>112</v>
      </c>
      <c r="GB400" t="s">
        <v>22915</v>
      </c>
      <c r="GC400" s="46">
        <v>0</v>
      </c>
      <c r="GD400" s="113"/>
      <c r="GE400" s="113"/>
      <c r="GF400" s="113"/>
      <c r="GG400" s="113"/>
      <c r="GH400" s="113"/>
      <c r="GI400" s="46">
        <v>0</v>
      </c>
      <c r="GJ400" s="113"/>
      <c r="GK400" s="113"/>
      <c r="GL400" s="113"/>
      <c r="GM400" s="113"/>
      <c r="GN400" s="113"/>
      <c r="GO400" s="46">
        <v>0</v>
      </c>
      <c r="GP400" s="113"/>
      <c r="GQ400" s="113"/>
      <c r="GR400" s="113"/>
      <c r="GS400" s="113"/>
      <c r="GT400" s="113"/>
      <c r="GU400" s="46">
        <v>0</v>
      </c>
      <c r="GV400" s="113"/>
      <c r="GW400" s="113"/>
      <c r="GX400" s="113"/>
      <c r="GY400" s="113"/>
      <c r="GZ400" s="113"/>
      <c r="HA400" s="46">
        <v>0</v>
      </c>
      <c r="HB400" s="113"/>
      <c r="HC400" s="113"/>
      <c r="HD400" s="113"/>
      <c r="HE400" s="113"/>
      <c r="HF400" s="113"/>
      <c r="HG400" s="46">
        <v>0</v>
      </c>
      <c r="HH400" s="113"/>
      <c r="HI400" s="113"/>
      <c r="HJ400" s="113"/>
      <c r="HK400" s="113"/>
      <c r="HL400" s="113"/>
      <c r="HM400" s="121"/>
      <c r="HN400" s="121"/>
      <c r="LM400" t="str">
        <v/>
      </c>
      <c r="LN400" t="str">
        <v/>
      </c>
      <c r="LO400" t="str">
        <v/>
      </c>
    </row>
    <row r="401" spans="30:327">
      <c r="AD401" t="s">
        <v>112</v>
      </c>
      <c r="AE401" t="s">
        <v>22916</v>
      </c>
      <c r="AF401" s="46">
        <v>0</v>
      </c>
      <c r="AG401" s="113"/>
      <c r="AH401" s="113"/>
      <c r="AI401" s="113"/>
      <c r="AJ401" s="113"/>
      <c r="AK401" s="113"/>
      <c r="AL401" s="46">
        <v>0</v>
      </c>
      <c r="AM401" s="113"/>
      <c r="AN401" s="113"/>
      <c r="AO401" s="113"/>
      <c r="AP401" s="113"/>
      <c r="AQ401" s="113"/>
      <c r="AR401" s="46">
        <v>0</v>
      </c>
      <c r="AS401" s="113"/>
      <c r="AT401" s="113"/>
      <c r="AU401" s="113"/>
      <c r="AV401" s="113"/>
      <c r="AW401" s="113"/>
      <c r="AX401" s="46">
        <v>0</v>
      </c>
      <c r="AY401" s="113"/>
      <c r="AZ401" s="113"/>
      <c r="BA401" s="113"/>
      <c r="BB401" s="113"/>
      <c r="BC401" s="113"/>
      <c r="BD401" s="46">
        <v>0</v>
      </c>
      <c r="BE401" s="113"/>
      <c r="BF401" s="113"/>
      <c r="BG401" s="113"/>
      <c r="BH401" s="113"/>
      <c r="BI401" s="113"/>
      <c r="BJ401" s="46">
        <v>0</v>
      </c>
      <c r="BK401" s="113"/>
      <c r="BL401" s="113"/>
      <c r="BM401" s="113"/>
      <c r="BN401" s="113"/>
      <c r="BO401" s="113"/>
      <c r="BP401" s="121"/>
      <c r="BQ401" s="121"/>
      <c r="GA401" t="s">
        <v>112</v>
      </c>
      <c r="GB401" t="s">
        <v>22916</v>
      </c>
      <c r="GC401" s="46">
        <v>0</v>
      </c>
      <c r="GD401" s="113"/>
      <c r="GE401" s="113"/>
      <c r="GF401" s="113"/>
      <c r="GG401" s="113"/>
      <c r="GH401" s="113"/>
      <c r="GI401" s="46">
        <v>0</v>
      </c>
      <c r="GJ401" s="113"/>
      <c r="GK401" s="113"/>
      <c r="GL401" s="113"/>
      <c r="GM401" s="113"/>
      <c r="GN401" s="113"/>
      <c r="GO401" s="46">
        <v>0</v>
      </c>
      <c r="GP401" s="113"/>
      <c r="GQ401" s="113"/>
      <c r="GR401" s="113"/>
      <c r="GS401" s="113"/>
      <c r="GT401" s="113"/>
      <c r="GU401" s="46">
        <v>0</v>
      </c>
      <c r="GV401" s="113"/>
      <c r="GW401" s="113"/>
      <c r="GX401" s="113"/>
      <c r="GY401" s="113"/>
      <c r="GZ401" s="113"/>
      <c r="HA401" s="46">
        <v>0</v>
      </c>
      <c r="HB401" s="113"/>
      <c r="HC401" s="113"/>
      <c r="HD401" s="113"/>
      <c r="HE401" s="113"/>
      <c r="HF401" s="113"/>
      <c r="HG401" s="46">
        <v>0</v>
      </c>
      <c r="HH401" s="113"/>
      <c r="HI401" s="113"/>
      <c r="HJ401" s="113"/>
      <c r="HK401" s="113"/>
      <c r="HL401" s="113"/>
      <c r="HM401" s="121"/>
      <c r="HN401" s="121"/>
      <c r="LM401" t="str">
        <v/>
      </c>
      <c r="LN401" t="str">
        <v/>
      </c>
      <c r="LO401" t="str">
        <v/>
      </c>
    </row>
    <row r="402" spans="30:327">
      <c r="AD402" t="s">
        <v>112</v>
      </c>
      <c r="AE402" t="s">
        <v>22917</v>
      </c>
      <c r="AF402" s="46">
        <v>0</v>
      </c>
      <c r="AG402" s="113"/>
      <c r="AH402" s="113"/>
      <c r="AI402" s="113"/>
      <c r="AJ402" s="113"/>
      <c r="AK402" s="113"/>
      <c r="AL402" s="46">
        <v>0</v>
      </c>
      <c r="AM402" s="113"/>
      <c r="AN402" s="113"/>
      <c r="AO402" s="113"/>
      <c r="AP402" s="113"/>
      <c r="AQ402" s="113"/>
      <c r="AR402" s="46">
        <v>0</v>
      </c>
      <c r="AS402" s="113"/>
      <c r="AT402" s="113"/>
      <c r="AU402" s="113"/>
      <c r="AV402" s="113"/>
      <c r="AW402" s="113"/>
      <c r="AX402" s="46">
        <v>0</v>
      </c>
      <c r="AY402" s="113"/>
      <c r="AZ402" s="113"/>
      <c r="BA402" s="113"/>
      <c r="BB402" s="113"/>
      <c r="BC402" s="113"/>
      <c r="BD402" s="46">
        <v>0</v>
      </c>
      <c r="BE402" s="113"/>
      <c r="BF402" s="113"/>
      <c r="BG402" s="113"/>
      <c r="BH402" s="113"/>
      <c r="BI402" s="113"/>
      <c r="BJ402" s="46">
        <v>0</v>
      </c>
      <c r="BK402" s="113"/>
      <c r="BL402" s="113"/>
      <c r="BM402" s="113"/>
      <c r="BN402" s="113"/>
      <c r="BO402" s="113"/>
      <c r="BP402" s="121"/>
      <c r="BQ402" s="121"/>
      <c r="GA402" t="s">
        <v>112</v>
      </c>
      <c r="GB402" t="s">
        <v>22917</v>
      </c>
      <c r="GC402" s="46">
        <v>0</v>
      </c>
      <c r="GD402" s="113"/>
      <c r="GE402" s="113"/>
      <c r="GF402" s="113"/>
      <c r="GG402" s="113"/>
      <c r="GH402" s="113"/>
      <c r="GI402" s="46">
        <v>0</v>
      </c>
      <c r="GJ402" s="113"/>
      <c r="GK402" s="113"/>
      <c r="GL402" s="113"/>
      <c r="GM402" s="113"/>
      <c r="GN402" s="113"/>
      <c r="GO402" s="46">
        <v>0</v>
      </c>
      <c r="GP402" s="113"/>
      <c r="GQ402" s="113"/>
      <c r="GR402" s="113"/>
      <c r="GS402" s="113"/>
      <c r="GT402" s="113"/>
      <c r="GU402" s="46">
        <v>0</v>
      </c>
      <c r="GV402" s="113"/>
      <c r="GW402" s="113"/>
      <c r="GX402" s="113"/>
      <c r="GY402" s="113"/>
      <c r="GZ402" s="113"/>
      <c r="HA402" s="46">
        <v>0</v>
      </c>
      <c r="HB402" s="113"/>
      <c r="HC402" s="113"/>
      <c r="HD402" s="113"/>
      <c r="HE402" s="113"/>
      <c r="HF402" s="113"/>
      <c r="HG402" s="46">
        <v>0</v>
      </c>
      <c r="HH402" s="113"/>
      <c r="HI402" s="113"/>
      <c r="HJ402" s="113"/>
      <c r="HK402" s="113"/>
      <c r="HL402" s="113"/>
      <c r="HM402" s="121"/>
      <c r="HN402" s="121"/>
      <c r="LM402" t="str">
        <v/>
      </c>
      <c r="LN402" t="str">
        <v/>
      </c>
      <c r="LO402" t="str">
        <v/>
      </c>
    </row>
    <row r="403" spans="30:327">
      <c r="AD403" t="s">
        <v>112</v>
      </c>
      <c r="AE403" t="s">
        <v>22918</v>
      </c>
      <c r="AF403" s="46">
        <v>0</v>
      </c>
      <c r="AG403" s="113"/>
      <c r="AH403" s="113"/>
      <c r="AI403" s="113"/>
      <c r="AJ403" s="113"/>
      <c r="AK403" s="113"/>
      <c r="AL403" s="46">
        <v>0</v>
      </c>
      <c r="AM403" s="113"/>
      <c r="AN403" s="113"/>
      <c r="AO403" s="113"/>
      <c r="AP403" s="113"/>
      <c r="AQ403" s="113"/>
      <c r="AR403" s="46">
        <v>0</v>
      </c>
      <c r="AS403" s="113"/>
      <c r="AT403" s="113"/>
      <c r="AU403" s="113"/>
      <c r="AV403" s="113"/>
      <c r="AW403" s="113"/>
      <c r="AX403" s="46">
        <v>0</v>
      </c>
      <c r="AY403" s="113"/>
      <c r="AZ403" s="113"/>
      <c r="BA403" s="113"/>
      <c r="BB403" s="113"/>
      <c r="BC403" s="113"/>
      <c r="BD403" s="46">
        <v>0</v>
      </c>
      <c r="BE403" s="113"/>
      <c r="BF403" s="113"/>
      <c r="BG403" s="113"/>
      <c r="BH403" s="113"/>
      <c r="BI403" s="113"/>
      <c r="BJ403" s="46">
        <v>0</v>
      </c>
      <c r="BK403" s="113"/>
      <c r="BL403" s="113"/>
      <c r="BM403" s="113"/>
      <c r="BN403" s="113"/>
      <c r="BO403" s="113"/>
      <c r="BP403" s="121"/>
      <c r="BQ403" s="121"/>
      <c r="GA403" t="s">
        <v>112</v>
      </c>
      <c r="GB403" t="s">
        <v>22918</v>
      </c>
      <c r="GC403" s="46">
        <v>0</v>
      </c>
      <c r="GD403" s="113"/>
      <c r="GE403" s="113"/>
      <c r="GF403" s="113"/>
      <c r="GG403" s="113"/>
      <c r="GH403" s="113"/>
      <c r="GI403" s="46">
        <v>0</v>
      </c>
      <c r="GJ403" s="113"/>
      <c r="GK403" s="113"/>
      <c r="GL403" s="113"/>
      <c r="GM403" s="113"/>
      <c r="GN403" s="113"/>
      <c r="GO403" s="46">
        <v>0</v>
      </c>
      <c r="GP403" s="113"/>
      <c r="GQ403" s="113"/>
      <c r="GR403" s="113"/>
      <c r="GS403" s="113"/>
      <c r="GT403" s="113"/>
      <c r="GU403" s="46">
        <v>0</v>
      </c>
      <c r="GV403" s="113"/>
      <c r="GW403" s="113"/>
      <c r="GX403" s="113"/>
      <c r="GY403" s="113"/>
      <c r="GZ403" s="113"/>
      <c r="HA403" s="46">
        <v>0</v>
      </c>
      <c r="HB403" s="113"/>
      <c r="HC403" s="113"/>
      <c r="HD403" s="113"/>
      <c r="HE403" s="113"/>
      <c r="HF403" s="113"/>
      <c r="HG403" s="46">
        <v>0</v>
      </c>
      <c r="HH403" s="113"/>
      <c r="HI403" s="113"/>
      <c r="HJ403" s="113"/>
      <c r="HK403" s="113"/>
      <c r="HL403" s="113"/>
      <c r="HM403" s="121"/>
      <c r="HN403" s="121"/>
      <c r="LM403" t="str">
        <v/>
      </c>
      <c r="LN403" t="str">
        <v/>
      </c>
      <c r="LO403" t="str">
        <v/>
      </c>
    </row>
    <row r="404" spans="30:327">
      <c r="AD404" t="s">
        <v>112</v>
      </c>
      <c r="AE404" t="s">
        <v>22919</v>
      </c>
      <c r="AF404" s="46">
        <v>0</v>
      </c>
      <c r="AG404" s="113"/>
      <c r="AH404" s="113"/>
      <c r="AI404" s="113"/>
      <c r="AJ404" s="113"/>
      <c r="AK404" s="113"/>
      <c r="AL404" s="46">
        <v>0</v>
      </c>
      <c r="AM404" s="113"/>
      <c r="AN404" s="113"/>
      <c r="AO404" s="113"/>
      <c r="AP404" s="113"/>
      <c r="AQ404" s="113"/>
      <c r="AR404" s="46">
        <v>0</v>
      </c>
      <c r="AS404" s="113"/>
      <c r="AT404" s="113"/>
      <c r="AU404" s="113"/>
      <c r="AV404" s="113"/>
      <c r="AW404" s="113"/>
      <c r="AX404" s="46">
        <v>0</v>
      </c>
      <c r="AY404" s="113"/>
      <c r="AZ404" s="113"/>
      <c r="BA404" s="113"/>
      <c r="BB404" s="113"/>
      <c r="BC404" s="113"/>
      <c r="BD404" s="46">
        <v>0</v>
      </c>
      <c r="BE404" s="113"/>
      <c r="BF404" s="113"/>
      <c r="BG404" s="113"/>
      <c r="BH404" s="113"/>
      <c r="BI404" s="113"/>
      <c r="BJ404" s="46">
        <v>0</v>
      </c>
      <c r="BK404" s="113"/>
      <c r="BL404" s="113"/>
      <c r="BM404" s="113"/>
      <c r="BN404" s="113"/>
      <c r="BO404" s="113"/>
      <c r="BP404" s="121"/>
      <c r="BQ404" s="121"/>
      <c r="GA404" t="s">
        <v>112</v>
      </c>
      <c r="GB404" t="s">
        <v>22919</v>
      </c>
      <c r="GC404" s="46">
        <v>0</v>
      </c>
      <c r="GD404" s="113"/>
      <c r="GE404" s="113"/>
      <c r="GF404" s="113"/>
      <c r="GG404" s="113"/>
      <c r="GH404" s="113"/>
      <c r="GI404" s="46">
        <v>0</v>
      </c>
      <c r="GJ404" s="113"/>
      <c r="GK404" s="113"/>
      <c r="GL404" s="113"/>
      <c r="GM404" s="113"/>
      <c r="GN404" s="113"/>
      <c r="GO404" s="46">
        <v>0</v>
      </c>
      <c r="GP404" s="113"/>
      <c r="GQ404" s="113"/>
      <c r="GR404" s="113"/>
      <c r="GS404" s="113"/>
      <c r="GT404" s="113"/>
      <c r="GU404" s="46">
        <v>0</v>
      </c>
      <c r="GV404" s="113"/>
      <c r="GW404" s="113"/>
      <c r="GX404" s="113"/>
      <c r="GY404" s="113"/>
      <c r="GZ404" s="113"/>
      <c r="HA404" s="46">
        <v>0</v>
      </c>
      <c r="HB404" s="113"/>
      <c r="HC404" s="113"/>
      <c r="HD404" s="113"/>
      <c r="HE404" s="113"/>
      <c r="HF404" s="113"/>
      <c r="HG404" s="46">
        <v>0</v>
      </c>
      <c r="HH404" s="113"/>
      <c r="HI404" s="113"/>
      <c r="HJ404" s="113"/>
      <c r="HK404" s="113"/>
      <c r="HL404" s="113"/>
      <c r="HM404" s="121"/>
      <c r="HN404" s="121"/>
      <c r="LM404" t="str">
        <v/>
      </c>
      <c r="LN404" t="str">
        <v/>
      </c>
      <c r="LO404" t="str">
        <v/>
      </c>
    </row>
    <row r="405" spans="30:327">
      <c r="AD405" t="s">
        <v>112</v>
      </c>
      <c r="AE405" t="s">
        <v>22920</v>
      </c>
      <c r="AF405" s="46">
        <v>0</v>
      </c>
      <c r="AG405" s="113"/>
      <c r="AH405" s="113"/>
      <c r="AI405" s="113"/>
      <c r="AJ405" s="113"/>
      <c r="AK405" s="113"/>
      <c r="AL405" s="46">
        <v>0</v>
      </c>
      <c r="AM405" s="113"/>
      <c r="AN405" s="113"/>
      <c r="AO405" s="113"/>
      <c r="AP405" s="113"/>
      <c r="AQ405" s="113"/>
      <c r="AR405" s="46">
        <v>0</v>
      </c>
      <c r="AS405" s="113"/>
      <c r="AT405" s="113"/>
      <c r="AU405" s="113"/>
      <c r="AV405" s="113"/>
      <c r="AW405" s="113"/>
      <c r="AX405" s="46">
        <v>0</v>
      </c>
      <c r="AY405" s="113"/>
      <c r="AZ405" s="113"/>
      <c r="BA405" s="113"/>
      <c r="BB405" s="113"/>
      <c r="BC405" s="113"/>
      <c r="BD405" s="46">
        <v>0</v>
      </c>
      <c r="BE405" s="113"/>
      <c r="BF405" s="113"/>
      <c r="BG405" s="113"/>
      <c r="BH405" s="113"/>
      <c r="BI405" s="113"/>
      <c r="BJ405" s="46">
        <v>0</v>
      </c>
      <c r="BK405" s="113"/>
      <c r="BL405" s="113"/>
      <c r="BM405" s="113"/>
      <c r="BN405" s="113"/>
      <c r="BO405" s="113"/>
      <c r="BP405" s="121"/>
      <c r="BQ405" s="121"/>
      <c r="GA405" t="s">
        <v>112</v>
      </c>
      <c r="GB405" t="s">
        <v>22920</v>
      </c>
      <c r="GC405" s="46">
        <v>0</v>
      </c>
      <c r="GD405" s="113"/>
      <c r="GE405" s="113"/>
      <c r="GF405" s="113"/>
      <c r="GG405" s="113"/>
      <c r="GH405" s="113"/>
      <c r="GI405" s="46">
        <v>0</v>
      </c>
      <c r="GJ405" s="113"/>
      <c r="GK405" s="113"/>
      <c r="GL405" s="113"/>
      <c r="GM405" s="113"/>
      <c r="GN405" s="113"/>
      <c r="GO405" s="46">
        <v>0</v>
      </c>
      <c r="GP405" s="113"/>
      <c r="GQ405" s="113"/>
      <c r="GR405" s="113"/>
      <c r="GS405" s="113"/>
      <c r="GT405" s="113"/>
      <c r="GU405" s="46">
        <v>0</v>
      </c>
      <c r="GV405" s="113"/>
      <c r="GW405" s="113"/>
      <c r="GX405" s="113"/>
      <c r="GY405" s="113"/>
      <c r="GZ405" s="113"/>
      <c r="HA405" s="46">
        <v>0</v>
      </c>
      <c r="HB405" s="113"/>
      <c r="HC405" s="113"/>
      <c r="HD405" s="113"/>
      <c r="HE405" s="113"/>
      <c r="HF405" s="113"/>
      <c r="HG405" s="46">
        <v>0</v>
      </c>
      <c r="HH405" s="113"/>
      <c r="HI405" s="113"/>
      <c r="HJ405" s="113"/>
      <c r="HK405" s="113"/>
      <c r="HL405" s="113"/>
      <c r="HM405" s="121"/>
      <c r="HN405" s="121"/>
      <c r="LM405" t="str">
        <v/>
      </c>
      <c r="LN405" t="str">
        <v/>
      </c>
      <c r="LO405" t="str">
        <v/>
      </c>
    </row>
    <row r="406" spans="30:327">
      <c r="AD406" t="s">
        <v>112</v>
      </c>
      <c r="AE406" t="s">
        <v>22921</v>
      </c>
      <c r="AF406" s="46">
        <v>0</v>
      </c>
      <c r="AG406" s="113"/>
      <c r="AH406" s="113"/>
      <c r="AI406" s="113"/>
      <c r="AJ406" s="113"/>
      <c r="AK406" s="113"/>
      <c r="AL406" s="46">
        <v>0</v>
      </c>
      <c r="AM406" s="113"/>
      <c r="AN406" s="113"/>
      <c r="AO406" s="113"/>
      <c r="AP406" s="113"/>
      <c r="AQ406" s="113"/>
      <c r="AR406" s="46">
        <v>0</v>
      </c>
      <c r="AS406" s="113"/>
      <c r="AT406" s="113"/>
      <c r="AU406" s="113"/>
      <c r="AV406" s="113"/>
      <c r="AW406" s="113"/>
      <c r="AX406" s="46">
        <v>0</v>
      </c>
      <c r="AY406" s="113"/>
      <c r="AZ406" s="113"/>
      <c r="BA406" s="113"/>
      <c r="BB406" s="113"/>
      <c r="BC406" s="113"/>
      <c r="BD406" s="46">
        <v>0</v>
      </c>
      <c r="BE406" s="113"/>
      <c r="BF406" s="113"/>
      <c r="BG406" s="113"/>
      <c r="BH406" s="113"/>
      <c r="BI406" s="113"/>
      <c r="BJ406" s="46">
        <v>0</v>
      </c>
      <c r="BK406" s="113"/>
      <c r="BL406" s="113"/>
      <c r="BM406" s="113"/>
      <c r="BN406" s="113"/>
      <c r="BO406" s="113"/>
      <c r="BP406" s="121"/>
      <c r="BQ406" s="121"/>
      <c r="GA406" t="s">
        <v>112</v>
      </c>
      <c r="GB406" t="s">
        <v>22921</v>
      </c>
      <c r="GC406" s="46">
        <v>0</v>
      </c>
      <c r="GD406" s="113"/>
      <c r="GE406" s="113"/>
      <c r="GF406" s="113"/>
      <c r="GG406" s="113"/>
      <c r="GH406" s="113"/>
      <c r="GI406" s="46">
        <v>0</v>
      </c>
      <c r="GJ406" s="113"/>
      <c r="GK406" s="113"/>
      <c r="GL406" s="113"/>
      <c r="GM406" s="113"/>
      <c r="GN406" s="113"/>
      <c r="GO406" s="46">
        <v>0</v>
      </c>
      <c r="GP406" s="113"/>
      <c r="GQ406" s="113"/>
      <c r="GR406" s="113"/>
      <c r="GS406" s="113"/>
      <c r="GT406" s="113"/>
      <c r="GU406" s="46">
        <v>0</v>
      </c>
      <c r="GV406" s="113"/>
      <c r="GW406" s="113"/>
      <c r="GX406" s="113"/>
      <c r="GY406" s="113"/>
      <c r="GZ406" s="113"/>
      <c r="HA406" s="46">
        <v>0</v>
      </c>
      <c r="HB406" s="113"/>
      <c r="HC406" s="113"/>
      <c r="HD406" s="113"/>
      <c r="HE406" s="113"/>
      <c r="HF406" s="113"/>
      <c r="HG406" s="46">
        <v>0</v>
      </c>
      <c r="HH406" s="113"/>
      <c r="HI406" s="113"/>
      <c r="HJ406" s="113"/>
      <c r="HK406" s="113"/>
      <c r="HL406" s="113"/>
      <c r="HM406" s="121"/>
      <c r="HN406" s="121"/>
      <c r="LM406" t="str">
        <v/>
      </c>
      <c r="LN406" t="str">
        <v/>
      </c>
      <c r="LO406" t="str">
        <v/>
      </c>
    </row>
    <row r="407" spans="30:327">
      <c r="AD407" t="s">
        <v>112</v>
      </c>
      <c r="AE407" t="s">
        <v>22922</v>
      </c>
      <c r="AF407" s="46">
        <v>0</v>
      </c>
      <c r="AG407" s="113"/>
      <c r="AH407" s="113"/>
      <c r="AI407" s="113"/>
      <c r="AJ407" s="113"/>
      <c r="AK407" s="113"/>
      <c r="AL407" s="46">
        <v>0</v>
      </c>
      <c r="AM407" s="113"/>
      <c r="AN407" s="113"/>
      <c r="AO407" s="113"/>
      <c r="AP407" s="113"/>
      <c r="AQ407" s="113"/>
      <c r="AR407" s="46">
        <v>0</v>
      </c>
      <c r="AS407" s="113"/>
      <c r="AT407" s="113"/>
      <c r="AU407" s="113"/>
      <c r="AV407" s="113"/>
      <c r="AW407" s="113"/>
      <c r="AX407" s="46">
        <v>0</v>
      </c>
      <c r="AY407" s="113"/>
      <c r="AZ407" s="113"/>
      <c r="BA407" s="113"/>
      <c r="BB407" s="113"/>
      <c r="BC407" s="113"/>
      <c r="BD407" s="46">
        <v>0</v>
      </c>
      <c r="BE407" s="113"/>
      <c r="BF407" s="113"/>
      <c r="BG407" s="113"/>
      <c r="BH407" s="113"/>
      <c r="BI407" s="113"/>
      <c r="BJ407" s="46">
        <v>0</v>
      </c>
      <c r="BK407" s="113"/>
      <c r="BL407" s="113"/>
      <c r="BM407" s="113"/>
      <c r="BN407" s="113"/>
      <c r="BO407" s="113"/>
      <c r="BP407" s="121"/>
      <c r="BQ407" s="121"/>
      <c r="GA407" t="s">
        <v>112</v>
      </c>
      <c r="GB407" t="s">
        <v>22922</v>
      </c>
      <c r="GC407" s="46">
        <v>0</v>
      </c>
      <c r="GD407" s="113"/>
      <c r="GE407" s="113"/>
      <c r="GF407" s="113"/>
      <c r="GG407" s="113"/>
      <c r="GH407" s="113"/>
      <c r="GI407" s="46">
        <v>0</v>
      </c>
      <c r="GJ407" s="113"/>
      <c r="GK407" s="113"/>
      <c r="GL407" s="113"/>
      <c r="GM407" s="113"/>
      <c r="GN407" s="113"/>
      <c r="GO407" s="46">
        <v>0</v>
      </c>
      <c r="GP407" s="113"/>
      <c r="GQ407" s="113"/>
      <c r="GR407" s="113"/>
      <c r="GS407" s="113"/>
      <c r="GT407" s="113"/>
      <c r="GU407" s="46">
        <v>0</v>
      </c>
      <c r="GV407" s="113"/>
      <c r="GW407" s="113"/>
      <c r="GX407" s="113"/>
      <c r="GY407" s="113"/>
      <c r="GZ407" s="113"/>
      <c r="HA407" s="46">
        <v>0</v>
      </c>
      <c r="HB407" s="113"/>
      <c r="HC407" s="113"/>
      <c r="HD407" s="113"/>
      <c r="HE407" s="113"/>
      <c r="HF407" s="113"/>
      <c r="HG407" s="46">
        <v>0</v>
      </c>
      <c r="HH407" s="113"/>
      <c r="HI407" s="113"/>
      <c r="HJ407" s="113"/>
      <c r="HK407" s="113"/>
      <c r="HL407" s="113"/>
      <c r="HM407" s="121"/>
      <c r="HN407" s="121"/>
      <c r="LM407" t="str">
        <v/>
      </c>
      <c r="LN407" t="str">
        <v/>
      </c>
      <c r="LO407" t="str">
        <v/>
      </c>
    </row>
    <row r="408" spans="30:327">
      <c r="AD408" t="s">
        <v>112</v>
      </c>
      <c r="AE408" t="s">
        <v>22923</v>
      </c>
      <c r="AF408" s="46">
        <v>0</v>
      </c>
      <c r="AG408" s="113"/>
      <c r="AH408" s="113"/>
      <c r="AI408" s="113"/>
      <c r="AJ408" s="113"/>
      <c r="AK408" s="113"/>
      <c r="AL408" s="46">
        <v>0</v>
      </c>
      <c r="AM408" s="113"/>
      <c r="AN408" s="113"/>
      <c r="AO408" s="113"/>
      <c r="AP408" s="113"/>
      <c r="AQ408" s="113"/>
      <c r="AR408" s="46">
        <v>0</v>
      </c>
      <c r="AS408" s="113"/>
      <c r="AT408" s="113"/>
      <c r="AU408" s="113"/>
      <c r="AV408" s="113"/>
      <c r="AW408" s="113"/>
      <c r="AX408" s="46">
        <v>0</v>
      </c>
      <c r="AY408" s="113"/>
      <c r="AZ408" s="113"/>
      <c r="BA408" s="113"/>
      <c r="BB408" s="113"/>
      <c r="BC408" s="113"/>
      <c r="BD408" s="46">
        <v>0</v>
      </c>
      <c r="BE408" s="113"/>
      <c r="BF408" s="113"/>
      <c r="BG408" s="113"/>
      <c r="BH408" s="113"/>
      <c r="BI408" s="113"/>
      <c r="BJ408" s="46">
        <v>0</v>
      </c>
      <c r="BK408" s="113"/>
      <c r="BL408" s="113"/>
      <c r="BM408" s="113"/>
      <c r="BN408" s="113"/>
      <c r="BO408" s="113"/>
      <c r="BP408" s="121"/>
      <c r="BQ408" s="121"/>
      <c r="GA408" t="s">
        <v>112</v>
      </c>
      <c r="GB408" t="s">
        <v>22923</v>
      </c>
      <c r="GC408" s="46">
        <v>0</v>
      </c>
      <c r="GD408" s="113"/>
      <c r="GE408" s="113"/>
      <c r="GF408" s="113"/>
      <c r="GG408" s="113"/>
      <c r="GH408" s="113"/>
      <c r="GI408" s="46">
        <v>0</v>
      </c>
      <c r="GJ408" s="113"/>
      <c r="GK408" s="113"/>
      <c r="GL408" s="113"/>
      <c r="GM408" s="113"/>
      <c r="GN408" s="113"/>
      <c r="GO408" s="46">
        <v>0</v>
      </c>
      <c r="GP408" s="113"/>
      <c r="GQ408" s="113"/>
      <c r="GR408" s="113"/>
      <c r="GS408" s="113"/>
      <c r="GT408" s="113"/>
      <c r="GU408" s="46">
        <v>0</v>
      </c>
      <c r="GV408" s="113"/>
      <c r="GW408" s="113"/>
      <c r="GX408" s="113"/>
      <c r="GY408" s="113"/>
      <c r="GZ408" s="113"/>
      <c r="HA408" s="46">
        <v>0</v>
      </c>
      <c r="HB408" s="113"/>
      <c r="HC408" s="113"/>
      <c r="HD408" s="113"/>
      <c r="HE408" s="113"/>
      <c r="HF408" s="113"/>
      <c r="HG408" s="46">
        <v>0</v>
      </c>
      <c r="HH408" s="113"/>
      <c r="HI408" s="113"/>
      <c r="HJ408" s="113"/>
      <c r="HK408" s="113"/>
      <c r="HL408" s="113"/>
      <c r="HM408" s="121"/>
      <c r="HN408" s="121"/>
      <c r="LM408" t="str">
        <v/>
      </c>
      <c r="LN408" t="str">
        <v/>
      </c>
      <c r="LO408" t="str">
        <v/>
      </c>
    </row>
    <row r="409" spans="30:327">
      <c r="AD409" t="s">
        <v>112</v>
      </c>
      <c r="AE409" t="s">
        <v>22924</v>
      </c>
      <c r="AF409" s="46">
        <v>0</v>
      </c>
      <c r="AG409" s="113"/>
      <c r="AH409" s="113"/>
      <c r="AI409" s="113"/>
      <c r="AJ409" s="113"/>
      <c r="AK409" s="113"/>
      <c r="AL409" s="46">
        <v>0</v>
      </c>
      <c r="AM409" s="113"/>
      <c r="AN409" s="113"/>
      <c r="AO409" s="113"/>
      <c r="AP409" s="113"/>
      <c r="AQ409" s="113"/>
      <c r="AR409" s="46">
        <v>0</v>
      </c>
      <c r="AS409" s="113"/>
      <c r="AT409" s="113"/>
      <c r="AU409" s="113"/>
      <c r="AV409" s="113"/>
      <c r="AW409" s="113"/>
      <c r="AX409" s="46">
        <v>0</v>
      </c>
      <c r="AY409" s="113"/>
      <c r="AZ409" s="113"/>
      <c r="BA409" s="113"/>
      <c r="BB409" s="113"/>
      <c r="BC409" s="113"/>
      <c r="BD409" s="46">
        <v>0</v>
      </c>
      <c r="BE409" s="113"/>
      <c r="BF409" s="113"/>
      <c r="BG409" s="113"/>
      <c r="BH409" s="113"/>
      <c r="BI409" s="113"/>
      <c r="BJ409" s="46">
        <v>0</v>
      </c>
      <c r="BK409" s="113"/>
      <c r="BL409" s="113"/>
      <c r="BM409" s="113"/>
      <c r="BN409" s="113"/>
      <c r="BO409" s="113"/>
      <c r="BP409" s="121"/>
      <c r="BQ409" s="121"/>
      <c r="GA409" t="s">
        <v>112</v>
      </c>
      <c r="GB409" t="s">
        <v>22924</v>
      </c>
      <c r="GC409" s="46">
        <v>0</v>
      </c>
      <c r="GD409" s="113"/>
      <c r="GE409" s="113"/>
      <c r="GF409" s="113"/>
      <c r="GG409" s="113"/>
      <c r="GH409" s="113"/>
      <c r="GI409" s="46">
        <v>0</v>
      </c>
      <c r="GJ409" s="113"/>
      <c r="GK409" s="113"/>
      <c r="GL409" s="113"/>
      <c r="GM409" s="113"/>
      <c r="GN409" s="113"/>
      <c r="GO409" s="46">
        <v>0</v>
      </c>
      <c r="GP409" s="113"/>
      <c r="GQ409" s="113"/>
      <c r="GR409" s="113"/>
      <c r="GS409" s="113"/>
      <c r="GT409" s="113"/>
      <c r="GU409" s="46">
        <v>0</v>
      </c>
      <c r="GV409" s="113"/>
      <c r="GW409" s="113"/>
      <c r="GX409" s="113"/>
      <c r="GY409" s="113"/>
      <c r="GZ409" s="113"/>
      <c r="HA409" s="46">
        <v>0</v>
      </c>
      <c r="HB409" s="113"/>
      <c r="HC409" s="113"/>
      <c r="HD409" s="113"/>
      <c r="HE409" s="113"/>
      <c r="HF409" s="113"/>
      <c r="HG409" s="46">
        <v>0</v>
      </c>
      <c r="HH409" s="113"/>
      <c r="HI409" s="113"/>
      <c r="HJ409" s="113"/>
      <c r="HK409" s="113"/>
      <c r="HL409" s="113"/>
      <c r="HM409" s="121"/>
      <c r="HN409" s="121"/>
      <c r="LM409" t="str">
        <v/>
      </c>
      <c r="LN409" t="str">
        <v/>
      </c>
      <c r="LO409" t="str">
        <v/>
      </c>
    </row>
    <row r="410" spans="30:327">
      <c r="AD410" t="s">
        <v>112</v>
      </c>
      <c r="AE410" t="s">
        <v>22925</v>
      </c>
      <c r="AF410" s="46">
        <v>0</v>
      </c>
      <c r="AG410" s="113"/>
      <c r="AH410" s="113"/>
      <c r="AI410" s="113"/>
      <c r="AJ410" s="113"/>
      <c r="AK410" s="113"/>
      <c r="AL410" s="46">
        <v>0</v>
      </c>
      <c r="AM410" s="113"/>
      <c r="AN410" s="113"/>
      <c r="AO410" s="113"/>
      <c r="AP410" s="113"/>
      <c r="AQ410" s="113"/>
      <c r="AR410" s="46">
        <v>0</v>
      </c>
      <c r="AS410" s="113"/>
      <c r="AT410" s="113"/>
      <c r="AU410" s="113"/>
      <c r="AV410" s="113"/>
      <c r="AW410" s="113"/>
      <c r="AX410" s="46">
        <v>0</v>
      </c>
      <c r="AY410" s="113"/>
      <c r="AZ410" s="113"/>
      <c r="BA410" s="113"/>
      <c r="BB410" s="113"/>
      <c r="BC410" s="113"/>
      <c r="BD410" s="46">
        <v>0</v>
      </c>
      <c r="BE410" s="113"/>
      <c r="BF410" s="113"/>
      <c r="BG410" s="113"/>
      <c r="BH410" s="113"/>
      <c r="BI410" s="113"/>
      <c r="BJ410" s="46">
        <v>0</v>
      </c>
      <c r="BK410" s="113"/>
      <c r="BL410" s="113"/>
      <c r="BM410" s="113"/>
      <c r="BN410" s="113"/>
      <c r="BO410" s="113"/>
      <c r="BP410" s="121"/>
      <c r="BQ410" s="121"/>
      <c r="GA410" t="s">
        <v>112</v>
      </c>
      <c r="GB410" t="s">
        <v>22925</v>
      </c>
      <c r="GC410" s="46">
        <v>0</v>
      </c>
      <c r="GD410" s="113"/>
      <c r="GE410" s="113"/>
      <c r="GF410" s="113"/>
      <c r="GG410" s="113"/>
      <c r="GH410" s="113"/>
      <c r="GI410" s="46">
        <v>0</v>
      </c>
      <c r="GJ410" s="113"/>
      <c r="GK410" s="113"/>
      <c r="GL410" s="113"/>
      <c r="GM410" s="113"/>
      <c r="GN410" s="113"/>
      <c r="GO410" s="46">
        <v>0</v>
      </c>
      <c r="GP410" s="113"/>
      <c r="GQ410" s="113"/>
      <c r="GR410" s="113"/>
      <c r="GS410" s="113"/>
      <c r="GT410" s="113"/>
      <c r="GU410" s="46">
        <v>0</v>
      </c>
      <c r="GV410" s="113"/>
      <c r="GW410" s="113"/>
      <c r="GX410" s="113"/>
      <c r="GY410" s="113"/>
      <c r="GZ410" s="113"/>
      <c r="HA410" s="46">
        <v>0</v>
      </c>
      <c r="HB410" s="113"/>
      <c r="HC410" s="113"/>
      <c r="HD410" s="113"/>
      <c r="HE410" s="113"/>
      <c r="HF410" s="113"/>
      <c r="HG410" s="46">
        <v>0</v>
      </c>
      <c r="HH410" s="113"/>
      <c r="HI410" s="113"/>
      <c r="HJ410" s="113"/>
      <c r="HK410" s="113"/>
      <c r="HL410" s="113"/>
      <c r="HM410" s="121"/>
      <c r="HN410" s="121"/>
      <c r="LM410" t="str">
        <v/>
      </c>
      <c r="LN410" t="str">
        <v/>
      </c>
      <c r="LO410" t="str">
        <v/>
      </c>
    </row>
    <row r="411" spans="30:327">
      <c r="AD411" t="s">
        <v>112</v>
      </c>
      <c r="AE411" t="s">
        <v>22926</v>
      </c>
      <c r="AF411" s="46">
        <v>0</v>
      </c>
      <c r="AG411" s="113"/>
      <c r="AH411" s="113"/>
      <c r="AI411" s="113"/>
      <c r="AJ411" s="113"/>
      <c r="AK411" s="113"/>
      <c r="AL411" s="46">
        <v>0</v>
      </c>
      <c r="AM411" s="113"/>
      <c r="AN411" s="113"/>
      <c r="AO411" s="113"/>
      <c r="AP411" s="113"/>
      <c r="AQ411" s="113"/>
      <c r="AR411" s="46">
        <v>0</v>
      </c>
      <c r="AS411" s="113"/>
      <c r="AT411" s="113"/>
      <c r="AU411" s="113"/>
      <c r="AV411" s="113"/>
      <c r="AW411" s="113"/>
      <c r="AX411" s="46">
        <v>0</v>
      </c>
      <c r="AY411" s="113"/>
      <c r="AZ411" s="113"/>
      <c r="BA411" s="113"/>
      <c r="BB411" s="113"/>
      <c r="BC411" s="113"/>
      <c r="BD411" s="46">
        <v>0</v>
      </c>
      <c r="BE411" s="113"/>
      <c r="BF411" s="113"/>
      <c r="BG411" s="113"/>
      <c r="BH411" s="113"/>
      <c r="BI411" s="113"/>
      <c r="BJ411" s="46">
        <v>0</v>
      </c>
      <c r="BK411" s="113"/>
      <c r="BL411" s="113"/>
      <c r="BM411" s="113"/>
      <c r="BN411" s="113"/>
      <c r="BO411" s="113"/>
      <c r="BP411" s="121"/>
      <c r="BQ411" s="121"/>
      <c r="GA411" t="s">
        <v>112</v>
      </c>
      <c r="GB411" t="s">
        <v>22926</v>
      </c>
      <c r="GC411" s="46">
        <v>0</v>
      </c>
      <c r="GD411" s="113"/>
      <c r="GE411" s="113"/>
      <c r="GF411" s="113"/>
      <c r="GG411" s="113"/>
      <c r="GH411" s="113"/>
      <c r="GI411" s="46">
        <v>0</v>
      </c>
      <c r="GJ411" s="113"/>
      <c r="GK411" s="113"/>
      <c r="GL411" s="113"/>
      <c r="GM411" s="113"/>
      <c r="GN411" s="113"/>
      <c r="GO411" s="46">
        <v>0</v>
      </c>
      <c r="GP411" s="113"/>
      <c r="GQ411" s="113"/>
      <c r="GR411" s="113"/>
      <c r="GS411" s="113"/>
      <c r="GT411" s="113"/>
      <c r="GU411" s="46">
        <v>0</v>
      </c>
      <c r="GV411" s="113"/>
      <c r="GW411" s="113"/>
      <c r="GX411" s="113"/>
      <c r="GY411" s="113"/>
      <c r="GZ411" s="113"/>
      <c r="HA411" s="46">
        <v>0</v>
      </c>
      <c r="HB411" s="113"/>
      <c r="HC411" s="113"/>
      <c r="HD411" s="113"/>
      <c r="HE411" s="113"/>
      <c r="HF411" s="113"/>
      <c r="HG411" s="46">
        <v>0</v>
      </c>
      <c r="HH411" s="113"/>
      <c r="HI411" s="113"/>
      <c r="HJ411" s="113"/>
      <c r="HK411" s="113"/>
      <c r="HL411" s="113"/>
      <c r="HM411" s="121"/>
      <c r="HN411" s="121"/>
      <c r="LM411" t="str">
        <v/>
      </c>
      <c r="LN411" t="str">
        <v/>
      </c>
      <c r="LO411" t="str">
        <v/>
      </c>
    </row>
    <row r="412" spans="30:327">
      <c r="AD412" t="s">
        <v>112</v>
      </c>
      <c r="AE412" t="s">
        <v>22927</v>
      </c>
      <c r="AF412" s="46">
        <v>0</v>
      </c>
      <c r="AG412" s="113"/>
      <c r="AH412" s="113"/>
      <c r="AI412" s="113"/>
      <c r="AJ412" s="113"/>
      <c r="AK412" s="113"/>
      <c r="AL412" s="46">
        <v>0</v>
      </c>
      <c r="AM412" s="113"/>
      <c r="AN412" s="113"/>
      <c r="AO412" s="113"/>
      <c r="AP412" s="113"/>
      <c r="AQ412" s="113"/>
      <c r="AR412" s="46">
        <v>0</v>
      </c>
      <c r="AS412" s="113"/>
      <c r="AT412" s="113"/>
      <c r="AU412" s="113"/>
      <c r="AV412" s="113"/>
      <c r="AW412" s="113"/>
      <c r="AX412" s="46">
        <v>0</v>
      </c>
      <c r="AY412" s="113"/>
      <c r="AZ412" s="113"/>
      <c r="BA412" s="113"/>
      <c r="BB412" s="113"/>
      <c r="BC412" s="113"/>
      <c r="BD412" s="46">
        <v>0</v>
      </c>
      <c r="BE412" s="113"/>
      <c r="BF412" s="113"/>
      <c r="BG412" s="113"/>
      <c r="BH412" s="113"/>
      <c r="BI412" s="113"/>
      <c r="BJ412" s="46">
        <v>0</v>
      </c>
      <c r="BK412" s="113"/>
      <c r="BL412" s="113"/>
      <c r="BM412" s="113"/>
      <c r="BN412" s="113"/>
      <c r="BO412" s="113"/>
      <c r="BP412" s="121"/>
      <c r="BQ412" s="121"/>
      <c r="GA412" t="s">
        <v>112</v>
      </c>
      <c r="GB412" t="s">
        <v>22927</v>
      </c>
      <c r="GC412" s="46">
        <v>0</v>
      </c>
      <c r="GD412" s="113"/>
      <c r="GE412" s="113"/>
      <c r="GF412" s="113"/>
      <c r="GG412" s="113"/>
      <c r="GH412" s="113"/>
      <c r="GI412" s="46">
        <v>0</v>
      </c>
      <c r="GJ412" s="113"/>
      <c r="GK412" s="113"/>
      <c r="GL412" s="113"/>
      <c r="GM412" s="113"/>
      <c r="GN412" s="113"/>
      <c r="GO412" s="46">
        <v>0</v>
      </c>
      <c r="GP412" s="113"/>
      <c r="GQ412" s="113"/>
      <c r="GR412" s="113"/>
      <c r="GS412" s="113"/>
      <c r="GT412" s="113"/>
      <c r="GU412" s="46">
        <v>0</v>
      </c>
      <c r="GV412" s="113"/>
      <c r="GW412" s="113"/>
      <c r="GX412" s="113"/>
      <c r="GY412" s="113"/>
      <c r="GZ412" s="113"/>
      <c r="HA412" s="46">
        <v>0</v>
      </c>
      <c r="HB412" s="113"/>
      <c r="HC412" s="113"/>
      <c r="HD412" s="113"/>
      <c r="HE412" s="113"/>
      <c r="HF412" s="113"/>
      <c r="HG412" s="46">
        <v>0</v>
      </c>
      <c r="HH412" s="113"/>
      <c r="HI412" s="113"/>
      <c r="HJ412" s="113"/>
      <c r="HK412" s="113"/>
      <c r="HL412" s="113"/>
      <c r="HM412" s="121"/>
      <c r="HN412" s="121"/>
      <c r="LM412" t="str">
        <v/>
      </c>
      <c r="LN412" t="str">
        <v/>
      </c>
      <c r="LO412" t="str">
        <v/>
      </c>
    </row>
    <row r="413" spans="30:327">
      <c r="AD413" t="s">
        <v>112</v>
      </c>
      <c r="AE413" t="s">
        <v>22928</v>
      </c>
      <c r="AF413" s="46">
        <v>0</v>
      </c>
      <c r="AG413" s="113"/>
      <c r="AH413" s="113"/>
      <c r="AI413" s="113"/>
      <c r="AJ413" s="113"/>
      <c r="AK413" s="113"/>
      <c r="AL413" s="46">
        <v>0</v>
      </c>
      <c r="AM413" s="113"/>
      <c r="AN413" s="113"/>
      <c r="AO413" s="113"/>
      <c r="AP413" s="113"/>
      <c r="AQ413" s="113"/>
      <c r="AR413" s="46">
        <v>0</v>
      </c>
      <c r="AS413" s="113"/>
      <c r="AT413" s="113"/>
      <c r="AU413" s="113"/>
      <c r="AV413" s="113"/>
      <c r="AW413" s="113"/>
      <c r="AX413" s="46">
        <v>0</v>
      </c>
      <c r="AY413" s="113"/>
      <c r="AZ413" s="113"/>
      <c r="BA413" s="113"/>
      <c r="BB413" s="113"/>
      <c r="BC413" s="113"/>
      <c r="BD413" s="46">
        <v>0</v>
      </c>
      <c r="BE413" s="113"/>
      <c r="BF413" s="113"/>
      <c r="BG413" s="113"/>
      <c r="BH413" s="113"/>
      <c r="BI413" s="113"/>
      <c r="BJ413" s="46">
        <v>0</v>
      </c>
      <c r="BK413" s="113"/>
      <c r="BL413" s="113"/>
      <c r="BM413" s="113"/>
      <c r="BN413" s="113"/>
      <c r="BO413" s="113"/>
      <c r="BP413" s="121"/>
      <c r="BQ413" s="121"/>
      <c r="GA413" t="s">
        <v>112</v>
      </c>
      <c r="GB413" t="s">
        <v>22928</v>
      </c>
      <c r="GC413" s="46">
        <v>0</v>
      </c>
      <c r="GD413" s="113"/>
      <c r="GE413" s="113"/>
      <c r="GF413" s="113"/>
      <c r="GG413" s="113"/>
      <c r="GH413" s="113"/>
      <c r="GI413" s="46">
        <v>0</v>
      </c>
      <c r="GJ413" s="113"/>
      <c r="GK413" s="113"/>
      <c r="GL413" s="113"/>
      <c r="GM413" s="113"/>
      <c r="GN413" s="113"/>
      <c r="GO413" s="46">
        <v>0</v>
      </c>
      <c r="GP413" s="113"/>
      <c r="GQ413" s="113"/>
      <c r="GR413" s="113"/>
      <c r="GS413" s="113"/>
      <c r="GT413" s="113"/>
      <c r="GU413" s="46">
        <v>0</v>
      </c>
      <c r="GV413" s="113"/>
      <c r="GW413" s="113"/>
      <c r="GX413" s="113"/>
      <c r="GY413" s="113"/>
      <c r="GZ413" s="113"/>
      <c r="HA413" s="46">
        <v>0</v>
      </c>
      <c r="HB413" s="113"/>
      <c r="HC413" s="113"/>
      <c r="HD413" s="113"/>
      <c r="HE413" s="113"/>
      <c r="HF413" s="113"/>
      <c r="HG413" s="46">
        <v>0</v>
      </c>
      <c r="HH413" s="113"/>
      <c r="HI413" s="113"/>
      <c r="HJ413" s="113"/>
      <c r="HK413" s="113"/>
      <c r="HL413" s="113"/>
      <c r="HM413" s="121"/>
      <c r="HN413" s="121"/>
      <c r="LM413" t="str">
        <v/>
      </c>
      <c r="LN413" t="str">
        <v/>
      </c>
      <c r="LO413" t="str">
        <v/>
      </c>
    </row>
    <row r="414" spans="30:327">
      <c r="AD414" t="s">
        <v>112</v>
      </c>
      <c r="AE414" t="s">
        <v>22929</v>
      </c>
      <c r="AF414" s="46">
        <v>0</v>
      </c>
      <c r="AG414" s="113"/>
      <c r="AH414" s="113"/>
      <c r="AI414" s="113"/>
      <c r="AJ414" s="113"/>
      <c r="AK414" s="113"/>
      <c r="AL414" s="46">
        <v>0</v>
      </c>
      <c r="AM414" s="113"/>
      <c r="AN414" s="113"/>
      <c r="AO414" s="113"/>
      <c r="AP414" s="113"/>
      <c r="AQ414" s="113"/>
      <c r="AR414" s="46">
        <v>0</v>
      </c>
      <c r="AS414" s="113"/>
      <c r="AT414" s="113"/>
      <c r="AU414" s="113"/>
      <c r="AV414" s="113"/>
      <c r="AW414" s="113"/>
      <c r="AX414" s="46">
        <v>0</v>
      </c>
      <c r="AY414" s="113"/>
      <c r="AZ414" s="113"/>
      <c r="BA414" s="113"/>
      <c r="BB414" s="113"/>
      <c r="BC414" s="113"/>
      <c r="BD414" s="46">
        <v>0</v>
      </c>
      <c r="BE414" s="113"/>
      <c r="BF414" s="113"/>
      <c r="BG414" s="113"/>
      <c r="BH414" s="113"/>
      <c r="BI414" s="113"/>
      <c r="BJ414" s="46">
        <v>0</v>
      </c>
      <c r="BK414" s="113"/>
      <c r="BL414" s="113"/>
      <c r="BM414" s="113"/>
      <c r="BN414" s="113"/>
      <c r="BO414" s="113"/>
      <c r="BP414" s="121"/>
      <c r="BQ414" s="121"/>
      <c r="GA414" t="s">
        <v>112</v>
      </c>
      <c r="GB414" t="s">
        <v>22929</v>
      </c>
      <c r="GC414" s="46">
        <v>0</v>
      </c>
      <c r="GD414" s="113"/>
      <c r="GE414" s="113"/>
      <c r="GF414" s="113"/>
      <c r="GG414" s="113"/>
      <c r="GH414" s="113"/>
      <c r="GI414" s="46">
        <v>0</v>
      </c>
      <c r="GJ414" s="113"/>
      <c r="GK414" s="113"/>
      <c r="GL414" s="113"/>
      <c r="GM414" s="113"/>
      <c r="GN414" s="113"/>
      <c r="GO414" s="46">
        <v>0</v>
      </c>
      <c r="GP414" s="113"/>
      <c r="GQ414" s="113"/>
      <c r="GR414" s="113"/>
      <c r="GS414" s="113"/>
      <c r="GT414" s="113"/>
      <c r="GU414" s="46">
        <v>0</v>
      </c>
      <c r="GV414" s="113"/>
      <c r="GW414" s="113"/>
      <c r="GX414" s="113"/>
      <c r="GY414" s="113"/>
      <c r="GZ414" s="113"/>
      <c r="HA414" s="46">
        <v>0</v>
      </c>
      <c r="HB414" s="113"/>
      <c r="HC414" s="113"/>
      <c r="HD414" s="113"/>
      <c r="HE414" s="113"/>
      <c r="HF414" s="113"/>
      <c r="HG414" s="46">
        <v>0</v>
      </c>
      <c r="HH414" s="113"/>
      <c r="HI414" s="113"/>
      <c r="HJ414" s="113"/>
      <c r="HK414" s="113"/>
      <c r="HL414" s="113"/>
      <c r="HM414" s="121"/>
      <c r="HN414" s="121"/>
      <c r="LM414" t="str">
        <v/>
      </c>
      <c r="LN414" t="str">
        <v/>
      </c>
      <c r="LO414" t="str">
        <v/>
      </c>
    </row>
    <row r="415" spans="30:327">
      <c r="AD415" t="s">
        <v>112</v>
      </c>
      <c r="AE415" t="s">
        <v>22930</v>
      </c>
      <c r="AF415" s="46">
        <v>0</v>
      </c>
      <c r="AG415" s="113"/>
      <c r="AH415" s="113"/>
      <c r="AI415" s="113"/>
      <c r="AJ415" s="113"/>
      <c r="AK415" s="113"/>
      <c r="AL415" s="46">
        <v>0</v>
      </c>
      <c r="AM415" s="113"/>
      <c r="AN415" s="113"/>
      <c r="AO415" s="113"/>
      <c r="AP415" s="113"/>
      <c r="AQ415" s="113"/>
      <c r="AR415" s="46">
        <v>0</v>
      </c>
      <c r="AS415" s="113"/>
      <c r="AT415" s="113"/>
      <c r="AU415" s="113"/>
      <c r="AV415" s="113"/>
      <c r="AW415" s="113"/>
      <c r="AX415" s="46">
        <v>0</v>
      </c>
      <c r="AY415" s="113"/>
      <c r="AZ415" s="113"/>
      <c r="BA415" s="113"/>
      <c r="BB415" s="113"/>
      <c r="BC415" s="113"/>
      <c r="BD415" s="46">
        <v>0</v>
      </c>
      <c r="BE415" s="113"/>
      <c r="BF415" s="113"/>
      <c r="BG415" s="113"/>
      <c r="BH415" s="113"/>
      <c r="BI415" s="113"/>
      <c r="BJ415" s="46">
        <v>0</v>
      </c>
      <c r="BK415" s="113"/>
      <c r="BL415" s="113"/>
      <c r="BM415" s="113"/>
      <c r="BN415" s="113"/>
      <c r="BO415" s="113"/>
      <c r="BP415" s="121"/>
      <c r="BQ415" s="121"/>
      <c r="GA415" t="s">
        <v>112</v>
      </c>
      <c r="GB415" t="s">
        <v>22930</v>
      </c>
      <c r="GC415" s="46">
        <v>0</v>
      </c>
      <c r="GD415" s="113"/>
      <c r="GE415" s="113"/>
      <c r="GF415" s="113"/>
      <c r="GG415" s="113"/>
      <c r="GH415" s="113"/>
      <c r="GI415" s="46">
        <v>0</v>
      </c>
      <c r="GJ415" s="113"/>
      <c r="GK415" s="113"/>
      <c r="GL415" s="113"/>
      <c r="GM415" s="113"/>
      <c r="GN415" s="113"/>
      <c r="GO415" s="46">
        <v>0</v>
      </c>
      <c r="GP415" s="113"/>
      <c r="GQ415" s="113"/>
      <c r="GR415" s="113"/>
      <c r="GS415" s="113"/>
      <c r="GT415" s="113"/>
      <c r="GU415" s="46">
        <v>0</v>
      </c>
      <c r="GV415" s="113"/>
      <c r="GW415" s="113"/>
      <c r="GX415" s="113"/>
      <c r="GY415" s="113"/>
      <c r="GZ415" s="113"/>
      <c r="HA415" s="46">
        <v>0</v>
      </c>
      <c r="HB415" s="113"/>
      <c r="HC415" s="113"/>
      <c r="HD415" s="113"/>
      <c r="HE415" s="113"/>
      <c r="HF415" s="113"/>
      <c r="HG415" s="46">
        <v>0</v>
      </c>
      <c r="HH415" s="113"/>
      <c r="HI415" s="113"/>
      <c r="HJ415" s="113"/>
      <c r="HK415" s="113"/>
      <c r="HL415" s="113"/>
      <c r="HM415" s="121"/>
      <c r="HN415" s="121"/>
      <c r="LM415" t="str">
        <v/>
      </c>
      <c r="LN415" t="str">
        <v/>
      </c>
      <c r="LO415" t="str">
        <v/>
      </c>
    </row>
    <row r="416" spans="30:327">
      <c r="AD416" t="s">
        <v>112</v>
      </c>
      <c r="AE416" t="s">
        <v>22931</v>
      </c>
      <c r="AF416" s="46">
        <v>0</v>
      </c>
      <c r="AG416" s="113"/>
      <c r="AH416" s="113"/>
      <c r="AI416" s="113"/>
      <c r="AJ416" s="113"/>
      <c r="AK416" s="113"/>
      <c r="AL416" s="46">
        <v>0</v>
      </c>
      <c r="AM416" s="113"/>
      <c r="AN416" s="113"/>
      <c r="AO416" s="113"/>
      <c r="AP416" s="113"/>
      <c r="AQ416" s="113"/>
      <c r="AR416" s="46">
        <v>0</v>
      </c>
      <c r="AS416" s="113"/>
      <c r="AT416" s="113"/>
      <c r="AU416" s="113"/>
      <c r="AV416" s="113"/>
      <c r="AW416" s="113"/>
      <c r="AX416" s="46">
        <v>0</v>
      </c>
      <c r="AY416" s="113"/>
      <c r="AZ416" s="113"/>
      <c r="BA416" s="113"/>
      <c r="BB416" s="113"/>
      <c r="BC416" s="113"/>
      <c r="BD416" s="46">
        <v>0</v>
      </c>
      <c r="BE416" s="113"/>
      <c r="BF416" s="113"/>
      <c r="BG416" s="113"/>
      <c r="BH416" s="113"/>
      <c r="BI416" s="113"/>
      <c r="BJ416" s="46">
        <v>0</v>
      </c>
      <c r="BK416" s="113"/>
      <c r="BL416" s="113"/>
      <c r="BM416" s="113"/>
      <c r="BN416" s="113"/>
      <c r="BO416" s="113"/>
      <c r="BP416" s="121"/>
      <c r="BQ416" s="121"/>
      <c r="GA416" t="s">
        <v>112</v>
      </c>
      <c r="GB416" t="s">
        <v>22931</v>
      </c>
      <c r="GC416" s="46">
        <v>0</v>
      </c>
      <c r="GD416" s="113"/>
      <c r="GE416" s="113"/>
      <c r="GF416" s="113"/>
      <c r="GG416" s="113"/>
      <c r="GH416" s="113"/>
      <c r="GI416" s="46">
        <v>0</v>
      </c>
      <c r="GJ416" s="113"/>
      <c r="GK416" s="113"/>
      <c r="GL416" s="113"/>
      <c r="GM416" s="113"/>
      <c r="GN416" s="113"/>
      <c r="GO416" s="46">
        <v>0</v>
      </c>
      <c r="GP416" s="113"/>
      <c r="GQ416" s="113"/>
      <c r="GR416" s="113"/>
      <c r="GS416" s="113"/>
      <c r="GT416" s="113"/>
      <c r="GU416" s="46">
        <v>0</v>
      </c>
      <c r="GV416" s="113"/>
      <c r="GW416" s="113"/>
      <c r="GX416" s="113"/>
      <c r="GY416" s="113"/>
      <c r="GZ416" s="113"/>
      <c r="HA416" s="46">
        <v>0</v>
      </c>
      <c r="HB416" s="113"/>
      <c r="HC416" s="113"/>
      <c r="HD416" s="113"/>
      <c r="HE416" s="113"/>
      <c r="HF416" s="113"/>
      <c r="HG416" s="46">
        <v>0</v>
      </c>
      <c r="HH416" s="113"/>
      <c r="HI416" s="113"/>
      <c r="HJ416" s="113"/>
      <c r="HK416" s="113"/>
      <c r="HL416" s="113"/>
      <c r="HM416" s="121"/>
      <c r="HN416" s="121"/>
      <c r="LM416" t="str">
        <v/>
      </c>
      <c r="LN416" t="str">
        <v/>
      </c>
      <c r="LO416" t="str">
        <v/>
      </c>
    </row>
    <row r="417" spans="30:327">
      <c r="AD417" t="s">
        <v>112</v>
      </c>
      <c r="AE417" t="s">
        <v>22932</v>
      </c>
      <c r="AF417" s="46">
        <v>0</v>
      </c>
      <c r="AG417" s="113"/>
      <c r="AH417" s="113"/>
      <c r="AI417" s="113"/>
      <c r="AJ417" s="113"/>
      <c r="AK417" s="113"/>
      <c r="AL417" s="46">
        <v>0</v>
      </c>
      <c r="AM417" s="113"/>
      <c r="AN417" s="113"/>
      <c r="AO417" s="113"/>
      <c r="AP417" s="113"/>
      <c r="AQ417" s="113"/>
      <c r="AR417" s="46">
        <v>0</v>
      </c>
      <c r="AS417" s="113"/>
      <c r="AT417" s="113"/>
      <c r="AU417" s="113"/>
      <c r="AV417" s="113"/>
      <c r="AW417" s="113"/>
      <c r="AX417" s="46">
        <v>0</v>
      </c>
      <c r="AY417" s="113"/>
      <c r="AZ417" s="113"/>
      <c r="BA417" s="113"/>
      <c r="BB417" s="113"/>
      <c r="BC417" s="113"/>
      <c r="BD417" s="46">
        <v>0</v>
      </c>
      <c r="BE417" s="113"/>
      <c r="BF417" s="113"/>
      <c r="BG417" s="113"/>
      <c r="BH417" s="113"/>
      <c r="BI417" s="113"/>
      <c r="BJ417" s="46">
        <v>0</v>
      </c>
      <c r="BK417" s="113"/>
      <c r="BL417" s="113"/>
      <c r="BM417" s="113"/>
      <c r="BN417" s="113"/>
      <c r="BO417" s="113"/>
      <c r="BP417" s="121"/>
      <c r="BQ417" s="121"/>
      <c r="GA417" t="s">
        <v>112</v>
      </c>
      <c r="GB417" t="s">
        <v>22932</v>
      </c>
      <c r="GC417" s="46">
        <v>0</v>
      </c>
      <c r="GD417" s="113"/>
      <c r="GE417" s="113"/>
      <c r="GF417" s="113"/>
      <c r="GG417" s="113"/>
      <c r="GH417" s="113"/>
      <c r="GI417" s="46">
        <v>0</v>
      </c>
      <c r="GJ417" s="113"/>
      <c r="GK417" s="113"/>
      <c r="GL417" s="113"/>
      <c r="GM417" s="113"/>
      <c r="GN417" s="113"/>
      <c r="GO417" s="46">
        <v>0</v>
      </c>
      <c r="GP417" s="113"/>
      <c r="GQ417" s="113"/>
      <c r="GR417" s="113"/>
      <c r="GS417" s="113"/>
      <c r="GT417" s="113"/>
      <c r="GU417" s="46">
        <v>0</v>
      </c>
      <c r="GV417" s="113"/>
      <c r="GW417" s="113"/>
      <c r="GX417" s="113"/>
      <c r="GY417" s="113"/>
      <c r="GZ417" s="113"/>
      <c r="HA417" s="46">
        <v>0</v>
      </c>
      <c r="HB417" s="113"/>
      <c r="HC417" s="113"/>
      <c r="HD417" s="113"/>
      <c r="HE417" s="113"/>
      <c r="HF417" s="113"/>
      <c r="HG417" s="46">
        <v>0</v>
      </c>
      <c r="HH417" s="113"/>
      <c r="HI417" s="113"/>
      <c r="HJ417" s="113"/>
      <c r="HK417" s="113"/>
      <c r="HL417" s="113"/>
      <c r="HM417" s="121"/>
      <c r="HN417" s="121"/>
      <c r="LM417" t="str">
        <v/>
      </c>
      <c r="LN417" t="str">
        <v/>
      </c>
      <c r="LO417" t="str">
        <v/>
      </c>
    </row>
    <row r="418" spans="30:327">
      <c r="AD418" t="s">
        <v>112</v>
      </c>
      <c r="AE418" t="s">
        <v>22933</v>
      </c>
      <c r="AF418" s="46">
        <v>0</v>
      </c>
      <c r="AG418" s="113"/>
      <c r="AH418" s="113"/>
      <c r="AI418" s="113"/>
      <c r="AJ418" s="113"/>
      <c r="AK418" s="113"/>
      <c r="AL418" s="46">
        <v>0</v>
      </c>
      <c r="AM418" s="113"/>
      <c r="AN418" s="113"/>
      <c r="AO418" s="113"/>
      <c r="AP418" s="113"/>
      <c r="AQ418" s="113"/>
      <c r="AR418" s="46">
        <v>0</v>
      </c>
      <c r="AS418" s="113"/>
      <c r="AT418" s="113"/>
      <c r="AU418" s="113"/>
      <c r="AV418" s="113"/>
      <c r="AW418" s="113"/>
      <c r="AX418" s="46">
        <v>0</v>
      </c>
      <c r="AY418" s="113"/>
      <c r="AZ418" s="113"/>
      <c r="BA418" s="113"/>
      <c r="BB418" s="113"/>
      <c r="BC418" s="113"/>
      <c r="BD418" s="46">
        <v>0</v>
      </c>
      <c r="BE418" s="113"/>
      <c r="BF418" s="113"/>
      <c r="BG418" s="113"/>
      <c r="BH418" s="113"/>
      <c r="BI418" s="113"/>
      <c r="BJ418" s="46">
        <v>0</v>
      </c>
      <c r="BK418" s="113"/>
      <c r="BL418" s="113"/>
      <c r="BM418" s="113"/>
      <c r="BN418" s="113"/>
      <c r="BO418" s="113"/>
      <c r="BP418" s="121"/>
      <c r="BQ418" s="121"/>
      <c r="GA418" t="s">
        <v>112</v>
      </c>
      <c r="GB418" t="s">
        <v>22933</v>
      </c>
      <c r="GC418" s="46">
        <v>0</v>
      </c>
      <c r="GD418" s="113"/>
      <c r="GE418" s="113"/>
      <c r="GF418" s="113"/>
      <c r="GG418" s="113"/>
      <c r="GH418" s="113"/>
      <c r="GI418" s="46">
        <v>0</v>
      </c>
      <c r="GJ418" s="113"/>
      <c r="GK418" s="113"/>
      <c r="GL418" s="113"/>
      <c r="GM418" s="113"/>
      <c r="GN418" s="113"/>
      <c r="GO418" s="46">
        <v>0</v>
      </c>
      <c r="GP418" s="113"/>
      <c r="GQ418" s="113"/>
      <c r="GR418" s="113"/>
      <c r="GS418" s="113"/>
      <c r="GT418" s="113"/>
      <c r="GU418" s="46">
        <v>0</v>
      </c>
      <c r="GV418" s="113"/>
      <c r="GW418" s="113"/>
      <c r="GX418" s="113"/>
      <c r="GY418" s="113"/>
      <c r="GZ418" s="113"/>
      <c r="HA418" s="46">
        <v>0</v>
      </c>
      <c r="HB418" s="113"/>
      <c r="HC418" s="113"/>
      <c r="HD418" s="113"/>
      <c r="HE418" s="113"/>
      <c r="HF418" s="113"/>
      <c r="HG418" s="46">
        <v>0</v>
      </c>
      <c r="HH418" s="113"/>
      <c r="HI418" s="113"/>
      <c r="HJ418" s="113"/>
      <c r="HK418" s="113"/>
      <c r="HL418" s="113"/>
      <c r="HM418" s="121"/>
      <c r="HN418" s="121"/>
      <c r="LM418" t="str">
        <v/>
      </c>
      <c r="LN418" t="str">
        <v/>
      </c>
      <c r="LO418" t="str">
        <v/>
      </c>
    </row>
    <row r="419" spans="30:327">
      <c r="AD419" t="s">
        <v>112</v>
      </c>
      <c r="AE419" t="s">
        <v>22934</v>
      </c>
      <c r="AF419" s="46">
        <v>0</v>
      </c>
      <c r="AG419" s="113"/>
      <c r="AH419" s="113"/>
      <c r="AI419" s="113"/>
      <c r="AJ419" s="113"/>
      <c r="AK419" s="113"/>
      <c r="AL419" s="46">
        <v>0</v>
      </c>
      <c r="AM419" s="113"/>
      <c r="AN419" s="113"/>
      <c r="AO419" s="113"/>
      <c r="AP419" s="113"/>
      <c r="AQ419" s="113"/>
      <c r="AR419" s="46">
        <v>0</v>
      </c>
      <c r="AS419" s="113"/>
      <c r="AT419" s="113"/>
      <c r="AU419" s="113"/>
      <c r="AV419" s="113"/>
      <c r="AW419" s="113"/>
      <c r="AX419" s="46">
        <v>0</v>
      </c>
      <c r="AY419" s="113"/>
      <c r="AZ419" s="113"/>
      <c r="BA419" s="113"/>
      <c r="BB419" s="113"/>
      <c r="BC419" s="113"/>
      <c r="BD419" s="46">
        <v>0</v>
      </c>
      <c r="BE419" s="113"/>
      <c r="BF419" s="113"/>
      <c r="BG419" s="113"/>
      <c r="BH419" s="113"/>
      <c r="BI419" s="113"/>
      <c r="BJ419" s="46">
        <v>0</v>
      </c>
      <c r="BK419" s="113"/>
      <c r="BL419" s="113"/>
      <c r="BM419" s="113"/>
      <c r="BN419" s="113"/>
      <c r="BO419" s="113"/>
      <c r="BP419" s="121"/>
      <c r="BQ419" s="121"/>
      <c r="GA419" t="s">
        <v>112</v>
      </c>
      <c r="GB419" t="s">
        <v>22934</v>
      </c>
      <c r="GC419" s="46">
        <v>0</v>
      </c>
      <c r="GD419" s="113"/>
      <c r="GE419" s="113"/>
      <c r="GF419" s="113"/>
      <c r="GG419" s="113"/>
      <c r="GH419" s="113"/>
      <c r="GI419" s="46">
        <v>0</v>
      </c>
      <c r="GJ419" s="113"/>
      <c r="GK419" s="113"/>
      <c r="GL419" s="113"/>
      <c r="GM419" s="113"/>
      <c r="GN419" s="113"/>
      <c r="GO419" s="46">
        <v>0</v>
      </c>
      <c r="GP419" s="113"/>
      <c r="GQ419" s="113"/>
      <c r="GR419" s="113"/>
      <c r="GS419" s="113"/>
      <c r="GT419" s="113"/>
      <c r="GU419" s="46">
        <v>0</v>
      </c>
      <c r="GV419" s="113"/>
      <c r="GW419" s="113"/>
      <c r="GX419" s="113"/>
      <c r="GY419" s="113"/>
      <c r="GZ419" s="113"/>
      <c r="HA419" s="46">
        <v>0</v>
      </c>
      <c r="HB419" s="113"/>
      <c r="HC419" s="113"/>
      <c r="HD419" s="113"/>
      <c r="HE419" s="113"/>
      <c r="HF419" s="113"/>
      <c r="HG419" s="46">
        <v>0</v>
      </c>
      <c r="HH419" s="113"/>
      <c r="HI419" s="113"/>
      <c r="HJ419" s="113"/>
      <c r="HK419" s="113"/>
      <c r="HL419" s="113"/>
      <c r="HM419" s="121"/>
      <c r="HN419" s="121"/>
      <c r="LM419" t="str">
        <v/>
      </c>
      <c r="LN419" t="str">
        <v/>
      </c>
      <c r="LO419" t="str">
        <v/>
      </c>
    </row>
    <row r="420" spans="30:327">
      <c r="AD420" t="s">
        <v>112</v>
      </c>
      <c r="AE420" t="s">
        <v>22935</v>
      </c>
      <c r="AF420" s="46">
        <v>0</v>
      </c>
      <c r="AG420" s="113"/>
      <c r="AH420" s="113"/>
      <c r="AI420" s="113"/>
      <c r="AJ420" s="113"/>
      <c r="AK420" s="113"/>
      <c r="AL420" s="46">
        <v>0</v>
      </c>
      <c r="AM420" s="113"/>
      <c r="AN420" s="113"/>
      <c r="AO420" s="113"/>
      <c r="AP420" s="113"/>
      <c r="AQ420" s="113"/>
      <c r="AR420" s="46">
        <v>0</v>
      </c>
      <c r="AS420" s="113"/>
      <c r="AT420" s="113"/>
      <c r="AU420" s="113"/>
      <c r="AV420" s="113"/>
      <c r="AW420" s="113"/>
      <c r="AX420" s="46">
        <v>0</v>
      </c>
      <c r="AY420" s="113"/>
      <c r="AZ420" s="113"/>
      <c r="BA420" s="113"/>
      <c r="BB420" s="113"/>
      <c r="BC420" s="113"/>
      <c r="BD420" s="46">
        <v>0</v>
      </c>
      <c r="BE420" s="113"/>
      <c r="BF420" s="113"/>
      <c r="BG420" s="113"/>
      <c r="BH420" s="113"/>
      <c r="BI420" s="113"/>
      <c r="BJ420" s="46">
        <v>0</v>
      </c>
      <c r="BK420" s="113"/>
      <c r="BL420" s="113"/>
      <c r="BM420" s="113"/>
      <c r="BN420" s="113"/>
      <c r="BO420" s="113"/>
      <c r="BP420" s="121"/>
      <c r="BQ420" s="121"/>
      <c r="GA420" t="s">
        <v>112</v>
      </c>
      <c r="GB420" t="s">
        <v>22935</v>
      </c>
      <c r="GC420" s="46">
        <v>0</v>
      </c>
      <c r="GD420" s="113"/>
      <c r="GE420" s="113"/>
      <c r="GF420" s="113"/>
      <c r="GG420" s="113"/>
      <c r="GH420" s="113"/>
      <c r="GI420" s="46">
        <v>0</v>
      </c>
      <c r="GJ420" s="113"/>
      <c r="GK420" s="113"/>
      <c r="GL420" s="113"/>
      <c r="GM420" s="113"/>
      <c r="GN420" s="113"/>
      <c r="GO420" s="46">
        <v>0</v>
      </c>
      <c r="GP420" s="113"/>
      <c r="GQ420" s="113"/>
      <c r="GR420" s="113"/>
      <c r="GS420" s="113"/>
      <c r="GT420" s="113"/>
      <c r="GU420" s="46">
        <v>0</v>
      </c>
      <c r="GV420" s="113"/>
      <c r="GW420" s="113"/>
      <c r="GX420" s="113"/>
      <c r="GY420" s="113"/>
      <c r="GZ420" s="113"/>
      <c r="HA420" s="46">
        <v>0</v>
      </c>
      <c r="HB420" s="113"/>
      <c r="HC420" s="113"/>
      <c r="HD420" s="113"/>
      <c r="HE420" s="113"/>
      <c r="HF420" s="113"/>
      <c r="HG420" s="46">
        <v>0</v>
      </c>
      <c r="HH420" s="113"/>
      <c r="HI420" s="113"/>
      <c r="HJ420" s="113"/>
      <c r="HK420" s="113"/>
      <c r="HL420" s="113"/>
      <c r="HM420" s="121"/>
      <c r="HN420" s="121"/>
      <c r="LM420" t="str">
        <v/>
      </c>
      <c r="LN420" t="str">
        <v/>
      </c>
      <c r="LO420" t="str">
        <v/>
      </c>
    </row>
    <row r="421" spans="30:327">
      <c r="AD421" t="s">
        <v>112</v>
      </c>
      <c r="AE421" t="s">
        <v>22936</v>
      </c>
      <c r="AF421" s="46">
        <v>0</v>
      </c>
      <c r="AG421" s="113"/>
      <c r="AH421" s="113"/>
      <c r="AI421" s="113"/>
      <c r="AJ421" s="113"/>
      <c r="AK421" s="113"/>
      <c r="AL421" s="46">
        <v>0</v>
      </c>
      <c r="AM421" s="113"/>
      <c r="AN421" s="113"/>
      <c r="AO421" s="113"/>
      <c r="AP421" s="113"/>
      <c r="AQ421" s="113"/>
      <c r="AR421" s="46">
        <v>0</v>
      </c>
      <c r="AS421" s="113"/>
      <c r="AT421" s="113"/>
      <c r="AU421" s="113"/>
      <c r="AV421" s="113"/>
      <c r="AW421" s="113"/>
      <c r="AX421" s="46">
        <v>0</v>
      </c>
      <c r="AY421" s="113"/>
      <c r="AZ421" s="113"/>
      <c r="BA421" s="113"/>
      <c r="BB421" s="113"/>
      <c r="BC421" s="113"/>
      <c r="BD421" s="46">
        <v>0</v>
      </c>
      <c r="BE421" s="113"/>
      <c r="BF421" s="113"/>
      <c r="BG421" s="113"/>
      <c r="BH421" s="113"/>
      <c r="BI421" s="113"/>
      <c r="BJ421" s="46">
        <v>0</v>
      </c>
      <c r="BK421" s="113"/>
      <c r="BL421" s="113"/>
      <c r="BM421" s="113"/>
      <c r="BN421" s="113"/>
      <c r="BO421" s="113"/>
      <c r="BP421" s="121"/>
      <c r="BQ421" s="121"/>
      <c r="GA421" t="s">
        <v>112</v>
      </c>
      <c r="GB421" t="s">
        <v>22936</v>
      </c>
      <c r="GC421" s="46">
        <v>0</v>
      </c>
      <c r="GD421" s="113"/>
      <c r="GE421" s="113"/>
      <c r="GF421" s="113"/>
      <c r="GG421" s="113"/>
      <c r="GH421" s="113"/>
      <c r="GI421" s="46">
        <v>0</v>
      </c>
      <c r="GJ421" s="113"/>
      <c r="GK421" s="113"/>
      <c r="GL421" s="113"/>
      <c r="GM421" s="113"/>
      <c r="GN421" s="113"/>
      <c r="GO421" s="46">
        <v>0</v>
      </c>
      <c r="GP421" s="113"/>
      <c r="GQ421" s="113"/>
      <c r="GR421" s="113"/>
      <c r="GS421" s="113"/>
      <c r="GT421" s="113"/>
      <c r="GU421" s="46">
        <v>0</v>
      </c>
      <c r="GV421" s="113"/>
      <c r="GW421" s="113"/>
      <c r="GX421" s="113"/>
      <c r="GY421" s="113"/>
      <c r="GZ421" s="113"/>
      <c r="HA421" s="46">
        <v>0</v>
      </c>
      <c r="HB421" s="113"/>
      <c r="HC421" s="113"/>
      <c r="HD421" s="113"/>
      <c r="HE421" s="113"/>
      <c r="HF421" s="113"/>
      <c r="HG421" s="46">
        <v>0</v>
      </c>
      <c r="HH421" s="113"/>
      <c r="HI421" s="113"/>
      <c r="HJ421" s="113"/>
      <c r="HK421" s="113"/>
      <c r="HL421" s="113"/>
      <c r="HM421" s="121"/>
      <c r="HN421" s="121"/>
      <c r="LM421" t="str">
        <v/>
      </c>
      <c r="LN421" t="str">
        <v/>
      </c>
      <c r="LO421" t="str">
        <v/>
      </c>
    </row>
    <row r="422" spans="30:327">
      <c r="AD422" t="s">
        <v>112</v>
      </c>
      <c r="AE422" t="s">
        <v>22937</v>
      </c>
      <c r="AF422" s="46">
        <v>0</v>
      </c>
      <c r="AG422" s="113"/>
      <c r="AH422" s="113"/>
      <c r="AI422" s="113"/>
      <c r="AJ422" s="113"/>
      <c r="AK422" s="113"/>
      <c r="AL422" s="46">
        <v>0</v>
      </c>
      <c r="AM422" s="113"/>
      <c r="AN422" s="113"/>
      <c r="AO422" s="113"/>
      <c r="AP422" s="113"/>
      <c r="AQ422" s="113"/>
      <c r="AR422" s="46">
        <v>0</v>
      </c>
      <c r="AS422" s="113"/>
      <c r="AT422" s="113"/>
      <c r="AU422" s="113"/>
      <c r="AV422" s="113"/>
      <c r="AW422" s="113"/>
      <c r="AX422" s="46">
        <v>0</v>
      </c>
      <c r="AY422" s="113"/>
      <c r="AZ422" s="113"/>
      <c r="BA422" s="113"/>
      <c r="BB422" s="113"/>
      <c r="BC422" s="113"/>
      <c r="BD422" s="46">
        <v>0</v>
      </c>
      <c r="BE422" s="113"/>
      <c r="BF422" s="113"/>
      <c r="BG422" s="113"/>
      <c r="BH422" s="113"/>
      <c r="BI422" s="113"/>
      <c r="BJ422" s="46">
        <v>0</v>
      </c>
      <c r="BK422" s="113"/>
      <c r="BL422" s="113"/>
      <c r="BM422" s="113"/>
      <c r="BN422" s="113"/>
      <c r="BO422" s="113"/>
      <c r="BP422" s="121"/>
      <c r="BQ422" s="121"/>
      <c r="GA422" t="s">
        <v>112</v>
      </c>
      <c r="GB422" t="s">
        <v>22937</v>
      </c>
      <c r="GC422" s="46">
        <v>0</v>
      </c>
      <c r="GD422" s="113"/>
      <c r="GE422" s="113"/>
      <c r="GF422" s="113"/>
      <c r="GG422" s="113"/>
      <c r="GH422" s="113"/>
      <c r="GI422" s="46">
        <v>0</v>
      </c>
      <c r="GJ422" s="113"/>
      <c r="GK422" s="113"/>
      <c r="GL422" s="113"/>
      <c r="GM422" s="113"/>
      <c r="GN422" s="113"/>
      <c r="GO422" s="46">
        <v>0</v>
      </c>
      <c r="GP422" s="113"/>
      <c r="GQ422" s="113"/>
      <c r="GR422" s="113"/>
      <c r="GS422" s="113"/>
      <c r="GT422" s="113"/>
      <c r="GU422" s="46">
        <v>0</v>
      </c>
      <c r="GV422" s="113"/>
      <c r="GW422" s="113"/>
      <c r="GX422" s="113"/>
      <c r="GY422" s="113"/>
      <c r="GZ422" s="113"/>
      <c r="HA422" s="46">
        <v>0</v>
      </c>
      <c r="HB422" s="113"/>
      <c r="HC422" s="113"/>
      <c r="HD422" s="113"/>
      <c r="HE422" s="113"/>
      <c r="HF422" s="113"/>
      <c r="HG422" s="46">
        <v>0</v>
      </c>
      <c r="HH422" s="113"/>
      <c r="HI422" s="113"/>
      <c r="HJ422" s="113"/>
      <c r="HK422" s="113"/>
      <c r="HL422" s="113"/>
      <c r="HM422" s="121"/>
      <c r="HN422" s="121"/>
      <c r="LM422" t="str">
        <v/>
      </c>
      <c r="LN422" t="str">
        <v/>
      </c>
      <c r="LO422" t="str">
        <v/>
      </c>
    </row>
    <row r="423" spans="30:327">
      <c r="AD423" t="s">
        <v>112</v>
      </c>
      <c r="AE423" t="s">
        <v>22938</v>
      </c>
      <c r="AF423" s="46">
        <v>0</v>
      </c>
      <c r="AG423" s="113"/>
      <c r="AH423" s="113"/>
      <c r="AI423" s="113"/>
      <c r="AJ423" s="113"/>
      <c r="AK423" s="113"/>
      <c r="AL423" s="46">
        <v>0</v>
      </c>
      <c r="AM423" s="113"/>
      <c r="AN423" s="113"/>
      <c r="AO423" s="113"/>
      <c r="AP423" s="113"/>
      <c r="AQ423" s="113"/>
      <c r="AR423" s="46">
        <v>0</v>
      </c>
      <c r="AS423" s="113"/>
      <c r="AT423" s="113"/>
      <c r="AU423" s="113"/>
      <c r="AV423" s="113"/>
      <c r="AW423" s="113"/>
      <c r="AX423" s="46">
        <v>0</v>
      </c>
      <c r="AY423" s="113"/>
      <c r="AZ423" s="113"/>
      <c r="BA423" s="113"/>
      <c r="BB423" s="113"/>
      <c r="BC423" s="113"/>
      <c r="BD423" s="46">
        <v>0</v>
      </c>
      <c r="BE423" s="113"/>
      <c r="BF423" s="113"/>
      <c r="BG423" s="113"/>
      <c r="BH423" s="113"/>
      <c r="BI423" s="113"/>
      <c r="BJ423" s="46">
        <v>0</v>
      </c>
      <c r="BK423" s="113"/>
      <c r="BL423" s="113"/>
      <c r="BM423" s="113"/>
      <c r="BN423" s="113"/>
      <c r="BO423" s="113"/>
      <c r="BP423" s="121"/>
      <c r="BQ423" s="121"/>
      <c r="GA423" t="s">
        <v>112</v>
      </c>
      <c r="GB423" t="s">
        <v>22938</v>
      </c>
      <c r="GC423" s="46">
        <v>0</v>
      </c>
      <c r="GD423" s="113"/>
      <c r="GE423" s="113"/>
      <c r="GF423" s="113"/>
      <c r="GG423" s="113"/>
      <c r="GH423" s="113"/>
      <c r="GI423" s="46">
        <v>0</v>
      </c>
      <c r="GJ423" s="113"/>
      <c r="GK423" s="113"/>
      <c r="GL423" s="113"/>
      <c r="GM423" s="113"/>
      <c r="GN423" s="113"/>
      <c r="GO423" s="46">
        <v>0</v>
      </c>
      <c r="GP423" s="113"/>
      <c r="GQ423" s="113"/>
      <c r="GR423" s="113"/>
      <c r="GS423" s="113"/>
      <c r="GT423" s="113"/>
      <c r="GU423" s="46">
        <v>0</v>
      </c>
      <c r="GV423" s="113"/>
      <c r="GW423" s="113"/>
      <c r="GX423" s="113"/>
      <c r="GY423" s="113"/>
      <c r="GZ423" s="113"/>
      <c r="HA423" s="46">
        <v>0</v>
      </c>
      <c r="HB423" s="113"/>
      <c r="HC423" s="113"/>
      <c r="HD423" s="113"/>
      <c r="HE423" s="113"/>
      <c r="HF423" s="113"/>
      <c r="HG423" s="46">
        <v>0</v>
      </c>
      <c r="HH423" s="113"/>
      <c r="HI423" s="113"/>
      <c r="HJ423" s="113"/>
      <c r="HK423" s="113"/>
      <c r="HL423" s="113"/>
      <c r="HM423" s="121"/>
      <c r="HN423" s="121"/>
      <c r="LM423" t="str">
        <v/>
      </c>
      <c r="LN423" t="str">
        <v/>
      </c>
      <c r="LO423" t="str">
        <v/>
      </c>
    </row>
    <row r="424" spans="30:327">
      <c r="AD424" t="s">
        <v>112</v>
      </c>
      <c r="AE424" t="s">
        <v>22939</v>
      </c>
      <c r="AF424" s="46">
        <v>0</v>
      </c>
      <c r="AG424" s="113"/>
      <c r="AH424" s="113"/>
      <c r="AI424" s="113"/>
      <c r="AJ424" s="113"/>
      <c r="AK424" s="113"/>
      <c r="AL424" s="46">
        <v>0</v>
      </c>
      <c r="AM424" s="113"/>
      <c r="AN424" s="113"/>
      <c r="AO424" s="113"/>
      <c r="AP424" s="113"/>
      <c r="AQ424" s="113"/>
      <c r="AR424" s="46">
        <v>0</v>
      </c>
      <c r="AS424" s="113"/>
      <c r="AT424" s="113"/>
      <c r="AU424" s="113"/>
      <c r="AV424" s="113"/>
      <c r="AW424" s="113"/>
      <c r="AX424" s="46">
        <v>0</v>
      </c>
      <c r="AY424" s="113"/>
      <c r="AZ424" s="113"/>
      <c r="BA424" s="113"/>
      <c r="BB424" s="113"/>
      <c r="BC424" s="113"/>
      <c r="BD424" s="46">
        <v>0</v>
      </c>
      <c r="BE424" s="113"/>
      <c r="BF424" s="113"/>
      <c r="BG424" s="113"/>
      <c r="BH424" s="113"/>
      <c r="BI424" s="113"/>
      <c r="BJ424" s="46">
        <v>0</v>
      </c>
      <c r="BK424" s="113"/>
      <c r="BL424" s="113"/>
      <c r="BM424" s="113"/>
      <c r="BN424" s="113"/>
      <c r="BO424" s="113"/>
      <c r="BP424" s="121"/>
      <c r="BQ424" s="121"/>
      <c r="GA424" t="s">
        <v>112</v>
      </c>
      <c r="GB424" t="s">
        <v>22939</v>
      </c>
      <c r="GC424" s="46">
        <v>0</v>
      </c>
      <c r="GD424" s="113"/>
      <c r="GE424" s="113"/>
      <c r="GF424" s="113"/>
      <c r="GG424" s="113"/>
      <c r="GH424" s="113"/>
      <c r="GI424" s="46">
        <v>0</v>
      </c>
      <c r="GJ424" s="113"/>
      <c r="GK424" s="113"/>
      <c r="GL424" s="113"/>
      <c r="GM424" s="113"/>
      <c r="GN424" s="113"/>
      <c r="GO424" s="46">
        <v>0</v>
      </c>
      <c r="GP424" s="113"/>
      <c r="GQ424" s="113"/>
      <c r="GR424" s="113"/>
      <c r="GS424" s="113"/>
      <c r="GT424" s="113"/>
      <c r="GU424" s="46">
        <v>0</v>
      </c>
      <c r="GV424" s="113"/>
      <c r="GW424" s="113"/>
      <c r="GX424" s="113"/>
      <c r="GY424" s="113"/>
      <c r="GZ424" s="113"/>
      <c r="HA424" s="46">
        <v>0</v>
      </c>
      <c r="HB424" s="113"/>
      <c r="HC424" s="113"/>
      <c r="HD424" s="113"/>
      <c r="HE424" s="113"/>
      <c r="HF424" s="113"/>
      <c r="HG424" s="46">
        <v>0</v>
      </c>
      <c r="HH424" s="113"/>
      <c r="HI424" s="113"/>
      <c r="HJ424" s="113"/>
      <c r="HK424" s="113"/>
      <c r="HL424" s="113"/>
      <c r="HM424" s="121"/>
      <c r="HN424" s="121"/>
      <c r="LM424" t="str">
        <v/>
      </c>
      <c r="LN424" t="str">
        <v/>
      </c>
      <c r="LO424" t="str">
        <v/>
      </c>
    </row>
    <row r="425" spans="30:327">
      <c r="AD425" t="s">
        <v>112</v>
      </c>
      <c r="AE425" t="s">
        <v>22940</v>
      </c>
      <c r="AF425" s="46">
        <v>0</v>
      </c>
      <c r="AG425" s="113"/>
      <c r="AH425" s="113"/>
      <c r="AI425" s="113"/>
      <c r="AJ425" s="113"/>
      <c r="AK425" s="113"/>
      <c r="AL425" s="46">
        <v>0</v>
      </c>
      <c r="AM425" s="113"/>
      <c r="AN425" s="113"/>
      <c r="AO425" s="113"/>
      <c r="AP425" s="113"/>
      <c r="AQ425" s="113"/>
      <c r="AR425" s="46">
        <v>0</v>
      </c>
      <c r="AS425" s="113"/>
      <c r="AT425" s="113"/>
      <c r="AU425" s="113"/>
      <c r="AV425" s="113"/>
      <c r="AW425" s="113"/>
      <c r="AX425" s="46">
        <v>0</v>
      </c>
      <c r="AY425" s="113"/>
      <c r="AZ425" s="113"/>
      <c r="BA425" s="113"/>
      <c r="BB425" s="113"/>
      <c r="BC425" s="113"/>
      <c r="BD425" s="46">
        <v>0</v>
      </c>
      <c r="BE425" s="113"/>
      <c r="BF425" s="113"/>
      <c r="BG425" s="113"/>
      <c r="BH425" s="113"/>
      <c r="BI425" s="113"/>
      <c r="BJ425" s="46">
        <v>0</v>
      </c>
      <c r="BK425" s="113"/>
      <c r="BL425" s="113"/>
      <c r="BM425" s="113"/>
      <c r="BN425" s="113"/>
      <c r="BO425" s="113"/>
      <c r="BP425" s="121"/>
      <c r="BQ425" s="121"/>
      <c r="GA425" t="s">
        <v>112</v>
      </c>
      <c r="GB425" t="s">
        <v>22940</v>
      </c>
      <c r="GC425" s="46">
        <v>0</v>
      </c>
      <c r="GD425" s="113"/>
      <c r="GE425" s="113"/>
      <c r="GF425" s="113"/>
      <c r="GG425" s="113"/>
      <c r="GH425" s="113"/>
      <c r="GI425" s="46">
        <v>0</v>
      </c>
      <c r="GJ425" s="113"/>
      <c r="GK425" s="113"/>
      <c r="GL425" s="113"/>
      <c r="GM425" s="113"/>
      <c r="GN425" s="113"/>
      <c r="GO425" s="46">
        <v>0</v>
      </c>
      <c r="GP425" s="113"/>
      <c r="GQ425" s="113"/>
      <c r="GR425" s="113"/>
      <c r="GS425" s="113"/>
      <c r="GT425" s="113"/>
      <c r="GU425" s="46">
        <v>0</v>
      </c>
      <c r="GV425" s="113"/>
      <c r="GW425" s="113"/>
      <c r="GX425" s="113"/>
      <c r="GY425" s="113"/>
      <c r="GZ425" s="113"/>
      <c r="HA425" s="46">
        <v>0</v>
      </c>
      <c r="HB425" s="113"/>
      <c r="HC425" s="113"/>
      <c r="HD425" s="113"/>
      <c r="HE425" s="113"/>
      <c r="HF425" s="113"/>
      <c r="HG425" s="46">
        <v>0</v>
      </c>
      <c r="HH425" s="113"/>
      <c r="HI425" s="113"/>
      <c r="HJ425" s="113"/>
      <c r="HK425" s="113"/>
      <c r="HL425" s="113"/>
      <c r="HM425" s="121"/>
      <c r="HN425" s="121"/>
      <c r="LM425" t="str">
        <v/>
      </c>
      <c r="LN425" t="str">
        <v/>
      </c>
      <c r="LO425" t="str">
        <v/>
      </c>
    </row>
    <row r="426" spans="30:327">
      <c r="AD426" t="s">
        <v>112</v>
      </c>
      <c r="AE426" t="s">
        <v>22941</v>
      </c>
      <c r="AF426" s="46">
        <v>0</v>
      </c>
      <c r="AG426" s="113"/>
      <c r="AH426" s="113"/>
      <c r="AI426" s="113"/>
      <c r="AJ426" s="113"/>
      <c r="AK426" s="113"/>
      <c r="AL426" s="46">
        <v>0</v>
      </c>
      <c r="AM426" s="113"/>
      <c r="AN426" s="113"/>
      <c r="AO426" s="113"/>
      <c r="AP426" s="113"/>
      <c r="AQ426" s="113"/>
      <c r="AR426" s="46">
        <v>0</v>
      </c>
      <c r="AS426" s="113"/>
      <c r="AT426" s="113"/>
      <c r="AU426" s="113"/>
      <c r="AV426" s="113"/>
      <c r="AW426" s="113"/>
      <c r="AX426" s="46">
        <v>0</v>
      </c>
      <c r="AY426" s="113"/>
      <c r="AZ426" s="113"/>
      <c r="BA426" s="113"/>
      <c r="BB426" s="113"/>
      <c r="BC426" s="113"/>
      <c r="BD426" s="46">
        <v>0</v>
      </c>
      <c r="BE426" s="113"/>
      <c r="BF426" s="113"/>
      <c r="BG426" s="113"/>
      <c r="BH426" s="113"/>
      <c r="BI426" s="113"/>
      <c r="BJ426" s="46">
        <v>0</v>
      </c>
      <c r="BK426" s="113"/>
      <c r="BL426" s="113"/>
      <c r="BM426" s="113"/>
      <c r="BN426" s="113"/>
      <c r="BO426" s="113"/>
      <c r="BP426" s="121"/>
      <c r="BQ426" s="121"/>
      <c r="GA426" t="s">
        <v>112</v>
      </c>
      <c r="GB426" t="s">
        <v>22941</v>
      </c>
      <c r="GC426" s="46">
        <v>0</v>
      </c>
      <c r="GD426" s="113"/>
      <c r="GE426" s="113"/>
      <c r="GF426" s="113"/>
      <c r="GG426" s="113"/>
      <c r="GH426" s="113"/>
      <c r="GI426" s="46">
        <v>0</v>
      </c>
      <c r="GJ426" s="113"/>
      <c r="GK426" s="113"/>
      <c r="GL426" s="113"/>
      <c r="GM426" s="113"/>
      <c r="GN426" s="113"/>
      <c r="GO426" s="46">
        <v>0</v>
      </c>
      <c r="GP426" s="113"/>
      <c r="GQ426" s="113"/>
      <c r="GR426" s="113"/>
      <c r="GS426" s="113"/>
      <c r="GT426" s="113"/>
      <c r="GU426" s="46">
        <v>0</v>
      </c>
      <c r="GV426" s="113"/>
      <c r="GW426" s="113"/>
      <c r="GX426" s="113"/>
      <c r="GY426" s="113"/>
      <c r="GZ426" s="113"/>
      <c r="HA426" s="46">
        <v>0</v>
      </c>
      <c r="HB426" s="113"/>
      <c r="HC426" s="113"/>
      <c r="HD426" s="113"/>
      <c r="HE426" s="113"/>
      <c r="HF426" s="113"/>
      <c r="HG426" s="46">
        <v>0</v>
      </c>
      <c r="HH426" s="113"/>
      <c r="HI426" s="113"/>
      <c r="HJ426" s="113"/>
      <c r="HK426" s="113"/>
      <c r="HL426" s="113"/>
      <c r="HM426" s="121"/>
      <c r="HN426" s="121"/>
      <c r="LM426" t="str">
        <v/>
      </c>
      <c r="LN426" t="str">
        <v/>
      </c>
      <c r="LO426" t="str">
        <v/>
      </c>
    </row>
    <row r="427" spans="30:327">
      <c r="AD427" t="s">
        <v>112</v>
      </c>
      <c r="AE427" t="s">
        <v>22942</v>
      </c>
      <c r="AF427" s="46">
        <v>0</v>
      </c>
      <c r="AG427" s="113"/>
      <c r="AH427" s="113"/>
      <c r="AI427" s="113"/>
      <c r="AJ427" s="113"/>
      <c r="AK427" s="113"/>
      <c r="AL427" s="46">
        <v>0</v>
      </c>
      <c r="AM427" s="113"/>
      <c r="AN427" s="113"/>
      <c r="AO427" s="113"/>
      <c r="AP427" s="113"/>
      <c r="AQ427" s="113"/>
      <c r="AR427" s="46">
        <v>0</v>
      </c>
      <c r="AS427" s="113"/>
      <c r="AT427" s="113"/>
      <c r="AU427" s="113"/>
      <c r="AV427" s="113"/>
      <c r="AW427" s="113"/>
      <c r="AX427" s="46">
        <v>0</v>
      </c>
      <c r="AY427" s="113"/>
      <c r="AZ427" s="113"/>
      <c r="BA427" s="113"/>
      <c r="BB427" s="113"/>
      <c r="BC427" s="113"/>
      <c r="BD427" s="46">
        <v>0</v>
      </c>
      <c r="BE427" s="113"/>
      <c r="BF427" s="113"/>
      <c r="BG427" s="113"/>
      <c r="BH427" s="113"/>
      <c r="BI427" s="113"/>
      <c r="BJ427" s="46">
        <v>0</v>
      </c>
      <c r="BK427" s="113"/>
      <c r="BL427" s="113"/>
      <c r="BM427" s="113"/>
      <c r="BN427" s="113"/>
      <c r="BO427" s="113"/>
      <c r="BP427" s="121"/>
      <c r="BQ427" s="121"/>
      <c r="GA427" t="s">
        <v>112</v>
      </c>
      <c r="GB427" t="s">
        <v>22942</v>
      </c>
      <c r="GC427" s="46">
        <v>0</v>
      </c>
      <c r="GD427" s="113"/>
      <c r="GE427" s="113"/>
      <c r="GF427" s="113"/>
      <c r="GG427" s="113"/>
      <c r="GH427" s="113"/>
      <c r="GI427" s="46">
        <v>0</v>
      </c>
      <c r="GJ427" s="113"/>
      <c r="GK427" s="113"/>
      <c r="GL427" s="113"/>
      <c r="GM427" s="113"/>
      <c r="GN427" s="113"/>
      <c r="GO427" s="46">
        <v>0</v>
      </c>
      <c r="GP427" s="113"/>
      <c r="GQ427" s="113"/>
      <c r="GR427" s="113"/>
      <c r="GS427" s="113"/>
      <c r="GT427" s="113"/>
      <c r="GU427" s="46">
        <v>0</v>
      </c>
      <c r="GV427" s="113"/>
      <c r="GW427" s="113"/>
      <c r="GX427" s="113"/>
      <c r="GY427" s="113"/>
      <c r="GZ427" s="113"/>
      <c r="HA427" s="46">
        <v>0</v>
      </c>
      <c r="HB427" s="113"/>
      <c r="HC427" s="113"/>
      <c r="HD427" s="113"/>
      <c r="HE427" s="113"/>
      <c r="HF427" s="113"/>
      <c r="HG427" s="46">
        <v>0</v>
      </c>
      <c r="HH427" s="113"/>
      <c r="HI427" s="113"/>
      <c r="HJ427" s="113"/>
      <c r="HK427" s="113"/>
      <c r="HL427" s="113"/>
      <c r="HM427" s="121"/>
      <c r="HN427" s="121"/>
      <c r="LM427" t="str">
        <v/>
      </c>
      <c r="LN427" t="str">
        <v/>
      </c>
      <c r="LO427" t="str">
        <v/>
      </c>
    </row>
    <row r="428" spans="30:327">
      <c r="AD428" t="s">
        <v>112</v>
      </c>
      <c r="AE428" t="s">
        <v>22943</v>
      </c>
      <c r="AF428" s="46">
        <v>0</v>
      </c>
      <c r="AG428" s="113"/>
      <c r="AH428" s="113"/>
      <c r="AI428" s="113"/>
      <c r="AJ428" s="113"/>
      <c r="AK428" s="113"/>
      <c r="AL428" s="46">
        <v>0</v>
      </c>
      <c r="AM428" s="113"/>
      <c r="AN428" s="113"/>
      <c r="AO428" s="113"/>
      <c r="AP428" s="113"/>
      <c r="AQ428" s="113"/>
      <c r="AR428" s="46">
        <v>0</v>
      </c>
      <c r="AS428" s="113"/>
      <c r="AT428" s="113"/>
      <c r="AU428" s="113"/>
      <c r="AV428" s="113"/>
      <c r="AW428" s="113"/>
      <c r="AX428" s="46">
        <v>0</v>
      </c>
      <c r="AY428" s="113"/>
      <c r="AZ428" s="113"/>
      <c r="BA428" s="113"/>
      <c r="BB428" s="113"/>
      <c r="BC428" s="113"/>
      <c r="BD428" s="46">
        <v>0</v>
      </c>
      <c r="BE428" s="113"/>
      <c r="BF428" s="113"/>
      <c r="BG428" s="113"/>
      <c r="BH428" s="113"/>
      <c r="BI428" s="113"/>
      <c r="BJ428" s="46">
        <v>0</v>
      </c>
      <c r="BK428" s="113"/>
      <c r="BL428" s="113"/>
      <c r="BM428" s="113"/>
      <c r="BN428" s="113"/>
      <c r="BO428" s="113"/>
      <c r="BP428" s="121"/>
      <c r="BQ428" s="121"/>
      <c r="GA428" t="s">
        <v>112</v>
      </c>
      <c r="GB428" t="s">
        <v>22943</v>
      </c>
      <c r="GC428" s="46">
        <v>0</v>
      </c>
      <c r="GD428" s="113"/>
      <c r="GE428" s="113"/>
      <c r="GF428" s="113"/>
      <c r="GG428" s="113"/>
      <c r="GH428" s="113"/>
      <c r="GI428" s="46">
        <v>0</v>
      </c>
      <c r="GJ428" s="113"/>
      <c r="GK428" s="113"/>
      <c r="GL428" s="113"/>
      <c r="GM428" s="113"/>
      <c r="GN428" s="113"/>
      <c r="GO428" s="46">
        <v>0</v>
      </c>
      <c r="GP428" s="113"/>
      <c r="GQ428" s="113"/>
      <c r="GR428" s="113"/>
      <c r="GS428" s="113"/>
      <c r="GT428" s="113"/>
      <c r="GU428" s="46">
        <v>0</v>
      </c>
      <c r="GV428" s="113"/>
      <c r="GW428" s="113"/>
      <c r="GX428" s="113"/>
      <c r="GY428" s="113"/>
      <c r="GZ428" s="113"/>
      <c r="HA428" s="46">
        <v>0</v>
      </c>
      <c r="HB428" s="113"/>
      <c r="HC428" s="113"/>
      <c r="HD428" s="113"/>
      <c r="HE428" s="113"/>
      <c r="HF428" s="113"/>
      <c r="HG428" s="46">
        <v>0</v>
      </c>
      <c r="HH428" s="113"/>
      <c r="HI428" s="113"/>
      <c r="HJ428" s="113"/>
      <c r="HK428" s="113"/>
      <c r="HL428" s="113"/>
      <c r="HM428" s="121"/>
      <c r="HN428" s="121"/>
      <c r="LM428" t="str">
        <v/>
      </c>
      <c r="LN428" t="str">
        <v/>
      </c>
      <c r="LO428" t="str">
        <v/>
      </c>
    </row>
    <row r="429" spans="30:327">
      <c r="AD429" t="s">
        <v>112</v>
      </c>
      <c r="AE429" t="s">
        <v>22944</v>
      </c>
      <c r="AF429" s="46">
        <v>0</v>
      </c>
      <c r="AG429" s="113"/>
      <c r="AH429" s="113"/>
      <c r="AI429" s="113"/>
      <c r="AJ429" s="113"/>
      <c r="AK429" s="113"/>
      <c r="AL429" s="46">
        <v>0</v>
      </c>
      <c r="AM429" s="113"/>
      <c r="AN429" s="113"/>
      <c r="AO429" s="113"/>
      <c r="AP429" s="113"/>
      <c r="AQ429" s="113"/>
      <c r="AR429" s="46">
        <v>0</v>
      </c>
      <c r="AS429" s="113"/>
      <c r="AT429" s="113"/>
      <c r="AU429" s="113"/>
      <c r="AV429" s="113"/>
      <c r="AW429" s="113"/>
      <c r="AX429" s="46">
        <v>0</v>
      </c>
      <c r="AY429" s="113"/>
      <c r="AZ429" s="113"/>
      <c r="BA429" s="113"/>
      <c r="BB429" s="113"/>
      <c r="BC429" s="113"/>
      <c r="BD429" s="46">
        <v>0</v>
      </c>
      <c r="BE429" s="113"/>
      <c r="BF429" s="113"/>
      <c r="BG429" s="113"/>
      <c r="BH429" s="113"/>
      <c r="BI429" s="113"/>
      <c r="BJ429" s="46">
        <v>0</v>
      </c>
      <c r="BK429" s="113"/>
      <c r="BL429" s="113"/>
      <c r="BM429" s="113"/>
      <c r="BN429" s="113"/>
      <c r="BO429" s="113"/>
      <c r="BP429" s="121"/>
      <c r="BQ429" s="121"/>
      <c r="GA429" t="s">
        <v>112</v>
      </c>
      <c r="GB429" t="s">
        <v>22944</v>
      </c>
      <c r="GC429" s="46">
        <v>0</v>
      </c>
      <c r="GD429" s="113"/>
      <c r="GE429" s="113"/>
      <c r="GF429" s="113"/>
      <c r="GG429" s="113"/>
      <c r="GH429" s="113"/>
      <c r="GI429" s="46">
        <v>0</v>
      </c>
      <c r="GJ429" s="113"/>
      <c r="GK429" s="113"/>
      <c r="GL429" s="113"/>
      <c r="GM429" s="113"/>
      <c r="GN429" s="113"/>
      <c r="GO429" s="46">
        <v>0</v>
      </c>
      <c r="GP429" s="113"/>
      <c r="GQ429" s="113"/>
      <c r="GR429" s="113"/>
      <c r="GS429" s="113"/>
      <c r="GT429" s="113"/>
      <c r="GU429" s="46">
        <v>0</v>
      </c>
      <c r="GV429" s="113"/>
      <c r="GW429" s="113"/>
      <c r="GX429" s="113"/>
      <c r="GY429" s="113"/>
      <c r="GZ429" s="113"/>
      <c r="HA429" s="46">
        <v>0</v>
      </c>
      <c r="HB429" s="113"/>
      <c r="HC429" s="113"/>
      <c r="HD429" s="113"/>
      <c r="HE429" s="113"/>
      <c r="HF429" s="113"/>
      <c r="HG429" s="46">
        <v>0</v>
      </c>
      <c r="HH429" s="113"/>
      <c r="HI429" s="113"/>
      <c r="HJ429" s="113"/>
      <c r="HK429" s="113"/>
      <c r="HL429" s="113"/>
      <c r="HM429" s="121"/>
      <c r="HN429" s="121"/>
      <c r="LM429" t="str">
        <v/>
      </c>
      <c r="LN429" t="str">
        <v/>
      </c>
      <c r="LO429" t="str">
        <v/>
      </c>
    </row>
    <row r="430" spans="30:327">
      <c r="AD430" t="s">
        <v>112</v>
      </c>
      <c r="AE430" t="s">
        <v>22945</v>
      </c>
      <c r="AF430" s="46">
        <v>0</v>
      </c>
      <c r="AG430" s="113"/>
      <c r="AH430" s="113"/>
      <c r="AI430" s="113"/>
      <c r="AJ430" s="113"/>
      <c r="AK430" s="113"/>
      <c r="AL430" s="46">
        <v>0</v>
      </c>
      <c r="AM430" s="113"/>
      <c r="AN430" s="113"/>
      <c r="AO430" s="113"/>
      <c r="AP430" s="113"/>
      <c r="AQ430" s="113"/>
      <c r="AR430" s="46">
        <v>0</v>
      </c>
      <c r="AS430" s="113"/>
      <c r="AT430" s="113"/>
      <c r="AU430" s="113"/>
      <c r="AV430" s="113"/>
      <c r="AW430" s="113"/>
      <c r="AX430" s="46">
        <v>0</v>
      </c>
      <c r="AY430" s="113"/>
      <c r="AZ430" s="113"/>
      <c r="BA430" s="113"/>
      <c r="BB430" s="113"/>
      <c r="BC430" s="113"/>
      <c r="BD430" s="46">
        <v>0</v>
      </c>
      <c r="BE430" s="113"/>
      <c r="BF430" s="113"/>
      <c r="BG430" s="113"/>
      <c r="BH430" s="113"/>
      <c r="BI430" s="113"/>
      <c r="BJ430" s="46">
        <v>0</v>
      </c>
      <c r="BK430" s="113"/>
      <c r="BL430" s="113"/>
      <c r="BM430" s="113"/>
      <c r="BN430" s="113"/>
      <c r="BO430" s="113"/>
      <c r="BP430" s="121"/>
      <c r="BQ430" s="121"/>
      <c r="GA430" t="s">
        <v>112</v>
      </c>
      <c r="GB430" t="s">
        <v>22945</v>
      </c>
      <c r="GC430" s="46">
        <v>0</v>
      </c>
      <c r="GD430" s="113"/>
      <c r="GE430" s="113"/>
      <c r="GF430" s="113"/>
      <c r="GG430" s="113"/>
      <c r="GH430" s="113"/>
      <c r="GI430" s="46">
        <v>0</v>
      </c>
      <c r="GJ430" s="113"/>
      <c r="GK430" s="113"/>
      <c r="GL430" s="113"/>
      <c r="GM430" s="113"/>
      <c r="GN430" s="113"/>
      <c r="GO430" s="46">
        <v>0</v>
      </c>
      <c r="GP430" s="113"/>
      <c r="GQ430" s="113"/>
      <c r="GR430" s="113"/>
      <c r="GS430" s="113"/>
      <c r="GT430" s="113"/>
      <c r="GU430" s="46">
        <v>0</v>
      </c>
      <c r="GV430" s="113"/>
      <c r="GW430" s="113"/>
      <c r="GX430" s="113"/>
      <c r="GY430" s="113"/>
      <c r="GZ430" s="113"/>
      <c r="HA430" s="46">
        <v>0</v>
      </c>
      <c r="HB430" s="113"/>
      <c r="HC430" s="113"/>
      <c r="HD430" s="113"/>
      <c r="HE430" s="113"/>
      <c r="HF430" s="113"/>
      <c r="HG430" s="46">
        <v>0</v>
      </c>
      <c r="HH430" s="113"/>
      <c r="HI430" s="113"/>
      <c r="HJ430" s="113"/>
      <c r="HK430" s="113"/>
      <c r="HL430" s="113"/>
      <c r="HM430" s="121"/>
      <c r="HN430" s="121"/>
      <c r="LM430" t="str">
        <v/>
      </c>
      <c r="LN430" t="str">
        <v/>
      </c>
      <c r="LO430" t="str">
        <v/>
      </c>
    </row>
    <row r="431" spans="30:327">
      <c r="AD431" t="s">
        <v>112</v>
      </c>
      <c r="AE431" t="s">
        <v>22946</v>
      </c>
      <c r="AF431" s="46">
        <v>0</v>
      </c>
      <c r="AG431" s="113"/>
      <c r="AH431" s="113"/>
      <c r="AI431" s="113"/>
      <c r="AJ431" s="113"/>
      <c r="AK431" s="113"/>
      <c r="AL431" s="46">
        <v>0</v>
      </c>
      <c r="AM431" s="113"/>
      <c r="AN431" s="113"/>
      <c r="AO431" s="113"/>
      <c r="AP431" s="113"/>
      <c r="AQ431" s="113"/>
      <c r="AR431" s="46">
        <v>0</v>
      </c>
      <c r="AS431" s="113"/>
      <c r="AT431" s="113"/>
      <c r="AU431" s="113"/>
      <c r="AV431" s="113"/>
      <c r="AW431" s="113"/>
      <c r="AX431" s="46">
        <v>0</v>
      </c>
      <c r="AY431" s="113"/>
      <c r="AZ431" s="113"/>
      <c r="BA431" s="113"/>
      <c r="BB431" s="113"/>
      <c r="BC431" s="113"/>
      <c r="BD431" s="46">
        <v>0</v>
      </c>
      <c r="BE431" s="113"/>
      <c r="BF431" s="113"/>
      <c r="BG431" s="113"/>
      <c r="BH431" s="113"/>
      <c r="BI431" s="113"/>
      <c r="BJ431" s="46">
        <v>0</v>
      </c>
      <c r="BK431" s="113"/>
      <c r="BL431" s="113"/>
      <c r="BM431" s="113"/>
      <c r="BN431" s="113"/>
      <c r="BO431" s="113"/>
      <c r="BP431" s="121"/>
      <c r="BQ431" s="121"/>
      <c r="GA431" t="s">
        <v>112</v>
      </c>
      <c r="GB431" t="s">
        <v>22946</v>
      </c>
      <c r="GC431" s="46">
        <v>0</v>
      </c>
      <c r="GD431" s="113"/>
      <c r="GE431" s="113"/>
      <c r="GF431" s="113"/>
      <c r="GG431" s="113"/>
      <c r="GH431" s="113"/>
      <c r="GI431" s="46">
        <v>0</v>
      </c>
      <c r="GJ431" s="113"/>
      <c r="GK431" s="113"/>
      <c r="GL431" s="113"/>
      <c r="GM431" s="113"/>
      <c r="GN431" s="113"/>
      <c r="GO431" s="46">
        <v>0</v>
      </c>
      <c r="GP431" s="113"/>
      <c r="GQ431" s="113"/>
      <c r="GR431" s="113"/>
      <c r="GS431" s="113"/>
      <c r="GT431" s="113"/>
      <c r="GU431" s="46">
        <v>0</v>
      </c>
      <c r="GV431" s="113"/>
      <c r="GW431" s="113"/>
      <c r="GX431" s="113"/>
      <c r="GY431" s="113"/>
      <c r="GZ431" s="113"/>
      <c r="HA431" s="46">
        <v>0</v>
      </c>
      <c r="HB431" s="113"/>
      <c r="HC431" s="113"/>
      <c r="HD431" s="113"/>
      <c r="HE431" s="113"/>
      <c r="HF431" s="113"/>
      <c r="HG431" s="46">
        <v>0</v>
      </c>
      <c r="HH431" s="113"/>
      <c r="HI431" s="113"/>
      <c r="HJ431" s="113"/>
      <c r="HK431" s="113"/>
      <c r="HL431" s="113"/>
      <c r="HM431" s="121"/>
      <c r="HN431" s="121"/>
      <c r="LM431" t="str">
        <v/>
      </c>
      <c r="LN431" t="str">
        <v/>
      </c>
      <c r="LO431" t="str">
        <v/>
      </c>
    </row>
    <row r="432" spans="30:327">
      <c r="AD432" t="s">
        <v>112</v>
      </c>
      <c r="AE432" t="s">
        <v>22947</v>
      </c>
      <c r="AF432" s="46">
        <v>0</v>
      </c>
      <c r="AG432" s="113"/>
      <c r="AH432" s="113"/>
      <c r="AI432" s="113"/>
      <c r="AJ432" s="113"/>
      <c r="AK432" s="113"/>
      <c r="AL432" s="46">
        <v>0</v>
      </c>
      <c r="AM432" s="113"/>
      <c r="AN432" s="113"/>
      <c r="AO432" s="113"/>
      <c r="AP432" s="113"/>
      <c r="AQ432" s="113"/>
      <c r="AR432" s="46">
        <v>0</v>
      </c>
      <c r="AS432" s="113"/>
      <c r="AT432" s="113"/>
      <c r="AU432" s="113"/>
      <c r="AV432" s="113"/>
      <c r="AW432" s="113"/>
      <c r="AX432" s="46">
        <v>0</v>
      </c>
      <c r="AY432" s="113"/>
      <c r="AZ432" s="113"/>
      <c r="BA432" s="113"/>
      <c r="BB432" s="113"/>
      <c r="BC432" s="113"/>
      <c r="BD432" s="46">
        <v>0</v>
      </c>
      <c r="BE432" s="113"/>
      <c r="BF432" s="113"/>
      <c r="BG432" s="113"/>
      <c r="BH432" s="113"/>
      <c r="BI432" s="113"/>
      <c r="BJ432" s="46">
        <v>0</v>
      </c>
      <c r="BK432" s="113"/>
      <c r="BL432" s="113"/>
      <c r="BM432" s="113"/>
      <c r="BN432" s="113"/>
      <c r="BO432" s="113"/>
      <c r="BP432" s="121"/>
      <c r="BQ432" s="121"/>
      <c r="GA432" t="s">
        <v>112</v>
      </c>
      <c r="GB432" t="s">
        <v>22947</v>
      </c>
      <c r="GC432" s="46">
        <v>0</v>
      </c>
      <c r="GD432" s="113"/>
      <c r="GE432" s="113"/>
      <c r="GF432" s="113"/>
      <c r="GG432" s="113"/>
      <c r="GH432" s="113"/>
      <c r="GI432" s="46">
        <v>0</v>
      </c>
      <c r="GJ432" s="113"/>
      <c r="GK432" s="113"/>
      <c r="GL432" s="113"/>
      <c r="GM432" s="113"/>
      <c r="GN432" s="113"/>
      <c r="GO432" s="46">
        <v>0</v>
      </c>
      <c r="GP432" s="113"/>
      <c r="GQ432" s="113"/>
      <c r="GR432" s="113"/>
      <c r="GS432" s="113"/>
      <c r="GT432" s="113"/>
      <c r="GU432" s="46">
        <v>0</v>
      </c>
      <c r="GV432" s="113"/>
      <c r="GW432" s="113"/>
      <c r="GX432" s="113"/>
      <c r="GY432" s="113"/>
      <c r="GZ432" s="113"/>
      <c r="HA432" s="46">
        <v>0</v>
      </c>
      <c r="HB432" s="113"/>
      <c r="HC432" s="113"/>
      <c r="HD432" s="113"/>
      <c r="HE432" s="113"/>
      <c r="HF432" s="113"/>
      <c r="HG432" s="46">
        <v>0</v>
      </c>
      <c r="HH432" s="113"/>
      <c r="HI432" s="113"/>
      <c r="HJ432" s="113"/>
      <c r="HK432" s="113"/>
      <c r="HL432" s="113"/>
      <c r="HM432" s="121"/>
      <c r="HN432" s="121"/>
      <c r="LM432" t="str">
        <v/>
      </c>
      <c r="LN432" t="str">
        <v/>
      </c>
      <c r="LO432" t="str">
        <v/>
      </c>
    </row>
    <row r="433" spans="30:327">
      <c r="AD433" t="s">
        <v>112</v>
      </c>
      <c r="AE433" t="s">
        <v>22948</v>
      </c>
      <c r="AF433" s="46">
        <v>0</v>
      </c>
      <c r="AG433" s="113"/>
      <c r="AH433" s="113"/>
      <c r="AI433" s="113"/>
      <c r="AJ433" s="113"/>
      <c r="AK433" s="113"/>
      <c r="AL433" s="46">
        <v>0</v>
      </c>
      <c r="AM433" s="113"/>
      <c r="AN433" s="113"/>
      <c r="AO433" s="113"/>
      <c r="AP433" s="113"/>
      <c r="AQ433" s="113"/>
      <c r="AR433" s="46">
        <v>0</v>
      </c>
      <c r="AS433" s="113"/>
      <c r="AT433" s="113"/>
      <c r="AU433" s="113"/>
      <c r="AV433" s="113"/>
      <c r="AW433" s="113"/>
      <c r="AX433" s="46">
        <v>0</v>
      </c>
      <c r="AY433" s="113"/>
      <c r="AZ433" s="113"/>
      <c r="BA433" s="113"/>
      <c r="BB433" s="113"/>
      <c r="BC433" s="113"/>
      <c r="BD433" s="46">
        <v>0</v>
      </c>
      <c r="BE433" s="113"/>
      <c r="BF433" s="113"/>
      <c r="BG433" s="113"/>
      <c r="BH433" s="113"/>
      <c r="BI433" s="113"/>
      <c r="BJ433" s="46">
        <v>0</v>
      </c>
      <c r="BK433" s="113"/>
      <c r="BL433" s="113"/>
      <c r="BM433" s="113"/>
      <c r="BN433" s="113"/>
      <c r="BO433" s="113"/>
      <c r="BP433" s="121"/>
      <c r="BQ433" s="121"/>
      <c r="GA433" t="s">
        <v>112</v>
      </c>
      <c r="GB433" t="s">
        <v>22948</v>
      </c>
      <c r="GC433" s="46">
        <v>0</v>
      </c>
      <c r="GD433" s="113"/>
      <c r="GE433" s="113"/>
      <c r="GF433" s="113"/>
      <c r="GG433" s="113"/>
      <c r="GH433" s="113"/>
      <c r="GI433" s="46">
        <v>0</v>
      </c>
      <c r="GJ433" s="113"/>
      <c r="GK433" s="113"/>
      <c r="GL433" s="113"/>
      <c r="GM433" s="113"/>
      <c r="GN433" s="113"/>
      <c r="GO433" s="46">
        <v>0</v>
      </c>
      <c r="GP433" s="113"/>
      <c r="GQ433" s="113"/>
      <c r="GR433" s="113"/>
      <c r="GS433" s="113"/>
      <c r="GT433" s="113"/>
      <c r="GU433" s="46">
        <v>0</v>
      </c>
      <c r="GV433" s="113"/>
      <c r="GW433" s="113"/>
      <c r="GX433" s="113"/>
      <c r="GY433" s="113"/>
      <c r="GZ433" s="113"/>
      <c r="HA433" s="46">
        <v>0</v>
      </c>
      <c r="HB433" s="113"/>
      <c r="HC433" s="113"/>
      <c r="HD433" s="113"/>
      <c r="HE433" s="113"/>
      <c r="HF433" s="113"/>
      <c r="HG433" s="46">
        <v>0</v>
      </c>
      <c r="HH433" s="113"/>
      <c r="HI433" s="113"/>
      <c r="HJ433" s="113"/>
      <c r="HK433" s="113"/>
      <c r="HL433" s="113"/>
      <c r="HM433" s="121"/>
      <c r="HN433" s="121"/>
      <c r="LM433" t="str">
        <v/>
      </c>
      <c r="LN433" t="str">
        <v/>
      </c>
      <c r="LO433" t="str">
        <v/>
      </c>
    </row>
    <row r="434" spans="30:327">
      <c r="AD434" t="s">
        <v>112</v>
      </c>
      <c r="AE434" t="s">
        <v>22949</v>
      </c>
      <c r="AF434" s="46">
        <v>0</v>
      </c>
      <c r="AG434" s="113"/>
      <c r="AH434" s="113"/>
      <c r="AI434" s="113"/>
      <c r="AJ434" s="113"/>
      <c r="AK434" s="113"/>
      <c r="AL434" s="46">
        <v>0</v>
      </c>
      <c r="AM434" s="113"/>
      <c r="AN434" s="113"/>
      <c r="AO434" s="113"/>
      <c r="AP434" s="113"/>
      <c r="AQ434" s="113"/>
      <c r="AR434" s="46">
        <v>0</v>
      </c>
      <c r="AS434" s="113"/>
      <c r="AT434" s="113"/>
      <c r="AU434" s="113"/>
      <c r="AV434" s="113"/>
      <c r="AW434" s="113"/>
      <c r="AX434" s="46">
        <v>0</v>
      </c>
      <c r="AY434" s="113"/>
      <c r="AZ434" s="113"/>
      <c r="BA434" s="113"/>
      <c r="BB434" s="113"/>
      <c r="BC434" s="113"/>
      <c r="BD434" s="46">
        <v>0</v>
      </c>
      <c r="BE434" s="113"/>
      <c r="BF434" s="113"/>
      <c r="BG434" s="113"/>
      <c r="BH434" s="113"/>
      <c r="BI434" s="113"/>
      <c r="BJ434" s="46">
        <v>0</v>
      </c>
      <c r="BK434" s="113"/>
      <c r="BL434" s="113"/>
      <c r="BM434" s="113"/>
      <c r="BN434" s="113"/>
      <c r="BO434" s="113"/>
      <c r="BP434" s="121"/>
      <c r="BQ434" s="121"/>
      <c r="GA434" t="s">
        <v>112</v>
      </c>
      <c r="GB434" t="s">
        <v>22949</v>
      </c>
      <c r="GC434" s="46">
        <v>0</v>
      </c>
      <c r="GD434" s="113"/>
      <c r="GE434" s="113"/>
      <c r="GF434" s="113"/>
      <c r="GG434" s="113"/>
      <c r="GH434" s="113"/>
      <c r="GI434" s="46">
        <v>0</v>
      </c>
      <c r="GJ434" s="113"/>
      <c r="GK434" s="113"/>
      <c r="GL434" s="113"/>
      <c r="GM434" s="113"/>
      <c r="GN434" s="113"/>
      <c r="GO434" s="46">
        <v>0</v>
      </c>
      <c r="GP434" s="113"/>
      <c r="GQ434" s="113"/>
      <c r="GR434" s="113"/>
      <c r="GS434" s="113"/>
      <c r="GT434" s="113"/>
      <c r="GU434" s="46">
        <v>0</v>
      </c>
      <c r="GV434" s="113"/>
      <c r="GW434" s="113"/>
      <c r="GX434" s="113"/>
      <c r="GY434" s="113"/>
      <c r="GZ434" s="113"/>
      <c r="HA434" s="46">
        <v>0</v>
      </c>
      <c r="HB434" s="113"/>
      <c r="HC434" s="113"/>
      <c r="HD434" s="113"/>
      <c r="HE434" s="113"/>
      <c r="HF434" s="113"/>
      <c r="HG434" s="46">
        <v>0</v>
      </c>
      <c r="HH434" s="113"/>
      <c r="HI434" s="113"/>
      <c r="HJ434" s="113"/>
      <c r="HK434" s="113"/>
      <c r="HL434" s="113"/>
      <c r="HM434" s="121"/>
      <c r="HN434" s="121"/>
      <c r="LM434" t="str">
        <v/>
      </c>
      <c r="LN434" t="str">
        <v/>
      </c>
      <c r="LO434" t="str">
        <v/>
      </c>
    </row>
    <row r="435" spans="30:327">
      <c r="AD435" t="s">
        <v>112</v>
      </c>
      <c r="AE435" t="s">
        <v>22950</v>
      </c>
      <c r="AF435" s="46">
        <v>0</v>
      </c>
      <c r="AG435" s="113"/>
      <c r="AH435" s="113"/>
      <c r="AI435" s="113"/>
      <c r="AJ435" s="113"/>
      <c r="AK435" s="113"/>
      <c r="AL435" s="46">
        <v>0</v>
      </c>
      <c r="AM435" s="113"/>
      <c r="AN435" s="113"/>
      <c r="AO435" s="113"/>
      <c r="AP435" s="113"/>
      <c r="AQ435" s="113"/>
      <c r="AR435" s="46">
        <v>0</v>
      </c>
      <c r="AS435" s="113"/>
      <c r="AT435" s="113"/>
      <c r="AU435" s="113"/>
      <c r="AV435" s="113"/>
      <c r="AW435" s="113"/>
      <c r="AX435" s="46">
        <v>0</v>
      </c>
      <c r="AY435" s="113"/>
      <c r="AZ435" s="113"/>
      <c r="BA435" s="113"/>
      <c r="BB435" s="113"/>
      <c r="BC435" s="113"/>
      <c r="BD435" s="46">
        <v>0</v>
      </c>
      <c r="BE435" s="113"/>
      <c r="BF435" s="113"/>
      <c r="BG435" s="113"/>
      <c r="BH435" s="113"/>
      <c r="BI435" s="113"/>
      <c r="BJ435" s="46">
        <v>0</v>
      </c>
      <c r="BK435" s="113"/>
      <c r="BL435" s="113"/>
      <c r="BM435" s="113"/>
      <c r="BN435" s="113"/>
      <c r="BO435" s="113"/>
      <c r="BP435" s="121"/>
      <c r="BQ435" s="121"/>
      <c r="GA435" t="s">
        <v>112</v>
      </c>
      <c r="GB435" t="s">
        <v>22950</v>
      </c>
      <c r="GC435" s="46">
        <v>0</v>
      </c>
      <c r="GD435" s="113"/>
      <c r="GE435" s="113"/>
      <c r="GF435" s="113"/>
      <c r="GG435" s="113"/>
      <c r="GH435" s="113"/>
      <c r="GI435" s="46">
        <v>0</v>
      </c>
      <c r="GJ435" s="113"/>
      <c r="GK435" s="113"/>
      <c r="GL435" s="113"/>
      <c r="GM435" s="113"/>
      <c r="GN435" s="113"/>
      <c r="GO435" s="46">
        <v>0</v>
      </c>
      <c r="GP435" s="113"/>
      <c r="GQ435" s="113"/>
      <c r="GR435" s="113"/>
      <c r="GS435" s="113"/>
      <c r="GT435" s="113"/>
      <c r="GU435" s="46">
        <v>0</v>
      </c>
      <c r="GV435" s="113"/>
      <c r="GW435" s="113"/>
      <c r="GX435" s="113"/>
      <c r="GY435" s="113"/>
      <c r="GZ435" s="113"/>
      <c r="HA435" s="46">
        <v>0</v>
      </c>
      <c r="HB435" s="113"/>
      <c r="HC435" s="113"/>
      <c r="HD435" s="113"/>
      <c r="HE435" s="113"/>
      <c r="HF435" s="113"/>
      <c r="HG435" s="46">
        <v>0</v>
      </c>
      <c r="HH435" s="113"/>
      <c r="HI435" s="113"/>
      <c r="HJ435" s="113"/>
      <c r="HK435" s="113"/>
      <c r="HL435" s="113"/>
      <c r="HM435" s="121"/>
      <c r="HN435" s="121"/>
      <c r="LM435" t="str">
        <v/>
      </c>
      <c r="LN435" t="str">
        <v/>
      </c>
      <c r="LO435" t="str">
        <v/>
      </c>
    </row>
    <row r="436" spans="30:327">
      <c r="AD436" t="s">
        <v>112</v>
      </c>
      <c r="AE436" t="s">
        <v>22951</v>
      </c>
      <c r="AF436" s="46">
        <v>0</v>
      </c>
      <c r="AG436" s="113"/>
      <c r="AH436" s="113"/>
      <c r="AI436" s="113"/>
      <c r="AJ436" s="113"/>
      <c r="AK436" s="113"/>
      <c r="AL436" s="46">
        <v>0</v>
      </c>
      <c r="AM436" s="113"/>
      <c r="AN436" s="113"/>
      <c r="AO436" s="113"/>
      <c r="AP436" s="113"/>
      <c r="AQ436" s="113"/>
      <c r="AR436" s="46">
        <v>0</v>
      </c>
      <c r="AS436" s="113"/>
      <c r="AT436" s="113"/>
      <c r="AU436" s="113"/>
      <c r="AV436" s="113"/>
      <c r="AW436" s="113"/>
      <c r="AX436" s="46">
        <v>0</v>
      </c>
      <c r="AY436" s="113"/>
      <c r="AZ436" s="113"/>
      <c r="BA436" s="113"/>
      <c r="BB436" s="113"/>
      <c r="BC436" s="113"/>
      <c r="BD436" s="46">
        <v>0</v>
      </c>
      <c r="BE436" s="113"/>
      <c r="BF436" s="113"/>
      <c r="BG436" s="113"/>
      <c r="BH436" s="113"/>
      <c r="BI436" s="113"/>
      <c r="BJ436" s="46">
        <v>0</v>
      </c>
      <c r="BK436" s="113"/>
      <c r="BL436" s="113"/>
      <c r="BM436" s="113"/>
      <c r="BN436" s="113"/>
      <c r="BO436" s="113"/>
      <c r="BP436" s="121"/>
      <c r="BQ436" s="121"/>
      <c r="GA436" t="s">
        <v>112</v>
      </c>
      <c r="GB436" t="s">
        <v>22951</v>
      </c>
      <c r="GC436" s="46">
        <v>0</v>
      </c>
      <c r="GD436" s="113"/>
      <c r="GE436" s="113"/>
      <c r="GF436" s="113"/>
      <c r="GG436" s="113"/>
      <c r="GH436" s="113"/>
      <c r="GI436" s="46">
        <v>0</v>
      </c>
      <c r="GJ436" s="113"/>
      <c r="GK436" s="113"/>
      <c r="GL436" s="113"/>
      <c r="GM436" s="113"/>
      <c r="GN436" s="113"/>
      <c r="GO436" s="46">
        <v>0</v>
      </c>
      <c r="GP436" s="113"/>
      <c r="GQ436" s="113"/>
      <c r="GR436" s="113"/>
      <c r="GS436" s="113"/>
      <c r="GT436" s="113"/>
      <c r="GU436" s="46">
        <v>0</v>
      </c>
      <c r="GV436" s="113"/>
      <c r="GW436" s="113"/>
      <c r="GX436" s="113"/>
      <c r="GY436" s="113"/>
      <c r="GZ436" s="113"/>
      <c r="HA436" s="46">
        <v>0</v>
      </c>
      <c r="HB436" s="113"/>
      <c r="HC436" s="113"/>
      <c r="HD436" s="113"/>
      <c r="HE436" s="113"/>
      <c r="HF436" s="113"/>
      <c r="HG436" s="46">
        <v>0</v>
      </c>
      <c r="HH436" s="113"/>
      <c r="HI436" s="113"/>
      <c r="HJ436" s="113"/>
      <c r="HK436" s="113"/>
      <c r="HL436" s="113"/>
      <c r="HM436" s="121"/>
      <c r="HN436" s="121"/>
      <c r="LM436" t="str">
        <v/>
      </c>
      <c r="LN436" t="str">
        <v/>
      </c>
      <c r="LO436" t="str">
        <v/>
      </c>
    </row>
    <row r="437" spans="30:327">
      <c r="AD437" t="s">
        <v>112</v>
      </c>
      <c r="AE437" t="s">
        <v>22952</v>
      </c>
      <c r="AF437" s="46">
        <v>0</v>
      </c>
      <c r="AG437" s="113"/>
      <c r="AH437" s="113"/>
      <c r="AI437" s="113"/>
      <c r="AJ437" s="113"/>
      <c r="AK437" s="113"/>
      <c r="AL437" s="46">
        <v>0</v>
      </c>
      <c r="AM437" s="113"/>
      <c r="AN437" s="113"/>
      <c r="AO437" s="113"/>
      <c r="AP437" s="113"/>
      <c r="AQ437" s="113"/>
      <c r="AR437" s="46">
        <v>0</v>
      </c>
      <c r="AS437" s="113"/>
      <c r="AT437" s="113"/>
      <c r="AU437" s="113"/>
      <c r="AV437" s="113"/>
      <c r="AW437" s="113"/>
      <c r="AX437" s="46">
        <v>0</v>
      </c>
      <c r="AY437" s="113"/>
      <c r="AZ437" s="113"/>
      <c r="BA437" s="113"/>
      <c r="BB437" s="113"/>
      <c r="BC437" s="113"/>
      <c r="BD437" s="46">
        <v>0</v>
      </c>
      <c r="BE437" s="113"/>
      <c r="BF437" s="113"/>
      <c r="BG437" s="113"/>
      <c r="BH437" s="113"/>
      <c r="BI437" s="113"/>
      <c r="BJ437" s="46">
        <v>0</v>
      </c>
      <c r="BK437" s="113"/>
      <c r="BL437" s="113"/>
      <c r="BM437" s="113"/>
      <c r="BN437" s="113"/>
      <c r="BO437" s="113"/>
      <c r="BP437" s="121"/>
      <c r="BQ437" s="121"/>
      <c r="GA437" t="s">
        <v>112</v>
      </c>
      <c r="GB437" t="s">
        <v>22952</v>
      </c>
      <c r="GC437" s="46">
        <v>0</v>
      </c>
      <c r="GD437" s="113"/>
      <c r="GE437" s="113"/>
      <c r="GF437" s="113"/>
      <c r="GG437" s="113"/>
      <c r="GH437" s="113"/>
      <c r="GI437" s="46">
        <v>0</v>
      </c>
      <c r="GJ437" s="113"/>
      <c r="GK437" s="113"/>
      <c r="GL437" s="113"/>
      <c r="GM437" s="113"/>
      <c r="GN437" s="113"/>
      <c r="GO437" s="46">
        <v>0</v>
      </c>
      <c r="GP437" s="113"/>
      <c r="GQ437" s="113"/>
      <c r="GR437" s="113"/>
      <c r="GS437" s="113"/>
      <c r="GT437" s="113"/>
      <c r="GU437" s="46">
        <v>0</v>
      </c>
      <c r="GV437" s="113"/>
      <c r="GW437" s="113"/>
      <c r="GX437" s="113"/>
      <c r="GY437" s="113"/>
      <c r="GZ437" s="113"/>
      <c r="HA437" s="46">
        <v>0</v>
      </c>
      <c r="HB437" s="113"/>
      <c r="HC437" s="113"/>
      <c r="HD437" s="113"/>
      <c r="HE437" s="113"/>
      <c r="HF437" s="113"/>
      <c r="HG437" s="46">
        <v>0</v>
      </c>
      <c r="HH437" s="113"/>
      <c r="HI437" s="113"/>
      <c r="HJ437" s="113"/>
      <c r="HK437" s="113"/>
      <c r="HL437" s="113"/>
      <c r="HM437" s="121"/>
      <c r="HN437" s="121"/>
      <c r="LM437" t="str">
        <v/>
      </c>
      <c r="LN437" t="str">
        <v/>
      </c>
      <c r="LO437" t="str">
        <v/>
      </c>
    </row>
    <row r="438" spans="30:327">
      <c r="AD438" t="s">
        <v>112</v>
      </c>
      <c r="AE438" t="s">
        <v>22953</v>
      </c>
      <c r="AF438" s="46">
        <v>0</v>
      </c>
      <c r="AG438" s="113"/>
      <c r="AH438" s="113"/>
      <c r="AI438" s="113"/>
      <c r="AJ438" s="113"/>
      <c r="AK438" s="113"/>
      <c r="AL438" s="46">
        <v>0</v>
      </c>
      <c r="AM438" s="113"/>
      <c r="AN438" s="113"/>
      <c r="AO438" s="113"/>
      <c r="AP438" s="113"/>
      <c r="AQ438" s="113"/>
      <c r="AR438" s="46">
        <v>0</v>
      </c>
      <c r="AS438" s="113"/>
      <c r="AT438" s="113"/>
      <c r="AU438" s="113"/>
      <c r="AV438" s="113"/>
      <c r="AW438" s="113"/>
      <c r="AX438" s="46">
        <v>0</v>
      </c>
      <c r="AY438" s="113"/>
      <c r="AZ438" s="113"/>
      <c r="BA438" s="113"/>
      <c r="BB438" s="113"/>
      <c r="BC438" s="113"/>
      <c r="BD438" s="46">
        <v>0</v>
      </c>
      <c r="BE438" s="113"/>
      <c r="BF438" s="113"/>
      <c r="BG438" s="113"/>
      <c r="BH438" s="113"/>
      <c r="BI438" s="113"/>
      <c r="BJ438" s="46">
        <v>0</v>
      </c>
      <c r="BK438" s="113"/>
      <c r="BL438" s="113"/>
      <c r="BM438" s="113"/>
      <c r="BN438" s="113"/>
      <c r="BO438" s="113"/>
      <c r="BP438" s="121"/>
      <c r="BQ438" s="121"/>
      <c r="GA438" t="s">
        <v>112</v>
      </c>
      <c r="GB438" t="s">
        <v>22953</v>
      </c>
      <c r="GC438" s="46">
        <v>0</v>
      </c>
      <c r="GD438" s="113"/>
      <c r="GE438" s="113"/>
      <c r="GF438" s="113"/>
      <c r="GG438" s="113"/>
      <c r="GH438" s="113"/>
      <c r="GI438" s="46">
        <v>0</v>
      </c>
      <c r="GJ438" s="113"/>
      <c r="GK438" s="113"/>
      <c r="GL438" s="113"/>
      <c r="GM438" s="113"/>
      <c r="GN438" s="113"/>
      <c r="GO438" s="46">
        <v>0</v>
      </c>
      <c r="GP438" s="113"/>
      <c r="GQ438" s="113"/>
      <c r="GR438" s="113"/>
      <c r="GS438" s="113"/>
      <c r="GT438" s="113"/>
      <c r="GU438" s="46">
        <v>0</v>
      </c>
      <c r="GV438" s="113"/>
      <c r="GW438" s="113"/>
      <c r="GX438" s="113"/>
      <c r="GY438" s="113"/>
      <c r="GZ438" s="113"/>
      <c r="HA438" s="46">
        <v>0</v>
      </c>
      <c r="HB438" s="113"/>
      <c r="HC438" s="113"/>
      <c r="HD438" s="113"/>
      <c r="HE438" s="113"/>
      <c r="HF438" s="113"/>
      <c r="HG438" s="46">
        <v>0</v>
      </c>
      <c r="HH438" s="113"/>
      <c r="HI438" s="113"/>
      <c r="HJ438" s="113"/>
      <c r="HK438" s="113"/>
      <c r="HL438" s="113"/>
      <c r="HM438" s="121"/>
      <c r="HN438" s="121"/>
      <c r="LM438" t="str">
        <v/>
      </c>
      <c r="LN438" t="str">
        <v/>
      </c>
      <c r="LO438" t="str">
        <v/>
      </c>
    </row>
    <row r="439" spans="30:327">
      <c r="AD439" t="s">
        <v>112</v>
      </c>
      <c r="AE439" t="s">
        <v>22954</v>
      </c>
      <c r="AF439" s="46">
        <v>0</v>
      </c>
      <c r="AG439" s="113"/>
      <c r="AH439" s="113"/>
      <c r="AI439" s="113"/>
      <c r="AJ439" s="113"/>
      <c r="AK439" s="113"/>
      <c r="AL439" s="46">
        <v>0</v>
      </c>
      <c r="AM439" s="113"/>
      <c r="AN439" s="113"/>
      <c r="AO439" s="113"/>
      <c r="AP439" s="113"/>
      <c r="AQ439" s="113"/>
      <c r="AR439" s="46">
        <v>0</v>
      </c>
      <c r="AS439" s="113"/>
      <c r="AT439" s="113"/>
      <c r="AU439" s="113"/>
      <c r="AV439" s="113"/>
      <c r="AW439" s="113"/>
      <c r="AX439" s="46">
        <v>0</v>
      </c>
      <c r="AY439" s="113"/>
      <c r="AZ439" s="113"/>
      <c r="BA439" s="113"/>
      <c r="BB439" s="113"/>
      <c r="BC439" s="113"/>
      <c r="BD439" s="46">
        <v>0</v>
      </c>
      <c r="BE439" s="113"/>
      <c r="BF439" s="113"/>
      <c r="BG439" s="113"/>
      <c r="BH439" s="113"/>
      <c r="BI439" s="113"/>
      <c r="BJ439" s="46">
        <v>0</v>
      </c>
      <c r="BK439" s="113"/>
      <c r="BL439" s="113"/>
      <c r="BM439" s="113"/>
      <c r="BN439" s="113"/>
      <c r="BO439" s="113"/>
      <c r="BP439" s="121"/>
      <c r="BQ439" s="121"/>
      <c r="GA439" t="s">
        <v>112</v>
      </c>
      <c r="GB439" t="s">
        <v>22954</v>
      </c>
      <c r="GC439" s="46">
        <v>0</v>
      </c>
      <c r="GD439" s="113"/>
      <c r="GE439" s="113"/>
      <c r="GF439" s="113"/>
      <c r="GG439" s="113"/>
      <c r="GH439" s="113"/>
      <c r="GI439" s="46">
        <v>0</v>
      </c>
      <c r="GJ439" s="113"/>
      <c r="GK439" s="113"/>
      <c r="GL439" s="113"/>
      <c r="GM439" s="113"/>
      <c r="GN439" s="113"/>
      <c r="GO439" s="46">
        <v>0</v>
      </c>
      <c r="GP439" s="113"/>
      <c r="GQ439" s="113"/>
      <c r="GR439" s="113"/>
      <c r="GS439" s="113"/>
      <c r="GT439" s="113"/>
      <c r="GU439" s="46">
        <v>0</v>
      </c>
      <c r="GV439" s="113"/>
      <c r="GW439" s="113"/>
      <c r="GX439" s="113"/>
      <c r="GY439" s="113"/>
      <c r="GZ439" s="113"/>
      <c r="HA439" s="46">
        <v>0</v>
      </c>
      <c r="HB439" s="113"/>
      <c r="HC439" s="113"/>
      <c r="HD439" s="113"/>
      <c r="HE439" s="113"/>
      <c r="HF439" s="113"/>
      <c r="HG439" s="46">
        <v>0</v>
      </c>
      <c r="HH439" s="113"/>
      <c r="HI439" s="113"/>
      <c r="HJ439" s="113"/>
      <c r="HK439" s="113"/>
      <c r="HL439" s="113"/>
      <c r="HM439" s="121"/>
      <c r="HN439" s="121"/>
      <c r="LM439" t="str">
        <v/>
      </c>
      <c r="LN439" t="str">
        <v/>
      </c>
      <c r="LO439" t="str">
        <v/>
      </c>
    </row>
    <row r="440" spans="30:327">
      <c r="AD440" t="s">
        <v>112</v>
      </c>
      <c r="AE440" t="s">
        <v>22955</v>
      </c>
      <c r="AF440" s="46">
        <v>0</v>
      </c>
      <c r="AG440" s="113"/>
      <c r="AH440" s="113"/>
      <c r="AI440" s="113"/>
      <c r="AJ440" s="113"/>
      <c r="AK440" s="113"/>
      <c r="AL440" s="46">
        <v>0</v>
      </c>
      <c r="AM440" s="113"/>
      <c r="AN440" s="113"/>
      <c r="AO440" s="113"/>
      <c r="AP440" s="113"/>
      <c r="AQ440" s="113"/>
      <c r="AR440" s="46">
        <v>0</v>
      </c>
      <c r="AS440" s="113"/>
      <c r="AT440" s="113"/>
      <c r="AU440" s="113"/>
      <c r="AV440" s="113"/>
      <c r="AW440" s="113"/>
      <c r="AX440" s="46">
        <v>0</v>
      </c>
      <c r="AY440" s="113"/>
      <c r="AZ440" s="113"/>
      <c r="BA440" s="113"/>
      <c r="BB440" s="113"/>
      <c r="BC440" s="113"/>
      <c r="BD440" s="46">
        <v>0</v>
      </c>
      <c r="BE440" s="113"/>
      <c r="BF440" s="113"/>
      <c r="BG440" s="113"/>
      <c r="BH440" s="113"/>
      <c r="BI440" s="113"/>
      <c r="BJ440" s="46">
        <v>0</v>
      </c>
      <c r="BK440" s="113"/>
      <c r="BL440" s="113"/>
      <c r="BM440" s="113"/>
      <c r="BN440" s="113"/>
      <c r="BO440" s="113"/>
      <c r="BP440" s="121"/>
      <c r="BQ440" s="121"/>
      <c r="GA440" t="s">
        <v>112</v>
      </c>
      <c r="GB440" t="s">
        <v>22955</v>
      </c>
      <c r="GC440" s="46">
        <v>0</v>
      </c>
      <c r="GD440" s="113"/>
      <c r="GE440" s="113"/>
      <c r="GF440" s="113"/>
      <c r="GG440" s="113"/>
      <c r="GH440" s="113"/>
      <c r="GI440" s="46">
        <v>0</v>
      </c>
      <c r="GJ440" s="113"/>
      <c r="GK440" s="113"/>
      <c r="GL440" s="113"/>
      <c r="GM440" s="113"/>
      <c r="GN440" s="113"/>
      <c r="GO440" s="46">
        <v>0</v>
      </c>
      <c r="GP440" s="113"/>
      <c r="GQ440" s="113"/>
      <c r="GR440" s="113"/>
      <c r="GS440" s="113"/>
      <c r="GT440" s="113"/>
      <c r="GU440" s="46">
        <v>0</v>
      </c>
      <c r="GV440" s="113"/>
      <c r="GW440" s="113"/>
      <c r="GX440" s="113"/>
      <c r="GY440" s="113"/>
      <c r="GZ440" s="113"/>
      <c r="HA440" s="46">
        <v>0</v>
      </c>
      <c r="HB440" s="113"/>
      <c r="HC440" s="113"/>
      <c r="HD440" s="113"/>
      <c r="HE440" s="113"/>
      <c r="HF440" s="113"/>
      <c r="HG440" s="46">
        <v>0</v>
      </c>
      <c r="HH440" s="113"/>
      <c r="HI440" s="113"/>
      <c r="HJ440" s="113"/>
      <c r="HK440" s="113"/>
      <c r="HL440" s="113"/>
      <c r="HM440" s="121"/>
      <c r="HN440" s="121"/>
      <c r="LM440" t="str">
        <v/>
      </c>
      <c r="LN440" t="str">
        <v/>
      </c>
      <c r="LO440" t="str">
        <v/>
      </c>
    </row>
    <row r="441" spans="30:327">
      <c r="AD441" t="s">
        <v>112</v>
      </c>
      <c r="AE441" t="s">
        <v>22956</v>
      </c>
      <c r="AF441" s="46">
        <v>0</v>
      </c>
      <c r="AG441" s="113"/>
      <c r="AH441" s="113"/>
      <c r="AI441" s="113"/>
      <c r="AJ441" s="113"/>
      <c r="AK441" s="113"/>
      <c r="AL441" s="46">
        <v>0</v>
      </c>
      <c r="AM441" s="113"/>
      <c r="AN441" s="113"/>
      <c r="AO441" s="113"/>
      <c r="AP441" s="113"/>
      <c r="AQ441" s="113"/>
      <c r="AR441" s="46">
        <v>0</v>
      </c>
      <c r="AS441" s="113"/>
      <c r="AT441" s="113"/>
      <c r="AU441" s="113"/>
      <c r="AV441" s="113"/>
      <c r="AW441" s="113"/>
      <c r="AX441" s="46">
        <v>0</v>
      </c>
      <c r="AY441" s="113"/>
      <c r="AZ441" s="113"/>
      <c r="BA441" s="113"/>
      <c r="BB441" s="113"/>
      <c r="BC441" s="113"/>
      <c r="BD441" s="46">
        <v>0</v>
      </c>
      <c r="BE441" s="113"/>
      <c r="BF441" s="113"/>
      <c r="BG441" s="113"/>
      <c r="BH441" s="113"/>
      <c r="BI441" s="113"/>
      <c r="BJ441" s="46">
        <v>0</v>
      </c>
      <c r="BK441" s="113"/>
      <c r="BL441" s="113"/>
      <c r="BM441" s="113"/>
      <c r="BN441" s="113"/>
      <c r="BO441" s="113"/>
      <c r="BP441" s="121"/>
      <c r="BQ441" s="121"/>
      <c r="GA441" t="s">
        <v>112</v>
      </c>
      <c r="GB441" t="s">
        <v>22956</v>
      </c>
      <c r="GC441" s="46">
        <v>0</v>
      </c>
      <c r="GD441" s="113"/>
      <c r="GE441" s="113"/>
      <c r="GF441" s="113"/>
      <c r="GG441" s="113"/>
      <c r="GH441" s="113"/>
      <c r="GI441" s="46">
        <v>0</v>
      </c>
      <c r="GJ441" s="113"/>
      <c r="GK441" s="113"/>
      <c r="GL441" s="113"/>
      <c r="GM441" s="113"/>
      <c r="GN441" s="113"/>
      <c r="GO441" s="46">
        <v>0</v>
      </c>
      <c r="GP441" s="113"/>
      <c r="GQ441" s="113"/>
      <c r="GR441" s="113"/>
      <c r="GS441" s="113"/>
      <c r="GT441" s="113"/>
      <c r="GU441" s="46">
        <v>0</v>
      </c>
      <c r="GV441" s="113"/>
      <c r="GW441" s="113"/>
      <c r="GX441" s="113"/>
      <c r="GY441" s="113"/>
      <c r="GZ441" s="113"/>
      <c r="HA441" s="46">
        <v>0</v>
      </c>
      <c r="HB441" s="113"/>
      <c r="HC441" s="113"/>
      <c r="HD441" s="113"/>
      <c r="HE441" s="113"/>
      <c r="HF441" s="113"/>
      <c r="HG441" s="46">
        <v>0</v>
      </c>
      <c r="HH441" s="113"/>
      <c r="HI441" s="113"/>
      <c r="HJ441" s="113"/>
      <c r="HK441" s="113"/>
      <c r="HL441" s="113"/>
      <c r="HM441" s="121"/>
      <c r="HN441" s="121"/>
      <c r="LM441" t="str">
        <v/>
      </c>
      <c r="LN441" t="str">
        <v/>
      </c>
      <c r="LO441" t="str">
        <v/>
      </c>
    </row>
    <row r="442" spans="30:327">
      <c r="AD442" t="s">
        <v>112</v>
      </c>
      <c r="AE442" t="s">
        <v>22957</v>
      </c>
      <c r="AF442" s="46">
        <v>0</v>
      </c>
      <c r="AG442" s="113"/>
      <c r="AH442" s="113"/>
      <c r="AI442" s="113"/>
      <c r="AJ442" s="113"/>
      <c r="AK442" s="113"/>
      <c r="AL442" s="46">
        <v>0</v>
      </c>
      <c r="AM442" s="113"/>
      <c r="AN442" s="113"/>
      <c r="AO442" s="113"/>
      <c r="AP442" s="113"/>
      <c r="AQ442" s="113"/>
      <c r="AR442" s="46">
        <v>0</v>
      </c>
      <c r="AS442" s="113"/>
      <c r="AT442" s="113"/>
      <c r="AU442" s="113"/>
      <c r="AV442" s="113"/>
      <c r="AW442" s="113"/>
      <c r="AX442" s="46">
        <v>0</v>
      </c>
      <c r="AY442" s="113"/>
      <c r="AZ442" s="113"/>
      <c r="BA442" s="113"/>
      <c r="BB442" s="113"/>
      <c r="BC442" s="113"/>
      <c r="BD442" s="46">
        <v>0</v>
      </c>
      <c r="BE442" s="113"/>
      <c r="BF442" s="113"/>
      <c r="BG442" s="113"/>
      <c r="BH442" s="113"/>
      <c r="BI442" s="113"/>
      <c r="BJ442" s="46">
        <v>0</v>
      </c>
      <c r="BK442" s="113"/>
      <c r="BL442" s="113"/>
      <c r="BM442" s="113"/>
      <c r="BN442" s="113"/>
      <c r="BO442" s="113"/>
      <c r="BP442" s="121"/>
      <c r="BQ442" s="121"/>
      <c r="GA442" t="s">
        <v>112</v>
      </c>
      <c r="GB442" t="s">
        <v>22957</v>
      </c>
      <c r="GC442" s="46">
        <v>0</v>
      </c>
      <c r="GD442" s="113"/>
      <c r="GE442" s="113"/>
      <c r="GF442" s="113"/>
      <c r="GG442" s="113"/>
      <c r="GH442" s="113"/>
      <c r="GI442" s="46">
        <v>0</v>
      </c>
      <c r="GJ442" s="113"/>
      <c r="GK442" s="113"/>
      <c r="GL442" s="113"/>
      <c r="GM442" s="113"/>
      <c r="GN442" s="113"/>
      <c r="GO442" s="46">
        <v>0</v>
      </c>
      <c r="GP442" s="113"/>
      <c r="GQ442" s="113"/>
      <c r="GR442" s="113"/>
      <c r="GS442" s="113"/>
      <c r="GT442" s="113"/>
      <c r="GU442" s="46">
        <v>0</v>
      </c>
      <c r="GV442" s="113"/>
      <c r="GW442" s="113"/>
      <c r="GX442" s="113"/>
      <c r="GY442" s="113"/>
      <c r="GZ442" s="113"/>
      <c r="HA442" s="46">
        <v>0</v>
      </c>
      <c r="HB442" s="113"/>
      <c r="HC442" s="113"/>
      <c r="HD442" s="113"/>
      <c r="HE442" s="113"/>
      <c r="HF442" s="113"/>
      <c r="HG442" s="46">
        <v>0</v>
      </c>
      <c r="HH442" s="113"/>
      <c r="HI442" s="113"/>
      <c r="HJ442" s="113"/>
      <c r="HK442" s="113"/>
      <c r="HL442" s="113"/>
      <c r="HM442" s="121"/>
      <c r="HN442" s="121"/>
      <c r="LM442" t="str">
        <v/>
      </c>
      <c r="LN442" t="str">
        <v/>
      </c>
      <c r="LO442" t="str">
        <v/>
      </c>
    </row>
    <row r="443" spans="30:327">
      <c r="AD443" t="s">
        <v>112</v>
      </c>
      <c r="AE443" t="s">
        <v>22958</v>
      </c>
      <c r="AF443" s="46">
        <v>0</v>
      </c>
      <c r="AG443" s="113"/>
      <c r="AH443" s="113"/>
      <c r="AI443" s="113"/>
      <c r="AJ443" s="113"/>
      <c r="AK443" s="113"/>
      <c r="AL443" s="46">
        <v>0</v>
      </c>
      <c r="AM443" s="113"/>
      <c r="AN443" s="113"/>
      <c r="AO443" s="113"/>
      <c r="AP443" s="113"/>
      <c r="AQ443" s="113"/>
      <c r="AR443" s="46">
        <v>0</v>
      </c>
      <c r="AS443" s="113"/>
      <c r="AT443" s="113"/>
      <c r="AU443" s="113"/>
      <c r="AV443" s="113"/>
      <c r="AW443" s="113"/>
      <c r="AX443" s="46">
        <v>0</v>
      </c>
      <c r="AY443" s="113"/>
      <c r="AZ443" s="113"/>
      <c r="BA443" s="113"/>
      <c r="BB443" s="113"/>
      <c r="BC443" s="113"/>
      <c r="BD443" s="46">
        <v>0</v>
      </c>
      <c r="BE443" s="113"/>
      <c r="BF443" s="113"/>
      <c r="BG443" s="113"/>
      <c r="BH443" s="113"/>
      <c r="BI443" s="113"/>
      <c r="BJ443" s="46">
        <v>0</v>
      </c>
      <c r="BK443" s="113"/>
      <c r="BL443" s="113"/>
      <c r="BM443" s="113"/>
      <c r="BN443" s="113"/>
      <c r="BO443" s="113"/>
      <c r="BP443" s="121"/>
      <c r="BQ443" s="121"/>
      <c r="GA443" t="s">
        <v>112</v>
      </c>
      <c r="GB443" t="s">
        <v>22958</v>
      </c>
      <c r="GC443" s="46">
        <v>0</v>
      </c>
      <c r="GD443" s="113"/>
      <c r="GE443" s="113"/>
      <c r="GF443" s="113"/>
      <c r="GG443" s="113"/>
      <c r="GH443" s="113"/>
      <c r="GI443" s="46">
        <v>0</v>
      </c>
      <c r="GJ443" s="113"/>
      <c r="GK443" s="113"/>
      <c r="GL443" s="113"/>
      <c r="GM443" s="113"/>
      <c r="GN443" s="113"/>
      <c r="GO443" s="46">
        <v>0</v>
      </c>
      <c r="GP443" s="113"/>
      <c r="GQ443" s="113"/>
      <c r="GR443" s="113"/>
      <c r="GS443" s="113"/>
      <c r="GT443" s="113"/>
      <c r="GU443" s="46">
        <v>0</v>
      </c>
      <c r="GV443" s="113"/>
      <c r="GW443" s="113"/>
      <c r="GX443" s="113"/>
      <c r="GY443" s="113"/>
      <c r="GZ443" s="113"/>
      <c r="HA443" s="46">
        <v>0</v>
      </c>
      <c r="HB443" s="113"/>
      <c r="HC443" s="113"/>
      <c r="HD443" s="113"/>
      <c r="HE443" s="113"/>
      <c r="HF443" s="113"/>
      <c r="HG443" s="46">
        <v>0</v>
      </c>
      <c r="HH443" s="113"/>
      <c r="HI443" s="113"/>
      <c r="HJ443" s="113"/>
      <c r="HK443" s="113"/>
      <c r="HL443" s="113"/>
      <c r="HM443" s="121"/>
      <c r="HN443" s="121"/>
      <c r="LM443" t="str">
        <v/>
      </c>
      <c r="LN443" t="str">
        <v/>
      </c>
      <c r="LO443" t="str">
        <v/>
      </c>
    </row>
    <row r="444" spans="30:327">
      <c r="AD444" t="s">
        <v>112</v>
      </c>
      <c r="AE444" t="s">
        <v>22959</v>
      </c>
      <c r="AF444" s="46">
        <v>0</v>
      </c>
      <c r="AG444" s="113"/>
      <c r="AH444" s="113"/>
      <c r="AI444" s="113"/>
      <c r="AJ444" s="113"/>
      <c r="AK444" s="113"/>
      <c r="AL444" s="46">
        <v>0</v>
      </c>
      <c r="AM444" s="113"/>
      <c r="AN444" s="113"/>
      <c r="AO444" s="113"/>
      <c r="AP444" s="113"/>
      <c r="AQ444" s="113"/>
      <c r="AR444" s="46">
        <v>0</v>
      </c>
      <c r="AS444" s="113"/>
      <c r="AT444" s="113"/>
      <c r="AU444" s="113"/>
      <c r="AV444" s="113"/>
      <c r="AW444" s="113"/>
      <c r="AX444" s="46">
        <v>0</v>
      </c>
      <c r="AY444" s="113"/>
      <c r="AZ444" s="113"/>
      <c r="BA444" s="113"/>
      <c r="BB444" s="113"/>
      <c r="BC444" s="113"/>
      <c r="BD444" s="46">
        <v>0</v>
      </c>
      <c r="BE444" s="113"/>
      <c r="BF444" s="113"/>
      <c r="BG444" s="113"/>
      <c r="BH444" s="113"/>
      <c r="BI444" s="113"/>
      <c r="BJ444" s="46">
        <v>0</v>
      </c>
      <c r="BK444" s="113"/>
      <c r="BL444" s="113"/>
      <c r="BM444" s="113"/>
      <c r="BN444" s="113"/>
      <c r="BO444" s="113"/>
      <c r="BP444" s="121"/>
      <c r="BQ444" s="121"/>
      <c r="GA444" t="s">
        <v>112</v>
      </c>
      <c r="GB444" t="s">
        <v>22959</v>
      </c>
      <c r="GC444" s="46">
        <v>0</v>
      </c>
      <c r="GD444" s="113"/>
      <c r="GE444" s="113"/>
      <c r="GF444" s="113"/>
      <c r="GG444" s="113"/>
      <c r="GH444" s="113"/>
      <c r="GI444" s="46">
        <v>0</v>
      </c>
      <c r="GJ444" s="113"/>
      <c r="GK444" s="113"/>
      <c r="GL444" s="113"/>
      <c r="GM444" s="113"/>
      <c r="GN444" s="113"/>
      <c r="GO444" s="46">
        <v>0</v>
      </c>
      <c r="GP444" s="113"/>
      <c r="GQ444" s="113"/>
      <c r="GR444" s="113"/>
      <c r="GS444" s="113"/>
      <c r="GT444" s="113"/>
      <c r="GU444" s="46">
        <v>0</v>
      </c>
      <c r="GV444" s="113"/>
      <c r="GW444" s="113"/>
      <c r="GX444" s="113"/>
      <c r="GY444" s="113"/>
      <c r="GZ444" s="113"/>
      <c r="HA444" s="46">
        <v>0</v>
      </c>
      <c r="HB444" s="113"/>
      <c r="HC444" s="113"/>
      <c r="HD444" s="113"/>
      <c r="HE444" s="113"/>
      <c r="HF444" s="113"/>
      <c r="HG444" s="46">
        <v>0</v>
      </c>
      <c r="HH444" s="113"/>
      <c r="HI444" s="113"/>
      <c r="HJ444" s="113"/>
      <c r="HK444" s="113"/>
      <c r="HL444" s="113"/>
      <c r="HM444" s="121"/>
      <c r="HN444" s="121"/>
      <c r="LM444" t="str">
        <v/>
      </c>
      <c r="LN444" t="str">
        <v/>
      </c>
      <c r="LO444" t="str">
        <v/>
      </c>
    </row>
    <row r="445" spans="30:327">
      <c r="AD445" t="s">
        <v>112</v>
      </c>
      <c r="AE445" t="s">
        <v>22960</v>
      </c>
      <c r="AF445" s="46">
        <v>0</v>
      </c>
      <c r="AG445" s="113"/>
      <c r="AH445" s="113"/>
      <c r="AI445" s="113"/>
      <c r="AJ445" s="113"/>
      <c r="AK445" s="113"/>
      <c r="AL445" s="46">
        <v>0</v>
      </c>
      <c r="AM445" s="113"/>
      <c r="AN445" s="113"/>
      <c r="AO445" s="113"/>
      <c r="AP445" s="113"/>
      <c r="AQ445" s="113"/>
      <c r="AR445" s="46">
        <v>0</v>
      </c>
      <c r="AS445" s="113"/>
      <c r="AT445" s="113"/>
      <c r="AU445" s="113"/>
      <c r="AV445" s="113"/>
      <c r="AW445" s="113"/>
      <c r="AX445" s="46">
        <v>0</v>
      </c>
      <c r="AY445" s="113"/>
      <c r="AZ445" s="113"/>
      <c r="BA445" s="113"/>
      <c r="BB445" s="113"/>
      <c r="BC445" s="113"/>
      <c r="BD445" s="46">
        <v>0</v>
      </c>
      <c r="BE445" s="113"/>
      <c r="BF445" s="113"/>
      <c r="BG445" s="113"/>
      <c r="BH445" s="113"/>
      <c r="BI445" s="113"/>
      <c r="BJ445" s="46">
        <v>0</v>
      </c>
      <c r="BK445" s="113"/>
      <c r="BL445" s="113"/>
      <c r="BM445" s="113"/>
      <c r="BN445" s="113"/>
      <c r="BO445" s="113"/>
      <c r="BP445" s="121"/>
      <c r="BQ445" s="121"/>
      <c r="GA445" t="s">
        <v>112</v>
      </c>
      <c r="GB445" t="s">
        <v>22960</v>
      </c>
      <c r="GC445" s="46">
        <v>0</v>
      </c>
      <c r="GD445" s="113"/>
      <c r="GE445" s="113"/>
      <c r="GF445" s="113"/>
      <c r="GG445" s="113"/>
      <c r="GH445" s="113"/>
      <c r="GI445" s="46">
        <v>0</v>
      </c>
      <c r="GJ445" s="113"/>
      <c r="GK445" s="113"/>
      <c r="GL445" s="113"/>
      <c r="GM445" s="113"/>
      <c r="GN445" s="113"/>
      <c r="GO445" s="46">
        <v>0</v>
      </c>
      <c r="GP445" s="113"/>
      <c r="GQ445" s="113"/>
      <c r="GR445" s="113"/>
      <c r="GS445" s="113"/>
      <c r="GT445" s="113"/>
      <c r="GU445" s="46">
        <v>0</v>
      </c>
      <c r="GV445" s="113"/>
      <c r="GW445" s="113"/>
      <c r="GX445" s="113"/>
      <c r="GY445" s="113"/>
      <c r="GZ445" s="113"/>
      <c r="HA445" s="46">
        <v>0</v>
      </c>
      <c r="HB445" s="113"/>
      <c r="HC445" s="113"/>
      <c r="HD445" s="113"/>
      <c r="HE445" s="113"/>
      <c r="HF445" s="113"/>
      <c r="HG445" s="46">
        <v>0</v>
      </c>
      <c r="HH445" s="113"/>
      <c r="HI445" s="113"/>
      <c r="HJ445" s="113"/>
      <c r="HK445" s="113"/>
      <c r="HL445" s="113"/>
      <c r="HM445" s="121"/>
      <c r="HN445" s="121"/>
      <c r="LM445" t="str">
        <v/>
      </c>
      <c r="LN445" t="str">
        <v/>
      </c>
      <c r="LO445" t="str">
        <v/>
      </c>
    </row>
    <row r="446" spans="30:327">
      <c r="AD446" t="s">
        <v>112</v>
      </c>
      <c r="AE446" t="s">
        <v>22961</v>
      </c>
      <c r="AF446" s="46">
        <v>0</v>
      </c>
      <c r="AG446" s="113"/>
      <c r="AH446" s="113"/>
      <c r="AI446" s="113"/>
      <c r="AJ446" s="113"/>
      <c r="AK446" s="113"/>
      <c r="AL446" s="46">
        <v>0</v>
      </c>
      <c r="AM446" s="113"/>
      <c r="AN446" s="113"/>
      <c r="AO446" s="113"/>
      <c r="AP446" s="113"/>
      <c r="AQ446" s="113"/>
      <c r="AR446" s="46">
        <v>0</v>
      </c>
      <c r="AS446" s="113"/>
      <c r="AT446" s="113"/>
      <c r="AU446" s="113"/>
      <c r="AV446" s="113"/>
      <c r="AW446" s="113"/>
      <c r="AX446" s="46">
        <v>0</v>
      </c>
      <c r="AY446" s="113"/>
      <c r="AZ446" s="113"/>
      <c r="BA446" s="113"/>
      <c r="BB446" s="113"/>
      <c r="BC446" s="113"/>
      <c r="BD446" s="46">
        <v>0</v>
      </c>
      <c r="BE446" s="113"/>
      <c r="BF446" s="113"/>
      <c r="BG446" s="113"/>
      <c r="BH446" s="113"/>
      <c r="BI446" s="113"/>
      <c r="BJ446" s="46">
        <v>0</v>
      </c>
      <c r="BK446" s="113"/>
      <c r="BL446" s="113"/>
      <c r="BM446" s="113"/>
      <c r="BN446" s="113"/>
      <c r="BO446" s="113"/>
      <c r="BP446" s="121"/>
      <c r="BQ446" s="121"/>
      <c r="GA446" t="s">
        <v>112</v>
      </c>
      <c r="GB446" t="s">
        <v>22961</v>
      </c>
      <c r="GC446" s="46">
        <v>0</v>
      </c>
      <c r="GD446" s="113"/>
      <c r="GE446" s="113"/>
      <c r="GF446" s="113"/>
      <c r="GG446" s="113"/>
      <c r="GH446" s="113"/>
      <c r="GI446" s="46">
        <v>0</v>
      </c>
      <c r="GJ446" s="113"/>
      <c r="GK446" s="113"/>
      <c r="GL446" s="113"/>
      <c r="GM446" s="113"/>
      <c r="GN446" s="113"/>
      <c r="GO446" s="46">
        <v>0</v>
      </c>
      <c r="GP446" s="113"/>
      <c r="GQ446" s="113"/>
      <c r="GR446" s="113"/>
      <c r="GS446" s="113"/>
      <c r="GT446" s="113"/>
      <c r="GU446" s="46">
        <v>0</v>
      </c>
      <c r="GV446" s="113"/>
      <c r="GW446" s="113"/>
      <c r="GX446" s="113"/>
      <c r="GY446" s="113"/>
      <c r="GZ446" s="113"/>
      <c r="HA446" s="46">
        <v>0</v>
      </c>
      <c r="HB446" s="113"/>
      <c r="HC446" s="113"/>
      <c r="HD446" s="113"/>
      <c r="HE446" s="113"/>
      <c r="HF446" s="113"/>
      <c r="HG446" s="46">
        <v>0</v>
      </c>
      <c r="HH446" s="113"/>
      <c r="HI446" s="113"/>
      <c r="HJ446" s="113"/>
      <c r="HK446" s="113"/>
      <c r="HL446" s="113"/>
      <c r="HM446" s="121"/>
      <c r="HN446" s="121"/>
      <c r="LM446" t="str">
        <v/>
      </c>
      <c r="LN446" t="str">
        <v/>
      </c>
      <c r="LO446" t="str">
        <v/>
      </c>
    </row>
    <row r="447" spans="30:327">
      <c r="AD447" t="s">
        <v>112</v>
      </c>
      <c r="AE447" t="s">
        <v>22962</v>
      </c>
      <c r="AF447" s="46">
        <v>0</v>
      </c>
      <c r="AG447" s="113"/>
      <c r="AH447" s="113"/>
      <c r="AI447" s="113"/>
      <c r="AJ447" s="113"/>
      <c r="AK447" s="113"/>
      <c r="AL447" s="46">
        <v>0</v>
      </c>
      <c r="AM447" s="113"/>
      <c r="AN447" s="113"/>
      <c r="AO447" s="113"/>
      <c r="AP447" s="113"/>
      <c r="AQ447" s="113"/>
      <c r="AR447" s="46">
        <v>0</v>
      </c>
      <c r="AS447" s="113"/>
      <c r="AT447" s="113"/>
      <c r="AU447" s="113"/>
      <c r="AV447" s="113"/>
      <c r="AW447" s="113"/>
      <c r="AX447" s="46">
        <v>0</v>
      </c>
      <c r="AY447" s="113"/>
      <c r="AZ447" s="113"/>
      <c r="BA447" s="113"/>
      <c r="BB447" s="113"/>
      <c r="BC447" s="113"/>
      <c r="BD447" s="46">
        <v>0</v>
      </c>
      <c r="BE447" s="113"/>
      <c r="BF447" s="113"/>
      <c r="BG447" s="113"/>
      <c r="BH447" s="113"/>
      <c r="BI447" s="113"/>
      <c r="BJ447" s="46">
        <v>0</v>
      </c>
      <c r="BK447" s="113"/>
      <c r="BL447" s="113"/>
      <c r="BM447" s="113"/>
      <c r="BN447" s="113"/>
      <c r="BO447" s="113"/>
      <c r="BP447" s="121"/>
      <c r="BQ447" s="121"/>
      <c r="GA447" t="s">
        <v>112</v>
      </c>
      <c r="GB447" t="s">
        <v>22962</v>
      </c>
      <c r="GC447" s="46">
        <v>0</v>
      </c>
      <c r="GD447" s="113"/>
      <c r="GE447" s="113"/>
      <c r="GF447" s="113"/>
      <c r="GG447" s="113"/>
      <c r="GH447" s="113"/>
      <c r="GI447" s="46">
        <v>0</v>
      </c>
      <c r="GJ447" s="113"/>
      <c r="GK447" s="113"/>
      <c r="GL447" s="113"/>
      <c r="GM447" s="113"/>
      <c r="GN447" s="113"/>
      <c r="GO447" s="46">
        <v>0</v>
      </c>
      <c r="GP447" s="113"/>
      <c r="GQ447" s="113"/>
      <c r="GR447" s="113"/>
      <c r="GS447" s="113"/>
      <c r="GT447" s="113"/>
      <c r="GU447" s="46">
        <v>0</v>
      </c>
      <c r="GV447" s="113"/>
      <c r="GW447" s="113"/>
      <c r="GX447" s="113"/>
      <c r="GY447" s="113"/>
      <c r="GZ447" s="113"/>
      <c r="HA447" s="46">
        <v>0</v>
      </c>
      <c r="HB447" s="113"/>
      <c r="HC447" s="113"/>
      <c r="HD447" s="113"/>
      <c r="HE447" s="113"/>
      <c r="HF447" s="113"/>
      <c r="HG447" s="46">
        <v>0</v>
      </c>
      <c r="HH447" s="113"/>
      <c r="HI447" s="113"/>
      <c r="HJ447" s="113"/>
      <c r="HK447" s="113"/>
      <c r="HL447" s="113"/>
      <c r="HM447" s="121"/>
      <c r="HN447" s="121"/>
      <c r="LM447" t="str">
        <v/>
      </c>
      <c r="LN447" t="str">
        <v/>
      </c>
      <c r="LO447" t="str">
        <v/>
      </c>
    </row>
    <row r="448" spans="30:327">
      <c r="AD448" t="s">
        <v>112</v>
      </c>
      <c r="AE448" t="s">
        <v>22963</v>
      </c>
      <c r="AF448" s="46">
        <v>0</v>
      </c>
      <c r="AG448" s="113"/>
      <c r="AH448" s="113"/>
      <c r="AI448" s="113"/>
      <c r="AJ448" s="113"/>
      <c r="AK448" s="113"/>
      <c r="AL448" s="46">
        <v>0</v>
      </c>
      <c r="AM448" s="113"/>
      <c r="AN448" s="113"/>
      <c r="AO448" s="113"/>
      <c r="AP448" s="113"/>
      <c r="AQ448" s="113"/>
      <c r="AR448" s="46">
        <v>0</v>
      </c>
      <c r="AS448" s="113"/>
      <c r="AT448" s="113"/>
      <c r="AU448" s="113"/>
      <c r="AV448" s="113"/>
      <c r="AW448" s="113"/>
      <c r="AX448" s="46">
        <v>0</v>
      </c>
      <c r="AY448" s="113"/>
      <c r="AZ448" s="113"/>
      <c r="BA448" s="113"/>
      <c r="BB448" s="113"/>
      <c r="BC448" s="113"/>
      <c r="BD448" s="46">
        <v>0</v>
      </c>
      <c r="BE448" s="113"/>
      <c r="BF448" s="113"/>
      <c r="BG448" s="113"/>
      <c r="BH448" s="113"/>
      <c r="BI448" s="113"/>
      <c r="BJ448" s="46">
        <v>0</v>
      </c>
      <c r="BK448" s="113"/>
      <c r="BL448" s="113"/>
      <c r="BM448" s="113"/>
      <c r="BN448" s="113"/>
      <c r="BO448" s="113"/>
      <c r="BP448" s="121"/>
      <c r="BQ448" s="121"/>
      <c r="GA448" t="s">
        <v>112</v>
      </c>
      <c r="GB448" t="s">
        <v>22963</v>
      </c>
      <c r="GC448" s="46">
        <v>0</v>
      </c>
      <c r="GD448" s="113"/>
      <c r="GE448" s="113"/>
      <c r="GF448" s="113"/>
      <c r="GG448" s="113"/>
      <c r="GH448" s="113"/>
      <c r="GI448" s="46">
        <v>0</v>
      </c>
      <c r="GJ448" s="113"/>
      <c r="GK448" s="113"/>
      <c r="GL448" s="113"/>
      <c r="GM448" s="113"/>
      <c r="GN448" s="113"/>
      <c r="GO448" s="46">
        <v>0</v>
      </c>
      <c r="GP448" s="113"/>
      <c r="GQ448" s="113"/>
      <c r="GR448" s="113"/>
      <c r="GS448" s="113"/>
      <c r="GT448" s="113"/>
      <c r="GU448" s="46">
        <v>0</v>
      </c>
      <c r="GV448" s="113"/>
      <c r="GW448" s="113"/>
      <c r="GX448" s="113"/>
      <c r="GY448" s="113"/>
      <c r="GZ448" s="113"/>
      <c r="HA448" s="46">
        <v>0</v>
      </c>
      <c r="HB448" s="113"/>
      <c r="HC448" s="113"/>
      <c r="HD448" s="113"/>
      <c r="HE448" s="113"/>
      <c r="HF448" s="113"/>
      <c r="HG448" s="46">
        <v>0</v>
      </c>
      <c r="HH448" s="113"/>
      <c r="HI448" s="113"/>
      <c r="HJ448" s="113"/>
      <c r="HK448" s="113"/>
      <c r="HL448" s="113"/>
      <c r="HM448" s="121"/>
      <c r="HN448" s="121"/>
      <c r="LM448" t="str">
        <v/>
      </c>
      <c r="LN448" t="str">
        <v/>
      </c>
      <c r="LO448" t="str">
        <v/>
      </c>
    </row>
    <row r="449" spans="30:327">
      <c r="AD449" t="s">
        <v>112</v>
      </c>
      <c r="AE449" t="s">
        <v>22964</v>
      </c>
      <c r="AF449" s="46">
        <v>0</v>
      </c>
      <c r="AG449" s="113"/>
      <c r="AH449" s="113"/>
      <c r="AI449" s="113"/>
      <c r="AJ449" s="113"/>
      <c r="AK449" s="113"/>
      <c r="AL449" s="46">
        <v>0</v>
      </c>
      <c r="AM449" s="113"/>
      <c r="AN449" s="113"/>
      <c r="AO449" s="113"/>
      <c r="AP449" s="113"/>
      <c r="AQ449" s="113"/>
      <c r="AR449" s="46">
        <v>0</v>
      </c>
      <c r="AS449" s="113"/>
      <c r="AT449" s="113"/>
      <c r="AU449" s="113"/>
      <c r="AV449" s="113"/>
      <c r="AW449" s="113"/>
      <c r="AX449" s="46">
        <v>0</v>
      </c>
      <c r="AY449" s="113"/>
      <c r="AZ449" s="113"/>
      <c r="BA449" s="113"/>
      <c r="BB449" s="113"/>
      <c r="BC449" s="113"/>
      <c r="BD449" s="46">
        <v>0</v>
      </c>
      <c r="BE449" s="113"/>
      <c r="BF449" s="113"/>
      <c r="BG449" s="113"/>
      <c r="BH449" s="113"/>
      <c r="BI449" s="113"/>
      <c r="BJ449" s="46">
        <v>0</v>
      </c>
      <c r="BK449" s="113"/>
      <c r="BL449" s="113"/>
      <c r="BM449" s="113"/>
      <c r="BN449" s="113"/>
      <c r="BO449" s="113"/>
      <c r="BP449" s="121"/>
      <c r="BQ449" s="121"/>
      <c r="GA449" t="s">
        <v>112</v>
      </c>
      <c r="GB449" t="s">
        <v>22964</v>
      </c>
      <c r="GC449" s="46">
        <v>0</v>
      </c>
      <c r="GD449" s="113"/>
      <c r="GE449" s="113"/>
      <c r="GF449" s="113"/>
      <c r="GG449" s="113"/>
      <c r="GH449" s="113"/>
      <c r="GI449" s="46">
        <v>0</v>
      </c>
      <c r="GJ449" s="113"/>
      <c r="GK449" s="113"/>
      <c r="GL449" s="113"/>
      <c r="GM449" s="113"/>
      <c r="GN449" s="113"/>
      <c r="GO449" s="46">
        <v>0</v>
      </c>
      <c r="GP449" s="113"/>
      <c r="GQ449" s="113"/>
      <c r="GR449" s="113"/>
      <c r="GS449" s="113"/>
      <c r="GT449" s="113"/>
      <c r="GU449" s="46">
        <v>0</v>
      </c>
      <c r="GV449" s="113"/>
      <c r="GW449" s="113"/>
      <c r="GX449" s="113"/>
      <c r="GY449" s="113"/>
      <c r="GZ449" s="113"/>
      <c r="HA449" s="46">
        <v>0</v>
      </c>
      <c r="HB449" s="113"/>
      <c r="HC449" s="113"/>
      <c r="HD449" s="113"/>
      <c r="HE449" s="113"/>
      <c r="HF449" s="113"/>
      <c r="HG449" s="46">
        <v>0</v>
      </c>
      <c r="HH449" s="113"/>
      <c r="HI449" s="113"/>
      <c r="HJ449" s="113"/>
      <c r="HK449" s="113"/>
      <c r="HL449" s="113"/>
      <c r="HM449" s="121"/>
      <c r="HN449" s="121"/>
      <c r="LM449" t="str">
        <v/>
      </c>
      <c r="LN449" t="str">
        <v/>
      </c>
      <c r="LO449" t="str">
        <v/>
      </c>
    </row>
    <row r="450" spans="30:327">
      <c r="AD450" t="s">
        <v>112</v>
      </c>
      <c r="AE450" t="s">
        <v>22965</v>
      </c>
      <c r="AF450" s="46">
        <v>0</v>
      </c>
      <c r="AG450" s="113"/>
      <c r="AH450" s="113"/>
      <c r="AI450" s="113"/>
      <c r="AJ450" s="113"/>
      <c r="AK450" s="113"/>
      <c r="AL450" s="46">
        <v>0</v>
      </c>
      <c r="AM450" s="113"/>
      <c r="AN450" s="113"/>
      <c r="AO450" s="113"/>
      <c r="AP450" s="113"/>
      <c r="AQ450" s="113"/>
      <c r="AR450" s="46">
        <v>0</v>
      </c>
      <c r="AS450" s="113"/>
      <c r="AT450" s="113"/>
      <c r="AU450" s="113"/>
      <c r="AV450" s="113"/>
      <c r="AW450" s="113"/>
      <c r="AX450" s="46">
        <v>0</v>
      </c>
      <c r="AY450" s="113"/>
      <c r="AZ450" s="113"/>
      <c r="BA450" s="113"/>
      <c r="BB450" s="113"/>
      <c r="BC450" s="113"/>
      <c r="BD450" s="46">
        <v>0</v>
      </c>
      <c r="BE450" s="113"/>
      <c r="BF450" s="113"/>
      <c r="BG450" s="113"/>
      <c r="BH450" s="113"/>
      <c r="BI450" s="113"/>
      <c r="BJ450" s="46">
        <v>0</v>
      </c>
      <c r="BK450" s="113"/>
      <c r="BL450" s="113"/>
      <c r="BM450" s="113"/>
      <c r="BN450" s="113"/>
      <c r="BO450" s="113"/>
      <c r="BP450" s="121"/>
      <c r="BQ450" s="121"/>
      <c r="GA450" t="s">
        <v>112</v>
      </c>
      <c r="GB450" t="s">
        <v>22965</v>
      </c>
      <c r="GC450" s="46">
        <v>0</v>
      </c>
      <c r="GD450" s="113"/>
      <c r="GE450" s="113"/>
      <c r="GF450" s="113"/>
      <c r="GG450" s="113"/>
      <c r="GH450" s="113"/>
      <c r="GI450" s="46">
        <v>0</v>
      </c>
      <c r="GJ450" s="113"/>
      <c r="GK450" s="113"/>
      <c r="GL450" s="113"/>
      <c r="GM450" s="113"/>
      <c r="GN450" s="113"/>
      <c r="GO450" s="46">
        <v>0</v>
      </c>
      <c r="GP450" s="113"/>
      <c r="GQ450" s="113"/>
      <c r="GR450" s="113"/>
      <c r="GS450" s="113"/>
      <c r="GT450" s="113"/>
      <c r="GU450" s="46">
        <v>0</v>
      </c>
      <c r="GV450" s="113"/>
      <c r="GW450" s="113"/>
      <c r="GX450" s="113"/>
      <c r="GY450" s="113"/>
      <c r="GZ450" s="113"/>
      <c r="HA450" s="46">
        <v>0</v>
      </c>
      <c r="HB450" s="113"/>
      <c r="HC450" s="113"/>
      <c r="HD450" s="113"/>
      <c r="HE450" s="113"/>
      <c r="HF450" s="113"/>
      <c r="HG450" s="46">
        <v>0</v>
      </c>
      <c r="HH450" s="113"/>
      <c r="HI450" s="113"/>
      <c r="HJ450" s="113"/>
      <c r="HK450" s="113"/>
      <c r="HL450" s="113"/>
      <c r="HM450" s="121"/>
      <c r="HN450" s="121"/>
      <c r="LM450" t="str">
        <v/>
      </c>
      <c r="LN450" t="str">
        <v/>
      </c>
      <c r="LO450" t="str">
        <v/>
      </c>
    </row>
    <row r="451" spans="30:327">
      <c r="AD451" t="s">
        <v>112</v>
      </c>
      <c r="AE451" t="s">
        <v>22966</v>
      </c>
      <c r="AF451" s="46">
        <v>0</v>
      </c>
      <c r="AG451" s="113"/>
      <c r="AH451" s="113"/>
      <c r="AI451" s="113"/>
      <c r="AJ451" s="113"/>
      <c r="AK451" s="113"/>
      <c r="AL451" s="46">
        <v>0</v>
      </c>
      <c r="AM451" s="113"/>
      <c r="AN451" s="113"/>
      <c r="AO451" s="113"/>
      <c r="AP451" s="113"/>
      <c r="AQ451" s="113"/>
      <c r="AR451" s="46">
        <v>0</v>
      </c>
      <c r="AS451" s="113"/>
      <c r="AT451" s="113"/>
      <c r="AU451" s="113"/>
      <c r="AV451" s="113"/>
      <c r="AW451" s="113"/>
      <c r="AX451" s="46">
        <v>0</v>
      </c>
      <c r="AY451" s="113"/>
      <c r="AZ451" s="113"/>
      <c r="BA451" s="113"/>
      <c r="BB451" s="113"/>
      <c r="BC451" s="113"/>
      <c r="BD451" s="46">
        <v>0</v>
      </c>
      <c r="BE451" s="113"/>
      <c r="BF451" s="113"/>
      <c r="BG451" s="113"/>
      <c r="BH451" s="113"/>
      <c r="BI451" s="113"/>
      <c r="BJ451" s="46">
        <v>0</v>
      </c>
      <c r="BK451" s="113"/>
      <c r="BL451" s="113"/>
      <c r="BM451" s="113"/>
      <c r="BN451" s="113"/>
      <c r="BO451" s="113"/>
      <c r="BP451" s="121"/>
      <c r="BQ451" s="121"/>
      <c r="GA451" t="s">
        <v>112</v>
      </c>
      <c r="GB451" t="s">
        <v>22966</v>
      </c>
      <c r="GC451" s="46">
        <v>0</v>
      </c>
      <c r="GD451" s="113"/>
      <c r="GE451" s="113"/>
      <c r="GF451" s="113"/>
      <c r="GG451" s="113"/>
      <c r="GH451" s="113"/>
      <c r="GI451" s="46">
        <v>0</v>
      </c>
      <c r="GJ451" s="113"/>
      <c r="GK451" s="113"/>
      <c r="GL451" s="113"/>
      <c r="GM451" s="113"/>
      <c r="GN451" s="113"/>
      <c r="GO451" s="46">
        <v>0</v>
      </c>
      <c r="GP451" s="113"/>
      <c r="GQ451" s="113"/>
      <c r="GR451" s="113"/>
      <c r="GS451" s="113"/>
      <c r="GT451" s="113"/>
      <c r="GU451" s="46">
        <v>0</v>
      </c>
      <c r="GV451" s="113"/>
      <c r="GW451" s="113"/>
      <c r="GX451" s="113"/>
      <c r="GY451" s="113"/>
      <c r="GZ451" s="113"/>
      <c r="HA451" s="46">
        <v>0</v>
      </c>
      <c r="HB451" s="113"/>
      <c r="HC451" s="113"/>
      <c r="HD451" s="113"/>
      <c r="HE451" s="113"/>
      <c r="HF451" s="113"/>
      <c r="HG451" s="46">
        <v>0</v>
      </c>
      <c r="HH451" s="113"/>
      <c r="HI451" s="113"/>
      <c r="HJ451" s="113"/>
      <c r="HK451" s="113"/>
      <c r="HL451" s="113"/>
      <c r="HM451" s="121"/>
      <c r="HN451" s="121"/>
      <c r="LM451" t="str">
        <v/>
      </c>
      <c r="LN451" t="str">
        <v/>
      </c>
      <c r="LO451" t="str">
        <v/>
      </c>
    </row>
    <row r="452" spans="30:327">
      <c r="AD452" t="s">
        <v>112</v>
      </c>
      <c r="AE452" t="s">
        <v>22967</v>
      </c>
      <c r="AF452" s="46">
        <v>0</v>
      </c>
      <c r="AG452" s="113"/>
      <c r="AH452" s="113"/>
      <c r="AI452" s="113"/>
      <c r="AJ452" s="113"/>
      <c r="AK452" s="113"/>
      <c r="AL452" s="46">
        <v>0</v>
      </c>
      <c r="AM452" s="113"/>
      <c r="AN452" s="113"/>
      <c r="AO452" s="113"/>
      <c r="AP452" s="113"/>
      <c r="AQ452" s="113"/>
      <c r="AR452" s="46">
        <v>0</v>
      </c>
      <c r="AS452" s="113"/>
      <c r="AT452" s="113"/>
      <c r="AU452" s="113"/>
      <c r="AV452" s="113"/>
      <c r="AW452" s="113"/>
      <c r="AX452" s="46">
        <v>0</v>
      </c>
      <c r="AY452" s="113"/>
      <c r="AZ452" s="113"/>
      <c r="BA452" s="113"/>
      <c r="BB452" s="113"/>
      <c r="BC452" s="113"/>
      <c r="BD452" s="46">
        <v>0</v>
      </c>
      <c r="BE452" s="113"/>
      <c r="BF452" s="113"/>
      <c r="BG452" s="113"/>
      <c r="BH452" s="113"/>
      <c r="BI452" s="113"/>
      <c r="BJ452" s="46">
        <v>0</v>
      </c>
      <c r="BK452" s="113"/>
      <c r="BL452" s="113"/>
      <c r="BM452" s="113"/>
      <c r="BN452" s="113"/>
      <c r="BO452" s="113"/>
      <c r="BP452" s="121"/>
      <c r="BQ452" s="121"/>
      <c r="GA452" t="s">
        <v>112</v>
      </c>
      <c r="GB452" t="s">
        <v>22967</v>
      </c>
      <c r="GC452" s="46">
        <v>0</v>
      </c>
      <c r="GD452" s="113"/>
      <c r="GE452" s="113"/>
      <c r="GF452" s="113"/>
      <c r="GG452" s="113"/>
      <c r="GH452" s="113"/>
      <c r="GI452" s="46">
        <v>0</v>
      </c>
      <c r="GJ452" s="113"/>
      <c r="GK452" s="113"/>
      <c r="GL452" s="113"/>
      <c r="GM452" s="113"/>
      <c r="GN452" s="113"/>
      <c r="GO452" s="46">
        <v>0</v>
      </c>
      <c r="GP452" s="113"/>
      <c r="GQ452" s="113"/>
      <c r="GR452" s="113"/>
      <c r="GS452" s="113"/>
      <c r="GT452" s="113"/>
      <c r="GU452" s="46">
        <v>0</v>
      </c>
      <c r="GV452" s="113"/>
      <c r="GW452" s="113"/>
      <c r="GX452" s="113"/>
      <c r="GY452" s="113"/>
      <c r="GZ452" s="113"/>
      <c r="HA452" s="46">
        <v>0</v>
      </c>
      <c r="HB452" s="113"/>
      <c r="HC452" s="113"/>
      <c r="HD452" s="113"/>
      <c r="HE452" s="113"/>
      <c r="HF452" s="113"/>
      <c r="HG452" s="46">
        <v>0</v>
      </c>
      <c r="HH452" s="113"/>
      <c r="HI452" s="113"/>
      <c r="HJ452" s="113"/>
      <c r="HK452" s="113"/>
      <c r="HL452" s="113"/>
      <c r="HM452" s="121"/>
      <c r="HN452" s="121"/>
      <c r="LM452" t="str">
        <v/>
      </c>
      <c r="LN452" t="str">
        <v/>
      </c>
      <c r="LO452" t="str">
        <v/>
      </c>
    </row>
    <row r="453" spans="30:327">
      <c r="AD453" t="s">
        <v>112</v>
      </c>
      <c r="AE453" t="s">
        <v>22968</v>
      </c>
      <c r="AF453" s="46">
        <v>0</v>
      </c>
      <c r="AG453" s="113"/>
      <c r="AH453" s="113"/>
      <c r="AI453" s="113"/>
      <c r="AJ453" s="113"/>
      <c r="AK453" s="113"/>
      <c r="AL453" s="46">
        <v>0</v>
      </c>
      <c r="AM453" s="113"/>
      <c r="AN453" s="113"/>
      <c r="AO453" s="113"/>
      <c r="AP453" s="113"/>
      <c r="AQ453" s="113"/>
      <c r="AR453" s="46">
        <v>0</v>
      </c>
      <c r="AS453" s="113"/>
      <c r="AT453" s="113"/>
      <c r="AU453" s="113"/>
      <c r="AV453" s="113"/>
      <c r="AW453" s="113"/>
      <c r="AX453" s="46">
        <v>0</v>
      </c>
      <c r="AY453" s="113"/>
      <c r="AZ453" s="113"/>
      <c r="BA453" s="113"/>
      <c r="BB453" s="113"/>
      <c r="BC453" s="113"/>
      <c r="BD453" s="46">
        <v>0</v>
      </c>
      <c r="BE453" s="113"/>
      <c r="BF453" s="113"/>
      <c r="BG453" s="113"/>
      <c r="BH453" s="113"/>
      <c r="BI453" s="113"/>
      <c r="BJ453" s="46">
        <v>0</v>
      </c>
      <c r="BK453" s="113"/>
      <c r="BL453" s="113"/>
      <c r="BM453" s="113"/>
      <c r="BN453" s="113"/>
      <c r="BO453" s="113"/>
      <c r="BP453" s="121"/>
      <c r="BQ453" s="121"/>
      <c r="GA453" t="s">
        <v>112</v>
      </c>
      <c r="GB453" t="s">
        <v>22968</v>
      </c>
      <c r="GC453" s="46">
        <v>0</v>
      </c>
      <c r="GD453" s="113"/>
      <c r="GE453" s="113"/>
      <c r="GF453" s="113"/>
      <c r="GG453" s="113"/>
      <c r="GH453" s="113"/>
      <c r="GI453" s="46">
        <v>0</v>
      </c>
      <c r="GJ453" s="113"/>
      <c r="GK453" s="113"/>
      <c r="GL453" s="113"/>
      <c r="GM453" s="113"/>
      <c r="GN453" s="113"/>
      <c r="GO453" s="46">
        <v>0</v>
      </c>
      <c r="GP453" s="113"/>
      <c r="GQ453" s="113"/>
      <c r="GR453" s="113"/>
      <c r="GS453" s="113"/>
      <c r="GT453" s="113"/>
      <c r="GU453" s="46">
        <v>0</v>
      </c>
      <c r="GV453" s="113"/>
      <c r="GW453" s="113"/>
      <c r="GX453" s="113"/>
      <c r="GY453" s="113"/>
      <c r="GZ453" s="113"/>
      <c r="HA453" s="46">
        <v>0</v>
      </c>
      <c r="HB453" s="113"/>
      <c r="HC453" s="113"/>
      <c r="HD453" s="113"/>
      <c r="HE453" s="113"/>
      <c r="HF453" s="113"/>
      <c r="HG453" s="46">
        <v>0</v>
      </c>
      <c r="HH453" s="113"/>
      <c r="HI453" s="113"/>
      <c r="HJ453" s="113"/>
      <c r="HK453" s="113"/>
      <c r="HL453" s="113"/>
      <c r="HM453" s="121"/>
      <c r="HN453" s="121"/>
      <c r="LM453" t="str">
        <v/>
      </c>
      <c r="LN453" t="str">
        <v/>
      </c>
      <c r="LO453" t="str">
        <v/>
      </c>
    </row>
    <row r="454" spans="30:327">
      <c r="AD454" t="s">
        <v>112</v>
      </c>
      <c r="AE454" t="s">
        <v>22969</v>
      </c>
      <c r="AF454" s="46">
        <v>0</v>
      </c>
      <c r="AG454" s="113"/>
      <c r="AH454" s="113"/>
      <c r="AI454" s="113"/>
      <c r="AJ454" s="113"/>
      <c r="AK454" s="113"/>
      <c r="AL454" s="46">
        <v>0</v>
      </c>
      <c r="AM454" s="113"/>
      <c r="AN454" s="113"/>
      <c r="AO454" s="113"/>
      <c r="AP454" s="113"/>
      <c r="AQ454" s="113"/>
      <c r="AR454" s="46">
        <v>0</v>
      </c>
      <c r="AS454" s="113"/>
      <c r="AT454" s="113"/>
      <c r="AU454" s="113"/>
      <c r="AV454" s="113"/>
      <c r="AW454" s="113"/>
      <c r="AX454" s="46">
        <v>0</v>
      </c>
      <c r="AY454" s="113"/>
      <c r="AZ454" s="113"/>
      <c r="BA454" s="113"/>
      <c r="BB454" s="113"/>
      <c r="BC454" s="113"/>
      <c r="BD454" s="46">
        <v>0</v>
      </c>
      <c r="BE454" s="113"/>
      <c r="BF454" s="113"/>
      <c r="BG454" s="113"/>
      <c r="BH454" s="113"/>
      <c r="BI454" s="113"/>
      <c r="BJ454" s="46">
        <v>0</v>
      </c>
      <c r="BK454" s="113"/>
      <c r="BL454" s="113"/>
      <c r="BM454" s="113"/>
      <c r="BN454" s="113"/>
      <c r="BO454" s="113"/>
      <c r="BP454" s="121"/>
      <c r="BQ454" s="121"/>
      <c r="GA454" t="s">
        <v>112</v>
      </c>
      <c r="GB454" t="s">
        <v>22969</v>
      </c>
      <c r="GC454" s="46">
        <v>0</v>
      </c>
      <c r="GD454" s="113"/>
      <c r="GE454" s="113"/>
      <c r="GF454" s="113"/>
      <c r="GG454" s="113"/>
      <c r="GH454" s="113"/>
      <c r="GI454" s="46">
        <v>0</v>
      </c>
      <c r="GJ454" s="113"/>
      <c r="GK454" s="113"/>
      <c r="GL454" s="113"/>
      <c r="GM454" s="113"/>
      <c r="GN454" s="113"/>
      <c r="GO454" s="46">
        <v>0</v>
      </c>
      <c r="GP454" s="113"/>
      <c r="GQ454" s="113"/>
      <c r="GR454" s="113"/>
      <c r="GS454" s="113"/>
      <c r="GT454" s="113"/>
      <c r="GU454" s="46">
        <v>0</v>
      </c>
      <c r="GV454" s="113"/>
      <c r="GW454" s="113"/>
      <c r="GX454" s="113"/>
      <c r="GY454" s="113"/>
      <c r="GZ454" s="113"/>
      <c r="HA454" s="46">
        <v>0</v>
      </c>
      <c r="HB454" s="113"/>
      <c r="HC454" s="113"/>
      <c r="HD454" s="113"/>
      <c r="HE454" s="113"/>
      <c r="HF454" s="113"/>
      <c r="HG454" s="46">
        <v>0</v>
      </c>
      <c r="HH454" s="113"/>
      <c r="HI454" s="113"/>
      <c r="HJ454" s="113"/>
      <c r="HK454" s="113"/>
      <c r="HL454" s="113"/>
      <c r="HM454" s="121"/>
      <c r="HN454" s="121"/>
      <c r="LM454" t="str">
        <v/>
      </c>
      <c r="LN454" t="str">
        <v/>
      </c>
      <c r="LO454" t="str">
        <v/>
      </c>
    </row>
    <row r="455" spans="30:327">
      <c r="AD455" t="s">
        <v>112</v>
      </c>
      <c r="AE455" t="s">
        <v>22970</v>
      </c>
      <c r="AF455" s="46">
        <v>0</v>
      </c>
      <c r="AG455" s="113"/>
      <c r="AH455" s="113"/>
      <c r="AI455" s="113"/>
      <c r="AJ455" s="113"/>
      <c r="AK455" s="113"/>
      <c r="AL455" s="46">
        <v>0</v>
      </c>
      <c r="AM455" s="113"/>
      <c r="AN455" s="113"/>
      <c r="AO455" s="113"/>
      <c r="AP455" s="113"/>
      <c r="AQ455" s="113"/>
      <c r="AR455" s="46">
        <v>0</v>
      </c>
      <c r="AS455" s="113"/>
      <c r="AT455" s="113"/>
      <c r="AU455" s="113"/>
      <c r="AV455" s="113"/>
      <c r="AW455" s="113"/>
      <c r="AX455" s="46">
        <v>0</v>
      </c>
      <c r="AY455" s="113"/>
      <c r="AZ455" s="113"/>
      <c r="BA455" s="113"/>
      <c r="BB455" s="113"/>
      <c r="BC455" s="113"/>
      <c r="BD455" s="46">
        <v>0</v>
      </c>
      <c r="BE455" s="113"/>
      <c r="BF455" s="113"/>
      <c r="BG455" s="113"/>
      <c r="BH455" s="113"/>
      <c r="BI455" s="113"/>
      <c r="BJ455" s="46">
        <v>0</v>
      </c>
      <c r="BK455" s="113"/>
      <c r="BL455" s="113"/>
      <c r="BM455" s="113"/>
      <c r="BN455" s="113"/>
      <c r="BO455" s="113"/>
      <c r="BP455" s="121"/>
      <c r="BQ455" s="121"/>
      <c r="GA455" t="s">
        <v>112</v>
      </c>
      <c r="GB455" t="s">
        <v>22970</v>
      </c>
      <c r="GC455" s="46">
        <v>0</v>
      </c>
      <c r="GD455" s="113"/>
      <c r="GE455" s="113"/>
      <c r="GF455" s="113"/>
      <c r="GG455" s="113"/>
      <c r="GH455" s="113"/>
      <c r="GI455" s="46">
        <v>0</v>
      </c>
      <c r="GJ455" s="113"/>
      <c r="GK455" s="113"/>
      <c r="GL455" s="113"/>
      <c r="GM455" s="113"/>
      <c r="GN455" s="113"/>
      <c r="GO455" s="46">
        <v>0</v>
      </c>
      <c r="GP455" s="113"/>
      <c r="GQ455" s="113"/>
      <c r="GR455" s="113"/>
      <c r="GS455" s="113"/>
      <c r="GT455" s="113"/>
      <c r="GU455" s="46">
        <v>0</v>
      </c>
      <c r="GV455" s="113"/>
      <c r="GW455" s="113"/>
      <c r="GX455" s="113"/>
      <c r="GY455" s="113"/>
      <c r="GZ455" s="113"/>
      <c r="HA455" s="46">
        <v>0</v>
      </c>
      <c r="HB455" s="113"/>
      <c r="HC455" s="113"/>
      <c r="HD455" s="113"/>
      <c r="HE455" s="113"/>
      <c r="HF455" s="113"/>
      <c r="HG455" s="46">
        <v>0</v>
      </c>
      <c r="HH455" s="113"/>
      <c r="HI455" s="113"/>
      <c r="HJ455" s="113"/>
      <c r="HK455" s="113"/>
      <c r="HL455" s="113"/>
      <c r="HM455" s="121"/>
      <c r="HN455" s="121"/>
      <c r="LM455" t="str">
        <v/>
      </c>
      <c r="LN455" t="str">
        <v/>
      </c>
      <c r="LO455" t="str">
        <v/>
      </c>
    </row>
    <row r="456" spans="30:327">
      <c r="AD456" t="s">
        <v>112</v>
      </c>
      <c r="AE456" t="s">
        <v>22971</v>
      </c>
      <c r="AF456" s="46">
        <v>0</v>
      </c>
      <c r="AG456" s="113"/>
      <c r="AH456" s="113"/>
      <c r="AI456" s="113"/>
      <c r="AJ456" s="113"/>
      <c r="AK456" s="113"/>
      <c r="AL456" s="46">
        <v>0</v>
      </c>
      <c r="AM456" s="113"/>
      <c r="AN456" s="113"/>
      <c r="AO456" s="113"/>
      <c r="AP456" s="113"/>
      <c r="AQ456" s="113"/>
      <c r="AR456" s="46">
        <v>0</v>
      </c>
      <c r="AS456" s="113"/>
      <c r="AT456" s="113"/>
      <c r="AU456" s="113"/>
      <c r="AV456" s="113"/>
      <c r="AW456" s="113"/>
      <c r="AX456" s="46">
        <v>0</v>
      </c>
      <c r="AY456" s="113"/>
      <c r="AZ456" s="113"/>
      <c r="BA456" s="113"/>
      <c r="BB456" s="113"/>
      <c r="BC456" s="113"/>
      <c r="BD456" s="46">
        <v>0</v>
      </c>
      <c r="BE456" s="113"/>
      <c r="BF456" s="113"/>
      <c r="BG456" s="113"/>
      <c r="BH456" s="113"/>
      <c r="BI456" s="113"/>
      <c r="BJ456" s="46">
        <v>0</v>
      </c>
      <c r="BK456" s="113"/>
      <c r="BL456" s="113"/>
      <c r="BM456" s="113"/>
      <c r="BN456" s="113"/>
      <c r="BO456" s="113"/>
      <c r="BP456" s="121"/>
      <c r="BQ456" s="121"/>
      <c r="GA456" t="s">
        <v>112</v>
      </c>
      <c r="GB456" t="s">
        <v>22971</v>
      </c>
      <c r="GC456" s="46">
        <v>0</v>
      </c>
      <c r="GD456" s="113"/>
      <c r="GE456" s="113"/>
      <c r="GF456" s="113"/>
      <c r="GG456" s="113"/>
      <c r="GH456" s="113"/>
      <c r="GI456" s="46">
        <v>0</v>
      </c>
      <c r="GJ456" s="113"/>
      <c r="GK456" s="113"/>
      <c r="GL456" s="113"/>
      <c r="GM456" s="113"/>
      <c r="GN456" s="113"/>
      <c r="GO456" s="46">
        <v>0</v>
      </c>
      <c r="GP456" s="113"/>
      <c r="GQ456" s="113"/>
      <c r="GR456" s="113"/>
      <c r="GS456" s="113"/>
      <c r="GT456" s="113"/>
      <c r="GU456" s="46">
        <v>0</v>
      </c>
      <c r="GV456" s="113"/>
      <c r="GW456" s="113"/>
      <c r="GX456" s="113"/>
      <c r="GY456" s="113"/>
      <c r="GZ456" s="113"/>
      <c r="HA456" s="46">
        <v>0</v>
      </c>
      <c r="HB456" s="113"/>
      <c r="HC456" s="113"/>
      <c r="HD456" s="113"/>
      <c r="HE456" s="113"/>
      <c r="HF456" s="113"/>
      <c r="HG456" s="46">
        <v>0</v>
      </c>
      <c r="HH456" s="113"/>
      <c r="HI456" s="113"/>
      <c r="HJ456" s="113"/>
      <c r="HK456" s="113"/>
      <c r="HL456" s="113"/>
      <c r="HM456" s="121"/>
      <c r="HN456" s="121"/>
      <c r="LM456" t="str">
        <v/>
      </c>
      <c r="LN456" t="str">
        <v/>
      </c>
      <c r="LO456" t="str">
        <v/>
      </c>
    </row>
    <row r="457" spans="30:327">
      <c r="AD457" t="s">
        <v>112</v>
      </c>
      <c r="AE457" t="s">
        <v>22972</v>
      </c>
      <c r="AF457" s="46">
        <v>0</v>
      </c>
      <c r="AG457" s="113"/>
      <c r="AH457" s="113"/>
      <c r="AI457" s="113"/>
      <c r="AJ457" s="113"/>
      <c r="AK457" s="113"/>
      <c r="AL457" s="46">
        <v>0</v>
      </c>
      <c r="AM457" s="113"/>
      <c r="AN457" s="113"/>
      <c r="AO457" s="113"/>
      <c r="AP457" s="113"/>
      <c r="AQ457" s="113"/>
      <c r="AR457" s="46">
        <v>0</v>
      </c>
      <c r="AS457" s="113"/>
      <c r="AT457" s="113"/>
      <c r="AU457" s="113"/>
      <c r="AV457" s="113"/>
      <c r="AW457" s="113"/>
      <c r="AX457" s="46">
        <v>0</v>
      </c>
      <c r="AY457" s="113"/>
      <c r="AZ457" s="113"/>
      <c r="BA457" s="113"/>
      <c r="BB457" s="113"/>
      <c r="BC457" s="113"/>
      <c r="BD457" s="46">
        <v>0</v>
      </c>
      <c r="BE457" s="113"/>
      <c r="BF457" s="113"/>
      <c r="BG457" s="113"/>
      <c r="BH457" s="113"/>
      <c r="BI457" s="113"/>
      <c r="BJ457" s="46">
        <v>0</v>
      </c>
      <c r="BK457" s="113"/>
      <c r="BL457" s="113"/>
      <c r="BM457" s="113"/>
      <c r="BN457" s="113"/>
      <c r="BO457" s="113"/>
      <c r="BP457" s="121"/>
      <c r="BQ457" s="121"/>
      <c r="GA457" t="s">
        <v>112</v>
      </c>
      <c r="GB457" t="s">
        <v>22972</v>
      </c>
      <c r="GC457" s="46">
        <v>0</v>
      </c>
      <c r="GD457" s="113"/>
      <c r="GE457" s="113"/>
      <c r="GF457" s="113"/>
      <c r="GG457" s="113"/>
      <c r="GH457" s="113"/>
      <c r="GI457" s="46">
        <v>0</v>
      </c>
      <c r="GJ457" s="113"/>
      <c r="GK457" s="113"/>
      <c r="GL457" s="113"/>
      <c r="GM457" s="113"/>
      <c r="GN457" s="113"/>
      <c r="GO457" s="46">
        <v>0</v>
      </c>
      <c r="GP457" s="113"/>
      <c r="GQ457" s="113"/>
      <c r="GR457" s="113"/>
      <c r="GS457" s="113"/>
      <c r="GT457" s="113"/>
      <c r="GU457" s="46">
        <v>0</v>
      </c>
      <c r="GV457" s="113"/>
      <c r="GW457" s="113"/>
      <c r="GX457" s="113"/>
      <c r="GY457" s="113"/>
      <c r="GZ457" s="113"/>
      <c r="HA457" s="46">
        <v>0</v>
      </c>
      <c r="HB457" s="113"/>
      <c r="HC457" s="113"/>
      <c r="HD457" s="113"/>
      <c r="HE457" s="113"/>
      <c r="HF457" s="113"/>
      <c r="HG457" s="46">
        <v>0</v>
      </c>
      <c r="HH457" s="113"/>
      <c r="HI457" s="113"/>
      <c r="HJ457" s="113"/>
      <c r="HK457" s="113"/>
      <c r="HL457" s="113"/>
      <c r="HM457" s="121"/>
      <c r="HN457" s="121"/>
      <c r="LM457" t="str">
        <v/>
      </c>
      <c r="LN457" t="str">
        <v/>
      </c>
      <c r="LO457" t="str">
        <v/>
      </c>
    </row>
    <row r="458" spans="30:327">
      <c r="AD458" t="s">
        <v>112</v>
      </c>
      <c r="AE458" t="s">
        <v>22973</v>
      </c>
      <c r="AF458" s="46">
        <v>0</v>
      </c>
      <c r="AG458" s="113"/>
      <c r="AH458" s="113"/>
      <c r="AI458" s="113"/>
      <c r="AJ458" s="113"/>
      <c r="AK458" s="113"/>
      <c r="AL458" s="46">
        <v>0</v>
      </c>
      <c r="AM458" s="113"/>
      <c r="AN458" s="113"/>
      <c r="AO458" s="113"/>
      <c r="AP458" s="113"/>
      <c r="AQ458" s="113"/>
      <c r="AR458" s="46">
        <v>0</v>
      </c>
      <c r="AS458" s="113"/>
      <c r="AT458" s="113"/>
      <c r="AU458" s="113"/>
      <c r="AV458" s="113"/>
      <c r="AW458" s="113"/>
      <c r="AX458" s="46">
        <v>0</v>
      </c>
      <c r="AY458" s="113"/>
      <c r="AZ458" s="113"/>
      <c r="BA458" s="113"/>
      <c r="BB458" s="113"/>
      <c r="BC458" s="113"/>
      <c r="BD458" s="46">
        <v>0</v>
      </c>
      <c r="BE458" s="113"/>
      <c r="BF458" s="113"/>
      <c r="BG458" s="113"/>
      <c r="BH458" s="113"/>
      <c r="BI458" s="113"/>
      <c r="BJ458" s="46">
        <v>0</v>
      </c>
      <c r="BK458" s="113"/>
      <c r="BL458" s="113"/>
      <c r="BM458" s="113"/>
      <c r="BN458" s="113"/>
      <c r="BO458" s="113"/>
      <c r="BP458" s="121"/>
      <c r="BQ458" s="121"/>
      <c r="GA458" t="s">
        <v>112</v>
      </c>
      <c r="GB458" t="s">
        <v>22973</v>
      </c>
      <c r="GC458" s="46">
        <v>0</v>
      </c>
      <c r="GD458" s="113"/>
      <c r="GE458" s="113"/>
      <c r="GF458" s="113"/>
      <c r="GG458" s="113"/>
      <c r="GH458" s="113"/>
      <c r="GI458" s="46">
        <v>0</v>
      </c>
      <c r="GJ458" s="113"/>
      <c r="GK458" s="113"/>
      <c r="GL458" s="113"/>
      <c r="GM458" s="113"/>
      <c r="GN458" s="113"/>
      <c r="GO458" s="46">
        <v>0</v>
      </c>
      <c r="GP458" s="113"/>
      <c r="GQ458" s="113"/>
      <c r="GR458" s="113"/>
      <c r="GS458" s="113"/>
      <c r="GT458" s="113"/>
      <c r="GU458" s="46">
        <v>0</v>
      </c>
      <c r="GV458" s="113"/>
      <c r="GW458" s="113"/>
      <c r="GX458" s="113"/>
      <c r="GY458" s="113"/>
      <c r="GZ458" s="113"/>
      <c r="HA458" s="46">
        <v>0</v>
      </c>
      <c r="HB458" s="113"/>
      <c r="HC458" s="113"/>
      <c r="HD458" s="113"/>
      <c r="HE458" s="113"/>
      <c r="HF458" s="113"/>
      <c r="HG458" s="46">
        <v>0</v>
      </c>
      <c r="HH458" s="113"/>
      <c r="HI458" s="113"/>
      <c r="HJ458" s="113"/>
      <c r="HK458" s="113"/>
      <c r="HL458" s="113"/>
      <c r="HM458" s="121"/>
      <c r="HN458" s="121"/>
      <c r="LM458" t="str">
        <v/>
      </c>
      <c r="LN458" t="str">
        <v/>
      </c>
      <c r="LO458" t="str">
        <v/>
      </c>
    </row>
    <row r="459" spans="30:327">
      <c r="AD459" t="s">
        <v>112</v>
      </c>
      <c r="AE459" t="s">
        <v>22974</v>
      </c>
      <c r="AF459" s="46">
        <v>0</v>
      </c>
      <c r="AG459" s="113"/>
      <c r="AH459" s="113"/>
      <c r="AI459" s="113"/>
      <c r="AJ459" s="113"/>
      <c r="AK459" s="113"/>
      <c r="AL459" s="46">
        <v>0</v>
      </c>
      <c r="AM459" s="113"/>
      <c r="AN459" s="113"/>
      <c r="AO459" s="113"/>
      <c r="AP459" s="113"/>
      <c r="AQ459" s="113"/>
      <c r="AR459" s="46">
        <v>0</v>
      </c>
      <c r="AS459" s="113"/>
      <c r="AT459" s="113"/>
      <c r="AU459" s="113"/>
      <c r="AV459" s="113"/>
      <c r="AW459" s="113"/>
      <c r="AX459" s="46">
        <v>0</v>
      </c>
      <c r="AY459" s="113"/>
      <c r="AZ459" s="113"/>
      <c r="BA459" s="113"/>
      <c r="BB459" s="113"/>
      <c r="BC459" s="113"/>
      <c r="BD459" s="46">
        <v>0</v>
      </c>
      <c r="BE459" s="113"/>
      <c r="BF459" s="113"/>
      <c r="BG459" s="113"/>
      <c r="BH459" s="113"/>
      <c r="BI459" s="113"/>
      <c r="BJ459" s="46">
        <v>0</v>
      </c>
      <c r="BK459" s="113"/>
      <c r="BL459" s="113"/>
      <c r="BM459" s="113"/>
      <c r="BN459" s="113"/>
      <c r="BO459" s="113"/>
      <c r="BP459" s="121"/>
      <c r="BQ459" s="121"/>
      <c r="GA459" t="s">
        <v>112</v>
      </c>
      <c r="GB459" t="s">
        <v>22974</v>
      </c>
      <c r="GC459" s="46">
        <v>0</v>
      </c>
      <c r="GD459" s="113"/>
      <c r="GE459" s="113"/>
      <c r="GF459" s="113"/>
      <c r="GG459" s="113"/>
      <c r="GH459" s="113"/>
      <c r="GI459" s="46">
        <v>0</v>
      </c>
      <c r="GJ459" s="113"/>
      <c r="GK459" s="113"/>
      <c r="GL459" s="113"/>
      <c r="GM459" s="113"/>
      <c r="GN459" s="113"/>
      <c r="GO459" s="46">
        <v>0</v>
      </c>
      <c r="GP459" s="113"/>
      <c r="GQ459" s="113"/>
      <c r="GR459" s="113"/>
      <c r="GS459" s="113"/>
      <c r="GT459" s="113"/>
      <c r="GU459" s="46">
        <v>0</v>
      </c>
      <c r="GV459" s="113"/>
      <c r="GW459" s="113"/>
      <c r="GX459" s="113"/>
      <c r="GY459" s="113"/>
      <c r="GZ459" s="113"/>
      <c r="HA459" s="46">
        <v>0</v>
      </c>
      <c r="HB459" s="113"/>
      <c r="HC459" s="113"/>
      <c r="HD459" s="113"/>
      <c r="HE459" s="113"/>
      <c r="HF459" s="113"/>
      <c r="HG459" s="46">
        <v>0</v>
      </c>
      <c r="HH459" s="113"/>
      <c r="HI459" s="113"/>
      <c r="HJ459" s="113"/>
      <c r="HK459" s="113"/>
      <c r="HL459" s="113"/>
      <c r="HM459" s="121"/>
      <c r="HN459" s="121"/>
      <c r="LM459" t="str">
        <v/>
      </c>
      <c r="LN459" t="str">
        <v/>
      </c>
      <c r="LO459" t="str">
        <v/>
      </c>
    </row>
    <row r="460" spans="30:327">
      <c r="AD460" t="s">
        <v>112</v>
      </c>
      <c r="AE460" t="s">
        <v>22975</v>
      </c>
      <c r="AF460" s="46">
        <v>0</v>
      </c>
      <c r="AG460" s="113"/>
      <c r="AH460" s="113"/>
      <c r="AI460" s="113"/>
      <c r="AJ460" s="113"/>
      <c r="AK460" s="113"/>
      <c r="AL460" s="46">
        <v>0</v>
      </c>
      <c r="AM460" s="113"/>
      <c r="AN460" s="113"/>
      <c r="AO460" s="113"/>
      <c r="AP460" s="113"/>
      <c r="AQ460" s="113"/>
      <c r="AR460" s="46">
        <v>0</v>
      </c>
      <c r="AS460" s="113"/>
      <c r="AT460" s="113"/>
      <c r="AU460" s="113"/>
      <c r="AV460" s="113"/>
      <c r="AW460" s="113"/>
      <c r="AX460" s="46">
        <v>0</v>
      </c>
      <c r="AY460" s="113"/>
      <c r="AZ460" s="113"/>
      <c r="BA460" s="113"/>
      <c r="BB460" s="113"/>
      <c r="BC460" s="113"/>
      <c r="BD460" s="46">
        <v>0</v>
      </c>
      <c r="BE460" s="113"/>
      <c r="BF460" s="113"/>
      <c r="BG460" s="113"/>
      <c r="BH460" s="113"/>
      <c r="BI460" s="113"/>
      <c r="BJ460" s="46">
        <v>0</v>
      </c>
      <c r="BK460" s="113"/>
      <c r="BL460" s="113"/>
      <c r="BM460" s="113"/>
      <c r="BN460" s="113"/>
      <c r="BO460" s="113"/>
      <c r="BP460" s="121"/>
      <c r="BQ460" s="121"/>
      <c r="GA460" t="s">
        <v>112</v>
      </c>
      <c r="GB460" t="s">
        <v>22975</v>
      </c>
      <c r="GC460" s="46">
        <v>0</v>
      </c>
      <c r="GD460" s="113"/>
      <c r="GE460" s="113"/>
      <c r="GF460" s="113"/>
      <c r="GG460" s="113"/>
      <c r="GH460" s="113"/>
      <c r="GI460" s="46">
        <v>0</v>
      </c>
      <c r="GJ460" s="113"/>
      <c r="GK460" s="113"/>
      <c r="GL460" s="113"/>
      <c r="GM460" s="113"/>
      <c r="GN460" s="113"/>
      <c r="GO460" s="46">
        <v>0</v>
      </c>
      <c r="GP460" s="113"/>
      <c r="GQ460" s="113"/>
      <c r="GR460" s="113"/>
      <c r="GS460" s="113"/>
      <c r="GT460" s="113"/>
      <c r="GU460" s="46">
        <v>0</v>
      </c>
      <c r="GV460" s="113"/>
      <c r="GW460" s="113"/>
      <c r="GX460" s="113"/>
      <c r="GY460" s="113"/>
      <c r="GZ460" s="113"/>
      <c r="HA460" s="46">
        <v>0</v>
      </c>
      <c r="HB460" s="113"/>
      <c r="HC460" s="113"/>
      <c r="HD460" s="113"/>
      <c r="HE460" s="113"/>
      <c r="HF460" s="113"/>
      <c r="HG460" s="46">
        <v>0</v>
      </c>
      <c r="HH460" s="113"/>
      <c r="HI460" s="113"/>
      <c r="HJ460" s="113"/>
      <c r="HK460" s="113"/>
      <c r="HL460" s="113"/>
      <c r="HM460" s="121"/>
      <c r="HN460" s="121"/>
      <c r="LM460" t="str">
        <v/>
      </c>
      <c r="LN460" t="str">
        <v/>
      </c>
      <c r="LO460" t="str">
        <v/>
      </c>
    </row>
    <row r="461" spans="30:327">
      <c r="AD461" t="s">
        <v>112</v>
      </c>
      <c r="AE461" t="s">
        <v>22976</v>
      </c>
      <c r="AF461" s="46">
        <v>0</v>
      </c>
      <c r="AG461" s="113"/>
      <c r="AH461" s="113"/>
      <c r="AI461" s="113"/>
      <c r="AJ461" s="113"/>
      <c r="AK461" s="113"/>
      <c r="AL461" s="46">
        <v>0</v>
      </c>
      <c r="AM461" s="113"/>
      <c r="AN461" s="113"/>
      <c r="AO461" s="113"/>
      <c r="AP461" s="113"/>
      <c r="AQ461" s="113"/>
      <c r="AR461" s="46">
        <v>0</v>
      </c>
      <c r="AS461" s="113"/>
      <c r="AT461" s="113"/>
      <c r="AU461" s="113"/>
      <c r="AV461" s="113"/>
      <c r="AW461" s="113"/>
      <c r="AX461" s="46">
        <v>0</v>
      </c>
      <c r="AY461" s="113"/>
      <c r="AZ461" s="113"/>
      <c r="BA461" s="113"/>
      <c r="BB461" s="113"/>
      <c r="BC461" s="113"/>
      <c r="BD461" s="46">
        <v>0</v>
      </c>
      <c r="BE461" s="113"/>
      <c r="BF461" s="113"/>
      <c r="BG461" s="113"/>
      <c r="BH461" s="113"/>
      <c r="BI461" s="113"/>
      <c r="BJ461" s="46">
        <v>0</v>
      </c>
      <c r="BK461" s="113"/>
      <c r="BL461" s="113"/>
      <c r="BM461" s="113"/>
      <c r="BN461" s="113"/>
      <c r="BO461" s="113"/>
      <c r="BP461" s="121"/>
      <c r="BQ461" s="121"/>
      <c r="GA461" t="s">
        <v>112</v>
      </c>
      <c r="GB461" t="s">
        <v>22976</v>
      </c>
      <c r="GC461" s="46">
        <v>0</v>
      </c>
      <c r="GD461" s="113"/>
      <c r="GE461" s="113"/>
      <c r="GF461" s="113"/>
      <c r="GG461" s="113"/>
      <c r="GH461" s="113"/>
      <c r="GI461" s="46">
        <v>0</v>
      </c>
      <c r="GJ461" s="113"/>
      <c r="GK461" s="113"/>
      <c r="GL461" s="113"/>
      <c r="GM461" s="113"/>
      <c r="GN461" s="113"/>
      <c r="GO461" s="46">
        <v>0</v>
      </c>
      <c r="GP461" s="113"/>
      <c r="GQ461" s="113"/>
      <c r="GR461" s="113"/>
      <c r="GS461" s="113"/>
      <c r="GT461" s="113"/>
      <c r="GU461" s="46">
        <v>0</v>
      </c>
      <c r="GV461" s="113"/>
      <c r="GW461" s="113"/>
      <c r="GX461" s="113"/>
      <c r="GY461" s="113"/>
      <c r="GZ461" s="113"/>
      <c r="HA461" s="46">
        <v>0</v>
      </c>
      <c r="HB461" s="113"/>
      <c r="HC461" s="113"/>
      <c r="HD461" s="113"/>
      <c r="HE461" s="113"/>
      <c r="HF461" s="113"/>
      <c r="HG461" s="46">
        <v>0</v>
      </c>
      <c r="HH461" s="113"/>
      <c r="HI461" s="113"/>
      <c r="HJ461" s="113"/>
      <c r="HK461" s="113"/>
      <c r="HL461" s="113"/>
      <c r="HM461" s="121"/>
      <c r="HN461" s="121"/>
      <c r="LM461" t="str">
        <v/>
      </c>
      <c r="LN461" t="str">
        <v/>
      </c>
      <c r="LO461" t="str">
        <v/>
      </c>
    </row>
    <row r="462" spans="30:327">
      <c r="AD462" t="s">
        <v>112</v>
      </c>
      <c r="AE462" t="s">
        <v>22977</v>
      </c>
      <c r="AF462" s="46">
        <v>0</v>
      </c>
      <c r="AG462" s="113"/>
      <c r="AH462" s="113"/>
      <c r="AI462" s="113"/>
      <c r="AJ462" s="113"/>
      <c r="AK462" s="113"/>
      <c r="AL462" s="46">
        <v>0</v>
      </c>
      <c r="AM462" s="113"/>
      <c r="AN462" s="113"/>
      <c r="AO462" s="113"/>
      <c r="AP462" s="113"/>
      <c r="AQ462" s="113"/>
      <c r="AR462" s="46">
        <v>0</v>
      </c>
      <c r="AS462" s="113"/>
      <c r="AT462" s="113"/>
      <c r="AU462" s="113"/>
      <c r="AV462" s="113"/>
      <c r="AW462" s="113"/>
      <c r="AX462" s="46">
        <v>0</v>
      </c>
      <c r="AY462" s="113"/>
      <c r="AZ462" s="113"/>
      <c r="BA462" s="113"/>
      <c r="BB462" s="113"/>
      <c r="BC462" s="113"/>
      <c r="BD462" s="46">
        <v>0</v>
      </c>
      <c r="BE462" s="113"/>
      <c r="BF462" s="113"/>
      <c r="BG462" s="113"/>
      <c r="BH462" s="113"/>
      <c r="BI462" s="113"/>
      <c r="BJ462" s="46">
        <v>0</v>
      </c>
      <c r="BK462" s="113"/>
      <c r="BL462" s="113"/>
      <c r="BM462" s="113"/>
      <c r="BN462" s="113"/>
      <c r="BO462" s="113"/>
      <c r="BP462" s="121"/>
      <c r="BQ462" s="121"/>
      <c r="GA462" t="s">
        <v>112</v>
      </c>
      <c r="GB462" t="s">
        <v>22977</v>
      </c>
      <c r="GC462" s="46">
        <v>0</v>
      </c>
      <c r="GD462" s="113"/>
      <c r="GE462" s="113"/>
      <c r="GF462" s="113"/>
      <c r="GG462" s="113"/>
      <c r="GH462" s="113"/>
      <c r="GI462" s="46">
        <v>0</v>
      </c>
      <c r="GJ462" s="113"/>
      <c r="GK462" s="113"/>
      <c r="GL462" s="113"/>
      <c r="GM462" s="113"/>
      <c r="GN462" s="113"/>
      <c r="GO462" s="46">
        <v>0</v>
      </c>
      <c r="GP462" s="113"/>
      <c r="GQ462" s="113"/>
      <c r="GR462" s="113"/>
      <c r="GS462" s="113"/>
      <c r="GT462" s="113"/>
      <c r="GU462" s="46">
        <v>0</v>
      </c>
      <c r="GV462" s="113"/>
      <c r="GW462" s="113"/>
      <c r="GX462" s="113"/>
      <c r="GY462" s="113"/>
      <c r="GZ462" s="113"/>
      <c r="HA462" s="46">
        <v>0</v>
      </c>
      <c r="HB462" s="113"/>
      <c r="HC462" s="113"/>
      <c r="HD462" s="113"/>
      <c r="HE462" s="113"/>
      <c r="HF462" s="113"/>
      <c r="HG462" s="46">
        <v>0</v>
      </c>
      <c r="HH462" s="113"/>
      <c r="HI462" s="113"/>
      <c r="HJ462" s="113"/>
      <c r="HK462" s="113"/>
      <c r="HL462" s="113"/>
      <c r="HM462" s="121"/>
      <c r="HN462" s="121"/>
      <c r="LM462" t="str">
        <v/>
      </c>
      <c r="LN462" t="str">
        <v/>
      </c>
      <c r="LO462" t="str">
        <v/>
      </c>
    </row>
    <row r="463" spans="30:327">
      <c r="AD463" t="s">
        <v>112</v>
      </c>
      <c r="AE463" t="s">
        <v>22978</v>
      </c>
      <c r="AF463" s="46">
        <v>0</v>
      </c>
      <c r="AG463" s="113"/>
      <c r="AH463" s="113"/>
      <c r="AI463" s="113"/>
      <c r="AJ463" s="113"/>
      <c r="AK463" s="113"/>
      <c r="AL463" s="46">
        <v>0</v>
      </c>
      <c r="AM463" s="113"/>
      <c r="AN463" s="113"/>
      <c r="AO463" s="113"/>
      <c r="AP463" s="113"/>
      <c r="AQ463" s="113"/>
      <c r="AR463" s="46">
        <v>0</v>
      </c>
      <c r="AS463" s="113"/>
      <c r="AT463" s="113"/>
      <c r="AU463" s="113"/>
      <c r="AV463" s="113"/>
      <c r="AW463" s="113"/>
      <c r="AX463" s="46">
        <v>0</v>
      </c>
      <c r="AY463" s="113"/>
      <c r="AZ463" s="113"/>
      <c r="BA463" s="113"/>
      <c r="BB463" s="113"/>
      <c r="BC463" s="113"/>
      <c r="BD463" s="46">
        <v>0</v>
      </c>
      <c r="BE463" s="113"/>
      <c r="BF463" s="113"/>
      <c r="BG463" s="113"/>
      <c r="BH463" s="113"/>
      <c r="BI463" s="113"/>
      <c r="BJ463" s="46">
        <v>0</v>
      </c>
      <c r="BK463" s="113"/>
      <c r="BL463" s="113"/>
      <c r="BM463" s="113"/>
      <c r="BN463" s="113"/>
      <c r="BO463" s="113"/>
      <c r="BP463" s="121"/>
      <c r="BQ463" s="121"/>
      <c r="GA463" t="s">
        <v>112</v>
      </c>
      <c r="GB463" t="s">
        <v>22978</v>
      </c>
      <c r="GC463" s="46">
        <v>0</v>
      </c>
      <c r="GD463" s="113"/>
      <c r="GE463" s="113"/>
      <c r="GF463" s="113"/>
      <c r="GG463" s="113"/>
      <c r="GH463" s="113"/>
      <c r="GI463" s="46">
        <v>0</v>
      </c>
      <c r="GJ463" s="113"/>
      <c r="GK463" s="113"/>
      <c r="GL463" s="113"/>
      <c r="GM463" s="113"/>
      <c r="GN463" s="113"/>
      <c r="GO463" s="46">
        <v>0</v>
      </c>
      <c r="GP463" s="113"/>
      <c r="GQ463" s="113"/>
      <c r="GR463" s="113"/>
      <c r="GS463" s="113"/>
      <c r="GT463" s="113"/>
      <c r="GU463" s="46">
        <v>0</v>
      </c>
      <c r="GV463" s="113"/>
      <c r="GW463" s="113"/>
      <c r="GX463" s="113"/>
      <c r="GY463" s="113"/>
      <c r="GZ463" s="113"/>
      <c r="HA463" s="46">
        <v>0</v>
      </c>
      <c r="HB463" s="113"/>
      <c r="HC463" s="113"/>
      <c r="HD463" s="113"/>
      <c r="HE463" s="113"/>
      <c r="HF463" s="113"/>
      <c r="HG463" s="46">
        <v>0</v>
      </c>
      <c r="HH463" s="113"/>
      <c r="HI463" s="113"/>
      <c r="HJ463" s="113"/>
      <c r="HK463" s="113"/>
      <c r="HL463" s="113"/>
      <c r="HM463" s="121"/>
      <c r="HN463" s="121"/>
      <c r="LM463" t="str">
        <v/>
      </c>
      <c r="LN463" t="str">
        <v/>
      </c>
      <c r="LO463" t="str">
        <v/>
      </c>
    </row>
    <row r="464" spans="30:327">
      <c r="AD464" t="s">
        <v>112</v>
      </c>
      <c r="AE464" t="s">
        <v>22979</v>
      </c>
      <c r="AF464" s="46">
        <v>0</v>
      </c>
      <c r="AG464" s="113"/>
      <c r="AH464" s="113"/>
      <c r="AI464" s="113"/>
      <c r="AJ464" s="113"/>
      <c r="AK464" s="113"/>
      <c r="AL464" s="46">
        <v>0</v>
      </c>
      <c r="AM464" s="113"/>
      <c r="AN464" s="113"/>
      <c r="AO464" s="113"/>
      <c r="AP464" s="113"/>
      <c r="AQ464" s="113"/>
      <c r="AR464" s="46">
        <v>0</v>
      </c>
      <c r="AS464" s="113"/>
      <c r="AT464" s="113"/>
      <c r="AU464" s="113"/>
      <c r="AV464" s="113"/>
      <c r="AW464" s="113"/>
      <c r="AX464" s="46">
        <v>0</v>
      </c>
      <c r="AY464" s="113"/>
      <c r="AZ464" s="113"/>
      <c r="BA464" s="113"/>
      <c r="BB464" s="113"/>
      <c r="BC464" s="113"/>
      <c r="BD464" s="46">
        <v>0</v>
      </c>
      <c r="BE464" s="113"/>
      <c r="BF464" s="113"/>
      <c r="BG464" s="113"/>
      <c r="BH464" s="113"/>
      <c r="BI464" s="113"/>
      <c r="BJ464" s="46">
        <v>0</v>
      </c>
      <c r="BK464" s="113"/>
      <c r="BL464" s="113"/>
      <c r="BM464" s="113"/>
      <c r="BN464" s="113"/>
      <c r="BO464" s="113"/>
      <c r="BP464" s="121"/>
      <c r="BQ464" s="121"/>
      <c r="GA464" t="s">
        <v>112</v>
      </c>
      <c r="GB464" t="s">
        <v>22979</v>
      </c>
      <c r="GC464" s="46">
        <v>0</v>
      </c>
      <c r="GD464" s="113"/>
      <c r="GE464" s="113"/>
      <c r="GF464" s="113"/>
      <c r="GG464" s="113"/>
      <c r="GH464" s="113"/>
      <c r="GI464" s="46">
        <v>0</v>
      </c>
      <c r="GJ464" s="113"/>
      <c r="GK464" s="113"/>
      <c r="GL464" s="113"/>
      <c r="GM464" s="113"/>
      <c r="GN464" s="113"/>
      <c r="GO464" s="46">
        <v>0</v>
      </c>
      <c r="GP464" s="113"/>
      <c r="GQ464" s="113"/>
      <c r="GR464" s="113"/>
      <c r="GS464" s="113"/>
      <c r="GT464" s="113"/>
      <c r="GU464" s="46">
        <v>0</v>
      </c>
      <c r="GV464" s="113"/>
      <c r="GW464" s="113"/>
      <c r="GX464" s="113"/>
      <c r="GY464" s="113"/>
      <c r="GZ464" s="113"/>
      <c r="HA464" s="46">
        <v>0</v>
      </c>
      <c r="HB464" s="113"/>
      <c r="HC464" s="113"/>
      <c r="HD464" s="113"/>
      <c r="HE464" s="113"/>
      <c r="HF464" s="113"/>
      <c r="HG464" s="46">
        <v>0</v>
      </c>
      <c r="HH464" s="113"/>
      <c r="HI464" s="113"/>
      <c r="HJ464" s="113"/>
      <c r="HK464" s="113"/>
      <c r="HL464" s="113"/>
      <c r="HM464" s="121"/>
      <c r="HN464" s="121"/>
      <c r="LM464" t="str">
        <v/>
      </c>
      <c r="LN464" t="str">
        <v/>
      </c>
      <c r="LO464" t="str">
        <v/>
      </c>
    </row>
    <row r="465" spans="30:327">
      <c r="AD465" t="s">
        <v>112</v>
      </c>
      <c r="AE465" t="s">
        <v>22980</v>
      </c>
      <c r="AF465" s="46">
        <v>0</v>
      </c>
      <c r="AG465" s="113"/>
      <c r="AH465" s="113"/>
      <c r="AI465" s="113"/>
      <c r="AJ465" s="113"/>
      <c r="AK465" s="113"/>
      <c r="AL465" s="46">
        <v>0</v>
      </c>
      <c r="AM465" s="113"/>
      <c r="AN465" s="113"/>
      <c r="AO465" s="113"/>
      <c r="AP465" s="113"/>
      <c r="AQ465" s="113"/>
      <c r="AR465" s="46">
        <v>0</v>
      </c>
      <c r="AS465" s="113"/>
      <c r="AT465" s="113"/>
      <c r="AU465" s="113"/>
      <c r="AV465" s="113"/>
      <c r="AW465" s="113"/>
      <c r="AX465" s="46">
        <v>0</v>
      </c>
      <c r="AY465" s="113"/>
      <c r="AZ465" s="113"/>
      <c r="BA465" s="113"/>
      <c r="BB465" s="113"/>
      <c r="BC465" s="113"/>
      <c r="BD465" s="46">
        <v>0</v>
      </c>
      <c r="BE465" s="113"/>
      <c r="BF465" s="113"/>
      <c r="BG465" s="113"/>
      <c r="BH465" s="113"/>
      <c r="BI465" s="113"/>
      <c r="BJ465" s="46">
        <v>0</v>
      </c>
      <c r="BK465" s="113"/>
      <c r="BL465" s="113"/>
      <c r="BM465" s="113"/>
      <c r="BN465" s="113"/>
      <c r="BO465" s="113"/>
      <c r="BP465" s="121"/>
      <c r="BQ465" s="121"/>
      <c r="GA465" t="s">
        <v>112</v>
      </c>
      <c r="GB465" t="s">
        <v>22980</v>
      </c>
      <c r="GC465" s="46">
        <v>0</v>
      </c>
      <c r="GD465" s="113"/>
      <c r="GE465" s="113"/>
      <c r="GF465" s="113"/>
      <c r="GG465" s="113"/>
      <c r="GH465" s="113"/>
      <c r="GI465" s="46">
        <v>0</v>
      </c>
      <c r="GJ465" s="113"/>
      <c r="GK465" s="113"/>
      <c r="GL465" s="113"/>
      <c r="GM465" s="113"/>
      <c r="GN465" s="113"/>
      <c r="GO465" s="46">
        <v>0</v>
      </c>
      <c r="GP465" s="113"/>
      <c r="GQ465" s="113"/>
      <c r="GR465" s="113"/>
      <c r="GS465" s="113"/>
      <c r="GT465" s="113"/>
      <c r="GU465" s="46">
        <v>0</v>
      </c>
      <c r="GV465" s="113"/>
      <c r="GW465" s="113"/>
      <c r="GX465" s="113"/>
      <c r="GY465" s="113"/>
      <c r="GZ465" s="113"/>
      <c r="HA465" s="46">
        <v>0</v>
      </c>
      <c r="HB465" s="113"/>
      <c r="HC465" s="113"/>
      <c r="HD465" s="113"/>
      <c r="HE465" s="113"/>
      <c r="HF465" s="113"/>
      <c r="HG465" s="46">
        <v>0</v>
      </c>
      <c r="HH465" s="113"/>
      <c r="HI465" s="113"/>
      <c r="HJ465" s="113"/>
      <c r="HK465" s="113"/>
      <c r="HL465" s="113"/>
      <c r="HM465" s="121"/>
      <c r="HN465" s="121"/>
      <c r="LM465" t="str">
        <v/>
      </c>
      <c r="LN465" t="str">
        <v/>
      </c>
      <c r="LO465" t="str">
        <v/>
      </c>
    </row>
    <row r="466" spans="30:327">
      <c r="AD466" t="s">
        <v>112</v>
      </c>
      <c r="AE466" t="s">
        <v>22981</v>
      </c>
      <c r="AF466" s="46">
        <v>0</v>
      </c>
      <c r="AG466" s="113"/>
      <c r="AH466" s="113"/>
      <c r="AI466" s="113"/>
      <c r="AJ466" s="113"/>
      <c r="AK466" s="113"/>
      <c r="AL466" s="46">
        <v>0</v>
      </c>
      <c r="AM466" s="113"/>
      <c r="AN466" s="113"/>
      <c r="AO466" s="113"/>
      <c r="AP466" s="113"/>
      <c r="AQ466" s="113"/>
      <c r="AR466" s="46">
        <v>0</v>
      </c>
      <c r="AS466" s="113"/>
      <c r="AT466" s="113"/>
      <c r="AU466" s="113"/>
      <c r="AV466" s="113"/>
      <c r="AW466" s="113"/>
      <c r="AX466" s="46">
        <v>0</v>
      </c>
      <c r="AY466" s="113"/>
      <c r="AZ466" s="113"/>
      <c r="BA466" s="113"/>
      <c r="BB466" s="113"/>
      <c r="BC466" s="113"/>
      <c r="BD466" s="46">
        <v>0</v>
      </c>
      <c r="BE466" s="113"/>
      <c r="BF466" s="113"/>
      <c r="BG466" s="113"/>
      <c r="BH466" s="113"/>
      <c r="BI466" s="113"/>
      <c r="BJ466" s="46">
        <v>0</v>
      </c>
      <c r="BK466" s="113"/>
      <c r="BL466" s="113"/>
      <c r="BM466" s="113"/>
      <c r="BN466" s="113"/>
      <c r="BO466" s="113"/>
      <c r="BP466" s="121"/>
      <c r="BQ466" s="121"/>
      <c r="GA466" t="s">
        <v>112</v>
      </c>
      <c r="GB466" t="s">
        <v>22981</v>
      </c>
      <c r="GC466" s="46">
        <v>0</v>
      </c>
      <c r="GD466" s="113"/>
      <c r="GE466" s="113"/>
      <c r="GF466" s="113"/>
      <c r="GG466" s="113"/>
      <c r="GH466" s="113"/>
      <c r="GI466" s="46">
        <v>0</v>
      </c>
      <c r="GJ466" s="113"/>
      <c r="GK466" s="113"/>
      <c r="GL466" s="113"/>
      <c r="GM466" s="113"/>
      <c r="GN466" s="113"/>
      <c r="GO466" s="46">
        <v>0</v>
      </c>
      <c r="GP466" s="113"/>
      <c r="GQ466" s="113"/>
      <c r="GR466" s="113"/>
      <c r="GS466" s="113"/>
      <c r="GT466" s="113"/>
      <c r="GU466" s="46">
        <v>0</v>
      </c>
      <c r="GV466" s="113"/>
      <c r="GW466" s="113"/>
      <c r="GX466" s="113"/>
      <c r="GY466" s="113"/>
      <c r="GZ466" s="113"/>
      <c r="HA466" s="46">
        <v>0</v>
      </c>
      <c r="HB466" s="113"/>
      <c r="HC466" s="113"/>
      <c r="HD466" s="113"/>
      <c r="HE466" s="113"/>
      <c r="HF466" s="113"/>
      <c r="HG466" s="46">
        <v>0</v>
      </c>
      <c r="HH466" s="113"/>
      <c r="HI466" s="113"/>
      <c r="HJ466" s="113"/>
      <c r="HK466" s="113"/>
      <c r="HL466" s="113"/>
      <c r="HM466" s="121"/>
      <c r="HN466" s="121"/>
      <c r="LM466" t="str">
        <v/>
      </c>
      <c r="LN466" t="str">
        <v/>
      </c>
      <c r="LO466" t="str">
        <v/>
      </c>
    </row>
    <row r="467" spans="30:327">
      <c r="AD467" t="s">
        <v>112</v>
      </c>
      <c r="AE467" t="s">
        <v>22982</v>
      </c>
      <c r="AF467" s="46">
        <v>0</v>
      </c>
      <c r="AG467" s="113"/>
      <c r="AH467" s="113"/>
      <c r="AI467" s="113"/>
      <c r="AJ467" s="113"/>
      <c r="AK467" s="113"/>
      <c r="AL467" s="46">
        <v>0</v>
      </c>
      <c r="AM467" s="113"/>
      <c r="AN467" s="113"/>
      <c r="AO467" s="113"/>
      <c r="AP467" s="113"/>
      <c r="AQ467" s="113"/>
      <c r="AR467" s="46">
        <v>0</v>
      </c>
      <c r="AS467" s="113"/>
      <c r="AT467" s="113"/>
      <c r="AU467" s="113"/>
      <c r="AV467" s="113"/>
      <c r="AW467" s="113"/>
      <c r="AX467" s="46">
        <v>0</v>
      </c>
      <c r="AY467" s="113"/>
      <c r="AZ467" s="113"/>
      <c r="BA467" s="113"/>
      <c r="BB467" s="113"/>
      <c r="BC467" s="113"/>
      <c r="BD467" s="46">
        <v>0</v>
      </c>
      <c r="BE467" s="113"/>
      <c r="BF467" s="113"/>
      <c r="BG467" s="113"/>
      <c r="BH467" s="113"/>
      <c r="BI467" s="113"/>
      <c r="BJ467" s="46">
        <v>0</v>
      </c>
      <c r="BK467" s="113"/>
      <c r="BL467" s="113"/>
      <c r="BM467" s="113"/>
      <c r="BN467" s="113"/>
      <c r="BO467" s="113"/>
      <c r="BP467" s="121"/>
      <c r="BQ467" s="121"/>
      <c r="GA467" t="s">
        <v>112</v>
      </c>
      <c r="GB467" t="s">
        <v>22982</v>
      </c>
      <c r="GC467" s="46">
        <v>0</v>
      </c>
      <c r="GD467" s="113"/>
      <c r="GE467" s="113"/>
      <c r="GF467" s="113"/>
      <c r="GG467" s="113"/>
      <c r="GH467" s="113"/>
      <c r="GI467" s="46">
        <v>0</v>
      </c>
      <c r="GJ467" s="113"/>
      <c r="GK467" s="113"/>
      <c r="GL467" s="113"/>
      <c r="GM467" s="113"/>
      <c r="GN467" s="113"/>
      <c r="GO467" s="46">
        <v>0</v>
      </c>
      <c r="GP467" s="113"/>
      <c r="GQ467" s="113"/>
      <c r="GR467" s="113"/>
      <c r="GS467" s="113"/>
      <c r="GT467" s="113"/>
      <c r="GU467" s="46">
        <v>0</v>
      </c>
      <c r="GV467" s="113"/>
      <c r="GW467" s="113"/>
      <c r="GX467" s="113"/>
      <c r="GY467" s="113"/>
      <c r="GZ467" s="113"/>
      <c r="HA467" s="46">
        <v>0</v>
      </c>
      <c r="HB467" s="113"/>
      <c r="HC467" s="113"/>
      <c r="HD467" s="113"/>
      <c r="HE467" s="113"/>
      <c r="HF467" s="113"/>
      <c r="HG467" s="46">
        <v>0</v>
      </c>
      <c r="HH467" s="113"/>
      <c r="HI467" s="113"/>
      <c r="HJ467" s="113"/>
      <c r="HK467" s="113"/>
      <c r="HL467" s="113"/>
      <c r="HM467" s="121"/>
      <c r="HN467" s="121"/>
      <c r="LM467" t="str">
        <v/>
      </c>
      <c r="LN467" t="str">
        <v/>
      </c>
      <c r="LO467" t="str">
        <v/>
      </c>
    </row>
    <row r="468" spans="30:327">
      <c r="AD468" t="s">
        <v>112</v>
      </c>
      <c r="AE468" t="s">
        <v>22983</v>
      </c>
      <c r="AF468" s="46">
        <v>0</v>
      </c>
      <c r="AG468" s="113"/>
      <c r="AH468" s="113"/>
      <c r="AI468" s="113"/>
      <c r="AJ468" s="113"/>
      <c r="AK468" s="113"/>
      <c r="AL468" s="46">
        <v>0</v>
      </c>
      <c r="AM468" s="113"/>
      <c r="AN468" s="113"/>
      <c r="AO468" s="113"/>
      <c r="AP468" s="113"/>
      <c r="AQ468" s="113"/>
      <c r="AR468" s="46">
        <v>0</v>
      </c>
      <c r="AS468" s="113"/>
      <c r="AT468" s="113"/>
      <c r="AU468" s="113"/>
      <c r="AV468" s="113"/>
      <c r="AW468" s="113"/>
      <c r="AX468" s="46">
        <v>0</v>
      </c>
      <c r="AY468" s="113"/>
      <c r="AZ468" s="113"/>
      <c r="BA468" s="113"/>
      <c r="BB468" s="113"/>
      <c r="BC468" s="113"/>
      <c r="BD468" s="46">
        <v>0</v>
      </c>
      <c r="BE468" s="113"/>
      <c r="BF468" s="113"/>
      <c r="BG468" s="113"/>
      <c r="BH468" s="113"/>
      <c r="BI468" s="113"/>
      <c r="BJ468" s="46">
        <v>0</v>
      </c>
      <c r="BK468" s="113"/>
      <c r="BL468" s="113"/>
      <c r="BM468" s="113"/>
      <c r="BN468" s="113"/>
      <c r="BO468" s="113"/>
      <c r="BP468" s="121"/>
      <c r="BQ468" s="121"/>
      <c r="GA468" t="s">
        <v>112</v>
      </c>
      <c r="GB468" t="s">
        <v>22983</v>
      </c>
      <c r="GC468" s="46">
        <v>0</v>
      </c>
      <c r="GD468" s="113"/>
      <c r="GE468" s="113"/>
      <c r="GF468" s="113"/>
      <c r="GG468" s="113"/>
      <c r="GH468" s="113"/>
      <c r="GI468" s="46">
        <v>0</v>
      </c>
      <c r="GJ468" s="113"/>
      <c r="GK468" s="113"/>
      <c r="GL468" s="113"/>
      <c r="GM468" s="113"/>
      <c r="GN468" s="113"/>
      <c r="GO468" s="46">
        <v>0</v>
      </c>
      <c r="GP468" s="113"/>
      <c r="GQ468" s="113"/>
      <c r="GR468" s="113"/>
      <c r="GS468" s="113"/>
      <c r="GT468" s="113"/>
      <c r="GU468" s="46">
        <v>0</v>
      </c>
      <c r="GV468" s="113"/>
      <c r="GW468" s="113"/>
      <c r="GX468" s="113"/>
      <c r="GY468" s="113"/>
      <c r="GZ468" s="113"/>
      <c r="HA468" s="46">
        <v>0</v>
      </c>
      <c r="HB468" s="113"/>
      <c r="HC468" s="113"/>
      <c r="HD468" s="113"/>
      <c r="HE468" s="113"/>
      <c r="HF468" s="113"/>
      <c r="HG468" s="46">
        <v>0</v>
      </c>
      <c r="HH468" s="113"/>
      <c r="HI468" s="113"/>
      <c r="HJ468" s="113"/>
      <c r="HK468" s="113"/>
      <c r="HL468" s="113"/>
      <c r="HM468" s="121"/>
      <c r="HN468" s="121"/>
      <c r="LM468" t="str">
        <v/>
      </c>
      <c r="LN468" t="str">
        <v/>
      </c>
      <c r="LO468" t="str">
        <v/>
      </c>
    </row>
    <row r="469" spans="30:327">
      <c r="AD469" t="s">
        <v>112</v>
      </c>
      <c r="AE469" t="s">
        <v>22984</v>
      </c>
      <c r="AF469" s="46">
        <v>0</v>
      </c>
      <c r="AG469" s="113"/>
      <c r="AH469" s="113"/>
      <c r="AI469" s="113"/>
      <c r="AJ469" s="113"/>
      <c r="AK469" s="113"/>
      <c r="AL469" s="46">
        <v>0</v>
      </c>
      <c r="AM469" s="113"/>
      <c r="AN469" s="113"/>
      <c r="AO469" s="113"/>
      <c r="AP469" s="113"/>
      <c r="AQ469" s="113"/>
      <c r="AR469" s="46">
        <v>0</v>
      </c>
      <c r="AS469" s="113"/>
      <c r="AT469" s="113"/>
      <c r="AU469" s="113"/>
      <c r="AV469" s="113"/>
      <c r="AW469" s="113"/>
      <c r="AX469" s="46">
        <v>0</v>
      </c>
      <c r="AY469" s="113"/>
      <c r="AZ469" s="113"/>
      <c r="BA469" s="113"/>
      <c r="BB469" s="113"/>
      <c r="BC469" s="113"/>
      <c r="BD469" s="46">
        <v>0</v>
      </c>
      <c r="BE469" s="113"/>
      <c r="BF469" s="113"/>
      <c r="BG469" s="113"/>
      <c r="BH469" s="113"/>
      <c r="BI469" s="113"/>
      <c r="BJ469" s="46">
        <v>0</v>
      </c>
      <c r="BK469" s="113"/>
      <c r="BL469" s="113"/>
      <c r="BM469" s="113"/>
      <c r="BN469" s="113"/>
      <c r="BO469" s="113"/>
      <c r="BP469" s="121"/>
      <c r="BQ469" s="121"/>
      <c r="GA469" t="s">
        <v>112</v>
      </c>
      <c r="GB469" t="s">
        <v>22984</v>
      </c>
      <c r="GC469" s="46">
        <v>0</v>
      </c>
      <c r="GD469" s="113"/>
      <c r="GE469" s="113"/>
      <c r="GF469" s="113"/>
      <c r="GG469" s="113"/>
      <c r="GH469" s="113"/>
      <c r="GI469" s="46">
        <v>0</v>
      </c>
      <c r="GJ469" s="113"/>
      <c r="GK469" s="113"/>
      <c r="GL469" s="113"/>
      <c r="GM469" s="113"/>
      <c r="GN469" s="113"/>
      <c r="GO469" s="46">
        <v>0</v>
      </c>
      <c r="GP469" s="113"/>
      <c r="GQ469" s="113"/>
      <c r="GR469" s="113"/>
      <c r="GS469" s="113"/>
      <c r="GT469" s="113"/>
      <c r="GU469" s="46">
        <v>0</v>
      </c>
      <c r="GV469" s="113"/>
      <c r="GW469" s="113"/>
      <c r="GX469" s="113"/>
      <c r="GY469" s="113"/>
      <c r="GZ469" s="113"/>
      <c r="HA469" s="46">
        <v>0</v>
      </c>
      <c r="HB469" s="113"/>
      <c r="HC469" s="113"/>
      <c r="HD469" s="113"/>
      <c r="HE469" s="113"/>
      <c r="HF469" s="113"/>
      <c r="HG469" s="46">
        <v>0</v>
      </c>
      <c r="HH469" s="113"/>
      <c r="HI469" s="113"/>
      <c r="HJ469" s="113"/>
      <c r="HK469" s="113"/>
      <c r="HL469" s="113"/>
      <c r="HM469" s="121"/>
      <c r="HN469" s="121"/>
      <c r="LM469" t="str">
        <v/>
      </c>
      <c r="LN469" t="str">
        <v/>
      </c>
      <c r="LO469" t="str">
        <v/>
      </c>
    </row>
    <row r="470" spans="30:327">
      <c r="AD470" t="s">
        <v>112</v>
      </c>
      <c r="AE470" t="s">
        <v>22985</v>
      </c>
      <c r="AF470" s="46">
        <v>0</v>
      </c>
      <c r="AG470" s="113"/>
      <c r="AH470" s="113"/>
      <c r="AI470" s="113"/>
      <c r="AJ470" s="113"/>
      <c r="AK470" s="113"/>
      <c r="AL470" s="46">
        <v>0</v>
      </c>
      <c r="AM470" s="113"/>
      <c r="AN470" s="113"/>
      <c r="AO470" s="113"/>
      <c r="AP470" s="113"/>
      <c r="AQ470" s="113"/>
      <c r="AR470" s="46">
        <v>0</v>
      </c>
      <c r="AS470" s="113"/>
      <c r="AT470" s="113"/>
      <c r="AU470" s="113"/>
      <c r="AV470" s="113"/>
      <c r="AW470" s="113"/>
      <c r="AX470" s="46">
        <v>0</v>
      </c>
      <c r="AY470" s="113"/>
      <c r="AZ470" s="113"/>
      <c r="BA470" s="113"/>
      <c r="BB470" s="113"/>
      <c r="BC470" s="113"/>
      <c r="BD470" s="46">
        <v>0</v>
      </c>
      <c r="BE470" s="113"/>
      <c r="BF470" s="113"/>
      <c r="BG470" s="113"/>
      <c r="BH470" s="113"/>
      <c r="BI470" s="113"/>
      <c r="BJ470" s="46">
        <v>0</v>
      </c>
      <c r="BK470" s="113"/>
      <c r="BL470" s="113"/>
      <c r="BM470" s="113"/>
      <c r="BN470" s="113"/>
      <c r="BO470" s="113"/>
      <c r="BP470" s="121"/>
      <c r="BQ470" s="121"/>
      <c r="GA470" t="s">
        <v>112</v>
      </c>
      <c r="GB470" t="s">
        <v>22985</v>
      </c>
      <c r="GC470" s="46">
        <v>0</v>
      </c>
      <c r="GD470" s="113"/>
      <c r="GE470" s="113"/>
      <c r="GF470" s="113"/>
      <c r="GG470" s="113"/>
      <c r="GH470" s="113"/>
      <c r="GI470" s="46">
        <v>0</v>
      </c>
      <c r="GJ470" s="113"/>
      <c r="GK470" s="113"/>
      <c r="GL470" s="113"/>
      <c r="GM470" s="113"/>
      <c r="GN470" s="113"/>
      <c r="GO470" s="46">
        <v>0</v>
      </c>
      <c r="GP470" s="113"/>
      <c r="GQ470" s="113"/>
      <c r="GR470" s="113"/>
      <c r="GS470" s="113"/>
      <c r="GT470" s="113"/>
      <c r="GU470" s="46">
        <v>0</v>
      </c>
      <c r="GV470" s="113"/>
      <c r="GW470" s="113"/>
      <c r="GX470" s="113"/>
      <c r="GY470" s="113"/>
      <c r="GZ470" s="113"/>
      <c r="HA470" s="46">
        <v>0</v>
      </c>
      <c r="HB470" s="113"/>
      <c r="HC470" s="113"/>
      <c r="HD470" s="113"/>
      <c r="HE470" s="113"/>
      <c r="HF470" s="113"/>
      <c r="HG470" s="46">
        <v>0</v>
      </c>
      <c r="HH470" s="113"/>
      <c r="HI470" s="113"/>
      <c r="HJ470" s="113"/>
      <c r="HK470" s="113"/>
      <c r="HL470" s="113"/>
      <c r="HM470" s="121"/>
      <c r="HN470" s="121"/>
      <c r="LM470" t="str">
        <v/>
      </c>
      <c r="LN470" t="str">
        <v/>
      </c>
      <c r="LO470" t="str">
        <v/>
      </c>
    </row>
    <row r="471" spans="30:327">
      <c r="AD471" t="s">
        <v>112</v>
      </c>
      <c r="AE471" t="s">
        <v>22986</v>
      </c>
      <c r="AF471" s="46">
        <v>0</v>
      </c>
      <c r="AG471" s="113"/>
      <c r="AH471" s="113"/>
      <c r="AI471" s="113"/>
      <c r="AJ471" s="113"/>
      <c r="AK471" s="113"/>
      <c r="AL471" s="46">
        <v>0</v>
      </c>
      <c r="AM471" s="113"/>
      <c r="AN471" s="113"/>
      <c r="AO471" s="113"/>
      <c r="AP471" s="113"/>
      <c r="AQ471" s="113"/>
      <c r="AR471" s="46">
        <v>0</v>
      </c>
      <c r="AS471" s="113"/>
      <c r="AT471" s="113"/>
      <c r="AU471" s="113"/>
      <c r="AV471" s="113"/>
      <c r="AW471" s="113"/>
      <c r="AX471" s="46">
        <v>0</v>
      </c>
      <c r="AY471" s="113"/>
      <c r="AZ471" s="113"/>
      <c r="BA471" s="113"/>
      <c r="BB471" s="113"/>
      <c r="BC471" s="113"/>
      <c r="BD471" s="46">
        <v>0</v>
      </c>
      <c r="BE471" s="113"/>
      <c r="BF471" s="113"/>
      <c r="BG471" s="113"/>
      <c r="BH471" s="113"/>
      <c r="BI471" s="113"/>
      <c r="BJ471" s="46">
        <v>0</v>
      </c>
      <c r="BK471" s="113"/>
      <c r="BL471" s="113"/>
      <c r="BM471" s="113"/>
      <c r="BN471" s="113"/>
      <c r="BO471" s="113"/>
      <c r="BP471" s="121"/>
      <c r="BQ471" s="121"/>
      <c r="GA471" t="s">
        <v>112</v>
      </c>
      <c r="GB471" t="s">
        <v>22986</v>
      </c>
      <c r="GC471" s="46">
        <v>0</v>
      </c>
      <c r="GD471" s="113"/>
      <c r="GE471" s="113"/>
      <c r="GF471" s="113"/>
      <c r="GG471" s="113"/>
      <c r="GH471" s="113"/>
      <c r="GI471" s="46">
        <v>0</v>
      </c>
      <c r="GJ471" s="113"/>
      <c r="GK471" s="113"/>
      <c r="GL471" s="113"/>
      <c r="GM471" s="113"/>
      <c r="GN471" s="113"/>
      <c r="GO471" s="46">
        <v>0</v>
      </c>
      <c r="GP471" s="113"/>
      <c r="GQ471" s="113"/>
      <c r="GR471" s="113"/>
      <c r="GS471" s="113"/>
      <c r="GT471" s="113"/>
      <c r="GU471" s="46">
        <v>0</v>
      </c>
      <c r="GV471" s="113"/>
      <c r="GW471" s="113"/>
      <c r="GX471" s="113"/>
      <c r="GY471" s="113"/>
      <c r="GZ471" s="113"/>
      <c r="HA471" s="46">
        <v>0</v>
      </c>
      <c r="HB471" s="113"/>
      <c r="HC471" s="113"/>
      <c r="HD471" s="113"/>
      <c r="HE471" s="113"/>
      <c r="HF471" s="113"/>
      <c r="HG471" s="46">
        <v>0</v>
      </c>
      <c r="HH471" s="113"/>
      <c r="HI471" s="113"/>
      <c r="HJ471" s="113"/>
      <c r="HK471" s="113"/>
      <c r="HL471" s="113"/>
      <c r="HM471" s="121"/>
      <c r="HN471" s="121"/>
      <c r="LM471" t="str">
        <v/>
      </c>
      <c r="LN471" t="str">
        <v/>
      </c>
      <c r="LO471" t="str">
        <v/>
      </c>
    </row>
    <row r="472" spans="30:327">
      <c r="AD472" t="s">
        <v>112</v>
      </c>
      <c r="AE472" t="s">
        <v>22987</v>
      </c>
      <c r="AF472" s="46">
        <v>0</v>
      </c>
      <c r="AG472" s="113"/>
      <c r="AH472" s="113"/>
      <c r="AI472" s="113"/>
      <c r="AJ472" s="113"/>
      <c r="AK472" s="113"/>
      <c r="AL472" s="46">
        <v>0</v>
      </c>
      <c r="AM472" s="113"/>
      <c r="AN472" s="113"/>
      <c r="AO472" s="113"/>
      <c r="AP472" s="113"/>
      <c r="AQ472" s="113"/>
      <c r="AR472" s="46">
        <v>0</v>
      </c>
      <c r="AS472" s="113"/>
      <c r="AT472" s="113"/>
      <c r="AU472" s="113"/>
      <c r="AV472" s="113"/>
      <c r="AW472" s="113"/>
      <c r="AX472" s="46">
        <v>0</v>
      </c>
      <c r="AY472" s="113"/>
      <c r="AZ472" s="113"/>
      <c r="BA472" s="113"/>
      <c r="BB472" s="113"/>
      <c r="BC472" s="113"/>
      <c r="BD472" s="46">
        <v>0</v>
      </c>
      <c r="BE472" s="113"/>
      <c r="BF472" s="113"/>
      <c r="BG472" s="113"/>
      <c r="BH472" s="113"/>
      <c r="BI472" s="113"/>
      <c r="BJ472" s="46">
        <v>0</v>
      </c>
      <c r="BK472" s="113"/>
      <c r="BL472" s="113"/>
      <c r="BM472" s="113"/>
      <c r="BN472" s="113"/>
      <c r="BO472" s="113"/>
      <c r="BP472" s="121"/>
      <c r="BQ472" s="121"/>
      <c r="GA472" t="s">
        <v>112</v>
      </c>
      <c r="GB472" t="s">
        <v>22987</v>
      </c>
      <c r="GC472" s="46">
        <v>0</v>
      </c>
      <c r="GD472" s="113"/>
      <c r="GE472" s="113"/>
      <c r="GF472" s="113"/>
      <c r="GG472" s="113"/>
      <c r="GH472" s="113"/>
      <c r="GI472" s="46">
        <v>0</v>
      </c>
      <c r="GJ472" s="113"/>
      <c r="GK472" s="113"/>
      <c r="GL472" s="113"/>
      <c r="GM472" s="113"/>
      <c r="GN472" s="113"/>
      <c r="GO472" s="46">
        <v>0</v>
      </c>
      <c r="GP472" s="113"/>
      <c r="GQ472" s="113"/>
      <c r="GR472" s="113"/>
      <c r="GS472" s="113"/>
      <c r="GT472" s="113"/>
      <c r="GU472" s="46">
        <v>0</v>
      </c>
      <c r="GV472" s="113"/>
      <c r="GW472" s="113"/>
      <c r="GX472" s="113"/>
      <c r="GY472" s="113"/>
      <c r="GZ472" s="113"/>
      <c r="HA472" s="46">
        <v>0</v>
      </c>
      <c r="HB472" s="113"/>
      <c r="HC472" s="113"/>
      <c r="HD472" s="113"/>
      <c r="HE472" s="113"/>
      <c r="HF472" s="113"/>
      <c r="HG472" s="46">
        <v>0</v>
      </c>
      <c r="HH472" s="113"/>
      <c r="HI472" s="113"/>
      <c r="HJ472" s="113"/>
      <c r="HK472" s="113"/>
      <c r="HL472" s="113"/>
      <c r="HM472" s="121"/>
      <c r="HN472" s="121"/>
      <c r="LM472" t="str">
        <v/>
      </c>
      <c r="LN472" t="str">
        <v/>
      </c>
      <c r="LO472" t="str">
        <v/>
      </c>
    </row>
    <row r="473" spans="30:327">
      <c r="AD473" t="s">
        <v>112</v>
      </c>
      <c r="AE473" t="s">
        <v>22988</v>
      </c>
      <c r="AF473" s="46">
        <v>0</v>
      </c>
      <c r="AG473" s="113"/>
      <c r="AH473" s="113"/>
      <c r="AI473" s="113"/>
      <c r="AJ473" s="113"/>
      <c r="AK473" s="113"/>
      <c r="AL473" s="46">
        <v>0</v>
      </c>
      <c r="AM473" s="113"/>
      <c r="AN473" s="113"/>
      <c r="AO473" s="113"/>
      <c r="AP473" s="113"/>
      <c r="AQ473" s="113"/>
      <c r="AR473" s="46">
        <v>0</v>
      </c>
      <c r="AS473" s="113"/>
      <c r="AT473" s="113"/>
      <c r="AU473" s="113"/>
      <c r="AV473" s="113"/>
      <c r="AW473" s="113"/>
      <c r="AX473" s="46">
        <v>0</v>
      </c>
      <c r="AY473" s="113"/>
      <c r="AZ473" s="113"/>
      <c r="BA473" s="113"/>
      <c r="BB473" s="113"/>
      <c r="BC473" s="113"/>
      <c r="BD473" s="46">
        <v>0</v>
      </c>
      <c r="BE473" s="113"/>
      <c r="BF473" s="113"/>
      <c r="BG473" s="113"/>
      <c r="BH473" s="113"/>
      <c r="BI473" s="113"/>
      <c r="BJ473" s="46">
        <v>0</v>
      </c>
      <c r="BK473" s="113"/>
      <c r="BL473" s="113"/>
      <c r="BM473" s="113"/>
      <c r="BN473" s="113"/>
      <c r="BO473" s="113"/>
      <c r="BP473" s="121"/>
      <c r="BQ473" s="121"/>
      <c r="GA473" t="s">
        <v>112</v>
      </c>
      <c r="GB473" t="s">
        <v>22988</v>
      </c>
      <c r="GC473" s="46">
        <v>0</v>
      </c>
      <c r="GD473" s="113"/>
      <c r="GE473" s="113"/>
      <c r="GF473" s="113"/>
      <c r="GG473" s="113"/>
      <c r="GH473" s="113"/>
      <c r="GI473" s="46">
        <v>0</v>
      </c>
      <c r="GJ473" s="113"/>
      <c r="GK473" s="113"/>
      <c r="GL473" s="113"/>
      <c r="GM473" s="113"/>
      <c r="GN473" s="113"/>
      <c r="GO473" s="46">
        <v>0</v>
      </c>
      <c r="GP473" s="113"/>
      <c r="GQ473" s="113"/>
      <c r="GR473" s="113"/>
      <c r="GS473" s="113"/>
      <c r="GT473" s="113"/>
      <c r="GU473" s="46">
        <v>0</v>
      </c>
      <c r="GV473" s="113"/>
      <c r="GW473" s="113"/>
      <c r="GX473" s="113"/>
      <c r="GY473" s="113"/>
      <c r="GZ473" s="113"/>
      <c r="HA473" s="46">
        <v>0</v>
      </c>
      <c r="HB473" s="113"/>
      <c r="HC473" s="113"/>
      <c r="HD473" s="113"/>
      <c r="HE473" s="113"/>
      <c r="HF473" s="113"/>
      <c r="HG473" s="46">
        <v>0</v>
      </c>
      <c r="HH473" s="113"/>
      <c r="HI473" s="113"/>
      <c r="HJ473" s="113"/>
      <c r="HK473" s="113"/>
      <c r="HL473" s="113"/>
      <c r="HM473" s="121"/>
      <c r="HN473" s="121"/>
      <c r="LM473" t="str">
        <v/>
      </c>
      <c r="LN473" t="str">
        <v/>
      </c>
      <c r="LO473" t="str">
        <v/>
      </c>
    </row>
    <row r="474" spans="30:327">
      <c r="AD474" t="s">
        <v>112</v>
      </c>
      <c r="AE474" t="s">
        <v>22989</v>
      </c>
      <c r="AF474" s="46">
        <v>0</v>
      </c>
      <c r="AG474" s="113"/>
      <c r="AH474" s="113"/>
      <c r="AI474" s="113"/>
      <c r="AJ474" s="113"/>
      <c r="AK474" s="113"/>
      <c r="AL474" s="46">
        <v>0</v>
      </c>
      <c r="AM474" s="113"/>
      <c r="AN474" s="113"/>
      <c r="AO474" s="113"/>
      <c r="AP474" s="113"/>
      <c r="AQ474" s="113"/>
      <c r="AR474" s="46">
        <v>0</v>
      </c>
      <c r="AS474" s="113"/>
      <c r="AT474" s="113"/>
      <c r="AU474" s="113"/>
      <c r="AV474" s="113"/>
      <c r="AW474" s="113"/>
      <c r="AX474" s="46">
        <v>0</v>
      </c>
      <c r="AY474" s="113"/>
      <c r="AZ474" s="113"/>
      <c r="BA474" s="113"/>
      <c r="BB474" s="113"/>
      <c r="BC474" s="113"/>
      <c r="BD474" s="46">
        <v>0</v>
      </c>
      <c r="BE474" s="113"/>
      <c r="BF474" s="113"/>
      <c r="BG474" s="113"/>
      <c r="BH474" s="113"/>
      <c r="BI474" s="113"/>
      <c r="BJ474" s="46">
        <v>0</v>
      </c>
      <c r="BK474" s="113"/>
      <c r="BL474" s="113"/>
      <c r="BM474" s="113"/>
      <c r="BN474" s="113"/>
      <c r="BO474" s="113"/>
      <c r="BP474" s="121"/>
      <c r="BQ474" s="121"/>
      <c r="GA474" t="s">
        <v>112</v>
      </c>
      <c r="GB474" t="s">
        <v>22989</v>
      </c>
      <c r="GC474" s="46">
        <v>0</v>
      </c>
      <c r="GD474" s="113"/>
      <c r="GE474" s="113"/>
      <c r="GF474" s="113"/>
      <c r="GG474" s="113"/>
      <c r="GH474" s="113"/>
      <c r="GI474" s="46">
        <v>0</v>
      </c>
      <c r="GJ474" s="113"/>
      <c r="GK474" s="113"/>
      <c r="GL474" s="113"/>
      <c r="GM474" s="113"/>
      <c r="GN474" s="113"/>
      <c r="GO474" s="46">
        <v>0</v>
      </c>
      <c r="GP474" s="113"/>
      <c r="GQ474" s="113"/>
      <c r="GR474" s="113"/>
      <c r="GS474" s="113"/>
      <c r="GT474" s="113"/>
      <c r="GU474" s="46">
        <v>0</v>
      </c>
      <c r="GV474" s="113"/>
      <c r="GW474" s="113"/>
      <c r="GX474" s="113"/>
      <c r="GY474" s="113"/>
      <c r="GZ474" s="113"/>
      <c r="HA474" s="46">
        <v>0</v>
      </c>
      <c r="HB474" s="113"/>
      <c r="HC474" s="113"/>
      <c r="HD474" s="113"/>
      <c r="HE474" s="113"/>
      <c r="HF474" s="113"/>
      <c r="HG474" s="46">
        <v>0</v>
      </c>
      <c r="HH474" s="113"/>
      <c r="HI474" s="113"/>
      <c r="HJ474" s="113"/>
      <c r="HK474" s="113"/>
      <c r="HL474" s="113"/>
      <c r="HM474" s="121"/>
      <c r="HN474" s="121"/>
      <c r="LM474" t="str">
        <v/>
      </c>
      <c r="LN474" t="str">
        <v/>
      </c>
      <c r="LO474" t="str">
        <v/>
      </c>
    </row>
    <row r="475" spans="30:327">
      <c r="AD475" t="s">
        <v>112</v>
      </c>
      <c r="AE475" t="s">
        <v>22990</v>
      </c>
      <c r="AF475" s="46">
        <v>0</v>
      </c>
      <c r="AG475" s="113"/>
      <c r="AH475" s="113"/>
      <c r="AI475" s="113"/>
      <c r="AJ475" s="113"/>
      <c r="AK475" s="113"/>
      <c r="AL475" s="46">
        <v>0</v>
      </c>
      <c r="AM475" s="113"/>
      <c r="AN475" s="113"/>
      <c r="AO475" s="113"/>
      <c r="AP475" s="113"/>
      <c r="AQ475" s="113"/>
      <c r="AR475" s="46">
        <v>0</v>
      </c>
      <c r="AS475" s="113"/>
      <c r="AT475" s="113"/>
      <c r="AU475" s="113"/>
      <c r="AV475" s="113"/>
      <c r="AW475" s="113"/>
      <c r="AX475" s="46">
        <v>0</v>
      </c>
      <c r="AY475" s="113"/>
      <c r="AZ475" s="113"/>
      <c r="BA475" s="113"/>
      <c r="BB475" s="113"/>
      <c r="BC475" s="113"/>
      <c r="BD475" s="46">
        <v>0</v>
      </c>
      <c r="BE475" s="113"/>
      <c r="BF475" s="113"/>
      <c r="BG475" s="113"/>
      <c r="BH475" s="113"/>
      <c r="BI475" s="113"/>
      <c r="BJ475" s="46">
        <v>0</v>
      </c>
      <c r="BK475" s="113"/>
      <c r="BL475" s="113"/>
      <c r="BM475" s="113"/>
      <c r="BN475" s="113"/>
      <c r="BO475" s="113"/>
      <c r="BP475" s="121"/>
      <c r="BQ475" s="121"/>
      <c r="GA475" t="s">
        <v>112</v>
      </c>
      <c r="GB475" t="s">
        <v>22990</v>
      </c>
      <c r="GC475" s="46">
        <v>0</v>
      </c>
      <c r="GD475" s="113"/>
      <c r="GE475" s="113"/>
      <c r="GF475" s="113"/>
      <c r="GG475" s="113"/>
      <c r="GH475" s="113"/>
      <c r="GI475" s="46">
        <v>0</v>
      </c>
      <c r="GJ475" s="113"/>
      <c r="GK475" s="113"/>
      <c r="GL475" s="113"/>
      <c r="GM475" s="113"/>
      <c r="GN475" s="113"/>
      <c r="GO475" s="46">
        <v>0</v>
      </c>
      <c r="GP475" s="113"/>
      <c r="GQ475" s="113"/>
      <c r="GR475" s="113"/>
      <c r="GS475" s="113"/>
      <c r="GT475" s="113"/>
      <c r="GU475" s="46">
        <v>0</v>
      </c>
      <c r="GV475" s="113"/>
      <c r="GW475" s="113"/>
      <c r="GX475" s="113"/>
      <c r="GY475" s="113"/>
      <c r="GZ475" s="113"/>
      <c r="HA475" s="46">
        <v>0</v>
      </c>
      <c r="HB475" s="113"/>
      <c r="HC475" s="113"/>
      <c r="HD475" s="113"/>
      <c r="HE475" s="113"/>
      <c r="HF475" s="113"/>
      <c r="HG475" s="46">
        <v>0</v>
      </c>
      <c r="HH475" s="113"/>
      <c r="HI475" s="113"/>
      <c r="HJ475" s="113"/>
      <c r="HK475" s="113"/>
      <c r="HL475" s="113"/>
      <c r="HM475" s="121"/>
      <c r="HN475" s="121"/>
      <c r="LM475" t="str">
        <v/>
      </c>
      <c r="LN475" t="str">
        <v/>
      </c>
      <c r="LO475" t="str">
        <v/>
      </c>
    </row>
    <row r="476" spans="30:327">
      <c r="AD476" t="s">
        <v>112</v>
      </c>
      <c r="AE476" t="s">
        <v>22991</v>
      </c>
      <c r="AF476" s="46">
        <v>0</v>
      </c>
      <c r="AG476" s="113"/>
      <c r="AH476" s="113"/>
      <c r="AI476" s="113"/>
      <c r="AJ476" s="113"/>
      <c r="AK476" s="113"/>
      <c r="AL476" s="46">
        <v>0</v>
      </c>
      <c r="AM476" s="113"/>
      <c r="AN476" s="113"/>
      <c r="AO476" s="113"/>
      <c r="AP476" s="113"/>
      <c r="AQ476" s="113"/>
      <c r="AR476" s="46">
        <v>0</v>
      </c>
      <c r="AS476" s="113"/>
      <c r="AT476" s="113"/>
      <c r="AU476" s="113"/>
      <c r="AV476" s="113"/>
      <c r="AW476" s="113"/>
      <c r="AX476" s="46">
        <v>0</v>
      </c>
      <c r="AY476" s="113"/>
      <c r="AZ476" s="113"/>
      <c r="BA476" s="113"/>
      <c r="BB476" s="113"/>
      <c r="BC476" s="113"/>
      <c r="BD476" s="46">
        <v>0</v>
      </c>
      <c r="BE476" s="113"/>
      <c r="BF476" s="113"/>
      <c r="BG476" s="113"/>
      <c r="BH476" s="113"/>
      <c r="BI476" s="113"/>
      <c r="BJ476" s="46">
        <v>0</v>
      </c>
      <c r="BK476" s="113"/>
      <c r="BL476" s="113"/>
      <c r="BM476" s="113"/>
      <c r="BN476" s="113"/>
      <c r="BO476" s="113"/>
      <c r="BP476" s="121"/>
      <c r="BQ476" s="121"/>
      <c r="GA476" t="s">
        <v>112</v>
      </c>
      <c r="GB476" t="s">
        <v>22991</v>
      </c>
      <c r="GC476" s="46">
        <v>0</v>
      </c>
      <c r="GD476" s="113"/>
      <c r="GE476" s="113"/>
      <c r="GF476" s="113"/>
      <c r="GG476" s="113"/>
      <c r="GH476" s="113"/>
      <c r="GI476" s="46">
        <v>0</v>
      </c>
      <c r="GJ476" s="113"/>
      <c r="GK476" s="113"/>
      <c r="GL476" s="113"/>
      <c r="GM476" s="113"/>
      <c r="GN476" s="113"/>
      <c r="GO476" s="46">
        <v>0</v>
      </c>
      <c r="GP476" s="113"/>
      <c r="GQ476" s="113"/>
      <c r="GR476" s="113"/>
      <c r="GS476" s="113"/>
      <c r="GT476" s="113"/>
      <c r="GU476" s="46">
        <v>0</v>
      </c>
      <c r="GV476" s="113"/>
      <c r="GW476" s="113"/>
      <c r="GX476" s="113"/>
      <c r="GY476" s="113"/>
      <c r="GZ476" s="113"/>
      <c r="HA476" s="46">
        <v>0</v>
      </c>
      <c r="HB476" s="113"/>
      <c r="HC476" s="113"/>
      <c r="HD476" s="113"/>
      <c r="HE476" s="113"/>
      <c r="HF476" s="113"/>
      <c r="HG476" s="46">
        <v>0</v>
      </c>
      <c r="HH476" s="113"/>
      <c r="HI476" s="113"/>
      <c r="HJ476" s="113"/>
      <c r="HK476" s="113"/>
      <c r="HL476" s="113"/>
      <c r="HM476" s="121"/>
      <c r="HN476" s="121"/>
      <c r="LM476" t="str">
        <v/>
      </c>
      <c r="LN476" t="str">
        <v/>
      </c>
      <c r="LO476" t="str">
        <v/>
      </c>
    </row>
    <row r="477" spans="30:327">
      <c r="AD477" t="s">
        <v>112</v>
      </c>
      <c r="AE477" t="s">
        <v>22992</v>
      </c>
      <c r="AF477" s="46">
        <v>0</v>
      </c>
      <c r="AG477" s="113"/>
      <c r="AH477" s="113"/>
      <c r="AI477" s="113"/>
      <c r="AJ477" s="113"/>
      <c r="AK477" s="113"/>
      <c r="AL477" s="46">
        <v>0</v>
      </c>
      <c r="AM477" s="113"/>
      <c r="AN477" s="113"/>
      <c r="AO477" s="113"/>
      <c r="AP477" s="113"/>
      <c r="AQ477" s="113"/>
      <c r="AR477" s="46">
        <v>0</v>
      </c>
      <c r="AS477" s="113"/>
      <c r="AT477" s="113"/>
      <c r="AU477" s="113"/>
      <c r="AV477" s="113"/>
      <c r="AW477" s="113"/>
      <c r="AX477" s="46">
        <v>0</v>
      </c>
      <c r="AY477" s="113"/>
      <c r="AZ477" s="113"/>
      <c r="BA477" s="113"/>
      <c r="BB477" s="113"/>
      <c r="BC477" s="113"/>
      <c r="BD477" s="46">
        <v>0</v>
      </c>
      <c r="BE477" s="113"/>
      <c r="BF477" s="113"/>
      <c r="BG477" s="113"/>
      <c r="BH477" s="113"/>
      <c r="BI477" s="113"/>
      <c r="BJ477" s="46">
        <v>0</v>
      </c>
      <c r="BK477" s="113"/>
      <c r="BL477" s="113"/>
      <c r="BM477" s="113"/>
      <c r="BN477" s="113"/>
      <c r="BO477" s="113"/>
      <c r="BP477" s="121"/>
      <c r="BQ477" s="121"/>
      <c r="GA477" t="s">
        <v>112</v>
      </c>
      <c r="GB477" t="s">
        <v>22992</v>
      </c>
      <c r="GC477" s="46">
        <v>0</v>
      </c>
      <c r="GD477" s="113"/>
      <c r="GE477" s="113"/>
      <c r="GF477" s="113"/>
      <c r="GG477" s="113"/>
      <c r="GH477" s="113"/>
      <c r="GI477" s="46">
        <v>0</v>
      </c>
      <c r="GJ477" s="113"/>
      <c r="GK477" s="113"/>
      <c r="GL477" s="113"/>
      <c r="GM477" s="113"/>
      <c r="GN477" s="113"/>
      <c r="GO477" s="46">
        <v>0</v>
      </c>
      <c r="GP477" s="113"/>
      <c r="GQ477" s="113"/>
      <c r="GR477" s="113"/>
      <c r="GS477" s="113"/>
      <c r="GT477" s="113"/>
      <c r="GU477" s="46">
        <v>0</v>
      </c>
      <c r="GV477" s="113"/>
      <c r="GW477" s="113"/>
      <c r="GX477" s="113"/>
      <c r="GY477" s="113"/>
      <c r="GZ477" s="113"/>
      <c r="HA477" s="46">
        <v>0</v>
      </c>
      <c r="HB477" s="113"/>
      <c r="HC477" s="113"/>
      <c r="HD477" s="113"/>
      <c r="HE477" s="113"/>
      <c r="HF477" s="113"/>
      <c r="HG477" s="46">
        <v>0</v>
      </c>
      <c r="HH477" s="113"/>
      <c r="HI477" s="113"/>
      <c r="HJ477" s="113"/>
      <c r="HK477" s="113"/>
      <c r="HL477" s="113"/>
      <c r="HM477" s="121"/>
      <c r="HN477" s="121"/>
      <c r="LM477" t="str">
        <v/>
      </c>
      <c r="LN477" t="str">
        <v/>
      </c>
      <c r="LO477" t="str">
        <v/>
      </c>
    </row>
    <row r="478" spans="30:327">
      <c r="AD478" t="s">
        <v>112</v>
      </c>
      <c r="AE478" t="s">
        <v>22993</v>
      </c>
      <c r="AF478" s="46">
        <v>0</v>
      </c>
      <c r="AG478" s="113"/>
      <c r="AH478" s="113"/>
      <c r="AI478" s="113"/>
      <c r="AJ478" s="113"/>
      <c r="AK478" s="113"/>
      <c r="AL478" s="46">
        <v>0</v>
      </c>
      <c r="AM478" s="113"/>
      <c r="AN478" s="113"/>
      <c r="AO478" s="113"/>
      <c r="AP478" s="113"/>
      <c r="AQ478" s="113"/>
      <c r="AR478" s="46">
        <v>0</v>
      </c>
      <c r="AS478" s="113"/>
      <c r="AT478" s="113"/>
      <c r="AU478" s="113"/>
      <c r="AV478" s="113"/>
      <c r="AW478" s="113"/>
      <c r="AX478" s="46">
        <v>0</v>
      </c>
      <c r="AY478" s="113"/>
      <c r="AZ478" s="113"/>
      <c r="BA478" s="113"/>
      <c r="BB478" s="113"/>
      <c r="BC478" s="113"/>
      <c r="BD478" s="46">
        <v>0</v>
      </c>
      <c r="BE478" s="113"/>
      <c r="BF478" s="113"/>
      <c r="BG478" s="113"/>
      <c r="BH478" s="113"/>
      <c r="BI478" s="113"/>
      <c r="BJ478" s="46">
        <v>0</v>
      </c>
      <c r="BK478" s="113"/>
      <c r="BL478" s="113"/>
      <c r="BM478" s="113"/>
      <c r="BN478" s="113"/>
      <c r="BO478" s="113"/>
      <c r="BP478" s="121"/>
      <c r="BQ478" s="121"/>
      <c r="GA478" t="s">
        <v>112</v>
      </c>
      <c r="GB478" t="s">
        <v>22993</v>
      </c>
      <c r="GC478" s="46">
        <v>0</v>
      </c>
      <c r="GD478" s="113"/>
      <c r="GE478" s="113"/>
      <c r="GF478" s="113"/>
      <c r="GG478" s="113"/>
      <c r="GH478" s="113"/>
      <c r="GI478" s="46">
        <v>0</v>
      </c>
      <c r="GJ478" s="113"/>
      <c r="GK478" s="113"/>
      <c r="GL478" s="113"/>
      <c r="GM478" s="113"/>
      <c r="GN478" s="113"/>
      <c r="GO478" s="46">
        <v>0</v>
      </c>
      <c r="GP478" s="113"/>
      <c r="GQ478" s="113"/>
      <c r="GR478" s="113"/>
      <c r="GS478" s="113"/>
      <c r="GT478" s="113"/>
      <c r="GU478" s="46">
        <v>0</v>
      </c>
      <c r="GV478" s="113"/>
      <c r="GW478" s="113"/>
      <c r="GX478" s="113"/>
      <c r="GY478" s="113"/>
      <c r="GZ478" s="113"/>
      <c r="HA478" s="46">
        <v>0</v>
      </c>
      <c r="HB478" s="113"/>
      <c r="HC478" s="113"/>
      <c r="HD478" s="113"/>
      <c r="HE478" s="113"/>
      <c r="HF478" s="113"/>
      <c r="HG478" s="46">
        <v>0</v>
      </c>
      <c r="HH478" s="113"/>
      <c r="HI478" s="113"/>
      <c r="HJ478" s="113"/>
      <c r="HK478" s="113"/>
      <c r="HL478" s="113"/>
      <c r="HM478" s="121"/>
      <c r="HN478" s="121"/>
      <c r="LM478" t="str">
        <v/>
      </c>
      <c r="LN478" t="str">
        <v/>
      </c>
      <c r="LO478" t="str">
        <v/>
      </c>
    </row>
    <row r="479" spans="30:327">
      <c r="AD479" t="s">
        <v>112</v>
      </c>
      <c r="AE479" t="s">
        <v>22994</v>
      </c>
      <c r="AF479" s="46">
        <v>0</v>
      </c>
      <c r="AG479" s="113"/>
      <c r="AH479" s="113"/>
      <c r="AI479" s="113"/>
      <c r="AJ479" s="113"/>
      <c r="AK479" s="113"/>
      <c r="AL479" s="46">
        <v>0</v>
      </c>
      <c r="AM479" s="113"/>
      <c r="AN479" s="113"/>
      <c r="AO479" s="113"/>
      <c r="AP479" s="113"/>
      <c r="AQ479" s="113"/>
      <c r="AR479" s="46">
        <v>0</v>
      </c>
      <c r="AS479" s="113"/>
      <c r="AT479" s="113"/>
      <c r="AU479" s="113"/>
      <c r="AV479" s="113"/>
      <c r="AW479" s="113"/>
      <c r="AX479" s="46">
        <v>0</v>
      </c>
      <c r="AY479" s="113"/>
      <c r="AZ479" s="113"/>
      <c r="BA479" s="113"/>
      <c r="BB479" s="113"/>
      <c r="BC479" s="113"/>
      <c r="BD479" s="46">
        <v>0</v>
      </c>
      <c r="BE479" s="113"/>
      <c r="BF479" s="113"/>
      <c r="BG479" s="113"/>
      <c r="BH479" s="113"/>
      <c r="BI479" s="113"/>
      <c r="BJ479" s="46">
        <v>0</v>
      </c>
      <c r="BK479" s="113"/>
      <c r="BL479" s="113"/>
      <c r="BM479" s="113"/>
      <c r="BN479" s="113"/>
      <c r="BO479" s="113"/>
      <c r="BP479" s="121"/>
      <c r="BQ479" s="121"/>
      <c r="GA479" t="s">
        <v>112</v>
      </c>
      <c r="GB479" t="s">
        <v>22994</v>
      </c>
      <c r="GC479" s="46">
        <v>0</v>
      </c>
      <c r="GD479" s="113"/>
      <c r="GE479" s="113"/>
      <c r="GF479" s="113"/>
      <c r="GG479" s="113"/>
      <c r="GH479" s="113"/>
      <c r="GI479" s="46">
        <v>0</v>
      </c>
      <c r="GJ479" s="113"/>
      <c r="GK479" s="113"/>
      <c r="GL479" s="113"/>
      <c r="GM479" s="113"/>
      <c r="GN479" s="113"/>
      <c r="GO479" s="46">
        <v>0</v>
      </c>
      <c r="GP479" s="113"/>
      <c r="GQ479" s="113"/>
      <c r="GR479" s="113"/>
      <c r="GS479" s="113"/>
      <c r="GT479" s="113"/>
      <c r="GU479" s="46">
        <v>0</v>
      </c>
      <c r="GV479" s="113"/>
      <c r="GW479" s="113"/>
      <c r="GX479" s="113"/>
      <c r="GY479" s="113"/>
      <c r="GZ479" s="113"/>
      <c r="HA479" s="46">
        <v>0</v>
      </c>
      <c r="HB479" s="113"/>
      <c r="HC479" s="113"/>
      <c r="HD479" s="113"/>
      <c r="HE479" s="113"/>
      <c r="HF479" s="113"/>
      <c r="HG479" s="46">
        <v>0</v>
      </c>
      <c r="HH479" s="113"/>
      <c r="HI479" s="113"/>
      <c r="HJ479" s="113"/>
      <c r="HK479" s="113"/>
      <c r="HL479" s="113"/>
      <c r="HM479" s="121"/>
      <c r="HN479" s="121"/>
      <c r="LM479" t="str">
        <v/>
      </c>
      <c r="LN479" t="str">
        <v/>
      </c>
      <c r="LO479" t="str">
        <v/>
      </c>
    </row>
    <row r="480" spans="30:327">
      <c r="AD480" t="s">
        <v>112</v>
      </c>
      <c r="AE480" t="s">
        <v>22995</v>
      </c>
      <c r="AF480" s="46">
        <v>0</v>
      </c>
      <c r="AG480" s="113"/>
      <c r="AH480" s="113"/>
      <c r="AI480" s="113"/>
      <c r="AJ480" s="113"/>
      <c r="AK480" s="113"/>
      <c r="AL480" s="46">
        <v>0</v>
      </c>
      <c r="AM480" s="113"/>
      <c r="AN480" s="113"/>
      <c r="AO480" s="113"/>
      <c r="AP480" s="113"/>
      <c r="AQ480" s="113"/>
      <c r="AR480" s="46">
        <v>0</v>
      </c>
      <c r="AS480" s="113"/>
      <c r="AT480" s="113"/>
      <c r="AU480" s="113"/>
      <c r="AV480" s="113"/>
      <c r="AW480" s="113"/>
      <c r="AX480" s="46">
        <v>0</v>
      </c>
      <c r="AY480" s="113"/>
      <c r="AZ480" s="113"/>
      <c r="BA480" s="113"/>
      <c r="BB480" s="113"/>
      <c r="BC480" s="113"/>
      <c r="BD480" s="46">
        <v>0</v>
      </c>
      <c r="BE480" s="113"/>
      <c r="BF480" s="113"/>
      <c r="BG480" s="113"/>
      <c r="BH480" s="113"/>
      <c r="BI480" s="113"/>
      <c r="BJ480" s="46">
        <v>0</v>
      </c>
      <c r="BK480" s="113"/>
      <c r="BL480" s="113"/>
      <c r="BM480" s="113"/>
      <c r="BN480" s="113"/>
      <c r="BO480" s="113"/>
      <c r="BP480" s="121"/>
      <c r="BQ480" s="121"/>
      <c r="GA480" t="s">
        <v>112</v>
      </c>
      <c r="GB480" t="s">
        <v>22995</v>
      </c>
      <c r="GC480" s="46">
        <v>0</v>
      </c>
      <c r="GD480" s="113"/>
      <c r="GE480" s="113"/>
      <c r="GF480" s="113"/>
      <c r="GG480" s="113"/>
      <c r="GH480" s="113"/>
      <c r="GI480" s="46">
        <v>0</v>
      </c>
      <c r="GJ480" s="113"/>
      <c r="GK480" s="113"/>
      <c r="GL480" s="113"/>
      <c r="GM480" s="113"/>
      <c r="GN480" s="113"/>
      <c r="GO480" s="46">
        <v>0</v>
      </c>
      <c r="GP480" s="113"/>
      <c r="GQ480" s="113"/>
      <c r="GR480" s="113"/>
      <c r="GS480" s="113"/>
      <c r="GT480" s="113"/>
      <c r="GU480" s="46">
        <v>0</v>
      </c>
      <c r="GV480" s="113"/>
      <c r="GW480" s="113"/>
      <c r="GX480" s="113"/>
      <c r="GY480" s="113"/>
      <c r="GZ480" s="113"/>
      <c r="HA480" s="46">
        <v>0</v>
      </c>
      <c r="HB480" s="113"/>
      <c r="HC480" s="113"/>
      <c r="HD480" s="113"/>
      <c r="HE480" s="113"/>
      <c r="HF480" s="113"/>
      <c r="HG480" s="46">
        <v>0</v>
      </c>
      <c r="HH480" s="113"/>
      <c r="HI480" s="113"/>
      <c r="HJ480" s="113"/>
      <c r="HK480" s="113"/>
      <c r="HL480" s="113"/>
      <c r="HM480" s="121"/>
      <c r="HN480" s="121"/>
      <c r="LM480" t="str">
        <v/>
      </c>
      <c r="LN480" t="str">
        <v/>
      </c>
      <c r="LO480" t="str">
        <v/>
      </c>
    </row>
    <row r="481" spans="30:327">
      <c r="AD481" t="s">
        <v>112</v>
      </c>
      <c r="AE481" t="s">
        <v>22996</v>
      </c>
      <c r="AF481" s="46">
        <v>0</v>
      </c>
      <c r="AG481" s="113"/>
      <c r="AH481" s="113"/>
      <c r="AI481" s="113"/>
      <c r="AJ481" s="113"/>
      <c r="AK481" s="113"/>
      <c r="AL481" s="46">
        <v>0</v>
      </c>
      <c r="AM481" s="113"/>
      <c r="AN481" s="113"/>
      <c r="AO481" s="113"/>
      <c r="AP481" s="113"/>
      <c r="AQ481" s="113"/>
      <c r="AR481" s="46">
        <v>0</v>
      </c>
      <c r="AS481" s="113"/>
      <c r="AT481" s="113"/>
      <c r="AU481" s="113"/>
      <c r="AV481" s="113"/>
      <c r="AW481" s="113"/>
      <c r="AX481" s="46">
        <v>0</v>
      </c>
      <c r="AY481" s="113"/>
      <c r="AZ481" s="113"/>
      <c r="BA481" s="113"/>
      <c r="BB481" s="113"/>
      <c r="BC481" s="113"/>
      <c r="BD481" s="46">
        <v>0</v>
      </c>
      <c r="BE481" s="113"/>
      <c r="BF481" s="113"/>
      <c r="BG481" s="113"/>
      <c r="BH481" s="113"/>
      <c r="BI481" s="113"/>
      <c r="BJ481" s="46">
        <v>0</v>
      </c>
      <c r="BK481" s="113"/>
      <c r="BL481" s="113"/>
      <c r="BM481" s="113"/>
      <c r="BN481" s="113"/>
      <c r="BO481" s="113"/>
      <c r="BP481" s="121"/>
      <c r="BQ481" s="121"/>
      <c r="GA481" t="s">
        <v>112</v>
      </c>
      <c r="GB481" t="s">
        <v>22996</v>
      </c>
      <c r="GC481" s="46">
        <v>0</v>
      </c>
      <c r="GD481" s="113"/>
      <c r="GE481" s="113"/>
      <c r="GF481" s="113"/>
      <c r="GG481" s="113"/>
      <c r="GH481" s="113"/>
      <c r="GI481" s="46">
        <v>0</v>
      </c>
      <c r="GJ481" s="113"/>
      <c r="GK481" s="113"/>
      <c r="GL481" s="113"/>
      <c r="GM481" s="113"/>
      <c r="GN481" s="113"/>
      <c r="GO481" s="46">
        <v>0</v>
      </c>
      <c r="GP481" s="113"/>
      <c r="GQ481" s="113"/>
      <c r="GR481" s="113"/>
      <c r="GS481" s="113"/>
      <c r="GT481" s="113"/>
      <c r="GU481" s="46">
        <v>0</v>
      </c>
      <c r="GV481" s="113"/>
      <c r="GW481" s="113"/>
      <c r="GX481" s="113"/>
      <c r="GY481" s="113"/>
      <c r="GZ481" s="113"/>
      <c r="HA481" s="46">
        <v>0</v>
      </c>
      <c r="HB481" s="113"/>
      <c r="HC481" s="113"/>
      <c r="HD481" s="113"/>
      <c r="HE481" s="113"/>
      <c r="HF481" s="113"/>
      <c r="HG481" s="46">
        <v>0</v>
      </c>
      <c r="HH481" s="113"/>
      <c r="HI481" s="113"/>
      <c r="HJ481" s="113"/>
      <c r="HK481" s="113"/>
      <c r="HL481" s="113"/>
      <c r="HM481" s="121"/>
      <c r="HN481" s="121"/>
      <c r="LM481" t="str">
        <v/>
      </c>
      <c r="LN481" t="str">
        <v/>
      </c>
      <c r="LO481" t="str">
        <v/>
      </c>
    </row>
    <row r="482" spans="30:327">
      <c r="AD482" t="s">
        <v>112</v>
      </c>
      <c r="AE482" t="s">
        <v>22997</v>
      </c>
      <c r="AF482" s="46">
        <v>0</v>
      </c>
      <c r="AG482" s="113"/>
      <c r="AH482" s="113"/>
      <c r="AI482" s="113"/>
      <c r="AJ482" s="113"/>
      <c r="AK482" s="113"/>
      <c r="AL482" s="46">
        <v>0</v>
      </c>
      <c r="AM482" s="113"/>
      <c r="AN482" s="113"/>
      <c r="AO482" s="113"/>
      <c r="AP482" s="113"/>
      <c r="AQ482" s="113"/>
      <c r="AR482" s="46">
        <v>0</v>
      </c>
      <c r="AS482" s="113"/>
      <c r="AT482" s="113"/>
      <c r="AU482" s="113"/>
      <c r="AV482" s="113"/>
      <c r="AW482" s="113"/>
      <c r="AX482" s="46">
        <v>0</v>
      </c>
      <c r="AY482" s="113"/>
      <c r="AZ482" s="113"/>
      <c r="BA482" s="113"/>
      <c r="BB482" s="113"/>
      <c r="BC482" s="113"/>
      <c r="BD482" s="46">
        <v>0</v>
      </c>
      <c r="BE482" s="113"/>
      <c r="BF482" s="113"/>
      <c r="BG482" s="113"/>
      <c r="BH482" s="113"/>
      <c r="BI482" s="113"/>
      <c r="BJ482" s="46">
        <v>0</v>
      </c>
      <c r="BK482" s="113"/>
      <c r="BL482" s="113"/>
      <c r="BM482" s="113"/>
      <c r="BN482" s="113"/>
      <c r="BO482" s="113"/>
      <c r="BP482" s="121"/>
      <c r="BQ482" s="121"/>
      <c r="GA482" t="s">
        <v>112</v>
      </c>
      <c r="GB482" t="s">
        <v>22997</v>
      </c>
      <c r="GC482" s="46">
        <v>0</v>
      </c>
      <c r="GD482" s="113"/>
      <c r="GE482" s="113"/>
      <c r="GF482" s="113"/>
      <c r="GG482" s="113"/>
      <c r="GH482" s="113"/>
      <c r="GI482" s="46">
        <v>0</v>
      </c>
      <c r="GJ482" s="113"/>
      <c r="GK482" s="113"/>
      <c r="GL482" s="113"/>
      <c r="GM482" s="113"/>
      <c r="GN482" s="113"/>
      <c r="GO482" s="46">
        <v>0</v>
      </c>
      <c r="GP482" s="113"/>
      <c r="GQ482" s="113"/>
      <c r="GR482" s="113"/>
      <c r="GS482" s="113"/>
      <c r="GT482" s="113"/>
      <c r="GU482" s="46">
        <v>0</v>
      </c>
      <c r="GV482" s="113"/>
      <c r="GW482" s="113"/>
      <c r="GX482" s="113"/>
      <c r="GY482" s="113"/>
      <c r="GZ482" s="113"/>
      <c r="HA482" s="46">
        <v>0</v>
      </c>
      <c r="HB482" s="113"/>
      <c r="HC482" s="113"/>
      <c r="HD482" s="113"/>
      <c r="HE482" s="113"/>
      <c r="HF482" s="113"/>
      <c r="HG482" s="46">
        <v>0</v>
      </c>
      <c r="HH482" s="113"/>
      <c r="HI482" s="113"/>
      <c r="HJ482" s="113"/>
      <c r="HK482" s="113"/>
      <c r="HL482" s="113"/>
      <c r="HM482" s="121"/>
      <c r="HN482" s="121"/>
      <c r="LM482" t="str">
        <v/>
      </c>
      <c r="LN482" t="str">
        <v/>
      </c>
      <c r="LO482" t="str">
        <v/>
      </c>
    </row>
    <row r="483" spans="30:327">
      <c r="AD483" t="s">
        <v>112</v>
      </c>
      <c r="AE483" t="s">
        <v>22998</v>
      </c>
      <c r="AF483" s="46">
        <v>0</v>
      </c>
      <c r="AG483" s="113"/>
      <c r="AH483" s="113"/>
      <c r="AI483" s="113"/>
      <c r="AJ483" s="113"/>
      <c r="AK483" s="113"/>
      <c r="AL483" s="46">
        <v>0</v>
      </c>
      <c r="AM483" s="113"/>
      <c r="AN483" s="113"/>
      <c r="AO483" s="113"/>
      <c r="AP483" s="113"/>
      <c r="AQ483" s="113"/>
      <c r="AR483" s="46">
        <v>0</v>
      </c>
      <c r="AS483" s="113"/>
      <c r="AT483" s="113"/>
      <c r="AU483" s="113"/>
      <c r="AV483" s="113"/>
      <c r="AW483" s="113"/>
      <c r="AX483" s="46">
        <v>0</v>
      </c>
      <c r="AY483" s="113"/>
      <c r="AZ483" s="113"/>
      <c r="BA483" s="113"/>
      <c r="BB483" s="113"/>
      <c r="BC483" s="113"/>
      <c r="BD483" s="46">
        <v>0</v>
      </c>
      <c r="BE483" s="113"/>
      <c r="BF483" s="113"/>
      <c r="BG483" s="113"/>
      <c r="BH483" s="113"/>
      <c r="BI483" s="113"/>
      <c r="BJ483" s="46">
        <v>0</v>
      </c>
      <c r="BK483" s="113"/>
      <c r="BL483" s="113"/>
      <c r="BM483" s="113"/>
      <c r="BN483" s="113"/>
      <c r="BO483" s="113"/>
      <c r="BP483" s="121"/>
      <c r="BQ483" s="121"/>
      <c r="GA483" t="s">
        <v>112</v>
      </c>
      <c r="GB483" t="s">
        <v>22998</v>
      </c>
      <c r="GC483" s="46">
        <v>0</v>
      </c>
      <c r="GD483" s="113"/>
      <c r="GE483" s="113"/>
      <c r="GF483" s="113"/>
      <c r="GG483" s="113"/>
      <c r="GH483" s="113"/>
      <c r="GI483" s="46">
        <v>0</v>
      </c>
      <c r="GJ483" s="113"/>
      <c r="GK483" s="113"/>
      <c r="GL483" s="113"/>
      <c r="GM483" s="113"/>
      <c r="GN483" s="113"/>
      <c r="GO483" s="46">
        <v>0</v>
      </c>
      <c r="GP483" s="113"/>
      <c r="GQ483" s="113"/>
      <c r="GR483" s="113"/>
      <c r="GS483" s="113"/>
      <c r="GT483" s="113"/>
      <c r="GU483" s="46">
        <v>0</v>
      </c>
      <c r="GV483" s="113"/>
      <c r="GW483" s="113"/>
      <c r="GX483" s="113"/>
      <c r="GY483" s="113"/>
      <c r="GZ483" s="113"/>
      <c r="HA483" s="46">
        <v>0</v>
      </c>
      <c r="HB483" s="113"/>
      <c r="HC483" s="113"/>
      <c r="HD483" s="113"/>
      <c r="HE483" s="113"/>
      <c r="HF483" s="113"/>
      <c r="HG483" s="46">
        <v>0</v>
      </c>
      <c r="HH483" s="113"/>
      <c r="HI483" s="113"/>
      <c r="HJ483" s="113"/>
      <c r="HK483" s="113"/>
      <c r="HL483" s="113"/>
      <c r="HM483" s="121"/>
      <c r="HN483" s="121"/>
      <c r="LM483" t="str">
        <v/>
      </c>
      <c r="LN483" t="str">
        <v/>
      </c>
      <c r="LO483" t="str">
        <v/>
      </c>
    </row>
    <row r="484" spans="30:327">
      <c r="AD484" t="s">
        <v>112</v>
      </c>
      <c r="AE484" t="s">
        <v>22999</v>
      </c>
      <c r="AF484" s="46">
        <v>0</v>
      </c>
      <c r="AG484" s="113"/>
      <c r="AH484" s="113"/>
      <c r="AI484" s="113"/>
      <c r="AJ484" s="113"/>
      <c r="AK484" s="113"/>
      <c r="AL484" s="46">
        <v>0</v>
      </c>
      <c r="AM484" s="113"/>
      <c r="AN484" s="113"/>
      <c r="AO484" s="113"/>
      <c r="AP484" s="113"/>
      <c r="AQ484" s="113"/>
      <c r="AR484" s="46">
        <v>0</v>
      </c>
      <c r="AS484" s="113"/>
      <c r="AT484" s="113"/>
      <c r="AU484" s="113"/>
      <c r="AV484" s="113"/>
      <c r="AW484" s="113"/>
      <c r="AX484" s="46">
        <v>0</v>
      </c>
      <c r="AY484" s="113"/>
      <c r="AZ484" s="113"/>
      <c r="BA484" s="113"/>
      <c r="BB484" s="113"/>
      <c r="BC484" s="113"/>
      <c r="BD484" s="46">
        <v>0</v>
      </c>
      <c r="BE484" s="113"/>
      <c r="BF484" s="113"/>
      <c r="BG484" s="113"/>
      <c r="BH484" s="113"/>
      <c r="BI484" s="113"/>
      <c r="BJ484" s="46">
        <v>0</v>
      </c>
      <c r="BK484" s="113"/>
      <c r="BL484" s="113"/>
      <c r="BM484" s="113"/>
      <c r="BN484" s="113"/>
      <c r="BO484" s="113"/>
      <c r="BP484" s="121"/>
      <c r="BQ484" s="121"/>
      <c r="GA484" t="s">
        <v>112</v>
      </c>
      <c r="GB484" t="s">
        <v>22999</v>
      </c>
      <c r="GC484" s="46">
        <v>0</v>
      </c>
      <c r="GD484" s="113"/>
      <c r="GE484" s="113"/>
      <c r="GF484" s="113"/>
      <c r="GG484" s="113"/>
      <c r="GH484" s="113"/>
      <c r="GI484" s="46">
        <v>0</v>
      </c>
      <c r="GJ484" s="113"/>
      <c r="GK484" s="113"/>
      <c r="GL484" s="113"/>
      <c r="GM484" s="113"/>
      <c r="GN484" s="113"/>
      <c r="GO484" s="46">
        <v>0</v>
      </c>
      <c r="GP484" s="113"/>
      <c r="GQ484" s="113"/>
      <c r="GR484" s="113"/>
      <c r="GS484" s="113"/>
      <c r="GT484" s="113"/>
      <c r="GU484" s="46">
        <v>0</v>
      </c>
      <c r="GV484" s="113"/>
      <c r="GW484" s="113"/>
      <c r="GX484" s="113"/>
      <c r="GY484" s="113"/>
      <c r="GZ484" s="113"/>
      <c r="HA484" s="46">
        <v>0</v>
      </c>
      <c r="HB484" s="113"/>
      <c r="HC484" s="113"/>
      <c r="HD484" s="113"/>
      <c r="HE484" s="113"/>
      <c r="HF484" s="113"/>
      <c r="HG484" s="46">
        <v>0</v>
      </c>
      <c r="HH484" s="113"/>
      <c r="HI484" s="113"/>
      <c r="HJ484" s="113"/>
      <c r="HK484" s="113"/>
      <c r="HL484" s="113"/>
      <c r="HM484" s="121"/>
      <c r="HN484" s="121"/>
      <c r="LM484" t="str">
        <v/>
      </c>
      <c r="LN484" t="str">
        <v/>
      </c>
      <c r="LO484" t="str">
        <v/>
      </c>
    </row>
    <row r="485" spans="30:327">
      <c r="AD485" t="s">
        <v>112</v>
      </c>
      <c r="AE485" t="s">
        <v>23000</v>
      </c>
      <c r="AF485" s="46">
        <v>0</v>
      </c>
      <c r="AG485" s="113"/>
      <c r="AH485" s="113"/>
      <c r="AI485" s="113"/>
      <c r="AJ485" s="113"/>
      <c r="AK485" s="113"/>
      <c r="AL485" s="46">
        <v>0</v>
      </c>
      <c r="AM485" s="113"/>
      <c r="AN485" s="113"/>
      <c r="AO485" s="113"/>
      <c r="AP485" s="113"/>
      <c r="AQ485" s="113"/>
      <c r="AR485" s="46">
        <v>0</v>
      </c>
      <c r="AS485" s="113"/>
      <c r="AT485" s="113"/>
      <c r="AU485" s="113"/>
      <c r="AV485" s="113"/>
      <c r="AW485" s="113"/>
      <c r="AX485" s="46">
        <v>0</v>
      </c>
      <c r="AY485" s="113"/>
      <c r="AZ485" s="113"/>
      <c r="BA485" s="113"/>
      <c r="BB485" s="113"/>
      <c r="BC485" s="113"/>
      <c r="BD485" s="46">
        <v>0</v>
      </c>
      <c r="BE485" s="113"/>
      <c r="BF485" s="113"/>
      <c r="BG485" s="113"/>
      <c r="BH485" s="113"/>
      <c r="BI485" s="113"/>
      <c r="BJ485" s="46">
        <v>0</v>
      </c>
      <c r="BK485" s="113"/>
      <c r="BL485" s="113"/>
      <c r="BM485" s="113"/>
      <c r="BN485" s="113"/>
      <c r="BO485" s="113"/>
      <c r="BP485" s="121"/>
      <c r="BQ485" s="121"/>
      <c r="GA485" t="s">
        <v>112</v>
      </c>
      <c r="GB485" t="s">
        <v>23000</v>
      </c>
      <c r="GC485" s="46">
        <v>0</v>
      </c>
      <c r="GD485" s="113"/>
      <c r="GE485" s="113"/>
      <c r="GF485" s="113"/>
      <c r="GG485" s="113"/>
      <c r="GH485" s="113"/>
      <c r="GI485" s="46">
        <v>0</v>
      </c>
      <c r="GJ485" s="113"/>
      <c r="GK485" s="113"/>
      <c r="GL485" s="113"/>
      <c r="GM485" s="113"/>
      <c r="GN485" s="113"/>
      <c r="GO485" s="46">
        <v>0</v>
      </c>
      <c r="GP485" s="113"/>
      <c r="GQ485" s="113"/>
      <c r="GR485" s="113"/>
      <c r="GS485" s="113"/>
      <c r="GT485" s="113"/>
      <c r="GU485" s="46">
        <v>0</v>
      </c>
      <c r="GV485" s="113"/>
      <c r="GW485" s="113"/>
      <c r="GX485" s="113"/>
      <c r="GY485" s="113"/>
      <c r="GZ485" s="113"/>
      <c r="HA485" s="46">
        <v>0</v>
      </c>
      <c r="HB485" s="113"/>
      <c r="HC485" s="113"/>
      <c r="HD485" s="113"/>
      <c r="HE485" s="113"/>
      <c r="HF485" s="113"/>
      <c r="HG485" s="46">
        <v>0</v>
      </c>
      <c r="HH485" s="113"/>
      <c r="HI485" s="113"/>
      <c r="HJ485" s="113"/>
      <c r="HK485" s="113"/>
      <c r="HL485" s="113"/>
      <c r="HM485" s="121"/>
      <c r="HN485" s="121"/>
      <c r="LM485" t="str">
        <v/>
      </c>
      <c r="LN485" t="str">
        <v/>
      </c>
      <c r="LO485" t="str">
        <v/>
      </c>
    </row>
    <row r="486" spans="30:327">
      <c r="AD486" t="s">
        <v>112</v>
      </c>
      <c r="AE486" t="s">
        <v>23001</v>
      </c>
      <c r="AF486" s="46">
        <v>0</v>
      </c>
      <c r="AG486" s="113"/>
      <c r="AH486" s="113"/>
      <c r="AI486" s="113"/>
      <c r="AJ486" s="113"/>
      <c r="AK486" s="113"/>
      <c r="AL486" s="46">
        <v>0</v>
      </c>
      <c r="AM486" s="113"/>
      <c r="AN486" s="113"/>
      <c r="AO486" s="113"/>
      <c r="AP486" s="113"/>
      <c r="AQ486" s="113"/>
      <c r="AR486" s="46">
        <v>0</v>
      </c>
      <c r="AS486" s="113"/>
      <c r="AT486" s="113"/>
      <c r="AU486" s="113"/>
      <c r="AV486" s="113"/>
      <c r="AW486" s="113"/>
      <c r="AX486" s="46">
        <v>0</v>
      </c>
      <c r="AY486" s="113"/>
      <c r="AZ486" s="113"/>
      <c r="BA486" s="113"/>
      <c r="BB486" s="113"/>
      <c r="BC486" s="113"/>
      <c r="BD486" s="46">
        <v>0</v>
      </c>
      <c r="BE486" s="113"/>
      <c r="BF486" s="113"/>
      <c r="BG486" s="113"/>
      <c r="BH486" s="113"/>
      <c r="BI486" s="113"/>
      <c r="BJ486" s="46">
        <v>0</v>
      </c>
      <c r="BK486" s="113"/>
      <c r="BL486" s="113"/>
      <c r="BM486" s="113"/>
      <c r="BN486" s="113"/>
      <c r="BO486" s="113"/>
      <c r="BP486" s="121"/>
      <c r="BQ486" s="121"/>
      <c r="GA486" t="s">
        <v>112</v>
      </c>
      <c r="GB486" t="s">
        <v>23001</v>
      </c>
      <c r="GC486" s="46">
        <v>0</v>
      </c>
      <c r="GD486" s="113"/>
      <c r="GE486" s="113"/>
      <c r="GF486" s="113"/>
      <c r="GG486" s="113"/>
      <c r="GH486" s="113"/>
      <c r="GI486" s="46">
        <v>0</v>
      </c>
      <c r="GJ486" s="113"/>
      <c r="GK486" s="113"/>
      <c r="GL486" s="113"/>
      <c r="GM486" s="113"/>
      <c r="GN486" s="113"/>
      <c r="GO486" s="46">
        <v>0</v>
      </c>
      <c r="GP486" s="113"/>
      <c r="GQ486" s="113"/>
      <c r="GR486" s="113"/>
      <c r="GS486" s="113"/>
      <c r="GT486" s="113"/>
      <c r="GU486" s="46">
        <v>0</v>
      </c>
      <c r="GV486" s="113"/>
      <c r="GW486" s="113"/>
      <c r="GX486" s="113"/>
      <c r="GY486" s="113"/>
      <c r="GZ486" s="113"/>
      <c r="HA486" s="46">
        <v>0</v>
      </c>
      <c r="HB486" s="113"/>
      <c r="HC486" s="113"/>
      <c r="HD486" s="113"/>
      <c r="HE486" s="113"/>
      <c r="HF486" s="113"/>
      <c r="HG486" s="46">
        <v>0</v>
      </c>
      <c r="HH486" s="113"/>
      <c r="HI486" s="113"/>
      <c r="HJ486" s="113"/>
      <c r="HK486" s="113"/>
      <c r="HL486" s="113"/>
      <c r="HM486" s="121"/>
      <c r="HN486" s="121"/>
      <c r="LM486" t="str">
        <v/>
      </c>
      <c r="LN486" t="str">
        <v/>
      </c>
      <c r="LO486" t="str">
        <v/>
      </c>
    </row>
    <row r="487" spans="30:327">
      <c r="AD487" t="s">
        <v>112</v>
      </c>
      <c r="AE487" t="s">
        <v>23002</v>
      </c>
      <c r="AF487" s="46">
        <v>0</v>
      </c>
      <c r="AG487" s="113"/>
      <c r="AH487" s="113"/>
      <c r="AI487" s="113"/>
      <c r="AJ487" s="113"/>
      <c r="AK487" s="113"/>
      <c r="AL487" s="46">
        <v>0</v>
      </c>
      <c r="AM487" s="113"/>
      <c r="AN487" s="113"/>
      <c r="AO487" s="113"/>
      <c r="AP487" s="113"/>
      <c r="AQ487" s="113"/>
      <c r="AR487" s="46">
        <v>0</v>
      </c>
      <c r="AS487" s="113"/>
      <c r="AT487" s="113"/>
      <c r="AU487" s="113"/>
      <c r="AV487" s="113"/>
      <c r="AW487" s="113"/>
      <c r="AX487" s="46">
        <v>0</v>
      </c>
      <c r="AY487" s="113"/>
      <c r="AZ487" s="113"/>
      <c r="BA487" s="113"/>
      <c r="BB487" s="113"/>
      <c r="BC487" s="113"/>
      <c r="BD487" s="46">
        <v>0</v>
      </c>
      <c r="BE487" s="113"/>
      <c r="BF487" s="113"/>
      <c r="BG487" s="113"/>
      <c r="BH487" s="113"/>
      <c r="BI487" s="113"/>
      <c r="BJ487" s="46">
        <v>0</v>
      </c>
      <c r="BK487" s="113"/>
      <c r="BL487" s="113"/>
      <c r="BM487" s="113"/>
      <c r="BN487" s="113"/>
      <c r="BO487" s="113"/>
      <c r="BP487" s="121"/>
      <c r="BQ487" s="121"/>
      <c r="GA487" t="s">
        <v>112</v>
      </c>
      <c r="GB487" t="s">
        <v>23002</v>
      </c>
      <c r="GC487" s="46">
        <v>0</v>
      </c>
      <c r="GD487" s="113"/>
      <c r="GE487" s="113"/>
      <c r="GF487" s="113"/>
      <c r="GG487" s="113"/>
      <c r="GH487" s="113"/>
      <c r="GI487" s="46">
        <v>0</v>
      </c>
      <c r="GJ487" s="113"/>
      <c r="GK487" s="113"/>
      <c r="GL487" s="113"/>
      <c r="GM487" s="113"/>
      <c r="GN487" s="113"/>
      <c r="GO487" s="46">
        <v>0</v>
      </c>
      <c r="GP487" s="113"/>
      <c r="GQ487" s="113"/>
      <c r="GR487" s="113"/>
      <c r="GS487" s="113"/>
      <c r="GT487" s="113"/>
      <c r="GU487" s="46">
        <v>0</v>
      </c>
      <c r="GV487" s="113"/>
      <c r="GW487" s="113"/>
      <c r="GX487" s="113"/>
      <c r="GY487" s="113"/>
      <c r="GZ487" s="113"/>
      <c r="HA487" s="46">
        <v>0</v>
      </c>
      <c r="HB487" s="113"/>
      <c r="HC487" s="113"/>
      <c r="HD487" s="113"/>
      <c r="HE487" s="113"/>
      <c r="HF487" s="113"/>
      <c r="HG487" s="46">
        <v>0</v>
      </c>
      <c r="HH487" s="113"/>
      <c r="HI487" s="113"/>
      <c r="HJ487" s="113"/>
      <c r="HK487" s="113"/>
      <c r="HL487" s="113"/>
      <c r="HM487" s="121"/>
      <c r="HN487" s="121"/>
      <c r="LM487" t="str">
        <v/>
      </c>
      <c r="LN487" t="str">
        <v/>
      </c>
      <c r="LO487" t="str">
        <v/>
      </c>
    </row>
    <row r="488" spans="30:327">
      <c r="AD488" t="s">
        <v>112</v>
      </c>
      <c r="AE488" t="s">
        <v>23003</v>
      </c>
      <c r="AF488" s="46">
        <v>0</v>
      </c>
      <c r="AG488" s="113"/>
      <c r="AH488" s="113"/>
      <c r="AI488" s="113"/>
      <c r="AJ488" s="113"/>
      <c r="AK488" s="113"/>
      <c r="AL488" s="46">
        <v>0</v>
      </c>
      <c r="AM488" s="113"/>
      <c r="AN488" s="113"/>
      <c r="AO488" s="113"/>
      <c r="AP488" s="113"/>
      <c r="AQ488" s="113"/>
      <c r="AR488" s="46">
        <v>0</v>
      </c>
      <c r="AS488" s="113"/>
      <c r="AT488" s="113"/>
      <c r="AU488" s="113"/>
      <c r="AV488" s="113"/>
      <c r="AW488" s="113"/>
      <c r="AX488" s="46">
        <v>0</v>
      </c>
      <c r="AY488" s="113"/>
      <c r="AZ488" s="113"/>
      <c r="BA488" s="113"/>
      <c r="BB488" s="113"/>
      <c r="BC488" s="113"/>
      <c r="BD488" s="46">
        <v>0</v>
      </c>
      <c r="BE488" s="113"/>
      <c r="BF488" s="113"/>
      <c r="BG488" s="113"/>
      <c r="BH488" s="113"/>
      <c r="BI488" s="113"/>
      <c r="BJ488" s="46">
        <v>0</v>
      </c>
      <c r="BK488" s="113"/>
      <c r="BL488" s="113"/>
      <c r="BM488" s="113"/>
      <c r="BN488" s="113"/>
      <c r="BO488" s="113"/>
      <c r="BP488" s="121"/>
      <c r="BQ488" s="121"/>
      <c r="GA488" t="s">
        <v>112</v>
      </c>
      <c r="GB488" t="s">
        <v>23003</v>
      </c>
      <c r="GC488" s="46">
        <v>0</v>
      </c>
      <c r="GD488" s="113"/>
      <c r="GE488" s="113"/>
      <c r="GF488" s="113"/>
      <c r="GG488" s="113"/>
      <c r="GH488" s="113"/>
      <c r="GI488" s="46">
        <v>0</v>
      </c>
      <c r="GJ488" s="113"/>
      <c r="GK488" s="113"/>
      <c r="GL488" s="113"/>
      <c r="GM488" s="113"/>
      <c r="GN488" s="113"/>
      <c r="GO488" s="46">
        <v>0</v>
      </c>
      <c r="GP488" s="113"/>
      <c r="GQ488" s="113"/>
      <c r="GR488" s="113"/>
      <c r="GS488" s="113"/>
      <c r="GT488" s="113"/>
      <c r="GU488" s="46">
        <v>0</v>
      </c>
      <c r="GV488" s="113"/>
      <c r="GW488" s="113"/>
      <c r="GX488" s="113"/>
      <c r="GY488" s="113"/>
      <c r="GZ488" s="113"/>
      <c r="HA488" s="46">
        <v>0</v>
      </c>
      <c r="HB488" s="113"/>
      <c r="HC488" s="113"/>
      <c r="HD488" s="113"/>
      <c r="HE488" s="113"/>
      <c r="HF488" s="113"/>
      <c r="HG488" s="46">
        <v>0</v>
      </c>
      <c r="HH488" s="113"/>
      <c r="HI488" s="113"/>
      <c r="HJ488" s="113"/>
      <c r="HK488" s="113"/>
      <c r="HL488" s="113"/>
      <c r="HM488" s="121"/>
      <c r="HN488" s="121"/>
      <c r="LM488" t="str">
        <v/>
      </c>
      <c r="LN488" t="str">
        <v/>
      </c>
      <c r="LO488" t="str">
        <v/>
      </c>
    </row>
    <row r="489" spans="30:327">
      <c r="AD489" t="s">
        <v>112</v>
      </c>
      <c r="AE489" t="s">
        <v>23004</v>
      </c>
      <c r="AF489" s="46">
        <v>0</v>
      </c>
      <c r="AG489" s="113"/>
      <c r="AH489" s="113"/>
      <c r="AI489" s="113"/>
      <c r="AJ489" s="113"/>
      <c r="AK489" s="113"/>
      <c r="AL489" s="46">
        <v>0</v>
      </c>
      <c r="AM489" s="113"/>
      <c r="AN489" s="113"/>
      <c r="AO489" s="113"/>
      <c r="AP489" s="113"/>
      <c r="AQ489" s="113"/>
      <c r="AR489" s="46">
        <v>0</v>
      </c>
      <c r="AS489" s="113"/>
      <c r="AT489" s="113"/>
      <c r="AU489" s="113"/>
      <c r="AV489" s="113"/>
      <c r="AW489" s="113"/>
      <c r="AX489" s="46">
        <v>0</v>
      </c>
      <c r="AY489" s="113"/>
      <c r="AZ489" s="113"/>
      <c r="BA489" s="113"/>
      <c r="BB489" s="113"/>
      <c r="BC489" s="113"/>
      <c r="BD489" s="46">
        <v>0</v>
      </c>
      <c r="BE489" s="113"/>
      <c r="BF489" s="113"/>
      <c r="BG489" s="113"/>
      <c r="BH489" s="113"/>
      <c r="BI489" s="113"/>
      <c r="BJ489" s="46">
        <v>0</v>
      </c>
      <c r="BK489" s="113"/>
      <c r="BL489" s="113"/>
      <c r="BM489" s="113"/>
      <c r="BN489" s="113"/>
      <c r="BO489" s="113"/>
      <c r="BP489" s="121"/>
      <c r="BQ489" s="121"/>
      <c r="GA489" t="s">
        <v>112</v>
      </c>
      <c r="GB489" t="s">
        <v>23004</v>
      </c>
      <c r="GC489" s="46">
        <v>0</v>
      </c>
      <c r="GD489" s="113"/>
      <c r="GE489" s="113"/>
      <c r="GF489" s="113"/>
      <c r="GG489" s="113"/>
      <c r="GH489" s="113"/>
      <c r="GI489" s="46">
        <v>0</v>
      </c>
      <c r="GJ489" s="113"/>
      <c r="GK489" s="113"/>
      <c r="GL489" s="113"/>
      <c r="GM489" s="113"/>
      <c r="GN489" s="113"/>
      <c r="GO489" s="46">
        <v>0</v>
      </c>
      <c r="GP489" s="113"/>
      <c r="GQ489" s="113"/>
      <c r="GR489" s="113"/>
      <c r="GS489" s="113"/>
      <c r="GT489" s="113"/>
      <c r="GU489" s="46">
        <v>0</v>
      </c>
      <c r="GV489" s="113"/>
      <c r="GW489" s="113"/>
      <c r="GX489" s="113"/>
      <c r="GY489" s="113"/>
      <c r="GZ489" s="113"/>
      <c r="HA489" s="46">
        <v>0</v>
      </c>
      <c r="HB489" s="113"/>
      <c r="HC489" s="113"/>
      <c r="HD489" s="113"/>
      <c r="HE489" s="113"/>
      <c r="HF489" s="113"/>
      <c r="HG489" s="46">
        <v>0</v>
      </c>
      <c r="HH489" s="113"/>
      <c r="HI489" s="113"/>
      <c r="HJ489" s="113"/>
      <c r="HK489" s="113"/>
      <c r="HL489" s="113"/>
      <c r="HM489" s="121"/>
      <c r="HN489" s="121"/>
      <c r="LM489" t="str">
        <v/>
      </c>
      <c r="LN489" t="str">
        <v/>
      </c>
      <c r="LO489" t="str">
        <v/>
      </c>
    </row>
    <row r="490" spans="30:327">
      <c r="AD490" t="s">
        <v>112</v>
      </c>
      <c r="AE490" t="s">
        <v>23005</v>
      </c>
      <c r="AF490" s="46">
        <v>0</v>
      </c>
      <c r="AG490" s="113"/>
      <c r="AH490" s="113"/>
      <c r="AI490" s="113"/>
      <c r="AJ490" s="113"/>
      <c r="AK490" s="113"/>
      <c r="AL490" s="46">
        <v>0</v>
      </c>
      <c r="AM490" s="113"/>
      <c r="AN490" s="113"/>
      <c r="AO490" s="113"/>
      <c r="AP490" s="113"/>
      <c r="AQ490" s="113"/>
      <c r="AR490" s="46">
        <v>0</v>
      </c>
      <c r="AS490" s="113"/>
      <c r="AT490" s="113"/>
      <c r="AU490" s="113"/>
      <c r="AV490" s="113"/>
      <c r="AW490" s="113"/>
      <c r="AX490" s="46">
        <v>0</v>
      </c>
      <c r="AY490" s="113"/>
      <c r="AZ490" s="113"/>
      <c r="BA490" s="113"/>
      <c r="BB490" s="113"/>
      <c r="BC490" s="113"/>
      <c r="BD490" s="46">
        <v>0</v>
      </c>
      <c r="BE490" s="113"/>
      <c r="BF490" s="113"/>
      <c r="BG490" s="113"/>
      <c r="BH490" s="113"/>
      <c r="BI490" s="113"/>
      <c r="BJ490" s="46">
        <v>0</v>
      </c>
      <c r="BK490" s="113"/>
      <c r="BL490" s="113"/>
      <c r="BM490" s="113"/>
      <c r="BN490" s="113"/>
      <c r="BO490" s="113"/>
      <c r="BP490" s="121"/>
      <c r="BQ490" s="121"/>
      <c r="GA490" t="s">
        <v>112</v>
      </c>
      <c r="GB490" t="s">
        <v>23005</v>
      </c>
      <c r="GC490" s="46">
        <v>0</v>
      </c>
      <c r="GD490" s="113"/>
      <c r="GE490" s="113"/>
      <c r="GF490" s="113"/>
      <c r="GG490" s="113"/>
      <c r="GH490" s="113"/>
      <c r="GI490" s="46">
        <v>0</v>
      </c>
      <c r="GJ490" s="113"/>
      <c r="GK490" s="113"/>
      <c r="GL490" s="113"/>
      <c r="GM490" s="113"/>
      <c r="GN490" s="113"/>
      <c r="GO490" s="46">
        <v>0</v>
      </c>
      <c r="GP490" s="113"/>
      <c r="GQ490" s="113"/>
      <c r="GR490" s="113"/>
      <c r="GS490" s="113"/>
      <c r="GT490" s="113"/>
      <c r="GU490" s="46">
        <v>0</v>
      </c>
      <c r="GV490" s="113"/>
      <c r="GW490" s="113"/>
      <c r="GX490" s="113"/>
      <c r="GY490" s="113"/>
      <c r="GZ490" s="113"/>
      <c r="HA490" s="46">
        <v>0</v>
      </c>
      <c r="HB490" s="113"/>
      <c r="HC490" s="113"/>
      <c r="HD490" s="113"/>
      <c r="HE490" s="113"/>
      <c r="HF490" s="113"/>
      <c r="HG490" s="46">
        <v>0</v>
      </c>
      <c r="HH490" s="113"/>
      <c r="HI490" s="113"/>
      <c r="HJ490" s="113"/>
      <c r="HK490" s="113"/>
      <c r="HL490" s="113"/>
      <c r="HM490" s="121"/>
      <c r="HN490" s="121"/>
      <c r="LM490" t="str">
        <v/>
      </c>
      <c r="LN490" t="str">
        <v/>
      </c>
      <c r="LO490" t="str">
        <v/>
      </c>
    </row>
    <row r="491" spans="30:327">
      <c r="AD491" t="s">
        <v>112</v>
      </c>
      <c r="AE491" t="s">
        <v>23006</v>
      </c>
      <c r="AF491" s="46">
        <v>0</v>
      </c>
      <c r="AG491" s="113"/>
      <c r="AH491" s="113"/>
      <c r="AI491" s="113"/>
      <c r="AJ491" s="113"/>
      <c r="AK491" s="113"/>
      <c r="AL491" s="46">
        <v>0</v>
      </c>
      <c r="AM491" s="113"/>
      <c r="AN491" s="113"/>
      <c r="AO491" s="113"/>
      <c r="AP491" s="113"/>
      <c r="AQ491" s="113"/>
      <c r="AR491" s="46">
        <v>0</v>
      </c>
      <c r="AS491" s="113"/>
      <c r="AT491" s="113"/>
      <c r="AU491" s="113"/>
      <c r="AV491" s="113"/>
      <c r="AW491" s="113"/>
      <c r="AX491" s="46">
        <v>0</v>
      </c>
      <c r="AY491" s="113"/>
      <c r="AZ491" s="113"/>
      <c r="BA491" s="113"/>
      <c r="BB491" s="113"/>
      <c r="BC491" s="113"/>
      <c r="BD491" s="46">
        <v>0</v>
      </c>
      <c r="BE491" s="113"/>
      <c r="BF491" s="113"/>
      <c r="BG491" s="113"/>
      <c r="BH491" s="113"/>
      <c r="BI491" s="113"/>
      <c r="BJ491" s="46">
        <v>0</v>
      </c>
      <c r="BK491" s="113"/>
      <c r="BL491" s="113"/>
      <c r="BM491" s="113"/>
      <c r="BN491" s="113"/>
      <c r="BO491" s="113"/>
      <c r="BP491" s="121"/>
      <c r="BQ491" s="121"/>
      <c r="GA491" t="s">
        <v>112</v>
      </c>
      <c r="GB491" t="s">
        <v>23006</v>
      </c>
      <c r="GC491" s="46">
        <v>0</v>
      </c>
      <c r="GD491" s="113"/>
      <c r="GE491" s="113"/>
      <c r="GF491" s="113"/>
      <c r="GG491" s="113"/>
      <c r="GH491" s="113"/>
      <c r="GI491" s="46">
        <v>0</v>
      </c>
      <c r="GJ491" s="113"/>
      <c r="GK491" s="113"/>
      <c r="GL491" s="113"/>
      <c r="GM491" s="113"/>
      <c r="GN491" s="113"/>
      <c r="GO491" s="46">
        <v>0</v>
      </c>
      <c r="GP491" s="113"/>
      <c r="GQ491" s="113"/>
      <c r="GR491" s="113"/>
      <c r="GS491" s="113"/>
      <c r="GT491" s="113"/>
      <c r="GU491" s="46">
        <v>0</v>
      </c>
      <c r="GV491" s="113"/>
      <c r="GW491" s="113"/>
      <c r="GX491" s="113"/>
      <c r="GY491" s="113"/>
      <c r="GZ491" s="113"/>
      <c r="HA491" s="46">
        <v>0</v>
      </c>
      <c r="HB491" s="113"/>
      <c r="HC491" s="113"/>
      <c r="HD491" s="113"/>
      <c r="HE491" s="113"/>
      <c r="HF491" s="113"/>
      <c r="HG491" s="46">
        <v>0</v>
      </c>
      <c r="HH491" s="113"/>
      <c r="HI491" s="113"/>
      <c r="HJ491" s="113"/>
      <c r="HK491" s="113"/>
      <c r="HL491" s="113"/>
      <c r="HM491" s="121"/>
      <c r="HN491" s="121"/>
      <c r="LM491" t="str">
        <v/>
      </c>
      <c r="LN491" t="str">
        <v/>
      </c>
      <c r="LO491" t="str">
        <v/>
      </c>
    </row>
    <row r="492" spans="30:327">
      <c r="AD492" t="s">
        <v>112</v>
      </c>
      <c r="AE492" t="s">
        <v>23007</v>
      </c>
      <c r="AF492" s="46">
        <v>0</v>
      </c>
      <c r="AG492" s="113"/>
      <c r="AH492" s="113"/>
      <c r="AI492" s="113"/>
      <c r="AJ492" s="113"/>
      <c r="AK492" s="113"/>
      <c r="AL492" s="46">
        <v>0</v>
      </c>
      <c r="AM492" s="113"/>
      <c r="AN492" s="113"/>
      <c r="AO492" s="113"/>
      <c r="AP492" s="113"/>
      <c r="AQ492" s="113"/>
      <c r="AR492" s="46">
        <v>0</v>
      </c>
      <c r="AS492" s="113"/>
      <c r="AT492" s="113"/>
      <c r="AU492" s="113"/>
      <c r="AV492" s="113"/>
      <c r="AW492" s="113"/>
      <c r="AX492" s="46">
        <v>0</v>
      </c>
      <c r="AY492" s="113"/>
      <c r="AZ492" s="113"/>
      <c r="BA492" s="113"/>
      <c r="BB492" s="113"/>
      <c r="BC492" s="113"/>
      <c r="BD492" s="46">
        <v>0</v>
      </c>
      <c r="BE492" s="113"/>
      <c r="BF492" s="113"/>
      <c r="BG492" s="113"/>
      <c r="BH492" s="113"/>
      <c r="BI492" s="113"/>
      <c r="BJ492" s="46">
        <v>0</v>
      </c>
      <c r="BK492" s="113"/>
      <c r="BL492" s="113"/>
      <c r="BM492" s="113"/>
      <c r="BN492" s="113"/>
      <c r="BO492" s="113"/>
      <c r="BP492" s="121"/>
      <c r="BQ492" s="121"/>
      <c r="GA492" t="s">
        <v>112</v>
      </c>
      <c r="GB492" t="s">
        <v>23007</v>
      </c>
      <c r="GC492" s="46">
        <v>0</v>
      </c>
      <c r="GD492" s="113"/>
      <c r="GE492" s="113"/>
      <c r="GF492" s="113"/>
      <c r="GG492" s="113"/>
      <c r="GH492" s="113"/>
      <c r="GI492" s="46">
        <v>0</v>
      </c>
      <c r="GJ492" s="113"/>
      <c r="GK492" s="113"/>
      <c r="GL492" s="113"/>
      <c r="GM492" s="113"/>
      <c r="GN492" s="113"/>
      <c r="GO492" s="46">
        <v>0</v>
      </c>
      <c r="GP492" s="113"/>
      <c r="GQ492" s="113"/>
      <c r="GR492" s="113"/>
      <c r="GS492" s="113"/>
      <c r="GT492" s="113"/>
      <c r="GU492" s="46">
        <v>0</v>
      </c>
      <c r="GV492" s="113"/>
      <c r="GW492" s="113"/>
      <c r="GX492" s="113"/>
      <c r="GY492" s="113"/>
      <c r="GZ492" s="113"/>
      <c r="HA492" s="46">
        <v>0</v>
      </c>
      <c r="HB492" s="113"/>
      <c r="HC492" s="113"/>
      <c r="HD492" s="113"/>
      <c r="HE492" s="113"/>
      <c r="HF492" s="113"/>
      <c r="HG492" s="46">
        <v>0</v>
      </c>
      <c r="HH492" s="113"/>
      <c r="HI492" s="113"/>
      <c r="HJ492" s="113"/>
      <c r="HK492" s="113"/>
      <c r="HL492" s="113"/>
      <c r="HM492" s="121"/>
      <c r="HN492" s="121"/>
      <c r="LM492" t="str">
        <v/>
      </c>
      <c r="LN492" t="str">
        <v/>
      </c>
      <c r="LO492" t="str">
        <v/>
      </c>
    </row>
    <row r="493" spans="30:327">
      <c r="AD493" t="s">
        <v>112</v>
      </c>
      <c r="AE493" t="s">
        <v>23008</v>
      </c>
      <c r="AF493" s="46">
        <v>0</v>
      </c>
      <c r="AG493" s="113"/>
      <c r="AH493" s="113"/>
      <c r="AI493" s="113"/>
      <c r="AJ493" s="113"/>
      <c r="AK493" s="113"/>
      <c r="AL493" s="46">
        <v>0</v>
      </c>
      <c r="AM493" s="113"/>
      <c r="AN493" s="113"/>
      <c r="AO493" s="113"/>
      <c r="AP493" s="113"/>
      <c r="AQ493" s="113"/>
      <c r="AR493" s="46">
        <v>0</v>
      </c>
      <c r="AS493" s="113"/>
      <c r="AT493" s="113"/>
      <c r="AU493" s="113"/>
      <c r="AV493" s="113"/>
      <c r="AW493" s="113"/>
      <c r="AX493" s="46">
        <v>0</v>
      </c>
      <c r="AY493" s="113"/>
      <c r="AZ493" s="113"/>
      <c r="BA493" s="113"/>
      <c r="BB493" s="113"/>
      <c r="BC493" s="113"/>
      <c r="BD493" s="46">
        <v>0</v>
      </c>
      <c r="BE493" s="113"/>
      <c r="BF493" s="113"/>
      <c r="BG493" s="113"/>
      <c r="BH493" s="113"/>
      <c r="BI493" s="113"/>
      <c r="BJ493" s="46">
        <v>0</v>
      </c>
      <c r="BK493" s="113"/>
      <c r="BL493" s="113"/>
      <c r="BM493" s="113"/>
      <c r="BN493" s="113"/>
      <c r="BO493" s="113"/>
      <c r="BP493" s="121"/>
      <c r="BQ493" s="121"/>
      <c r="GA493" t="s">
        <v>112</v>
      </c>
      <c r="GB493" t="s">
        <v>23008</v>
      </c>
      <c r="GC493" s="46">
        <v>0</v>
      </c>
      <c r="GD493" s="113"/>
      <c r="GE493" s="113"/>
      <c r="GF493" s="113"/>
      <c r="GG493" s="113"/>
      <c r="GH493" s="113"/>
      <c r="GI493" s="46">
        <v>0</v>
      </c>
      <c r="GJ493" s="113"/>
      <c r="GK493" s="113"/>
      <c r="GL493" s="113"/>
      <c r="GM493" s="113"/>
      <c r="GN493" s="113"/>
      <c r="GO493" s="46">
        <v>0</v>
      </c>
      <c r="GP493" s="113"/>
      <c r="GQ493" s="113"/>
      <c r="GR493" s="113"/>
      <c r="GS493" s="113"/>
      <c r="GT493" s="113"/>
      <c r="GU493" s="46">
        <v>0</v>
      </c>
      <c r="GV493" s="113"/>
      <c r="GW493" s="113"/>
      <c r="GX493" s="113"/>
      <c r="GY493" s="113"/>
      <c r="GZ493" s="113"/>
      <c r="HA493" s="46">
        <v>0</v>
      </c>
      <c r="HB493" s="113"/>
      <c r="HC493" s="113"/>
      <c r="HD493" s="113"/>
      <c r="HE493" s="113"/>
      <c r="HF493" s="113"/>
      <c r="HG493" s="46">
        <v>0</v>
      </c>
      <c r="HH493" s="113"/>
      <c r="HI493" s="113"/>
      <c r="HJ493" s="113"/>
      <c r="HK493" s="113"/>
      <c r="HL493" s="113"/>
      <c r="HM493" s="121"/>
      <c r="HN493" s="121"/>
      <c r="LM493" t="str">
        <v/>
      </c>
      <c r="LN493" t="str">
        <v/>
      </c>
      <c r="LO493" t="str">
        <v/>
      </c>
    </row>
    <row r="494" spans="30:327">
      <c r="AD494" t="s">
        <v>112</v>
      </c>
      <c r="AE494" t="s">
        <v>23009</v>
      </c>
      <c r="AF494" s="46">
        <v>0</v>
      </c>
      <c r="AG494" s="113"/>
      <c r="AH494" s="113"/>
      <c r="AI494" s="113"/>
      <c r="AJ494" s="113"/>
      <c r="AK494" s="113"/>
      <c r="AL494" s="46">
        <v>0</v>
      </c>
      <c r="AM494" s="113"/>
      <c r="AN494" s="113"/>
      <c r="AO494" s="113"/>
      <c r="AP494" s="113"/>
      <c r="AQ494" s="113"/>
      <c r="AR494" s="46">
        <v>0</v>
      </c>
      <c r="AS494" s="113"/>
      <c r="AT494" s="113"/>
      <c r="AU494" s="113"/>
      <c r="AV494" s="113"/>
      <c r="AW494" s="113"/>
      <c r="AX494" s="46">
        <v>0</v>
      </c>
      <c r="AY494" s="113"/>
      <c r="AZ494" s="113"/>
      <c r="BA494" s="113"/>
      <c r="BB494" s="113"/>
      <c r="BC494" s="113"/>
      <c r="BD494" s="46">
        <v>0</v>
      </c>
      <c r="BE494" s="113"/>
      <c r="BF494" s="113"/>
      <c r="BG494" s="113"/>
      <c r="BH494" s="113"/>
      <c r="BI494" s="113"/>
      <c r="BJ494" s="46">
        <v>0</v>
      </c>
      <c r="BK494" s="113"/>
      <c r="BL494" s="113"/>
      <c r="BM494" s="113"/>
      <c r="BN494" s="113"/>
      <c r="BO494" s="113"/>
      <c r="BP494" s="121"/>
      <c r="BQ494" s="121"/>
      <c r="GA494" t="s">
        <v>112</v>
      </c>
      <c r="GB494" t="s">
        <v>23009</v>
      </c>
      <c r="GC494" s="46">
        <v>0</v>
      </c>
      <c r="GD494" s="113"/>
      <c r="GE494" s="113"/>
      <c r="GF494" s="113"/>
      <c r="GG494" s="113"/>
      <c r="GH494" s="113"/>
      <c r="GI494" s="46">
        <v>0</v>
      </c>
      <c r="GJ494" s="113"/>
      <c r="GK494" s="113"/>
      <c r="GL494" s="113"/>
      <c r="GM494" s="113"/>
      <c r="GN494" s="113"/>
      <c r="GO494" s="46">
        <v>0</v>
      </c>
      <c r="GP494" s="113"/>
      <c r="GQ494" s="113"/>
      <c r="GR494" s="113"/>
      <c r="GS494" s="113"/>
      <c r="GT494" s="113"/>
      <c r="GU494" s="46">
        <v>0</v>
      </c>
      <c r="GV494" s="113"/>
      <c r="GW494" s="113"/>
      <c r="GX494" s="113"/>
      <c r="GY494" s="113"/>
      <c r="GZ494" s="113"/>
      <c r="HA494" s="46">
        <v>0</v>
      </c>
      <c r="HB494" s="113"/>
      <c r="HC494" s="113"/>
      <c r="HD494" s="113"/>
      <c r="HE494" s="113"/>
      <c r="HF494" s="113"/>
      <c r="HG494" s="46">
        <v>0</v>
      </c>
      <c r="HH494" s="113"/>
      <c r="HI494" s="113"/>
      <c r="HJ494" s="113"/>
      <c r="HK494" s="113"/>
      <c r="HL494" s="113"/>
      <c r="HM494" s="121"/>
      <c r="HN494" s="121"/>
      <c r="LM494" t="str">
        <v/>
      </c>
      <c r="LN494" t="str">
        <v/>
      </c>
      <c r="LO494" t="str">
        <v/>
      </c>
    </row>
    <row r="495" spans="30:327">
      <c r="AD495" t="s">
        <v>112</v>
      </c>
      <c r="AE495" t="s">
        <v>23010</v>
      </c>
      <c r="AF495" s="46">
        <v>0</v>
      </c>
      <c r="AG495" s="113"/>
      <c r="AH495" s="113"/>
      <c r="AI495" s="113"/>
      <c r="AJ495" s="113"/>
      <c r="AK495" s="113"/>
      <c r="AL495" s="46">
        <v>0</v>
      </c>
      <c r="AM495" s="113"/>
      <c r="AN495" s="113"/>
      <c r="AO495" s="113"/>
      <c r="AP495" s="113"/>
      <c r="AQ495" s="113"/>
      <c r="AR495" s="46">
        <v>0</v>
      </c>
      <c r="AS495" s="113"/>
      <c r="AT495" s="113"/>
      <c r="AU495" s="113"/>
      <c r="AV495" s="113"/>
      <c r="AW495" s="113"/>
      <c r="AX495" s="46">
        <v>0</v>
      </c>
      <c r="AY495" s="113"/>
      <c r="AZ495" s="113"/>
      <c r="BA495" s="113"/>
      <c r="BB495" s="113"/>
      <c r="BC495" s="113"/>
      <c r="BD495" s="46">
        <v>0</v>
      </c>
      <c r="BE495" s="113"/>
      <c r="BF495" s="113"/>
      <c r="BG495" s="113"/>
      <c r="BH495" s="113"/>
      <c r="BI495" s="113"/>
      <c r="BJ495" s="46">
        <v>0</v>
      </c>
      <c r="BK495" s="113"/>
      <c r="BL495" s="113"/>
      <c r="BM495" s="113"/>
      <c r="BN495" s="113"/>
      <c r="BO495" s="113"/>
      <c r="BP495" s="121"/>
      <c r="BQ495" s="121"/>
      <c r="GA495" t="s">
        <v>112</v>
      </c>
      <c r="GB495" t="s">
        <v>23010</v>
      </c>
      <c r="GC495" s="46">
        <v>0</v>
      </c>
      <c r="GD495" s="113"/>
      <c r="GE495" s="113"/>
      <c r="GF495" s="113"/>
      <c r="GG495" s="113"/>
      <c r="GH495" s="113"/>
      <c r="GI495" s="46">
        <v>0</v>
      </c>
      <c r="GJ495" s="113"/>
      <c r="GK495" s="113"/>
      <c r="GL495" s="113"/>
      <c r="GM495" s="113"/>
      <c r="GN495" s="113"/>
      <c r="GO495" s="46">
        <v>0</v>
      </c>
      <c r="GP495" s="113"/>
      <c r="GQ495" s="113"/>
      <c r="GR495" s="113"/>
      <c r="GS495" s="113"/>
      <c r="GT495" s="113"/>
      <c r="GU495" s="46">
        <v>0</v>
      </c>
      <c r="GV495" s="113"/>
      <c r="GW495" s="113"/>
      <c r="GX495" s="113"/>
      <c r="GY495" s="113"/>
      <c r="GZ495" s="113"/>
      <c r="HA495" s="46">
        <v>0</v>
      </c>
      <c r="HB495" s="113"/>
      <c r="HC495" s="113"/>
      <c r="HD495" s="113"/>
      <c r="HE495" s="113"/>
      <c r="HF495" s="113"/>
      <c r="HG495" s="46">
        <v>0</v>
      </c>
      <c r="HH495" s="113"/>
      <c r="HI495" s="113"/>
      <c r="HJ495" s="113"/>
      <c r="HK495" s="113"/>
      <c r="HL495" s="113"/>
      <c r="HM495" s="121"/>
      <c r="HN495" s="121"/>
      <c r="LM495" t="str">
        <v/>
      </c>
      <c r="LN495" t="str">
        <v/>
      </c>
      <c r="LO495" t="str">
        <v/>
      </c>
    </row>
    <row r="496" spans="30:327">
      <c r="AD496" t="s">
        <v>112</v>
      </c>
      <c r="AE496" t="s">
        <v>23011</v>
      </c>
      <c r="AF496" s="46">
        <v>0</v>
      </c>
      <c r="AG496" s="113"/>
      <c r="AH496" s="113"/>
      <c r="AI496" s="113"/>
      <c r="AJ496" s="113"/>
      <c r="AK496" s="113"/>
      <c r="AL496" s="46">
        <v>0</v>
      </c>
      <c r="AM496" s="113"/>
      <c r="AN496" s="113"/>
      <c r="AO496" s="113"/>
      <c r="AP496" s="113"/>
      <c r="AQ496" s="113"/>
      <c r="AR496" s="46">
        <v>0</v>
      </c>
      <c r="AS496" s="113"/>
      <c r="AT496" s="113"/>
      <c r="AU496" s="113"/>
      <c r="AV496" s="113"/>
      <c r="AW496" s="113"/>
      <c r="AX496" s="46">
        <v>0</v>
      </c>
      <c r="AY496" s="113"/>
      <c r="AZ496" s="113"/>
      <c r="BA496" s="113"/>
      <c r="BB496" s="113"/>
      <c r="BC496" s="113"/>
      <c r="BD496" s="46">
        <v>0</v>
      </c>
      <c r="BE496" s="113"/>
      <c r="BF496" s="113"/>
      <c r="BG496" s="113"/>
      <c r="BH496" s="113"/>
      <c r="BI496" s="113"/>
      <c r="BJ496" s="46">
        <v>0</v>
      </c>
      <c r="BK496" s="113"/>
      <c r="BL496" s="113"/>
      <c r="BM496" s="113"/>
      <c r="BN496" s="113"/>
      <c r="BO496" s="113"/>
      <c r="BP496" s="121"/>
      <c r="BQ496" s="121"/>
      <c r="GA496" t="s">
        <v>112</v>
      </c>
      <c r="GB496" t="s">
        <v>23011</v>
      </c>
      <c r="GC496" s="46">
        <v>0</v>
      </c>
      <c r="GD496" s="113"/>
      <c r="GE496" s="113"/>
      <c r="GF496" s="113"/>
      <c r="GG496" s="113"/>
      <c r="GH496" s="113"/>
      <c r="GI496" s="46">
        <v>0</v>
      </c>
      <c r="GJ496" s="113"/>
      <c r="GK496" s="113"/>
      <c r="GL496" s="113"/>
      <c r="GM496" s="113"/>
      <c r="GN496" s="113"/>
      <c r="GO496" s="46">
        <v>0</v>
      </c>
      <c r="GP496" s="113"/>
      <c r="GQ496" s="113"/>
      <c r="GR496" s="113"/>
      <c r="GS496" s="113"/>
      <c r="GT496" s="113"/>
      <c r="GU496" s="46">
        <v>0</v>
      </c>
      <c r="GV496" s="113"/>
      <c r="GW496" s="113"/>
      <c r="GX496" s="113"/>
      <c r="GY496" s="113"/>
      <c r="GZ496" s="113"/>
      <c r="HA496" s="46">
        <v>0</v>
      </c>
      <c r="HB496" s="113"/>
      <c r="HC496" s="113"/>
      <c r="HD496" s="113"/>
      <c r="HE496" s="113"/>
      <c r="HF496" s="113"/>
      <c r="HG496" s="46">
        <v>0</v>
      </c>
      <c r="HH496" s="113"/>
      <c r="HI496" s="113"/>
      <c r="HJ496" s="113"/>
      <c r="HK496" s="113"/>
      <c r="HL496" s="113"/>
      <c r="HM496" s="121"/>
      <c r="HN496" s="121"/>
      <c r="LM496" t="str">
        <v/>
      </c>
      <c r="LN496" t="str">
        <v/>
      </c>
      <c r="LO496" t="str">
        <v/>
      </c>
    </row>
    <row r="497" spans="30:327">
      <c r="AD497" t="s">
        <v>112</v>
      </c>
      <c r="AE497" t="s">
        <v>23012</v>
      </c>
      <c r="AF497" s="46">
        <v>0</v>
      </c>
      <c r="AG497" s="113"/>
      <c r="AH497" s="113"/>
      <c r="AI497" s="113"/>
      <c r="AJ497" s="113"/>
      <c r="AK497" s="113"/>
      <c r="AL497" s="46">
        <v>0</v>
      </c>
      <c r="AM497" s="113"/>
      <c r="AN497" s="113"/>
      <c r="AO497" s="113"/>
      <c r="AP497" s="113"/>
      <c r="AQ497" s="113"/>
      <c r="AR497" s="46">
        <v>0</v>
      </c>
      <c r="AS497" s="113"/>
      <c r="AT497" s="113"/>
      <c r="AU497" s="113"/>
      <c r="AV497" s="113"/>
      <c r="AW497" s="113"/>
      <c r="AX497" s="46">
        <v>0</v>
      </c>
      <c r="AY497" s="113"/>
      <c r="AZ497" s="113"/>
      <c r="BA497" s="113"/>
      <c r="BB497" s="113"/>
      <c r="BC497" s="113"/>
      <c r="BD497" s="46">
        <v>0</v>
      </c>
      <c r="BE497" s="113"/>
      <c r="BF497" s="113"/>
      <c r="BG497" s="113"/>
      <c r="BH497" s="113"/>
      <c r="BI497" s="113"/>
      <c r="BJ497" s="46">
        <v>0</v>
      </c>
      <c r="BK497" s="113"/>
      <c r="BL497" s="113"/>
      <c r="BM497" s="113"/>
      <c r="BN497" s="113"/>
      <c r="BO497" s="113"/>
      <c r="BP497" s="121"/>
      <c r="BQ497" s="121"/>
      <c r="GA497" t="s">
        <v>112</v>
      </c>
      <c r="GB497" t="s">
        <v>23012</v>
      </c>
      <c r="GC497" s="46">
        <v>0</v>
      </c>
      <c r="GD497" s="113"/>
      <c r="GE497" s="113"/>
      <c r="GF497" s="113"/>
      <c r="GG497" s="113"/>
      <c r="GH497" s="113"/>
      <c r="GI497" s="46">
        <v>0</v>
      </c>
      <c r="GJ497" s="113"/>
      <c r="GK497" s="113"/>
      <c r="GL497" s="113"/>
      <c r="GM497" s="113"/>
      <c r="GN497" s="113"/>
      <c r="GO497" s="46">
        <v>0</v>
      </c>
      <c r="GP497" s="113"/>
      <c r="GQ497" s="113"/>
      <c r="GR497" s="113"/>
      <c r="GS497" s="113"/>
      <c r="GT497" s="113"/>
      <c r="GU497" s="46">
        <v>0</v>
      </c>
      <c r="GV497" s="113"/>
      <c r="GW497" s="113"/>
      <c r="GX497" s="113"/>
      <c r="GY497" s="113"/>
      <c r="GZ497" s="113"/>
      <c r="HA497" s="46">
        <v>0</v>
      </c>
      <c r="HB497" s="113"/>
      <c r="HC497" s="113"/>
      <c r="HD497" s="113"/>
      <c r="HE497" s="113"/>
      <c r="HF497" s="113"/>
      <c r="HG497" s="46">
        <v>0</v>
      </c>
      <c r="HH497" s="113"/>
      <c r="HI497" s="113"/>
      <c r="HJ497" s="113"/>
      <c r="HK497" s="113"/>
      <c r="HL497" s="113"/>
      <c r="HM497" s="121"/>
      <c r="HN497" s="121"/>
      <c r="LM497" t="str">
        <v/>
      </c>
      <c r="LN497" t="str">
        <v/>
      </c>
      <c r="LO497" t="str">
        <v/>
      </c>
    </row>
    <row r="498" spans="30:327">
      <c r="AD498" t="s">
        <v>112</v>
      </c>
      <c r="AE498" t="s">
        <v>23013</v>
      </c>
      <c r="AF498" s="46">
        <v>0</v>
      </c>
      <c r="AG498" s="113"/>
      <c r="AH498" s="113"/>
      <c r="AI498" s="113"/>
      <c r="AJ498" s="113"/>
      <c r="AK498" s="113"/>
      <c r="AL498" s="46">
        <v>0</v>
      </c>
      <c r="AM498" s="113"/>
      <c r="AN498" s="113"/>
      <c r="AO498" s="113"/>
      <c r="AP498" s="113"/>
      <c r="AQ498" s="113"/>
      <c r="AR498" s="46">
        <v>0</v>
      </c>
      <c r="AS498" s="113"/>
      <c r="AT498" s="113"/>
      <c r="AU498" s="113"/>
      <c r="AV498" s="113"/>
      <c r="AW498" s="113"/>
      <c r="AX498" s="46">
        <v>0</v>
      </c>
      <c r="AY498" s="113"/>
      <c r="AZ498" s="113"/>
      <c r="BA498" s="113"/>
      <c r="BB498" s="113"/>
      <c r="BC498" s="113"/>
      <c r="BD498" s="46">
        <v>0</v>
      </c>
      <c r="BE498" s="113"/>
      <c r="BF498" s="113"/>
      <c r="BG498" s="113"/>
      <c r="BH498" s="113"/>
      <c r="BI498" s="113"/>
      <c r="BJ498" s="46">
        <v>0</v>
      </c>
      <c r="BK498" s="113"/>
      <c r="BL498" s="113"/>
      <c r="BM498" s="113"/>
      <c r="BN498" s="113"/>
      <c r="BO498" s="113"/>
      <c r="BP498" s="121"/>
      <c r="BQ498" s="121"/>
      <c r="GA498" t="s">
        <v>112</v>
      </c>
      <c r="GB498" t="s">
        <v>23013</v>
      </c>
      <c r="GC498" s="46">
        <v>0</v>
      </c>
      <c r="GD498" s="113"/>
      <c r="GE498" s="113"/>
      <c r="GF498" s="113"/>
      <c r="GG498" s="113"/>
      <c r="GH498" s="113"/>
      <c r="GI498" s="46">
        <v>0</v>
      </c>
      <c r="GJ498" s="113"/>
      <c r="GK498" s="113"/>
      <c r="GL498" s="113"/>
      <c r="GM498" s="113"/>
      <c r="GN498" s="113"/>
      <c r="GO498" s="46">
        <v>0</v>
      </c>
      <c r="GP498" s="113"/>
      <c r="GQ498" s="113"/>
      <c r="GR498" s="113"/>
      <c r="GS498" s="113"/>
      <c r="GT498" s="113"/>
      <c r="GU498" s="46">
        <v>0</v>
      </c>
      <c r="GV498" s="113"/>
      <c r="GW498" s="113"/>
      <c r="GX498" s="113"/>
      <c r="GY498" s="113"/>
      <c r="GZ498" s="113"/>
      <c r="HA498" s="46">
        <v>0</v>
      </c>
      <c r="HB498" s="113"/>
      <c r="HC498" s="113"/>
      <c r="HD498" s="113"/>
      <c r="HE498" s="113"/>
      <c r="HF498" s="113"/>
      <c r="HG498" s="46">
        <v>0</v>
      </c>
      <c r="HH498" s="113"/>
      <c r="HI498" s="113"/>
      <c r="HJ498" s="113"/>
      <c r="HK498" s="113"/>
      <c r="HL498" s="113"/>
      <c r="HM498" s="121"/>
      <c r="HN498" s="121"/>
      <c r="LM498" t="str">
        <v/>
      </c>
      <c r="LN498" t="str">
        <v/>
      </c>
      <c r="LO498" t="str">
        <v/>
      </c>
    </row>
    <row r="499" spans="30:327">
      <c r="AD499" t="s">
        <v>112</v>
      </c>
      <c r="AE499" t="s">
        <v>23014</v>
      </c>
      <c r="AF499" s="46">
        <v>0</v>
      </c>
      <c r="AG499" s="113"/>
      <c r="AH499" s="113"/>
      <c r="AI499" s="113"/>
      <c r="AJ499" s="113"/>
      <c r="AK499" s="113"/>
      <c r="AL499" s="46">
        <v>0</v>
      </c>
      <c r="AM499" s="113"/>
      <c r="AN499" s="113"/>
      <c r="AO499" s="113"/>
      <c r="AP499" s="113"/>
      <c r="AQ499" s="113"/>
      <c r="AR499" s="46">
        <v>0</v>
      </c>
      <c r="AS499" s="113"/>
      <c r="AT499" s="113"/>
      <c r="AU499" s="113"/>
      <c r="AV499" s="113"/>
      <c r="AW499" s="113"/>
      <c r="AX499" s="46">
        <v>0</v>
      </c>
      <c r="AY499" s="113"/>
      <c r="AZ499" s="113"/>
      <c r="BA499" s="113"/>
      <c r="BB499" s="113"/>
      <c r="BC499" s="113"/>
      <c r="BD499" s="46">
        <v>0</v>
      </c>
      <c r="BE499" s="113"/>
      <c r="BF499" s="113"/>
      <c r="BG499" s="113"/>
      <c r="BH499" s="113"/>
      <c r="BI499" s="113"/>
      <c r="BJ499" s="46">
        <v>0</v>
      </c>
      <c r="BK499" s="113"/>
      <c r="BL499" s="113"/>
      <c r="BM499" s="113"/>
      <c r="BN499" s="113"/>
      <c r="BO499" s="113"/>
      <c r="BP499" s="121"/>
      <c r="BQ499" s="121"/>
      <c r="GA499" t="s">
        <v>112</v>
      </c>
      <c r="GB499" t="s">
        <v>23014</v>
      </c>
      <c r="GC499" s="46">
        <v>0</v>
      </c>
      <c r="GD499" s="113"/>
      <c r="GE499" s="113"/>
      <c r="GF499" s="113"/>
      <c r="GG499" s="113"/>
      <c r="GH499" s="113"/>
      <c r="GI499" s="46">
        <v>0</v>
      </c>
      <c r="GJ499" s="113"/>
      <c r="GK499" s="113"/>
      <c r="GL499" s="113"/>
      <c r="GM499" s="113"/>
      <c r="GN499" s="113"/>
      <c r="GO499" s="46">
        <v>0</v>
      </c>
      <c r="GP499" s="113"/>
      <c r="GQ499" s="113"/>
      <c r="GR499" s="113"/>
      <c r="GS499" s="113"/>
      <c r="GT499" s="113"/>
      <c r="GU499" s="46">
        <v>0</v>
      </c>
      <c r="GV499" s="113"/>
      <c r="GW499" s="113"/>
      <c r="GX499" s="113"/>
      <c r="GY499" s="113"/>
      <c r="GZ499" s="113"/>
      <c r="HA499" s="46">
        <v>0</v>
      </c>
      <c r="HB499" s="113"/>
      <c r="HC499" s="113"/>
      <c r="HD499" s="113"/>
      <c r="HE499" s="113"/>
      <c r="HF499" s="113"/>
      <c r="HG499" s="46">
        <v>0</v>
      </c>
      <c r="HH499" s="113"/>
      <c r="HI499" s="113"/>
      <c r="HJ499" s="113"/>
      <c r="HK499" s="113"/>
      <c r="HL499" s="113"/>
      <c r="HM499" s="121"/>
      <c r="HN499" s="121"/>
      <c r="LM499" t="str">
        <v/>
      </c>
      <c r="LN499" t="str">
        <v/>
      </c>
      <c r="LO499" t="str">
        <v/>
      </c>
    </row>
    <row r="500" spans="30:327">
      <c r="AD500" t="s">
        <v>112</v>
      </c>
      <c r="AE500" t="s">
        <v>23015</v>
      </c>
      <c r="AF500" s="46">
        <v>0</v>
      </c>
      <c r="AG500" s="113"/>
      <c r="AH500" s="113"/>
      <c r="AI500" s="113"/>
      <c r="AJ500" s="113"/>
      <c r="AK500" s="113"/>
      <c r="AL500" s="46">
        <v>0</v>
      </c>
      <c r="AM500" s="113"/>
      <c r="AN500" s="113"/>
      <c r="AO500" s="113"/>
      <c r="AP500" s="113"/>
      <c r="AQ500" s="113"/>
      <c r="AR500" s="46">
        <v>0</v>
      </c>
      <c r="AS500" s="113"/>
      <c r="AT500" s="113"/>
      <c r="AU500" s="113"/>
      <c r="AV500" s="113"/>
      <c r="AW500" s="113"/>
      <c r="AX500" s="46">
        <v>0</v>
      </c>
      <c r="AY500" s="113"/>
      <c r="AZ500" s="113"/>
      <c r="BA500" s="113"/>
      <c r="BB500" s="113"/>
      <c r="BC500" s="113"/>
      <c r="BD500" s="46">
        <v>0</v>
      </c>
      <c r="BE500" s="113"/>
      <c r="BF500" s="113"/>
      <c r="BG500" s="113"/>
      <c r="BH500" s="113"/>
      <c r="BI500" s="113"/>
      <c r="BJ500" s="46">
        <v>0</v>
      </c>
      <c r="BK500" s="113"/>
      <c r="BL500" s="113"/>
      <c r="BM500" s="113"/>
      <c r="BN500" s="113"/>
      <c r="BO500" s="113"/>
      <c r="BP500" s="121"/>
      <c r="BQ500" s="121"/>
      <c r="GA500" t="s">
        <v>112</v>
      </c>
      <c r="GB500" t="s">
        <v>23015</v>
      </c>
      <c r="GC500" s="46">
        <v>0</v>
      </c>
      <c r="GD500" s="113"/>
      <c r="GE500" s="113"/>
      <c r="GF500" s="113"/>
      <c r="GG500" s="113"/>
      <c r="GH500" s="113"/>
      <c r="GI500" s="46">
        <v>0</v>
      </c>
      <c r="GJ500" s="113"/>
      <c r="GK500" s="113"/>
      <c r="GL500" s="113"/>
      <c r="GM500" s="113"/>
      <c r="GN500" s="113"/>
      <c r="GO500" s="46">
        <v>0</v>
      </c>
      <c r="GP500" s="113"/>
      <c r="GQ500" s="113"/>
      <c r="GR500" s="113"/>
      <c r="GS500" s="113"/>
      <c r="GT500" s="113"/>
      <c r="GU500" s="46">
        <v>0</v>
      </c>
      <c r="GV500" s="113"/>
      <c r="GW500" s="113"/>
      <c r="GX500" s="113"/>
      <c r="GY500" s="113"/>
      <c r="GZ500" s="113"/>
      <c r="HA500" s="46">
        <v>0</v>
      </c>
      <c r="HB500" s="113"/>
      <c r="HC500" s="113"/>
      <c r="HD500" s="113"/>
      <c r="HE500" s="113"/>
      <c r="HF500" s="113"/>
      <c r="HG500" s="46">
        <v>0</v>
      </c>
      <c r="HH500" s="113"/>
      <c r="HI500" s="113"/>
      <c r="HJ500" s="113"/>
      <c r="HK500" s="113"/>
      <c r="HL500" s="113"/>
      <c r="HM500" s="121"/>
      <c r="HN500" s="121"/>
      <c r="LM500" t="str">
        <v/>
      </c>
      <c r="LN500" t="str">
        <v/>
      </c>
      <c r="LO500" t="str">
        <v/>
      </c>
    </row>
    <row r="501" spans="30:327">
      <c r="AD501" t="s">
        <v>112</v>
      </c>
      <c r="AE501" t="s">
        <v>23016</v>
      </c>
      <c r="AF501" s="46">
        <v>0</v>
      </c>
      <c r="AG501" s="113"/>
      <c r="AH501" s="113"/>
      <c r="AI501" s="113"/>
      <c r="AJ501" s="113"/>
      <c r="AK501" s="113"/>
      <c r="AL501" s="46">
        <v>0</v>
      </c>
      <c r="AM501" s="113"/>
      <c r="AN501" s="113"/>
      <c r="AO501" s="113"/>
      <c r="AP501" s="113"/>
      <c r="AQ501" s="113"/>
      <c r="AR501" s="46">
        <v>0</v>
      </c>
      <c r="AS501" s="113"/>
      <c r="AT501" s="113"/>
      <c r="AU501" s="113"/>
      <c r="AV501" s="113"/>
      <c r="AW501" s="113"/>
      <c r="AX501" s="46">
        <v>0</v>
      </c>
      <c r="AY501" s="113"/>
      <c r="AZ501" s="113"/>
      <c r="BA501" s="113"/>
      <c r="BB501" s="113"/>
      <c r="BC501" s="113"/>
      <c r="BD501" s="46">
        <v>0</v>
      </c>
      <c r="BE501" s="113"/>
      <c r="BF501" s="113"/>
      <c r="BG501" s="113"/>
      <c r="BH501" s="113"/>
      <c r="BI501" s="113"/>
      <c r="BJ501" s="46">
        <v>0</v>
      </c>
      <c r="BK501" s="113"/>
      <c r="BL501" s="113"/>
      <c r="BM501" s="113"/>
      <c r="BN501" s="113"/>
      <c r="BO501" s="113"/>
      <c r="BP501" s="121"/>
      <c r="BQ501" s="121"/>
      <c r="GA501" t="s">
        <v>112</v>
      </c>
      <c r="GB501" t="s">
        <v>23016</v>
      </c>
      <c r="GC501" s="46">
        <v>0</v>
      </c>
      <c r="GD501" s="113"/>
      <c r="GE501" s="113"/>
      <c r="GF501" s="113"/>
      <c r="GG501" s="113"/>
      <c r="GH501" s="113"/>
      <c r="GI501" s="46">
        <v>0</v>
      </c>
      <c r="GJ501" s="113"/>
      <c r="GK501" s="113"/>
      <c r="GL501" s="113"/>
      <c r="GM501" s="113"/>
      <c r="GN501" s="113"/>
      <c r="GO501" s="46">
        <v>0</v>
      </c>
      <c r="GP501" s="113"/>
      <c r="GQ501" s="113"/>
      <c r="GR501" s="113"/>
      <c r="GS501" s="113"/>
      <c r="GT501" s="113"/>
      <c r="GU501" s="46">
        <v>0</v>
      </c>
      <c r="GV501" s="113"/>
      <c r="GW501" s="113"/>
      <c r="GX501" s="113"/>
      <c r="GY501" s="113"/>
      <c r="GZ501" s="113"/>
      <c r="HA501" s="46">
        <v>0</v>
      </c>
      <c r="HB501" s="113"/>
      <c r="HC501" s="113"/>
      <c r="HD501" s="113"/>
      <c r="HE501" s="113"/>
      <c r="HF501" s="113"/>
      <c r="HG501" s="46">
        <v>0</v>
      </c>
      <c r="HH501" s="113"/>
      <c r="HI501" s="113"/>
      <c r="HJ501" s="113"/>
      <c r="HK501" s="113"/>
      <c r="HL501" s="113"/>
      <c r="HM501" s="121"/>
      <c r="HN501" s="121"/>
      <c r="LM501" t="str">
        <v/>
      </c>
      <c r="LN501" t="str">
        <v/>
      </c>
      <c r="LO501" t="str">
        <v/>
      </c>
    </row>
    <row r="502" spans="30:327">
      <c r="AD502" t="s">
        <v>112</v>
      </c>
      <c r="AE502" t="s">
        <v>23017</v>
      </c>
      <c r="AF502" s="46">
        <v>0</v>
      </c>
      <c r="AG502" s="113"/>
      <c r="AH502" s="113"/>
      <c r="AI502" s="113"/>
      <c r="AJ502" s="113"/>
      <c r="AK502" s="113"/>
      <c r="AL502" s="46">
        <v>0</v>
      </c>
      <c r="AM502" s="113"/>
      <c r="AN502" s="113"/>
      <c r="AO502" s="113"/>
      <c r="AP502" s="113"/>
      <c r="AQ502" s="113"/>
      <c r="AR502" s="46">
        <v>0</v>
      </c>
      <c r="AS502" s="113"/>
      <c r="AT502" s="113"/>
      <c r="AU502" s="113"/>
      <c r="AV502" s="113"/>
      <c r="AW502" s="113"/>
      <c r="AX502" s="46">
        <v>0</v>
      </c>
      <c r="AY502" s="113"/>
      <c r="AZ502" s="113"/>
      <c r="BA502" s="113"/>
      <c r="BB502" s="113"/>
      <c r="BC502" s="113"/>
      <c r="BD502" s="46">
        <v>0</v>
      </c>
      <c r="BE502" s="113"/>
      <c r="BF502" s="113"/>
      <c r="BG502" s="113"/>
      <c r="BH502" s="113"/>
      <c r="BI502" s="113"/>
      <c r="BJ502" s="46">
        <v>0</v>
      </c>
      <c r="BK502" s="113"/>
      <c r="BL502" s="113"/>
      <c r="BM502" s="113"/>
      <c r="BN502" s="113"/>
      <c r="BO502" s="113"/>
      <c r="BP502" s="121"/>
      <c r="BQ502" s="121"/>
      <c r="GA502" t="s">
        <v>112</v>
      </c>
      <c r="GB502" t="s">
        <v>23017</v>
      </c>
      <c r="GC502" s="46">
        <v>0</v>
      </c>
      <c r="GD502" s="113"/>
      <c r="GE502" s="113"/>
      <c r="GF502" s="113"/>
      <c r="GG502" s="113"/>
      <c r="GH502" s="113"/>
      <c r="GI502" s="46">
        <v>0</v>
      </c>
      <c r="GJ502" s="113"/>
      <c r="GK502" s="113"/>
      <c r="GL502" s="113"/>
      <c r="GM502" s="113"/>
      <c r="GN502" s="113"/>
      <c r="GO502" s="46">
        <v>0</v>
      </c>
      <c r="GP502" s="113"/>
      <c r="GQ502" s="113"/>
      <c r="GR502" s="113"/>
      <c r="GS502" s="113"/>
      <c r="GT502" s="113"/>
      <c r="GU502" s="46">
        <v>0</v>
      </c>
      <c r="GV502" s="113"/>
      <c r="GW502" s="113"/>
      <c r="GX502" s="113"/>
      <c r="GY502" s="113"/>
      <c r="GZ502" s="113"/>
      <c r="HA502" s="46">
        <v>0</v>
      </c>
      <c r="HB502" s="113"/>
      <c r="HC502" s="113"/>
      <c r="HD502" s="113"/>
      <c r="HE502" s="113"/>
      <c r="HF502" s="113"/>
      <c r="HG502" s="46">
        <v>0</v>
      </c>
      <c r="HH502" s="113"/>
      <c r="HI502" s="113"/>
      <c r="HJ502" s="113"/>
      <c r="HK502" s="113"/>
      <c r="HL502" s="113"/>
      <c r="HM502" s="121"/>
      <c r="HN502" s="121"/>
      <c r="LM502" t="str">
        <v/>
      </c>
      <c r="LN502" t="str">
        <v/>
      </c>
      <c r="LO502" t="str">
        <v/>
      </c>
    </row>
    <row r="503" spans="30:327">
      <c r="AD503" t="s">
        <v>112</v>
      </c>
      <c r="AE503" t="s">
        <v>23018</v>
      </c>
      <c r="AF503" s="46">
        <v>0</v>
      </c>
      <c r="AG503" s="113"/>
      <c r="AH503" s="113"/>
      <c r="AI503" s="113"/>
      <c r="AJ503" s="113"/>
      <c r="AK503" s="113"/>
      <c r="AL503" s="46">
        <v>0</v>
      </c>
      <c r="AM503" s="113"/>
      <c r="AN503" s="113"/>
      <c r="AO503" s="113"/>
      <c r="AP503" s="113"/>
      <c r="AQ503" s="113"/>
      <c r="AR503" s="46">
        <v>0</v>
      </c>
      <c r="AS503" s="113"/>
      <c r="AT503" s="113"/>
      <c r="AU503" s="113"/>
      <c r="AV503" s="113"/>
      <c r="AW503" s="113"/>
      <c r="AX503" s="46">
        <v>0</v>
      </c>
      <c r="AY503" s="113"/>
      <c r="AZ503" s="113"/>
      <c r="BA503" s="113"/>
      <c r="BB503" s="113"/>
      <c r="BC503" s="113"/>
      <c r="BD503" s="46">
        <v>0</v>
      </c>
      <c r="BE503" s="113"/>
      <c r="BF503" s="113"/>
      <c r="BG503" s="113"/>
      <c r="BH503" s="113"/>
      <c r="BI503" s="113"/>
      <c r="BJ503" s="46">
        <v>0</v>
      </c>
      <c r="BK503" s="113"/>
      <c r="BL503" s="113"/>
      <c r="BM503" s="113"/>
      <c r="BN503" s="113"/>
      <c r="BO503" s="113"/>
      <c r="BP503" s="121"/>
      <c r="BQ503" s="121"/>
      <c r="GA503" t="s">
        <v>112</v>
      </c>
      <c r="GB503" t="s">
        <v>23018</v>
      </c>
      <c r="GC503" s="46">
        <v>0</v>
      </c>
      <c r="GD503" s="113"/>
      <c r="GE503" s="113"/>
      <c r="GF503" s="113"/>
      <c r="GG503" s="113"/>
      <c r="GH503" s="113"/>
      <c r="GI503" s="46">
        <v>0</v>
      </c>
      <c r="GJ503" s="113"/>
      <c r="GK503" s="113"/>
      <c r="GL503" s="113"/>
      <c r="GM503" s="113"/>
      <c r="GN503" s="113"/>
      <c r="GO503" s="46">
        <v>0</v>
      </c>
      <c r="GP503" s="113"/>
      <c r="GQ503" s="113"/>
      <c r="GR503" s="113"/>
      <c r="GS503" s="113"/>
      <c r="GT503" s="113"/>
      <c r="GU503" s="46">
        <v>0</v>
      </c>
      <c r="GV503" s="113"/>
      <c r="GW503" s="113"/>
      <c r="GX503" s="113"/>
      <c r="GY503" s="113"/>
      <c r="GZ503" s="113"/>
      <c r="HA503" s="46">
        <v>0</v>
      </c>
      <c r="HB503" s="113"/>
      <c r="HC503" s="113"/>
      <c r="HD503" s="113"/>
      <c r="HE503" s="113"/>
      <c r="HF503" s="113"/>
      <c r="HG503" s="46">
        <v>0</v>
      </c>
      <c r="HH503" s="113"/>
      <c r="HI503" s="113"/>
      <c r="HJ503" s="113"/>
      <c r="HK503" s="113"/>
      <c r="HL503" s="113"/>
      <c r="HM503" s="121"/>
      <c r="HN503" s="121"/>
      <c r="LM503" t="str">
        <v/>
      </c>
      <c r="LN503" t="str">
        <v/>
      </c>
      <c r="LO503" t="str">
        <v/>
      </c>
    </row>
    <row r="504" spans="30:327">
      <c r="AD504" t="s">
        <v>112</v>
      </c>
      <c r="AE504" t="s">
        <v>23019</v>
      </c>
      <c r="AF504" s="46">
        <v>0</v>
      </c>
      <c r="AG504" s="113"/>
      <c r="AH504" s="113"/>
      <c r="AI504" s="113"/>
      <c r="AJ504" s="113"/>
      <c r="AK504" s="113"/>
      <c r="AL504" s="46">
        <v>0</v>
      </c>
      <c r="AM504" s="113"/>
      <c r="AN504" s="113"/>
      <c r="AO504" s="113"/>
      <c r="AP504" s="113"/>
      <c r="AQ504" s="113"/>
      <c r="AR504" s="46">
        <v>0</v>
      </c>
      <c r="AS504" s="113"/>
      <c r="AT504" s="113"/>
      <c r="AU504" s="113"/>
      <c r="AV504" s="113"/>
      <c r="AW504" s="113"/>
      <c r="AX504" s="46">
        <v>0</v>
      </c>
      <c r="AY504" s="113"/>
      <c r="AZ504" s="113"/>
      <c r="BA504" s="113"/>
      <c r="BB504" s="113"/>
      <c r="BC504" s="113"/>
      <c r="BD504" s="46">
        <v>0</v>
      </c>
      <c r="BE504" s="113"/>
      <c r="BF504" s="113"/>
      <c r="BG504" s="113"/>
      <c r="BH504" s="113"/>
      <c r="BI504" s="113"/>
      <c r="BJ504" s="46">
        <v>0</v>
      </c>
      <c r="BK504" s="113"/>
      <c r="BL504" s="113"/>
      <c r="BM504" s="113"/>
      <c r="BN504" s="113"/>
      <c r="BO504" s="113"/>
      <c r="BP504" s="121"/>
      <c r="BQ504" s="121"/>
      <c r="GA504" t="s">
        <v>112</v>
      </c>
      <c r="GB504" t="s">
        <v>23019</v>
      </c>
      <c r="GC504" s="46">
        <v>0</v>
      </c>
      <c r="GD504" s="113"/>
      <c r="GE504" s="113"/>
      <c r="GF504" s="113"/>
      <c r="GG504" s="113"/>
      <c r="GH504" s="113"/>
      <c r="GI504" s="46">
        <v>0</v>
      </c>
      <c r="GJ504" s="113"/>
      <c r="GK504" s="113"/>
      <c r="GL504" s="113"/>
      <c r="GM504" s="113"/>
      <c r="GN504" s="113"/>
      <c r="GO504" s="46">
        <v>0</v>
      </c>
      <c r="GP504" s="113"/>
      <c r="GQ504" s="113"/>
      <c r="GR504" s="113"/>
      <c r="GS504" s="113"/>
      <c r="GT504" s="113"/>
      <c r="GU504" s="46">
        <v>0</v>
      </c>
      <c r="GV504" s="113"/>
      <c r="GW504" s="113"/>
      <c r="GX504" s="113"/>
      <c r="GY504" s="113"/>
      <c r="GZ504" s="113"/>
      <c r="HA504" s="46">
        <v>0</v>
      </c>
      <c r="HB504" s="113"/>
      <c r="HC504" s="113"/>
      <c r="HD504" s="113"/>
      <c r="HE504" s="113"/>
      <c r="HF504" s="113"/>
      <c r="HG504" s="46">
        <v>0</v>
      </c>
      <c r="HH504" s="113"/>
      <c r="HI504" s="113"/>
      <c r="HJ504" s="113"/>
      <c r="HK504" s="113"/>
      <c r="HL504" s="113"/>
      <c r="HM504" s="121"/>
      <c r="HN504" s="121"/>
      <c r="LM504" t="str">
        <v/>
      </c>
      <c r="LN504" t="str">
        <v/>
      </c>
      <c r="LO504" t="str">
        <v/>
      </c>
    </row>
    <row r="505" spans="30:327">
      <c r="AD505" t="s">
        <v>112</v>
      </c>
      <c r="AE505" t="s">
        <v>23020</v>
      </c>
      <c r="AF505" s="46">
        <v>0</v>
      </c>
      <c r="AG505" s="113"/>
      <c r="AH505" s="113"/>
      <c r="AI505" s="113"/>
      <c r="AJ505" s="113"/>
      <c r="AK505" s="113"/>
      <c r="AL505" s="46">
        <v>0</v>
      </c>
      <c r="AM505" s="113"/>
      <c r="AN505" s="113"/>
      <c r="AO505" s="113"/>
      <c r="AP505" s="113"/>
      <c r="AQ505" s="113"/>
      <c r="AR505" s="46">
        <v>0</v>
      </c>
      <c r="AS505" s="113"/>
      <c r="AT505" s="113"/>
      <c r="AU505" s="113"/>
      <c r="AV505" s="113"/>
      <c r="AW505" s="113"/>
      <c r="AX505" s="46">
        <v>0</v>
      </c>
      <c r="AY505" s="113"/>
      <c r="AZ505" s="113"/>
      <c r="BA505" s="113"/>
      <c r="BB505" s="113"/>
      <c r="BC505" s="113"/>
      <c r="BD505" s="46">
        <v>0</v>
      </c>
      <c r="BE505" s="113"/>
      <c r="BF505" s="113"/>
      <c r="BG505" s="113"/>
      <c r="BH505" s="113"/>
      <c r="BI505" s="113"/>
      <c r="BJ505" s="46">
        <v>0</v>
      </c>
      <c r="BK505" s="113"/>
      <c r="BL505" s="113"/>
      <c r="BM505" s="113"/>
      <c r="BN505" s="113"/>
      <c r="BO505" s="113"/>
      <c r="BP505" s="121"/>
      <c r="BQ505" s="121"/>
      <c r="GA505" t="s">
        <v>112</v>
      </c>
      <c r="GB505" t="s">
        <v>23020</v>
      </c>
      <c r="GC505" s="46">
        <v>0</v>
      </c>
      <c r="GD505" s="113"/>
      <c r="GE505" s="113"/>
      <c r="GF505" s="113"/>
      <c r="GG505" s="113"/>
      <c r="GH505" s="113"/>
      <c r="GI505" s="46">
        <v>0</v>
      </c>
      <c r="GJ505" s="113"/>
      <c r="GK505" s="113"/>
      <c r="GL505" s="113"/>
      <c r="GM505" s="113"/>
      <c r="GN505" s="113"/>
      <c r="GO505" s="46">
        <v>0</v>
      </c>
      <c r="GP505" s="113"/>
      <c r="GQ505" s="113"/>
      <c r="GR505" s="113"/>
      <c r="GS505" s="113"/>
      <c r="GT505" s="113"/>
      <c r="GU505" s="46">
        <v>0</v>
      </c>
      <c r="GV505" s="113"/>
      <c r="GW505" s="113"/>
      <c r="GX505" s="113"/>
      <c r="GY505" s="113"/>
      <c r="GZ505" s="113"/>
      <c r="HA505" s="46">
        <v>0</v>
      </c>
      <c r="HB505" s="113"/>
      <c r="HC505" s="113"/>
      <c r="HD505" s="113"/>
      <c r="HE505" s="113"/>
      <c r="HF505" s="113"/>
      <c r="HG505" s="46">
        <v>0</v>
      </c>
      <c r="HH505" s="113"/>
      <c r="HI505" s="113"/>
      <c r="HJ505" s="113"/>
      <c r="HK505" s="113"/>
      <c r="HL505" s="113"/>
      <c r="HM505" s="121"/>
      <c r="HN505" s="121"/>
      <c r="LM505" t="str">
        <v/>
      </c>
      <c r="LN505" t="str">
        <v/>
      </c>
      <c r="LO505" t="str">
        <v/>
      </c>
    </row>
    <row r="506" spans="30:327">
      <c r="AD506" t="s">
        <v>112</v>
      </c>
      <c r="AE506" t="s">
        <v>23021</v>
      </c>
      <c r="AF506" s="46">
        <v>0</v>
      </c>
      <c r="AG506" s="113"/>
      <c r="AH506" s="113"/>
      <c r="AI506" s="113"/>
      <c r="AJ506" s="113"/>
      <c r="AK506" s="113"/>
      <c r="AL506" s="46">
        <v>0</v>
      </c>
      <c r="AM506" s="113"/>
      <c r="AN506" s="113"/>
      <c r="AO506" s="113"/>
      <c r="AP506" s="113"/>
      <c r="AQ506" s="113"/>
      <c r="AR506" s="46">
        <v>0</v>
      </c>
      <c r="AS506" s="113"/>
      <c r="AT506" s="113"/>
      <c r="AU506" s="113"/>
      <c r="AV506" s="113"/>
      <c r="AW506" s="113"/>
      <c r="AX506" s="46">
        <v>0</v>
      </c>
      <c r="AY506" s="113"/>
      <c r="AZ506" s="113"/>
      <c r="BA506" s="113"/>
      <c r="BB506" s="113"/>
      <c r="BC506" s="113"/>
      <c r="BD506" s="46">
        <v>0</v>
      </c>
      <c r="BE506" s="113"/>
      <c r="BF506" s="113"/>
      <c r="BG506" s="113"/>
      <c r="BH506" s="113"/>
      <c r="BI506" s="113"/>
      <c r="BJ506" s="46">
        <v>0</v>
      </c>
      <c r="BK506" s="113"/>
      <c r="BL506" s="113"/>
      <c r="BM506" s="113"/>
      <c r="BN506" s="113"/>
      <c r="BO506" s="113"/>
      <c r="BP506" s="121"/>
      <c r="BQ506" s="121"/>
      <c r="GA506" t="s">
        <v>112</v>
      </c>
      <c r="GB506" t="s">
        <v>23021</v>
      </c>
      <c r="GC506" s="46">
        <v>0</v>
      </c>
      <c r="GD506" s="113"/>
      <c r="GE506" s="113"/>
      <c r="GF506" s="113"/>
      <c r="GG506" s="113"/>
      <c r="GH506" s="113"/>
      <c r="GI506" s="46">
        <v>0</v>
      </c>
      <c r="GJ506" s="113"/>
      <c r="GK506" s="113"/>
      <c r="GL506" s="113"/>
      <c r="GM506" s="113"/>
      <c r="GN506" s="113"/>
      <c r="GO506" s="46">
        <v>0</v>
      </c>
      <c r="GP506" s="113"/>
      <c r="GQ506" s="113"/>
      <c r="GR506" s="113"/>
      <c r="GS506" s="113"/>
      <c r="GT506" s="113"/>
      <c r="GU506" s="46">
        <v>0</v>
      </c>
      <c r="GV506" s="113"/>
      <c r="GW506" s="113"/>
      <c r="GX506" s="113"/>
      <c r="GY506" s="113"/>
      <c r="GZ506" s="113"/>
      <c r="HA506" s="46">
        <v>0</v>
      </c>
      <c r="HB506" s="113"/>
      <c r="HC506" s="113"/>
      <c r="HD506" s="113"/>
      <c r="HE506" s="113"/>
      <c r="HF506" s="113"/>
      <c r="HG506" s="46">
        <v>0</v>
      </c>
      <c r="HH506" s="113"/>
      <c r="HI506" s="113"/>
      <c r="HJ506" s="113"/>
      <c r="HK506" s="113"/>
      <c r="HL506" s="113"/>
      <c r="HM506" s="121"/>
      <c r="HN506" s="121"/>
      <c r="LM506" t="str">
        <v/>
      </c>
      <c r="LN506" t="str">
        <v/>
      </c>
      <c r="LO506" t="str">
        <v/>
      </c>
    </row>
    <row r="507" spans="30:327">
      <c r="AD507" t="s">
        <v>112</v>
      </c>
      <c r="AE507" t="s">
        <v>23022</v>
      </c>
      <c r="AF507" s="46">
        <v>0</v>
      </c>
      <c r="AG507" s="113"/>
      <c r="AH507" s="113"/>
      <c r="AI507" s="113"/>
      <c r="AJ507" s="113"/>
      <c r="AK507" s="113"/>
      <c r="AL507" s="46">
        <v>0</v>
      </c>
      <c r="AM507" s="113"/>
      <c r="AN507" s="113"/>
      <c r="AO507" s="113"/>
      <c r="AP507" s="113"/>
      <c r="AQ507" s="113"/>
      <c r="AR507" s="46">
        <v>0</v>
      </c>
      <c r="AS507" s="113"/>
      <c r="AT507" s="113"/>
      <c r="AU507" s="113"/>
      <c r="AV507" s="113"/>
      <c r="AW507" s="113"/>
      <c r="AX507" s="46">
        <v>0</v>
      </c>
      <c r="AY507" s="113"/>
      <c r="AZ507" s="113"/>
      <c r="BA507" s="113"/>
      <c r="BB507" s="113"/>
      <c r="BC507" s="113"/>
      <c r="BD507" s="46">
        <v>0</v>
      </c>
      <c r="BE507" s="113"/>
      <c r="BF507" s="113"/>
      <c r="BG507" s="113"/>
      <c r="BH507" s="113"/>
      <c r="BI507" s="113"/>
      <c r="BJ507" s="46">
        <v>0</v>
      </c>
      <c r="BK507" s="113"/>
      <c r="BL507" s="113"/>
      <c r="BM507" s="113"/>
      <c r="BN507" s="113"/>
      <c r="BO507" s="113"/>
      <c r="BP507" s="121"/>
      <c r="BQ507" s="121"/>
      <c r="GA507" t="s">
        <v>112</v>
      </c>
      <c r="GB507" t="s">
        <v>23022</v>
      </c>
      <c r="GC507" s="46">
        <v>0</v>
      </c>
      <c r="GD507" s="113"/>
      <c r="GE507" s="113"/>
      <c r="GF507" s="113"/>
      <c r="GG507" s="113"/>
      <c r="GH507" s="113"/>
      <c r="GI507" s="46">
        <v>0</v>
      </c>
      <c r="GJ507" s="113"/>
      <c r="GK507" s="113"/>
      <c r="GL507" s="113"/>
      <c r="GM507" s="113"/>
      <c r="GN507" s="113"/>
      <c r="GO507" s="46">
        <v>0</v>
      </c>
      <c r="GP507" s="113"/>
      <c r="GQ507" s="113"/>
      <c r="GR507" s="113"/>
      <c r="GS507" s="113"/>
      <c r="GT507" s="113"/>
      <c r="GU507" s="46">
        <v>0</v>
      </c>
      <c r="GV507" s="113"/>
      <c r="GW507" s="113"/>
      <c r="GX507" s="113"/>
      <c r="GY507" s="113"/>
      <c r="GZ507" s="113"/>
      <c r="HA507" s="46">
        <v>0</v>
      </c>
      <c r="HB507" s="113"/>
      <c r="HC507" s="113"/>
      <c r="HD507" s="113"/>
      <c r="HE507" s="113"/>
      <c r="HF507" s="113"/>
      <c r="HG507" s="46">
        <v>0</v>
      </c>
      <c r="HH507" s="113"/>
      <c r="HI507" s="113"/>
      <c r="HJ507" s="113"/>
      <c r="HK507" s="113"/>
      <c r="HL507" s="113"/>
      <c r="HM507" s="121"/>
      <c r="HN507" s="121"/>
      <c r="LM507" t="str">
        <v/>
      </c>
      <c r="LN507" t="str">
        <v/>
      </c>
      <c r="LO507" t="str">
        <v/>
      </c>
    </row>
    <row r="508" spans="30:327">
      <c r="AD508" t="s">
        <v>112</v>
      </c>
      <c r="AE508" t="s">
        <v>23023</v>
      </c>
      <c r="AF508" s="46">
        <v>0</v>
      </c>
      <c r="AG508" s="113"/>
      <c r="AH508" s="113"/>
      <c r="AI508" s="113"/>
      <c r="AJ508" s="113"/>
      <c r="AK508" s="113"/>
      <c r="AL508" s="46">
        <v>0</v>
      </c>
      <c r="AM508" s="113"/>
      <c r="AN508" s="113"/>
      <c r="AO508" s="113"/>
      <c r="AP508" s="113"/>
      <c r="AQ508" s="113"/>
      <c r="AR508" s="46">
        <v>0</v>
      </c>
      <c r="AS508" s="113"/>
      <c r="AT508" s="113"/>
      <c r="AU508" s="113"/>
      <c r="AV508" s="113"/>
      <c r="AW508" s="113"/>
      <c r="AX508" s="46">
        <v>0</v>
      </c>
      <c r="AY508" s="113"/>
      <c r="AZ508" s="113"/>
      <c r="BA508" s="113"/>
      <c r="BB508" s="113"/>
      <c r="BC508" s="113"/>
      <c r="BD508" s="46">
        <v>0</v>
      </c>
      <c r="BE508" s="113"/>
      <c r="BF508" s="113"/>
      <c r="BG508" s="113"/>
      <c r="BH508" s="113"/>
      <c r="BI508" s="113"/>
      <c r="BJ508" s="46">
        <v>0</v>
      </c>
      <c r="BK508" s="113"/>
      <c r="BL508" s="113"/>
      <c r="BM508" s="113"/>
      <c r="BN508" s="113"/>
      <c r="BO508" s="113"/>
      <c r="BP508" s="121"/>
      <c r="BQ508" s="121"/>
      <c r="GA508" t="s">
        <v>112</v>
      </c>
      <c r="GB508" t="s">
        <v>23023</v>
      </c>
      <c r="GC508" s="46">
        <v>0</v>
      </c>
      <c r="GD508" s="113"/>
      <c r="GE508" s="113"/>
      <c r="GF508" s="113"/>
      <c r="GG508" s="113"/>
      <c r="GH508" s="113"/>
      <c r="GI508" s="46">
        <v>0</v>
      </c>
      <c r="GJ508" s="113"/>
      <c r="GK508" s="113"/>
      <c r="GL508" s="113"/>
      <c r="GM508" s="113"/>
      <c r="GN508" s="113"/>
      <c r="GO508" s="46">
        <v>0</v>
      </c>
      <c r="GP508" s="113"/>
      <c r="GQ508" s="113"/>
      <c r="GR508" s="113"/>
      <c r="GS508" s="113"/>
      <c r="GT508" s="113"/>
      <c r="GU508" s="46">
        <v>0</v>
      </c>
      <c r="GV508" s="113"/>
      <c r="GW508" s="113"/>
      <c r="GX508" s="113"/>
      <c r="GY508" s="113"/>
      <c r="GZ508" s="113"/>
      <c r="HA508" s="46">
        <v>0</v>
      </c>
      <c r="HB508" s="113"/>
      <c r="HC508" s="113"/>
      <c r="HD508" s="113"/>
      <c r="HE508" s="113"/>
      <c r="HF508" s="113"/>
      <c r="HG508" s="46">
        <v>0</v>
      </c>
      <c r="HH508" s="113"/>
      <c r="HI508" s="113"/>
      <c r="HJ508" s="113"/>
      <c r="HK508" s="113"/>
      <c r="HL508" s="113"/>
      <c r="HM508" s="121"/>
      <c r="HN508" s="121"/>
      <c r="LM508" t="str">
        <v/>
      </c>
      <c r="LN508" t="str">
        <v/>
      </c>
      <c r="LO508" t="str">
        <v/>
      </c>
    </row>
    <row r="509" spans="30:327">
      <c r="AD509" t="s">
        <v>112</v>
      </c>
      <c r="AE509" t="s">
        <v>23024</v>
      </c>
      <c r="AF509" s="46">
        <v>0</v>
      </c>
      <c r="AG509" s="113"/>
      <c r="AH509" s="113"/>
      <c r="AI509" s="113"/>
      <c r="AJ509" s="113"/>
      <c r="AK509" s="113"/>
      <c r="AL509" s="46">
        <v>0</v>
      </c>
      <c r="AM509" s="113"/>
      <c r="AN509" s="113"/>
      <c r="AO509" s="113"/>
      <c r="AP509" s="113"/>
      <c r="AQ509" s="113"/>
      <c r="AR509" s="46">
        <v>0</v>
      </c>
      <c r="AS509" s="113"/>
      <c r="AT509" s="113"/>
      <c r="AU509" s="113"/>
      <c r="AV509" s="113"/>
      <c r="AW509" s="113"/>
      <c r="AX509" s="46">
        <v>0</v>
      </c>
      <c r="AY509" s="113"/>
      <c r="AZ509" s="113"/>
      <c r="BA509" s="113"/>
      <c r="BB509" s="113"/>
      <c r="BC509" s="113"/>
      <c r="BD509" s="46">
        <v>0</v>
      </c>
      <c r="BE509" s="113"/>
      <c r="BF509" s="113"/>
      <c r="BG509" s="113"/>
      <c r="BH509" s="113"/>
      <c r="BI509" s="113"/>
      <c r="BJ509" s="46">
        <v>0</v>
      </c>
      <c r="BK509" s="113"/>
      <c r="BL509" s="113"/>
      <c r="BM509" s="113"/>
      <c r="BN509" s="113"/>
      <c r="BO509" s="113"/>
      <c r="BP509" s="121"/>
      <c r="BQ509" s="121"/>
      <c r="GA509" t="s">
        <v>112</v>
      </c>
      <c r="GB509" t="s">
        <v>23024</v>
      </c>
      <c r="GC509" s="46">
        <v>0</v>
      </c>
      <c r="GD509" s="113"/>
      <c r="GE509" s="113"/>
      <c r="GF509" s="113"/>
      <c r="GG509" s="113"/>
      <c r="GH509" s="113"/>
      <c r="GI509" s="46">
        <v>0</v>
      </c>
      <c r="GJ509" s="113"/>
      <c r="GK509" s="113"/>
      <c r="GL509" s="113"/>
      <c r="GM509" s="113"/>
      <c r="GN509" s="113"/>
      <c r="GO509" s="46">
        <v>0</v>
      </c>
      <c r="GP509" s="113"/>
      <c r="GQ509" s="113"/>
      <c r="GR509" s="113"/>
      <c r="GS509" s="113"/>
      <c r="GT509" s="113"/>
      <c r="GU509" s="46">
        <v>0</v>
      </c>
      <c r="GV509" s="113"/>
      <c r="GW509" s="113"/>
      <c r="GX509" s="113"/>
      <c r="GY509" s="113"/>
      <c r="GZ509" s="113"/>
      <c r="HA509" s="46">
        <v>0</v>
      </c>
      <c r="HB509" s="113"/>
      <c r="HC509" s="113"/>
      <c r="HD509" s="113"/>
      <c r="HE509" s="113"/>
      <c r="HF509" s="113"/>
      <c r="HG509" s="46">
        <v>0</v>
      </c>
      <c r="HH509" s="113"/>
      <c r="HI509" s="113"/>
      <c r="HJ509" s="113"/>
      <c r="HK509" s="113"/>
      <c r="HL509" s="113"/>
      <c r="HM509" s="121"/>
      <c r="HN509" s="121"/>
      <c r="LM509" t="str">
        <v/>
      </c>
      <c r="LN509" t="str">
        <v/>
      </c>
      <c r="LO509" t="str">
        <v/>
      </c>
    </row>
    <row r="510" spans="30:327">
      <c r="AD510" t="s">
        <v>112</v>
      </c>
      <c r="AE510" t="s">
        <v>23025</v>
      </c>
      <c r="AF510" s="46">
        <v>0</v>
      </c>
      <c r="AG510" s="113"/>
      <c r="AH510" s="113"/>
      <c r="AI510" s="113"/>
      <c r="AJ510" s="113"/>
      <c r="AK510" s="113"/>
      <c r="AL510" s="46">
        <v>0</v>
      </c>
      <c r="AM510" s="113"/>
      <c r="AN510" s="113"/>
      <c r="AO510" s="113"/>
      <c r="AP510" s="113"/>
      <c r="AQ510" s="113"/>
      <c r="AR510" s="46">
        <v>0</v>
      </c>
      <c r="AS510" s="113"/>
      <c r="AT510" s="113"/>
      <c r="AU510" s="113"/>
      <c r="AV510" s="113"/>
      <c r="AW510" s="113"/>
      <c r="AX510" s="46">
        <v>0</v>
      </c>
      <c r="AY510" s="113"/>
      <c r="AZ510" s="113"/>
      <c r="BA510" s="113"/>
      <c r="BB510" s="113"/>
      <c r="BC510" s="113"/>
      <c r="BD510" s="46">
        <v>0</v>
      </c>
      <c r="BE510" s="113"/>
      <c r="BF510" s="113"/>
      <c r="BG510" s="113"/>
      <c r="BH510" s="113"/>
      <c r="BI510" s="113"/>
      <c r="BJ510" s="46">
        <v>0</v>
      </c>
      <c r="BK510" s="113"/>
      <c r="BL510" s="113"/>
      <c r="BM510" s="113"/>
      <c r="BN510" s="113"/>
      <c r="BO510" s="113"/>
      <c r="BP510" s="121"/>
      <c r="BQ510" s="121"/>
      <c r="GA510" t="s">
        <v>112</v>
      </c>
      <c r="GB510" t="s">
        <v>23025</v>
      </c>
      <c r="GC510" s="46">
        <v>0</v>
      </c>
      <c r="GD510" s="113"/>
      <c r="GE510" s="113"/>
      <c r="GF510" s="113"/>
      <c r="GG510" s="113"/>
      <c r="GH510" s="113"/>
      <c r="GI510" s="46">
        <v>0</v>
      </c>
      <c r="GJ510" s="113"/>
      <c r="GK510" s="113"/>
      <c r="GL510" s="113"/>
      <c r="GM510" s="113"/>
      <c r="GN510" s="113"/>
      <c r="GO510" s="46">
        <v>0</v>
      </c>
      <c r="GP510" s="113"/>
      <c r="GQ510" s="113"/>
      <c r="GR510" s="113"/>
      <c r="GS510" s="113"/>
      <c r="GT510" s="113"/>
      <c r="GU510" s="46">
        <v>0</v>
      </c>
      <c r="GV510" s="113"/>
      <c r="GW510" s="113"/>
      <c r="GX510" s="113"/>
      <c r="GY510" s="113"/>
      <c r="GZ510" s="113"/>
      <c r="HA510" s="46">
        <v>0</v>
      </c>
      <c r="HB510" s="113"/>
      <c r="HC510" s="113"/>
      <c r="HD510" s="113"/>
      <c r="HE510" s="113"/>
      <c r="HF510" s="113"/>
      <c r="HG510" s="46">
        <v>0</v>
      </c>
      <c r="HH510" s="113"/>
      <c r="HI510" s="113"/>
      <c r="HJ510" s="113"/>
      <c r="HK510" s="113"/>
      <c r="HL510" s="113"/>
      <c r="HM510" s="121"/>
      <c r="HN510" s="121"/>
      <c r="LM510" t="str">
        <v/>
      </c>
      <c r="LN510" t="str">
        <v/>
      </c>
      <c r="LO510" t="str">
        <v/>
      </c>
    </row>
    <row r="511" spans="30:327">
      <c r="AD511" t="s">
        <v>112</v>
      </c>
      <c r="AE511" t="s">
        <v>23026</v>
      </c>
      <c r="AF511" s="46">
        <v>0</v>
      </c>
      <c r="AG511" s="113"/>
      <c r="AH511" s="113"/>
      <c r="AI511" s="113"/>
      <c r="AJ511" s="113"/>
      <c r="AK511" s="113"/>
      <c r="AL511" s="46">
        <v>0</v>
      </c>
      <c r="AM511" s="113"/>
      <c r="AN511" s="113"/>
      <c r="AO511" s="113"/>
      <c r="AP511" s="113"/>
      <c r="AQ511" s="113"/>
      <c r="AR511" s="46">
        <v>0</v>
      </c>
      <c r="AS511" s="113"/>
      <c r="AT511" s="113"/>
      <c r="AU511" s="113"/>
      <c r="AV511" s="113"/>
      <c r="AW511" s="113"/>
      <c r="AX511" s="46">
        <v>0</v>
      </c>
      <c r="AY511" s="113"/>
      <c r="AZ511" s="113"/>
      <c r="BA511" s="113"/>
      <c r="BB511" s="113"/>
      <c r="BC511" s="113"/>
      <c r="BD511" s="46">
        <v>0</v>
      </c>
      <c r="BE511" s="113"/>
      <c r="BF511" s="113"/>
      <c r="BG511" s="113"/>
      <c r="BH511" s="113"/>
      <c r="BI511" s="113"/>
      <c r="BJ511" s="46">
        <v>0</v>
      </c>
      <c r="BK511" s="113"/>
      <c r="BL511" s="113"/>
      <c r="BM511" s="113"/>
      <c r="BN511" s="113"/>
      <c r="BO511" s="113"/>
      <c r="BP511" s="121"/>
      <c r="BQ511" s="121"/>
      <c r="GA511" t="s">
        <v>112</v>
      </c>
      <c r="GB511" t="s">
        <v>23026</v>
      </c>
      <c r="GC511" s="46">
        <v>0</v>
      </c>
      <c r="GD511" s="113"/>
      <c r="GE511" s="113"/>
      <c r="GF511" s="113"/>
      <c r="GG511" s="113"/>
      <c r="GH511" s="113"/>
      <c r="GI511" s="46">
        <v>0</v>
      </c>
      <c r="GJ511" s="113"/>
      <c r="GK511" s="113"/>
      <c r="GL511" s="113"/>
      <c r="GM511" s="113"/>
      <c r="GN511" s="113"/>
      <c r="GO511" s="46">
        <v>0</v>
      </c>
      <c r="GP511" s="113"/>
      <c r="GQ511" s="113"/>
      <c r="GR511" s="113"/>
      <c r="GS511" s="113"/>
      <c r="GT511" s="113"/>
      <c r="GU511" s="46">
        <v>0</v>
      </c>
      <c r="GV511" s="113"/>
      <c r="GW511" s="113"/>
      <c r="GX511" s="113"/>
      <c r="GY511" s="113"/>
      <c r="GZ511" s="113"/>
      <c r="HA511" s="46">
        <v>0</v>
      </c>
      <c r="HB511" s="113"/>
      <c r="HC511" s="113"/>
      <c r="HD511" s="113"/>
      <c r="HE511" s="113"/>
      <c r="HF511" s="113"/>
      <c r="HG511" s="46">
        <v>0</v>
      </c>
      <c r="HH511" s="113"/>
      <c r="HI511" s="113"/>
      <c r="HJ511" s="113"/>
      <c r="HK511" s="113"/>
      <c r="HL511" s="113"/>
      <c r="HM511" s="121"/>
      <c r="HN511" s="121"/>
      <c r="LM511" t="str">
        <v/>
      </c>
      <c r="LN511" t="str">
        <v/>
      </c>
      <c r="LO511" t="str">
        <v/>
      </c>
    </row>
    <row r="512" spans="30:327">
      <c r="AD512" t="s">
        <v>112</v>
      </c>
      <c r="AE512" t="s">
        <v>23027</v>
      </c>
      <c r="AF512" s="46">
        <v>0</v>
      </c>
      <c r="AG512" s="113"/>
      <c r="AH512" s="113"/>
      <c r="AI512" s="113"/>
      <c r="AJ512" s="113"/>
      <c r="AK512" s="113"/>
      <c r="AL512" s="46">
        <v>0</v>
      </c>
      <c r="AM512" s="113"/>
      <c r="AN512" s="113"/>
      <c r="AO512" s="113"/>
      <c r="AP512" s="113"/>
      <c r="AQ512" s="113"/>
      <c r="AR512" s="46">
        <v>0</v>
      </c>
      <c r="AS512" s="113"/>
      <c r="AT512" s="113"/>
      <c r="AU512" s="113"/>
      <c r="AV512" s="113"/>
      <c r="AW512" s="113"/>
      <c r="AX512" s="46">
        <v>0</v>
      </c>
      <c r="AY512" s="113"/>
      <c r="AZ512" s="113"/>
      <c r="BA512" s="113"/>
      <c r="BB512" s="113"/>
      <c r="BC512" s="113"/>
      <c r="BD512" s="46">
        <v>0</v>
      </c>
      <c r="BE512" s="113"/>
      <c r="BF512" s="113"/>
      <c r="BG512" s="113"/>
      <c r="BH512" s="113"/>
      <c r="BI512" s="113"/>
      <c r="BJ512" s="46">
        <v>0</v>
      </c>
      <c r="BK512" s="113"/>
      <c r="BL512" s="113"/>
      <c r="BM512" s="113"/>
      <c r="BN512" s="113"/>
      <c r="BO512" s="113"/>
      <c r="BP512" s="121"/>
      <c r="BQ512" s="121"/>
      <c r="GA512" t="s">
        <v>112</v>
      </c>
      <c r="GB512" t="s">
        <v>23027</v>
      </c>
      <c r="GC512" s="46">
        <v>0</v>
      </c>
      <c r="GD512" s="113"/>
      <c r="GE512" s="113"/>
      <c r="GF512" s="113"/>
      <c r="GG512" s="113"/>
      <c r="GH512" s="113"/>
      <c r="GI512" s="46">
        <v>0</v>
      </c>
      <c r="GJ512" s="113"/>
      <c r="GK512" s="113"/>
      <c r="GL512" s="113"/>
      <c r="GM512" s="113"/>
      <c r="GN512" s="113"/>
      <c r="GO512" s="46">
        <v>0</v>
      </c>
      <c r="GP512" s="113"/>
      <c r="GQ512" s="113"/>
      <c r="GR512" s="113"/>
      <c r="GS512" s="113"/>
      <c r="GT512" s="113"/>
      <c r="GU512" s="46">
        <v>0</v>
      </c>
      <c r="GV512" s="113"/>
      <c r="GW512" s="113"/>
      <c r="GX512" s="113"/>
      <c r="GY512" s="113"/>
      <c r="GZ512" s="113"/>
      <c r="HA512" s="46">
        <v>0</v>
      </c>
      <c r="HB512" s="113"/>
      <c r="HC512" s="113"/>
      <c r="HD512" s="113"/>
      <c r="HE512" s="113"/>
      <c r="HF512" s="113"/>
      <c r="HG512" s="46">
        <v>0</v>
      </c>
      <c r="HH512" s="113"/>
      <c r="HI512" s="113"/>
      <c r="HJ512" s="113"/>
      <c r="HK512" s="113"/>
      <c r="HL512" s="113"/>
      <c r="HM512" s="121"/>
      <c r="HN512" s="121"/>
      <c r="LM512" t="str">
        <v/>
      </c>
      <c r="LN512" t="str">
        <v/>
      </c>
      <c r="LO512" t="str">
        <v/>
      </c>
    </row>
    <row r="513" spans="30:327">
      <c r="AD513" t="s">
        <v>112</v>
      </c>
      <c r="AE513" t="s">
        <v>23028</v>
      </c>
      <c r="AF513" s="46">
        <v>0</v>
      </c>
      <c r="AG513" s="113"/>
      <c r="AH513" s="113"/>
      <c r="AI513" s="113"/>
      <c r="AJ513" s="113"/>
      <c r="AK513" s="113"/>
      <c r="AL513" s="46">
        <v>0</v>
      </c>
      <c r="AM513" s="113"/>
      <c r="AN513" s="113"/>
      <c r="AO513" s="113"/>
      <c r="AP513" s="113"/>
      <c r="AQ513" s="113"/>
      <c r="AR513" s="46">
        <v>0</v>
      </c>
      <c r="AS513" s="113"/>
      <c r="AT513" s="113"/>
      <c r="AU513" s="113"/>
      <c r="AV513" s="113"/>
      <c r="AW513" s="113"/>
      <c r="AX513" s="46">
        <v>0</v>
      </c>
      <c r="AY513" s="113"/>
      <c r="AZ513" s="113"/>
      <c r="BA513" s="113"/>
      <c r="BB513" s="113"/>
      <c r="BC513" s="113"/>
      <c r="BD513" s="46">
        <v>0</v>
      </c>
      <c r="BE513" s="113"/>
      <c r="BF513" s="113"/>
      <c r="BG513" s="113"/>
      <c r="BH513" s="113"/>
      <c r="BI513" s="113"/>
      <c r="BJ513" s="46">
        <v>0</v>
      </c>
      <c r="BK513" s="113"/>
      <c r="BL513" s="113"/>
      <c r="BM513" s="113"/>
      <c r="BN513" s="113"/>
      <c r="BO513" s="113"/>
      <c r="BP513" s="121"/>
      <c r="BQ513" s="121"/>
      <c r="GA513" t="s">
        <v>112</v>
      </c>
      <c r="GB513" t="s">
        <v>23028</v>
      </c>
      <c r="GC513" s="46">
        <v>0</v>
      </c>
      <c r="GD513" s="113"/>
      <c r="GE513" s="113"/>
      <c r="GF513" s="113"/>
      <c r="GG513" s="113"/>
      <c r="GH513" s="113"/>
      <c r="GI513" s="46">
        <v>0</v>
      </c>
      <c r="GJ513" s="113"/>
      <c r="GK513" s="113"/>
      <c r="GL513" s="113"/>
      <c r="GM513" s="113"/>
      <c r="GN513" s="113"/>
      <c r="GO513" s="46">
        <v>0</v>
      </c>
      <c r="GP513" s="113"/>
      <c r="GQ513" s="113"/>
      <c r="GR513" s="113"/>
      <c r="GS513" s="113"/>
      <c r="GT513" s="113"/>
      <c r="GU513" s="46">
        <v>0</v>
      </c>
      <c r="GV513" s="113"/>
      <c r="GW513" s="113"/>
      <c r="GX513" s="113"/>
      <c r="GY513" s="113"/>
      <c r="GZ513" s="113"/>
      <c r="HA513" s="46">
        <v>0</v>
      </c>
      <c r="HB513" s="113"/>
      <c r="HC513" s="113"/>
      <c r="HD513" s="113"/>
      <c r="HE513" s="113"/>
      <c r="HF513" s="113"/>
      <c r="HG513" s="46">
        <v>0</v>
      </c>
      <c r="HH513" s="113"/>
      <c r="HI513" s="113"/>
      <c r="HJ513" s="113"/>
      <c r="HK513" s="113"/>
      <c r="HL513" s="113"/>
      <c r="HM513" s="121"/>
      <c r="HN513" s="121"/>
      <c r="LM513" t="str">
        <v/>
      </c>
      <c r="LN513" t="str">
        <v/>
      </c>
      <c r="LO513" t="str">
        <v/>
      </c>
    </row>
    <row r="514" spans="30:327">
      <c r="AD514" t="s">
        <v>112</v>
      </c>
      <c r="AE514" t="s">
        <v>23029</v>
      </c>
      <c r="AF514" s="46">
        <v>0</v>
      </c>
      <c r="AG514" s="113"/>
      <c r="AH514" s="113"/>
      <c r="AI514" s="113"/>
      <c r="AJ514" s="113"/>
      <c r="AK514" s="113"/>
      <c r="AL514" s="46">
        <v>0</v>
      </c>
      <c r="AM514" s="113"/>
      <c r="AN514" s="113"/>
      <c r="AO514" s="113"/>
      <c r="AP514" s="113"/>
      <c r="AQ514" s="113"/>
      <c r="AR514" s="46">
        <v>0</v>
      </c>
      <c r="AS514" s="113"/>
      <c r="AT514" s="113"/>
      <c r="AU514" s="113"/>
      <c r="AV514" s="113"/>
      <c r="AW514" s="113"/>
      <c r="AX514" s="46">
        <v>0</v>
      </c>
      <c r="AY514" s="113"/>
      <c r="AZ514" s="113"/>
      <c r="BA514" s="113"/>
      <c r="BB514" s="113"/>
      <c r="BC514" s="113"/>
      <c r="BD514" s="46">
        <v>0</v>
      </c>
      <c r="BE514" s="113"/>
      <c r="BF514" s="113"/>
      <c r="BG514" s="113"/>
      <c r="BH514" s="113"/>
      <c r="BI514" s="113"/>
      <c r="BJ514" s="46">
        <v>0</v>
      </c>
      <c r="BK514" s="113"/>
      <c r="BL514" s="113"/>
      <c r="BM514" s="113"/>
      <c r="BN514" s="113"/>
      <c r="BO514" s="113"/>
      <c r="BP514" s="121"/>
      <c r="BQ514" s="121"/>
      <c r="GA514" t="s">
        <v>112</v>
      </c>
      <c r="GB514" t="s">
        <v>23029</v>
      </c>
      <c r="GC514" s="46">
        <v>0</v>
      </c>
      <c r="GD514" s="113"/>
      <c r="GE514" s="113"/>
      <c r="GF514" s="113"/>
      <c r="GG514" s="113"/>
      <c r="GH514" s="113"/>
      <c r="GI514" s="46">
        <v>0</v>
      </c>
      <c r="GJ514" s="113"/>
      <c r="GK514" s="113"/>
      <c r="GL514" s="113"/>
      <c r="GM514" s="113"/>
      <c r="GN514" s="113"/>
      <c r="GO514" s="46">
        <v>0</v>
      </c>
      <c r="GP514" s="113"/>
      <c r="GQ514" s="113"/>
      <c r="GR514" s="113"/>
      <c r="GS514" s="113"/>
      <c r="GT514" s="113"/>
      <c r="GU514" s="46">
        <v>0</v>
      </c>
      <c r="GV514" s="113"/>
      <c r="GW514" s="113"/>
      <c r="GX514" s="113"/>
      <c r="GY514" s="113"/>
      <c r="GZ514" s="113"/>
      <c r="HA514" s="46">
        <v>0</v>
      </c>
      <c r="HB514" s="113"/>
      <c r="HC514" s="113"/>
      <c r="HD514" s="113"/>
      <c r="HE514" s="113"/>
      <c r="HF514" s="113"/>
      <c r="HG514" s="46">
        <v>0</v>
      </c>
      <c r="HH514" s="113"/>
      <c r="HI514" s="113"/>
      <c r="HJ514" s="113"/>
      <c r="HK514" s="113"/>
      <c r="HL514" s="113"/>
      <c r="HM514" s="121"/>
      <c r="HN514" s="121"/>
      <c r="LM514" t="str">
        <v/>
      </c>
      <c r="LN514" t="str">
        <v/>
      </c>
      <c r="LO514" t="str">
        <v/>
      </c>
    </row>
    <row r="515" spans="30:327">
      <c r="AD515" t="s">
        <v>112</v>
      </c>
      <c r="AE515" t="s">
        <v>23030</v>
      </c>
      <c r="AF515" s="46">
        <v>0</v>
      </c>
      <c r="AG515" s="113"/>
      <c r="AH515" s="113"/>
      <c r="AI515" s="113"/>
      <c r="AJ515" s="113"/>
      <c r="AK515" s="113"/>
      <c r="AL515" s="46">
        <v>0</v>
      </c>
      <c r="AM515" s="113"/>
      <c r="AN515" s="113"/>
      <c r="AO515" s="113"/>
      <c r="AP515" s="113"/>
      <c r="AQ515" s="113"/>
      <c r="AR515" s="46">
        <v>0</v>
      </c>
      <c r="AS515" s="113"/>
      <c r="AT515" s="113"/>
      <c r="AU515" s="113"/>
      <c r="AV515" s="113"/>
      <c r="AW515" s="113"/>
      <c r="AX515" s="46">
        <v>0</v>
      </c>
      <c r="AY515" s="113"/>
      <c r="AZ515" s="113"/>
      <c r="BA515" s="113"/>
      <c r="BB515" s="113"/>
      <c r="BC515" s="113"/>
      <c r="BD515" s="46">
        <v>0</v>
      </c>
      <c r="BE515" s="113"/>
      <c r="BF515" s="113"/>
      <c r="BG515" s="113"/>
      <c r="BH515" s="113"/>
      <c r="BI515" s="113"/>
      <c r="BJ515" s="46">
        <v>0</v>
      </c>
      <c r="BK515" s="113"/>
      <c r="BL515" s="113"/>
      <c r="BM515" s="113"/>
      <c r="BN515" s="113"/>
      <c r="BO515" s="113"/>
      <c r="BP515" s="121"/>
      <c r="BQ515" s="121"/>
      <c r="GA515" t="s">
        <v>112</v>
      </c>
      <c r="GB515" t="s">
        <v>23030</v>
      </c>
      <c r="GC515" s="46">
        <v>0</v>
      </c>
      <c r="GD515" s="113"/>
      <c r="GE515" s="113"/>
      <c r="GF515" s="113"/>
      <c r="GG515" s="113"/>
      <c r="GH515" s="113"/>
      <c r="GI515" s="46">
        <v>0</v>
      </c>
      <c r="GJ515" s="113"/>
      <c r="GK515" s="113"/>
      <c r="GL515" s="113"/>
      <c r="GM515" s="113"/>
      <c r="GN515" s="113"/>
      <c r="GO515" s="46">
        <v>0</v>
      </c>
      <c r="GP515" s="113"/>
      <c r="GQ515" s="113"/>
      <c r="GR515" s="113"/>
      <c r="GS515" s="113"/>
      <c r="GT515" s="113"/>
      <c r="GU515" s="46">
        <v>0</v>
      </c>
      <c r="GV515" s="113"/>
      <c r="GW515" s="113"/>
      <c r="GX515" s="113"/>
      <c r="GY515" s="113"/>
      <c r="GZ515" s="113"/>
      <c r="HA515" s="46">
        <v>0</v>
      </c>
      <c r="HB515" s="113"/>
      <c r="HC515" s="113"/>
      <c r="HD515" s="113"/>
      <c r="HE515" s="113"/>
      <c r="HF515" s="113"/>
      <c r="HG515" s="46">
        <v>0</v>
      </c>
      <c r="HH515" s="113"/>
      <c r="HI515" s="113"/>
      <c r="HJ515" s="113"/>
      <c r="HK515" s="113"/>
      <c r="HL515" s="113"/>
      <c r="HM515" s="121"/>
      <c r="HN515" s="121"/>
      <c r="LM515" t="str">
        <v/>
      </c>
      <c r="LN515" t="str">
        <v/>
      </c>
      <c r="LO515" t="str">
        <v/>
      </c>
    </row>
    <row r="516" spans="30:327">
      <c r="AD516" t="s">
        <v>112</v>
      </c>
      <c r="AE516" t="s">
        <v>23031</v>
      </c>
      <c r="AF516" s="46">
        <v>0</v>
      </c>
      <c r="AG516" s="113"/>
      <c r="AH516" s="113"/>
      <c r="AI516" s="113"/>
      <c r="AJ516" s="113"/>
      <c r="AK516" s="113"/>
      <c r="AL516" s="46">
        <v>0</v>
      </c>
      <c r="AM516" s="113"/>
      <c r="AN516" s="113"/>
      <c r="AO516" s="113"/>
      <c r="AP516" s="113"/>
      <c r="AQ516" s="113"/>
      <c r="AR516" s="46">
        <v>0</v>
      </c>
      <c r="AS516" s="113"/>
      <c r="AT516" s="113"/>
      <c r="AU516" s="113"/>
      <c r="AV516" s="113"/>
      <c r="AW516" s="113"/>
      <c r="AX516" s="46">
        <v>0</v>
      </c>
      <c r="AY516" s="113"/>
      <c r="AZ516" s="113"/>
      <c r="BA516" s="113"/>
      <c r="BB516" s="113"/>
      <c r="BC516" s="113"/>
      <c r="BD516" s="46">
        <v>0</v>
      </c>
      <c r="BE516" s="113"/>
      <c r="BF516" s="113"/>
      <c r="BG516" s="113"/>
      <c r="BH516" s="113"/>
      <c r="BI516" s="113"/>
      <c r="BJ516" s="46">
        <v>0</v>
      </c>
      <c r="BK516" s="113"/>
      <c r="BL516" s="113"/>
      <c r="BM516" s="113"/>
      <c r="BN516" s="113"/>
      <c r="BO516" s="113"/>
      <c r="BP516" s="121"/>
      <c r="BQ516" s="121"/>
      <c r="GA516" t="s">
        <v>112</v>
      </c>
      <c r="GB516" t="s">
        <v>23031</v>
      </c>
      <c r="GC516" s="46">
        <v>0</v>
      </c>
      <c r="GD516" s="113"/>
      <c r="GE516" s="113"/>
      <c r="GF516" s="113"/>
      <c r="GG516" s="113"/>
      <c r="GH516" s="113"/>
      <c r="GI516" s="46">
        <v>0</v>
      </c>
      <c r="GJ516" s="113"/>
      <c r="GK516" s="113"/>
      <c r="GL516" s="113"/>
      <c r="GM516" s="113"/>
      <c r="GN516" s="113"/>
      <c r="GO516" s="46">
        <v>0</v>
      </c>
      <c r="GP516" s="113"/>
      <c r="GQ516" s="113"/>
      <c r="GR516" s="113"/>
      <c r="GS516" s="113"/>
      <c r="GT516" s="113"/>
      <c r="GU516" s="46">
        <v>0</v>
      </c>
      <c r="GV516" s="113"/>
      <c r="GW516" s="113"/>
      <c r="GX516" s="113"/>
      <c r="GY516" s="113"/>
      <c r="GZ516" s="113"/>
      <c r="HA516" s="46">
        <v>0</v>
      </c>
      <c r="HB516" s="113"/>
      <c r="HC516" s="113"/>
      <c r="HD516" s="113"/>
      <c r="HE516" s="113"/>
      <c r="HF516" s="113"/>
      <c r="HG516" s="46">
        <v>0</v>
      </c>
      <c r="HH516" s="113"/>
      <c r="HI516" s="113"/>
      <c r="HJ516" s="113"/>
      <c r="HK516" s="113"/>
      <c r="HL516" s="113"/>
      <c r="HM516" s="121"/>
      <c r="HN516" s="121"/>
      <c r="LM516" t="str">
        <v/>
      </c>
      <c r="LN516" t="str">
        <v/>
      </c>
      <c r="LO516" t="str">
        <v/>
      </c>
    </row>
    <row r="517" spans="30:327">
      <c r="AD517" t="s">
        <v>112</v>
      </c>
      <c r="AE517" t="s">
        <v>23032</v>
      </c>
      <c r="AF517" s="46">
        <v>0</v>
      </c>
      <c r="AG517" s="113"/>
      <c r="AH517" s="113"/>
      <c r="AI517" s="113"/>
      <c r="AJ517" s="113"/>
      <c r="AK517" s="113"/>
      <c r="AL517" s="46">
        <v>0</v>
      </c>
      <c r="AM517" s="113"/>
      <c r="AN517" s="113"/>
      <c r="AO517" s="113"/>
      <c r="AP517" s="113"/>
      <c r="AQ517" s="113"/>
      <c r="AR517" s="46">
        <v>0</v>
      </c>
      <c r="AS517" s="113"/>
      <c r="AT517" s="113"/>
      <c r="AU517" s="113"/>
      <c r="AV517" s="113"/>
      <c r="AW517" s="113"/>
      <c r="AX517" s="46">
        <v>0</v>
      </c>
      <c r="AY517" s="113"/>
      <c r="AZ517" s="113"/>
      <c r="BA517" s="113"/>
      <c r="BB517" s="113"/>
      <c r="BC517" s="113"/>
      <c r="BD517" s="46">
        <v>0</v>
      </c>
      <c r="BE517" s="113"/>
      <c r="BF517" s="113"/>
      <c r="BG517" s="113"/>
      <c r="BH517" s="113"/>
      <c r="BI517" s="113"/>
      <c r="BJ517" s="46">
        <v>0</v>
      </c>
      <c r="BK517" s="113"/>
      <c r="BL517" s="113"/>
      <c r="BM517" s="113"/>
      <c r="BN517" s="113"/>
      <c r="BO517" s="113"/>
      <c r="BP517" s="121"/>
      <c r="BQ517" s="121"/>
      <c r="GA517" t="s">
        <v>112</v>
      </c>
      <c r="GB517" t="s">
        <v>23032</v>
      </c>
      <c r="GC517" s="46">
        <v>0</v>
      </c>
      <c r="GD517" s="113"/>
      <c r="GE517" s="113"/>
      <c r="GF517" s="113"/>
      <c r="GG517" s="113"/>
      <c r="GH517" s="113"/>
      <c r="GI517" s="46">
        <v>0</v>
      </c>
      <c r="GJ517" s="113"/>
      <c r="GK517" s="113"/>
      <c r="GL517" s="113"/>
      <c r="GM517" s="113"/>
      <c r="GN517" s="113"/>
      <c r="GO517" s="46">
        <v>0</v>
      </c>
      <c r="GP517" s="113"/>
      <c r="GQ517" s="113"/>
      <c r="GR517" s="113"/>
      <c r="GS517" s="113"/>
      <c r="GT517" s="113"/>
      <c r="GU517" s="46">
        <v>0</v>
      </c>
      <c r="GV517" s="113"/>
      <c r="GW517" s="113"/>
      <c r="GX517" s="113"/>
      <c r="GY517" s="113"/>
      <c r="GZ517" s="113"/>
      <c r="HA517" s="46">
        <v>0</v>
      </c>
      <c r="HB517" s="113"/>
      <c r="HC517" s="113"/>
      <c r="HD517" s="113"/>
      <c r="HE517" s="113"/>
      <c r="HF517" s="113"/>
      <c r="HG517" s="46">
        <v>0</v>
      </c>
      <c r="HH517" s="113"/>
      <c r="HI517" s="113"/>
      <c r="HJ517" s="113"/>
      <c r="HK517" s="113"/>
      <c r="HL517" s="113"/>
      <c r="HM517" s="121"/>
      <c r="HN517" s="121"/>
      <c r="LM517" t="str">
        <v/>
      </c>
      <c r="LN517" t="str">
        <v/>
      </c>
      <c r="LO517" t="str">
        <v/>
      </c>
    </row>
    <row r="518" spans="30:327">
      <c r="AD518" t="s">
        <v>112</v>
      </c>
      <c r="AE518" t="s">
        <v>23033</v>
      </c>
      <c r="AF518" s="46">
        <v>0</v>
      </c>
      <c r="AG518" s="113"/>
      <c r="AH518" s="113"/>
      <c r="AI518" s="113"/>
      <c r="AJ518" s="113"/>
      <c r="AK518" s="113"/>
      <c r="AL518" s="46">
        <v>0</v>
      </c>
      <c r="AM518" s="113"/>
      <c r="AN518" s="113"/>
      <c r="AO518" s="113"/>
      <c r="AP518" s="113"/>
      <c r="AQ518" s="113"/>
      <c r="AR518" s="46">
        <v>0</v>
      </c>
      <c r="AS518" s="113"/>
      <c r="AT518" s="113"/>
      <c r="AU518" s="113"/>
      <c r="AV518" s="113"/>
      <c r="AW518" s="113"/>
      <c r="AX518" s="46">
        <v>0</v>
      </c>
      <c r="AY518" s="113"/>
      <c r="AZ518" s="113"/>
      <c r="BA518" s="113"/>
      <c r="BB518" s="113"/>
      <c r="BC518" s="113"/>
      <c r="BD518" s="46">
        <v>0</v>
      </c>
      <c r="BE518" s="113"/>
      <c r="BF518" s="113"/>
      <c r="BG518" s="113"/>
      <c r="BH518" s="113"/>
      <c r="BI518" s="113"/>
      <c r="BJ518" s="46">
        <v>0</v>
      </c>
      <c r="BK518" s="113"/>
      <c r="BL518" s="113"/>
      <c r="BM518" s="113"/>
      <c r="BN518" s="113"/>
      <c r="BO518" s="113"/>
      <c r="BP518" s="121"/>
      <c r="BQ518" s="121"/>
      <c r="GA518" t="s">
        <v>112</v>
      </c>
      <c r="GB518" t="s">
        <v>23033</v>
      </c>
      <c r="GC518" s="46">
        <v>0</v>
      </c>
      <c r="GD518" s="113"/>
      <c r="GE518" s="113"/>
      <c r="GF518" s="113"/>
      <c r="GG518" s="113"/>
      <c r="GH518" s="113"/>
      <c r="GI518" s="46">
        <v>0</v>
      </c>
      <c r="GJ518" s="113"/>
      <c r="GK518" s="113"/>
      <c r="GL518" s="113"/>
      <c r="GM518" s="113"/>
      <c r="GN518" s="113"/>
      <c r="GO518" s="46">
        <v>0</v>
      </c>
      <c r="GP518" s="113"/>
      <c r="GQ518" s="113"/>
      <c r="GR518" s="113"/>
      <c r="GS518" s="113"/>
      <c r="GT518" s="113"/>
      <c r="GU518" s="46">
        <v>0</v>
      </c>
      <c r="GV518" s="113"/>
      <c r="GW518" s="113"/>
      <c r="GX518" s="113"/>
      <c r="GY518" s="113"/>
      <c r="GZ518" s="113"/>
      <c r="HA518" s="46">
        <v>0</v>
      </c>
      <c r="HB518" s="113"/>
      <c r="HC518" s="113"/>
      <c r="HD518" s="113"/>
      <c r="HE518" s="113"/>
      <c r="HF518" s="113"/>
      <c r="HG518" s="46">
        <v>0</v>
      </c>
      <c r="HH518" s="113"/>
      <c r="HI518" s="113"/>
      <c r="HJ518" s="113"/>
      <c r="HK518" s="113"/>
      <c r="HL518" s="113"/>
      <c r="HM518" s="121"/>
      <c r="HN518" s="121"/>
      <c r="LM518" t="str">
        <v/>
      </c>
      <c r="LN518" t="str">
        <v/>
      </c>
      <c r="LO518" t="str">
        <v/>
      </c>
    </row>
    <row r="519" spans="30:327">
      <c r="AD519" t="s">
        <v>112</v>
      </c>
      <c r="AE519" t="s">
        <v>23034</v>
      </c>
      <c r="AF519" s="46">
        <v>0</v>
      </c>
      <c r="AG519" s="113"/>
      <c r="AH519" s="113"/>
      <c r="AI519" s="113"/>
      <c r="AJ519" s="113"/>
      <c r="AK519" s="113"/>
      <c r="AL519" s="46">
        <v>0</v>
      </c>
      <c r="AM519" s="113"/>
      <c r="AN519" s="113"/>
      <c r="AO519" s="113"/>
      <c r="AP519" s="113"/>
      <c r="AQ519" s="113"/>
      <c r="AR519" s="46">
        <v>0</v>
      </c>
      <c r="AS519" s="113"/>
      <c r="AT519" s="113"/>
      <c r="AU519" s="113"/>
      <c r="AV519" s="113"/>
      <c r="AW519" s="113"/>
      <c r="AX519" s="46">
        <v>0</v>
      </c>
      <c r="AY519" s="113"/>
      <c r="AZ519" s="113"/>
      <c r="BA519" s="113"/>
      <c r="BB519" s="113"/>
      <c r="BC519" s="113"/>
      <c r="BD519" s="46">
        <v>0</v>
      </c>
      <c r="BE519" s="113"/>
      <c r="BF519" s="113"/>
      <c r="BG519" s="113"/>
      <c r="BH519" s="113"/>
      <c r="BI519" s="113"/>
      <c r="BJ519" s="46">
        <v>0</v>
      </c>
      <c r="BK519" s="113"/>
      <c r="BL519" s="113"/>
      <c r="BM519" s="113"/>
      <c r="BN519" s="113"/>
      <c r="BO519" s="113"/>
      <c r="BP519" s="121"/>
      <c r="BQ519" s="121"/>
      <c r="GA519" t="s">
        <v>112</v>
      </c>
      <c r="GB519" t="s">
        <v>23034</v>
      </c>
      <c r="GC519" s="46">
        <v>0</v>
      </c>
      <c r="GD519" s="113"/>
      <c r="GE519" s="113"/>
      <c r="GF519" s="113"/>
      <c r="GG519" s="113"/>
      <c r="GH519" s="113"/>
      <c r="GI519" s="46">
        <v>0</v>
      </c>
      <c r="GJ519" s="113"/>
      <c r="GK519" s="113"/>
      <c r="GL519" s="113"/>
      <c r="GM519" s="113"/>
      <c r="GN519" s="113"/>
      <c r="GO519" s="46">
        <v>0</v>
      </c>
      <c r="GP519" s="113"/>
      <c r="GQ519" s="113"/>
      <c r="GR519" s="113"/>
      <c r="GS519" s="113"/>
      <c r="GT519" s="113"/>
      <c r="GU519" s="46">
        <v>0</v>
      </c>
      <c r="GV519" s="113"/>
      <c r="GW519" s="113"/>
      <c r="GX519" s="113"/>
      <c r="GY519" s="113"/>
      <c r="GZ519" s="113"/>
      <c r="HA519" s="46">
        <v>0</v>
      </c>
      <c r="HB519" s="113"/>
      <c r="HC519" s="113"/>
      <c r="HD519" s="113"/>
      <c r="HE519" s="113"/>
      <c r="HF519" s="113"/>
      <c r="HG519" s="46">
        <v>0</v>
      </c>
      <c r="HH519" s="113"/>
      <c r="HI519" s="113"/>
      <c r="HJ519" s="113"/>
      <c r="HK519" s="113"/>
      <c r="HL519" s="113"/>
      <c r="HM519" s="121"/>
      <c r="HN519" s="121"/>
      <c r="LM519" t="str">
        <v/>
      </c>
      <c r="LN519" t="str">
        <v/>
      </c>
      <c r="LO519" t="str">
        <v/>
      </c>
    </row>
    <row r="520" spans="30:327">
      <c r="AD520" t="s">
        <v>112</v>
      </c>
      <c r="AE520" t="s">
        <v>23035</v>
      </c>
      <c r="AF520" s="46">
        <v>0</v>
      </c>
      <c r="AG520" s="113"/>
      <c r="AH520" s="113"/>
      <c r="AI520" s="113"/>
      <c r="AJ520" s="113"/>
      <c r="AK520" s="113"/>
      <c r="AL520" s="46">
        <v>0</v>
      </c>
      <c r="AM520" s="113"/>
      <c r="AN520" s="113"/>
      <c r="AO520" s="113"/>
      <c r="AP520" s="113"/>
      <c r="AQ520" s="113"/>
      <c r="AR520" s="46">
        <v>0</v>
      </c>
      <c r="AS520" s="113"/>
      <c r="AT520" s="113"/>
      <c r="AU520" s="113"/>
      <c r="AV520" s="113"/>
      <c r="AW520" s="113"/>
      <c r="AX520" s="46">
        <v>0</v>
      </c>
      <c r="AY520" s="113"/>
      <c r="AZ520" s="113"/>
      <c r="BA520" s="113"/>
      <c r="BB520" s="113"/>
      <c r="BC520" s="113"/>
      <c r="BD520" s="46">
        <v>0</v>
      </c>
      <c r="BE520" s="113"/>
      <c r="BF520" s="113"/>
      <c r="BG520" s="113"/>
      <c r="BH520" s="113"/>
      <c r="BI520" s="113"/>
      <c r="BJ520" s="46">
        <v>0</v>
      </c>
      <c r="BK520" s="113"/>
      <c r="BL520" s="113"/>
      <c r="BM520" s="113"/>
      <c r="BN520" s="113"/>
      <c r="BO520" s="113"/>
      <c r="BP520" s="121"/>
      <c r="BQ520" s="121"/>
      <c r="GA520" t="s">
        <v>112</v>
      </c>
      <c r="GB520" t="s">
        <v>23035</v>
      </c>
      <c r="GC520" s="46">
        <v>0</v>
      </c>
      <c r="GD520" s="113"/>
      <c r="GE520" s="113"/>
      <c r="GF520" s="113"/>
      <c r="GG520" s="113"/>
      <c r="GH520" s="113"/>
      <c r="GI520" s="46">
        <v>0</v>
      </c>
      <c r="GJ520" s="113"/>
      <c r="GK520" s="113"/>
      <c r="GL520" s="113"/>
      <c r="GM520" s="113"/>
      <c r="GN520" s="113"/>
      <c r="GO520" s="46">
        <v>0</v>
      </c>
      <c r="GP520" s="113"/>
      <c r="GQ520" s="113"/>
      <c r="GR520" s="113"/>
      <c r="GS520" s="113"/>
      <c r="GT520" s="113"/>
      <c r="GU520" s="46">
        <v>0</v>
      </c>
      <c r="GV520" s="113"/>
      <c r="GW520" s="113"/>
      <c r="GX520" s="113"/>
      <c r="GY520" s="113"/>
      <c r="GZ520" s="113"/>
      <c r="HA520" s="46">
        <v>0</v>
      </c>
      <c r="HB520" s="113"/>
      <c r="HC520" s="113"/>
      <c r="HD520" s="113"/>
      <c r="HE520" s="113"/>
      <c r="HF520" s="113"/>
      <c r="HG520" s="46">
        <v>0</v>
      </c>
      <c r="HH520" s="113"/>
      <c r="HI520" s="113"/>
      <c r="HJ520" s="113"/>
      <c r="HK520" s="113"/>
      <c r="HL520" s="113"/>
      <c r="HM520" s="121"/>
      <c r="HN520" s="121"/>
      <c r="LM520" t="str">
        <v/>
      </c>
      <c r="LN520" t="str">
        <v/>
      </c>
      <c r="LO520" t="str">
        <v/>
      </c>
    </row>
    <row r="521" spans="30:327">
      <c r="AD521" t="s">
        <v>112</v>
      </c>
      <c r="AE521" t="s">
        <v>23036</v>
      </c>
      <c r="AF521" s="46">
        <v>0</v>
      </c>
      <c r="AG521" s="113"/>
      <c r="AH521" s="113"/>
      <c r="AI521" s="113"/>
      <c r="AJ521" s="113"/>
      <c r="AK521" s="113"/>
      <c r="AL521" s="46">
        <v>0</v>
      </c>
      <c r="AM521" s="113"/>
      <c r="AN521" s="113"/>
      <c r="AO521" s="113"/>
      <c r="AP521" s="113"/>
      <c r="AQ521" s="113"/>
      <c r="AR521" s="46">
        <v>0</v>
      </c>
      <c r="AS521" s="113"/>
      <c r="AT521" s="113"/>
      <c r="AU521" s="113"/>
      <c r="AV521" s="113"/>
      <c r="AW521" s="113"/>
      <c r="AX521" s="46">
        <v>0</v>
      </c>
      <c r="AY521" s="113"/>
      <c r="AZ521" s="113"/>
      <c r="BA521" s="113"/>
      <c r="BB521" s="113"/>
      <c r="BC521" s="113"/>
      <c r="BD521" s="46">
        <v>0</v>
      </c>
      <c r="BE521" s="113"/>
      <c r="BF521" s="113"/>
      <c r="BG521" s="113"/>
      <c r="BH521" s="113"/>
      <c r="BI521" s="113"/>
      <c r="BJ521" s="46">
        <v>0</v>
      </c>
      <c r="BK521" s="113"/>
      <c r="BL521" s="113"/>
      <c r="BM521" s="113"/>
      <c r="BN521" s="113"/>
      <c r="BO521" s="113"/>
      <c r="BP521" s="121"/>
      <c r="BQ521" s="121"/>
      <c r="GA521" t="s">
        <v>112</v>
      </c>
      <c r="GB521" t="s">
        <v>23036</v>
      </c>
      <c r="GC521" s="46">
        <v>0</v>
      </c>
      <c r="GD521" s="113"/>
      <c r="GE521" s="113"/>
      <c r="GF521" s="113"/>
      <c r="GG521" s="113"/>
      <c r="GH521" s="113"/>
      <c r="GI521" s="46">
        <v>0</v>
      </c>
      <c r="GJ521" s="113"/>
      <c r="GK521" s="113"/>
      <c r="GL521" s="113"/>
      <c r="GM521" s="113"/>
      <c r="GN521" s="113"/>
      <c r="GO521" s="46">
        <v>0</v>
      </c>
      <c r="GP521" s="113"/>
      <c r="GQ521" s="113"/>
      <c r="GR521" s="113"/>
      <c r="GS521" s="113"/>
      <c r="GT521" s="113"/>
      <c r="GU521" s="46">
        <v>0</v>
      </c>
      <c r="GV521" s="113"/>
      <c r="GW521" s="113"/>
      <c r="GX521" s="113"/>
      <c r="GY521" s="113"/>
      <c r="GZ521" s="113"/>
      <c r="HA521" s="46">
        <v>0</v>
      </c>
      <c r="HB521" s="113"/>
      <c r="HC521" s="113"/>
      <c r="HD521" s="113"/>
      <c r="HE521" s="113"/>
      <c r="HF521" s="113"/>
      <c r="HG521" s="46">
        <v>0</v>
      </c>
      <c r="HH521" s="113"/>
      <c r="HI521" s="113"/>
      <c r="HJ521" s="113"/>
      <c r="HK521" s="113"/>
      <c r="HL521" s="113"/>
      <c r="HM521" s="121"/>
      <c r="HN521" s="121"/>
      <c r="LM521" t="str">
        <v/>
      </c>
      <c r="LN521" t="str">
        <v/>
      </c>
      <c r="LO521" t="str">
        <v/>
      </c>
    </row>
    <row r="522" spans="30:327">
      <c r="AD522" t="s">
        <v>112</v>
      </c>
      <c r="AE522" t="s">
        <v>23037</v>
      </c>
      <c r="AF522" s="46">
        <v>0</v>
      </c>
      <c r="AG522" s="113"/>
      <c r="AH522" s="113"/>
      <c r="AI522" s="113"/>
      <c r="AJ522" s="113"/>
      <c r="AK522" s="113"/>
      <c r="AL522" s="46">
        <v>0</v>
      </c>
      <c r="AM522" s="113"/>
      <c r="AN522" s="113"/>
      <c r="AO522" s="113"/>
      <c r="AP522" s="113"/>
      <c r="AQ522" s="113"/>
      <c r="AR522" s="46">
        <v>0</v>
      </c>
      <c r="AS522" s="113"/>
      <c r="AT522" s="113"/>
      <c r="AU522" s="113"/>
      <c r="AV522" s="113"/>
      <c r="AW522" s="113"/>
      <c r="AX522" s="46">
        <v>0</v>
      </c>
      <c r="AY522" s="113"/>
      <c r="AZ522" s="113"/>
      <c r="BA522" s="113"/>
      <c r="BB522" s="113"/>
      <c r="BC522" s="113"/>
      <c r="BD522" s="46">
        <v>0</v>
      </c>
      <c r="BE522" s="113"/>
      <c r="BF522" s="113"/>
      <c r="BG522" s="113"/>
      <c r="BH522" s="113"/>
      <c r="BI522" s="113"/>
      <c r="BJ522" s="46">
        <v>0</v>
      </c>
      <c r="BK522" s="113"/>
      <c r="BL522" s="113"/>
      <c r="BM522" s="113"/>
      <c r="BN522" s="113"/>
      <c r="BO522" s="113"/>
      <c r="BP522" s="121"/>
      <c r="BQ522" s="121"/>
      <c r="GA522" t="s">
        <v>112</v>
      </c>
      <c r="GB522" t="s">
        <v>23037</v>
      </c>
      <c r="GC522" s="46">
        <v>0</v>
      </c>
      <c r="GD522" s="113"/>
      <c r="GE522" s="113"/>
      <c r="GF522" s="113"/>
      <c r="GG522" s="113"/>
      <c r="GH522" s="113"/>
      <c r="GI522" s="46">
        <v>0</v>
      </c>
      <c r="GJ522" s="113"/>
      <c r="GK522" s="113"/>
      <c r="GL522" s="113"/>
      <c r="GM522" s="113"/>
      <c r="GN522" s="113"/>
      <c r="GO522" s="46">
        <v>0</v>
      </c>
      <c r="GP522" s="113"/>
      <c r="GQ522" s="113"/>
      <c r="GR522" s="113"/>
      <c r="GS522" s="113"/>
      <c r="GT522" s="113"/>
      <c r="GU522" s="46">
        <v>0</v>
      </c>
      <c r="GV522" s="113"/>
      <c r="GW522" s="113"/>
      <c r="GX522" s="113"/>
      <c r="GY522" s="113"/>
      <c r="GZ522" s="113"/>
      <c r="HA522" s="46">
        <v>0</v>
      </c>
      <c r="HB522" s="113"/>
      <c r="HC522" s="113"/>
      <c r="HD522" s="113"/>
      <c r="HE522" s="113"/>
      <c r="HF522" s="113"/>
      <c r="HG522" s="46">
        <v>0</v>
      </c>
      <c r="HH522" s="113"/>
      <c r="HI522" s="113"/>
      <c r="HJ522" s="113"/>
      <c r="HK522" s="113"/>
      <c r="HL522" s="113"/>
      <c r="HM522" s="121"/>
      <c r="HN522" s="121"/>
      <c r="LM522" t="str">
        <v/>
      </c>
      <c r="LN522" t="str">
        <v/>
      </c>
      <c r="LO522" t="str">
        <v/>
      </c>
    </row>
    <row r="523" spans="30:327">
      <c r="AD523" t="s">
        <v>112</v>
      </c>
      <c r="AE523" t="s">
        <v>23038</v>
      </c>
      <c r="AF523" s="46">
        <v>0</v>
      </c>
      <c r="AG523" s="113"/>
      <c r="AH523" s="113"/>
      <c r="AI523" s="113"/>
      <c r="AJ523" s="113"/>
      <c r="AK523" s="113"/>
      <c r="AL523" s="46">
        <v>0</v>
      </c>
      <c r="AM523" s="113"/>
      <c r="AN523" s="113"/>
      <c r="AO523" s="113"/>
      <c r="AP523" s="113"/>
      <c r="AQ523" s="113"/>
      <c r="AR523" s="46">
        <v>0</v>
      </c>
      <c r="AS523" s="113"/>
      <c r="AT523" s="113"/>
      <c r="AU523" s="113"/>
      <c r="AV523" s="113"/>
      <c r="AW523" s="113"/>
      <c r="AX523" s="46">
        <v>0</v>
      </c>
      <c r="AY523" s="113"/>
      <c r="AZ523" s="113"/>
      <c r="BA523" s="113"/>
      <c r="BB523" s="113"/>
      <c r="BC523" s="113"/>
      <c r="BD523" s="46">
        <v>0</v>
      </c>
      <c r="BE523" s="113"/>
      <c r="BF523" s="113"/>
      <c r="BG523" s="113"/>
      <c r="BH523" s="113"/>
      <c r="BI523" s="113"/>
      <c r="BJ523" s="46">
        <v>0</v>
      </c>
      <c r="BK523" s="113"/>
      <c r="BL523" s="113"/>
      <c r="BM523" s="113"/>
      <c r="BN523" s="113"/>
      <c r="BO523" s="113"/>
      <c r="BP523" s="121"/>
      <c r="BQ523" s="121"/>
      <c r="GA523" t="s">
        <v>112</v>
      </c>
      <c r="GB523" t="s">
        <v>23038</v>
      </c>
      <c r="GC523" s="46">
        <v>0</v>
      </c>
      <c r="GD523" s="113"/>
      <c r="GE523" s="113"/>
      <c r="GF523" s="113"/>
      <c r="GG523" s="113"/>
      <c r="GH523" s="113"/>
      <c r="GI523" s="46">
        <v>0</v>
      </c>
      <c r="GJ523" s="113"/>
      <c r="GK523" s="113"/>
      <c r="GL523" s="113"/>
      <c r="GM523" s="113"/>
      <c r="GN523" s="113"/>
      <c r="GO523" s="46">
        <v>0</v>
      </c>
      <c r="GP523" s="113"/>
      <c r="GQ523" s="113"/>
      <c r="GR523" s="113"/>
      <c r="GS523" s="113"/>
      <c r="GT523" s="113"/>
      <c r="GU523" s="46">
        <v>0</v>
      </c>
      <c r="GV523" s="113"/>
      <c r="GW523" s="113"/>
      <c r="GX523" s="113"/>
      <c r="GY523" s="113"/>
      <c r="GZ523" s="113"/>
      <c r="HA523" s="46">
        <v>0</v>
      </c>
      <c r="HB523" s="113"/>
      <c r="HC523" s="113"/>
      <c r="HD523" s="113"/>
      <c r="HE523" s="113"/>
      <c r="HF523" s="113"/>
      <c r="HG523" s="46">
        <v>0</v>
      </c>
      <c r="HH523" s="113"/>
      <c r="HI523" s="113"/>
      <c r="HJ523" s="113"/>
      <c r="HK523" s="113"/>
      <c r="HL523" s="113"/>
      <c r="HM523" s="121"/>
      <c r="HN523" s="121"/>
      <c r="LM523" t="str">
        <v/>
      </c>
      <c r="LN523" t="str">
        <v/>
      </c>
      <c r="LO523" t="str">
        <v/>
      </c>
    </row>
    <row r="524" spans="30:327">
      <c r="AD524" t="s">
        <v>112</v>
      </c>
      <c r="AE524" t="s">
        <v>23039</v>
      </c>
      <c r="AF524" s="46">
        <v>0</v>
      </c>
      <c r="AG524" s="113"/>
      <c r="AH524" s="113"/>
      <c r="AI524" s="113"/>
      <c r="AJ524" s="113"/>
      <c r="AK524" s="113"/>
      <c r="AL524" s="46">
        <v>0</v>
      </c>
      <c r="AM524" s="113"/>
      <c r="AN524" s="113"/>
      <c r="AO524" s="113"/>
      <c r="AP524" s="113"/>
      <c r="AQ524" s="113"/>
      <c r="AR524" s="46">
        <v>0</v>
      </c>
      <c r="AS524" s="113"/>
      <c r="AT524" s="113"/>
      <c r="AU524" s="113"/>
      <c r="AV524" s="113"/>
      <c r="AW524" s="113"/>
      <c r="AX524" s="46">
        <v>0</v>
      </c>
      <c r="AY524" s="113"/>
      <c r="AZ524" s="113"/>
      <c r="BA524" s="113"/>
      <c r="BB524" s="113"/>
      <c r="BC524" s="113"/>
      <c r="BD524" s="46">
        <v>0</v>
      </c>
      <c r="BE524" s="113"/>
      <c r="BF524" s="113"/>
      <c r="BG524" s="113"/>
      <c r="BH524" s="113"/>
      <c r="BI524" s="113"/>
      <c r="BJ524" s="46">
        <v>0</v>
      </c>
      <c r="BK524" s="113"/>
      <c r="BL524" s="113"/>
      <c r="BM524" s="113"/>
      <c r="BN524" s="113"/>
      <c r="BO524" s="113"/>
      <c r="BP524" s="121"/>
      <c r="BQ524" s="121"/>
      <c r="GA524" t="s">
        <v>112</v>
      </c>
      <c r="GB524" t="s">
        <v>23039</v>
      </c>
      <c r="GC524" s="46">
        <v>0</v>
      </c>
      <c r="GD524" s="113"/>
      <c r="GE524" s="113"/>
      <c r="GF524" s="113"/>
      <c r="GG524" s="113"/>
      <c r="GH524" s="113"/>
      <c r="GI524" s="46">
        <v>0</v>
      </c>
      <c r="GJ524" s="113"/>
      <c r="GK524" s="113"/>
      <c r="GL524" s="113"/>
      <c r="GM524" s="113"/>
      <c r="GN524" s="113"/>
      <c r="GO524" s="46">
        <v>0</v>
      </c>
      <c r="GP524" s="113"/>
      <c r="GQ524" s="113"/>
      <c r="GR524" s="113"/>
      <c r="GS524" s="113"/>
      <c r="GT524" s="113"/>
      <c r="GU524" s="46">
        <v>0</v>
      </c>
      <c r="GV524" s="113"/>
      <c r="GW524" s="113"/>
      <c r="GX524" s="113"/>
      <c r="GY524" s="113"/>
      <c r="GZ524" s="113"/>
      <c r="HA524" s="46">
        <v>0</v>
      </c>
      <c r="HB524" s="113"/>
      <c r="HC524" s="113"/>
      <c r="HD524" s="113"/>
      <c r="HE524" s="113"/>
      <c r="HF524" s="113"/>
      <c r="HG524" s="46">
        <v>0</v>
      </c>
      <c r="HH524" s="113"/>
      <c r="HI524" s="113"/>
      <c r="HJ524" s="113"/>
      <c r="HK524" s="113"/>
      <c r="HL524" s="113"/>
      <c r="HM524" s="121"/>
      <c r="HN524" s="121"/>
      <c r="LM524" t="str">
        <v/>
      </c>
      <c r="LN524" t="str">
        <v/>
      </c>
      <c r="LO524" t="str">
        <v/>
      </c>
    </row>
    <row r="525" spans="30:327">
      <c r="AD525" t="s">
        <v>112</v>
      </c>
      <c r="AE525" t="s">
        <v>23040</v>
      </c>
      <c r="AF525" s="46">
        <v>0</v>
      </c>
      <c r="AG525" s="113"/>
      <c r="AH525" s="113"/>
      <c r="AI525" s="113"/>
      <c r="AJ525" s="113"/>
      <c r="AK525" s="113"/>
      <c r="AL525" s="46">
        <v>0</v>
      </c>
      <c r="AM525" s="113"/>
      <c r="AN525" s="113"/>
      <c r="AO525" s="113"/>
      <c r="AP525" s="113"/>
      <c r="AQ525" s="113"/>
      <c r="AR525" s="46">
        <v>0</v>
      </c>
      <c r="AS525" s="113"/>
      <c r="AT525" s="113"/>
      <c r="AU525" s="113"/>
      <c r="AV525" s="113"/>
      <c r="AW525" s="113"/>
      <c r="AX525" s="46">
        <v>0</v>
      </c>
      <c r="AY525" s="113"/>
      <c r="AZ525" s="113"/>
      <c r="BA525" s="113"/>
      <c r="BB525" s="113"/>
      <c r="BC525" s="113"/>
      <c r="BD525" s="46">
        <v>0</v>
      </c>
      <c r="BE525" s="113"/>
      <c r="BF525" s="113"/>
      <c r="BG525" s="113"/>
      <c r="BH525" s="113"/>
      <c r="BI525" s="113"/>
      <c r="BJ525" s="46">
        <v>0</v>
      </c>
      <c r="BK525" s="113"/>
      <c r="BL525" s="113"/>
      <c r="BM525" s="113"/>
      <c r="BN525" s="113"/>
      <c r="BO525" s="113"/>
      <c r="BP525" s="121"/>
      <c r="BQ525" s="121"/>
      <c r="GA525" t="s">
        <v>112</v>
      </c>
      <c r="GB525" t="s">
        <v>23040</v>
      </c>
      <c r="GC525" s="46">
        <v>0</v>
      </c>
      <c r="GD525" s="113"/>
      <c r="GE525" s="113"/>
      <c r="GF525" s="113"/>
      <c r="GG525" s="113"/>
      <c r="GH525" s="113"/>
      <c r="GI525" s="46">
        <v>0</v>
      </c>
      <c r="GJ525" s="113"/>
      <c r="GK525" s="113"/>
      <c r="GL525" s="113"/>
      <c r="GM525" s="113"/>
      <c r="GN525" s="113"/>
      <c r="GO525" s="46">
        <v>0</v>
      </c>
      <c r="GP525" s="113"/>
      <c r="GQ525" s="113"/>
      <c r="GR525" s="113"/>
      <c r="GS525" s="113"/>
      <c r="GT525" s="113"/>
      <c r="GU525" s="46">
        <v>0</v>
      </c>
      <c r="GV525" s="113"/>
      <c r="GW525" s="113"/>
      <c r="GX525" s="113"/>
      <c r="GY525" s="113"/>
      <c r="GZ525" s="113"/>
      <c r="HA525" s="46">
        <v>0</v>
      </c>
      <c r="HB525" s="113"/>
      <c r="HC525" s="113"/>
      <c r="HD525" s="113"/>
      <c r="HE525" s="113"/>
      <c r="HF525" s="113"/>
      <c r="HG525" s="46">
        <v>0</v>
      </c>
      <c r="HH525" s="113"/>
      <c r="HI525" s="113"/>
      <c r="HJ525" s="113"/>
      <c r="HK525" s="113"/>
      <c r="HL525" s="113"/>
      <c r="HM525" s="121"/>
      <c r="HN525" s="121"/>
      <c r="LM525" t="str">
        <v/>
      </c>
      <c r="LN525" t="str">
        <v/>
      </c>
      <c r="LO525" t="str">
        <v/>
      </c>
    </row>
    <row r="526" spans="30:327">
      <c r="AD526" t="s">
        <v>112</v>
      </c>
      <c r="AE526" t="s">
        <v>23041</v>
      </c>
      <c r="AF526" s="46">
        <v>0</v>
      </c>
      <c r="AG526" s="113"/>
      <c r="AH526" s="113"/>
      <c r="AI526" s="113"/>
      <c r="AJ526" s="113"/>
      <c r="AK526" s="113"/>
      <c r="AL526" s="46">
        <v>0</v>
      </c>
      <c r="AM526" s="113"/>
      <c r="AN526" s="113"/>
      <c r="AO526" s="113"/>
      <c r="AP526" s="113"/>
      <c r="AQ526" s="113"/>
      <c r="AR526" s="46">
        <v>0</v>
      </c>
      <c r="AS526" s="113"/>
      <c r="AT526" s="113"/>
      <c r="AU526" s="113"/>
      <c r="AV526" s="113"/>
      <c r="AW526" s="113"/>
      <c r="AX526" s="46">
        <v>0</v>
      </c>
      <c r="AY526" s="113"/>
      <c r="AZ526" s="113"/>
      <c r="BA526" s="113"/>
      <c r="BB526" s="113"/>
      <c r="BC526" s="113"/>
      <c r="BD526" s="46">
        <v>0</v>
      </c>
      <c r="BE526" s="113"/>
      <c r="BF526" s="113"/>
      <c r="BG526" s="113"/>
      <c r="BH526" s="113"/>
      <c r="BI526" s="113"/>
      <c r="BJ526" s="46">
        <v>0</v>
      </c>
      <c r="BK526" s="113"/>
      <c r="BL526" s="113"/>
      <c r="BM526" s="113"/>
      <c r="BN526" s="113"/>
      <c r="BO526" s="113"/>
      <c r="BP526" s="121"/>
      <c r="BQ526" s="121"/>
      <c r="GA526" t="s">
        <v>112</v>
      </c>
      <c r="GB526" t="s">
        <v>23041</v>
      </c>
      <c r="GC526" s="46">
        <v>0</v>
      </c>
      <c r="GD526" s="113"/>
      <c r="GE526" s="113"/>
      <c r="GF526" s="113"/>
      <c r="GG526" s="113"/>
      <c r="GH526" s="113"/>
      <c r="GI526" s="46">
        <v>0</v>
      </c>
      <c r="GJ526" s="113"/>
      <c r="GK526" s="113"/>
      <c r="GL526" s="113"/>
      <c r="GM526" s="113"/>
      <c r="GN526" s="113"/>
      <c r="GO526" s="46">
        <v>0</v>
      </c>
      <c r="GP526" s="113"/>
      <c r="GQ526" s="113"/>
      <c r="GR526" s="113"/>
      <c r="GS526" s="113"/>
      <c r="GT526" s="113"/>
      <c r="GU526" s="46">
        <v>0</v>
      </c>
      <c r="GV526" s="113"/>
      <c r="GW526" s="113"/>
      <c r="GX526" s="113"/>
      <c r="GY526" s="113"/>
      <c r="GZ526" s="113"/>
      <c r="HA526" s="46">
        <v>0</v>
      </c>
      <c r="HB526" s="113"/>
      <c r="HC526" s="113"/>
      <c r="HD526" s="113"/>
      <c r="HE526" s="113"/>
      <c r="HF526" s="113"/>
      <c r="HG526" s="46">
        <v>0</v>
      </c>
      <c r="HH526" s="113"/>
      <c r="HI526" s="113"/>
      <c r="HJ526" s="113"/>
      <c r="HK526" s="113"/>
      <c r="HL526" s="113"/>
      <c r="HM526" s="121"/>
      <c r="HN526" s="121"/>
      <c r="LM526" t="str">
        <v/>
      </c>
      <c r="LN526" t="str">
        <v/>
      </c>
      <c r="LO526" t="str">
        <v/>
      </c>
    </row>
    <row r="527" spans="30:327">
      <c r="AD527" t="s">
        <v>112</v>
      </c>
      <c r="AE527" t="s">
        <v>23042</v>
      </c>
      <c r="AF527" s="46">
        <v>0</v>
      </c>
      <c r="AG527" s="113"/>
      <c r="AH527" s="113"/>
      <c r="AI527" s="113"/>
      <c r="AJ527" s="113"/>
      <c r="AK527" s="113"/>
      <c r="AL527" s="46">
        <v>0</v>
      </c>
      <c r="AM527" s="113"/>
      <c r="AN527" s="113"/>
      <c r="AO527" s="113"/>
      <c r="AP527" s="113"/>
      <c r="AQ527" s="113"/>
      <c r="AR527" s="46">
        <v>0</v>
      </c>
      <c r="AS527" s="113"/>
      <c r="AT527" s="113"/>
      <c r="AU527" s="113"/>
      <c r="AV527" s="113"/>
      <c r="AW527" s="113"/>
      <c r="AX527" s="46">
        <v>0</v>
      </c>
      <c r="AY527" s="113"/>
      <c r="AZ527" s="113"/>
      <c r="BA527" s="113"/>
      <c r="BB527" s="113"/>
      <c r="BC527" s="113"/>
      <c r="BD527" s="46">
        <v>0</v>
      </c>
      <c r="BE527" s="113"/>
      <c r="BF527" s="113"/>
      <c r="BG527" s="113"/>
      <c r="BH527" s="113"/>
      <c r="BI527" s="113"/>
      <c r="BJ527" s="46">
        <v>0</v>
      </c>
      <c r="BK527" s="113"/>
      <c r="BL527" s="113"/>
      <c r="BM527" s="113"/>
      <c r="BN527" s="113"/>
      <c r="BO527" s="113"/>
      <c r="BP527" s="121"/>
      <c r="BQ527" s="121"/>
      <c r="GA527" t="s">
        <v>112</v>
      </c>
      <c r="GB527" t="s">
        <v>23042</v>
      </c>
      <c r="GC527" s="46">
        <v>0</v>
      </c>
      <c r="GD527" s="113"/>
      <c r="GE527" s="113"/>
      <c r="GF527" s="113"/>
      <c r="GG527" s="113"/>
      <c r="GH527" s="113"/>
      <c r="GI527" s="46">
        <v>0</v>
      </c>
      <c r="GJ527" s="113"/>
      <c r="GK527" s="113"/>
      <c r="GL527" s="113"/>
      <c r="GM527" s="113"/>
      <c r="GN527" s="113"/>
      <c r="GO527" s="46">
        <v>0</v>
      </c>
      <c r="GP527" s="113"/>
      <c r="GQ527" s="113"/>
      <c r="GR527" s="113"/>
      <c r="GS527" s="113"/>
      <c r="GT527" s="113"/>
      <c r="GU527" s="46">
        <v>0</v>
      </c>
      <c r="GV527" s="113"/>
      <c r="GW527" s="113"/>
      <c r="GX527" s="113"/>
      <c r="GY527" s="113"/>
      <c r="GZ527" s="113"/>
      <c r="HA527" s="46">
        <v>0</v>
      </c>
      <c r="HB527" s="113"/>
      <c r="HC527" s="113"/>
      <c r="HD527" s="113"/>
      <c r="HE527" s="113"/>
      <c r="HF527" s="113"/>
      <c r="HG527" s="46">
        <v>0</v>
      </c>
      <c r="HH527" s="113"/>
      <c r="HI527" s="113"/>
      <c r="HJ527" s="113"/>
      <c r="HK527" s="113"/>
      <c r="HL527" s="113"/>
      <c r="HM527" s="121"/>
      <c r="HN527" s="121"/>
      <c r="LM527" t="str">
        <v/>
      </c>
      <c r="LN527" t="str">
        <v/>
      </c>
      <c r="LO527" t="str">
        <v/>
      </c>
    </row>
    <row r="528" spans="30:327">
      <c r="AD528" t="s">
        <v>112</v>
      </c>
      <c r="AE528" t="s">
        <v>23043</v>
      </c>
      <c r="AF528" s="46">
        <v>0</v>
      </c>
      <c r="AG528" s="113"/>
      <c r="AH528" s="113"/>
      <c r="AI528" s="113"/>
      <c r="AJ528" s="113"/>
      <c r="AK528" s="113"/>
      <c r="AL528" s="46">
        <v>0</v>
      </c>
      <c r="AM528" s="113"/>
      <c r="AN528" s="113"/>
      <c r="AO528" s="113"/>
      <c r="AP528" s="113"/>
      <c r="AQ528" s="113"/>
      <c r="AR528" s="46">
        <v>0</v>
      </c>
      <c r="AS528" s="113"/>
      <c r="AT528" s="113"/>
      <c r="AU528" s="113"/>
      <c r="AV528" s="113"/>
      <c r="AW528" s="113"/>
      <c r="AX528" s="46">
        <v>0</v>
      </c>
      <c r="AY528" s="113"/>
      <c r="AZ528" s="113"/>
      <c r="BA528" s="113"/>
      <c r="BB528" s="113"/>
      <c r="BC528" s="113"/>
      <c r="BD528" s="46">
        <v>0</v>
      </c>
      <c r="BE528" s="113"/>
      <c r="BF528" s="113"/>
      <c r="BG528" s="113"/>
      <c r="BH528" s="113"/>
      <c r="BI528" s="113"/>
      <c r="BJ528" s="46">
        <v>0</v>
      </c>
      <c r="BK528" s="113"/>
      <c r="BL528" s="113"/>
      <c r="BM528" s="113"/>
      <c r="BN528" s="113"/>
      <c r="BO528" s="113"/>
      <c r="BP528" s="121"/>
      <c r="BQ528" s="121"/>
      <c r="GA528" t="s">
        <v>112</v>
      </c>
      <c r="GB528" t="s">
        <v>23043</v>
      </c>
      <c r="GC528" s="46">
        <v>0</v>
      </c>
      <c r="GD528" s="113"/>
      <c r="GE528" s="113"/>
      <c r="GF528" s="113"/>
      <c r="GG528" s="113"/>
      <c r="GH528" s="113"/>
      <c r="GI528" s="46">
        <v>0</v>
      </c>
      <c r="GJ528" s="113"/>
      <c r="GK528" s="113"/>
      <c r="GL528" s="113"/>
      <c r="GM528" s="113"/>
      <c r="GN528" s="113"/>
      <c r="GO528" s="46">
        <v>0</v>
      </c>
      <c r="GP528" s="113"/>
      <c r="GQ528" s="113"/>
      <c r="GR528" s="113"/>
      <c r="GS528" s="113"/>
      <c r="GT528" s="113"/>
      <c r="GU528" s="46">
        <v>0</v>
      </c>
      <c r="GV528" s="113"/>
      <c r="GW528" s="113"/>
      <c r="GX528" s="113"/>
      <c r="GY528" s="113"/>
      <c r="GZ528" s="113"/>
      <c r="HA528" s="46">
        <v>0</v>
      </c>
      <c r="HB528" s="113"/>
      <c r="HC528" s="113"/>
      <c r="HD528" s="113"/>
      <c r="HE528" s="113"/>
      <c r="HF528" s="113"/>
      <c r="HG528" s="46">
        <v>0</v>
      </c>
      <c r="HH528" s="113"/>
      <c r="HI528" s="113"/>
      <c r="HJ528" s="113"/>
      <c r="HK528" s="113"/>
      <c r="HL528" s="113"/>
      <c r="HM528" s="121"/>
      <c r="HN528" s="121"/>
      <c r="LM528" t="str">
        <v/>
      </c>
      <c r="LN528" t="str">
        <v/>
      </c>
      <c r="LO528" t="str">
        <v/>
      </c>
    </row>
    <row r="529" spans="30:327">
      <c r="AD529" t="s">
        <v>112</v>
      </c>
      <c r="AE529" t="s">
        <v>23044</v>
      </c>
      <c r="AF529" s="46">
        <v>0</v>
      </c>
      <c r="AG529" s="113"/>
      <c r="AH529" s="113"/>
      <c r="AI529" s="113"/>
      <c r="AJ529" s="113"/>
      <c r="AK529" s="113"/>
      <c r="AL529" s="46">
        <v>0</v>
      </c>
      <c r="AM529" s="113"/>
      <c r="AN529" s="113"/>
      <c r="AO529" s="113"/>
      <c r="AP529" s="113"/>
      <c r="AQ529" s="113"/>
      <c r="AR529" s="46">
        <v>0</v>
      </c>
      <c r="AS529" s="113"/>
      <c r="AT529" s="113"/>
      <c r="AU529" s="113"/>
      <c r="AV529" s="113"/>
      <c r="AW529" s="113"/>
      <c r="AX529" s="46">
        <v>0</v>
      </c>
      <c r="AY529" s="113"/>
      <c r="AZ529" s="113"/>
      <c r="BA529" s="113"/>
      <c r="BB529" s="113"/>
      <c r="BC529" s="113"/>
      <c r="BD529" s="46">
        <v>0</v>
      </c>
      <c r="BE529" s="113"/>
      <c r="BF529" s="113"/>
      <c r="BG529" s="113"/>
      <c r="BH529" s="113"/>
      <c r="BI529" s="113"/>
      <c r="BJ529" s="46">
        <v>0</v>
      </c>
      <c r="BK529" s="113"/>
      <c r="BL529" s="113"/>
      <c r="BM529" s="113"/>
      <c r="BN529" s="113"/>
      <c r="BO529" s="113"/>
      <c r="BP529" s="121"/>
      <c r="BQ529" s="121"/>
      <c r="GA529" t="s">
        <v>112</v>
      </c>
      <c r="GB529" t="s">
        <v>23044</v>
      </c>
      <c r="GC529" s="46">
        <v>0</v>
      </c>
      <c r="GD529" s="113"/>
      <c r="GE529" s="113"/>
      <c r="GF529" s="113"/>
      <c r="GG529" s="113"/>
      <c r="GH529" s="113"/>
      <c r="GI529" s="46">
        <v>0</v>
      </c>
      <c r="GJ529" s="113"/>
      <c r="GK529" s="113"/>
      <c r="GL529" s="113"/>
      <c r="GM529" s="113"/>
      <c r="GN529" s="113"/>
      <c r="GO529" s="46">
        <v>0</v>
      </c>
      <c r="GP529" s="113"/>
      <c r="GQ529" s="113"/>
      <c r="GR529" s="113"/>
      <c r="GS529" s="113"/>
      <c r="GT529" s="113"/>
      <c r="GU529" s="46">
        <v>0</v>
      </c>
      <c r="GV529" s="113"/>
      <c r="GW529" s="113"/>
      <c r="GX529" s="113"/>
      <c r="GY529" s="113"/>
      <c r="GZ529" s="113"/>
      <c r="HA529" s="46">
        <v>0</v>
      </c>
      <c r="HB529" s="113"/>
      <c r="HC529" s="113"/>
      <c r="HD529" s="113"/>
      <c r="HE529" s="113"/>
      <c r="HF529" s="113"/>
      <c r="HG529" s="46">
        <v>0</v>
      </c>
      <c r="HH529" s="113"/>
      <c r="HI529" s="113"/>
      <c r="HJ529" s="113"/>
      <c r="HK529" s="113"/>
      <c r="HL529" s="113"/>
      <c r="HM529" s="121"/>
      <c r="HN529" s="121"/>
      <c r="LM529" t="str">
        <v/>
      </c>
      <c r="LN529" t="str">
        <v/>
      </c>
      <c r="LO529" t="str">
        <v/>
      </c>
    </row>
    <row r="530" spans="30:327">
      <c r="AD530" t="s">
        <v>112</v>
      </c>
      <c r="AE530" t="s">
        <v>23045</v>
      </c>
      <c r="AF530" s="46">
        <v>0</v>
      </c>
      <c r="AG530" s="113"/>
      <c r="AH530" s="113"/>
      <c r="AI530" s="113"/>
      <c r="AJ530" s="113"/>
      <c r="AK530" s="113"/>
      <c r="AL530" s="46">
        <v>0</v>
      </c>
      <c r="AM530" s="113"/>
      <c r="AN530" s="113"/>
      <c r="AO530" s="113"/>
      <c r="AP530" s="113"/>
      <c r="AQ530" s="113"/>
      <c r="AR530" s="46">
        <v>0</v>
      </c>
      <c r="AS530" s="113"/>
      <c r="AT530" s="113"/>
      <c r="AU530" s="113"/>
      <c r="AV530" s="113"/>
      <c r="AW530" s="113"/>
      <c r="AX530" s="46">
        <v>0</v>
      </c>
      <c r="AY530" s="113"/>
      <c r="AZ530" s="113"/>
      <c r="BA530" s="113"/>
      <c r="BB530" s="113"/>
      <c r="BC530" s="113"/>
      <c r="BD530" s="46">
        <v>0</v>
      </c>
      <c r="BE530" s="113"/>
      <c r="BF530" s="113"/>
      <c r="BG530" s="113"/>
      <c r="BH530" s="113"/>
      <c r="BI530" s="113"/>
      <c r="BJ530" s="46">
        <v>0</v>
      </c>
      <c r="BK530" s="113"/>
      <c r="BL530" s="113"/>
      <c r="BM530" s="113"/>
      <c r="BN530" s="113"/>
      <c r="BO530" s="113"/>
      <c r="BP530" s="121"/>
      <c r="BQ530" s="121"/>
      <c r="GA530" t="s">
        <v>112</v>
      </c>
      <c r="GB530" t="s">
        <v>23045</v>
      </c>
      <c r="GC530" s="46">
        <v>0</v>
      </c>
      <c r="GD530" s="113"/>
      <c r="GE530" s="113"/>
      <c r="GF530" s="113"/>
      <c r="GG530" s="113"/>
      <c r="GH530" s="113"/>
      <c r="GI530" s="46">
        <v>0</v>
      </c>
      <c r="GJ530" s="113"/>
      <c r="GK530" s="113"/>
      <c r="GL530" s="113"/>
      <c r="GM530" s="113"/>
      <c r="GN530" s="113"/>
      <c r="GO530" s="46">
        <v>0</v>
      </c>
      <c r="GP530" s="113"/>
      <c r="GQ530" s="113"/>
      <c r="GR530" s="113"/>
      <c r="GS530" s="113"/>
      <c r="GT530" s="113"/>
      <c r="GU530" s="46">
        <v>0</v>
      </c>
      <c r="GV530" s="113"/>
      <c r="GW530" s="113"/>
      <c r="GX530" s="113"/>
      <c r="GY530" s="113"/>
      <c r="GZ530" s="113"/>
      <c r="HA530" s="46">
        <v>0</v>
      </c>
      <c r="HB530" s="113"/>
      <c r="HC530" s="113"/>
      <c r="HD530" s="113"/>
      <c r="HE530" s="113"/>
      <c r="HF530" s="113"/>
      <c r="HG530" s="46">
        <v>0</v>
      </c>
      <c r="HH530" s="113"/>
      <c r="HI530" s="113"/>
      <c r="HJ530" s="113"/>
      <c r="HK530" s="113"/>
      <c r="HL530" s="113"/>
      <c r="HM530" s="121"/>
      <c r="HN530" s="121"/>
      <c r="LM530" t="str">
        <v/>
      </c>
      <c r="LN530" t="str">
        <v/>
      </c>
      <c r="LO530" t="str">
        <v/>
      </c>
    </row>
    <row r="531" spans="30:327">
      <c r="AD531" t="s">
        <v>112</v>
      </c>
      <c r="AE531" t="s">
        <v>23046</v>
      </c>
      <c r="AF531" s="46">
        <v>0</v>
      </c>
      <c r="AG531" s="113"/>
      <c r="AH531" s="113"/>
      <c r="AI531" s="113"/>
      <c r="AJ531" s="113"/>
      <c r="AK531" s="113"/>
      <c r="AL531" s="46">
        <v>0</v>
      </c>
      <c r="AM531" s="113"/>
      <c r="AN531" s="113"/>
      <c r="AO531" s="113"/>
      <c r="AP531" s="113"/>
      <c r="AQ531" s="113"/>
      <c r="AR531" s="46">
        <v>0</v>
      </c>
      <c r="AS531" s="113"/>
      <c r="AT531" s="113"/>
      <c r="AU531" s="113"/>
      <c r="AV531" s="113"/>
      <c r="AW531" s="113"/>
      <c r="AX531" s="46">
        <v>0</v>
      </c>
      <c r="AY531" s="113"/>
      <c r="AZ531" s="113"/>
      <c r="BA531" s="113"/>
      <c r="BB531" s="113"/>
      <c r="BC531" s="113"/>
      <c r="BD531" s="46">
        <v>0</v>
      </c>
      <c r="BE531" s="113"/>
      <c r="BF531" s="113"/>
      <c r="BG531" s="113"/>
      <c r="BH531" s="113"/>
      <c r="BI531" s="113"/>
      <c r="BJ531" s="46">
        <v>0</v>
      </c>
      <c r="BK531" s="113"/>
      <c r="BL531" s="113"/>
      <c r="BM531" s="113"/>
      <c r="BN531" s="113"/>
      <c r="BO531" s="113"/>
      <c r="BP531" s="121"/>
      <c r="BQ531" s="121"/>
      <c r="GA531" t="s">
        <v>112</v>
      </c>
      <c r="GB531" t="s">
        <v>23046</v>
      </c>
      <c r="GC531" s="46">
        <v>0</v>
      </c>
      <c r="GD531" s="113"/>
      <c r="GE531" s="113"/>
      <c r="GF531" s="113"/>
      <c r="GG531" s="113"/>
      <c r="GH531" s="113"/>
      <c r="GI531" s="46">
        <v>0</v>
      </c>
      <c r="GJ531" s="113"/>
      <c r="GK531" s="113"/>
      <c r="GL531" s="113"/>
      <c r="GM531" s="113"/>
      <c r="GN531" s="113"/>
      <c r="GO531" s="46">
        <v>0</v>
      </c>
      <c r="GP531" s="113"/>
      <c r="GQ531" s="113"/>
      <c r="GR531" s="113"/>
      <c r="GS531" s="113"/>
      <c r="GT531" s="113"/>
      <c r="GU531" s="46">
        <v>0</v>
      </c>
      <c r="GV531" s="113"/>
      <c r="GW531" s="113"/>
      <c r="GX531" s="113"/>
      <c r="GY531" s="113"/>
      <c r="GZ531" s="113"/>
      <c r="HA531" s="46">
        <v>0</v>
      </c>
      <c r="HB531" s="113"/>
      <c r="HC531" s="113"/>
      <c r="HD531" s="113"/>
      <c r="HE531" s="113"/>
      <c r="HF531" s="113"/>
      <c r="HG531" s="46">
        <v>0</v>
      </c>
      <c r="HH531" s="113"/>
      <c r="HI531" s="113"/>
      <c r="HJ531" s="113"/>
      <c r="HK531" s="113"/>
      <c r="HL531" s="113"/>
      <c r="HM531" s="121"/>
      <c r="HN531" s="121"/>
      <c r="LM531" t="str">
        <v/>
      </c>
      <c r="LN531" t="str">
        <v/>
      </c>
      <c r="LO531" t="str">
        <v/>
      </c>
    </row>
    <row r="532" spans="30:327">
      <c r="AD532" t="s">
        <v>112</v>
      </c>
      <c r="AE532" t="s">
        <v>23047</v>
      </c>
      <c r="AF532" s="46">
        <v>0</v>
      </c>
      <c r="AG532" s="113"/>
      <c r="AH532" s="113"/>
      <c r="AI532" s="113"/>
      <c r="AJ532" s="113"/>
      <c r="AK532" s="113"/>
      <c r="AL532" s="46">
        <v>0</v>
      </c>
      <c r="AM532" s="113"/>
      <c r="AN532" s="113"/>
      <c r="AO532" s="113"/>
      <c r="AP532" s="113"/>
      <c r="AQ532" s="113"/>
      <c r="AR532" s="46">
        <v>0</v>
      </c>
      <c r="AS532" s="113"/>
      <c r="AT532" s="113"/>
      <c r="AU532" s="113"/>
      <c r="AV532" s="113"/>
      <c r="AW532" s="113"/>
      <c r="AX532" s="46">
        <v>0</v>
      </c>
      <c r="AY532" s="113"/>
      <c r="AZ532" s="113"/>
      <c r="BA532" s="113"/>
      <c r="BB532" s="113"/>
      <c r="BC532" s="113"/>
      <c r="BD532" s="46">
        <v>0</v>
      </c>
      <c r="BE532" s="113"/>
      <c r="BF532" s="113"/>
      <c r="BG532" s="113"/>
      <c r="BH532" s="113"/>
      <c r="BI532" s="113"/>
      <c r="BJ532" s="46">
        <v>0</v>
      </c>
      <c r="BK532" s="113"/>
      <c r="BL532" s="113"/>
      <c r="BM532" s="113"/>
      <c r="BN532" s="113"/>
      <c r="BO532" s="113"/>
      <c r="BP532" s="121"/>
      <c r="BQ532" s="121"/>
      <c r="GA532" t="s">
        <v>112</v>
      </c>
      <c r="GB532" t="s">
        <v>23047</v>
      </c>
      <c r="GC532" s="46">
        <v>0</v>
      </c>
      <c r="GD532" s="113"/>
      <c r="GE532" s="113"/>
      <c r="GF532" s="113"/>
      <c r="GG532" s="113"/>
      <c r="GH532" s="113"/>
      <c r="GI532" s="46">
        <v>0</v>
      </c>
      <c r="GJ532" s="113"/>
      <c r="GK532" s="113"/>
      <c r="GL532" s="113"/>
      <c r="GM532" s="113"/>
      <c r="GN532" s="113"/>
      <c r="GO532" s="46">
        <v>0</v>
      </c>
      <c r="GP532" s="113"/>
      <c r="GQ532" s="113"/>
      <c r="GR532" s="113"/>
      <c r="GS532" s="113"/>
      <c r="GT532" s="113"/>
      <c r="GU532" s="46">
        <v>0</v>
      </c>
      <c r="GV532" s="113"/>
      <c r="GW532" s="113"/>
      <c r="GX532" s="113"/>
      <c r="GY532" s="113"/>
      <c r="GZ532" s="113"/>
      <c r="HA532" s="46">
        <v>0</v>
      </c>
      <c r="HB532" s="113"/>
      <c r="HC532" s="113"/>
      <c r="HD532" s="113"/>
      <c r="HE532" s="113"/>
      <c r="HF532" s="113"/>
      <c r="HG532" s="46">
        <v>0</v>
      </c>
      <c r="HH532" s="113"/>
      <c r="HI532" s="113"/>
      <c r="HJ532" s="113"/>
      <c r="HK532" s="113"/>
      <c r="HL532" s="113"/>
      <c r="HM532" s="121"/>
      <c r="HN532" s="121"/>
      <c r="LM532" t="str">
        <v/>
      </c>
      <c r="LN532" t="str">
        <v/>
      </c>
      <c r="LO532" t="str">
        <v/>
      </c>
    </row>
    <row r="533" spans="30:327">
      <c r="AD533" t="s">
        <v>112</v>
      </c>
      <c r="AE533" t="s">
        <v>23048</v>
      </c>
      <c r="AF533" s="46">
        <v>0</v>
      </c>
      <c r="AG533" s="113"/>
      <c r="AH533" s="113"/>
      <c r="AI533" s="113"/>
      <c r="AJ533" s="113"/>
      <c r="AK533" s="113"/>
      <c r="AL533" s="46">
        <v>0</v>
      </c>
      <c r="AM533" s="113"/>
      <c r="AN533" s="113"/>
      <c r="AO533" s="113"/>
      <c r="AP533" s="113"/>
      <c r="AQ533" s="113"/>
      <c r="AR533" s="46">
        <v>0</v>
      </c>
      <c r="AS533" s="113"/>
      <c r="AT533" s="113"/>
      <c r="AU533" s="113"/>
      <c r="AV533" s="113"/>
      <c r="AW533" s="113"/>
      <c r="AX533" s="46">
        <v>0</v>
      </c>
      <c r="AY533" s="113"/>
      <c r="AZ533" s="113"/>
      <c r="BA533" s="113"/>
      <c r="BB533" s="113"/>
      <c r="BC533" s="113"/>
      <c r="BD533" s="46">
        <v>0</v>
      </c>
      <c r="BE533" s="113"/>
      <c r="BF533" s="113"/>
      <c r="BG533" s="113"/>
      <c r="BH533" s="113"/>
      <c r="BI533" s="113"/>
      <c r="BJ533" s="46">
        <v>0</v>
      </c>
      <c r="BK533" s="113"/>
      <c r="BL533" s="113"/>
      <c r="BM533" s="113"/>
      <c r="BN533" s="113"/>
      <c r="BO533" s="113"/>
      <c r="BP533" s="121"/>
      <c r="BQ533" s="121"/>
      <c r="GA533" t="s">
        <v>112</v>
      </c>
      <c r="GB533" t="s">
        <v>23048</v>
      </c>
      <c r="GC533" s="46">
        <v>0</v>
      </c>
      <c r="GD533" s="113"/>
      <c r="GE533" s="113"/>
      <c r="GF533" s="113"/>
      <c r="GG533" s="113"/>
      <c r="GH533" s="113"/>
      <c r="GI533" s="46">
        <v>0</v>
      </c>
      <c r="GJ533" s="113"/>
      <c r="GK533" s="113"/>
      <c r="GL533" s="113"/>
      <c r="GM533" s="113"/>
      <c r="GN533" s="113"/>
      <c r="GO533" s="46">
        <v>0</v>
      </c>
      <c r="GP533" s="113"/>
      <c r="GQ533" s="113"/>
      <c r="GR533" s="113"/>
      <c r="GS533" s="113"/>
      <c r="GT533" s="113"/>
      <c r="GU533" s="46">
        <v>0</v>
      </c>
      <c r="GV533" s="113"/>
      <c r="GW533" s="113"/>
      <c r="GX533" s="113"/>
      <c r="GY533" s="113"/>
      <c r="GZ533" s="113"/>
      <c r="HA533" s="46">
        <v>0</v>
      </c>
      <c r="HB533" s="113"/>
      <c r="HC533" s="113"/>
      <c r="HD533" s="113"/>
      <c r="HE533" s="113"/>
      <c r="HF533" s="113"/>
      <c r="HG533" s="46">
        <v>0</v>
      </c>
      <c r="HH533" s="113"/>
      <c r="HI533" s="113"/>
      <c r="HJ533" s="113"/>
      <c r="HK533" s="113"/>
      <c r="HL533" s="113"/>
      <c r="HM533" s="121"/>
      <c r="HN533" s="121"/>
      <c r="LM533" t="str">
        <v/>
      </c>
      <c r="LN533" t="str">
        <v/>
      </c>
      <c r="LO533" t="str">
        <v/>
      </c>
    </row>
    <row r="534" spans="30:327">
      <c r="AD534" t="s">
        <v>112</v>
      </c>
      <c r="AE534" t="s">
        <v>23049</v>
      </c>
      <c r="AF534" s="46">
        <v>0</v>
      </c>
      <c r="AG534" s="113"/>
      <c r="AH534" s="113"/>
      <c r="AI534" s="113"/>
      <c r="AJ534" s="113"/>
      <c r="AK534" s="113"/>
      <c r="AL534" s="46">
        <v>0</v>
      </c>
      <c r="AM534" s="113"/>
      <c r="AN534" s="113"/>
      <c r="AO534" s="113"/>
      <c r="AP534" s="113"/>
      <c r="AQ534" s="113"/>
      <c r="AR534" s="46">
        <v>0</v>
      </c>
      <c r="AS534" s="113"/>
      <c r="AT534" s="113"/>
      <c r="AU534" s="113"/>
      <c r="AV534" s="113"/>
      <c r="AW534" s="113"/>
      <c r="AX534" s="46">
        <v>0</v>
      </c>
      <c r="AY534" s="113"/>
      <c r="AZ534" s="113"/>
      <c r="BA534" s="113"/>
      <c r="BB534" s="113"/>
      <c r="BC534" s="113"/>
      <c r="BD534" s="46">
        <v>0</v>
      </c>
      <c r="BE534" s="113"/>
      <c r="BF534" s="113"/>
      <c r="BG534" s="113"/>
      <c r="BH534" s="113"/>
      <c r="BI534" s="113"/>
      <c r="BJ534" s="46">
        <v>0</v>
      </c>
      <c r="BK534" s="113"/>
      <c r="BL534" s="113"/>
      <c r="BM534" s="113"/>
      <c r="BN534" s="113"/>
      <c r="BO534" s="113"/>
      <c r="BP534" s="121"/>
      <c r="BQ534" s="121"/>
      <c r="GA534" t="s">
        <v>112</v>
      </c>
      <c r="GB534" t="s">
        <v>23049</v>
      </c>
      <c r="GC534" s="46">
        <v>0</v>
      </c>
      <c r="GD534" s="113"/>
      <c r="GE534" s="113"/>
      <c r="GF534" s="113"/>
      <c r="GG534" s="113"/>
      <c r="GH534" s="113"/>
      <c r="GI534" s="46">
        <v>0</v>
      </c>
      <c r="GJ534" s="113"/>
      <c r="GK534" s="113"/>
      <c r="GL534" s="113"/>
      <c r="GM534" s="113"/>
      <c r="GN534" s="113"/>
      <c r="GO534" s="46">
        <v>0</v>
      </c>
      <c r="GP534" s="113"/>
      <c r="GQ534" s="113"/>
      <c r="GR534" s="113"/>
      <c r="GS534" s="113"/>
      <c r="GT534" s="113"/>
      <c r="GU534" s="46">
        <v>0</v>
      </c>
      <c r="GV534" s="113"/>
      <c r="GW534" s="113"/>
      <c r="GX534" s="113"/>
      <c r="GY534" s="113"/>
      <c r="GZ534" s="113"/>
      <c r="HA534" s="46">
        <v>0</v>
      </c>
      <c r="HB534" s="113"/>
      <c r="HC534" s="113"/>
      <c r="HD534" s="113"/>
      <c r="HE534" s="113"/>
      <c r="HF534" s="113"/>
      <c r="HG534" s="46">
        <v>0</v>
      </c>
      <c r="HH534" s="113"/>
      <c r="HI534" s="113"/>
      <c r="HJ534" s="113"/>
      <c r="HK534" s="113"/>
      <c r="HL534" s="113"/>
      <c r="HM534" s="121"/>
      <c r="HN534" s="121"/>
      <c r="LM534" t="str">
        <v/>
      </c>
      <c r="LN534" t="str">
        <v/>
      </c>
      <c r="LO534" t="str">
        <v/>
      </c>
    </row>
    <row r="535" spans="30:327">
      <c r="AD535" t="s">
        <v>112</v>
      </c>
      <c r="AE535" t="s">
        <v>23050</v>
      </c>
      <c r="AF535" s="46">
        <v>0</v>
      </c>
      <c r="AG535" s="113"/>
      <c r="AH535" s="113"/>
      <c r="AI535" s="113"/>
      <c r="AJ535" s="113"/>
      <c r="AK535" s="113"/>
      <c r="AL535" s="46">
        <v>0</v>
      </c>
      <c r="AM535" s="113"/>
      <c r="AN535" s="113"/>
      <c r="AO535" s="113"/>
      <c r="AP535" s="113"/>
      <c r="AQ535" s="113"/>
      <c r="AR535" s="46">
        <v>0</v>
      </c>
      <c r="AS535" s="113"/>
      <c r="AT535" s="113"/>
      <c r="AU535" s="113"/>
      <c r="AV535" s="113"/>
      <c r="AW535" s="113"/>
      <c r="AX535" s="46">
        <v>0</v>
      </c>
      <c r="AY535" s="113"/>
      <c r="AZ535" s="113"/>
      <c r="BA535" s="113"/>
      <c r="BB535" s="113"/>
      <c r="BC535" s="113"/>
      <c r="BD535" s="46">
        <v>0</v>
      </c>
      <c r="BE535" s="113"/>
      <c r="BF535" s="113"/>
      <c r="BG535" s="113"/>
      <c r="BH535" s="113"/>
      <c r="BI535" s="113"/>
      <c r="BJ535" s="46">
        <v>0</v>
      </c>
      <c r="BK535" s="113"/>
      <c r="BL535" s="113"/>
      <c r="BM535" s="113"/>
      <c r="BN535" s="113"/>
      <c r="BO535" s="113"/>
      <c r="BP535" s="121"/>
      <c r="BQ535" s="121"/>
      <c r="GA535" t="s">
        <v>112</v>
      </c>
      <c r="GB535" t="s">
        <v>23050</v>
      </c>
      <c r="GC535" s="46">
        <v>0</v>
      </c>
      <c r="GD535" s="113"/>
      <c r="GE535" s="113"/>
      <c r="GF535" s="113"/>
      <c r="GG535" s="113"/>
      <c r="GH535" s="113"/>
      <c r="GI535" s="46">
        <v>0</v>
      </c>
      <c r="GJ535" s="113"/>
      <c r="GK535" s="113"/>
      <c r="GL535" s="113"/>
      <c r="GM535" s="113"/>
      <c r="GN535" s="113"/>
      <c r="GO535" s="46">
        <v>0</v>
      </c>
      <c r="GP535" s="113"/>
      <c r="GQ535" s="113"/>
      <c r="GR535" s="113"/>
      <c r="GS535" s="113"/>
      <c r="GT535" s="113"/>
      <c r="GU535" s="46">
        <v>0</v>
      </c>
      <c r="GV535" s="113"/>
      <c r="GW535" s="113"/>
      <c r="GX535" s="113"/>
      <c r="GY535" s="113"/>
      <c r="GZ535" s="113"/>
      <c r="HA535" s="46">
        <v>0</v>
      </c>
      <c r="HB535" s="113"/>
      <c r="HC535" s="113"/>
      <c r="HD535" s="113"/>
      <c r="HE535" s="113"/>
      <c r="HF535" s="113"/>
      <c r="HG535" s="46">
        <v>0</v>
      </c>
      <c r="HH535" s="113"/>
      <c r="HI535" s="113"/>
      <c r="HJ535" s="113"/>
      <c r="HK535" s="113"/>
      <c r="HL535" s="113"/>
      <c r="HM535" s="121"/>
      <c r="HN535" s="121"/>
      <c r="LM535" t="str">
        <v/>
      </c>
      <c r="LN535" t="str">
        <v/>
      </c>
      <c r="LO535" t="str">
        <v/>
      </c>
    </row>
    <row r="536" spans="30:327">
      <c r="AD536" t="s">
        <v>112</v>
      </c>
      <c r="AE536" t="s">
        <v>23051</v>
      </c>
      <c r="AF536" s="46">
        <v>0</v>
      </c>
      <c r="AG536" s="113"/>
      <c r="AH536" s="113"/>
      <c r="AI536" s="113"/>
      <c r="AJ536" s="113"/>
      <c r="AK536" s="113"/>
      <c r="AL536" s="46">
        <v>0</v>
      </c>
      <c r="AM536" s="113"/>
      <c r="AN536" s="113"/>
      <c r="AO536" s="113"/>
      <c r="AP536" s="113"/>
      <c r="AQ536" s="113"/>
      <c r="AR536" s="46">
        <v>0</v>
      </c>
      <c r="AS536" s="113"/>
      <c r="AT536" s="113"/>
      <c r="AU536" s="113"/>
      <c r="AV536" s="113"/>
      <c r="AW536" s="113"/>
      <c r="AX536" s="46">
        <v>0</v>
      </c>
      <c r="AY536" s="113"/>
      <c r="AZ536" s="113"/>
      <c r="BA536" s="113"/>
      <c r="BB536" s="113"/>
      <c r="BC536" s="113"/>
      <c r="BD536" s="46">
        <v>0</v>
      </c>
      <c r="BE536" s="113"/>
      <c r="BF536" s="113"/>
      <c r="BG536" s="113"/>
      <c r="BH536" s="113"/>
      <c r="BI536" s="113"/>
      <c r="BJ536" s="46">
        <v>0</v>
      </c>
      <c r="BK536" s="113"/>
      <c r="BL536" s="113"/>
      <c r="BM536" s="113"/>
      <c r="BN536" s="113"/>
      <c r="BO536" s="113"/>
      <c r="BP536" s="121"/>
      <c r="BQ536" s="121"/>
      <c r="GA536" t="s">
        <v>112</v>
      </c>
      <c r="GB536" t="s">
        <v>23051</v>
      </c>
      <c r="GC536" s="46">
        <v>0</v>
      </c>
      <c r="GD536" s="113"/>
      <c r="GE536" s="113"/>
      <c r="GF536" s="113"/>
      <c r="GG536" s="113"/>
      <c r="GH536" s="113"/>
      <c r="GI536" s="46">
        <v>0</v>
      </c>
      <c r="GJ536" s="113"/>
      <c r="GK536" s="113"/>
      <c r="GL536" s="113"/>
      <c r="GM536" s="113"/>
      <c r="GN536" s="113"/>
      <c r="GO536" s="46">
        <v>0</v>
      </c>
      <c r="GP536" s="113"/>
      <c r="GQ536" s="113"/>
      <c r="GR536" s="113"/>
      <c r="GS536" s="113"/>
      <c r="GT536" s="113"/>
      <c r="GU536" s="46">
        <v>0</v>
      </c>
      <c r="GV536" s="113"/>
      <c r="GW536" s="113"/>
      <c r="GX536" s="113"/>
      <c r="GY536" s="113"/>
      <c r="GZ536" s="113"/>
      <c r="HA536" s="46">
        <v>0</v>
      </c>
      <c r="HB536" s="113"/>
      <c r="HC536" s="113"/>
      <c r="HD536" s="113"/>
      <c r="HE536" s="113"/>
      <c r="HF536" s="113"/>
      <c r="HG536" s="46">
        <v>0</v>
      </c>
      <c r="HH536" s="113"/>
      <c r="HI536" s="113"/>
      <c r="HJ536" s="113"/>
      <c r="HK536" s="113"/>
      <c r="HL536" s="113"/>
      <c r="HM536" s="121"/>
      <c r="HN536" s="121"/>
      <c r="LM536" t="str">
        <v/>
      </c>
      <c r="LN536" t="str">
        <v/>
      </c>
      <c r="LO536" t="str">
        <v/>
      </c>
    </row>
    <row r="537" spans="30:327">
      <c r="AD537" t="s">
        <v>112</v>
      </c>
      <c r="AE537" t="s">
        <v>23052</v>
      </c>
      <c r="AF537" s="46">
        <v>0</v>
      </c>
      <c r="AG537" s="113"/>
      <c r="AH537" s="113"/>
      <c r="AI537" s="113"/>
      <c r="AJ537" s="113"/>
      <c r="AK537" s="113"/>
      <c r="AL537" s="46">
        <v>0</v>
      </c>
      <c r="AM537" s="113"/>
      <c r="AN537" s="113"/>
      <c r="AO537" s="113"/>
      <c r="AP537" s="113"/>
      <c r="AQ537" s="113"/>
      <c r="AR537" s="46">
        <v>0</v>
      </c>
      <c r="AS537" s="113"/>
      <c r="AT537" s="113"/>
      <c r="AU537" s="113"/>
      <c r="AV537" s="113"/>
      <c r="AW537" s="113"/>
      <c r="AX537" s="46">
        <v>0</v>
      </c>
      <c r="AY537" s="113"/>
      <c r="AZ537" s="113"/>
      <c r="BA537" s="113"/>
      <c r="BB537" s="113"/>
      <c r="BC537" s="113"/>
      <c r="BD537" s="46">
        <v>0</v>
      </c>
      <c r="BE537" s="113"/>
      <c r="BF537" s="113"/>
      <c r="BG537" s="113"/>
      <c r="BH537" s="113"/>
      <c r="BI537" s="113"/>
      <c r="BJ537" s="46">
        <v>0</v>
      </c>
      <c r="BK537" s="113"/>
      <c r="BL537" s="113"/>
      <c r="BM537" s="113"/>
      <c r="BN537" s="113"/>
      <c r="BO537" s="113"/>
      <c r="BP537" s="121"/>
      <c r="BQ537" s="121"/>
      <c r="GA537" t="s">
        <v>112</v>
      </c>
      <c r="GB537" t="s">
        <v>23052</v>
      </c>
      <c r="GC537" s="46">
        <v>0</v>
      </c>
      <c r="GD537" s="113"/>
      <c r="GE537" s="113"/>
      <c r="GF537" s="113"/>
      <c r="GG537" s="113"/>
      <c r="GH537" s="113"/>
      <c r="GI537" s="46">
        <v>0</v>
      </c>
      <c r="GJ537" s="113"/>
      <c r="GK537" s="113"/>
      <c r="GL537" s="113"/>
      <c r="GM537" s="113"/>
      <c r="GN537" s="113"/>
      <c r="GO537" s="46">
        <v>0</v>
      </c>
      <c r="GP537" s="113"/>
      <c r="GQ537" s="113"/>
      <c r="GR537" s="113"/>
      <c r="GS537" s="113"/>
      <c r="GT537" s="113"/>
      <c r="GU537" s="46">
        <v>0</v>
      </c>
      <c r="GV537" s="113"/>
      <c r="GW537" s="113"/>
      <c r="GX537" s="113"/>
      <c r="GY537" s="113"/>
      <c r="GZ537" s="113"/>
      <c r="HA537" s="46">
        <v>0</v>
      </c>
      <c r="HB537" s="113"/>
      <c r="HC537" s="113"/>
      <c r="HD537" s="113"/>
      <c r="HE537" s="113"/>
      <c r="HF537" s="113"/>
      <c r="HG537" s="46">
        <v>0</v>
      </c>
      <c r="HH537" s="113"/>
      <c r="HI537" s="113"/>
      <c r="HJ537" s="113"/>
      <c r="HK537" s="113"/>
      <c r="HL537" s="113"/>
      <c r="HM537" s="121"/>
      <c r="HN537" s="121"/>
      <c r="LM537" t="str">
        <v/>
      </c>
      <c r="LN537" t="str">
        <v/>
      </c>
      <c r="LO537" t="str">
        <v/>
      </c>
    </row>
    <row r="538" spans="30:327">
      <c r="AD538" t="s">
        <v>112</v>
      </c>
      <c r="AE538" t="s">
        <v>23053</v>
      </c>
      <c r="AF538" s="46">
        <v>0</v>
      </c>
      <c r="AG538" s="113"/>
      <c r="AH538" s="113"/>
      <c r="AI538" s="113"/>
      <c r="AJ538" s="113"/>
      <c r="AK538" s="113"/>
      <c r="AL538" s="46">
        <v>0</v>
      </c>
      <c r="AM538" s="113"/>
      <c r="AN538" s="113"/>
      <c r="AO538" s="113"/>
      <c r="AP538" s="113"/>
      <c r="AQ538" s="113"/>
      <c r="AR538" s="46">
        <v>0</v>
      </c>
      <c r="AS538" s="113"/>
      <c r="AT538" s="113"/>
      <c r="AU538" s="113"/>
      <c r="AV538" s="113"/>
      <c r="AW538" s="113"/>
      <c r="AX538" s="46">
        <v>0</v>
      </c>
      <c r="AY538" s="113"/>
      <c r="AZ538" s="113"/>
      <c r="BA538" s="113"/>
      <c r="BB538" s="113"/>
      <c r="BC538" s="113"/>
      <c r="BD538" s="46">
        <v>0</v>
      </c>
      <c r="BE538" s="113"/>
      <c r="BF538" s="113"/>
      <c r="BG538" s="113"/>
      <c r="BH538" s="113"/>
      <c r="BI538" s="113"/>
      <c r="BJ538" s="46">
        <v>0</v>
      </c>
      <c r="BK538" s="113"/>
      <c r="BL538" s="113"/>
      <c r="BM538" s="113"/>
      <c r="BN538" s="113"/>
      <c r="BO538" s="113"/>
      <c r="BP538" s="121"/>
      <c r="BQ538" s="121"/>
      <c r="GA538" t="s">
        <v>112</v>
      </c>
      <c r="GB538" t="s">
        <v>23053</v>
      </c>
      <c r="GC538" s="46">
        <v>0</v>
      </c>
      <c r="GD538" s="113"/>
      <c r="GE538" s="113"/>
      <c r="GF538" s="113"/>
      <c r="GG538" s="113"/>
      <c r="GH538" s="113"/>
      <c r="GI538" s="46">
        <v>0</v>
      </c>
      <c r="GJ538" s="113"/>
      <c r="GK538" s="113"/>
      <c r="GL538" s="113"/>
      <c r="GM538" s="113"/>
      <c r="GN538" s="113"/>
      <c r="GO538" s="46">
        <v>0</v>
      </c>
      <c r="GP538" s="113"/>
      <c r="GQ538" s="113"/>
      <c r="GR538" s="113"/>
      <c r="GS538" s="113"/>
      <c r="GT538" s="113"/>
      <c r="GU538" s="46">
        <v>0</v>
      </c>
      <c r="GV538" s="113"/>
      <c r="GW538" s="113"/>
      <c r="GX538" s="113"/>
      <c r="GY538" s="113"/>
      <c r="GZ538" s="113"/>
      <c r="HA538" s="46">
        <v>0</v>
      </c>
      <c r="HB538" s="113"/>
      <c r="HC538" s="113"/>
      <c r="HD538" s="113"/>
      <c r="HE538" s="113"/>
      <c r="HF538" s="113"/>
      <c r="HG538" s="46">
        <v>0</v>
      </c>
      <c r="HH538" s="113"/>
      <c r="HI538" s="113"/>
      <c r="HJ538" s="113"/>
      <c r="HK538" s="113"/>
      <c r="HL538" s="113"/>
      <c r="HM538" s="121"/>
      <c r="HN538" s="121"/>
      <c r="LM538" t="str">
        <v/>
      </c>
      <c r="LN538" t="str">
        <v/>
      </c>
      <c r="LO538" t="str">
        <v/>
      </c>
    </row>
    <row r="539" spans="30:327">
      <c r="AD539" t="s">
        <v>112</v>
      </c>
      <c r="AE539" t="s">
        <v>23054</v>
      </c>
      <c r="AF539" s="46">
        <v>0</v>
      </c>
      <c r="AG539" s="113"/>
      <c r="AH539" s="113"/>
      <c r="AI539" s="113"/>
      <c r="AJ539" s="113"/>
      <c r="AK539" s="113"/>
      <c r="AL539" s="46">
        <v>0</v>
      </c>
      <c r="AM539" s="113"/>
      <c r="AN539" s="113"/>
      <c r="AO539" s="113"/>
      <c r="AP539" s="113"/>
      <c r="AQ539" s="113"/>
      <c r="AR539" s="46">
        <v>0</v>
      </c>
      <c r="AS539" s="113"/>
      <c r="AT539" s="113"/>
      <c r="AU539" s="113"/>
      <c r="AV539" s="113"/>
      <c r="AW539" s="113"/>
      <c r="AX539" s="46">
        <v>0</v>
      </c>
      <c r="AY539" s="113"/>
      <c r="AZ539" s="113"/>
      <c r="BA539" s="113"/>
      <c r="BB539" s="113"/>
      <c r="BC539" s="113"/>
      <c r="BD539" s="46">
        <v>0</v>
      </c>
      <c r="BE539" s="113"/>
      <c r="BF539" s="113"/>
      <c r="BG539" s="113"/>
      <c r="BH539" s="113"/>
      <c r="BI539" s="113"/>
      <c r="BJ539" s="46">
        <v>0</v>
      </c>
      <c r="BK539" s="113"/>
      <c r="BL539" s="113"/>
      <c r="BM539" s="113"/>
      <c r="BN539" s="113"/>
      <c r="BO539" s="113"/>
      <c r="BP539" s="121"/>
      <c r="BQ539" s="121"/>
      <c r="GA539" t="s">
        <v>112</v>
      </c>
      <c r="GB539" t="s">
        <v>23054</v>
      </c>
      <c r="GC539" s="46">
        <v>0</v>
      </c>
      <c r="GD539" s="113"/>
      <c r="GE539" s="113"/>
      <c r="GF539" s="113"/>
      <c r="GG539" s="113"/>
      <c r="GH539" s="113"/>
      <c r="GI539" s="46">
        <v>0</v>
      </c>
      <c r="GJ539" s="113"/>
      <c r="GK539" s="113"/>
      <c r="GL539" s="113"/>
      <c r="GM539" s="113"/>
      <c r="GN539" s="113"/>
      <c r="GO539" s="46">
        <v>0</v>
      </c>
      <c r="GP539" s="113"/>
      <c r="GQ539" s="113"/>
      <c r="GR539" s="113"/>
      <c r="GS539" s="113"/>
      <c r="GT539" s="113"/>
      <c r="GU539" s="46">
        <v>0</v>
      </c>
      <c r="GV539" s="113"/>
      <c r="GW539" s="113"/>
      <c r="GX539" s="113"/>
      <c r="GY539" s="113"/>
      <c r="GZ539" s="113"/>
      <c r="HA539" s="46">
        <v>0</v>
      </c>
      <c r="HB539" s="113"/>
      <c r="HC539" s="113"/>
      <c r="HD539" s="113"/>
      <c r="HE539" s="113"/>
      <c r="HF539" s="113"/>
      <c r="HG539" s="46">
        <v>0</v>
      </c>
      <c r="HH539" s="113"/>
      <c r="HI539" s="113"/>
      <c r="HJ539" s="113"/>
      <c r="HK539" s="113"/>
      <c r="HL539" s="113"/>
      <c r="HM539" s="121"/>
      <c r="HN539" s="121"/>
      <c r="LM539" t="str">
        <v/>
      </c>
      <c r="LN539" t="str">
        <v/>
      </c>
      <c r="LO539" t="str">
        <v/>
      </c>
    </row>
    <row r="540" spans="30:327">
      <c r="AD540" t="s">
        <v>112</v>
      </c>
      <c r="AE540" t="s">
        <v>23055</v>
      </c>
      <c r="AF540" s="46">
        <v>0</v>
      </c>
      <c r="AG540" s="113"/>
      <c r="AH540" s="113"/>
      <c r="AI540" s="113"/>
      <c r="AJ540" s="113"/>
      <c r="AK540" s="113"/>
      <c r="AL540" s="46">
        <v>0</v>
      </c>
      <c r="AM540" s="113"/>
      <c r="AN540" s="113"/>
      <c r="AO540" s="113"/>
      <c r="AP540" s="113"/>
      <c r="AQ540" s="113"/>
      <c r="AR540" s="46">
        <v>0</v>
      </c>
      <c r="AS540" s="113"/>
      <c r="AT540" s="113"/>
      <c r="AU540" s="113"/>
      <c r="AV540" s="113"/>
      <c r="AW540" s="113"/>
      <c r="AX540" s="46">
        <v>0</v>
      </c>
      <c r="AY540" s="113"/>
      <c r="AZ540" s="113"/>
      <c r="BA540" s="113"/>
      <c r="BB540" s="113"/>
      <c r="BC540" s="113"/>
      <c r="BD540" s="46">
        <v>0</v>
      </c>
      <c r="BE540" s="113"/>
      <c r="BF540" s="113"/>
      <c r="BG540" s="113"/>
      <c r="BH540" s="113"/>
      <c r="BI540" s="113"/>
      <c r="BJ540" s="46">
        <v>0</v>
      </c>
      <c r="BK540" s="113"/>
      <c r="BL540" s="113"/>
      <c r="BM540" s="113"/>
      <c r="BN540" s="113"/>
      <c r="BO540" s="113"/>
      <c r="BP540" s="121"/>
      <c r="BQ540" s="121"/>
      <c r="GA540" t="s">
        <v>112</v>
      </c>
      <c r="GB540" t="s">
        <v>23055</v>
      </c>
      <c r="GC540" s="46">
        <v>0</v>
      </c>
      <c r="GD540" s="113"/>
      <c r="GE540" s="113"/>
      <c r="GF540" s="113"/>
      <c r="GG540" s="113"/>
      <c r="GH540" s="113"/>
      <c r="GI540" s="46">
        <v>0</v>
      </c>
      <c r="GJ540" s="113"/>
      <c r="GK540" s="113"/>
      <c r="GL540" s="113"/>
      <c r="GM540" s="113"/>
      <c r="GN540" s="113"/>
      <c r="GO540" s="46">
        <v>0</v>
      </c>
      <c r="GP540" s="113"/>
      <c r="GQ540" s="113"/>
      <c r="GR540" s="113"/>
      <c r="GS540" s="113"/>
      <c r="GT540" s="113"/>
      <c r="GU540" s="46">
        <v>0</v>
      </c>
      <c r="GV540" s="113"/>
      <c r="GW540" s="113"/>
      <c r="GX540" s="113"/>
      <c r="GY540" s="113"/>
      <c r="GZ540" s="113"/>
      <c r="HA540" s="46">
        <v>0</v>
      </c>
      <c r="HB540" s="113"/>
      <c r="HC540" s="113"/>
      <c r="HD540" s="113"/>
      <c r="HE540" s="113"/>
      <c r="HF540" s="113"/>
      <c r="HG540" s="46">
        <v>0</v>
      </c>
      <c r="HH540" s="113"/>
      <c r="HI540" s="113"/>
      <c r="HJ540" s="113"/>
      <c r="HK540" s="113"/>
      <c r="HL540" s="113"/>
      <c r="HM540" s="121"/>
      <c r="HN540" s="121"/>
      <c r="LM540" t="str">
        <v/>
      </c>
      <c r="LN540" t="str">
        <v/>
      </c>
      <c r="LO540" t="str">
        <v/>
      </c>
    </row>
    <row r="541" spans="30:327">
      <c r="AD541" t="s">
        <v>112</v>
      </c>
      <c r="AE541" t="s">
        <v>23056</v>
      </c>
      <c r="AF541" s="46">
        <v>0</v>
      </c>
      <c r="AG541" s="113"/>
      <c r="AH541" s="113"/>
      <c r="AI541" s="113"/>
      <c r="AJ541" s="113"/>
      <c r="AK541" s="113"/>
      <c r="AL541" s="46">
        <v>0</v>
      </c>
      <c r="AM541" s="113"/>
      <c r="AN541" s="113"/>
      <c r="AO541" s="113"/>
      <c r="AP541" s="113"/>
      <c r="AQ541" s="113"/>
      <c r="AR541" s="46">
        <v>0</v>
      </c>
      <c r="AS541" s="113"/>
      <c r="AT541" s="113"/>
      <c r="AU541" s="113"/>
      <c r="AV541" s="113"/>
      <c r="AW541" s="113"/>
      <c r="AX541" s="46">
        <v>0</v>
      </c>
      <c r="AY541" s="113"/>
      <c r="AZ541" s="113"/>
      <c r="BA541" s="113"/>
      <c r="BB541" s="113"/>
      <c r="BC541" s="113"/>
      <c r="BD541" s="46">
        <v>0</v>
      </c>
      <c r="BE541" s="113"/>
      <c r="BF541" s="113"/>
      <c r="BG541" s="113"/>
      <c r="BH541" s="113"/>
      <c r="BI541" s="113"/>
      <c r="BJ541" s="46">
        <v>0</v>
      </c>
      <c r="BK541" s="113"/>
      <c r="BL541" s="113"/>
      <c r="BM541" s="113"/>
      <c r="BN541" s="113"/>
      <c r="BO541" s="113"/>
      <c r="BP541" s="121"/>
      <c r="BQ541" s="121"/>
      <c r="GA541" t="s">
        <v>112</v>
      </c>
      <c r="GB541" t="s">
        <v>23056</v>
      </c>
      <c r="GC541" s="46">
        <v>0</v>
      </c>
      <c r="GD541" s="113"/>
      <c r="GE541" s="113"/>
      <c r="GF541" s="113"/>
      <c r="GG541" s="113"/>
      <c r="GH541" s="113"/>
      <c r="GI541" s="46">
        <v>0</v>
      </c>
      <c r="GJ541" s="113"/>
      <c r="GK541" s="113"/>
      <c r="GL541" s="113"/>
      <c r="GM541" s="113"/>
      <c r="GN541" s="113"/>
      <c r="GO541" s="46">
        <v>0</v>
      </c>
      <c r="GP541" s="113"/>
      <c r="GQ541" s="113"/>
      <c r="GR541" s="113"/>
      <c r="GS541" s="113"/>
      <c r="GT541" s="113"/>
      <c r="GU541" s="46">
        <v>0</v>
      </c>
      <c r="GV541" s="113"/>
      <c r="GW541" s="113"/>
      <c r="GX541" s="113"/>
      <c r="GY541" s="113"/>
      <c r="GZ541" s="113"/>
      <c r="HA541" s="46">
        <v>0</v>
      </c>
      <c r="HB541" s="113"/>
      <c r="HC541" s="113"/>
      <c r="HD541" s="113"/>
      <c r="HE541" s="113"/>
      <c r="HF541" s="113"/>
      <c r="HG541" s="46">
        <v>0</v>
      </c>
      <c r="HH541" s="113"/>
      <c r="HI541" s="113"/>
      <c r="HJ541" s="113"/>
      <c r="HK541" s="113"/>
      <c r="HL541" s="113"/>
      <c r="HM541" s="121"/>
      <c r="HN541" s="121"/>
      <c r="LM541" t="str">
        <v/>
      </c>
      <c r="LN541" t="str">
        <v/>
      </c>
      <c r="LO541" t="str">
        <v/>
      </c>
    </row>
    <row r="542" spans="30:327">
      <c r="AD542" t="s">
        <v>112</v>
      </c>
      <c r="AE542" t="s">
        <v>23057</v>
      </c>
      <c r="AF542" s="46">
        <v>0</v>
      </c>
      <c r="AG542" s="113"/>
      <c r="AH542" s="113"/>
      <c r="AI542" s="113"/>
      <c r="AJ542" s="113"/>
      <c r="AK542" s="113"/>
      <c r="AL542" s="46">
        <v>0</v>
      </c>
      <c r="AM542" s="113"/>
      <c r="AN542" s="113"/>
      <c r="AO542" s="113"/>
      <c r="AP542" s="113"/>
      <c r="AQ542" s="113"/>
      <c r="AR542" s="46">
        <v>0</v>
      </c>
      <c r="AS542" s="113"/>
      <c r="AT542" s="113"/>
      <c r="AU542" s="113"/>
      <c r="AV542" s="113"/>
      <c r="AW542" s="113"/>
      <c r="AX542" s="46">
        <v>0</v>
      </c>
      <c r="AY542" s="113"/>
      <c r="AZ542" s="113"/>
      <c r="BA542" s="113"/>
      <c r="BB542" s="113"/>
      <c r="BC542" s="113"/>
      <c r="BD542" s="46">
        <v>0</v>
      </c>
      <c r="BE542" s="113"/>
      <c r="BF542" s="113"/>
      <c r="BG542" s="113"/>
      <c r="BH542" s="113"/>
      <c r="BI542" s="113"/>
      <c r="BJ542" s="46">
        <v>0</v>
      </c>
      <c r="BK542" s="113"/>
      <c r="BL542" s="113"/>
      <c r="BM542" s="113"/>
      <c r="BN542" s="113"/>
      <c r="BO542" s="113"/>
      <c r="BP542" s="121"/>
      <c r="BQ542" s="121"/>
      <c r="GA542" t="s">
        <v>112</v>
      </c>
      <c r="GB542" t="s">
        <v>23057</v>
      </c>
      <c r="GC542" s="46">
        <v>0</v>
      </c>
      <c r="GD542" s="113"/>
      <c r="GE542" s="113"/>
      <c r="GF542" s="113"/>
      <c r="GG542" s="113"/>
      <c r="GH542" s="113"/>
      <c r="GI542" s="46">
        <v>0</v>
      </c>
      <c r="GJ542" s="113"/>
      <c r="GK542" s="113"/>
      <c r="GL542" s="113"/>
      <c r="GM542" s="113"/>
      <c r="GN542" s="113"/>
      <c r="GO542" s="46">
        <v>0</v>
      </c>
      <c r="GP542" s="113"/>
      <c r="GQ542" s="113"/>
      <c r="GR542" s="113"/>
      <c r="GS542" s="113"/>
      <c r="GT542" s="113"/>
      <c r="GU542" s="46">
        <v>0</v>
      </c>
      <c r="GV542" s="113"/>
      <c r="GW542" s="113"/>
      <c r="GX542" s="113"/>
      <c r="GY542" s="113"/>
      <c r="GZ542" s="113"/>
      <c r="HA542" s="46">
        <v>0</v>
      </c>
      <c r="HB542" s="113"/>
      <c r="HC542" s="113"/>
      <c r="HD542" s="113"/>
      <c r="HE542" s="113"/>
      <c r="HF542" s="113"/>
      <c r="HG542" s="46">
        <v>0</v>
      </c>
      <c r="HH542" s="113"/>
      <c r="HI542" s="113"/>
      <c r="HJ542" s="113"/>
      <c r="HK542" s="113"/>
      <c r="HL542" s="113"/>
      <c r="HM542" s="121"/>
      <c r="HN542" s="121"/>
      <c r="LM542" t="str">
        <v/>
      </c>
      <c r="LN542" t="str">
        <v/>
      </c>
      <c r="LO542" t="str">
        <v/>
      </c>
    </row>
    <row r="543" spans="30:327">
      <c r="AD543" t="s">
        <v>112</v>
      </c>
      <c r="AE543" t="s">
        <v>23058</v>
      </c>
      <c r="AF543" s="46">
        <v>0</v>
      </c>
      <c r="AG543" s="113"/>
      <c r="AH543" s="113"/>
      <c r="AI543" s="113"/>
      <c r="AJ543" s="113"/>
      <c r="AK543" s="113"/>
      <c r="AL543" s="46">
        <v>0</v>
      </c>
      <c r="AM543" s="113"/>
      <c r="AN543" s="113"/>
      <c r="AO543" s="113"/>
      <c r="AP543" s="113"/>
      <c r="AQ543" s="113"/>
      <c r="AR543" s="46">
        <v>0</v>
      </c>
      <c r="AS543" s="113"/>
      <c r="AT543" s="113"/>
      <c r="AU543" s="113"/>
      <c r="AV543" s="113"/>
      <c r="AW543" s="113"/>
      <c r="AX543" s="46">
        <v>0</v>
      </c>
      <c r="AY543" s="113"/>
      <c r="AZ543" s="113"/>
      <c r="BA543" s="113"/>
      <c r="BB543" s="113"/>
      <c r="BC543" s="113"/>
      <c r="BD543" s="46">
        <v>0</v>
      </c>
      <c r="BE543" s="113"/>
      <c r="BF543" s="113"/>
      <c r="BG543" s="113"/>
      <c r="BH543" s="113"/>
      <c r="BI543" s="113"/>
      <c r="BJ543" s="46">
        <v>0</v>
      </c>
      <c r="BK543" s="113"/>
      <c r="BL543" s="113"/>
      <c r="BM543" s="113"/>
      <c r="BN543" s="113"/>
      <c r="BO543" s="113"/>
      <c r="BP543" s="121"/>
      <c r="BQ543" s="121"/>
      <c r="GA543" t="s">
        <v>112</v>
      </c>
      <c r="GB543" t="s">
        <v>23058</v>
      </c>
      <c r="GC543" s="46">
        <v>0</v>
      </c>
      <c r="GD543" s="113"/>
      <c r="GE543" s="113"/>
      <c r="GF543" s="113"/>
      <c r="GG543" s="113"/>
      <c r="GH543" s="113"/>
      <c r="GI543" s="46">
        <v>0</v>
      </c>
      <c r="GJ543" s="113"/>
      <c r="GK543" s="113"/>
      <c r="GL543" s="113"/>
      <c r="GM543" s="113"/>
      <c r="GN543" s="113"/>
      <c r="GO543" s="46">
        <v>0</v>
      </c>
      <c r="GP543" s="113"/>
      <c r="GQ543" s="113"/>
      <c r="GR543" s="113"/>
      <c r="GS543" s="113"/>
      <c r="GT543" s="113"/>
      <c r="GU543" s="46">
        <v>0</v>
      </c>
      <c r="GV543" s="113"/>
      <c r="GW543" s="113"/>
      <c r="GX543" s="113"/>
      <c r="GY543" s="113"/>
      <c r="GZ543" s="113"/>
      <c r="HA543" s="46">
        <v>0</v>
      </c>
      <c r="HB543" s="113"/>
      <c r="HC543" s="113"/>
      <c r="HD543" s="113"/>
      <c r="HE543" s="113"/>
      <c r="HF543" s="113"/>
      <c r="HG543" s="46">
        <v>0</v>
      </c>
      <c r="HH543" s="113"/>
      <c r="HI543" s="113"/>
      <c r="HJ543" s="113"/>
      <c r="HK543" s="113"/>
      <c r="HL543" s="113"/>
      <c r="HM543" s="121"/>
      <c r="HN543" s="121"/>
      <c r="LM543" t="str">
        <v/>
      </c>
      <c r="LN543" t="str">
        <v/>
      </c>
      <c r="LO543" t="str">
        <v/>
      </c>
    </row>
    <row r="544" spans="30:327">
      <c r="AD544" t="s">
        <v>112</v>
      </c>
      <c r="AE544" t="s">
        <v>23059</v>
      </c>
      <c r="AF544" s="46">
        <v>0</v>
      </c>
      <c r="AG544" s="113"/>
      <c r="AH544" s="113"/>
      <c r="AI544" s="113"/>
      <c r="AJ544" s="113"/>
      <c r="AK544" s="113"/>
      <c r="AL544" s="46">
        <v>0</v>
      </c>
      <c r="AM544" s="113"/>
      <c r="AN544" s="113"/>
      <c r="AO544" s="113"/>
      <c r="AP544" s="113"/>
      <c r="AQ544" s="113"/>
      <c r="AR544" s="46">
        <v>0</v>
      </c>
      <c r="AS544" s="113"/>
      <c r="AT544" s="113"/>
      <c r="AU544" s="113"/>
      <c r="AV544" s="113"/>
      <c r="AW544" s="113"/>
      <c r="AX544" s="46">
        <v>0</v>
      </c>
      <c r="AY544" s="113"/>
      <c r="AZ544" s="113"/>
      <c r="BA544" s="113"/>
      <c r="BB544" s="113"/>
      <c r="BC544" s="113"/>
      <c r="BD544" s="46">
        <v>0</v>
      </c>
      <c r="BE544" s="113"/>
      <c r="BF544" s="113"/>
      <c r="BG544" s="113"/>
      <c r="BH544" s="113"/>
      <c r="BI544" s="113"/>
      <c r="BJ544" s="46">
        <v>0</v>
      </c>
      <c r="BK544" s="113"/>
      <c r="BL544" s="113"/>
      <c r="BM544" s="113"/>
      <c r="BN544" s="113"/>
      <c r="BO544" s="113"/>
      <c r="BP544" s="121"/>
      <c r="BQ544" s="121"/>
      <c r="GA544" t="s">
        <v>112</v>
      </c>
      <c r="GB544" t="s">
        <v>23059</v>
      </c>
      <c r="GC544" s="46">
        <v>0</v>
      </c>
      <c r="GD544" s="113"/>
      <c r="GE544" s="113"/>
      <c r="GF544" s="113"/>
      <c r="GG544" s="113"/>
      <c r="GH544" s="113"/>
      <c r="GI544" s="46">
        <v>0</v>
      </c>
      <c r="GJ544" s="113"/>
      <c r="GK544" s="113"/>
      <c r="GL544" s="113"/>
      <c r="GM544" s="113"/>
      <c r="GN544" s="113"/>
      <c r="GO544" s="46">
        <v>0</v>
      </c>
      <c r="GP544" s="113"/>
      <c r="GQ544" s="113"/>
      <c r="GR544" s="113"/>
      <c r="GS544" s="113"/>
      <c r="GT544" s="113"/>
      <c r="GU544" s="46">
        <v>0</v>
      </c>
      <c r="GV544" s="113"/>
      <c r="GW544" s="113"/>
      <c r="GX544" s="113"/>
      <c r="GY544" s="113"/>
      <c r="GZ544" s="113"/>
      <c r="HA544" s="46">
        <v>0</v>
      </c>
      <c r="HB544" s="113"/>
      <c r="HC544" s="113"/>
      <c r="HD544" s="113"/>
      <c r="HE544" s="113"/>
      <c r="HF544" s="113"/>
      <c r="HG544" s="46">
        <v>0</v>
      </c>
      <c r="HH544" s="113"/>
      <c r="HI544" s="113"/>
      <c r="HJ544" s="113"/>
      <c r="HK544" s="113"/>
      <c r="HL544" s="113"/>
      <c r="HM544" s="121"/>
      <c r="HN544" s="121"/>
      <c r="LM544" t="str">
        <v/>
      </c>
      <c r="LN544" t="str">
        <v/>
      </c>
      <c r="LO544" t="str">
        <v/>
      </c>
    </row>
    <row r="545" spans="30:327">
      <c r="AD545" t="s">
        <v>112</v>
      </c>
      <c r="AE545" t="s">
        <v>23060</v>
      </c>
      <c r="AF545" s="46">
        <v>0</v>
      </c>
      <c r="AG545" s="113"/>
      <c r="AH545" s="113"/>
      <c r="AI545" s="113"/>
      <c r="AJ545" s="113"/>
      <c r="AK545" s="113"/>
      <c r="AL545" s="46">
        <v>0</v>
      </c>
      <c r="AM545" s="113"/>
      <c r="AN545" s="113"/>
      <c r="AO545" s="113"/>
      <c r="AP545" s="113"/>
      <c r="AQ545" s="113"/>
      <c r="AR545" s="46">
        <v>0</v>
      </c>
      <c r="AS545" s="113"/>
      <c r="AT545" s="113"/>
      <c r="AU545" s="113"/>
      <c r="AV545" s="113"/>
      <c r="AW545" s="113"/>
      <c r="AX545" s="46">
        <v>0</v>
      </c>
      <c r="AY545" s="113"/>
      <c r="AZ545" s="113"/>
      <c r="BA545" s="113"/>
      <c r="BB545" s="113"/>
      <c r="BC545" s="113"/>
      <c r="BD545" s="46">
        <v>0</v>
      </c>
      <c r="BE545" s="113"/>
      <c r="BF545" s="113"/>
      <c r="BG545" s="113"/>
      <c r="BH545" s="113"/>
      <c r="BI545" s="113"/>
      <c r="BJ545" s="46">
        <v>0</v>
      </c>
      <c r="BK545" s="113"/>
      <c r="BL545" s="113"/>
      <c r="BM545" s="113"/>
      <c r="BN545" s="113"/>
      <c r="BO545" s="113"/>
      <c r="BP545" s="121"/>
      <c r="BQ545" s="121"/>
      <c r="GA545" t="s">
        <v>112</v>
      </c>
      <c r="GB545" t="s">
        <v>23060</v>
      </c>
      <c r="GC545" s="46">
        <v>0</v>
      </c>
      <c r="GD545" s="113"/>
      <c r="GE545" s="113"/>
      <c r="GF545" s="113"/>
      <c r="GG545" s="113"/>
      <c r="GH545" s="113"/>
      <c r="GI545" s="46">
        <v>0</v>
      </c>
      <c r="GJ545" s="113"/>
      <c r="GK545" s="113"/>
      <c r="GL545" s="113"/>
      <c r="GM545" s="113"/>
      <c r="GN545" s="113"/>
      <c r="GO545" s="46">
        <v>0</v>
      </c>
      <c r="GP545" s="113"/>
      <c r="GQ545" s="113"/>
      <c r="GR545" s="113"/>
      <c r="GS545" s="113"/>
      <c r="GT545" s="113"/>
      <c r="GU545" s="46">
        <v>0</v>
      </c>
      <c r="GV545" s="113"/>
      <c r="GW545" s="113"/>
      <c r="GX545" s="113"/>
      <c r="GY545" s="113"/>
      <c r="GZ545" s="113"/>
      <c r="HA545" s="46">
        <v>0</v>
      </c>
      <c r="HB545" s="113"/>
      <c r="HC545" s="113"/>
      <c r="HD545" s="113"/>
      <c r="HE545" s="113"/>
      <c r="HF545" s="113"/>
      <c r="HG545" s="46">
        <v>0</v>
      </c>
      <c r="HH545" s="113"/>
      <c r="HI545" s="113"/>
      <c r="HJ545" s="113"/>
      <c r="HK545" s="113"/>
      <c r="HL545" s="113"/>
      <c r="HM545" s="121"/>
      <c r="HN545" s="121"/>
      <c r="LM545" t="str">
        <v/>
      </c>
      <c r="LN545" t="str">
        <v/>
      </c>
      <c r="LO545" t="str">
        <v/>
      </c>
    </row>
    <row r="546" spans="30:327">
      <c r="AD546" t="s">
        <v>112</v>
      </c>
      <c r="AE546" t="s">
        <v>23061</v>
      </c>
      <c r="AF546" s="46">
        <v>0</v>
      </c>
      <c r="AG546" s="113"/>
      <c r="AH546" s="113"/>
      <c r="AI546" s="113"/>
      <c r="AJ546" s="113"/>
      <c r="AK546" s="113"/>
      <c r="AL546" s="46">
        <v>0</v>
      </c>
      <c r="AM546" s="113"/>
      <c r="AN546" s="113"/>
      <c r="AO546" s="113"/>
      <c r="AP546" s="113"/>
      <c r="AQ546" s="113"/>
      <c r="AR546" s="46">
        <v>0</v>
      </c>
      <c r="AS546" s="113"/>
      <c r="AT546" s="113"/>
      <c r="AU546" s="113"/>
      <c r="AV546" s="113"/>
      <c r="AW546" s="113"/>
      <c r="AX546" s="46">
        <v>0</v>
      </c>
      <c r="AY546" s="113"/>
      <c r="AZ546" s="113"/>
      <c r="BA546" s="113"/>
      <c r="BB546" s="113"/>
      <c r="BC546" s="113"/>
      <c r="BD546" s="46">
        <v>0</v>
      </c>
      <c r="BE546" s="113"/>
      <c r="BF546" s="113"/>
      <c r="BG546" s="113"/>
      <c r="BH546" s="113"/>
      <c r="BI546" s="113"/>
      <c r="BJ546" s="46">
        <v>0</v>
      </c>
      <c r="BK546" s="113"/>
      <c r="BL546" s="113"/>
      <c r="BM546" s="113"/>
      <c r="BN546" s="113"/>
      <c r="BO546" s="113"/>
      <c r="BP546" s="121"/>
      <c r="BQ546" s="121"/>
      <c r="GA546" t="s">
        <v>112</v>
      </c>
      <c r="GB546" t="s">
        <v>23061</v>
      </c>
      <c r="GC546" s="46">
        <v>0</v>
      </c>
      <c r="GD546" s="113"/>
      <c r="GE546" s="113"/>
      <c r="GF546" s="113"/>
      <c r="GG546" s="113"/>
      <c r="GH546" s="113"/>
      <c r="GI546" s="46">
        <v>0</v>
      </c>
      <c r="GJ546" s="113"/>
      <c r="GK546" s="113"/>
      <c r="GL546" s="113"/>
      <c r="GM546" s="113"/>
      <c r="GN546" s="113"/>
      <c r="GO546" s="46">
        <v>0</v>
      </c>
      <c r="GP546" s="113"/>
      <c r="GQ546" s="113"/>
      <c r="GR546" s="113"/>
      <c r="GS546" s="113"/>
      <c r="GT546" s="113"/>
      <c r="GU546" s="46">
        <v>0</v>
      </c>
      <c r="GV546" s="113"/>
      <c r="GW546" s="113"/>
      <c r="GX546" s="113"/>
      <c r="GY546" s="113"/>
      <c r="GZ546" s="113"/>
      <c r="HA546" s="46">
        <v>0</v>
      </c>
      <c r="HB546" s="113"/>
      <c r="HC546" s="113"/>
      <c r="HD546" s="113"/>
      <c r="HE546" s="113"/>
      <c r="HF546" s="113"/>
      <c r="HG546" s="46">
        <v>0</v>
      </c>
      <c r="HH546" s="113"/>
      <c r="HI546" s="113"/>
      <c r="HJ546" s="113"/>
      <c r="HK546" s="113"/>
      <c r="HL546" s="113"/>
      <c r="HM546" s="121"/>
      <c r="HN546" s="121"/>
      <c r="LM546" t="str">
        <v/>
      </c>
      <c r="LN546" t="str">
        <v/>
      </c>
      <c r="LO546" t="str">
        <v/>
      </c>
    </row>
    <row r="547" spans="30:327">
      <c r="AD547" t="s">
        <v>112</v>
      </c>
      <c r="AE547" t="s">
        <v>23062</v>
      </c>
      <c r="AF547" s="46">
        <v>0</v>
      </c>
      <c r="AG547" s="113"/>
      <c r="AH547" s="113"/>
      <c r="AI547" s="113"/>
      <c r="AJ547" s="113"/>
      <c r="AK547" s="113"/>
      <c r="AL547" s="46">
        <v>0</v>
      </c>
      <c r="AM547" s="113"/>
      <c r="AN547" s="113"/>
      <c r="AO547" s="113"/>
      <c r="AP547" s="113"/>
      <c r="AQ547" s="113"/>
      <c r="AR547" s="46">
        <v>0</v>
      </c>
      <c r="AS547" s="113"/>
      <c r="AT547" s="113"/>
      <c r="AU547" s="113"/>
      <c r="AV547" s="113"/>
      <c r="AW547" s="113"/>
      <c r="AX547" s="46">
        <v>0</v>
      </c>
      <c r="AY547" s="113"/>
      <c r="AZ547" s="113"/>
      <c r="BA547" s="113"/>
      <c r="BB547" s="113"/>
      <c r="BC547" s="113"/>
      <c r="BD547" s="46">
        <v>0</v>
      </c>
      <c r="BE547" s="113"/>
      <c r="BF547" s="113"/>
      <c r="BG547" s="113"/>
      <c r="BH547" s="113"/>
      <c r="BI547" s="113"/>
      <c r="BJ547" s="46">
        <v>0</v>
      </c>
      <c r="BK547" s="113"/>
      <c r="BL547" s="113"/>
      <c r="BM547" s="113"/>
      <c r="BN547" s="113"/>
      <c r="BO547" s="113"/>
      <c r="BP547" s="121"/>
      <c r="BQ547" s="121"/>
      <c r="GA547" t="s">
        <v>112</v>
      </c>
      <c r="GB547" t="s">
        <v>23062</v>
      </c>
      <c r="GC547" s="46">
        <v>0</v>
      </c>
      <c r="GD547" s="113"/>
      <c r="GE547" s="113"/>
      <c r="GF547" s="113"/>
      <c r="GG547" s="113"/>
      <c r="GH547" s="113"/>
      <c r="GI547" s="46">
        <v>0</v>
      </c>
      <c r="GJ547" s="113"/>
      <c r="GK547" s="113"/>
      <c r="GL547" s="113"/>
      <c r="GM547" s="113"/>
      <c r="GN547" s="113"/>
      <c r="GO547" s="46">
        <v>0</v>
      </c>
      <c r="GP547" s="113"/>
      <c r="GQ547" s="113"/>
      <c r="GR547" s="113"/>
      <c r="GS547" s="113"/>
      <c r="GT547" s="113"/>
      <c r="GU547" s="46">
        <v>0</v>
      </c>
      <c r="GV547" s="113"/>
      <c r="GW547" s="113"/>
      <c r="GX547" s="113"/>
      <c r="GY547" s="113"/>
      <c r="GZ547" s="113"/>
      <c r="HA547" s="46">
        <v>0</v>
      </c>
      <c r="HB547" s="113"/>
      <c r="HC547" s="113"/>
      <c r="HD547" s="113"/>
      <c r="HE547" s="113"/>
      <c r="HF547" s="113"/>
      <c r="HG547" s="46">
        <v>0</v>
      </c>
      <c r="HH547" s="113"/>
      <c r="HI547" s="113"/>
      <c r="HJ547" s="113"/>
      <c r="HK547" s="113"/>
      <c r="HL547" s="113"/>
      <c r="HM547" s="121"/>
      <c r="HN547" s="121"/>
      <c r="LM547" t="str">
        <v/>
      </c>
      <c r="LN547" t="str">
        <v/>
      </c>
      <c r="LO547" t="str">
        <v/>
      </c>
    </row>
    <row r="548" spans="30:327">
      <c r="AD548" t="s">
        <v>112</v>
      </c>
      <c r="AE548" t="s">
        <v>23063</v>
      </c>
      <c r="AF548" s="46">
        <v>0</v>
      </c>
      <c r="AG548" s="113"/>
      <c r="AH548" s="113"/>
      <c r="AI548" s="113"/>
      <c r="AJ548" s="113"/>
      <c r="AK548" s="113"/>
      <c r="AL548" s="46">
        <v>0</v>
      </c>
      <c r="AM548" s="113"/>
      <c r="AN548" s="113"/>
      <c r="AO548" s="113"/>
      <c r="AP548" s="113"/>
      <c r="AQ548" s="113"/>
      <c r="AR548" s="46">
        <v>0</v>
      </c>
      <c r="AS548" s="113"/>
      <c r="AT548" s="113"/>
      <c r="AU548" s="113"/>
      <c r="AV548" s="113"/>
      <c r="AW548" s="113"/>
      <c r="AX548" s="46">
        <v>0</v>
      </c>
      <c r="AY548" s="113"/>
      <c r="AZ548" s="113"/>
      <c r="BA548" s="113"/>
      <c r="BB548" s="113"/>
      <c r="BC548" s="113"/>
      <c r="BD548" s="46">
        <v>0</v>
      </c>
      <c r="BE548" s="113"/>
      <c r="BF548" s="113"/>
      <c r="BG548" s="113"/>
      <c r="BH548" s="113"/>
      <c r="BI548" s="113"/>
      <c r="BJ548" s="46">
        <v>0</v>
      </c>
      <c r="BK548" s="113"/>
      <c r="BL548" s="113"/>
      <c r="BM548" s="113"/>
      <c r="BN548" s="113"/>
      <c r="BO548" s="113"/>
      <c r="BP548" s="121"/>
      <c r="BQ548" s="121"/>
      <c r="GA548" t="s">
        <v>112</v>
      </c>
      <c r="GB548" t="s">
        <v>23063</v>
      </c>
      <c r="GC548" s="46">
        <v>0</v>
      </c>
      <c r="GD548" s="113"/>
      <c r="GE548" s="113"/>
      <c r="GF548" s="113"/>
      <c r="GG548" s="113"/>
      <c r="GH548" s="113"/>
      <c r="GI548" s="46">
        <v>0</v>
      </c>
      <c r="GJ548" s="113"/>
      <c r="GK548" s="113"/>
      <c r="GL548" s="113"/>
      <c r="GM548" s="113"/>
      <c r="GN548" s="113"/>
      <c r="GO548" s="46">
        <v>0</v>
      </c>
      <c r="GP548" s="113"/>
      <c r="GQ548" s="113"/>
      <c r="GR548" s="113"/>
      <c r="GS548" s="113"/>
      <c r="GT548" s="113"/>
      <c r="GU548" s="46">
        <v>0</v>
      </c>
      <c r="GV548" s="113"/>
      <c r="GW548" s="113"/>
      <c r="GX548" s="113"/>
      <c r="GY548" s="113"/>
      <c r="GZ548" s="113"/>
      <c r="HA548" s="46">
        <v>0</v>
      </c>
      <c r="HB548" s="113"/>
      <c r="HC548" s="113"/>
      <c r="HD548" s="113"/>
      <c r="HE548" s="113"/>
      <c r="HF548" s="113"/>
      <c r="HG548" s="46">
        <v>0</v>
      </c>
      <c r="HH548" s="113"/>
      <c r="HI548" s="113"/>
      <c r="HJ548" s="113"/>
      <c r="HK548" s="113"/>
      <c r="HL548" s="113"/>
      <c r="HM548" s="121"/>
      <c r="HN548" s="121"/>
      <c r="LM548" t="str">
        <v/>
      </c>
      <c r="LN548" t="str">
        <v/>
      </c>
      <c r="LO548" t="str">
        <v/>
      </c>
    </row>
    <row r="549" spans="30:327">
      <c r="AD549" t="s">
        <v>112</v>
      </c>
      <c r="AE549" t="s">
        <v>23064</v>
      </c>
      <c r="AF549" s="46">
        <v>0</v>
      </c>
      <c r="AG549" s="113"/>
      <c r="AH549" s="113"/>
      <c r="AI549" s="113"/>
      <c r="AJ549" s="113"/>
      <c r="AK549" s="113"/>
      <c r="AL549" s="46">
        <v>0</v>
      </c>
      <c r="AM549" s="113"/>
      <c r="AN549" s="113"/>
      <c r="AO549" s="113"/>
      <c r="AP549" s="113"/>
      <c r="AQ549" s="113"/>
      <c r="AR549" s="46">
        <v>0</v>
      </c>
      <c r="AS549" s="113"/>
      <c r="AT549" s="113"/>
      <c r="AU549" s="113"/>
      <c r="AV549" s="113"/>
      <c r="AW549" s="113"/>
      <c r="AX549" s="46">
        <v>0</v>
      </c>
      <c r="AY549" s="113"/>
      <c r="AZ549" s="113"/>
      <c r="BA549" s="113"/>
      <c r="BB549" s="113"/>
      <c r="BC549" s="113"/>
      <c r="BD549" s="46">
        <v>0</v>
      </c>
      <c r="BE549" s="113"/>
      <c r="BF549" s="113"/>
      <c r="BG549" s="113"/>
      <c r="BH549" s="113"/>
      <c r="BI549" s="113"/>
      <c r="BJ549" s="46">
        <v>0</v>
      </c>
      <c r="BK549" s="113"/>
      <c r="BL549" s="113"/>
      <c r="BM549" s="113"/>
      <c r="BN549" s="113"/>
      <c r="BO549" s="113"/>
      <c r="BP549" s="121"/>
      <c r="BQ549" s="121"/>
      <c r="GA549" t="s">
        <v>112</v>
      </c>
      <c r="GB549" t="s">
        <v>23064</v>
      </c>
      <c r="GC549" s="46">
        <v>0</v>
      </c>
      <c r="GD549" s="113"/>
      <c r="GE549" s="113"/>
      <c r="GF549" s="113"/>
      <c r="GG549" s="113"/>
      <c r="GH549" s="113"/>
      <c r="GI549" s="46">
        <v>0</v>
      </c>
      <c r="GJ549" s="113"/>
      <c r="GK549" s="113"/>
      <c r="GL549" s="113"/>
      <c r="GM549" s="113"/>
      <c r="GN549" s="113"/>
      <c r="GO549" s="46">
        <v>0</v>
      </c>
      <c r="GP549" s="113"/>
      <c r="GQ549" s="113"/>
      <c r="GR549" s="113"/>
      <c r="GS549" s="113"/>
      <c r="GT549" s="113"/>
      <c r="GU549" s="46">
        <v>0</v>
      </c>
      <c r="GV549" s="113"/>
      <c r="GW549" s="113"/>
      <c r="GX549" s="113"/>
      <c r="GY549" s="113"/>
      <c r="GZ549" s="113"/>
      <c r="HA549" s="46">
        <v>0</v>
      </c>
      <c r="HB549" s="113"/>
      <c r="HC549" s="113"/>
      <c r="HD549" s="113"/>
      <c r="HE549" s="113"/>
      <c r="HF549" s="113"/>
      <c r="HG549" s="46">
        <v>0</v>
      </c>
      <c r="HH549" s="113"/>
      <c r="HI549" s="113"/>
      <c r="HJ549" s="113"/>
      <c r="HK549" s="113"/>
      <c r="HL549" s="113"/>
      <c r="HM549" s="121"/>
      <c r="HN549" s="121"/>
      <c r="LM549" t="str">
        <v/>
      </c>
      <c r="LN549" t="str">
        <v/>
      </c>
      <c r="LO549" t="str">
        <v/>
      </c>
    </row>
    <row r="550" spans="30:327">
      <c r="AD550" t="s">
        <v>112</v>
      </c>
      <c r="AE550" t="s">
        <v>23065</v>
      </c>
      <c r="AF550" s="46">
        <v>0</v>
      </c>
      <c r="AG550" s="113"/>
      <c r="AH550" s="113"/>
      <c r="AI550" s="113"/>
      <c r="AJ550" s="113"/>
      <c r="AK550" s="113"/>
      <c r="AL550" s="46">
        <v>0</v>
      </c>
      <c r="AM550" s="113"/>
      <c r="AN550" s="113"/>
      <c r="AO550" s="113"/>
      <c r="AP550" s="113"/>
      <c r="AQ550" s="113"/>
      <c r="AR550" s="46">
        <v>0</v>
      </c>
      <c r="AS550" s="113"/>
      <c r="AT550" s="113"/>
      <c r="AU550" s="113"/>
      <c r="AV550" s="113"/>
      <c r="AW550" s="113"/>
      <c r="AX550" s="46">
        <v>0</v>
      </c>
      <c r="AY550" s="113"/>
      <c r="AZ550" s="113"/>
      <c r="BA550" s="113"/>
      <c r="BB550" s="113"/>
      <c r="BC550" s="113"/>
      <c r="BD550" s="46">
        <v>0</v>
      </c>
      <c r="BE550" s="113"/>
      <c r="BF550" s="113"/>
      <c r="BG550" s="113"/>
      <c r="BH550" s="113"/>
      <c r="BI550" s="113"/>
      <c r="BJ550" s="46">
        <v>0</v>
      </c>
      <c r="BK550" s="113"/>
      <c r="BL550" s="113"/>
      <c r="BM550" s="113"/>
      <c r="BN550" s="113"/>
      <c r="BO550" s="113"/>
      <c r="BP550" s="121"/>
      <c r="BQ550" s="121"/>
      <c r="GA550" t="s">
        <v>112</v>
      </c>
      <c r="GB550" t="s">
        <v>23065</v>
      </c>
      <c r="GC550" s="46">
        <v>0</v>
      </c>
      <c r="GD550" s="113"/>
      <c r="GE550" s="113"/>
      <c r="GF550" s="113"/>
      <c r="GG550" s="113"/>
      <c r="GH550" s="113"/>
      <c r="GI550" s="46">
        <v>0</v>
      </c>
      <c r="GJ550" s="113"/>
      <c r="GK550" s="113"/>
      <c r="GL550" s="113"/>
      <c r="GM550" s="113"/>
      <c r="GN550" s="113"/>
      <c r="GO550" s="46">
        <v>0</v>
      </c>
      <c r="GP550" s="113"/>
      <c r="GQ550" s="113"/>
      <c r="GR550" s="113"/>
      <c r="GS550" s="113"/>
      <c r="GT550" s="113"/>
      <c r="GU550" s="46">
        <v>0</v>
      </c>
      <c r="GV550" s="113"/>
      <c r="GW550" s="113"/>
      <c r="GX550" s="113"/>
      <c r="GY550" s="113"/>
      <c r="GZ550" s="113"/>
      <c r="HA550" s="46">
        <v>0</v>
      </c>
      <c r="HB550" s="113"/>
      <c r="HC550" s="113"/>
      <c r="HD550" s="113"/>
      <c r="HE550" s="113"/>
      <c r="HF550" s="113"/>
      <c r="HG550" s="46">
        <v>0</v>
      </c>
      <c r="HH550" s="113"/>
      <c r="HI550" s="113"/>
      <c r="HJ550" s="113"/>
      <c r="HK550" s="113"/>
      <c r="HL550" s="113"/>
      <c r="HM550" s="121"/>
      <c r="HN550" s="121"/>
      <c r="LM550" t="str">
        <v/>
      </c>
      <c r="LN550" t="str">
        <v/>
      </c>
      <c r="LO550" t="str">
        <v/>
      </c>
    </row>
    <row r="551" spans="30:327">
      <c r="AD551" t="s">
        <v>112</v>
      </c>
      <c r="AE551" t="s">
        <v>23066</v>
      </c>
      <c r="AF551" s="46">
        <v>0</v>
      </c>
      <c r="AG551" s="113"/>
      <c r="AH551" s="113"/>
      <c r="AI551" s="113"/>
      <c r="AJ551" s="113"/>
      <c r="AK551" s="113"/>
      <c r="AL551" s="46">
        <v>0</v>
      </c>
      <c r="AM551" s="113"/>
      <c r="AN551" s="113"/>
      <c r="AO551" s="113"/>
      <c r="AP551" s="113"/>
      <c r="AQ551" s="113"/>
      <c r="AR551" s="46">
        <v>0</v>
      </c>
      <c r="AS551" s="113"/>
      <c r="AT551" s="113"/>
      <c r="AU551" s="113"/>
      <c r="AV551" s="113"/>
      <c r="AW551" s="113"/>
      <c r="AX551" s="46">
        <v>0</v>
      </c>
      <c r="AY551" s="113"/>
      <c r="AZ551" s="113"/>
      <c r="BA551" s="113"/>
      <c r="BB551" s="113"/>
      <c r="BC551" s="113"/>
      <c r="BD551" s="46">
        <v>0</v>
      </c>
      <c r="BE551" s="113"/>
      <c r="BF551" s="113"/>
      <c r="BG551" s="113"/>
      <c r="BH551" s="113"/>
      <c r="BI551" s="113"/>
      <c r="BJ551" s="46">
        <v>0</v>
      </c>
      <c r="BK551" s="113"/>
      <c r="BL551" s="113"/>
      <c r="BM551" s="113"/>
      <c r="BN551" s="113"/>
      <c r="BO551" s="113"/>
      <c r="BP551" s="121"/>
      <c r="BQ551" s="121"/>
      <c r="GA551" t="s">
        <v>112</v>
      </c>
      <c r="GB551" t="s">
        <v>23066</v>
      </c>
      <c r="GC551" s="46">
        <v>0</v>
      </c>
      <c r="GD551" s="113"/>
      <c r="GE551" s="113"/>
      <c r="GF551" s="113"/>
      <c r="GG551" s="113"/>
      <c r="GH551" s="113"/>
      <c r="GI551" s="46">
        <v>0</v>
      </c>
      <c r="GJ551" s="113"/>
      <c r="GK551" s="113"/>
      <c r="GL551" s="113"/>
      <c r="GM551" s="113"/>
      <c r="GN551" s="113"/>
      <c r="GO551" s="46">
        <v>0</v>
      </c>
      <c r="GP551" s="113"/>
      <c r="GQ551" s="113"/>
      <c r="GR551" s="113"/>
      <c r="GS551" s="113"/>
      <c r="GT551" s="113"/>
      <c r="GU551" s="46">
        <v>0</v>
      </c>
      <c r="GV551" s="113"/>
      <c r="GW551" s="113"/>
      <c r="GX551" s="113"/>
      <c r="GY551" s="113"/>
      <c r="GZ551" s="113"/>
      <c r="HA551" s="46">
        <v>0</v>
      </c>
      <c r="HB551" s="113"/>
      <c r="HC551" s="113"/>
      <c r="HD551" s="113"/>
      <c r="HE551" s="113"/>
      <c r="HF551" s="113"/>
      <c r="HG551" s="46">
        <v>0</v>
      </c>
      <c r="HH551" s="113"/>
      <c r="HI551" s="113"/>
      <c r="HJ551" s="113"/>
      <c r="HK551" s="113"/>
      <c r="HL551" s="113"/>
      <c r="HM551" s="121"/>
      <c r="HN551" s="121"/>
      <c r="LM551" t="str">
        <v/>
      </c>
      <c r="LN551" t="str">
        <v/>
      </c>
      <c r="LO551" t="str">
        <v/>
      </c>
    </row>
    <row r="552" spans="30:327">
      <c r="AD552" t="s">
        <v>112</v>
      </c>
      <c r="AE552" t="s">
        <v>23067</v>
      </c>
      <c r="AF552" s="46">
        <v>0</v>
      </c>
      <c r="AG552" s="113"/>
      <c r="AH552" s="113"/>
      <c r="AI552" s="113"/>
      <c r="AJ552" s="113"/>
      <c r="AK552" s="113"/>
      <c r="AL552" s="46">
        <v>0</v>
      </c>
      <c r="AM552" s="113"/>
      <c r="AN552" s="113"/>
      <c r="AO552" s="113"/>
      <c r="AP552" s="113"/>
      <c r="AQ552" s="113"/>
      <c r="AR552" s="46">
        <v>0</v>
      </c>
      <c r="AS552" s="113"/>
      <c r="AT552" s="113"/>
      <c r="AU552" s="113"/>
      <c r="AV552" s="113"/>
      <c r="AW552" s="113"/>
      <c r="AX552" s="46">
        <v>0</v>
      </c>
      <c r="AY552" s="113"/>
      <c r="AZ552" s="113"/>
      <c r="BA552" s="113"/>
      <c r="BB552" s="113"/>
      <c r="BC552" s="113"/>
      <c r="BD552" s="46">
        <v>0</v>
      </c>
      <c r="BE552" s="113"/>
      <c r="BF552" s="113"/>
      <c r="BG552" s="113"/>
      <c r="BH552" s="113"/>
      <c r="BI552" s="113"/>
      <c r="BJ552" s="46">
        <v>0</v>
      </c>
      <c r="BK552" s="113"/>
      <c r="BL552" s="113"/>
      <c r="BM552" s="113"/>
      <c r="BN552" s="113"/>
      <c r="BO552" s="113"/>
      <c r="BP552" s="121"/>
      <c r="BQ552" s="121"/>
      <c r="GA552" t="s">
        <v>112</v>
      </c>
      <c r="GB552" t="s">
        <v>23067</v>
      </c>
      <c r="GC552" s="46">
        <v>0</v>
      </c>
      <c r="GD552" s="113"/>
      <c r="GE552" s="113"/>
      <c r="GF552" s="113"/>
      <c r="GG552" s="113"/>
      <c r="GH552" s="113"/>
      <c r="GI552" s="46">
        <v>0</v>
      </c>
      <c r="GJ552" s="113"/>
      <c r="GK552" s="113"/>
      <c r="GL552" s="113"/>
      <c r="GM552" s="113"/>
      <c r="GN552" s="113"/>
      <c r="GO552" s="46">
        <v>0</v>
      </c>
      <c r="GP552" s="113"/>
      <c r="GQ552" s="113"/>
      <c r="GR552" s="113"/>
      <c r="GS552" s="113"/>
      <c r="GT552" s="113"/>
      <c r="GU552" s="46">
        <v>0</v>
      </c>
      <c r="GV552" s="113"/>
      <c r="GW552" s="113"/>
      <c r="GX552" s="113"/>
      <c r="GY552" s="113"/>
      <c r="GZ552" s="113"/>
      <c r="HA552" s="46">
        <v>0</v>
      </c>
      <c r="HB552" s="113"/>
      <c r="HC552" s="113"/>
      <c r="HD552" s="113"/>
      <c r="HE552" s="113"/>
      <c r="HF552" s="113"/>
      <c r="HG552" s="46">
        <v>0</v>
      </c>
      <c r="HH552" s="113"/>
      <c r="HI552" s="113"/>
      <c r="HJ552" s="113"/>
      <c r="HK552" s="113"/>
      <c r="HL552" s="113"/>
      <c r="HM552" s="121"/>
      <c r="HN552" s="121"/>
      <c r="LM552" t="str">
        <v/>
      </c>
      <c r="LN552" t="str">
        <v/>
      </c>
      <c r="LO552" t="str">
        <v/>
      </c>
    </row>
    <row r="553" spans="30:327">
      <c r="AD553" t="s">
        <v>112</v>
      </c>
      <c r="AE553" t="s">
        <v>23068</v>
      </c>
      <c r="AF553" s="46">
        <v>0</v>
      </c>
      <c r="AG553" s="113"/>
      <c r="AH553" s="113"/>
      <c r="AI553" s="113"/>
      <c r="AJ553" s="113"/>
      <c r="AK553" s="113"/>
      <c r="AL553" s="46">
        <v>0</v>
      </c>
      <c r="AM553" s="113"/>
      <c r="AN553" s="113"/>
      <c r="AO553" s="113"/>
      <c r="AP553" s="113"/>
      <c r="AQ553" s="113"/>
      <c r="AR553" s="46">
        <v>0</v>
      </c>
      <c r="AS553" s="113"/>
      <c r="AT553" s="113"/>
      <c r="AU553" s="113"/>
      <c r="AV553" s="113"/>
      <c r="AW553" s="113"/>
      <c r="AX553" s="46">
        <v>0</v>
      </c>
      <c r="AY553" s="113"/>
      <c r="AZ553" s="113"/>
      <c r="BA553" s="113"/>
      <c r="BB553" s="113"/>
      <c r="BC553" s="113"/>
      <c r="BD553" s="46">
        <v>0</v>
      </c>
      <c r="BE553" s="113"/>
      <c r="BF553" s="113"/>
      <c r="BG553" s="113"/>
      <c r="BH553" s="113"/>
      <c r="BI553" s="113"/>
      <c r="BJ553" s="46">
        <v>0</v>
      </c>
      <c r="BK553" s="113"/>
      <c r="BL553" s="113"/>
      <c r="BM553" s="113"/>
      <c r="BN553" s="113"/>
      <c r="BO553" s="113"/>
      <c r="BP553" s="121"/>
      <c r="BQ553" s="121"/>
      <c r="GA553" t="s">
        <v>112</v>
      </c>
      <c r="GB553" t="s">
        <v>23068</v>
      </c>
      <c r="GC553" s="46">
        <v>0</v>
      </c>
      <c r="GD553" s="113"/>
      <c r="GE553" s="113"/>
      <c r="GF553" s="113"/>
      <c r="GG553" s="113"/>
      <c r="GH553" s="113"/>
      <c r="GI553" s="46">
        <v>0</v>
      </c>
      <c r="GJ553" s="113"/>
      <c r="GK553" s="113"/>
      <c r="GL553" s="113"/>
      <c r="GM553" s="113"/>
      <c r="GN553" s="113"/>
      <c r="GO553" s="46">
        <v>0</v>
      </c>
      <c r="GP553" s="113"/>
      <c r="GQ553" s="113"/>
      <c r="GR553" s="113"/>
      <c r="GS553" s="113"/>
      <c r="GT553" s="113"/>
      <c r="GU553" s="46">
        <v>0</v>
      </c>
      <c r="GV553" s="113"/>
      <c r="GW553" s="113"/>
      <c r="GX553" s="113"/>
      <c r="GY553" s="113"/>
      <c r="GZ553" s="113"/>
      <c r="HA553" s="46">
        <v>0</v>
      </c>
      <c r="HB553" s="113"/>
      <c r="HC553" s="113"/>
      <c r="HD553" s="113"/>
      <c r="HE553" s="113"/>
      <c r="HF553" s="113"/>
      <c r="HG553" s="46">
        <v>0</v>
      </c>
      <c r="HH553" s="113"/>
      <c r="HI553" s="113"/>
      <c r="HJ553" s="113"/>
      <c r="HK553" s="113"/>
      <c r="HL553" s="113"/>
      <c r="HM553" s="121"/>
      <c r="HN553" s="121"/>
      <c r="LM553" t="str">
        <v/>
      </c>
      <c r="LN553" t="str">
        <v/>
      </c>
      <c r="LO553" t="str">
        <v/>
      </c>
    </row>
    <row r="554" spans="30:327">
      <c r="AD554" t="s">
        <v>112</v>
      </c>
      <c r="AE554" t="s">
        <v>23069</v>
      </c>
      <c r="AF554" s="46">
        <v>0</v>
      </c>
      <c r="AG554" s="113"/>
      <c r="AH554" s="113"/>
      <c r="AI554" s="113"/>
      <c r="AJ554" s="113"/>
      <c r="AK554" s="113"/>
      <c r="AL554" s="46">
        <v>0</v>
      </c>
      <c r="AM554" s="113"/>
      <c r="AN554" s="113"/>
      <c r="AO554" s="113"/>
      <c r="AP554" s="113"/>
      <c r="AQ554" s="113"/>
      <c r="AR554" s="46">
        <v>0</v>
      </c>
      <c r="AS554" s="113"/>
      <c r="AT554" s="113"/>
      <c r="AU554" s="113"/>
      <c r="AV554" s="113"/>
      <c r="AW554" s="113"/>
      <c r="AX554" s="46">
        <v>0</v>
      </c>
      <c r="AY554" s="113"/>
      <c r="AZ554" s="113"/>
      <c r="BA554" s="113"/>
      <c r="BB554" s="113"/>
      <c r="BC554" s="113"/>
      <c r="BD554" s="46">
        <v>0</v>
      </c>
      <c r="BE554" s="113"/>
      <c r="BF554" s="113"/>
      <c r="BG554" s="113"/>
      <c r="BH554" s="113"/>
      <c r="BI554" s="113"/>
      <c r="BJ554" s="46">
        <v>0</v>
      </c>
      <c r="BK554" s="113"/>
      <c r="BL554" s="113"/>
      <c r="BM554" s="113"/>
      <c r="BN554" s="113"/>
      <c r="BO554" s="113"/>
      <c r="BP554" s="121"/>
      <c r="BQ554" s="121"/>
      <c r="GA554" t="s">
        <v>112</v>
      </c>
      <c r="GB554" t="s">
        <v>23069</v>
      </c>
      <c r="GC554" s="46">
        <v>0</v>
      </c>
      <c r="GD554" s="113"/>
      <c r="GE554" s="113"/>
      <c r="GF554" s="113"/>
      <c r="GG554" s="113"/>
      <c r="GH554" s="113"/>
      <c r="GI554" s="46">
        <v>0</v>
      </c>
      <c r="GJ554" s="113"/>
      <c r="GK554" s="113"/>
      <c r="GL554" s="113"/>
      <c r="GM554" s="113"/>
      <c r="GN554" s="113"/>
      <c r="GO554" s="46">
        <v>0</v>
      </c>
      <c r="GP554" s="113"/>
      <c r="GQ554" s="113"/>
      <c r="GR554" s="113"/>
      <c r="GS554" s="113"/>
      <c r="GT554" s="113"/>
      <c r="GU554" s="46">
        <v>0</v>
      </c>
      <c r="GV554" s="113"/>
      <c r="GW554" s="113"/>
      <c r="GX554" s="113"/>
      <c r="GY554" s="113"/>
      <c r="GZ554" s="113"/>
      <c r="HA554" s="46">
        <v>0</v>
      </c>
      <c r="HB554" s="113"/>
      <c r="HC554" s="113"/>
      <c r="HD554" s="113"/>
      <c r="HE554" s="113"/>
      <c r="HF554" s="113"/>
      <c r="HG554" s="46">
        <v>0</v>
      </c>
      <c r="HH554" s="113"/>
      <c r="HI554" s="113"/>
      <c r="HJ554" s="113"/>
      <c r="HK554" s="113"/>
      <c r="HL554" s="113"/>
      <c r="HM554" s="121"/>
      <c r="HN554" s="121"/>
      <c r="LM554" t="str">
        <v/>
      </c>
      <c r="LN554" t="str">
        <v/>
      </c>
      <c r="LO554" t="str">
        <v/>
      </c>
    </row>
    <row r="555" spans="30:327">
      <c r="AD555" t="s">
        <v>112</v>
      </c>
      <c r="AE555" t="s">
        <v>23070</v>
      </c>
      <c r="AF555" s="46">
        <v>0</v>
      </c>
      <c r="AG555" s="113"/>
      <c r="AH555" s="113"/>
      <c r="AI555" s="113"/>
      <c r="AJ555" s="113"/>
      <c r="AK555" s="113"/>
      <c r="AL555" s="46">
        <v>0</v>
      </c>
      <c r="AM555" s="113"/>
      <c r="AN555" s="113"/>
      <c r="AO555" s="113"/>
      <c r="AP555" s="113"/>
      <c r="AQ555" s="113"/>
      <c r="AR555" s="46">
        <v>0</v>
      </c>
      <c r="AS555" s="113"/>
      <c r="AT555" s="113"/>
      <c r="AU555" s="113"/>
      <c r="AV555" s="113"/>
      <c r="AW555" s="113"/>
      <c r="AX555" s="46">
        <v>0</v>
      </c>
      <c r="AY555" s="113"/>
      <c r="AZ555" s="113"/>
      <c r="BA555" s="113"/>
      <c r="BB555" s="113"/>
      <c r="BC555" s="113"/>
      <c r="BD555" s="46">
        <v>0</v>
      </c>
      <c r="BE555" s="113"/>
      <c r="BF555" s="113"/>
      <c r="BG555" s="113"/>
      <c r="BH555" s="113"/>
      <c r="BI555" s="113"/>
      <c r="BJ555" s="46">
        <v>0</v>
      </c>
      <c r="BK555" s="113"/>
      <c r="BL555" s="113"/>
      <c r="BM555" s="113"/>
      <c r="BN555" s="113"/>
      <c r="BO555" s="113"/>
      <c r="BP555" s="121"/>
      <c r="BQ555" s="121"/>
      <c r="GA555" t="s">
        <v>112</v>
      </c>
      <c r="GB555" t="s">
        <v>23070</v>
      </c>
      <c r="GC555" s="46">
        <v>0</v>
      </c>
      <c r="GD555" s="113"/>
      <c r="GE555" s="113"/>
      <c r="GF555" s="113"/>
      <c r="GG555" s="113"/>
      <c r="GH555" s="113"/>
      <c r="GI555" s="46">
        <v>0</v>
      </c>
      <c r="GJ555" s="113"/>
      <c r="GK555" s="113"/>
      <c r="GL555" s="113"/>
      <c r="GM555" s="113"/>
      <c r="GN555" s="113"/>
      <c r="GO555" s="46">
        <v>0</v>
      </c>
      <c r="GP555" s="113"/>
      <c r="GQ555" s="113"/>
      <c r="GR555" s="113"/>
      <c r="GS555" s="113"/>
      <c r="GT555" s="113"/>
      <c r="GU555" s="46">
        <v>0</v>
      </c>
      <c r="GV555" s="113"/>
      <c r="GW555" s="113"/>
      <c r="GX555" s="113"/>
      <c r="GY555" s="113"/>
      <c r="GZ555" s="113"/>
      <c r="HA555" s="46">
        <v>0</v>
      </c>
      <c r="HB555" s="113"/>
      <c r="HC555" s="113"/>
      <c r="HD555" s="113"/>
      <c r="HE555" s="113"/>
      <c r="HF555" s="113"/>
      <c r="HG555" s="46">
        <v>0</v>
      </c>
      <c r="HH555" s="113"/>
      <c r="HI555" s="113"/>
      <c r="HJ555" s="113"/>
      <c r="HK555" s="113"/>
      <c r="HL555" s="113"/>
      <c r="HM555" s="121"/>
      <c r="HN555" s="121"/>
      <c r="LM555" t="str">
        <v/>
      </c>
      <c r="LN555" t="str">
        <v/>
      </c>
      <c r="LO555" t="str">
        <v/>
      </c>
    </row>
    <row r="556" spans="30:327">
      <c r="AD556" t="s">
        <v>112</v>
      </c>
      <c r="AE556" t="s">
        <v>23071</v>
      </c>
      <c r="AF556" s="46">
        <v>0</v>
      </c>
      <c r="AG556" s="113"/>
      <c r="AH556" s="113"/>
      <c r="AI556" s="113"/>
      <c r="AJ556" s="113"/>
      <c r="AK556" s="113"/>
      <c r="AL556" s="46">
        <v>0</v>
      </c>
      <c r="AM556" s="113"/>
      <c r="AN556" s="113"/>
      <c r="AO556" s="113"/>
      <c r="AP556" s="113"/>
      <c r="AQ556" s="113"/>
      <c r="AR556" s="46">
        <v>0</v>
      </c>
      <c r="AS556" s="113"/>
      <c r="AT556" s="113"/>
      <c r="AU556" s="113"/>
      <c r="AV556" s="113"/>
      <c r="AW556" s="113"/>
      <c r="AX556" s="46">
        <v>0</v>
      </c>
      <c r="AY556" s="113"/>
      <c r="AZ556" s="113"/>
      <c r="BA556" s="113"/>
      <c r="BB556" s="113"/>
      <c r="BC556" s="113"/>
      <c r="BD556" s="46">
        <v>0</v>
      </c>
      <c r="BE556" s="113"/>
      <c r="BF556" s="113"/>
      <c r="BG556" s="113"/>
      <c r="BH556" s="113"/>
      <c r="BI556" s="113"/>
      <c r="BJ556" s="46">
        <v>0</v>
      </c>
      <c r="BK556" s="113"/>
      <c r="BL556" s="113"/>
      <c r="BM556" s="113"/>
      <c r="BN556" s="113"/>
      <c r="BO556" s="113"/>
      <c r="BP556" s="121"/>
      <c r="BQ556" s="121"/>
      <c r="GA556" t="s">
        <v>112</v>
      </c>
      <c r="GB556" t="s">
        <v>23071</v>
      </c>
      <c r="GC556" s="46">
        <v>0</v>
      </c>
      <c r="GD556" s="113"/>
      <c r="GE556" s="113"/>
      <c r="GF556" s="113"/>
      <c r="GG556" s="113"/>
      <c r="GH556" s="113"/>
      <c r="GI556" s="46">
        <v>0</v>
      </c>
      <c r="GJ556" s="113"/>
      <c r="GK556" s="113"/>
      <c r="GL556" s="113"/>
      <c r="GM556" s="113"/>
      <c r="GN556" s="113"/>
      <c r="GO556" s="46">
        <v>0</v>
      </c>
      <c r="GP556" s="113"/>
      <c r="GQ556" s="113"/>
      <c r="GR556" s="113"/>
      <c r="GS556" s="113"/>
      <c r="GT556" s="113"/>
      <c r="GU556" s="46">
        <v>0</v>
      </c>
      <c r="GV556" s="113"/>
      <c r="GW556" s="113"/>
      <c r="GX556" s="113"/>
      <c r="GY556" s="113"/>
      <c r="GZ556" s="113"/>
      <c r="HA556" s="46">
        <v>0</v>
      </c>
      <c r="HB556" s="113"/>
      <c r="HC556" s="113"/>
      <c r="HD556" s="113"/>
      <c r="HE556" s="113"/>
      <c r="HF556" s="113"/>
      <c r="HG556" s="46">
        <v>0</v>
      </c>
      <c r="HH556" s="113"/>
      <c r="HI556" s="113"/>
      <c r="HJ556" s="113"/>
      <c r="HK556" s="113"/>
      <c r="HL556" s="113"/>
      <c r="HM556" s="121"/>
      <c r="HN556" s="121"/>
      <c r="LM556" t="str">
        <v/>
      </c>
      <c r="LN556" t="str">
        <v/>
      </c>
      <c r="LO556" t="str">
        <v/>
      </c>
    </row>
    <row r="557" spans="30:327">
      <c r="AD557" t="s">
        <v>112</v>
      </c>
      <c r="AE557" t="s">
        <v>23072</v>
      </c>
      <c r="AF557" s="46">
        <v>0</v>
      </c>
      <c r="AG557" s="113"/>
      <c r="AH557" s="113"/>
      <c r="AI557" s="113"/>
      <c r="AJ557" s="113"/>
      <c r="AK557" s="113"/>
      <c r="AL557" s="46">
        <v>0</v>
      </c>
      <c r="AM557" s="113"/>
      <c r="AN557" s="113"/>
      <c r="AO557" s="113"/>
      <c r="AP557" s="113"/>
      <c r="AQ557" s="113"/>
      <c r="AR557" s="46">
        <v>0</v>
      </c>
      <c r="AS557" s="113"/>
      <c r="AT557" s="113"/>
      <c r="AU557" s="113"/>
      <c r="AV557" s="113"/>
      <c r="AW557" s="113"/>
      <c r="AX557" s="46">
        <v>0</v>
      </c>
      <c r="AY557" s="113"/>
      <c r="AZ557" s="113"/>
      <c r="BA557" s="113"/>
      <c r="BB557" s="113"/>
      <c r="BC557" s="113"/>
      <c r="BD557" s="46">
        <v>0</v>
      </c>
      <c r="BE557" s="113"/>
      <c r="BF557" s="113"/>
      <c r="BG557" s="113"/>
      <c r="BH557" s="113"/>
      <c r="BI557" s="113"/>
      <c r="BJ557" s="46">
        <v>0</v>
      </c>
      <c r="BK557" s="113"/>
      <c r="BL557" s="113"/>
      <c r="BM557" s="113"/>
      <c r="BN557" s="113"/>
      <c r="BO557" s="113"/>
      <c r="BP557" s="121"/>
      <c r="BQ557" s="121"/>
      <c r="GA557" t="s">
        <v>112</v>
      </c>
      <c r="GB557" t="s">
        <v>23072</v>
      </c>
      <c r="GC557" s="46">
        <v>0</v>
      </c>
      <c r="GD557" s="113"/>
      <c r="GE557" s="113"/>
      <c r="GF557" s="113"/>
      <c r="GG557" s="113"/>
      <c r="GH557" s="113"/>
      <c r="GI557" s="46">
        <v>0</v>
      </c>
      <c r="GJ557" s="113"/>
      <c r="GK557" s="113"/>
      <c r="GL557" s="113"/>
      <c r="GM557" s="113"/>
      <c r="GN557" s="113"/>
      <c r="GO557" s="46">
        <v>0</v>
      </c>
      <c r="GP557" s="113"/>
      <c r="GQ557" s="113"/>
      <c r="GR557" s="113"/>
      <c r="GS557" s="113"/>
      <c r="GT557" s="113"/>
      <c r="GU557" s="46">
        <v>0</v>
      </c>
      <c r="GV557" s="113"/>
      <c r="GW557" s="113"/>
      <c r="GX557" s="113"/>
      <c r="GY557" s="113"/>
      <c r="GZ557" s="113"/>
      <c r="HA557" s="46">
        <v>0</v>
      </c>
      <c r="HB557" s="113"/>
      <c r="HC557" s="113"/>
      <c r="HD557" s="113"/>
      <c r="HE557" s="113"/>
      <c r="HF557" s="113"/>
      <c r="HG557" s="46">
        <v>0</v>
      </c>
      <c r="HH557" s="113"/>
      <c r="HI557" s="113"/>
      <c r="HJ557" s="113"/>
      <c r="HK557" s="113"/>
      <c r="HL557" s="113"/>
      <c r="HM557" s="121"/>
      <c r="HN557" s="121"/>
      <c r="LM557" t="str">
        <v/>
      </c>
      <c r="LN557" t="str">
        <v/>
      </c>
      <c r="LO557" t="str">
        <v/>
      </c>
    </row>
    <row r="558" spans="30:327">
      <c r="AD558" t="s">
        <v>112</v>
      </c>
      <c r="AE558" t="s">
        <v>23073</v>
      </c>
      <c r="AF558" s="46">
        <v>0</v>
      </c>
      <c r="AG558" s="113"/>
      <c r="AH558" s="113"/>
      <c r="AI558" s="113"/>
      <c r="AJ558" s="113"/>
      <c r="AK558" s="113"/>
      <c r="AL558" s="46">
        <v>0</v>
      </c>
      <c r="AM558" s="113"/>
      <c r="AN558" s="113"/>
      <c r="AO558" s="113"/>
      <c r="AP558" s="113"/>
      <c r="AQ558" s="113"/>
      <c r="AR558" s="46">
        <v>0</v>
      </c>
      <c r="AS558" s="113"/>
      <c r="AT558" s="113"/>
      <c r="AU558" s="113"/>
      <c r="AV558" s="113"/>
      <c r="AW558" s="113"/>
      <c r="AX558" s="46">
        <v>0</v>
      </c>
      <c r="AY558" s="113"/>
      <c r="AZ558" s="113"/>
      <c r="BA558" s="113"/>
      <c r="BB558" s="113"/>
      <c r="BC558" s="113"/>
      <c r="BD558" s="46">
        <v>0</v>
      </c>
      <c r="BE558" s="113"/>
      <c r="BF558" s="113"/>
      <c r="BG558" s="113"/>
      <c r="BH558" s="113"/>
      <c r="BI558" s="113"/>
      <c r="BJ558" s="46">
        <v>0</v>
      </c>
      <c r="BK558" s="113"/>
      <c r="BL558" s="113"/>
      <c r="BM558" s="113"/>
      <c r="BN558" s="113"/>
      <c r="BO558" s="113"/>
      <c r="BP558" s="121"/>
      <c r="BQ558" s="121"/>
      <c r="GA558" t="s">
        <v>112</v>
      </c>
      <c r="GB558" t="s">
        <v>23073</v>
      </c>
      <c r="GC558" s="46">
        <v>0</v>
      </c>
      <c r="GD558" s="113"/>
      <c r="GE558" s="113"/>
      <c r="GF558" s="113"/>
      <c r="GG558" s="113"/>
      <c r="GH558" s="113"/>
      <c r="GI558" s="46">
        <v>0</v>
      </c>
      <c r="GJ558" s="113"/>
      <c r="GK558" s="113"/>
      <c r="GL558" s="113"/>
      <c r="GM558" s="113"/>
      <c r="GN558" s="113"/>
      <c r="GO558" s="46">
        <v>0</v>
      </c>
      <c r="GP558" s="113"/>
      <c r="GQ558" s="113"/>
      <c r="GR558" s="113"/>
      <c r="GS558" s="113"/>
      <c r="GT558" s="113"/>
      <c r="GU558" s="46">
        <v>0</v>
      </c>
      <c r="GV558" s="113"/>
      <c r="GW558" s="113"/>
      <c r="GX558" s="113"/>
      <c r="GY558" s="113"/>
      <c r="GZ558" s="113"/>
      <c r="HA558" s="46">
        <v>0</v>
      </c>
      <c r="HB558" s="113"/>
      <c r="HC558" s="113"/>
      <c r="HD558" s="113"/>
      <c r="HE558" s="113"/>
      <c r="HF558" s="113"/>
      <c r="HG558" s="46">
        <v>0</v>
      </c>
      <c r="HH558" s="113"/>
      <c r="HI558" s="113"/>
      <c r="HJ558" s="113"/>
      <c r="HK558" s="113"/>
      <c r="HL558" s="113"/>
      <c r="HM558" s="121"/>
      <c r="HN558" s="121"/>
      <c r="LM558" t="str">
        <v/>
      </c>
      <c r="LN558" t="str">
        <v/>
      </c>
      <c r="LO558" t="str">
        <v/>
      </c>
    </row>
    <row r="559" spans="30:327">
      <c r="AD559" t="s">
        <v>112</v>
      </c>
      <c r="AE559" t="s">
        <v>23074</v>
      </c>
      <c r="AF559" s="46">
        <v>0</v>
      </c>
      <c r="AG559" s="113"/>
      <c r="AH559" s="113"/>
      <c r="AI559" s="113"/>
      <c r="AJ559" s="113"/>
      <c r="AK559" s="113"/>
      <c r="AL559" s="46">
        <v>0</v>
      </c>
      <c r="AM559" s="113"/>
      <c r="AN559" s="113"/>
      <c r="AO559" s="113"/>
      <c r="AP559" s="113"/>
      <c r="AQ559" s="113"/>
      <c r="AR559" s="46">
        <v>0</v>
      </c>
      <c r="AS559" s="113"/>
      <c r="AT559" s="113"/>
      <c r="AU559" s="113"/>
      <c r="AV559" s="113"/>
      <c r="AW559" s="113"/>
      <c r="AX559" s="46">
        <v>0</v>
      </c>
      <c r="AY559" s="113"/>
      <c r="AZ559" s="113"/>
      <c r="BA559" s="113"/>
      <c r="BB559" s="113"/>
      <c r="BC559" s="113"/>
      <c r="BD559" s="46">
        <v>0</v>
      </c>
      <c r="BE559" s="113"/>
      <c r="BF559" s="113"/>
      <c r="BG559" s="113"/>
      <c r="BH559" s="113"/>
      <c r="BI559" s="113"/>
      <c r="BJ559" s="46">
        <v>0</v>
      </c>
      <c r="BK559" s="113"/>
      <c r="BL559" s="113"/>
      <c r="BM559" s="113"/>
      <c r="BN559" s="113"/>
      <c r="BO559" s="113"/>
      <c r="BP559" s="121"/>
      <c r="BQ559" s="121"/>
      <c r="GA559" t="s">
        <v>112</v>
      </c>
      <c r="GB559" t="s">
        <v>23074</v>
      </c>
      <c r="GC559" s="46">
        <v>0</v>
      </c>
      <c r="GD559" s="113"/>
      <c r="GE559" s="113"/>
      <c r="GF559" s="113"/>
      <c r="GG559" s="113"/>
      <c r="GH559" s="113"/>
      <c r="GI559" s="46">
        <v>0</v>
      </c>
      <c r="GJ559" s="113"/>
      <c r="GK559" s="113"/>
      <c r="GL559" s="113"/>
      <c r="GM559" s="113"/>
      <c r="GN559" s="113"/>
      <c r="GO559" s="46">
        <v>0</v>
      </c>
      <c r="GP559" s="113"/>
      <c r="GQ559" s="113"/>
      <c r="GR559" s="113"/>
      <c r="GS559" s="113"/>
      <c r="GT559" s="113"/>
      <c r="GU559" s="46">
        <v>0</v>
      </c>
      <c r="GV559" s="113"/>
      <c r="GW559" s="113"/>
      <c r="GX559" s="113"/>
      <c r="GY559" s="113"/>
      <c r="GZ559" s="113"/>
      <c r="HA559" s="46">
        <v>0</v>
      </c>
      <c r="HB559" s="113"/>
      <c r="HC559" s="113"/>
      <c r="HD559" s="113"/>
      <c r="HE559" s="113"/>
      <c r="HF559" s="113"/>
      <c r="HG559" s="46">
        <v>0</v>
      </c>
      <c r="HH559" s="113"/>
      <c r="HI559" s="113"/>
      <c r="HJ559" s="113"/>
      <c r="HK559" s="113"/>
      <c r="HL559" s="113"/>
      <c r="HM559" s="121"/>
      <c r="HN559" s="121"/>
      <c r="LM559" t="str">
        <v/>
      </c>
      <c r="LN559" t="str">
        <v/>
      </c>
      <c r="LO559" t="str">
        <v/>
      </c>
    </row>
    <row r="560" spans="30:327">
      <c r="AD560" t="s">
        <v>112</v>
      </c>
      <c r="AE560" t="s">
        <v>23075</v>
      </c>
      <c r="AF560" s="46">
        <v>0</v>
      </c>
      <c r="AG560" s="113"/>
      <c r="AH560" s="113"/>
      <c r="AI560" s="113"/>
      <c r="AJ560" s="113"/>
      <c r="AK560" s="113"/>
      <c r="AL560" s="46">
        <v>0</v>
      </c>
      <c r="AM560" s="113"/>
      <c r="AN560" s="113"/>
      <c r="AO560" s="113"/>
      <c r="AP560" s="113"/>
      <c r="AQ560" s="113"/>
      <c r="AR560" s="46">
        <v>0</v>
      </c>
      <c r="AS560" s="113"/>
      <c r="AT560" s="113"/>
      <c r="AU560" s="113"/>
      <c r="AV560" s="113"/>
      <c r="AW560" s="113"/>
      <c r="AX560" s="46">
        <v>0</v>
      </c>
      <c r="AY560" s="113"/>
      <c r="AZ560" s="113"/>
      <c r="BA560" s="113"/>
      <c r="BB560" s="113"/>
      <c r="BC560" s="113"/>
      <c r="BD560" s="46">
        <v>0</v>
      </c>
      <c r="BE560" s="113"/>
      <c r="BF560" s="113"/>
      <c r="BG560" s="113"/>
      <c r="BH560" s="113"/>
      <c r="BI560" s="113"/>
      <c r="BJ560" s="46">
        <v>0</v>
      </c>
      <c r="BK560" s="113"/>
      <c r="BL560" s="113"/>
      <c r="BM560" s="113"/>
      <c r="BN560" s="113"/>
      <c r="BO560" s="113"/>
      <c r="BP560" s="121"/>
      <c r="BQ560" s="121"/>
      <c r="GA560" t="s">
        <v>112</v>
      </c>
      <c r="GB560" t="s">
        <v>23075</v>
      </c>
      <c r="GC560" s="46">
        <v>0</v>
      </c>
      <c r="GD560" s="113"/>
      <c r="GE560" s="113"/>
      <c r="GF560" s="113"/>
      <c r="GG560" s="113"/>
      <c r="GH560" s="113"/>
      <c r="GI560" s="46">
        <v>0</v>
      </c>
      <c r="GJ560" s="113"/>
      <c r="GK560" s="113"/>
      <c r="GL560" s="113"/>
      <c r="GM560" s="113"/>
      <c r="GN560" s="113"/>
      <c r="GO560" s="46">
        <v>0</v>
      </c>
      <c r="GP560" s="113"/>
      <c r="GQ560" s="113"/>
      <c r="GR560" s="113"/>
      <c r="GS560" s="113"/>
      <c r="GT560" s="113"/>
      <c r="GU560" s="46">
        <v>0</v>
      </c>
      <c r="GV560" s="113"/>
      <c r="GW560" s="113"/>
      <c r="GX560" s="113"/>
      <c r="GY560" s="113"/>
      <c r="GZ560" s="113"/>
      <c r="HA560" s="46">
        <v>0</v>
      </c>
      <c r="HB560" s="113"/>
      <c r="HC560" s="113"/>
      <c r="HD560" s="113"/>
      <c r="HE560" s="113"/>
      <c r="HF560" s="113"/>
      <c r="HG560" s="46">
        <v>0</v>
      </c>
      <c r="HH560" s="113"/>
      <c r="HI560" s="113"/>
      <c r="HJ560" s="113"/>
      <c r="HK560" s="113"/>
      <c r="HL560" s="113"/>
      <c r="HM560" s="121"/>
      <c r="HN560" s="121"/>
      <c r="LM560" t="str">
        <v/>
      </c>
      <c r="LN560" t="str">
        <v/>
      </c>
      <c r="LO560" t="str">
        <v/>
      </c>
    </row>
    <row r="561" spans="30:327">
      <c r="AD561" t="s">
        <v>112</v>
      </c>
      <c r="AE561" t="s">
        <v>23076</v>
      </c>
      <c r="AF561" s="46">
        <v>0</v>
      </c>
      <c r="AG561" s="113"/>
      <c r="AH561" s="113"/>
      <c r="AI561" s="113"/>
      <c r="AJ561" s="113"/>
      <c r="AK561" s="113"/>
      <c r="AL561" s="46">
        <v>0</v>
      </c>
      <c r="AM561" s="113"/>
      <c r="AN561" s="113"/>
      <c r="AO561" s="113"/>
      <c r="AP561" s="113"/>
      <c r="AQ561" s="113"/>
      <c r="AR561" s="46">
        <v>0</v>
      </c>
      <c r="AS561" s="113"/>
      <c r="AT561" s="113"/>
      <c r="AU561" s="113"/>
      <c r="AV561" s="113"/>
      <c r="AW561" s="113"/>
      <c r="AX561" s="46">
        <v>0</v>
      </c>
      <c r="AY561" s="113"/>
      <c r="AZ561" s="113"/>
      <c r="BA561" s="113"/>
      <c r="BB561" s="113"/>
      <c r="BC561" s="113"/>
      <c r="BD561" s="46">
        <v>0</v>
      </c>
      <c r="BE561" s="113"/>
      <c r="BF561" s="113"/>
      <c r="BG561" s="113"/>
      <c r="BH561" s="113"/>
      <c r="BI561" s="113"/>
      <c r="BJ561" s="46">
        <v>0</v>
      </c>
      <c r="BK561" s="113"/>
      <c r="BL561" s="113"/>
      <c r="BM561" s="113"/>
      <c r="BN561" s="113"/>
      <c r="BO561" s="113"/>
      <c r="BP561" s="121"/>
      <c r="BQ561" s="121"/>
      <c r="GA561" t="s">
        <v>112</v>
      </c>
      <c r="GB561" t="s">
        <v>23076</v>
      </c>
      <c r="GC561" s="46">
        <v>0</v>
      </c>
      <c r="GD561" s="113"/>
      <c r="GE561" s="113"/>
      <c r="GF561" s="113"/>
      <c r="GG561" s="113"/>
      <c r="GH561" s="113"/>
      <c r="GI561" s="46">
        <v>0</v>
      </c>
      <c r="GJ561" s="113"/>
      <c r="GK561" s="113"/>
      <c r="GL561" s="113"/>
      <c r="GM561" s="113"/>
      <c r="GN561" s="113"/>
      <c r="GO561" s="46">
        <v>0</v>
      </c>
      <c r="GP561" s="113"/>
      <c r="GQ561" s="113"/>
      <c r="GR561" s="113"/>
      <c r="GS561" s="113"/>
      <c r="GT561" s="113"/>
      <c r="GU561" s="46">
        <v>0</v>
      </c>
      <c r="GV561" s="113"/>
      <c r="GW561" s="113"/>
      <c r="GX561" s="113"/>
      <c r="GY561" s="113"/>
      <c r="GZ561" s="113"/>
      <c r="HA561" s="46">
        <v>0</v>
      </c>
      <c r="HB561" s="113"/>
      <c r="HC561" s="113"/>
      <c r="HD561" s="113"/>
      <c r="HE561" s="113"/>
      <c r="HF561" s="113"/>
      <c r="HG561" s="46">
        <v>0</v>
      </c>
      <c r="HH561" s="113"/>
      <c r="HI561" s="113"/>
      <c r="HJ561" s="113"/>
      <c r="HK561" s="113"/>
      <c r="HL561" s="113"/>
      <c r="HM561" s="121"/>
      <c r="HN561" s="121"/>
      <c r="LM561" t="str">
        <v/>
      </c>
      <c r="LN561" t="str">
        <v/>
      </c>
      <c r="LO561" t="str">
        <v/>
      </c>
    </row>
    <row r="562" spans="30:327">
      <c r="AD562" t="s">
        <v>112</v>
      </c>
      <c r="AE562" t="s">
        <v>23077</v>
      </c>
      <c r="AF562" s="46">
        <v>0</v>
      </c>
      <c r="AG562" s="113"/>
      <c r="AH562" s="113"/>
      <c r="AI562" s="113"/>
      <c r="AJ562" s="113"/>
      <c r="AK562" s="113"/>
      <c r="AL562" s="46">
        <v>0</v>
      </c>
      <c r="AM562" s="113"/>
      <c r="AN562" s="113"/>
      <c r="AO562" s="113"/>
      <c r="AP562" s="113"/>
      <c r="AQ562" s="113"/>
      <c r="AR562" s="46">
        <v>0</v>
      </c>
      <c r="AS562" s="113"/>
      <c r="AT562" s="113"/>
      <c r="AU562" s="113"/>
      <c r="AV562" s="113"/>
      <c r="AW562" s="113"/>
      <c r="AX562" s="46">
        <v>0</v>
      </c>
      <c r="AY562" s="113"/>
      <c r="AZ562" s="113"/>
      <c r="BA562" s="113"/>
      <c r="BB562" s="113"/>
      <c r="BC562" s="113"/>
      <c r="BD562" s="46">
        <v>0</v>
      </c>
      <c r="BE562" s="113"/>
      <c r="BF562" s="113"/>
      <c r="BG562" s="113"/>
      <c r="BH562" s="113"/>
      <c r="BI562" s="113"/>
      <c r="BJ562" s="46">
        <v>0</v>
      </c>
      <c r="BK562" s="113"/>
      <c r="BL562" s="113"/>
      <c r="BM562" s="113"/>
      <c r="BN562" s="113"/>
      <c r="BO562" s="113"/>
      <c r="BP562" s="121"/>
      <c r="BQ562" s="121"/>
      <c r="GA562" t="s">
        <v>112</v>
      </c>
      <c r="GB562" t="s">
        <v>23077</v>
      </c>
      <c r="GC562" s="46">
        <v>0</v>
      </c>
      <c r="GD562" s="113"/>
      <c r="GE562" s="113"/>
      <c r="GF562" s="113"/>
      <c r="GG562" s="113"/>
      <c r="GH562" s="113"/>
      <c r="GI562" s="46">
        <v>0</v>
      </c>
      <c r="GJ562" s="113"/>
      <c r="GK562" s="113"/>
      <c r="GL562" s="113"/>
      <c r="GM562" s="113"/>
      <c r="GN562" s="113"/>
      <c r="GO562" s="46">
        <v>0</v>
      </c>
      <c r="GP562" s="113"/>
      <c r="GQ562" s="113"/>
      <c r="GR562" s="113"/>
      <c r="GS562" s="113"/>
      <c r="GT562" s="113"/>
      <c r="GU562" s="46">
        <v>0</v>
      </c>
      <c r="GV562" s="113"/>
      <c r="GW562" s="113"/>
      <c r="GX562" s="113"/>
      <c r="GY562" s="113"/>
      <c r="GZ562" s="113"/>
      <c r="HA562" s="46">
        <v>0</v>
      </c>
      <c r="HB562" s="113"/>
      <c r="HC562" s="113"/>
      <c r="HD562" s="113"/>
      <c r="HE562" s="113"/>
      <c r="HF562" s="113"/>
      <c r="HG562" s="46">
        <v>0</v>
      </c>
      <c r="HH562" s="113"/>
      <c r="HI562" s="113"/>
      <c r="HJ562" s="113"/>
      <c r="HK562" s="113"/>
      <c r="HL562" s="113"/>
      <c r="HM562" s="121"/>
      <c r="HN562" s="121"/>
      <c r="LM562" t="str">
        <v/>
      </c>
      <c r="LN562" t="str">
        <v/>
      </c>
      <c r="LO562" t="str">
        <v/>
      </c>
    </row>
    <row r="563" spans="30:327">
      <c r="AD563" t="s">
        <v>112</v>
      </c>
      <c r="AE563" t="s">
        <v>23078</v>
      </c>
      <c r="AF563" s="46">
        <v>0</v>
      </c>
      <c r="AG563" s="113"/>
      <c r="AH563" s="113"/>
      <c r="AI563" s="113"/>
      <c r="AJ563" s="113"/>
      <c r="AK563" s="113"/>
      <c r="AL563" s="46">
        <v>0</v>
      </c>
      <c r="AM563" s="113"/>
      <c r="AN563" s="113"/>
      <c r="AO563" s="113"/>
      <c r="AP563" s="113"/>
      <c r="AQ563" s="113"/>
      <c r="AR563" s="46">
        <v>0</v>
      </c>
      <c r="AS563" s="113"/>
      <c r="AT563" s="113"/>
      <c r="AU563" s="113"/>
      <c r="AV563" s="113"/>
      <c r="AW563" s="113"/>
      <c r="AX563" s="46">
        <v>0</v>
      </c>
      <c r="AY563" s="113"/>
      <c r="AZ563" s="113"/>
      <c r="BA563" s="113"/>
      <c r="BB563" s="113"/>
      <c r="BC563" s="113"/>
      <c r="BD563" s="46">
        <v>0</v>
      </c>
      <c r="BE563" s="113"/>
      <c r="BF563" s="113"/>
      <c r="BG563" s="113"/>
      <c r="BH563" s="113"/>
      <c r="BI563" s="113"/>
      <c r="BJ563" s="46">
        <v>0</v>
      </c>
      <c r="BK563" s="113"/>
      <c r="BL563" s="113"/>
      <c r="BM563" s="113"/>
      <c r="BN563" s="113"/>
      <c r="BO563" s="113"/>
      <c r="BP563" s="121"/>
      <c r="BQ563" s="121"/>
      <c r="GA563" t="s">
        <v>112</v>
      </c>
      <c r="GB563" t="s">
        <v>23078</v>
      </c>
      <c r="GC563" s="46">
        <v>0</v>
      </c>
      <c r="GD563" s="113"/>
      <c r="GE563" s="113"/>
      <c r="GF563" s="113"/>
      <c r="GG563" s="113"/>
      <c r="GH563" s="113"/>
      <c r="GI563" s="46">
        <v>0</v>
      </c>
      <c r="GJ563" s="113"/>
      <c r="GK563" s="113"/>
      <c r="GL563" s="113"/>
      <c r="GM563" s="113"/>
      <c r="GN563" s="113"/>
      <c r="GO563" s="46">
        <v>0</v>
      </c>
      <c r="GP563" s="113"/>
      <c r="GQ563" s="113"/>
      <c r="GR563" s="113"/>
      <c r="GS563" s="113"/>
      <c r="GT563" s="113"/>
      <c r="GU563" s="46">
        <v>0</v>
      </c>
      <c r="GV563" s="113"/>
      <c r="GW563" s="113"/>
      <c r="GX563" s="113"/>
      <c r="GY563" s="113"/>
      <c r="GZ563" s="113"/>
      <c r="HA563" s="46">
        <v>0</v>
      </c>
      <c r="HB563" s="113"/>
      <c r="HC563" s="113"/>
      <c r="HD563" s="113"/>
      <c r="HE563" s="113"/>
      <c r="HF563" s="113"/>
      <c r="HG563" s="46">
        <v>0</v>
      </c>
      <c r="HH563" s="113"/>
      <c r="HI563" s="113"/>
      <c r="HJ563" s="113"/>
      <c r="HK563" s="113"/>
      <c r="HL563" s="113"/>
      <c r="HM563" s="121"/>
      <c r="HN563" s="121"/>
      <c r="LM563" t="str">
        <v/>
      </c>
      <c r="LN563" t="str">
        <v/>
      </c>
      <c r="LO563" t="str">
        <v/>
      </c>
    </row>
    <row r="564" spans="30:327">
      <c r="AD564" t="s">
        <v>112</v>
      </c>
      <c r="AE564" t="s">
        <v>23079</v>
      </c>
      <c r="AF564" s="46">
        <v>0</v>
      </c>
      <c r="AG564" s="113"/>
      <c r="AH564" s="113"/>
      <c r="AI564" s="113"/>
      <c r="AJ564" s="113"/>
      <c r="AK564" s="113"/>
      <c r="AL564" s="46">
        <v>0</v>
      </c>
      <c r="AM564" s="113"/>
      <c r="AN564" s="113"/>
      <c r="AO564" s="113"/>
      <c r="AP564" s="113"/>
      <c r="AQ564" s="113"/>
      <c r="AR564" s="46">
        <v>0</v>
      </c>
      <c r="AS564" s="113"/>
      <c r="AT564" s="113"/>
      <c r="AU564" s="113"/>
      <c r="AV564" s="113"/>
      <c r="AW564" s="113"/>
      <c r="AX564" s="46">
        <v>0</v>
      </c>
      <c r="AY564" s="113"/>
      <c r="AZ564" s="113"/>
      <c r="BA564" s="113"/>
      <c r="BB564" s="113"/>
      <c r="BC564" s="113"/>
      <c r="BD564" s="46">
        <v>0</v>
      </c>
      <c r="BE564" s="113"/>
      <c r="BF564" s="113"/>
      <c r="BG564" s="113"/>
      <c r="BH564" s="113"/>
      <c r="BI564" s="113"/>
      <c r="BJ564" s="46">
        <v>0</v>
      </c>
      <c r="BK564" s="113"/>
      <c r="BL564" s="113"/>
      <c r="BM564" s="113"/>
      <c r="BN564" s="113"/>
      <c r="BO564" s="113"/>
      <c r="BP564" s="121"/>
      <c r="BQ564" s="121"/>
      <c r="GA564" t="s">
        <v>112</v>
      </c>
      <c r="GB564" t="s">
        <v>23079</v>
      </c>
      <c r="GC564" s="46">
        <v>0</v>
      </c>
      <c r="GD564" s="113"/>
      <c r="GE564" s="113"/>
      <c r="GF564" s="113"/>
      <c r="GG564" s="113"/>
      <c r="GH564" s="113"/>
      <c r="GI564" s="46">
        <v>0</v>
      </c>
      <c r="GJ564" s="113"/>
      <c r="GK564" s="113"/>
      <c r="GL564" s="113"/>
      <c r="GM564" s="113"/>
      <c r="GN564" s="113"/>
      <c r="GO564" s="46">
        <v>0</v>
      </c>
      <c r="GP564" s="113"/>
      <c r="GQ564" s="113"/>
      <c r="GR564" s="113"/>
      <c r="GS564" s="113"/>
      <c r="GT564" s="113"/>
      <c r="GU564" s="46">
        <v>0</v>
      </c>
      <c r="GV564" s="113"/>
      <c r="GW564" s="113"/>
      <c r="GX564" s="113"/>
      <c r="GY564" s="113"/>
      <c r="GZ564" s="113"/>
      <c r="HA564" s="46">
        <v>0</v>
      </c>
      <c r="HB564" s="113"/>
      <c r="HC564" s="113"/>
      <c r="HD564" s="113"/>
      <c r="HE564" s="113"/>
      <c r="HF564" s="113"/>
      <c r="HG564" s="46">
        <v>0</v>
      </c>
      <c r="HH564" s="113"/>
      <c r="HI564" s="113"/>
      <c r="HJ564" s="113"/>
      <c r="HK564" s="113"/>
      <c r="HL564" s="113"/>
      <c r="HM564" s="121"/>
      <c r="HN564" s="121"/>
      <c r="LM564" t="str">
        <v/>
      </c>
      <c r="LN564" t="str">
        <v/>
      </c>
      <c r="LO564" t="str">
        <v/>
      </c>
    </row>
    <row r="565" spans="30:327">
      <c r="AD565" t="s">
        <v>112</v>
      </c>
      <c r="AE565" t="s">
        <v>23080</v>
      </c>
      <c r="AF565" s="46">
        <v>0</v>
      </c>
      <c r="AG565" s="113"/>
      <c r="AH565" s="113"/>
      <c r="AI565" s="113"/>
      <c r="AJ565" s="113"/>
      <c r="AK565" s="113"/>
      <c r="AL565" s="46">
        <v>0</v>
      </c>
      <c r="AM565" s="113"/>
      <c r="AN565" s="113"/>
      <c r="AO565" s="113"/>
      <c r="AP565" s="113"/>
      <c r="AQ565" s="113"/>
      <c r="AR565" s="46">
        <v>0</v>
      </c>
      <c r="AS565" s="113"/>
      <c r="AT565" s="113"/>
      <c r="AU565" s="113"/>
      <c r="AV565" s="113"/>
      <c r="AW565" s="113"/>
      <c r="AX565" s="46">
        <v>0</v>
      </c>
      <c r="AY565" s="113"/>
      <c r="AZ565" s="113"/>
      <c r="BA565" s="113"/>
      <c r="BB565" s="113"/>
      <c r="BC565" s="113"/>
      <c r="BD565" s="46">
        <v>0</v>
      </c>
      <c r="BE565" s="113"/>
      <c r="BF565" s="113"/>
      <c r="BG565" s="113"/>
      <c r="BH565" s="113"/>
      <c r="BI565" s="113"/>
      <c r="BJ565" s="46">
        <v>0</v>
      </c>
      <c r="BK565" s="113"/>
      <c r="BL565" s="113"/>
      <c r="BM565" s="113"/>
      <c r="BN565" s="113"/>
      <c r="BO565" s="113"/>
      <c r="BP565" s="121"/>
      <c r="BQ565" s="121"/>
      <c r="GA565" t="s">
        <v>112</v>
      </c>
      <c r="GB565" t="s">
        <v>23080</v>
      </c>
      <c r="GC565" s="46">
        <v>0</v>
      </c>
      <c r="GD565" s="113"/>
      <c r="GE565" s="113"/>
      <c r="GF565" s="113"/>
      <c r="GG565" s="113"/>
      <c r="GH565" s="113"/>
      <c r="GI565" s="46">
        <v>0</v>
      </c>
      <c r="GJ565" s="113"/>
      <c r="GK565" s="113"/>
      <c r="GL565" s="113"/>
      <c r="GM565" s="113"/>
      <c r="GN565" s="113"/>
      <c r="GO565" s="46">
        <v>0</v>
      </c>
      <c r="GP565" s="113"/>
      <c r="GQ565" s="113"/>
      <c r="GR565" s="113"/>
      <c r="GS565" s="113"/>
      <c r="GT565" s="113"/>
      <c r="GU565" s="46">
        <v>0</v>
      </c>
      <c r="GV565" s="113"/>
      <c r="GW565" s="113"/>
      <c r="GX565" s="113"/>
      <c r="GY565" s="113"/>
      <c r="GZ565" s="113"/>
      <c r="HA565" s="46">
        <v>0</v>
      </c>
      <c r="HB565" s="113"/>
      <c r="HC565" s="113"/>
      <c r="HD565" s="113"/>
      <c r="HE565" s="113"/>
      <c r="HF565" s="113"/>
      <c r="HG565" s="46">
        <v>0</v>
      </c>
      <c r="HH565" s="113"/>
      <c r="HI565" s="113"/>
      <c r="HJ565" s="113"/>
      <c r="HK565" s="113"/>
      <c r="HL565" s="113"/>
      <c r="HM565" s="121"/>
      <c r="HN565" s="121"/>
      <c r="LM565" t="str">
        <v/>
      </c>
      <c r="LN565" t="str">
        <v/>
      </c>
      <c r="LO565" t="str">
        <v/>
      </c>
    </row>
    <row r="566" spans="30:327">
      <c r="AD566" t="s">
        <v>112</v>
      </c>
      <c r="AE566" t="s">
        <v>23081</v>
      </c>
      <c r="AF566" s="46">
        <v>0</v>
      </c>
      <c r="AG566" s="113"/>
      <c r="AH566" s="113"/>
      <c r="AI566" s="113"/>
      <c r="AJ566" s="113"/>
      <c r="AK566" s="113"/>
      <c r="AL566" s="46">
        <v>0</v>
      </c>
      <c r="AM566" s="113"/>
      <c r="AN566" s="113"/>
      <c r="AO566" s="113"/>
      <c r="AP566" s="113"/>
      <c r="AQ566" s="113"/>
      <c r="AR566" s="46">
        <v>0</v>
      </c>
      <c r="AS566" s="113"/>
      <c r="AT566" s="113"/>
      <c r="AU566" s="113"/>
      <c r="AV566" s="113"/>
      <c r="AW566" s="113"/>
      <c r="AX566" s="46">
        <v>0</v>
      </c>
      <c r="AY566" s="113"/>
      <c r="AZ566" s="113"/>
      <c r="BA566" s="113"/>
      <c r="BB566" s="113"/>
      <c r="BC566" s="113"/>
      <c r="BD566" s="46">
        <v>0</v>
      </c>
      <c r="BE566" s="113"/>
      <c r="BF566" s="113"/>
      <c r="BG566" s="113"/>
      <c r="BH566" s="113"/>
      <c r="BI566" s="113"/>
      <c r="BJ566" s="46">
        <v>0</v>
      </c>
      <c r="BK566" s="113"/>
      <c r="BL566" s="113"/>
      <c r="BM566" s="113"/>
      <c r="BN566" s="113"/>
      <c r="BO566" s="113"/>
      <c r="BP566" s="121"/>
      <c r="BQ566" s="121"/>
      <c r="GA566" t="s">
        <v>112</v>
      </c>
      <c r="GB566" t="s">
        <v>23081</v>
      </c>
      <c r="GC566" s="46">
        <v>0</v>
      </c>
      <c r="GD566" s="113"/>
      <c r="GE566" s="113"/>
      <c r="GF566" s="113"/>
      <c r="GG566" s="113"/>
      <c r="GH566" s="113"/>
      <c r="GI566" s="46">
        <v>0</v>
      </c>
      <c r="GJ566" s="113"/>
      <c r="GK566" s="113"/>
      <c r="GL566" s="113"/>
      <c r="GM566" s="113"/>
      <c r="GN566" s="113"/>
      <c r="GO566" s="46">
        <v>0</v>
      </c>
      <c r="GP566" s="113"/>
      <c r="GQ566" s="113"/>
      <c r="GR566" s="113"/>
      <c r="GS566" s="113"/>
      <c r="GT566" s="113"/>
      <c r="GU566" s="46">
        <v>0</v>
      </c>
      <c r="GV566" s="113"/>
      <c r="GW566" s="113"/>
      <c r="GX566" s="113"/>
      <c r="GY566" s="113"/>
      <c r="GZ566" s="113"/>
      <c r="HA566" s="46">
        <v>0</v>
      </c>
      <c r="HB566" s="113"/>
      <c r="HC566" s="113"/>
      <c r="HD566" s="113"/>
      <c r="HE566" s="113"/>
      <c r="HF566" s="113"/>
      <c r="HG566" s="46">
        <v>0</v>
      </c>
      <c r="HH566" s="113"/>
      <c r="HI566" s="113"/>
      <c r="HJ566" s="113"/>
      <c r="HK566" s="113"/>
      <c r="HL566" s="113"/>
      <c r="HM566" s="121"/>
      <c r="HN566" s="121"/>
      <c r="LM566" t="str">
        <v/>
      </c>
      <c r="LN566" t="str">
        <v/>
      </c>
      <c r="LO566" t="str">
        <v/>
      </c>
    </row>
    <row r="567" spans="30:327">
      <c r="AD567" t="s">
        <v>112</v>
      </c>
      <c r="AE567" t="s">
        <v>23082</v>
      </c>
      <c r="AF567" s="46">
        <v>0</v>
      </c>
      <c r="AG567" s="113"/>
      <c r="AH567" s="113"/>
      <c r="AI567" s="113"/>
      <c r="AJ567" s="113"/>
      <c r="AK567" s="113"/>
      <c r="AL567" s="46">
        <v>0</v>
      </c>
      <c r="AM567" s="113"/>
      <c r="AN567" s="113"/>
      <c r="AO567" s="113"/>
      <c r="AP567" s="113"/>
      <c r="AQ567" s="113"/>
      <c r="AR567" s="46">
        <v>0</v>
      </c>
      <c r="AS567" s="113"/>
      <c r="AT567" s="113"/>
      <c r="AU567" s="113"/>
      <c r="AV567" s="113"/>
      <c r="AW567" s="113"/>
      <c r="AX567" s="46">
        <v>0</v>
      </c>
      <c r="AY567" s="113"/>
      <c r="AZ567" s="113"/>
      <c r="BA567" s="113"/>
      <c r="BB567" s="113"/>
      <c r="BC567" s="113"/>
      <c r="BD567" s="46">
        <v>0</v>
      </c>
      <c r="BE567" s="113"/>
      <c r="BF567" s="113"/>
      <c r="BG567" s="113"/>
      <c r="BH567" s="113"/>
      <c r="BI567" s="113"/>
      <c r="BJ567" s="46">
        <v>0</v>
      </c>
      <c r="BK567" s="113"/>
      <c r="BL567" s="113"/>
      <c r="BM567" s="113"/>
      <c r="BN567" s="113"/>
      <c r="BO567" s="113"/>
      <c r="BP567" s="121"/>
      <c r="BQ567" s="121"/>
      <c r="GA567" t="s">
        <v>112</v>
      </c>
      <c r="GB567" t="s">
        <v>23082</v>
      </c>
      <c r="GC567" s="46">
        <v>0</v>
      </c>
      <c r="GD567" s="113"/>
      <c r="GE567" s="113"/>
      <c r="GF567" s="113"/>
      <c r="GG567" s="113"/>
      <c r="GH567" s="113"/>
      <c r="GI567" s="46">
        <v>0</v>
      </c>
      <c r="GJ567" s="113"/>
      <c r="GK567" s="113"/>
      <c r="GL567" s="113"/>
      <c r="GM567" s="113"/>
      <c r="GN567" s="113"/>
      <c r="GO567" s="46">
        <v>0</v>
      </c>
      <c r="GP567" s="113"/>
      <c r="GQ567" s="113"/>
      <c r="GR567" s="113"/>
      <c r="GS567" s="113"/>
      <c r="GT567" s="113"/>
      <c r="GU567" s="46">
        <v>0</v>
      </c>
      <c r="GV567" s="113"/>
      <c r="GW567" s="113"/>
      <c r="GX567" s="113"/>
      <c r="GY567" s="113"/>
      <c r="GZ567" s="113"/>
      <c r="HA567" s="46">
        <v>0</v>
      </c>
      <c r="HB567" s="113"/>
      <c r="HC567" s="113"/>
      <c r="HD567" s="113"/>
      <c r="HE567" s="113"/>
      <c r="HF567" s="113"/>
      <c r="HG567" s="46">
        <v>0</v>
      </c>
      <c r="HH567" s="113"/>
      <c r="HI567" s="113"/>
      <c r="HJ567" s="113"/>
      <c r="HK567" s="113"/>
      <c r="HL567" s="113"/>
      <c r="HM567" s="121"/>
      <c r="HN567" s="121"/>
      <c r="LM567" t="str">
        <v/>
      </c>
      <c r="LN567" t="str">
        <v/>
      </c>
      <c r="LO567" t="str">
        <v/>
      </c>
    </row>
    <row r="568" spans="30:327">
      <c r="AD568" t="s">
        <v>112</v>
      </c>
      <c r="AE568" t="s">
        <v>23083</v>
      </c>
      <c r="AF568" s="46">
        <v>0</v>
      </c>
      <c r="AG568" s="113"/>
      <c r="AH568" s="113"/>
      <c r="AI568" s="113"/>
      <c r="AJ568" s="113"/>
      <c r="AK568" s="113"/>
      <c r="AL568" s="46">
        <v>0</v>
      </c>
      <c r="AM568" s="113"/>
      <c r="AN568" s="113"/>
      <c r="AO568" s="113"/>
      <c r="AP568" s="113"/>
      <c r="AQ568" s="113"/>
      <c r="AR568" s="46">
        <v>0</v>
      </c>
      <c r="AS568" s="113"/>
      <c r="AT568" s="113"/>
      <c r="AU568" s="113"/>
      <c r="AV568" s="113"/>
      <c r="AW568" s="113"/>
      <c r="AX568" s="46">
        <v>0</v>
      </c>
      <c r="AY568" s="113"/>
      <c r="AZ568" s="113"/>
      <c r="BA568" s="113"/>
      <c r="BB568" s="113"/>
      <c r="BC568" s="113"/>
      <c r="BD568" s="46">
        <v>0</v>
      </c>
      <c r="BE568" s="113"/>
      <c r="BF568" s="113"/>
      <c r="BG568" s="113"/>
      <c r="BH568" s="113"/>
      <c r="BI568" s="113"/>
      <c r="BJ568" s="46">
        <v>0</v>
      </c>
      <c r="BK568" s="113"/>
      <c r="BL568" s="113"/>
      <c r="BM568" s="113"/>
      <c r="BN568" s="113"/>
      <c r="BO568" s="113"/>
      <c r="BP568" s="121"/>
      <c r="BQ568" s="121"/>
      <c r="GA568" t="s">
        <v>112</v>
      </c>
      <c r="GB568" t="s">
        <v>23083</v>
      </c>
      <c r="GC568" s="46">
        <v>0</v>
      </c>
      <c r="GD568" s="113"/>
      <c r="GE568" s="113"/>
      <c r="GF568" s="113"/>
      <c r="GG568" s="113"/>
      <c r="GH568" s="113"/>
      <c r="GI568" s="46">
        <v>0</v>
      </c>
      <c r="GJ568" s="113"/>
      <c r="GK568" s="113"/>
      <c r="GL568" s="113"/>
      <c r="GM568" s="113"/>
      <c r="GN568" s="113"/>
      <c r="GO568" s="46">
        <v>0</v>
      </c>
      <c r="GP568" s="113"/>
      <c r="GQ568" s="113"/>
      <c r="GR568" s="113"/>
      <c r="GS568" s="113"/>
      <c r="GT568" s="113"/>
      <c r="GU568" s="46">
        <v>0</v>
      </c>
      <c r="GV568" s="113"/>
      <c r="GW568" s="113"/>
      <c r="GX568" s="113"/>
      <c r="GY568" s="113"/>
      <c r="GZ568" s="113"/>
      <c r="HA568" s="46">
        <v>0</v>
      </c>
      <c r="HB568" s="113"/>
      <c r="HC568" s="113"/>
      <c r="HD568" s="113"/>
      <c r="HE568" s="113"/>
      <c r="HF568" s="113"/>
      <c r="HG568" s="46">
        <v>0</v>
      </c>
      <c r="HH568" s="113"/>
      <c r="HI568" s="113"/>
      <c r="HJ568" s="113"/>
      <c r="HK568" s="113"/>
      <c r="HL568" s="113"/>
      <c r="HM568" s="121"/>
      <c r="HN568" s="121"/>
      <c r="LM568" t="str">
        <v/>
      </c>
      <c r="LN568" t="str">
        <v/>
      </c>
      <c r="LO568" t="str">
        <v/>
      </c>
    </row>
    <row r="569" spans="30:327">
      <c r="AD569" t="s">
        <v>112</v>
      </c>
      <c r="AE569" t="s">
        <v>23084</v>
      </c>
      <c r="AF569" s="46">
        <v>0</v>
      </c>
      <c r="AG569" s="113"/>
      <c r="AH569" s="113"/>
      <c r="AI569" s="113"/>
      <c r="AJ569" s="113"/>
      <c r="AK569" s="113"/>
      <c r="AL569" s="46">
        <v>0</v>
      </c>
      <c r="AM569" s="113"/>
      <c r="AN569" s="113"/>
      <c r="AO569" s="113"/>
      <c r="AP569" s="113"/>
      <c r="AQ569" s="113"/>
      <c r="AR569" s="46">
        <v>0</v>
      </c>
      <c r="AS569" s="113"/>
      <c r="AT569" s="113"/>
      <c r="AU569" s="113"/>
      <c r="AV569" s="113"/>
      <c r="AW569" s="113"/>
      <c r="AX569" s="46">
        <v>0</v>
      </c>
      <c r="AY569" s="113"/>
      <c r="AZ569" s="113"/>
      <c r="BA569" s="113"/>
      <c r="BB569" s="113"/>
      <c r="BC569" s="113"/>
      <c r="BD569" s="46">
        <v>0</v>
      </c>
      <c r="BE569" s="113"/>
      <c r="BF569" s="113"/>
      <c r="BG569" s="113"/>
      <c r="BH569" s="113"/>
      <c r="BI569" s="113"/>
      <c r="BJ569" s="46">
        <v>0</v>
      </c>
      <c r="BK569" s="113"/>
      <c r="BL569" s="113"/>
      <c r="BM569" s="113"/>
      <c r="BN569" s="113"/>
      <c r="BO569" s="113"/>
      <c r="BP569" s="121"/>
      <c r="BQ569" s="121"/>
      <c r="GA569" t="s">
        <v>112</v>
      </c>
      <c r="GB569" t="s">
        <v>23084</v>
      </c>
      <c r="GC569" s="46">
        <v>0</v>
      </c>
      <c r="GD569" s="113"/>
      <c r="GE569" s="113"/>
      <c r="GF569" s="113"/>
      <c r="GG569" s="113"/>
      <c r="GH569" s="113"/>
      <c r="GI569" s="46">
        <v>0</v>
      </c>
      <c r="GJ569" s="113"/>
      <c r="GK569" s="113"/>
      <c r="GL569" s="113"/>
      <c r="GM569" s="113"/>
      <c r="GN569" s="113"/>
      <c r="GO569" s="46">
        <v>0</v>
      </c>
      <c r="GP569" s="113"/>
      <c r="GQ569" s="113"/>
      <c r="GR569" s="113"/>
      <c r="GS569" s="113"/>
      <c r="GT569" s="113"/>
      <c r="GU569" s="46">
        <v>0</v>
      </c>
      <c r="GV569" s="113"/>
      <c r="GW569" s="113"/>
      <c r="GX569" s="113"/>
      <c r="GY569" s="113"/>
      <c r="GZ569" s="113"/>
      <c r="HA569" s="46">
        <v>0</v>
      </c>
      <c r="HB569" s="113"/>
      <c r="HC569" s="113"/>
      <c r="HD569" s="113"/>
      <c r="HE569" s="113"/>
      <c r="HF569" s="113"/>
      <c r="HG569" s="46">
        <v>0</v>
      </c>
      <c r="HH569" s="113"/>
      <c r="HI569" s="113"/>
      <c r="HJ569" s="113"/>
      <c r="HK569" s="113"/>
      <c r="HL569" s="113"/>
      <c r="HM569" s="121"/>
      <c r="HN569" s="121"/>
      <c r="LM569" t="str">
        <v/>
      </c>
      <c r="LN569" t="str">
        <v/>
      </c>
      <c r="LO569" t="str">
        <v/>
      </c>
    </row>
    <row r="570" spans="30:327">
      <c r="AD570" t="s">
        <v>112</v>
      </c>
      <c r="AE570" t="s">
        <v>23085</v>
      </c>
      <c r="AF570" s="46">
        <v>0</v>
      </c>
      <c r="AG570" s="113"/>
      <c r="AH570" s="113"/>
      <c r="AI570" s="113"/>
      <c r="AJ570" s="113"/>
      <c r="AK570" s="113"/>
      <c r="AL570" s="46">
        <v>0</v>
      </c>
      <c r="AM570" s="113"/>
      <c r="AN570" s="113"/>
      <c r="AO570" s="113"/>
      <c r="AP570" s="113"/>
      <c r="AQ570" s="113"/>
      <c r="AR570" s="46">
        <v>0</v>
      </c>
      <c r="AS570" s="113"/>
      <c r="AT570" s="113"/>
      <c r="AU570" s="113"/>
      <c r="AV570" s="113"/>
      <c r="AW570" s="113"/>
      <c r="AX570" s="46">
        <v>0</v>
      </c>
      <c r="AY570" s="113"/>
      <c r="AZ570" s="113"/>
      <c r="BA570" s="113"/>
      <c r="BB570" s="113"/>
      <c r="BC570" s="113"/>
      <c r="BD570" s="46">
        <v>0</v>
      </c>
      <c r="BE570" s="113"/>
      <c r="BF570" s="113"/>
      <c r="BG570" s="113"/>
      <c r="BH570" s="113"/>
      <c r="BI570" s="113"/>
      <c r="BJ570" s="46">
        <v>0</v>
      </c>
      <c r="BK570" s="113"/>
      <c r="BL570" s="113"/>
      <c r="BM570" s="113"/>
      <c r="BN570" s="113"/>
      <c r="BO570" s="113"/>
      <c r="BP570" s="121"/>
      <c r="BQ570" s="121"/>
      <c r="GA570" t="s">
        <v>112</v>
      </c>
      <c r="GB570" t="s">
        <v>23085</v>
      </c>
      <c r="GC570" s="46">
        <v>0</v>
      </c>
      <c r="GD570" s="113"/>
      <c r="GE570" s="113"/>
      <c r="GF570" s="113"/>
      <c r="GG570" s="113"/>
      <c r="GH570" s="113"/>
      <c r="GI570" s="46">
        <v>0</v>
      </c>
      <c r="GJ570" s="113"/>
      <c r="GK570" s="113"/>
      <c r="GL570" s="113"/>
      <c r="GM570" s="113"/>
      <c r="GN570" s="113"/>
      <c r="GO570" s="46">
        <v>0</v>
      </c>
      <c r="GP570" s="113"/>
      <c r="GQ570" s="113"/>
      <c r="GR570" s="113"/>
      <c r="GS570" s="113"/>
      <c r="GT570" s="113"/>
      <c r="GU570" s="46">
        <v>0</v>
      </c>
      <c r="GV570" s="113"/>
      <c r="GW570" s="113"/>
      <c r="GX570" s="113"/>
      <c r="GY570" s="113"/>
      <c r="GZ570" s="113"/>
      <c r="HA570" s="46">
        <v>0</v>
      </c>
      <c r="HB570" s="113"/>
      <c r="HC570" s="113"/>
      <c r="HD570" s="113"/>
      <c r="HE570" s="113"/>
      <c r="HF570" s="113"/>
      <c r="HG570" s="46">
        <v>0</v>
      </c>
      <c r="HH570" s="113"/>
      <c r="HI570" s="113"/>
      <c r="HJ570" s="113"/>
      <c r="HK570" s="113"/>
      <c r="HL570" s="113"/>
      <c r="HM570" s="121"/>
      <c r="HN570" s="121"/>
      <c r="LM570" t="str">
        <v/>
      </c>
      <c r="LN570" t="str">
        <v/>
      </c>
      <c r="LO570" t="str">
        <v/>
      </c>
    </row>
    <row r="571" spans="30:327">
      <c r="AD571" t="s">
        <v>112</v>
      </c>
      <c r="AE571" t="s">
        <v>23086</v>
      </c>
      <c r="AF571" s="46">
        <v>0</v>
      </c>
      <c r="AG571" s="113"/>
      <c r="AH571" s="113"/>
      <c r="AI571" s="113"/>
      <c r="AJ571" s="113"/>
      <c r="AK571" s="113"/>
      <c r="AL571" s="46">
        <v>0</v>
      </c>
      <c r="AM571" s="113"/>
      <c r="AN571" s="113"/>
      <c r="AO571" s="113"/>
      <c r="AP571" s="113"/>
      <c r="AQ571" s="113"/>
      <c r="AR571" s="46">
        <v>0</v>
      </c>
      <c r="AS571" s="113"/>
      <c r="AT571" s="113"/>
      <c r="AU571" s="113"/>
      <c r="AV571" s="113"/>
      <c r="AW571" s="113"/>
      <c r="AX571" s="46">
        <v>0</v>
      </c>
      <c r="AY571" s="113"/>
      <c r="AZ571" s="113"/>
      <c r="BA571" s="113"/>
      <c r="BB571" s="113"/>
      <c r="BC571" s="113"/>
      <c r="BD571" s="46">
        <v>0</v>
      </c>
      <c r="BE571" s="113"/>
      <c r="BF571" s="113"/>
      <c r="BG571" s="113"/>
      <c r="BH571" s="113"/>
      <c r="BI571" s="113"/>
      <c r="BJ571" s="46">
        <v>0</v>
      </c>
      <c r="BK571" s="113"/>
      <c r="BL571" s="113"/>
      <c r="BM571" s="113"/>
      <c r="BN571" s="113"/>
      <c r="BO571" s="113"/>
      <c r="BP571" s="121"/>
      <c r="BQ571" s="121"/>
      <c r="GA571" t="s">
        <v>112</v>
      </c>
      <c r="GB571" t="s">
        <v>23086</v>
      </c>
      <c r="GC571" s="46">
        <v>0</v>
      </c>
      <c r="GD571" s="113"/>
      <c r="GE571" s="113"/>
      <c r="GF571" s="113"/>
      <c r="GG571" s="113"/>
      <c r="GH571" s="113"/>
      <c r="GI571" s="46">
        <v>0</v>
      </c>
      <c r="GJ571" s="113"/>
      <c r="GK571" s="113"/>
      <c r="GL571" s="113"/>
      <c r="GM571" s="113"/>
      <c r="GN571" s="113"/>
      <c r="GO571" s="46">
        <v>0</v>
      </c>
      <c r="GP571" s="113"/>
      <c r="GQ571" s="113"/>
      <c r="GR571" s="113"/>
      <c r="GS571" s="113"/>
      <c r="GT571" s="113"/>
      <c r="GU571" s="46">
        <v>0</v>
      </c>
      <c r="GV571" s="113"/>
      <c r="GW571" s="113"/>
      <c r="GX571" s="113"/>
      <c r="GY571" s="113"/>
      <c r="GZ571" s="113"/>
      <c r="HA571" s="46">
        <v>0</v>
      </c>
      <c r="HB571" s="113"/>
      <c r="HC571" s="113"/>
      <c r="HD571" s="113"/>
      <c r="HE571" s="113"/>
      <c r="HF571" s="113"/>
      <c r="HG571" s="46">
        <v>0</v>
      </c>
      <c r="HH571" s="113"/>
      <c r="HI571" s="113"/>
      <c r="HJ571" s="113"/>
      <c r="HK571" s="113"/>
      <c r="HL571" s="113"/>
      <c r="HM571" s="121"/>
      <c r="HN571" s="121"/>
      <c r="LM571" t="str">
        <v/>
      </c>
      <c r="LN571" t="str">
        <v/>
      </c>
      <c r="LO571" t="str">
        <v/>
      </c>
    </row>
    <row r="572" spans="30:327">
      <c r="AD572" t="s">
        <v>112</v>
      </c>
      <c r="AE572" t="s">
        <v>23087</v>
      </c>
      <c r="AF572" s="46">
        <v>0</v>
      </c>
      <c r="AG572" s="113"/>
      <c r="AH572" s="113"/>
      <c r="AI572" s="113"/>
      <c r="AJ572" s="113"/>
      <c r="AK572" s="113"/>
      <c r="AL572" s="46">
        <v>0</v>
      </c>
      <c r="AM572" s="113"/>
      <c r="AN572" s="113"/>
      <c r="AO572" s="113"/>
      <c r="AP572" s="113"/>
      <c r="AQ572" s="113"/>
      <c r="AR572" s="46">
        <v>0</v>
      </c>
      <c r="AS572" s="113"/>
      <c r="AT572" s="113"/>
      <c r="AU572" s="113"/>
      <c r="AV572" s="113"/>
      <c r="AW572" s="113"/>
      <c r="AX572" s="46">
        <v>0</v>
      </c>
      <c r="AY572" s="113"/>
      <c r="AZ572" s="113"/>
      <c r="BA572" s="113"/>
      <c r="BB572" s="113"/>
      <c r="BC572" s="113"/>
      <c r="BD572" s="46">
        <v>0</v>
      </c>
      <c r="BE572" s="113"/>
      <c r="BF572" s="113"/>
      <c r="BG572" s="113"/>
      <c r="BH572" s="113"/>
      <c r="BI572" s="113"/>
      <c r="BJ572" s="46">
        <v>0</v>
      </c>
      <c r="BK572" s="113"/>
      <c r="BL572" s="113"/>
      <c r="BM572" s="113"/>
      <c r="BN572" s="113"/>
      <c r="BO572" s="113"/>
      <c r="BP572" s="121"/>
      <c r="BQ572" s="121"/>
      <c r="GA572" t="s">
        <v>112</v>
      </c>
      <c r="GB572" t="s">
        <v>23087</v>
      </c>
      <c r="GC572" s="46">
        <v>0</v>
      </c>
      <c r="GD572" s="113"/>
      <c r="GE572" s="113"/>
      <c r="GF572" s="113"/>
      <c r="GG572" s="113"/>
      <c r="GH572" s="113"/>
      <c r="GI572" s="46">
        <v>0</v>
      </c>
      <c r="GJ572" s="113"/>
      <c r="GK572" s="113"/>
      <c r="GL572" s="113"/>
      <c r="GM572" s="113"/>
      <c r="GN572" s="113"/>
      <c r="GO572" s="46">
        <v>0</v>
      </c>
      <c r="GP572" s="113"/>
      <c r="GQ572" s="113"/>
      <c r="GR572" s="113"/>
      <c r="GS572" s="113"/>
      <c r="GT572" s="113"/>
      <c r="GU572" s="46">
        <v>0</v>
      </c>
      <c r="GV572" s="113"/>
      <c r="GW572" s="113"/>
      <c r="GX572" s="113"/>
      <c r="GY572" s="113"/>
      <c r="GZ572" s="113"/>
      <c r="HA572" s="46">
        <v>0</v>
      </c>
      <c r="HB572" s="113"/>
      <c r="HC572" s="113"/>
      <c r="HD572" s="113"/>
      <c r="HE572" s="113"/>
      <c r="HF572" s="113"/>
      <c r="HG572" s="46">
        <v>0</v>
      </c>
      <c r="HH572" s="113"/>
      <c r="HI572" s="113"/>
      <c r="HJ572" s="113"/>
      <c r="HK572" s="113"/>
      <c r="HL572" s="113"/>
      <c r="HM572" s="121"/>
      <c r="HN572" s="121"/>
      <c r="LM572" t="str">
        <v/>
      </c>
      <c r="LN572" t="str">
        <v/>
      </c>
      <c r="LO572" t="str">
        <v/>
      </c>
    </row>
    <row r="573" spans="30:327">
      <c r="AD573" t="s">
        <v>112</v>
      </c>
      <c r="AE573" t="s">
        <v>23088</v>
      </c>
      <c r="AF573" s="46">
        <v>0</v>
      </c>
      <c r="AG573" s="113"/>
      <c r="AH573" s="113"/>
      <c r="AI573" s="113"/>
      <c r="AJ573" s="113"/>
      <c r="AK573" s="113"/>
      <c r="AL573" s="46">
        <v>0</v>
      </c>
      <c r="AM573" s="113"/>
      <c r="AN573" s="113"/>
      <c r="AO573" s="113"/>
      <c r="AP573" s="113"/>
      <c r="AQ573" s="113"/>
      <c r="AR573" s="46">
        <v>0</v>
      </c>
      <c r="AS573" s="113"/>
      <c r="AT573" s="113"/>
      <c r="AU573" s="113"/>
      <c r="AV573" s="113"/>
      <c r="AW573" s="113"/>
      <c r="AX573" s="46">
        <v>0</v>
      </c>
      <c r="AY573" s="113"/>
      <c r="AZ573" s="113"/>
      <c r="BA573" s="113"/>
      <c r="BB573" s="113"/>
      <c r="BC573" s="113"/>
      <c r="BD573" s="46">
        <v>0</v>
      </c>
      <c r="BE573" s="113"/>
      <c r="BF573" s="113"/>
      <c r="BG573" s="113"/>
      <c r="BH573" s="113"/>
      <c r="BI573" s="113"/>
      <c r="BJ573" s="46">
        <v>0</v>
      </c>
      <c r="BK573" s="113"/>
      <c r="BL573" s="113"/>
      <c r="BM573" s="113"/>
      <c r="BN573" s="113"/>
      <c r="BO573" s="113"/>
      <c r="BP573" s="121"/>
      <c r="BQ573" s="121"/>
      <c r="GA573" t="s">
        <v>112</v>
      </c>
      <c r="GB573" t="s">
        <v>23088</v>
      </c>
      <c r="GC573" s="46">
        <v>0</v>
      </c>
      <c r="GD573" s="113"/>
      <c r="GE573" s="113"/>
      <c r="GF573" s="113"/>
      <c r="GG573" s="113"/>
      <c r="GH573" s="113"/>
      <c r="GI573" s="46">
        <v>0</v>
      </c>
      <c r="GJ573" s="113"/>
      <c r="GK573" s="113"/>
      <c r="GL573" s="113"/>
      <c r="GM573" s="113"/>
      <c r="GN573" s="113"/>
      <c r="GO573" s="46">
        <v>0</v>
      </c>
      <c r="GP573" s="113"/>
      <c r="GQ573" s="113"/>
      <c r="GR573" s="113"/>
      <c r="GS573" s="113"/>
      <c r="GT573" s="113"/>
      <c r="GU573" s="46">
        <v>0</v>
      </c>
      <c r="GV573" s="113"/>
      <c r="GW573" s="113"/>
      <c r="GX573" s="113"/>
      <c r="GY573" s="113"/>
      <c r="GZ573" s="113"/>
      <c r="HA573" s="46">
        <v>0</v>
      </c>
      <c r="HB573" s="113"/>
      <c r="HC573" s="113"/>
      <c r="HD573" s="113"/>
      <c r="HE573" s="113"/>
      <c r="HF573" s="113"/>
      <c r="HG573" s="46">
        <v>0</v>
      </c>
      <c r="HH573" s="113"/>
      <c r="HI573" s="113"/>
      <c r="HJ573" s="113"/>
      <c r="HK573" s="113"/>
      <c r="HL573" s="113"/>
      <c r="HM573" s="121"/>
      <c r="HN573" s="121"/>
      <c r="LM573" t="str">
        <v/>
      </c>
      <c r="LN573" t="str">
        <v/>
      </c>
      <c r="LO573" t="str">
        <v/>
      </c>
    </row>
    <row r="574" spans="30:327">
      <c r="AD574" t="s">
        <v>112</v>
      </c>
      <c r="AE574" t="s">
        <v>23089</v>
      </c>
      <c r="AF574" s="46">
        <v>0</v>
      </c>
      <c r="AG574" s="113"/>
      <c r="AH574" s="113"/>
      <c r="AI574" s="113"/>
      <c r="AJ574" s="113"/>
      <c r="AK574" s="113"/>
      <c r="AL574" s="46">
        <v>0</v>
      </c>
      <c r="AM574" s="113"/>
      <c r="AN574" s="113"/>
      <c r="AO574" s="113"/>
      <c r="AP574" s="113"/>
      <c r="AQ574" s="113"/>
      <c r="AR574" s="46">
        <v>0</v>
      </c>
      <c r="AS574" s="113"/>
      <c r="AT574" s="113"/>
      <c r="AU574" s="113"/>
      <c r="AV574" s="113"/>
      <c r="AW574" s="113"/>
      <c r="AX574" s="46">
        <v>0</v>
      </c>
      <c r="AY574" s="113"/>
      <c r="AZ574" s="113"/>
      <c r="BA574" s="113"/>
      <c r="BB574" s="113"/>
      <c r="BC574" s="113"/>
      <c r="BD574" s="46">
        <v>0</v>
      </c>
      <c r="BE574" s="113"/>
      <c r="BF574" s="113"/>
      <c r="BG574" s="113"/>
      <c r="BH574" s="113"/>
      <c r="BI574" s="113"/>
      <c r="BJ574" s="46">
        <v>0</v>
      </c>
      <c r="BK574" s="113"/>
      <c r="BL574" s="113"/>
      <c r="BM574" s="113"/>
      <c r="BN574" s="113"/>
      <c r="BO574" s="113"/>
      <c r="BP574" s="121"/>
      <c r="BQ574" s="121"/>
      <c r="GA574" t="s">
        <v>112</v>
      </c>
      <c r="GB574" t="s">
        <v>23089</v>
      </c>
      <c r="GC574" s="46">
        <v>0</v>
      </c>
      <c r="GD574" s="113"/>
      <c r="GE574" s="113"/>
      <c r="GF574" s="113"/>
      <c r="GG574" s="113"/>
      <c r="GH574" s="113"/>
      <c r="GI574" s="46">
        <v>0</v>
      </c>
      <c r="GJ574" s="113"/>
      <c r="GK574" s="113"/>
      <c r="GL574" s="113"/>
      <c r="GM574" s="113"/>
      <c r="GN574" s="113"/>
      <c r="GO574" s="46">
        <v>0</v>
      </c>
      <c r="GP574" s="113"/>
      <c r="GQ574" s="113"/>
      <c r="GR574" s="113"/>
      <c r="GS574" s="113"/>
      <c r="GT574" s="113"/>
      <c r="GU574" s="46">
        <v>0</v>
      </c>
      <c r="GV574" s="113"/>
      <c r="GW574" s="113"/>
      <c r="GX574" s="113"/>
      <c r="GY574" s="113"/>
      <c r="GZ574" s="113"/>
      <c r="HA574" s="46">
        <v>0</v>
      </c>
      <c r="HB574" s="113"/>
      <c r="HC574" s="113"/>
      <c r="HD574" s="113"/>
      <c r="HE574" s="113"/>
      <c r="HF574" s="113"/>
      <c r="HG574" s="46">
        <v>0</v>
      </c>
      <c r="HH574" s="113"/>
      <c r="HI574" s="113"/>
      <c r="HJ574" s="113"/>
      <c r="HK574" s="113"/>
      <c r="HL574" s="113"/>
      <c r="HM574" s="121"/>
      <c r="HN574" s="121"/>
      <c r="LM574" t="str">
        <v/>
      </c>
      <c r="LN574" t="str">
        <v/>
      </c>
      <c r="LO574" t="str">
        <v/>
      </c>
    </row>
    <row r="575" spans="30:327">
      <c r="AD575" t="s">
        <v>112</v>
      </c>
      <c r="AE575" t="s">
        <v>23090</v>
      </c>
      <c r="AF575" s="46">
        <v>0</v>
      </c>
      <c r="AG575" s="113"/>
      <c r="AH575" s="113"/>
      <c r="AI575" s="113"/>
      <c r="AJ575" s="113"/>
      <c r="AK575" s="113"/>
      <c r="AL575" s="46">
        <v>0</v>
      </c>
      <c r="AM575" s="113"/>
      <c r="AN575" s="113"/>
      <c r="AO575" s="113"/>
      <c r="AP575" s="113"/>
      <c r="AQ575" s="113"/>
      <c r="AR575" s="46">
        <v>0</v>
      </c>
      <c r="AS575" s="113"/>
      <c r="AT575" s="113"/>
      <c r="AU575" s="113"/>
      <c r="AV575" s="113"/>
      <c r="AW575" s="113"/>
      <c r="AX575" s="46">
        <v>0</v>
      </c>
      <c r="AY575" s="113"/>
      <c r="AZ575" s="113"/>
      <c r="BA575" s="113"/>
      <c r="BB575" s="113"/>
      <c r="BC575" s="113"/>
      <c r="BD575" s="46">
        <v>0</v>
      </c>
      <c r="BE575" s="113"/>
      <c r="BF575" s="113"/>
      <c r="BG575" s="113"/>
      <c r="BH575" s="113"/>
      <c r="BI575" s="113"/>
      <c r="BJ575" s="46">
        <v>0</v>
      </c>
      <c r="BK575" s="113"/>
      <c r="BL575" s="113"/>
      <c r="BM575" s="113"/>
      <c r="BN575" s="113"/>
      <c r="BO575" s="113"/>
      <c r="BP575" s="121"/>
      <c r="BQ575" s="121"/>
      <c r="GA575" t="s">
        <v>112</v>
      </c>
      <c r="GB575" t="s">
        <v>23090</v>
      </c>
      <c r="GC575" s="46">
        <v>0</v>
      </c>
      <c r="GD575" s="113"/>
      <c r="GE575" s="113"/>
      <c r="GF575" s="113"/>
      <c r="GG575" s="113"/>
      <c r="GH575" s="113"/>
      <c r="GI575" s="46">
        <v>0</v>
      </c>
      <c r="GJ575" s="113"/>
      <c r="GK575" s="113"/>
      <c r="GL575" s="113"/>
      <c r="GM575" s="113"/>
      <c r="GN575" s="113"/>
      <c r="GO575" s="46">
        <v>0</v>
      </c>
      <c r="GP575" s="113"/>
      <c r="GQ575" s="113"/>
      <c r="GR575" s="113"/>
      <c r="GS575" s="113"/>
      <c r="GT575" s="113"/>
      <c r="GU575" s="46">
        <v>0</v>
      </c>
      <c r="GV575" s="113"/>
      <c r="GW575" s="113"/>
      <c r="GX575" s="113"/>
      <c r="GY575" s="113"/>
      <c r="GZ575" s="113"/>
      <c r="HA575" s="46">
        <v>0</v>
      </c>
      <c r="HB575" s="113"/>
      <c r="HC575" s="113"/>
      <c r="HD575" s="113"/>
      <c r="HE575" s="113"/>
      <c r="HF575" s="113"/>
      <c r="HG575" s="46">
        <v>0</v>
      </c>
      <c r="HH575" s="113"/>
      <c r="HI575" s="113"/>
      <c r="HJ575" s="113"/>
      <c r="HK575" s="113"/>
      <c r="HL575" s="113"/>
      <c r="HM575" s="121"/>
      <c r="HN575" s="121"/>
      <c r="LM575" t="str">
        <v/>
      </c>
      <c r="LN575" t="str">
        <v/>
      </c>
      <c r="LO575" t="str">
        <v/>
      </c>
    </row>
    <row r="576" spans="30:327">
      <c r="AD576" t="s">
        <v>112</v>
      </c>
      <c r="AE576" t="s">
        <v>23091</v>
      </c>
      <c r="AF576" s="46">
        <v>0</v>
      </c>
      <c r="AG576" s="113"/>
      <c r="AH576" s="113"/>
      <c r="AI576" s="113"/>
      <c r="AJ576" s="113"/>
      <c r="AK576" s="113"/>
      <c r="AL576" s="46">
        <v>0</v>
      </c>
      <c r="AM576" s="113"/>
      <c r="AN576" s="113"/>
      <c r="AO576" s="113"/>
      <c r="AP576" s="113"/>
      <c r="AQ576" s="113"/>
      <c r="AR576" s="46">
        <v>0</v>
      </c>
      <c r="AS576" s="113"/>
      <c r="AT576" s="113"/>
      <c r="AU576" s="113"/>
      <c r="AV576" s="113"/>
      <c r="AW576" s="113"/>
      <c r="AX576" s="46">
        <v>0</v>
      </c>
      <c r="AY576" s="113"/>
      <c r="AZ576" s="113"/>
      <c r="BA576" s="113"/>
      <c r="BB576" s="113"/>
      <c r="BC576" s="113"/>
      <c r="BD576" s="46">
        <v>0</v>
      </c>
      <c r="BE576" s="113"/>
      <c r="BF576" s="113"/>
      <c r="BG576" s="113"/>
      <c r="BH576" s="113"/>
      <c r="BI576" s="113"/>
      <c r="BJ576" s="46">
        <v>0</v>
      </c>
      <c r="BK576" s="113"/>
      <c r="BL576" s="113"/>
      <c r="BM576" s="113"/>
      <c r="BN576" s="113"/>
      <c r="BO576" s="113"/>
      <c r="BP576" s="121"/>
      <c r="BQ576" s="121"/>
      <c r="GA576" t="s">
        <v>112</v>
      </c>
      <c r="GB576" t="s">
        <v>23091</v>
      </c>
      <c r="GC576" s="46">
        <v>0</v>
      </c>
      <c r="GD576" s="113"/>
      <c r="GE576" s="113"/>
      <c r="GF576" s="113"/>
      <c r="GG576" s="113"/>
      <c r="GH576" s="113"/>
      <c r="GI576" s="46">
        <v>0</v>
      </c>
      <c r="GJ576" s="113"/>
      <c r="GK576" s="113"/>
      <c r="GL576" s="113"/>
      <c r="GM576" s="113"/>
      <c r="GN576" s="113"/>
      <c r="GO576" s="46">
        <v>0</v>
      </c>
      <c r="GP576" s="113"/>
      <c r="GQ576" s="113"/>
      <c r="GR576" s="113"/>
      <c r="GS576" s="113"/>
      <c r="GT576" s="113"/>
      <c r="GU576" s="46">
        <v>0</v>
      </c>
      <c r="GV576" s="113"/>
      <c r="GW576" s="113"/>
      <c r="GX576" s="113"/>
      <c r="GY576" s="113"/>
      <c r="GZ576" s="113"/>
      <c r="HA576" s="46">
        <v>0</v>
      </c>
      <c r="HB576" s="113"/>
      <c r="HC576" s="113"/>
      <c r="HD576" s="113"/>
      <c r="HE576" s="113"/>
      <c r="HF576" s="113"/>
      <c r="HG576" s="46">
        <v>0</v>
      </c>
      <c r="HH576" s="113"/>
      <c r="HI576" s="113"/>
      <c r="HJ576" s="113"/>
      <c r="HK576" s="113"/>
      <c r="HL576" s="113"/>
      <c r="HM576" s="121"/>
      <c r="HN576" s="121"/>
      <c r="LM576" t="str">
        <v/>
      </c>
      <c r="LN576" t="str">
        <v/>
      </c>
      <c r="LO576" t="str">
        <v/>
      </c>
    </row>
    <row r="577" spans="30:327">
      <c r="AD577" t="s">
        <v>112</v>
      </c>
      <c r="AE577" t="s">
        <v>23092</v>
      </c>
      <c r="AF577" s="46">
        <v>0</v>
      </c>
      <c r="AG577" s="113"/>
      <c r="AH577" s="113"/>
      <c r="AI577" s="113"/>
      <c r="AJ577" s="113"/>
      <c r="AK577" s="113"/>
      <c r="AL577" s="46">
        <v>0</v>
      </c>
      <c r="AM577" s="113"/>
      <c r="AN577" s="113"/>
      <c r="AO577" s="113"/>
      <c r="AP577" s="113"/>
      <c r="AQ577" s="113"/>
      <c r="AR577" s="46">
        <v>0</v>
      </c>
      <c r="AS577" s="113"/>
      <c r="AT577" s="113"/>
      <c r="AU577" s="113"/>
      <c r="AV577" s="113"/>
      <c r="AW577" s="113"/>
      <c r="AX577" s="46">
        <v>0</v>
      </c>
      <c r="AY577" s="113"/>
      <c r="AZ577" s="113"/>
      <c r="BA577" s="113"/>
      <c r="BB577" s="113"/>
      <c r="BC577" s="113"/>
      <c r="BD577" s="46">
        <v>0</v>
      </c>
      <c r="BE577" s="113"/>
      <c r="BF577" s="113"/>
      <c r="BG577" s="113"/>
      <c r="BH577" s="113"/>
      <c r="BI577" s="113"/>
      <c r="BJ577" s="46">
        <v>0</v>
      </c>
      <c r="BK577" s="113"/>
      <c r="BL577" s="113"/>
      <c r="BM577" s="113"/>
      <c r="BN577" s="113"/>
      <c r="BO577" s="113"/>
      <c r="BP577" s="121"/>
      <c r="BQ577" s="121"/>
      <c r="GA577" t="s">
        <v>112</v>
      </c>
      <c r="GB577" t="s">
        <v>23092</v>
      </c>
      <c r="GC577" s="46">
        <v>0</v>
      </c>
      <c r="GD577" s="113"/>
      <c r="GE577" s="113"/>
      <c r="GF577" s="113"/>
      <c r="GG577" s="113"/>
      <c r="GH577" s="113"/>
      <c r="GI577" s="46">
        <v>0</v>
      </c>
      <c r="GJ577" s="113"/>
      <c r="GK577" s="113"/>
      <c r="GL577" s="113"/>
      <c r="GM577" s="113"/>
      <c r="GN577" s="113"/>
      <c r="GO577" s="46">
        <v>0</v>
      </c>
      <c r="GP577" s="113"/>
      <c r="GQ577" s="113"/>
      <c r="GR577" s="113"/>
      <c r="GS577" s="113"/>
      <c r="GT577" s="113"/>
      <c r="GU577" s="46">
        <v>0</v>
      </c>
      <c r="GV577" s="113"/>
      <c r="GW577" s="113"/>
      <c r="GX577" s="113"/>
      <c r="GY577" s="113"/>
      <c r="GZ577" s="113"/>
      <c r="HA577" s="46">
        <v>0</v>
      </c>
      <c r="HB577" s="113"/>
      <c r="HC577" s="113"/>
      <c r="HD577" s="113"/>
      <c r="HE577" s="113"/>
      <c r="HF577" s="113"/>
      <c r="HG577" s="46">
        <v>0</v>
      </c>
      <c r="HH577" s="113"/>
      <c r="HI577" s="113"/>
      <c r="HJ577" s="113"/>
      <c r="HK577" s="113"/>
      <c r="HL577" s="113"/>
      <c r="HM577" s="121"/>
      <c r="HN577" s="121"/>
      <c r="LM577" t="str">
        <v/>
      </c>
      <c r="LN577" t="str">
        <v/>
      </c>
      <c r="LO577" t="str">
        <v/>
      </c>
    </row>
    <row r="578" spans="30:327">
      <c r="AD578" t="s">
        <v>112</v>
      </c>
      <c r="AE578" t="s">
        <v>23093</v>
      </c>
      <c r="AF578" s="46">
        <v>0</v>
      </c>
      <c r="AG578" s="113"/>
      <c r="AH578" s="113"/>
      <c r="AI578" s="113"/>
      <c r="AJ578" s="113"/>
      <c r="AK578" s="113"/>
      <c r="AL578" s="46">
        <v>0</v>
      </c>
      <c r="AM578" s="113"/>
      <c r="AN578" s="113"/>
      <c r="AO578" s="113"/>
      <c r="AP578" s="113"/>
      <c r="AQ578" s="113"/>
      <c r="AR578" s="46">
        <v>0</v>
      </c>
      <c r="AS578" s="113"/>
      <c r="AT578" s="113"/>
      <c r="AU578" s="113"/>
      <c r="AV578" s="113"/>
      <c r="AW578" s="113"/>
      <c r="AX578" s="46">
        <v>0</v>
      </c>
      <c r="AY578" s="113"/>
      <c r="AZ578" s="113"/>
      <c r="BA578" s="113"/>
      <c r="BB578" s="113"/>
      <c r="BC578" s="113"/>
      <c r="BD578" s="46">
        <v>0</v>
      </c>
      <c r="BE578" s="113"/>
      <c r="BF578" s="113"/>
      <c r="BG578" s="113"/>
      <c r="BH578" s="113"/>
      <c r="BI578" s="113"/>
      <c r="BJ578" s="46">
        <v>0</v>
      </c>
      <c r="BK578" s="113"/>
      <c r="BL578" s="113"/>
      <c r="BM578" s="113"/>
      <c r="BN578" s="113"/>
      <c r="BO578" s="113"/>
      <c r="BP578" s="121"/>
      <c r="BQ578" s="121"/>
      <c r="GA578" t="s">
        <v>112</v>
      </c>
      <c r="GB578" t="s">
        <v>23093</v>
      </c>
      <c r="GC578" s="46">
        <v>0</v>
      </c>
      <c r="GD578" s="113"/>
      <c r="GE578" s="113"/>
      <c r="GF578" s="113"/>
      <c r="GG578" s="113"/>
      <c r="GH578" s="113"/>
      <c r="GI578" s="46">
        <v>0</v>
      </c>
      <c r="GJ578" s="113"/>
      <c r="GK578" s="113"/>
      <c r="GL578" s="113"/>
      <c r="GM578" s="113"/>
      <c r="GN578" s="113"/>
      <c r="GO578" s="46">
        <v>0</v>
      </c>
      <c r="GP578" s="113"/>
      <c r="GQ578" s="113"/>
      <c r="GR578" s="113"/>
      <c r="GS578" s="113"/>
      <c r="GT578" s="113"/>
      <c r="GU578" s="46">
        <v>0</v>
      </c>
      <c r="GV578" s="113"/>
      <c r="GW578" s="113"/>
      <c r="GX578" s="113"/>
      <c r="GY578" s="113"/>
      <c r="GZ578" s="113"/>
      <c r="HA578" s="46">
        <v>0</v>
      </c>
      <c r="HB578" s="113"/>
      <c r="HC578" s="113"/>
      <c r="HD578" s="113"/>
      <c r="HE578" s="113"/>
      <c r="HF578" s="113"/>
      <c r="HG578" s="46">
        <v>0</v>
      </c>
      <c r="HH578" s="113"/>
      <c r="HI578" s="113"/>
      <c r="HJ578" s="113"/>
      <c r="HK578" s="113"/>
      <c r="HL578" s="113"/>
      <c r="HM578" s="121"/>
      <c r="HN578" s="121"/>
      <c r="LM578" t="str">
        <v/>
      </c>
      <c r="LN578" t="str">
        <v/>
      </c>
      <c r="LO578" t="str">
        <v/>
      </c>
    </row>
    <row r="579" spans="30:327">
      <c r="AD579" t="s">
        <v>112</v>
      </c>
      <c r="AE579" t="s">
        <v>23094</v>
      </c>
      <c r="AF579" s="46">
        <v>0</v>
      </c>
      <c r="AG579" s="113"/>
      <c r="AH579" s="113"/>
      <c r="AI579" s="113"/>
      <c r="AJ579" s="113"/>
      <c r="AK579" s="113"/>
      <c r="AL579" s="46">
        <v>0</v>
      </c>
      <c r="AM579" s="113"/>
      <c r="AN579" s="113"/>
      <c r="AO579" s="113"/>
      <c r="AP579" s="113"/>
      <c r="AQ579" s="113"/>
      <c r="AR579" s="46">
        <v>0</v>
      </c>
      <c r="AS579" s="113"/>
      <c r="AT579" s="113"/>
      <c r="AU579" s="113"/>
      <c r="AV579" s="113"/>
      <c r="AW579" s="113"/>
      <c r="AX579" s="46">
        <v>0</v>
      </c>
      <c r="AY579" s="113"/>
      <c r="AZ579" s="113"/>
      <c r="BA579" s="113"/>
      <c r="BB579" s="113"/>
      <c r="BC579" s="113"/>
      <c r="BD579" s="46">
        <v>0</v>
      </c>
      <c r="BE579" s="113"/>
      <c r="BF579" s="113"/>
      <c r="BG579" s="113"/>
      <c r="BH579" s="113"/>
      <c r="BI579" s="113"/>
      <c r="BJ579" s="46">
        <v>0</v>
      </c>
      <c r="BK579" s="113"/>
      <c r="BL579" s="113"/>
      <c r="BM579" s="113"/>
      <c r="BN579" s="113"/>
      <c r="BO579" s="113"/>
      <c r="BP579" s="121"/>
      <c r="BQ579" s="121"/>
      <c r="GA579" t="s">
        <v>112</v>
      </c>
      <c r="GB579" t="s">
        <v>23094</v>
      </c>
      <c r="GC579" s="46">
        <v>0</v>
      </c>
      <c r="GD579" s="113"/>
      <c r="GE579" s="113"/>
      <c r="GF579" s="113"/>
      <c r="GG579" s="113"/>
      <c r="GH579" s="113"/>
      <c r="GI579" s="46">
        <v>0</v>
      </c>
      <c r="GJ579" s="113"/>
      <c r="GK579" s="113"/>
      <c r="GL579" s="113"/>
      <c r="GM579" s="113"/>
      <c r="GN579" s="113"/>
      <c r="GO579" s="46">
        <v>0</v>
      </c>
      <c r="GP579" s="113"/>
      <c r="GQ579" s="113"/>
      <c r="GR579" s="113"/>
      <c r="GS579" s="113"/>
      <c r="GT579" s="113"/>
      <c r="GU579" s="46">
        <v>0</v>
      </c>
      <c r="GV579" s="113"/>
      <c r="GW579" s="113"/>
      <c r="GX579" s="113"/>
      <c r="GY579" s="113"/>
      <c r="GZ579" s="113"/>
      <c r="HA579" s="46">
        <v>0</v>
      </c>
      <c r="HB579" s="113"/>
      <c r="HC579" s="113"/>
      <c r="HD579" s="113"/>
      <c r="HE579" s="113"/>
      <c r="HF579" s="113"/>
      <c r="HG579" s="46">
        <v>0</v>
      </c>
      <c r="HH579" s="113"/>
      <c r="HI579" s="113"/>
      <c r="HJ579" s="113"/>
      <c r="HK579" s="113"/>
      <c r="HL579" s="113"/>
      <c r="HM579" s="121"/>
      <c r="HN579" s="121"/>
      <c r="LM579" t="str">
        <v/>
      </c>
      <c r="LN579" t="str">
        <v/>
      </c>
      <c r="LO579" t="str">
        <v/>
      </c>
    </row>
    <row r="580" spans="30:327">
      <c r="AD580" t="s">
        <v>112</v>
      </c>
      <c r="AE580" t="s">
        <v>23095</v>
      </c>
      <c r="AF580" s="46">
        <v>0</v>
      </c>
      <c r="AG580" s="113"/>
      <c r="AH580" s="113"/>
      <c r="AI580" s="113"/>
      <c r="AJ580" s="113"/>
      <c r="AK580" s="113"/>
      <c r="AL580" s="46">
        <v>0</v>
      </c>
      <c r="AM580" s="113"/>
      <c r="AN580" s="113"/>
      <c r="AO580" s="113"/>
      <c r="AP580" s="113"/>
      <c r="AQ580" s="113"/>
      <c r="AR580" s="46">
        <v>0</v>
      </c>
      <c r="AS580" s="113"/>
      <c r="AT580" s="113"/>
      <c r="AU580" s="113"/>
      <c r="AV580" s="113"/>
      <c r="AW580" s="113"/>
      <c r="AX580" s="46">
        <v>0</v>
      </c>
      <c r="AY580" s="113"/>
      <c r="AZ580" s="113"/>
      <c r="BA580" s="113"/>
      <c r="BB580" s="113"/>
      <c r="BC580" s="113"/>
      <c r="BD580" s="46">
        <v>0</v>
      </c>
      <c r="BE580" s="113"/>
      <c r="BF580" s="113"/>
      <c r="BG580" s="113"/>
      <c r="BH580" s="113"/>
      <c r="BI580" s="113"/>
      <c r="BJ580" s="46">
        <v>0</v>
      </c>
      <c r="BK580" s="113"/>
      <c r="BL580" s="113"/>
      <c r="BM580" s="113"/>
      <c r="BN580" s="113"/>
      <c r="BO580" s="113"/>
      <c r="BP580" s="121"/>
      <c r="BQ580" s="121"/>
      <c r="GA580" t="s">
        <v>112</v>
      </c>
      <c r="GB580" t="s">
        <v>23095</v>
      </c>
      <c r="GC580" s="46">
        <v>0</v>
      </c>
      <c r="GD580" s="113"/>
      <c r="GE580" s="113"/>
      <c r="GF580" s="113"/>
      <c r="GG580" s="113"/>
      <c r="GH580" s="113"/>
      <c r="GI580" s="46">
        <v>0</v>
      </c>
      <c r="GJ580" s="113"/>
      <c r="GK580" s="113"/>
      <c r="GL580" s="113"/>
      <c r="GM580" s="113"/>
      <c r="GN580" s="113"/>
      <c r="GO580" s="46">
        <v>0</v>
      </c>
      <c r="GP580" s="113"/>
      <c r="GQ580" s="113"/>
      <c r="GR580" s="113"/>
      <c r="GS580" s="113"/>
      <c r="GT580" s="113"/>
      <c r="GU580" s="46">
        <v>0</v>
      </c>
      <c r="GV580" s="113"/>
      <c r="GW580" s="113"/>
      <c r="GX580" s="113"/>
      <c r="GY580" s="113"/>
      <c r="GZ580" s="113"/>
      <c r="HA580" s="46">
        <v>0</v>
      </c>
      <c r="HB580" s="113"/>
      <c r="HC580" s="113"/>
      <c r="HD580" s="113"/>
      <c r="HE580" s="113"/>
      <c r="HF580" s="113"/>
      <c r="HG580" s="46">
        <v>0</v>
      </c>
      <c r="HH580" s="113"/>
      <c r="HI580" s="113"/>
      <c r="HJ580" s="113"/>
      <c r="HK580" s="113"/>
      <c r="HL580" s="113"/>
      <c r="HM580" s="121"/>
      <c r="HN580" s="121"/>
      <c r="LM580" t="str">
        <v/>
      </c>
      <c r="LN580" t="str">
        <v/>
      </c>
      <c r="LO580" t="str">
        <v/>
      </c>
    </row>
    <row r="581" spans="30:327">
      <c r="AD581" t="s">
        <v>112</v>
      </c>
      <c r="AE581" t="s">
        <v>23096</v>
      </c>
      <c r="AF581" s="46">
        <v>0</v>
      </c>
      <c r="AG581" s="113"/>
      <c r="AH581" s="113"/>
      <c r="AI581" s="113"/>
      <c r="AJ581" s="113"/>
      <c r="AK581" s="113"/>
      <c r="AL581" s="46">
        <v>0</v>
      </c>
      <c r="AM581" s="113"/>
      <c r="AN581" s="113"/>
      <c r="AO581" s="113"/>
      <c r="AP581" s="113"/>
      <c r="AQ581" s="113"/>
      <c r="AR581" s="46">
        <v>0</v>
      </c>
      <c r="AS581" s="113"/>
      <c r="AT581" s="113"/>
      <c r="AU581" s="113"/>
      <c r="AV581" s="113"/>
      <c r="AW581" s="113"/>
      <c r="AX581" s="46">
        <v>0</v>
      </c>
      <c r="AY581" s="113"/>
      <c r="AZ581" s="113"/>
      <c r="BA581" s="113"/>
      <c r="BB581" s="113"/>
      <c r="BC581" s="113"/>
      <c r="BD581" s="46">
        <v>0</v>
      </c>
      <c r="BE581" s="113"/>
      <c r="BF581" s="113"/>
      <c r="BG581" s="113"/>
      <c r="BH581" s="113"/>
      <c r="BI581" s="113"/>
      <c r="BJ581" s="46">
        <v>0</v>
      </c>
      <c r="BK581" s="113"/>
      <c r="BL581" s="113"/>
      <c r="BM581" s="113"/>
      <c r="BN581" s="113"/>
      <c r="BO581" s="113"/>
      <c r="BP581" s="121"/>
      <c r="BQ581" s="121"/>
      <c r="GA581" t="s">
        <v>112</v>
      </c>
      <c r="GB581" t="s">
        <v>23096</v>
      </c>
      <c r="GC581" s="46">
        <v>0</v>
      </c>
      <c r="GD581" s="113"/>
      <c r="GE581" s="113"/>
      <c r="GF581" s="113"/>
      <c r="GG581" s="113"/>
      <c r="GH581" s="113"/>
      <c r="GI581" s="46">
        <v>0</v>
      </c>
      <c r="GJ581" s="113"/>
      <c r="GK581" s="113"/>
      <c r="GL581" s="113"/>
      <c r="GM581" s="113"/>
      <c r="GN581" s="113"/>
      <c r="GO581" s="46">
        <v>0</v>
      </c>
      <c r="GP581" s="113"/>
      <c r="GQ581" s="113"/>
      <c r="GR581" s="113"/>
      <c r="GS581" s="113"/>
      <c r="GT581" s="113"/>
      <c r="GU581" s="46">
        <v>0</v>
      </c>
      <c r="GV581" s="113"/>
      <c r="GW581" s="113"/>
      <c r="GX581" s="113"/>
      <c r="GY581" s="113"/>
      <c r="GZ581" s="113"/>
      <c r="HA581" s="46">
        <v>0</v>
      </c>
      <c r="HB581" s="113"/>
      <c r="HC581" s="113"/>
      <c r="HD581" s="113"/>
      <c r="HE581" s="113"/>
      <c r="HF581" s="113"/>
      <c r="HG581" s="46">
        <v>0</v>
      </c>
      <c r="HH581" s="113"/>
      <c r="HI581" s="113"/>
      <c r="HJ581" s="113"/>
      <c r="HK581" s="113"/>
      <c r="HL581" s="113"/>
      <c r="HM581" s="121"/>
      <c r="HN581" s="121"/>
      <c r="LM581" t="str">
        <v/>
      </c>
      <c r="LN581" t="str">
        <v/>
      </c>
      <c r="LO581" t="str">
        <v/>
      </c>
    </row>
    <row r="582" spans="30:327">
      <c r="AD582" t="s">
        <v>112</v>
      </c>
      <c r="AE582" t="s">
        <v>23097</v>
      </c>
      <c r="AF582" s="46">
        <v>0</v>
      </c>
      <c r="AG582" s="113"/>
      <c r="AH582" s="113"/>
      <c r="AI582" s="113"/>
      <c r="AJ582" s="113"/>
      <c r="AK582" s="113"/>
      <c r="AL582" s="46">
        <v>0</v>
      </c>
      <c r="AM582" s="113"/>
      <c r="AN582" s="113"/>
      <c r="AO582" s="113"/>
      <c r="AP582" s="113"/>
      <c r="AQ582" s="113"/>
      <c r="AR582" s="46">
        <v>0</v>
      </c>
      <c r="AS582" s="113"/>
      <c r="AT582" s="113"/>
      <c r="AU582" s="113"/>
      <c r="AV582" s="113"/>
      <c r="AW582" s="113"/>
      <c r="AX582" s="46">
        <v>0</v>
      </c>
      <c r="AY582" s="113"/>
      <c r="AZ582" s="113"/>
      <c r="BA582" s="113"/>
      <c r="BB582" s="113"/>
      <c r="BC582" s="113"/>
      <c r="BD582" s="46">
        <v>0</v>
      </c>
      <c r="BE582" s="113"/>
      <c r="BF582" s="113"/>
      <c r="BG582" s="113"/>
      <c r="BH582" s="113"/>
      <c r="BI582" s="113"/>
      <c r="BJ582" s="46">
        <v>0</v>
      </c>
      <c r="BK582" s="113"/>
      <c r="BL582" s="113"/>
      <c r="BM582" s="113"/>
      <c r="BN582" s="113"/>
      <c r="BO582" s="113"/>
      <c r="BP582" s="121"/>
      <c r="BQ582" s="121"/>
      <c r="GA582" t="s">
        <v>112</v>
      </c>
      <c r="GB582" t="s">
        <v>23097</v>
      </c>
      <c r="GC582" s="46">
        <v>0</v>
      </c>
      <c r="GD582" s="113"/>
      <c r="GE582" s="113"/>
      <c r="GF582" s="113"/>
      <c r="GG582" s="113"/>
      <c r="GH582" s="113"/>
      <c r="GI582" s="46">
        <v>0</v>
      </c>
      <c r="GJ582" s="113"/>
      <c r="GK582" s="113"/>
      <c r="GL582" s="113"/>
      <c r="GM582" s="113"/>
      <c r="GN582" s="113"/>
      <c r="GO582" s="46">
        <v>0</v>
      </c>
      <c r="GP582" s="113"/>
      <c r="GQ582" s="113"/>
      <c r="GR582" s="113"/>
      <c r="GS582" s="113"/>
      <c r="GT582" s="113"/>
      <c r="GU582" s="46">
        <v>0</v>
      </c>
      <c r="GV582" s="113"/>
      <c r="GW582" s="113"/>
      <c r="GX582" s="113"/>
      <c r="GY582" s="113"/>
      <c r="GZ582" s="113"/>
      <c r="HA582" s="46">
        <v>0</v>
      </c>
      <c r="HB582" s="113"/>
      <c r="HC582" s="113"/>
      <c r="HD582" s="113"/>
      <c r="HE582" s="113"/>
      <c r="HF582" s="113"/>
      <c r="HG582" s="46">
        <v>0</v>
      </c>
      <c r="HH582" s="113"/>
      <c r="HI582" s="113"/>
      <c r="HJ582" s="113"/>
      <c r="HK582" s="113"/>
      <c r="HL582" s="113"/>
      <c r="HM582" s="121"/>
      <c r="HN582" s="121"/>
      <c r="LM582" t="str">
        <v/>
      </c>
      <c r="LN582" t="str">
        <v/>
      </c>
      <c r="LO582" t="str">
        <v/>
      </c>
    </row>
    <row r="583" spans="30:327">
      <c r="AD583" t="s">
        <v>112</v>
      </c>
      <c r="AE583" t="s">
        <v>23098</v>
      </c>
      <c r="AF583" s="46">
        <v>0</v>
      </c>
      <c r="AG583" s="113"/>
      <c r="AH583" s="113"/>
      <c r="AI583" s="113"/>
      <c r="AJ583" s="113"/>
      <c r="AK583" s="113"/>
      <c r="AL583" s="46">
        <v>0</v>
      </c>
      <c r="AM583" s="113"/>
      <c r="AN583" s="113"/>
      <c r="AO583" s="113"/>
      <c r="AP583" s="113"/>
      <c r="AQ583" s="113"/>
      <c r="AR583" s="46">
        <v>0</v>
      </c>
      <c r="AS583" s="113"/>
      <c r="AT583" s="113"/>
      <c r="AU583" s="113"/>
      <c r="AV583" s="113"/>
      <c r="AW583" s="113"/>
      <c r="AX583" s="46">
        <v>0</v>
      </c>
      <c r="AY583" s="113"/>
      <c r="AZ583" s="113"/>
      <c r="BA583" s="113"/>
      <c r="BB583" s="113"/>
      <c r="BC583" s="113"/>
      <c r="BD583" s="46">
        <v>0</v>
      </c>
      <c r="BE583" s="113"/>
      <c r="BF583" s="113"/>
      <c r="BG583" s="113"/>
      <c r="BH583" s="113"/>
      <c r="BI583" s="113"/>
      <c r="BJ583" s="46">
        <v>0</v>
      </c>
      <c r="BK583" s="113"/>
      <c r="BL583" s="113"/>
      <c r="BM583" s="113"/>
      <c r="BN583" s="113"/>
      <c r="BO583" s="113"/>
      <c r="BP583" s="121"/>
      <c r="BQ583" s="121"/>
      <c r="GA583" t="s">
        <v>112</v>
      </c>
      <c r="GB583" t="s">
        <v>23098</v>
      </c>
      <c r="GC583" s="46">
        <v>0</v>
      </c>
      <c r="GD583" s="113"/>
      <c r="GE583" s="113"/>
      <c r="GF583" s="113"/>
      <c r="GG583" s="113"/>
      <c r="GH583" s="113"/>
      <c r="GI583" s="46">
        <v>0</v>
      </c>
      <c r="GJ583" s="113"/>
      <c r="GK583" s="113"/>
      <c r="GL583" s="113"/>
      <c r="GM583" s="113"/>
      <c r="GN583" s="113"/>
      <c r="GO583" s="46">
        <v>0</v>
      </c>
      <c r="GP583" s="113"/>
      <c r="GQ583" s="113"/>
      <c r="GR583" s="113"/>
      <c r="GS583" s="113"/>
      <c r="GT583" s="113"/>
      <c r="GU583" s="46">
        <v>0</v>
      </c>
      <c r="GV583" s="113"/>
      <c r="GW583" s="113"/>
      <c r="GX583" s="113"/>
      <c r="GY583" s="113"/>
      <c r="GZ583" s="113"/>
      <c r="HA583" s="46">
        <v>0</v>
      </c>
      <c r="HB583" s="113"/>
      <c r="HC583" s="113"/>
      <c r="HD583" s="113"/>
      <c r="HE583" s="113"/>
      <c r="HF583" s="113"/>
      <c r="HG583" s="46">
        <v>0</v>
      </c>
      <c r="HH583" s="113"/>
      <c r="HI583" s="113"/>
      <c r="HJ583" s="113"/>
      <c r="HK583" s="113"/>
      <c r="HL583" s="113"/>
      <c r="HM583" s="121"/>
      <c r="HN583" s="121"/>
      <c r="LM583" t="str">
        <v/>
      </c>
      <c r="LN583" t="str">
        <v/>
      </c>
      <c r="LO583" t="str">
        <v/>
      </c>
    </row>
    <row r="584" spans="30:327">
      <c r="AD584" t="s">
        <v>112</v>
      </c>
      <c r="AE584" t="s">
        <v>23099</v>
      </c>
      <c r="AF584" s="46">
        <v>0</v>
      </c>
      <c r="AG584" s="113"/>
      <c r="AH584" s="113"/>
      <c r="AI584" s="113"/>
      <c r="AJ584" s="113"/>
      <c r="AK584" s="113"/>
      <c r="AL584" s="46">
        <v>0</v>
      </c>
      <c r="AM584" s="113"/>
      <c r="AN584" s="113"/>
      <c r="AO584" s="113"/>
      <c r="AP584" s="113"/>
      <c r="AQ584" s="113"/>
      <c r="AR584" s="46">
        <v>0</v>
      </c>
      <c r="AS584" s="113"/>
      <c r="AT584" s="113"/>
      <c r="AU584" s="113"/>
      <c r="AV584" s="113"/>
      <c r="AW584" s="113"/>
      <c r="AX584" s="46">
        <v>0</v>
      </c>
      <c r="AY584" s="113"/>
      <c r="AZ584" s="113"/>
      <c r="BA584" s="113"/>
      <c r="BB584" s="113"/>
      <c r="BC584" s="113"/>
      <c r="BD584" s="46">
        <v>0</v>
      </c>
      <c r="BE584" s="113"/>
      <c r="BF584" s="113"/>
      <c r="BG584" s="113"/>
      <c r="BH584" s="113"/>
      <c r="BI584" s="113"/>
      <c r="BJ584" s="46">
        <v>0</v>
      </c>
      <c r="BK584" s="113"/>
      <c r="BL584" s="113"/>
      <c r="BM584" s="113"/>
      <c r="BN584" s="113"/>
      <c r="BO584" s="113"/>
      <c r="BP584" s="121"/>
      <c r="BQ584" s="121"/>
      <c r="GA584" t="s">
        <v>112</v>
      </c>
      <c r="GB584" t="s">
        <v>23099</v>
      </c>
      <c r="GC584" s="46">
        <v>0</v>
      </c>
      <c r="GD584" s="113"/>
      <c r="GE584" s="113"/>
      <c r="GF584" s="113"/>
      <c r="GG584" s="113"/>
      <c r="GH584" s="113"/>
      <c r="GI584" s="46">
        <v>0</v>
      </c>
      <c r="GJ584" s="113"/>
      <c r="GK584" s="113"/>
      <c r="GL584" s="113"/>
      <c r="GM584" s="113"/>
      <c r="GN584" s="113"/>
      <c r="GO584" s="46">
        <v>0</v>
      </c>
      <c r="GP584" s="113"/>
      <c r="GQ584" s="113"/>
      <c r="GR584" s="113"/>
      <c r="GS584" s="113"/>
      <c r="GT584" s="113"/>
      <c r="GU584" s="46">
        <v>0</v>
      </c>
      <c r="GV584" s="113"/>
      <c r="GW584" s="113"/>
      <c r="GX584" s="113"/>
      <c r="GY584" s="113"/>
      <c r="GZ584" s="113"/>
      <c r="HA584" s="46">
        <v>0</v>
      </c>
      <c r="HB584" s="113"/>
      <c r="HC584" s="113"/>
      <c r="HD584" s="113"/>
      <c r="HE584" s="113"/>
      <c r="HF584" s="113"/>
      <c r="HG584" s="46">
        <v>0</v>
      </c>
      <c r="HH584" s="113"/>
      <c r="HI584" s="113"/>
      <c r="HJ584" s="113"/>
      <c r="HK584" s="113"/>
      <c r="HL584" s="113"/>
      <c r="HM584" s="121"/>
      <c r="HN584" s="121"/>
      <c r="LM584" t="str">
        <v/>
      </c>
      <c r="LN584" t="str">
        <v/>
      </c>
      <c r="LO584" t="str">
        <v/>
      </c>
    </row>
    <row r="585" spans="30:327">
      <c r="AD585" t="s">
        <v>112</v>
      </c>
      <c r="AE585" t="s">
        <v>23100</v>
      </c>
      <c r="AF585" s="46">
        <v>0</v>
      </c>
      <c r="AG585" s="113"/>
      <c r="AH585" s="113"/>
      <c r="AI585" s="113"/>
      <c r="AJ585" s="113"/>
      <c r="AK585" s="113"/>
      <c r="AL585" s="46">
        <v>0</v>
      </c>
      <c r="AM585" s="113"/>
      <c r="AN585" s="113"/>
      <c r="AO585" s="113"/>
      <c r="AP585" s="113"/>
      <c r="AQ585" s="113"/>
      <c r="AR585" s="46">
        <v>0</v>
      </c>
      <c r="AS585" s="113"/>
      <c r="AT585" s="113"/>
      <c r="AU585" s="113"/>
      <c r="AV585" s="113"/>
      <c r="AW585" s="113"/>
      <c r="AX585" s="46">
        <v>0</v>
      </c>
      <c r="AY585" s="113"/>
      <c r="AZ585" s="113"/>
      <c r="BA585" s="113"/>
      <c r="BB585" s="113"/>
      <c r="BC585" s="113"/>
      <c r="BD585" s="46">
        <v>0</v>
      </c>
      <c r="BE585" s="113"/>
      <c r="BF585" s="113"/>
      <c r="BG585" s="113"/>
      <c r="BH585" s="113"/>
      <c r="BI585" s="113"/>
      <c r="BJ585" s="46">
        <v>0</v>
      </c>
      <c r="BK585" s="113"/>
      <c r="BL585" s="113"/>
      <c r="BM585" s="113"/>
      <c r="BN585" s="113"/>
      <c r="BO585" s="113"/>
      <c r="BP585" s="121"/>
      <c r="BQ585" s="121"/>
      <c r="GA585" t="s">
        <v>112</v>
      </c>
      <c r="GB585" t="s">
        <v>23100</v>
      </c>
      <c r="GC585" s="46">
        <v>0</v>
      </c>
      <c r="GD585" s="113"/>
      <c r="GE585" s="113"/>
      <c r="GF585" s="113"/>
      <c r="GG585" s="113"/>
      <c r="GH585" s="113"/>
      <c r="GI585" s="46">
        <v>0</v>
      </c>
      <c r="GJ585" s="113"/>
      <c r="GK585" s="113"/>
      <c r="GL585" s="113"/>
      <c r="GM585" s="113"/>
      <c r="GN585" s="113"/>
      <c r="GO585" s="46">
        <v>0</v>
      </c>
      <c r="GP585" s="113"/>
      <c r="GQ585" s="113"/>
      <c r="GR585" s="113"/>
      <c r="GS585" s="113"/>
      <c r="GT585" s="113"/>
      <c r="GU585" s="46">
        <v>0</v>
      </c>
      <c r="GV585" s="113"/>
      <c r="GW585" s="113"/>
      <c r="GX585" s="113"/>
      <c r="GY585" s="113"/>
      <c r="GZ585" s="113"/>
      <c r="HA585" s="46">
        <v>0</v>
      </c>
      <c r="HB585" s="113"/>
      <c r="HC585" s="113"/>
      <c r="HD585" s="113"/>
      <c r="HE585" s="113"/>
      <c r="HF585" s="113"/>
      <c r="HG585" s="46">
        <v>0</v>
      </c>
      <c r="HH585" s="113"/>
      <c r="HI585" s="113"/>
      <c r="HJ585" s="113"/>
      <c r="HK585" s="113"/>
      <c r="HL585" s="113"/>
      <c r="HM585" s="121"/>
      <c r="HN585" s="121"/>
      <c r="LM585" t="str">
        <v/>
      </c>
      <c r="LN585" t="str">
        <v/>
      </c>
      <c r="LO585" t="str">
        <v/>
      </c>
    </row>
    <row r="586" spans="30:327">
      <c r="AD586" t="s">
        <v>112</v>
      </c>
      <c r="AE586" t="s">
        <v>23101</v>
      </c>
      <c r="AF586" s="46">
        <v>0</v>
      </c>
      <c r="AG586" s="113"/>
      <c r="AH586" s="113"/>
      <c r="AI586" s="113"/>
      <c r="AJ586" s="113"/>
      <c r="AK586" s="113"/>
      <c r="AL586" s="46">
        <v>0</v>
      </c>
      <c r="AM586" s="113"/>
      <c r="AN586" s="113"/>
      <c r="AO586" s="113"/>
      <c r="AP586" s="113"/>
      <c r="AQ586" s="113"/>
      <c r="AR586" s="46">
        <v>0</v>
      </c>
      <c r="AS586" s="113"/>
      <c r="AT586" s="113"/>
      <c r="AU586" s="113"/>
      <c r="AV586" s="113"/>
      <c r="AW586" s="113"/>
      <c r="AX586" s="46">
        <v>0</v>
      </c>
      <c r="AY586" s="113"/>
      <c r="AZ586" s="113"/>
      <c r="BA586" s="113"/>
      <c r="BB586" s="113"/>
      <c r="BC586" s="113"/>
      <c r="BD586" s="46">
        <v>0</v>
      </c>
      <c r="BE586" s="113"/>
      <c r="BF586" s="113"/>
      <c r="BG586" s="113"/>
      <c r="BH586" s="113"/>
      <c r="BI586" s="113"/>
      <c r="BJ586" s="46">
        <v>0</v>
      </c>
      <c r="BK586" s="113"/>
      <c r="BL586" s="113"/>
      <c r="BM586" s="113"/>
      <c r="BN586" s="113"/>
      <c r="BO586" s="113"/>
      <c r="BP586" s="121"/>
      <c r="BQ586" s="121"/>
      <c r="GA586" t="s">
        <v>112</v>
      </c>
      <c r="GB586" t="s">
        <v>23101</v>
      </c>
      <c r="GC586" s="46">
        <v>0</v>
      </c>
      <c r="GD586" s="113"/>
      <c r="GE586" s="113"/>
      <c r="GF586" s="113"/>
      <c r="GG586" s="113"/>
      <c r="GH586" s="113"/>
      <c r="GI586" s="46">
        <v>0</v>
      </c>
      <c r="GJ586" s="113"/>
      <c r="GK586" s="113"/>
      <c r="GL586" s="113"/>
      <c r="GM586" s="113"/>
      <c r="GN586" s="113"/>
      <c r="GO586" s="46">
        <v>0</v>
      </c>
      <c r="GP586" s="113"/>
      <c r="GQ586" s="113"/>
      <c r="GR586" s="113"/>
      <c r="GS586" s="113"/>
      <c r="GT586" s="113"/>
      <c r="GU586" s="46">
        <v>0</v>
      </c>
      <c r="GV586" s="113"/>
      <c r="GW586" s="113"/>
      <c r="GX586" s="113"/>
      <c r="GY586" s="113"/>
      <c r="GZ586" s="113"/>
      <c r="HA586" s="46">
        <v>0</v>
      </c>
      <c r="HB586" s="113"/>
      <c r="HC586" s="113"/>
      <c r="HD586" s="113"/>
      <c r="HE586" s="113"/>
      <c r="HF586" s="113"/>
      <c r="HG586" s="46">
        <v>0</v>
      </c>
      <c r="HH586" s="113"/>
      <c r="HI586" s="113"/>
      <c r="HJ586" s="113"/>
      <c r="HK586" s="113"/>
      <c r="HL586" s="113"/>
      <c r="HM586" s="121"/>
      <c r="HN586" s="121"/>
      <c r="LM586" t="str">
        <v/>
      </c>
      <c r="LN586" t="str">
        <v/>
      </c>
      <c r="LO586" t="str">
        <v/>
      </c>
    </row>
    <row r="587" spans="30:327">
      <c r="AD587" t="s">
        <v>112</v>
      </c>
      <c r="AE587" t="s">
        <v>23102</v>
      </c>
      <c r="AF587" s="46">
        <v>0</v>
      </c>
      <c r="AG587" s="113"/>
      <c r="AH587" s="113"/>
      <c r="AI587" s="113"/>
      <c r="AJ587" s="113"/>
      <c r="AK587" s="113"/>
      <c r="AL587" s="46">
        <v>0</v>
      </c>
      <c r="AM587" s="113"/>
      <c r="AN587" s="113"/>
      <c r="AO587" s="113"/>
      <c r="AP587" s="113"/>
      <c r="AQ587" s="113"/>
      <c r="AR587" s="46">
        <v>0</v>
      </c>
      <c r="AS587" s="113"/>
      <c r="AT587" s="113"/>
      <c r="AU587" s="113"/>
      <c r="AV587" s="113"/>
      <c r="AW587" s="113"/>
      <c r="AX587" s="46">
        <v>0</v>
      </c>
      <c r="AY587" s="113"/>
      <c r="AZ587" s="113"/>
      <c r="BA587" s="113"/>
      <c r="BB587" s="113"/>
      <c r="BC587" s="113"/>
      <c r="BD587" s="46">
        <v>0</v>
      </c>
      <c r="BE587" s="113"/>
      <c r="BF587" s="113"/>
      <c r="BG587" s="113"/>
      <c r="BH587" s="113"/>
      <c r="BI587" s="113"/>
      <c r="BJ587" s="46">
        <v>0</v>
      </c>
      <c r="BK587" s="113"/>
      <c r="BL587" s="113"/>
      <c r="BM587" s="113"/>
      <c r="BN587" s="113"/>
      <c r="BO587" s="113"/>
      <c r="BP587" s="121"/>
      <c r="BQ587" s="121"/>
      <c r="GA587" t="s">
        <v>112</v>
      </c>
      <c r="GB587" t="s">
        <v>23102</v>
      </c>
      <c r="GC587" s="46">
        <v>0</v>
      </c>
      <c r="GD587" s="113"/>
      <c r="GE587" s="113"/>
      <c r="GF587" s="113"/>
      <c r="GG587" s="113"/>
      <c r="GH587" s="113"/>
      <c r="GI587" s="46">
        <v>0</v>
      </c>
      <c r="GJ587" s="113"/>
      <c r="GK587" s="113"/>
      <c r="GL587" s="113"/>
      <c r="GM587" s="113"/>
      <c r="GN587" s="113"/>
      <c r="GO587" s="46">
        <v>0</v>
      </c>
      <c r="GP587" s="113"/>
      <c r="GQ587" s="113"/>
      <c r="GR587" s="113"/>
      <c r="GS587" s="113"/>
      <c r="GT587" s="113"/>
      <c r="GU587" s="46">
        <v>0</v>
      </c>
      <c r="GV587" s="113"/>
      <c r="GW587" s="113"/>
      <c r="GX587" s="113"/>
      <c r="GY587" s="113"/>
      <c r="GZ587" s="113"/>
      <c r="HA587" s="46">
        <v>0</v>
      </c>
      <c r="HB587" s="113"/>
      <c r="HC587" s="113"/>
      <c r="HD587" s="113"/>
      <c r="HE587" s="113"/>
      <c r="HF587" s="113"/>
      <c r="HG587" s="46">
        <v>0</v>
      </c>
      <c r="HH587" s="113"/>
      <c r="HI587" s="113"/>
      <c r="HJ587" s="113"/>
      <c r="HK587" s="113"/>
      <c r="HL587" s="113"/>
      <c r="HM587" s="121"/>
      <c r="HN587" s="121"/>
      <c r="LM587" t="str">
        <v/>
      </c>
      <c r="LN587" t="str">
        <v/>
      </c>
      <c r="LO587" t="str">
        <v/>
      </c>
    </row>
    <row r="588" spans="30:327">
      <c r="AD588" t="s">
        <v>112</v>
      </c>
      <c r="AE588" t="s">
        <v>23103</v>
      </c>
      <c r="AF588" s="46">
        <v>0</v>
      </c>
      <c r="AG588" s="113"/>
      <c r="AH588" s="113"/>
      <c r="AI588" s="113"/>
      <c r="AJ588" s="113"/>
      <c r="AK588" s="113"/>
      <c r="AL588" s="46">
        <v>0</v>
      </c>
      <c r="AM588" s="113"/>
      <c r="AN588" s="113"/>
      <c r="AO588" s="113"/>
      <c r="AP588" s="113"/>
      <c r="AQ588" s="113"/>
      <c r="AR588" s="46">
        <v>0</v>
      </c>
      <c r="AS588" s="113"/>
      <c r="AT588" s="113"/>
      <c r="AU588" s="113"/>
      <c r="AV588" s="113"/>
      <c r="AW588" s="113"/>
      <c r="AX588" s="46">
        <v>0</v>
      </c>
      <c r="AY588" s="113"/>
      <c r="AZ588" s="113"/>
      <c r="BA588" s="113"/>
      <c r="BB588" s="113"/>
      <c r="BC588" s="113"/>
      <c r="BD588" s="46">
        <v>0</v>
      </c>
      <c r="BE588" s="113"/>
      <c r="BF588" s="113"/>
      <c r="BG588" s="113"/>
      <c r="BH588" s="113"/>
      <c r="BI588" s="113"/>
      <c r="BJ588" s="46">
        <v>0</v>
      </c>
      <c r="BK588" s="113"/>
      <c r="BL588" s="113"/>
      <c r="BM588" s="113"/>
      <c r="BN588" s="113"/>
      <c r="BO588" s="113"/>
      <c r="BP588" s="121"/>
      <c r="BQ588" s="121"/>
      <c r="GA588" t="s">
        <v>112</v>
      </c>
      <c r="GB588" t="s">
        <v>23103</v>
      </c>
      <c r="GC588" s="46">
        <v>0</v>
      </c>
      <c r="GD588" s="113"/>
      <c r="GE588" s="113"/>
      <c r="GF588" s="113"/>
      <c r="GG588" s="113"/>
      <c r="GH588" s="113"/>
      <c r="GI588" s="46">
        <v>0</v>
      </c>
      <c r="GJ588" s="113"/>
      <c r="GK588" s="113"/>
      <c r="GL588" s="113"/>
      <c r="GM588" s="113"/>
      <c r="GN588" s="113"/>
      <c r="GO588" s="46">
        <v>0</v>
      </c>
      <c r="GP588" s="113"/>
      <c r="GQ588" s="113"/>
      <c r="GR588" s="113"/>
      <c r="GS588" s="113"/>
      <c r="GT588" s="113"/>
      <c r="GU588" s="46">
        <v>0</v>
      </c>
      <c r="GV588" s="113"/>
      <c r="GW588" s="113"/>
      <c r="GX588" s="113"/>
      <c r="GY588" s="113"/>
      <c r="GZ588" s="113"/>
      <c r="HA588" s="46">
        <v>0</v>
      </c>
      <c r="HB588" s="113"/>
      <c r="HC588" s="113"/>
      <c r="HD588" s="113"/>
      <c r="HE588" s="113"/>
      <c r="HF588" s="113"/>
      <c r="HG588" s="46">
        <v>0</v>
      </c>
      <c r="HH588" s="113"/>
      <c r="HI588" s="113"/>
      <c r="HJ588" s="113"/>
      <c r="HK588" s="113"/>
      <c r="HL588" s="113"/>
      <c r="HM588" s="121"/>
      <c r="HN588" s="121"/>
      <c r="LM588" t="str">
        <v/>
      </c>
      <c r="LN588" t="str">
        <v/>
      </c>
      <c r="LO588" t="str">
        <v/>
      </c>
    </row>
    <row r="589" spans="30:327">
      <c r="AD589" t="s">
        <v>112</v>
      </c>
      <c r="AE589" t="s">
        <v>23104</v>
      </c>
      <c r="AF589" s="46">
        <v>0</v>
      </c>
      <c r="AG589" s="113"/>
      <c r="AH589" s="113"/>
      <c r="AI589" s="113"/>
      <c r="AJ589" s="113"/>
      <c r="AK589" s="113"/>
      <c r="AL589" s="46">
        <v>0</v>
      </c>
      <c r="AM589" s="113"/>
      <c r="AN589" s="113"/>
      <c r="AO589" s="113"/>
      <c r="AP589" s="113"/>
      <c r="AQ589" s="113"/>
      <c r="AR589" s="46">
        <v>0</v>
      </c>
      <c r="AS589" s="113"/>
      <c r="AT589" s="113"/>
      <c r="AU589" s="113"/>
      <c r="AV589" s="113"/>
      <c r="AW589" s="113"/>
      <c r="AX589" s="46">
        <v>0</v>
      </c>
      <c r="AY589" s="113"/>
      <c r="AZ589" s="113"/>
      <c r="BA589" s="113"/>
      <c r="BB589" s="113"/>
      <c r="BC589" s="113"/>
      <c r="BD589" s="46">
        <v>0</v>
      </c>
      <c r="BE589" s="113"/>
      <c r="BF589" s="113"/>
      <c r="BG589" s="113"/>
      <c r="BH589" s="113"/>
      <c r="BI589" s="113"/>
      <c r="BJ589" s="46">
        <v>0</v>
      </c>
      <c r="BK589" s="113"/>
      <c r="BL589" s="113"/>
      <c r="BM589" s="113"/>
      <c r="BN589" s="113"/>
      <c r="BO589" s="113"/>
      <c r="BP589" s="121"/>
      <c r="BQ589" s="121"/>
      <c r="GA589" t="s">
        <v>112</v>
      </c>
      <c r="GB589" t="s">
        <v>23104</v>
      </c>
      <c r="GC589" s="46">
        <v>0</v>
      </c>
      <c r="GD589" s="113"/>
      <c r="GE589" s="113"/>
      <c r="GF589" s="113"/>
      <c r="GG589" s="113"/>
      <c r="GH589" s="113"/>
      <c r="GI589" s="46">
        <v>0</v>
      </c>
      <c r="GJ589" s="113"/>
      <c r="GK589" s="113"/>
      <c r="GL589" s="113"/>
      <c r="GM589" s="113"/>
      <c r="GN589" s="113"/>
      <c r="GO589" s="46">
        <v>0</v>
      </c>
      <c r="GP589" s="113"/>
      <c r="GQ589" s="113"/>
      <c r="GR589" s="113"/>
      <c r="GS589" s="113"/>
      <c r="GT589" s="113"/>
      <c r="GU589" s="46">
        <v>0</v>
      </c>
      <c r="GV589" s="113"/>
      <c r="GW589" s="113"/>
      <c r="GX589" s="113"/>
      <c r="GY589" s="113"/>
      <c r="GZ589" s="113"/>
      <c r="HA589" s="46">
        <v>0</v>
      </c>
      <c r="HB589" s="113"/>
      <c r="HC589" s="113"/>
      <c r="HD589" s="113"/>
      <c r="HE589" s="113"/>
      <c r="HF589" s="113"/>
      <c r="HG589" s="46">
        <v>0</v>
      </c>
      <c r="HH589" s="113"/>
      <c r="HI589" s="113"/>
      <c r="HJ589" s="113"/>
      <c r="HK589" s="113"/>
      <c r="HL589" s="113"/>
      <c r="HM589" s="121"/>
      <c r="HN589" s="121"/>
      <c r="LM589" t="str">
        <v/>
      </c>
      <c r="LN589" t="str">
        <v/>
      </c>
      <c r="LO589" t="str">
        <v/>
      </c>
    </row>
    <row r="590" spans="30:327">
      <c r="AD590" t="s">
        <v>112</v>
      </c>
      <c r="AE590" t="s">
        <v>23105</v>
      </c>
      <c r="AF590" s="46">
        <v>0</v>
      </c>
      <c r="AG590" s="113"/>
      <c r="AH590" s="113"/>
      <c r="AI590" s="113"/>
      <c r="AJ590" s="113"/>
      <c r="AK590" s="113"/>
      <c r="AL590" s="46">
        <v>0</v>
      </c>
      <c r="AM590" s="113"/>
      <c r="AN590" s="113"/>
      <c r="AO590" s="113"/>
      <c r="AP590" s="113"/>
      <c r="AQ590" s="113"/>
      <c r="AR590" s="46">
        <v>0</v>
      </c>
      <c r="AS590" s="113"/>
      <c r="AT590" s="113"/>
      <c r="AU590" s="113"/>
      <c r="AV590" s="113"/>
      <c r="AW590" s="113"/>
      <c r="AX590" s="46">
        <v>0</v>
      </c>
      <c r="AY590" s="113"/>
      <c r="AZ590" s="113"/>
      <c r="BA590" s="113"/>
      <c r="BB590" s="113"/>
      <c r="BC590" s="113"/>
      <c r="BD590" s="46">
        <v>0</v>
      </c>
      <c r="BE590" s="113"/>
      <c r="BF590" s="113"/>
      <c r="BG590" s="113"/>
      <c r="BH590" s="113"/>
      <c r="BI590" s="113"/>
      <c r="BJ590" s="46">
        <v>0</v>
      </c>
      <c r="BK590" s="113"/>
      <c r="BL590" s="113"/>
      <c r="BM590" s="113"/>
      <c r="BN590" s="113"/>
      <c r="BO590" s="113"/>
      <c r="BP590" s="121"/>
      <c r="BQ590" s="121"/>
      <c r="GA590" t="s">
        <v>112</v>
      </c>
      <c r="GB590" t="s">
        <v>23105</v>
      </c>
      <c r="GC590" s="46">
        <v>0</v>
      </c>
      <c r="GD590" s="113"/>
      <c r="GE590" s="113"/>
      <c r="GF590" s="113"/>
      <c r="GG590" s="113"/>
      <c r="GH590" s="113"/>
      <c r="GI590" s="46">
        <v>0</v>
      </c>
      <c r="GJ590" s="113"/>
      <c r="GK590" s="113"/>
      <c r="GL590" s="113"/>
      <c r="GM590" s="113"/>
      <c r="GN590" s="113"/>
      <c r="GO590" s="46">
        <v>0</v>
      </c>
      <c r="GP590" s="113"/>
      <c r="GQ590" s="113"/>
      <c r="GR590" s="113"/>
      <c r="GS590" s="113"/>
      <c r="GT590" s="113"/>
      <c r="GU590" s="46">
        <v>0</v>
      </c>
      <c r="GV590" s="113"/>
      <c r="GW590" s="113"/>
      <c r="GX590" s="113"/>
      <c r="GY590" s="113"/>
      <c r="GZ590" s="113"/>
      <c r="HA590" s="46">
        <v>0</v>
      </c>
      <c r="HB590" s="113"/>
      <c r="HC590" s="113"/>
      <c r="HD590" s="113"/>
      <c r="HE590" s="113"/>
      <c r="HF590" s="113"/>
      <c r="HG590" s="46">
        <v>0</v>
      </c>
      <c r="HH590" s="113"/>
      <c r="HI590" s="113"/>
      <c r="HJ590" s="113"/>
      <c r="HK590" s="113"/>
      <c r="HL590" s="113"/>
      <c r="HM590" s="121"/>
      <c r="HN590" s="121"/>
      <c r="LM590" t="str">
        <v/>
      </c>
      <c r="LN590" t="str">
        <v/>
      </c>
      <c r="LO590" t="str">
        <v/>
      </c>
    </row>
    <row r="591" spans="30:327">
      <c r="AD591" t="s">
        <v>112</v>
      </c>
      <c r="AE591" t="s">
        <v>23106</v>
      </c>
      <c r="AF591" s="46">
        <v>0</v>
      </c>
      <c r="AG591" s="113"/>
      <c r="AH591" s="113"/>
      <c r="AI591" s="113"/>
      <c r="AJ591" s="113"/>
      <c r="AK591" s="113"/>
      <c r="AL591" s="46">
        <v>0</v>
      </c>
      <c r="AM591" s="113"/>
      <c r="AN591" s="113"/>
      <c r="AO591" s="113"/>
      <c r="AP591" s="113"/>
      <c r="AQ591" s="113"/>
      <c r="AR591" s="46">
        <v>0</v>
      </c>
      <c r="AS591" s="113"/>
      <c r="AT591" s="113"/>
      <c r="AU591" s="113"/>
      <c r="AV591" s="113"/>
      <c r="AW591" s="113"/>
      <c r="AX591" s="46">
        <v>0</v>
      </c>
      <c r="AY591" s="113"/>
      <c r="AZ591" s="113"/>
      <c r="BA591" s="113"/>
      <c r="BB591" s="113"/>
      <c r="BC591" s="113"/>
      <c r="BD591" s="46">
        <v>0</v>
      </c>
      <c r="BE591" s="113"/>
      <c r="BF591" s="113"/>
      <c r="BG591" s="113"/>
      <c r="BH591" s="113"/>
      <c r="BI591" s="113"/>
      <c r="BJ591" s="46">
        <v>0</v>
      </c>
      <c r="BK591" s="113"/>
      <c r="BL591" s="113"/>
      <c r="BM591" s="113"/>
      <c r="BN591" s="113"/>
      <c r="BO591" s="113"/>
      <c r="BP591" s="121"/>
      <c r="BQ591" s="121"/>
      <c r="GA591" t="s">
        <v>112</v>
      </c>
      <c r="GB591" t="s">
        <v>23106</v>
      </c>
      <c r="GC591" s="46">
        <v>0</v>
      </c>
      <c r="GD591" s="113"/>
      <c r="GE591" s="113"/>
      <c r="GF591" s="113"/>
      <c r="GG591" s="113"/>
      <c r="GH591" s="113"/>
      <c r="GI591" s="46">
        <v>0</v>
      </c>
      <c r="GJ591" s="113"/>
      <c r="GK591" s="113"/>
      <c r="GL591" s="113"/>
      <c r="GM591" s="113"/>
      <c r="GN591" s="113"/>
      <c r="GO591" s="46">
        <v>0</v>
      </c>
      <c r="GP591" s="113"/>
      <c r="GQ591" s="113"/>
      <c r="GR591" s="113"/>
      <c r="GS591" s="113"/>
      <c r="GT591" s="113"/>
      <c r="GU591" s="46">
        <v>0</v>
      </c>
      <c r="GV591" s="113"/>
      <c r="GW591" s="113"/>
      <c r="GX591" s="113"/>
      <c r="GY591" s="113"/>
      <c r="GZ591" s="113"/>
      <c r="HA591" s="46">
        <v>0</v>
      </c>
      <c r="HB591" s="113"/>
      <c r="HC591" s="113"/>
      <c r="HD591" s="113"/>
      <c r="HE591" s="113"/>
      <c r="HF591" s="113"/>
      <c r="HG591" s="46">
        <v>0</v>
      </c>
      <c r="HH591" s="113"/>
      <c r="HI591" s="113"/>
      <c r="HJ591" s="113"/>
      <c r="HK591" s="113"/>
      <c r="HL591" s="113"/>
      <c r="HM591" s="121"/>
      <c r="HN591" s="121"/>
      <c r="LM591" t="str">
        <v/>
      </c>
      <c r="LN591" t="str">
        <v/>
      </c>
      <c r="LO591" t="str">
        <v/>
      </c>
    </row>
    <row r="592" spans="30:327">
      <c r="AD592" t="s">
        <v>112</v>
      </c>
      <c r="AE592" t="s">
        <v>23107</v>
      </c>
      <c r="AF592" s="46">
        <v>0</v>
      </c>
      <c r="AG592" s="113"/>
      <c r="AH592" s="113"/>
      <c r="AI592" s="113"/>
      <c r="AJ592" s="113"/>
      <c r="AK592" s="113"/>
      <c r="AL592" s="46">
        <v>0</v>
      </c>
      <c r="AM592" s="113"/>
      <c r="AN592" s="113"/>
      <c r="AO592" s="113"/>
      <c r="AP592" s="113"/>
      <c r="AQ592" s="113"/>
      <c r="AR592" s="46">
        <v>0</v>
      </c>
      <c r="AS592" s="113"/>
      <c r="AT592" s="113"/>
      <c r="AU592" s="113"/>
      <c r="AV592" s="113"/>
      <c r="AW592" s="113"/>
      <c r="AX592" s="46">
        <v>0</v>
      </c>
      <c r="AY592" s="113"/>
      <c r="AZ592" s="113"/>
      <c r="BA592" s="113"/>
      <c r="BB592" s="113"/>
      <c r="BC592" s="113"/>
      <c r="BD592" s="46">
        <v>0</v>
      </c>
      <c r="BE592" s="113"/>
      <c r="BF592" s="113"/>
      <c r="BG592" s="113"/>
      <c r="BH592" s="113"/>
      <c r="BI592" s="113"/>
      <c r="BJ592" s="46">
        <v>0</v>
      </c>
      <c r="BK592" s="113"/>
      <c r="BL592" s="113"/>
      <c r="BM592" s="113"/>
      <c r="BN592" s="113"/>
      <c r="BO592" s="113"/>
      <c r="BP592" s="121"/>
      <c r="BQ592" s="121"/>
      <c r="GA592" t="s">
        <v>112</v>
      </c>
      <c r="GB592" t="s">
        <v>23107</v>
      </c>
      <c r="GC592" s="46">
        <v>0</v>
      </c>
      <c r="GD592" s="113"/>
      <c r="GE592" s="113"/>
      <c r="GF592" s="113"/>
      <c r="GG592" s="113"/>
      <c r="GH592" s="113"/>
      <c r="GI592" s="46">
        <v>0</v>
      </c>
      <c r="GJ592" s="113"/>
      <c r="GK592" s="113"/>
      <c r="GL592" s="113"/>
      <c r="GM592" s="113"/>
      <c r="GN592" s="113"/>
      <c r="GO592" s="46">
        <v>0</v>
      </c>
      <c r="GP592" s="113"/>
      <c r="GQ592" s="113"/>
      <c r="GR592" s="113"/>
      <c r="GS592" s="113"/>
      <c r="GT592" s="113"/>
      <c r="GU592" s="46">
        <v>0</v>
      </c>
      <c r="GV592" s="113"/>
      <c r="GW592" s="113"/>
      <c r="GX592" s="113"/>
      <c r="GY592" s="113"/>
      <c r="GZ592" s="113"/>
      <c r="HA592" s="46">
        <v>0</v>
      </c>
      <c r="HB592" s="113"/>
      <c r="HC592" s="113"/>
      <c r="HD592" s="113"/>
      <c r="HE592" s="113"/>
      <c r="HF592" s="113"/>
      <c r="HG592" s="46">
        <v>0</v>
      </c>
      <c r="HH592" s="113"/>
      <c r="HI592" s="113"/>
      <c r="HJ592" s="113"/>
      <c r="HK592" s="113"/>
      <c r="HL592" s="113"/>
      <c r="HM592" s="121"/>
      <c r="HN592" s="121"/>
      <c r="LM592" t="str">
        <v/>
      </c>
      <c r="LN592" t="str">
        <v/>
      </c>
      <c r="LO592" t="str">
        <v/>
      </c>
    </row>
    <row r="593" spans="30:327">
      <c r="AD593" t="s">
        <v>112</v>
      </c>
      <c r="AE593" t="s">
        <v>23108</v>
      </c>
      <c r="AF593" s="46">
        <v>0</v>
      </c>
      <c r="AG593" s="113"/>
      <c r="AH593" s="113"/>
      <c r="AI593" s="113"/>
      <c r="AJ593" s="113"/>
      <c r="AK593" s="113"/>
      <c r="AL593" s="46">
        <v>0</v>
      </c>
      <c r="AM593" s="113"/>
      <c r="AN593" s="113"/>
      <c r="AO593" s="113"/>
      <c r="AP593" s="113"/>
      <c r="AQ593" s="113"/>
      <c r="AR593" s="46">
        <v>0</v>
      </c>
      <c r="AS593" s="113"/>
      <c r="AT593" s="113"/>
      <c r="AU593" s="113"/>
      <c r="AV593" s="113"/>
      <c r="AW593" s="113"/>
      <c r="AX593" s="46">
        <v>0</v>
      </c>
      <c r="AY593" s="113"/>
      <c r="AZ593" s="113"/>
      <c r="BA593" s="113"/>
      <c r="BB593" s="113"/>
      <c r="BC593" s="113"/>
      <c r="BD593" s="46">
        <v>0</v>
      </c>
      <c r="BE593" s="113"/>
      <c r="BF593" s="113"/>
      <c r="BG593" s="113"/>
      <c r="BH593" s="113"/>
      <c r="BI593" s="113"/>
      <c r="BJ593" s="46">
        <v>0</v>
      </c>
      <c r="BK593" s="113"/>
      <c r="BL593" s="113"/>
      <c r="BM593" s="113"/>
      <c r="BN593" s="113"/>
      <c r="BO593" s="113"/>
      <c r="BP593" s="121"/>
      <c r="BQ593" s="121"/>
      <c r="GA593" t="s">
        <v>112</v>
      </c>
      <c r="GB593" t="s">
        <v>23108</v>
      </c>
      <c r="GC593" s="46">
        <v>0</v>
      </c>
      <c r="GD593" s="113"/>
      <c r="GE593" s="113"/>
      <c r="GF593" s="113"/>
      <c r="GG593" s="113"/>
      <c r="GH593" s="113"/>
      <c r="GI593" s="46">
        <v>0</v>
      </c>
      <c r="GJ593" s="113"/>
      <c r="GK593" s="113"/>
      <c r="GL593" s="113"/>
      <c r="GM593" s="113"/>
      <c r="GN593" s="113"/>
      <c r="GO593" s="46">
        <v>0</v>
      </c>
      <c r="GP593" s="113"/>
      <c r="GQ593" s="113"/>
      <c r="GR593" s="113"/>
      <c r="GS593" s="113"/>
      <c r="GT593" s="113"/>
      <c r="GU593" s="46">
        <v>0</v>
      </c>
      <c r="GV593" s="113"/>
      <c r="GW593" s="113"/>
      <c r="GX593" s="113"/>
      <c r="GY593" s="113"/>
      <c r="GZ593" s="113"/>
      <c r="HA593" s="46">
        <v>0</v>
      </c>
      <c r="HB593" s="113"/>
      <c r="HC593" s="113"/>
      <c r="HD593" s="113"/>
      <c r="HE593" s="113"/>
      <c r="HF593" s="113"/>
      <c r="HG593" s="46">
        <v>0</v>
      </c>
      <c r="HH593" s="113"/>
      <c r="HI593" s="113"/>
      <c r="HJ593" s="113"/>
      <c r="HK593" s="113"/>
      <c r="HL593" s="113"/>
      <c r="HM593" s="121"/>
      <c r="HN593" s="121"/>
      <c r="LM593" t="str">
        <v/>
      </c>
      <c r="LN593" t="str">
        <v/>
      </c>
      <c r="LO593" t="str">
        <v/>
      </c>
    </row>
    <row r="594" spans="30:327">
      <c r="AD594" t="s">
        <v>112</v>
      </c>
      <c r="AE594" t="s">
        <v>23109</v>
      </c>
      <c r="AF594" s="46">
        <v>0</v>
      </c>
      <c r="AG594" s="113"/>
      <c r="AH594" s="113"/>
      <c r="AI594" s="113"/>
      <c r="AJ594" s="113"/>
      <c r="AK594" s="113"/>
      <c r="AL594" s="46">
        <v>0</v>
      </c>
      <c r="AM594" s="113"/>
      <c r="AN594" s="113"/>
      <c r="AO594" s="113"/>
      <c r="AP594" s="113"/>
      <c r="AQ594" s="113"/>
      <c r="AR594" s="46">
        <v>0</v>
      </c>
      <c r="AS594" s="113"/>
      <c r="AT594" s="113"/>
      <c r="AU594" s="113"/>
      <c r="AV594" s="113"/>
      <c r="AW594" s="113"/>
      <c r="AX594" s="46">
        <v>0</v>
      </c>
      <c r="AY594" s="113"/>
      <c r="AZ594" s="113"/>
      <c r="BA594" s="113"/>
      <c r="BB594" s="113"/>
      <c r="BC594" s="113"/>
      <c r="BD594" s="46">
        <v>0</v>
      </c>
      <c r="BE594" s="113"/>
      <c r="BF594" s="113"/>
      <c r="BG594" s="113"/>
      <c r="BH594" s="113"/>
      <c r="BI594" s="113"/>
      <c r="BJ594" s="46">
        <v>0</v>
      </c>
      <c r="BK594" s="113"/>
      <c r="BL594" s="113"/>
      <c r="BM594" s="113"/>
      <c r="BN594" s="113"/>
      <c r="BO594" s="113"/>
      <c r="BP594" s="121"/>
      <c r="BQ594" s="121"/>
      <c r="GA594" t="s">
        <v>112</v>
      </c>
      <c r="GB594" t="s">
        <v>23109</v>
      </c>
      <c r="GC594" s="46">
        <v>0</v>
      </c>
      <c r="GD594" s="113"/>
      <c r="GE594" s="113"/>
      <c r="GF594" s="113"/>
      <c r="GG594" s="113"/>
      <c r="GH594" s="113"/>
      <c r="GI594" s="46">
        <v>0</v>
      </c>
      <c r="GJ594" s="113"/>
      <c r="GK594" s="113"/>
      <c r="GL594" s="113"/>
      <c r="GM594" s="113"/>
      <c r="GN594" s="113"/>
      <c r="GO594" s="46">
        <v>0</v>
      </c>
      <c r="GP594" s="113"/>
      <c r="GQ594" s="113"/>
      <c r="GR594" s="113"/>
      <c r="GS594" s="113"/>
      <c r="GT594" s="113"/>
      <c r="GU594" s="46">
        <v>0</v>
      </c>
      <c r="GV594" s="113"/>
      <c r="GW594" s="113"/>
      <c r="GX594" s="113"/>
      <c r="GY594" s="113"/>
      <c r="GZ594" s="113"/>
      <c r="HA594" s="46">
        <v>0</v>
      </c>
      <c r="HB594" s="113"/>
      <c r="HC594" s="113"/>
      <c r="HD594" s="113"/>
      <c r="HE594" s="113"/>
      <c r="HF594" s="113"/>
      <c r="HG594" s="46">
        <v>0</v>
      </c>
      <c r="HH594" s="113"/>
      <c r="HI594" s="113"/>
      <c r="HJ594" s="113"/>
      <c r="HK594" s="113"/>
      <c r="HL594" s="113"/>
      <c r="HM594" s="121"/>
      <c r="HN594" s="121"/>
      <c r="LM594" t="str">
        <v/>
      </c>
      <c r="LN594" t="str">
        <v/>
      </c>
      <c r="LO594" t="str">
        <v/>
      </c>
    </row>
    <row r="595" spans="30:327">
      <c r="AD595" t="s">
        <v>112</v>
      </c>
      <c r="AE595" t="s">
        <v>23110</v>
      </c>
      <c r="AF595" s="46">
        <v>0</v>
      </c>
      <c r="AG595" s="113"/>
      <c r="AH595" s="113"/>
      <c r="AI595" s="113"/>
      <c r="AJ595" s="113"/>
      <c r="AK595" s="113"/>
      <c r="AL595" s="46">
        <v>0</v>
      </c>
      <c r="AM595" s="113"/>
      <c r="AN595" s="113"/>
      <c r="AO595" s="113"/>
      <c r="AP595" s="113"/>
      <c r="AQ595" s="113"/>
      <c r="AR595" s="46">
        <v>0</v>
      </c>
      <c r="AS595" s="113"/>
      <c r="AT595" s="113"/>
      <c r="AU595" s="113"/>
      <c r="AV595" s="113"/>
      <c r="AW595" s="113"/>
      <c r="AX595" s="46">
        <v>0</v>
      </c>
      <c r="AY595" s="113"/>
      <c r="AZ595" s="113"/>
      <c r="BA595" s="113"/>
      <c r="BB595" s="113"/>
      <c r="BC595" s="113"/>
      <c r="BD595" s="46">
        <v>0</v>
      </c>
      <c r="BE595" s="113"/>
      <c r="BF595" s="113"/>
      <c r="BG595" s="113"/>
      <c r="BH595" s="113"/>
      <c r="BI595" s="113"/>
      <c r="BJ595" s="46">
        <v>0</v>
      </c>
      <c r="BK595" s="113"/>
      <c r="BL595" s="113"/>
      <c r="BM595" s="113"/>
      <c r="BN595" s="113"/>
      <c r="BO595" s="113"/>
      <c r="BP595" s="121"/>
      <c r="BQ595" s="121"/>
      <c r="GA595" t="s">
        <v>112</v>
      </c>
      <c r="GB595" t="s">
        <v>23110</v>
      </c>
      <c r="GC595" s="46">
        <v>0</v>
      </c>
      <c r="GD595" s="113"/>
      <c r="GE595" s="113"/>
      <c r="GF595" s="113"/>
      <c r="GG595" s="113"/>
      <c r="GH595" s="113"/>
      <c r="GI595" s="46">
        <v>0</v>
      </c>
      <c r="GJ595" s="113"/>
      <c r="GK595" s="113"/>
      <c r="GL595" s="113"/>
      <c r="GM595" s="113"/>
      <c r="GN595" s="113"/>
      <c r="GO595" s="46">
        <v>0</v>
      </c>
      <c r="GP595" s="113"/>
      <c r="GQ595" s="113"/>
      <c r="GR595" s="113"/>
      <c r="GS595" s="113"/>
      <c r="GT595" s="113"/>
      <c r="GU595" s="46">
        <v>0</v>
      </c>
      <c r="GV595" s="113"/>
      <c r="GW595" s="113"/>
      <c r="GX595" s="113"/>
      <c r="GY595" s="113"/>
      <c r="GZ595" s="113"/>
      <c r="HA595" s="46">
        <v>0</v>
      </c>
      <c r="HB595" s="113"/>
      <c r="HC595" s="113"/>
      <c r="HD595" s="113"/>
      <c r="HE595" s="113"/>
      <c r="HF595" s="113"/>
      <c r="HG595" s="46">
        <v>0</v>
      </c>
      <c r="HH595" s="113"/>
      <c r="HI595" s="113"/>
      <c r="HJ595" s="113"/>
      <c r="HK595" s="113"/>
      <c r="HL595" s="113"/>
      <c r="HM595" s="121"/>
      <c r="HN595" s="121"/>
      <c r="LM595" t="str">
        <v/>
      </c>
      <c r="LN595" t="str">
        <v/>
      </c>
      <c r="LO595" t="str">
        <v/>
      </c>
    </row>
    <row r="596" spans="30:327">
      <c r="AD596" t="s">
        <v>112</v>
      </c>
      <c r="AE596" t="s">
        <v>23111</v>
      </c>
      <c r="AF596" s="46">
        <v>0</v>
      </c>
      <c r="AG596" s="113"/>
      <c r="AH596" s="113"/>
      <c r="AI596" s="113"/>
      <c r="AJ596" s="113"/>
      <c r="AK596" s="113"/>
      <c r="AL596" s="46">
        <v>0</v>
      </c>
      <c r="AM596" s="113"/>
      <c r="AN596" s="113"/>
      <c r="AO596" s="113"/>
      <c r="AP596" s="113"/>
      <c r="AQ596" s="113"/>
      <c r="AR596" s="46">
        <v>0</v>
      </c>
      <c r="AS596" s="113"/>
      <c r="AT596" s="113"/>
      <c r="AU596" s="113"/>
      <c r="AV596" s="113"/>
      <c r="AW596" s="113"/>
      <c r="AX596" s="46">
        <v>0</v>
      </c>
      <c r="AY596" s="113"/>
      <c r="AZ596" s="113"/>
      <c r="BA596" s="113"/>
      <c r="BB596" s="113"/>
      <c r="BC596" s="113"/>
      <c r="BD596" s="46">
        <v>0</v>
      </c>
      <c r="BE596" s="113"/>
      <c r="BF596" s="113"/>
      <c r="BG596" s="113"/>
      <c r="BH596" s="113"/>
      <c r="BI596" s="113"/>
      <c r="BJ596" s="46">
        <v>0</v>
      </c>
      <c r="BK596" s="113"/>
      <c r="BL596" s="113"/>
      <c r="BM596" s="113"/>
      <c r="BN596" s="113"/>
      <c r="BO596" s="113"/>
      <c r="BP596" s="121"/>
      <c r="BQ596" s="121"/>
      <c r="GA596" t="s">
        <v>112</v>
      </c>
      <c r="GB596" t="s">
        <v>23111</v>
      </c>
      <c r="GC596" s="46">
        <v>0</v>
      </c>
      <c r="GD596" s="113"/>
      <c r="GE596" s="113"/>
      <c r="GF596" s="113"/>
      <c r="GG596" s="113"/>
      <c r="GH596" s="113"/>
      <c r="GI596" s="46">
        <v>0</v>
      </c>
      <c r="GJ596" s="113"/>
      <c r="GK596" s="113"/>
      <c r="GL596" s="113"/>
      <c r="GM596" s="113"/>
      <c r="GN596" s="113"/>
      <c r="GO596" s="46">
        <v>0</v>
      </c>
      <c r="GP596" s="113"/>
      <c r="GQ596" s="113"/>
      <c r="GR596" s="113"/>
      <c r="GS596" s="113"/>
      <c r="GT596" s="113"/>
      <c r="GU596" s="46">
        <v>0</v>
      </c>
      <c r="GV596" s="113"/>
      <c r="GW596" s="113"/>
      <c r="GX596" s="113"/>
      <c r="GY596" s="113"/>
      <c r="GZ596" s="113"/>
      <c r="HA596" s="46">
        <v>0</v>
      </c>
      <c r="HB596" s="113"/>
      <c r="HC596" s="113"/>
      <c r="HD596" s="113"/>
      <c r="HE596" s="113"/>
      <c r="HF596" s="113"/>
      <c r="HG596" s="46">
        <v>0</v>
      </c>
      <c r="HH596" s="113"/>
      <c r="HI596" s="113"/>
      <c r="HJ596" s="113"/>
      <c r="HK596" s="113"/>
      <c r="HL596" s="113"/>
      <c r="HM596" s="121"/>
      <c r="HN596" s="121"/>
      <c r="LM596" t="str">
        <v/>
      </c>
      <c r="LN596" t="str">
        <v/>
      </c>
      <c r="LO596" t="str">
        <v/>
      </c>
    </row>
    <row r="597" spans="30:327">
      <c r="AD597" t="s">
        <v>112</v>
      </c>
      <c r="AE597" t="s">
        <v>23112</v>
      </c>
      <c r="AF597" s="46">
        <v>0</v>
      </c>
      <c r="AG597" s="113"/>
      <c r="AH597" s="113"/>
      <c r="AI597" s="113"/>
      <c r="AJ597" s="113"/>
      <c r="AK597" s="113"/>
      <c r="AL597" s="46">
        <v>0</v>
      </c>
      <c r="AM597" s="113"/>
      <c r="AN597" s="113"/>
      <c r="AO597" s="113"/>
      <c r="AP597" s="113"/>
      <c r="AQ597" s="113"/>
      <c r="AR597" s="46">
        <v>0</v>
      </c>
      <c r="AS597" s="113"/>
      <c r="AT597" s="113"/>
      <c r="AU597" s="113"/>
      <c r="AV597" s="113"/>
      <c r="AW597" s="113"/>
      <c r="AX597" s="46">
        <v>0</v>
      </c>
      <c r="AY597" s="113"/>
      <c r="AZ597" s="113"/>
      <c r="BA597" s="113"/>
      <c r="BB597" s="113"/>
      <c r="BC597" s="113"/>
      <c r="BD597" s="46">
        <v>0</v>
      </c>
      <c r="BE597" s="113"/>
      <c r="BF597" s="113"/>
      <c r="BG597" s="113"/>
      <c r="BH597" s="113"/>
      <c r="BI597" s="113"/>
      <c r="BJ597" s="46">
        <v>0</v>
      </c>
      <c r="BK597" s="113"/>
      <c r="BL597" s="113"/>
      <c r="BM597" s="113"/>
      <c r="BN597" s="113"/>
      <c r="BO597" s="113"/>
      <c r="BP597" s="121"/>
      <c r="BQ597" s="121"/>
      <c r="GA597" t="s">
        <v>112</v>
      </c>
      <c r="GB597" t="s">
        <v>23112</v>
      </c>
      <c r="GC597" s="46">
        <v>0</v>
      </c>
      <c r="GD597" s="113"/>
      <c r="GE597" s="113"/>
      <c r="GF597" s="113"/>
      <c r="GG597" s="113"/>
      <c r="GH597" s="113"/>
      <c r="GI597" s="46">
        <v>0</v>
      </c>
      <c r="GJ597" s="113"/>
      <c r="GK597" s="113"/>
      <c r="GL597" s="113"/>
      <c r="GM597" s="113"/>
      <c r="GN597" s="113"/>
      <c r="GO597" s="46">
        <v>0</v>
      </c>
      <c r="GP597" s="113"/>
      <c r="GQ597" s="113"/>
      <c r="GR597" s="113"/>
      <c r="GS597" s="113"/>
      <c r="GT597" s="113"/>
      <c r="GU597" s="46">
        <v>0</v>
      </c>
      <c r="GV597" s="113"/>
      <c r="GW597" s="113"/>
      <c r="GX597" s="113"/>
      <c r="GY597" s="113"/>
      <c r="GZ597" s="113"/>
      <c r="HA597" s="46">
        <v>0</v>
      </c>
      <c r="HB597" s="113"/>
      <c r="HC597" s="113"/>
      <c r="HD597" s="113"/>
      <c r="HE597" s="113"/>
      <c r="HF597" s="113"/>
      <c r="HG597" s="46">
        <v>0</v>
      </c>
      <c r="HH597" s="113"/>
      <c r="HI597" s="113"/>
      <c r="HJ597" s="113"/>
      <c r="HK597" s="113"/>
      <c r="HL597" s="113"/>
      <c r="HM597" s="121"/>
      <c r="HN597" s="121"/>
      <c r="LM597" t="str">
        <v/>
      </c>
      <c r="LN597" t="str">
        <v/>
      </c>
      <c r="LO597" t="str">
        <v/>
      </c>
    </row>
    <row r="598" spans="30:327">
      <c r="AD598" t="s">
        <v>112</v>
      </c>
      <c r="AE598" t="s">
        <v>23113</v>
      </c>
      <c r="AF598" s="46">
        <v>0</v>
      </c>
      <c r="AG598" s="113"/>
      <c r="AH598" s="113"/>
      <c r="AI598" s="113"/>
      <c r="AJ598" s="113"/>
      <c r="AK598" s="113"/>
      <c r="AL598" s="46">
        <v>0</v>
      </c>
      <c r="AM598" s="113"/>
      <c r="AN598" s="113"/>
      <c r="AO598" s="113"/>
      <c r="AP598" s="113"/>
      <c r="AQ598" s="113"/>
      <c r="AR598" s="46">
        <v>0</v>
      </c>
      <c r="AS598" s="113"/>
      <c r="AT598" s="113"/>
      <c r="AU598" s="113"/>
      <c r="AV598" s="113"/>
      <c r="AW598" s="113"/>
      <c r="AX598" s="46">
        <v>0</v>
      </c>
      <c r="AY598" s="113"/>
      <c r="AZ598" s="113"/>
      <c r="BA598" s="113"/>
      <c r="BB598" s="113"/>
      <c r="BC598" s="113"/>
      <c r="BD598" s="46">
        <v>0</v>
      </c>
      <c r="BE598" s="113"/>
      <c r="BF598" s="113"/>
      <c r="BG598" s="113"/>
      <c r="BH598" s="113"/>
      <c r="BI598" s="113"/>
      <c r="BJ598" s="46">
        <v>0</v>
      </c>
      <c r="BK598" s="113"/>
      <c r="BL598" s="113"/>
      <c r="BM598" s="113"/>
      <c r="BN598" s="113"/>
      <c r="BO598" s="113"/>
      <c r="BP598" s="121"/>
      <c r="BQ598" s="121"/>
      <c r="GA598" t="s">
        <v>112</v>
      </c>
      <c r="GB598" t="s">
        <v>23113</v>
      </c>
      <c r="GC598" s="46">
        <v>0</v>
      </c>
      <c r="GD598" s="113"/>
      <c r="GE598" s="113"/>
      <c r="GF598" s="113"/>
      <c r="GG598" s="113"/>
      <c r="GH598" s="113"/>
      <c r="GI598" s="46">
        <v>0</v>
      </c>
      <c r="GJ598" s="113"/>
      <c r="GK598" s="113"/>
      <c r="GL598" s="113"/>
      <c r="GM598" s="113"/>
      <c r="GN598" s="113"/>
      <c r="GO598" s="46">
        <v>0</v>
      </c>
      <c r="GP598" s="113"/>
      <c r="GQ598" s="113"/>
      <c r="GR598" s="113"/>
      <c r="GS598" s="113"/>
      <c r="GT598" s="113"/>
      <c r="GU598" s="46">
        <v>0</v>
      </c>
      <c r="GV598" s="113"/>
      <c r="GW598" s="113"/>
      <c r="GX598" s="113"/>
      <c r="GY598" s="113"/>
      <c r="GZ598" s="113"/>
      <c r="HA598" s="46">
        <v>0</v>
      </c>
      <c r="HB598" s="113"/>
      <c r="HC598" s="113"/>
      <c r="HD598" s="113"/>
      <c r="HE598" s="113"/>
      <c r="HF598" s="113"/>
      <c r="HG598" s="46">
        <v>0</v>
      </c>
      <c r="HH598" s="113"/>
      <c r="HI598" s="113"/>
      <c r="HJ598" s="113"/>
      <c r="HK598" s="113"/>
      <c r="HL598" s="113"/>
      <c r="HM598" s="121"/>
      <c r="HN598" s="121"/>
      <c r="LM598" t="str">
        <v/>
      </c>
      <c r="LN598" t="str">
        <v/>
      </c>
      <c r="LO598" t="str">
        <v/>
      </c>
    </row>
    <row r="599" spans="30:327">
      <c r="AD599" t="s">
        <v>112</v>
      </c>
      <c r="AE599" t="s">
        <v>23114</v>
      </c>
      <c r="AF599" s="46">
        <v>0</v>
      </c>
      <c r="AG599" s="113"/>
      <c r="AH599" s="113"/>
      <c r="AI599" s="113"/>
      <c r="AJ599" s="113"/>
      <c r="AK599" s="113"/>
      <c r="AL599" s="46">
        <v>0</v>
      </c>
      <c r="AM599" s="113"/>
      <c r="AN599" s="113"/>
      <c r="AO599" s="113"/>
      <c r="AP599" s="113"/>
      <c r="AQ599" s="113"/>
      <c r="AR599" s="46">
        <v>0</v>
      </c>
      <c r="AS599" s="113"/>
      <c r="AT599" s="113"/>
      <c r="AU599" s="113"/>
      <c r="AV599" s="113"/>
      <c r="AW599" s="113"/>
      <c r="AX599" s="46">
        <v>0</v>
      </c>
      <c r="AY599" s="113"/>
      <c r="AZ599" s="113"/>
      <c r="BA599" s="113"/>
      <c r="BB599" s="113"/>
      <c r="BC599" s="113"/>
      <c r="BD599" s="46">
        <v>0</v>
      </c>
      <c r="BE599" s="113"/>
      <c r="BF599" s="113"/>
      <c r="BG599" s="113"/>
      <c r="BH599" s="113"/>
      <c r="BI599" s="113"/>
      <c r="BJ599" s="46">
        <v>0</v>
      </c>
      <c r="BK599" s="113"/>
      <c r="BL599" s="113"/>
      <c r="BM599" s="113"/>
      <c r="BN599" s="113"/>
      <c r="BO599" s="113"/>
      <c r="BP599" s="121"/>
      <c r="BQ599" s="121"/>
      <c r="GA599" t="s">
        <v>112</v>
      </c>
      <c r="GB599" t="s">
        <v>23114</v>
      </c>
      <c r="GC599" s="46">
        <v>0</v>
      </c>
      <c r="GD599" s="113"/>
      <c r="GE599" s="113"/>
      <c r="GF599" s="113"/>
      <c r="GG599" s="113"/>
      <c r="GH599" s="113"/>
      <c r="GI599" s="46">
        <v>0</v>
      </c>
      <c r="GJ599" s="113"/>
      <c r="GK599" s="113"/>
      <c r="GL599" s="113"/>
      <c r="GM599" s="113"/>
      <c r="GN599" s="113"/>
      <c r="GO599" s="46">
        <v>0</v>
      </c>
      <c r="GP599" s="113"/>
      <c r="GQ599" s="113"/>
      <c r="GR599" s="113"/>
      <c r="GS599" s="113"/>
      <c r="GT599" s="113"/>
      <c r="GU599" s="46">
        <v>0</v>
      </c>
      <c r="GV599" s="113"/>
      <c r="GW599" s="113"/>
      <c r="GX599" s="113"/>
      <c r="GY599" s="113"/>
      <c r="GZ599" s="113"/>
      <c r="HA599" s="46">
        <v>0</v>
      </c>
      <c r="HB599" s="113"/>
      <c r="HC599" s="113"/>
      <c r="HD599" s="113"/>
      <c r="HE599" s="113"/>
      <c r="HF599" s="113"/>
      <c r="HG599" s="46">
        <v>0</v>
      </c>
      <c r="HH599" s="113"/>
      <c r="HI599" s="113"/>
      <c r="HJ599" s="113"/>
      <c r="HK599" s="113"/>
      <c r="HL599" s="113"/>
      <c r="HM599" s="121"/>
      <c r="HN599" s="121"/>
      <c r="LM599" t="str">
        <v/>
      </c>
      <c r="LN599" t="str">
        <v/>
      </c>
      <c r="LO599" t="str">
        <v/>
      </c>
    </row>
    <row r="600" spans="30:327">
      <c r="AD600" t="s">
        <v>112</v>
      </c>
      <c r="AE600" t="s">
        <v>23115</v>
      </c>
      <c r="AF600" s="46">
        <v>0</v>
      </c>
      <c r="AG600" s="113"/>
      <c r="AH600" s="113"/>
      <c r="AI600" s="113"/>
      <c r="AJ600" s="113"/>
      <c r="AK600" s="113"/>
      <c r="AL600" s="46">
        <v>0</v>
      </c>
      <c r="AM600" s="113"/>
      <c r="AN600" s="113"/>
      <c r="AO600" s="113"/>
      <c r="AP600" s="113"/>
      <c r="AQ600" s="113"/>
      <c r="AR600" s="46">
        <v>0</v>
      </c>
      <c r="AS600" s="113"/>
      <c r="AT600" s="113"/>
      <c r="AU600" s="113"/>
      <c r="AV600" s="113"/>
      <c r="AW600" s="113"/>
      <c r="AX600" s="46">
        <v>0</v>
      </c>
      <c r="AY600" s="113"/>
      <c r="AZ600" s="113"/>
      <c r="BA600" s="113"/>
      <c r="BB600" s="113"/>
      <c r="BC600" s="113"/>
      <c r="BD600" s="46">
        <v>0</v>
      </c>
      <c r="BE600" s="113"/>
      <c r="BF600" s="113"/>
      <c r="BG600" s="113"/>
      <c r="BH600" s="113"/>
      <c r="BI600" s="113"/>
      <c r="BJ600" s="46">
        <v>0</v>
      </c>
      <c r="BK600" s="113"/>
      <c r="BL600" s="113"/>
      <c r="BM600" s="113"/>
      <c r="BN600" s="113"/>
      <c r="BO600" s="113"/>
      <c r="BP600" s="121"/>
      <c r="BQ600" s="121"/>
      <c r="GA600" t="s">
        <v>112</v>
      </c>
      <c r="GB600" t="s">
        <v>23115</v>
      </c>
      <c r="GC600" s="46">
        <v>0</v>
      </c>
      <c r="GD600" s="113"/>
      <c r="GE600" s="113"/>
      <c r="GF600" s="113"/>
      <c r="GG600" s="113"/>
      <c r="GH600" s="113"/>
      <c r="GI600" s="46">
        <v>0</v>
      </c>
      <c r="GJ600" s="113"/>
      <c r="GK600" s="113"/>
      <c r="GL600" s="113"/>
      <c r="GM600" s="113"/>
      <c r="GN600" s="113"/>
      <c r="GO600" s="46">
        <v>0</v>
      </c>
      <c r="GP600" s="113"/>
      <c r="GQ600" s="113"/>
      <c r="GR600" s="113"/>
      <c r="GS600" s="113"/>
      <c r="GT600" s="113"/>
      <c r="GU600" s="46">
        <v>0</v>
      </c>
      <c r="GV600" s="113"/>
      <c r="GW600" s="113"/>
      <c r="GX600" s="113"/>
      <c r="GY600" s="113"/>
      <c r="GZ600" s="113"/>
      <c r="HA600" s="46">
        <v>0</v>
      </c>
      <c r="HB600" s="113"/>
      <c r="HC600" s="113"/>
      <c r="HD600" s="113"/>
      <c r="HE600" s="113"/>
      <c r="HF600" s="113"/>
      <c r="HG600" s="46">
        <v>0</v>
      </c>
      <c r="HH600" s="113"/>
      <c r="HI600" s="113"/>
      <c r="HJ600" s="113"/>
      <c r="HK600" s="113"/>
      <c r="HL600" s="113"/>
      <c r="HM600" s="121"/>
      <c r="HN600" s="121"/>
      <c r="LM600" t="str">
        <v/>
      </c>
      <c r="LN600" t="str">
        <v/>
      </c>
      <c r="LO600" t="str">
        <v/>
      </c>
    </row>
    <row r="601" spans="30:327">
      <c r="AD601" t="s">
        <v>112</v>
      </c>
      <c r="AE601" t="s">
        <v>23116</v>
      </c>
      <c r="AF601" s="46">
        <v>0</v>
      </c>
      <c r="AG601" s="113"/>
      <c r="AH601" s="113"/>
      <c r="AI601" s="113"/>
      <c r="AJ601" s="113"/>
      <c r="AK601" s="113"/>
      <c r="AL601" s="46">
        <v>0</v>
      </c>
      <c r="AM601" s="113"/>
      <c r="AN601" s="113"/>
      <c r="AO601" s="113"/>
      <c r="AP601" s="113"/>
      <c r="AQ601" s="113"/>
      <c r="AR601" s="46">
        <v>0</v>
      </c>
      <c r="AS601" s="113"/>
      <c r="AT601" s="113"/>
      <c r="AU601" s="113"/>
      <c r="AV601" s="113"/>
      <c r="AW601" s="113"/>
      <c r="AX601" s="46">
        <v>0</v>
      </c>
      <c r="AY601" s="113"/>
      <c r="AZ601" s="113"/>
      <c r="BA601" s="113"/>
      <c r="BB601" s="113"/>
      <c r="BC601" s="113"/>
      <c r="BD601" s="46">
        <v>0</v>
      </c>
      <c r="BE601" s="113"/>
      <c r="BF601" s="113"/>
      <c r="BG601" s="113"/>
      <c r="BH601" s="113"/>
      <c r="BI601" s="113"/>
      <c r="BJ601" s="46">
        <v>0</v>
      </c>
      <c r="BK601" s="113"/>
      <c r="BL601" s="113"/>
      <c r="BM601" s="113"/>
      <c r="BN601" s="113"/>
      <c r="BO601" s="113"/>
      <c r="BP601" s="121"/>
      <c r="BQ601" s="121"/>
      <c r="GA601" t="s">
        <v>112</v>
      </c>
      <c r="GB601" t="s">
        <v>23116</v>
      </c>
      <c r="GC601" s="46">
        <v>0</v>
      </c>
      <c r="GD601" s="113"/>
      <c r="GE601" s="113"/>
      <c r="GF601" s="113"/>
      <c r="GG601" s="113"/>
      <c r="GH601" s="113"/>
      <c r="GI601" s="46">
        <v>0</v>
      </c>
      <c r="GJ601" s="113"/>
      <c r="GK601" s="113"/>
      <c r="GL601" s="113"/>
      <c r="GM601" s="113"/>
      <c r="GN601" s="113"/>
      <c r="GO601" s="46">
        <v>0</v>
      </c>
      <c r="GP601" s="113"/>
      <c r="GQ601" s="113"/>
      <c r="GR601" s="113"/>
      <c r="GS601" s="113"/>
      <c r="GT601" s="113"/>
      <c r="GU601" s="46">
        <v>0</v>
      </c>
      <c r="GV601" s="113"/>
      <c r="GW601" s="113"/>
      <c r="GX601" s="113"/>
      <c r="GY601" s="113"/>
      <c r="GZ601" s="113"/>
      <c r="HA601" s="46">
        <v>0</v>
      </c>
      <c r="HB601" s="113"/>
      <c r="HC601" s="113"/>
      <c r="HD601" s="113"/>
      <c r="HE601" s="113"/>
      <c r="HF601" s="113"/>
      <c r="HG601" s="46">
        <v>0</v>
      </c>
      <c r="HH601" s="113"/>
      <c r="HI601" s="113"/>
      <c r="HJ601" s="113"/>
      <c r="HK601" s="113"/>
      <c r="HL601" s="113"/>
      <c r="HM601" s="121"/>
      <c r="HN601" s="121"/>
      <c r="LM601" t="str">
        <v/>
      </c>
      <c r="LN601" t="str">
        <v/>
      </c>
      <c r="LO601" t="str">
        <v/>
      </c>
    </row>
    <row r="602" spans="30:327">
      <c r="AD602" t="s">
        <v>112</v>
      </c>
      <c r="AE602" t="s">
        <v>23117</v>
      </c>
      <c r="AF602" s="46">
        <v>0</v>
      </c>
      <c r="AG602" s="113"/>
      <c r="AH602" s="113"/>
      <c r="AI602" s="113"/>
      <c r="AJ602" s="113"/>
      <c r="AK602" s="113"/>
      <c r="AL602" s="46">
        <v>0</v>
      </c>
      <c r="AM602" s="113"/>
      <c r="AN602" s="113"/>
      <c r="AO602" s="113"/>
      <c r="AP602" s="113"/>
      <c r="AQ602" s="113"/>
      <c r="AR602" s="46">
        <v>0</v>
      </c>
      <c r="AS602" s="113"/>
      <c r="AT602" s="113"/>
      <c r="AU602" s="113"/>
      <c r="AV602" s="113"/>
      <c r="AW602" s="113"/>
      <c r="AX602" s="46">
        <v>0</v>
      </c>
      <c r="AY602" s="113"/>
      <c r="AZ602" s="113"/>
      <c r="BA602" s="113"/>
      <c r="BB602" s="113"/>
      <c r="BC602" s="113"/>
      <c r="BD602" s="46">
        <v>0</v>
      </c>
      <c r="BE602" s="113"/>
      <c r="BF602" s="113"/>
      <c r="BG602" s="113"/>
      <c r="BH602" s="113"/>
      <c r="BI602" s="113"/>
      <c r="BJ602" s="46">
        <v>0</v>
      </c>
      <c r="BK602" s="113"/>
      <c r="BL602" s="113"/>
      <c r="BM602" s="113"/>
      <c r="BN602" s="113"/>
      <c r="BO602" s="113"/>
      <c r="BP602" s="121"/>
      <c r="BQ602" s="121"/>
      <c r="GA602" t="s">
        <v>112</v>
      </c>
      <c r="GB602" t="s">
        <v>23117</v>
      </c>
      <c r="GC602" s="46">
        <v>0</v>
      </c>
      <c r="GD602" s="113"/>
      <c r="GE602" s="113"/>
      <c r="GF602" s="113"/>
      <c r="GG602" s="113"/>
      <c r="GH602" s="113"/>
      <c r="GI602" s="46">
        <v>0</v>
      </c>
      <c r="GJ602" s="113"/>
      <c r="GK602" s="113"/>
      <c r="GL602" s="113"/>
      <c r="GM602" s="113"/>
      <c r="GN602" s="113"/>
      <c r="GO602" s="46">
        <v>0</v>
      </c>
      <c r="GP602" s="113"/>
      <c r="GQ602" s="113"/>
      <c r="GR602" s="113"/>
      <c r="GS602" s="113"/>
      <c r="GT602" s="113"/>
      <c r="GU602" s="46">
        <v>0</v>
      </c>
      <c r="GV602" s="113"/>
      <c r="GW602" s="113"/>
      <c r="GX602" s="113"/>
      <c r="GY602" s="113"/>
      <c r="GZ602" s="113"/>
      <c r="HA602" s="46">
        <v>0</v>
      </c>
      <c r="HB602" s="113"/>
      <c r="HC602" s="113"/>
      <c r="HD602" s="113"/>
      <c r="HE602" s="113"/>
      <c r="HF602" s="113"/>
      <c r="HG602" s="46">
        <v>0</v>
      </c>
      <c r="HH602" s="113"/>
      <c r="HI602" s="113"/>
      <c r="HJ602" s="113"/>
      <c r="HK602" s="113"/>
      <c r="HL602" s="113"/>
      <c r="HM602" s="121"/>
      <c r="HN602" s="121"/>
      <c r="LM602" t="str">
        <v/>
      </c>
      <c r="LN602" t="str">
        <v/>
      </c>
      <c r="LO602" t="str">
        <v/>
      </c>
    </row>
    <row r="603" spans="30:327">
      <c r="AD603" t="s">
        <v>112</v>
      </c>
      <c r="AE603" t="s">
        <v>23118</v>
      </c>
      <c r="AF603" s="46">
        <v>0</v>
      </c>
      <c r="AG603" s="113"/>
      <c r="AH603" s="113"/>
      <c r="AI603" s="113"/>
      <c r="AJ603" s="113"/>
      <c r="AK603" s="113"/>
      <c r="AL603" s="46">
        <v>0</v>
      </c>
      <c r="AM603" s="113"/>
      <c r="AN603" s="113"/>
      <c r="AO603" s="113"/>
      <c r="AP603" s="113"/>
      <c r="AQ603" s="113"/>
      <c r="AR603" s="46">
        <v>0</v>
      </c>
      <c r="AS603" s="113"/>
      <c r="AT603" s="113"/>
      <c r="AU603" s="113"/>
      <c r="AV603" s="113"/>
      <c r="AW603" s="113"/>
      <c r="AX603" s="46">
        <v>0</v>
      </c>
      <c r="AY603" s="113"/>
      <c r="AZ603" s="113"/>
      <c r="BA603" s="113"/>
      <c r="BB603" s="113"/>
      <c r="BC603" s="113"/>
      <c r="BD603" s="46">
        <v>0</v>
      </c>
      <c r="BE603" s="113"/>
      <c r="BF603" s="113"/>
      <c r="BG603" s="113"/>
      <c r="BH603" s="113"/>
      <c r="BI603" s="113"/>
      <c r="BJ603" s="46">
        <v>0</v>
      </c>
      <c r="BK603" s="113"/>
      <c r="BL603" s="113"/>
      <c r="BM603" s="113"/>
      <c r="BN603" s="113"/>
      <c r="BO603" s="113"/>
      <c r="BP603" s="121"/>
      <c r="BQ603" s="121"/>
      <c r="GA603" t="s">
        <v>112</v>
      </c>
      <c r="GB603" t="s">
        <v>23118</v>
      </c>
      <c r="GC603" s="46">
        <v>0</v>
      </c>
      <c r="GD603" s="113"/>
      <c r="GE603" s="113"/>
      <c r="GF603" s="113"/>
      <c r="GG603" s="113"/>
      <c r="GH603" s="113"/>
      <c r="GI603" s="46">
        <v>0</v>
      </c>
      <c r="GJ603" s="113"/>
      <c r="GK603" s="113"/>
      <c r="GL603" s="113"/>
      <c r="GM603" s="113"/>
      <c r="GN603" s="113"/>
      <c r="GO603" s="46">
        <v>0</v>
      </c>
      <c r="GP603" s="113"/>
      <c r="GQ603" s="113"/>
      <c r="GR603" s="113"/>
      <c r="GS603" s="113"/>
      <c r="GT603" s="113"/>
      <c r="GU603" s="46">
        <v>0</v>
      </c>
      <c r="GV603" s="113"/>
      <c r="GW603" s="113"/>
      <c r="GX603" s="113"/>
      <c r="GY603" s="113"/>
      <c r="GZ603" s="113"/>
      <c r="HA603" s="46">
        <v>0</v>
      </c>
      <c r="HB603" s="113"/>
      <c r="HC603" s="113"/>
      <c r="HD603" s="113"/>
      <c r="HE603" s="113"/>
      <c r="HF603" s="113"/>
      <c r="HG603" s="46">
        <v>0</v>
      </c>
      <c r="HH603" s="113"/>
      <c r="HI603" s="113"/>
      <c r="HJ603" s="113"/>
      <c r="HK603" s="113"/>
      <c r="HL603" s="113"/>
      <c r="HM603" s="121"/>
      <c r="HN603" s="121"/>
      <c r="LM603" t="str">
        <v/>
      </c>
      <c r="LN603" t="str">
        <v/>
      </c>
      <c r="LO603" t="str">
        <v/>
      </c>
    </row>
    <row r="604" spans="30:327">
      <c r="AD604" t="s">
        <v>112</v>
      </c>
      <c r="AE604" t="s">
        <v>23119</v>
      </c>
      <c r="AF604" s="46">
        <v>0</v>
      </c>
      <c r="AG604" s="113"/>
      <c r="AH604" s="113"/>
      <c r="AI604" s="113"/>
      <c r="AJ604" s="113"/>
      <c r="AK604" s="113"/>
      <c r="AL604" s="46">
        <v>0</v>
      </c>
      <c r="AM604" s="113"/>
      <c r="AN604" s="113"/>
      <c r="AO604" s="113"/>
      <c r="AP604" s="113"/>
      <c r="AQ604" s="113"/>
      <c r="AR604" s="46">
        <v>0</v>
      </c>
      <c r="AS604" s="113"/>
      <c r="AT604" s="113"/>
      <c r="AU604" s="113"/>
      <c r="AV604" s="113"/>
      <c r="AW604" s="113"/>
      <c r="AX604" s="46">
        <v>0</v>
      </c>
      <c r="AY604" s="113"/>
      <c r="AZ604" s="113"/>
      <c r="BA604" s="113"/>
      <c r="BB604" s="113"/>
      <c r="BC604" s="113"/>
      <c r="BD604" s="46">
        <v>0</v>
      </c>
      <c r="BE604" s="113"/>
      <c r="BF604" s="113"/>
      <c r="BG604" s="113"/>
      <c r="BH604" s="113"/>
      <c r="BI604" s="113"/>
      <c r="BJ604" s="46">
        <v>0</v>
      </c>
      <c r="BK604" s="113"/>
      <c r="BL604" s="113"/>
      <c r="BM604" s="113"/>
      <c r="BN604" s="113"/>
      <c r="BO604" s="113"/>
      <c r="BP604" s="121"/>
      <c r="BQ604" s="121"/>
      <c r="GA604" t="s">
        <v>112</v>
      </c>
      <c r="GB604" t="s">
        <v>23119</v>
      </c>
      <c r="GC604" s="46">
        <v>0</v>
      </c>
      <c r="GD604" s="113"/>
      <c r="GE604" s="113"/>
      <c r="GF604" s="113"/>
      <c r="GG604" s="113"/>
      <c r="GH604" s="113"/>
      <c r="GI604" s="46">
        <v>0</v>
      </c>
      <c r="GJ604" s="113"/>
      <c r="GK604" s="113"/>
      <c r="GL604" s="113"/>
      <c r="GM604" s="113"/>
      <c r="GN604" s="113"/>
      <c r="GO604" s="46">
        <v>0</v>
      </c>
      <c r="GP604" s="113"/>
      <c r="GQ604" s="113"/>
      <c r="GR604" s="113"/>
      <c r="GS604" s="113"/>
      <c r="GT604" s="113"/>
      <c r="GU604" s="46">
        <v>0</v>
      </c>
      <c r="GV604" s="113"/>
      <c r="GW604" s="113"/>
      <c r="GX604" s="113"/>
      <c r="GY604" s="113"/>
      <c r="GZ604" s="113"/>
      <c r="HA604" s="46">
        <v>0</v>
      </c>
      <c r="HB604" s="113"/>
      <c r="HC604" s="113"/>
      <c r="HD604" s="113"/>
      <c r="HE604" s="113"/>
      <c r="HF604" s="113"/>
      <c r="HG604" s="46">
        <v>0</v>
      </c>
      <c r="HH604" s="113"/>
      <c r="HI604" s="113"/>
      <c r="HJ604" s="113"/>
      <c r="HK604" s="113"/>
      <c r="HL604" s="113"/>
      <c r="HM604" s="121"/>
      <c r="HN604" s="121"/>
      <c r="LM604" t="str">
        <v/>
      </c>
      <c r="LN604" t="str">
        <v/>
      </c>
      <c r="LO604" t="str">
        <v/>
      </c>
    </row>
    <row r="605" spans="30:327">
      <c r="AD605" t="s">
        <v>112</v>
      </c>
      <c r="AE605" t="s">
        <v>23120</v>
      </c>
      <c r="AF605" s="46">
        <v>0</v>
      </c>
      <c r="AG605" s="113"/>
      <c r="AH605" s="113"/>
      <c r="AI605" s="113"/>
      <c r="AJ605" s="113"/>
      <c r="AK605" s="113"/>
      <c r="AL605" s="46">
        <v>0</v>
      </c>
      <c r="AM605" s="113"/>
      <c r="AN605" s="113"/>
      <c r="AO605" s="113"/>
      <c r="AP605" s="113"/>
      <c r="AQ605" s="113"/>
      <c r="AR605" s="46">
        <v>0</v>
      </c>
      <c r="AS605" s="113"/>
      <c r="AT605" s="113"/>
      <c r="AU605" s="113"/>
      <c r="AV605" s="113"/>
      <c r="AW605" s="113"/>
      <c r="AX605" s="46">
        <v>0</v>
      </c>
      <c r="AY605" s="113"/>
      <c r="AZ605" s="113"/>
      <c r="BA605" s="113"/>
      <c r="BB605" s="113"/>
      <c r="BC605" s="113"/>
      <c r="BD605" s="46">
        <v>0</v>
      </c>
      <c r="BE605" s="113"/>
      <c r="BF605" s="113"/>
      <c r="BG605" s="113"/>
      <c r="BH605" s="113"/>
      <c r="BI605" s="113"/>
      <c r="BJ605" s="46">
        <v>0</v>
      </c>
      <c r="BK605" s="113"/>
      <c r="BL605" s="113"/>
      <c r="BM605" s="113"/>
      <c r="BN605" s="113"/>
      <c r="BO605" s="113"/>
      <c r="BP605" s="121"/>
      <c r="BQ605" s="121"/>
      <c r="GA605" t="s">
        <v>112</v>
      </c>
      <c r="GB605" t="s">
        <v>23120</v>
      </c>
      <c r="GC605" s="46">
        <v>0</v>
      </c>
      <c r="GD605" s="113"/>
      <c r="GE605" s="113"/>
      <c r="GF605" s="113"/>
      <c r="GG605" s="113"/>
      <c r="GH605" s="113"/>
      <c r="GI605" s="46">
        <v>0</v>
      </c>
      <c r="GJ605" s="113"/>
      <c r="GK605" s="113"/>
      <c r="GL605" s="113"/>
      <c r="GM605" s="113"/>
      <c r="GN605" s="113"/>
      <c r="GO605" s="46">
        <v>0</v>
      </c>
      <c r="GP605" s="113"/>
      <c r="GQ605" s="113"/>
      <c r="GR605" s="113"/>
      <c r="GS605" s="113"/>
      <c r="GT605" s="113"/>
      <c r="GU605" s="46">
        <v>0</v>
      </c>
      <c r="GV605" s="113"/>
      <c r="GW605" s="113"/>
      <c r="GX605" s="113"/>
      <c r="GY605" s="113"/>
      <c r="GZ605" s="113"/>
      <c r="HA605" s="46">
        <v>0</v>
      </c>
      <c r="HB605" s="113"/>
      <c r="HC605" s="113"/>
      <c r="HD605" s="113"/>
      <c r="HE605" s="113"/>
      <c r="HF605" s="113"/>
      <c r="HG605" s="46">
        <v>0</v>
      </c>
      <c r="HH605" s="113"/>
      <c r="HI605" s="113"/>
      <c r="HJ605" s="113"/>
      <c r="HK605" s="113"/>
      <c r="HL605" s="113"/>
      <c r="HM605" s="121"/>
      <c r="HN605" s="121"/>
      <c r="LM605" t="str">
        <v/>
      </c>
      <c r="LN605" t="str">
        <v/>
      </c>
      <c r="LO605" t="str">
        <v/>
      </c>
    </row>
    <row r="606" spans="30:327">
      <c r="AD606" t="s">
        <v>112</v>
      </c>
      <c r="AE606" t="s">
        <v>23121</v>
      </c>
      <c r="AF606" s="46">
        <v>0</v>
      </c>
      <c r="AG606" s="113"/>
      <c r="AH606" s="113"/>
      <c r="AI606" s="113"/>
      <c r="AJ606" s="113"/>
      <c r="AK606" s="113"/>
      <c r="AL606" s="46">
        <v>0</v>
      </c>
      <c r="AM606" s="113"/>
      <c r="AN606" s="113"/>
      <c r="AO606" s="113"/>
      <c r="AP606" s="113"/>
      <c r="AQ606" s="113"/>
      <c r="AR606" s="46">
        <v>0</v>
      </c>
      <c r="AS606" s="113"/>
      <c r="AT606" s="113"/>
      <c r="AU606" s="113"/>
      <c r="AV606" s="113"/>
      <c r="AW606" s="113"/>
      <c r="AX606" s="46">
        <v>0</v>
      </c>
      <c r="AY606" s="113"/>
      <c r="AZ606" s="113"/>
      <c r="BA606" s="113"/>
      <c r="BB606" s="113"/>
      <c r="BC606" s="113"/>
      <c r="BD606" s="46">
        <v>0</v>
      </c>
      <c r="BE606" s="113"/>
      <c r="BF606" s="113"/>
      <c r="BG606" s="113"/>
      <c r="BH606" s="113"/>
      <c r="BI606" s="113"/>
      <c r="BJ606" s="46">
        <v>0</v>
      </c>
      <c r="BK606" s="113"/>
      <c r="BL606" s="113"/>
      <c r="BM606" s="113"/>
      <c r="BN606" s="113"/>
      <c r="BO606" s="113"/>
      <c r="BP606" s="121"/>
      <c r="BQ606" s="121"/>
      <c r="GA606" t="s">
        <v>112</v>
      </c>
      <c r="GB606" t="s">
        <v>23121</v>
      </c>
      <c r="GC606" s="46">
        <v>0</v>
      </c>
      <c r="GD606" s="113"/>
      <c r="GE606" s="113"/>
      <c r="GF606" s="113"/>
      <c r="GG606" s="113"/>
      <c r="GH606" s="113"/>
      <c r="GI606" s="46">
        <v>0</v>
      </c>
      <c r="GJ606" s="113"/>
      <c r="GK606" s="113"/>
      <c r="GL606" s="113"/>
      <c r="GM606" s="113"/>
      <c r="GN606" s="113"/>
      <c r="GO606" s="46">
        <v>0</v>
      </c>
      <c r="GP606" s="113"/>
      <c r="GQ606" s="113"/>
      <c r="GR606" s="113"/>
      <c r="GS606" s="113"/>
      <c r="GT606" s="113"/>
      <c r="GU606" s="46">
        <v>0</v>
      </c>
      <c r="GV606" s="113"/>
      <c r="GW606" s="113"/>
      <c r="GX606" s="113"/>
      <c r="GY606" s="113"/>
      <c r="GZ606" s="113"/>
      <c r="HA606" s="46">
        <v>0</v>
      </c>
      <c r="HB606" s="113"/>
      <c r="HC606" s="113"/>
      <c r="HD606" s="113"/>
      <c r="HE606" s="113"/>
      <c r="HF606" s="113"/>
      <c r="HG606" s="46">
        <v>0</v>
      </c>
      <c r="HH606" s="113"/>
      <c r="HI606" s="113"/>
      <c r="HJ606" s="113"/>
      <c r="HK606" s="113"/>
      <c r="HL606" s="113"/>
      <c r="HM606" s="121"/>
      <c r="HN606" s="121"/>
      <c r="LM606" t="str">
        <v/>
      </c>
      <c r="LN606" t="str">
        <v/>
      </c>
      <c r="LO606" t="str">
        <v/>
      </c>
    </row>
    <row r="607" spans="30:327">
      <c r="AD607" t="s">
        <v>112</v>
      </c>
      <c r="AE607" t="s">
        <v>23122</v>
      </c>
      <c r="AF607" s="46">
        <v>0</v>
      </c>
      <c r="AG607" s="113"/>
      <c r="AH607" s="113"/>
      <c r="AI607" s="113"/>
      <c r="AJ607" s="113"/>
      <c r="AK607" s="113"/>
      <c r="AL607" s="46">
        <v>0</v>
      </c>
      <c r="AM607" s="113"/>
      <c r="AN607" s="113"/>
      <c r="AO607" s="113"/>
      <c r="AP607" s="113"/>
      <c r="AQ607" s="113"/>
      <c r="AR607" s="46">
        <v>0</v>
      </c>
      <c r="AS607" s="113"/>
      <c r="AT607" s="113"/>
      <c r="AU607" s="113"/>
      <c r="AV607" s="113"/>
      <c r="AW607" s="113"/>
      <c r="AX607" s="46">
        <v>0</v>
      </c>
      <c r="AY607" s="113"/>
      <c r="AZ607" s="113"/>
      <c r="BA607" s="113"/>
      <c r="BB607" s="113"/>
      <c r="BC607" s="113"/>
      <c r="BD607" s="46">
        <v>0</v>
      </c>
      <c r="BE607" s="113"/>
      <c r="BF607" s="113"/>
      <c r="BG607" s="113"/>
      <c r="BH607" s="113"/>
      <c r="BI607" s="113"/>
      <c r="BJ607" s="46">
        <v>0</v>
      </c>
      <c r="BK607" s="113"/>
      <c r="BL607" s="113"/>
      <c r="BM607" s="113"/>
      <c r="BN607" s="113"/>
      <c r="BO607" s="113"/>
      <c r="BP607" s="121"/>
      <c r="BQ607" s="121"/>
      <c r="GA607" t="s">
        <v>112</v>
      </c>
      <c r="GB607" t="s">
        <v>23122</v>
      </c>
      <c r="GC607" s="46">
        <v>0</v>
      </c>
      <c r="GD607" s="113"/>
      <c r="GE607" s="113"/>
      <c r="GF607" s="113"/>
      <c r="GG607" s="113"/>
      <c r="GH607" s="113"/>
      <c r="GI607" s="46">
        <v>0</v>
      </c>
      <c r="GJ607" s="113"/>
      <c r="GK607" s="113"/>
      <c r="GL607" s="113"/>
      <c r="GM607" s="113"/>
      <c r="GN607" s="113"/>
      <c r="GO607" s="46">
        <v>0</v>
      </c>
      <c r="GP607" s="113"/>
      <c r="GQ607" s="113"/>
      <c r="GR607" s="113"/>
      <c r="GS607" s="113"/>
      <c r="GT607" s="113"/>
      <c r="GU607" s="46">
        <v>0</v>
      </c>
      <c r="GV607" s="113"/>
      <c r="GW607" s="113"/>
      <c r="GX607" s="113"/>
      <c r="GY607" s="113"/>
      <c r="GZ607" s="113"/>
      <c r="HA607" s="46">
        <v>0</v>
      </c>
      <c r="HB607" s="113"/>
      <c r="HC607" s="113"/>
      <c r="HD607" s="113"/>
      <c r="HE607" s="113"/>
      <c r="HF607" s="113"/>
      <c r="HG607" s="46">
        <v>0</v>
      </c>
      <c r="HH607" s="113"/>
      <c r="HI607" s="113"/>
      <c r="HJ607" s="113"/>
      <c r="HK607" s="113"/>
      <c r="HL607" s="113"/>
      <c r="HM607" s="121"/>
      <c r="HN607" s="121"/>
      <c r="LM607" t="str">
        <v/>
      </c>
      <c r="LN607" t="str">
        <v/>
      </c>
      <c r="LO607" t="str">
        <v/>
      </c>
    </row>
    <row r="608" spans="30:327">
      <c r="AD608" t="s">
        <v>112</v>
      </c>
      <c r="AE608" t="s">
        <v>23123</v>
      </c>
      <c r="AF608" s="46">
        <v>0</v>
      </c>
      <c r="AG608" s="113"/>
      <c r="AH608" s="113"/>
      <c r="AI608" s="113"/>
      <c r="AJ608" s="113"/>
      <c r="AK608" s="113"/>
      <c r="AL608" s="46">
        <v>0</v>
      </c>
      <c r="AM608" s="113"/>
      <c r="AN608" s="113"/>
      <c r="AO608" s="113"/>
      <c r="AP608" s="113"/>
      <c r="AQ608" s="113"/>
      <c r="AR608" s="46">
        <v>0</v>
      </c>
      <c r="AS608" s="113"/>
      <c r="AT608" s="113"/>
      <c r="AU608" s="113"/>
      <c r="AV608" s="113"/>
      <c r="AW608" s="113"/>
      <c r="AX608" s="46">
        <v>0</v>
      </c>
      <c r="AY608" s="113"/>
      <c r="AZ608" s="113"/>
      <c r="BA608" s="113"/>
      <c r="BB608" s="113"/>
      <c r="BC608" s="113"/>
      <c r="BD608" s="46">
        <v>0</v>
      </c>
      <c r="BE608" s="113"/>
      <c r="BF608" s="113"/>
      <c r="BG608" s="113"/>
      <c r="BH608" s="113"/>
      <c r="BI608" s="113"/>
      <c r="BJ608" s="46">
        <v>0</v>
      </c>
      <c r="BK608" s="113"/>
      <c r="BL608" s="113"/>
      <c r="BM608" s="113"/>
      <c r="BN608" s="113"/>
      <c r="BO608" s="113"/>
      <c r="BP608" s="121"/>
      <c r="BQ608" s="121"/>
      <c r="GA608" t="s">
        <v>112</v>
      </c>
      <c r="GB608" t="s">
        <v>23123</v>
      </c>
      <c r="GC608" s="46">
        <v>0</v>
      </c>
      <c r="GD608" s="113"/>
      <c r="GE608" s="113"/>
      <c r="GF608" s="113"/>
      <c r="GG608" s="113"/>
      <c r="GH608" s="113"/>
      <c r="GI608" s="46">
        <v>0</v>
      </c>
      <c r="GJ608" s="113"/>
      <c r="GK608" s="113"/>
      <c r="GL608" s="113"/>
      <c r="GM608" s="113"/>
      <c r="GN608" s="113"/>
      <c r="GO608" s="46">
        <v>0</v>
      </c>
      <c r="GP608" s="113"/>
      <c r="GQ608" s="113"/>
      <c r="GR608" s="113"/>
      <c r="GS608" s="113"/>
      <c r="GT608" s="113"/>
      <c r="GU608" s="46">
        <v>0</v>
      </c>
      <c r="GV608" s="113"/>
      <c r="GW608" s="113"/>
      <c r="GX608" s="113"/>
      <c r="GY608" s="113"/>
      <c r="GZ608" s="113"/>
      <c r="HA608" s="46">
        <v>0</v>
      </c>
      <c r="HB608" s="113"/>
      <c r="HC608" s="113"/>
      <c r="HD608" s="113"/>
      <c r="HE608" s="113"/>
      <c r="HF608" s="113"/>
      <c r="HG608" s="46">
        <v>0</v>
      </c>
      <c r="HH608" s="113"/>
      <c r="HI608" s="113"/>
      <c r="HJ608" s="113"/>
      <c r="HK608" s="113"/>
      <c r="HL608" s="113"/>
      <c r="HM608" s="121"/>
      <c r="HN608" s="121"/>
      <c r="LM608" t="str">
        <v/>
      </c>
      <c r="LN608" t="str">
        <v/>
      </c>
      <c r="LO608" t="str">
        <v/>
      </c>
    </row>
    <row r="609" spans="30:327">
      <c r="AD609" t="s">
        <v>112</v>
      </c>
      <c r="AE609" t="s">
        <v>23124</v>
      </c>
      <c r="AF609" s="46">
        <v>0</v>
      </c>
      <c r="AG609" s="113"/>
      <c r="AH609" s="113"/>
      <c r="AI609" s="113"/>
      <c r="AJ609" s="113"/>
      <c r="AK609" s="113"/>
      <c r="AL609" s="46">
        <v>0</v>
      </c>
      <c r="AM609" s="113"/>
      <c r="AN609" s="113"/>
      <c r="AO609" s="113"/>
      <c r="AP609" s="113"/>
      <c r="AQ609" s="113"/>
      <c r="AR609" s="46">
        <v>0</v>
      </c>
      <c r="AS609" s="113"/>
      <c r="AT609" s="113"/>
      <c r="AU609" s="113"/>
      <c r="AV609" s="113"/>
      <c r="AW609" s="113"/>
      <c r="AX609" s="46">
        <v>0</v>
      </c>
      <c r="AY609" s="113"/>
      <c r="AZ609" s="113"/>
      <c r="BA609" s="113"/>
      <c r="BB609" s="113"/>
      <c r="BC609" s="113"/>
      <c r="BD609" s="46">
        <v>0</v>
      </c>
      <c r="BE609" s="113"/>
      <c r="BF609" s="113"/>
      <c r="BG609" s="113"/>
      <c r="BH609" s="113"/>
      <c r="BI609" s="113"/>
      <c r="BJ609" s="46">
        <v>0</v>
      </c>
      <c r="BK609" s="113"/>
      <c r="BL609" s="113"/>
      <c r="BM609" s="113"/>
      <c r="BN609" s="113"/>
      <c r="BO609" s="113"/>
      <c r="BP609" s="121"/>
      <c r="BQ609" s="121"/>
      <c r="GA609" t="s">
        <v>112</v>
      </c>
      <c r="GB609" t="s">
        <v>23124</v>
      </c>
      <c r="GC609" s="46">
        <v>0</v>
      </c>
      <c r="GD609" s="113"/>
      <c r="GE609" s="113"/>
      <c r="GF609" s="113"/>
      <c r="GG609" s="113"/>
      <c r="GH609" s="113"/>
      <c r="GI609" s="46">
        <v>0</v>
      </c>
      <c r="GJ609" s="113"/>
      <c r="GK609" s="113"/>
      <c r="GL609" s="113"/>
      <c r="GM609" s="113"/>
      <c r="GN609" s="113"/>
      <c r="GO609" s="46">
        <v>0</v>
      </c>
      <c r="GP609" s="113"/>
      <c r="GQ609" s="113"/>
      <c r="GR609" s="113"/>
      <c r="GS609" s="113"/>
      <c r="GT609" s="113"/>
      <c r="GU609" s="46">
        <v>0</v>
      </c>
      <c r="GV609" s="113"/>
      <c r="GW609" s="113"/>
      <c r="GX609" s="113"/>
      <c r="GY609" s="113"/>
      <c r="GZ609" s="113"/>
      <c r="HA609" s="46">
        <v>0</v>
      </c>
      <c r="HB609" s="113"/>
      <c r="HC609" s="113"/>
      <c r="HD609" s="113"/>
      <c r="HE609" s="113"/>
      <c r="HF609" s="113"/>
      <c r="HG609" s="46">
        <v>0</v>
      </c>
      <c r="HH609" s="113"/>
      <c r="HI609" s="113"/>
      <c r="HJ609" s="113"/>
      <c r="HK609" s="113"/>
      <c r="HL609" s="113"/>
      <c r="HM609" s="121"/>
      <c r="HN609" s="121"/>
      <c r="LM609" t="str">
        <v/>
      </c>
      <c r="LN609" t="str">
        <v/>
      </c>
      <c r="LO609" t="str">
        <v/>
      </c>
    </row>
    <row r="610" spans="30:327">
      <c r="AD610" t="s">
        <v>112</v>
      </c>
      <c r="AE610" t="s">
        <v>23125</v>
      </c>
      <c r="AF610" s="46">
        <v>0</v>
      </c>
      <c r="AG610" s="113"/>
      <c r="AH610" s="113"/>
      <c r="AI610" s="113"/>
      <c r="AJ610" s="113"/>
      <c r="AK610" s="113"/>
      <c r="AL610" s="46">
        <v>0</v>
      </c>
      <c r="AM610" s="113"/>
      <c r="AN610" s="113"/>
      <c r="AO610" s="113"/>
      <c r="AP610" s="113"/>
      <c r="AQ610" s="113"/>
      <c r="AR610" s="46">
        <v>0</v>
      </c>
      <c r="AS610" s="113"/>
      <c r="AT610" s="113"/>
      <c r="AU610" s="113"/>
      <c r="AV610" s="113"/>
      <c r="AW610" s="113"/>
      <c r="AX610" s="46">
        <v>0</v>
      </c>
      <c r="AY610" s="113"/>
      <c r="AZ610" s="113"/>
      <c r="BA610" s="113"/>
      <c r="BB610" s="113"/>
      <c r="BC610" s="113"/>
      <c r="BD610" s="46">
        <v>0</v>
      </c>
      <c r="BE610" s="113"/>
      <c r="BF610" s="113"/>
      <c r="BG610" s="113"/>
      <c r="BH610" s="113"/>
      <c r="BI610" s="113"/>
      <c r="BJ610" s="46">
        <v>0</v>
      </c>
      <c r="BK610" s="113"/>
      <c r="BL610" s="113"/>
      <c r="BM610" s="113"/>
      <c r="BN610" s="113"/>
      <c r="BO610" s="113"/>
      <c r="BP610" s="121"/>
      <c r="BQ610" s="121"/>
      <c r="GA610" t="s">
        <v>112</v>
      </c>
      <c r="GB610" t="s">
        <v>23125</v>
      </c>
      <c r="GC610" s="46">
        <v>0</v>
      </c>
      <c r="GD610" s="113"/>
      <c r="GE610" s="113"/>
      <c r="GF610" s="113"/>
      <c r="GG610" s="113"/>
      <c r="GH610" s="113"/>
      <c r="GI610" s="46">
        <v>0</v>
      </c>
      <c r="GJ610" s="113"/>
      <c r="GK610" s="113"/>
      <c r="GL610" s="113"/>
      <c r="GM610" s="113"/>
      <c r="GN610" s="113"/>
      <c r="GO610" s="46">
        <v>0</v>
      </c>
      <c r="GP610" s="113"/>
      <c r="GQ610" s="113"/>
      <c r="GR610" s="113"/>
      <c r="GS610" s="113"/>
      <c r="GT610" s="113"/>
      <c r="GU610" s="46">
        <v>0</v>
      </c>
      <c r="GV610" s="113"/>
      <c r="GW610" s="113"/>
      <c r="GX610" s="113"/>
      <c r="GY610" s="113"/>
      <c r="GZ610" s="113"/>
      <c r="HA610" s="46">
        <v>0</v>
      </c>
      <c r="HB610" s="113"/>
      <c r="HC610" s="113"/>
      <c r="HD610" s="113"/>
      <c r="HE610" s="113"/>
      <c r="HF610" s="113"/>
      <c r="HG610" s="46">
        <v>0</v>
      </c>
      <c r="HH610" s="113"/>
      <c r="HI610" s="113"/>
      <c r="HJ610" s="113"/>
      <c r="HK610" s="113"/>
      <c r="HL610" s="113"/>
      <c r="HM610" s="121"/>
      <c r="HN610" s="121"/>
      <c r="LM610" t="str">
        <v/>
      </c>
      <c r="LN610" t="str">
        <v/>
      </c>
      <c r="LO610" t="str">
        <v/>
      </c>
    </row>
    <row r="611" spans="30:327">
      <c r="AD611" t="s">
        <v>112</v>
      </c>
      <c r="AE611" t="s">
        <v>23126</v>
      </c>
      <c r="AF611" s="46">
        <v>0</v>
      </c>
      <c r="AG611" s="113"/>
      <c r="AH611" s="113"/>
      <c r="AI611" s="113"/>
      <c r="AJ611" s="113"/>
      <c r="AK611" s="113"/>
      <c r="AL611" s="46">
        <v>0</v>
      </c>
      <c r="AM611" s="113"/>
      <c r="AN611" s="113"/>
      <c r="AO611" s="113"/>
      <c r="AP611" s="113"/>
      <c r="AQ611" s="113"/>
      <c r="AR611" s="46">
        <v>0</v>
      </c>
      <c r="AS611" s="113"/>
      <c r="AT611" s="113"/>
      <c r="AU611" s="113"/>
      <c r="AV611" s="113"/>
      <c r="AW611" s="113"/>
      <c r="AX611" s="46">
        <v>0</v>
      </c>
      <c r="AY611" s="113"/>
      <c r="AZ611" s="113"/>
      <c r="BA611" s="113"/>
      <c r="BB611" s="113"/>
      <c r="BC611" s="113"/>
      <c r="BD611" s="46">
        <v>0</v>
      </c>
      <c r="BE611" s="113"/>
      <c r="BF611" s="113"/>
      <c r="BG611" s="113"/>
      <c r="BH611" s="113"/>
      <c r="BI611" s="113"/>
      <c r="BJ611" s="46">
        <v>0</v>
      </c>
      <c r="BK611" s="113"/>
      <c r="BL611" s="113"/>
      <c r="BM611" s="113"/>
      <c r="BN611" s="113"/>
      <c r="BO611" s="113"/>
      <c r="BP611" s="121"/>
      <c r="BQ611" s="121"/>
      <c r="GA611" t="s">
        <v>112</v>
      </c>
      <c r="GB611" t="s">
        <v>23126</v>
      </c>
      <c r="GC611" s="46">
        <v>0</v>
      </c>
      <c r="GD611" s="113"/>
      <c r="GE611" s="113"/>
      <c r="GF611" s="113"/>
      <c r="GG611" s="113"/>
      <c r="GH611" s="113"/>
      <c r="GI611" s="46">
        <v>0</v>
      </c>
      <c r="GJ611" s="113"/>
      <c r="GK611" s="113"/>
      <c r="GL611" s="113"/>
      <c r="GM611" s="113"/>
      <c r="GN611" s="113"/>
      <c r="GO611" s="46">
        <v>0</v>
      </c>
      <c r="GP611" s="113"/>
      <c r="GQ611" s="113"/>
      <c r="GR611" s="113"/>
      <c r="GS611" s="113"/>
      <c r="GT611" s="113"/>
      <c r="GU611" s="46">
        <v>0</v>
      </c>
      <c r="GV611" s="113"/>
      <c r="GW611" s="113"/>
      <c r="GX611" s="113"/>
      <c r="GY611" s="113"/>
      <c r="GZ611" s="113"/>
      <c r="HA611" s="46">
        <v>0</v>
      </c>
      <c r="HB611" s="113"/>
      <c r="HC611" s="113"/>
      <c r="HD611" s="113"/>
      <c r="HE611" s="113"/>
      <c r="HF611" s="113"/>
      <c r="HG611" s="46">
        <v>0</v>
      </c>
      <c r="HH611" s="113"/>
      <c r="HI611" s="113"/>
      <c r="HJ611" s="113"/>
      <c r="HK611" s="113"/>
      <c r="HL611" s="113"/>
      <c r="HM611" s="121"/>
      <c r="HN611" s="121"/>
      <c r="LM611" t="str">
        <v/>
      </c>
      <c r="LN611" t="str">
        <v/>
      </c>
      <c r="LO611" t="str">
        <v/>
      </c>
    </row>
    <row r="612" spans="30:327">
      <c r="AD612" t="s">
        <v>112</v>
      </c>
      <c r="AE612" t="s">
        <v>23127</v>
      </c>
      <c r="AF612" s="46">
        <v>0</v>
      </c>
      <c r="AG612" s="113"/>
      <c r="AH612" s="113"/>
      <c r="AI612" s="113"/>
      <c r="AJ612" s="113"/>
      <c r="AK612" s="113"/>
      <c r="AL612" s="46">
        <v>0</v>
      </c>
      <c r="AM612" s="113"/>
      <c r="AN612" s="113"/>
      <c r="AO612" s="113"/>
      <c r="AP612" s="113"/>
      <c r="AQ612" s="113"/>
      <c r="AR612" s="46">
        <v>0</v>
      </c>
      <c r="AS612" s="113"/>
      <c r="AT612" s="113"/>
      <c r="AU612" s="113"/>
      <c r="AV612" s="113"/>
      <c r="AW612" s="113"/>
      <c r="AX612" s="46">
        <v>0</v>
      </c>
      <c r="AY612" s="113"/>
      <c r="AZ612" s="113"/>
      <c r="BA612" s="113"/>
      <c r="BB612" s="113"/>
      <c r="BC612" s="113"/>
      <c r="BD612" s="46">
        <v>0</v>
      </c>
      <c r="BE612" s="113"/>
      <c r="BF612" s="113"/>
      <c r="BG612" s="113"/>
      <c r="BH612" s="113"/>
      <c r="BI612" s="113"/>
      <c r="BJ612" s="46">
        <v>0</v>
      </c>
      <c r="BK612" s="113"/>
      <c r="BL612" s="113"/>
      <c r="BM612" s="113"/>
      <c r="BN612" s="113"/>
      <c r="BO612" s="113"/>
      <c r="BP612" s="121"/>
      <c r="BQ612" s="121"/>
      <c r="GA612" t="s">
        <v>112</v>
      </c>
      <c r="GB612" t="s">
        <v>23127</v>
      </c>
      <c r="GC612" s="46">
        <v>0</v>
      </c>
      <c r="GD612" s="113"/>
      <c r="GE612" s="113"/>
      <c r="GF612" s="113"/>
      <c r="GG612" s="113"/>
      <c r="GH612" s="113"/>
      <c r="GI612" s="46">
        <v>0</v>
      </c>
      <c r="GJ612" s="113"/>
      <c r="GK612" s="113"/>
      <c r="GL612" s="113"/>
      <c r="GM612" s="113"/>
      <c r="GN612" s="113"/>
      <c r="GO612" s="46">
        <v>0</v>
      </c>
      <c r="GP612" s="113"/>
      <c r="GQ612" s="113"/>
      <c r="GR612" s="113"/>
      <c r="GS612" s="113"/>
      <c r="GT612" s="113"/>
      <c r="GU612" s="46">
        <v>0</v>
      </c>
      <c r="GV612" s="113"/>
      <c r="GW612" s="113"/>
      <c r="GX612" s="113"/>
      <c r="GY612" s="113"/>
      <c r="GZ612" s="113"/>
      <c r="HA612" s="46">
        <v>0</v>
      </c>
      <c r="HB612" s="113"/>
      <c r="HC612" s="113"/>
      <c r="HD612" s="113"/>
      <c r="HE612" s="113"/>
      <c r="HF612" s="113"/>
      <c r="HG612" s="46">
        <v>0</v>
      </c>
      <c r="HH612" s="113"/>
      <c r="HI612" s="113"/>
      <c r="HJ612" s="113"/>
      <c r="HK612" s="113"/>
      <c r="HL612" s="113"/>
      <c r="HM612" s="121"/>
      <c r="HN612" s="121"/>
      <c r="LM612" t="str">
        <v/>
      </c>
      <c r="LN612" t="str">
        <v/>
      </c>
      <c r="LO612" t="str">
        <v/>
      </c>
    </row>
    <row r="613" spans="30:327">
      <c r="AD613" t="s">
        <v>112</v>
      </c>
      <c r="AE613" t="s">
        <v>23128</v>
      </c>
      <c r="AF613" s="46">
        <v>0</v>
      </c>
      <c r="AG613" s="113"/>
      <c r="AH613" s="113"/>
      <c r="AI613" s="113"/>
      <c r="AJ613" s="113"/>
      <c r="AK613" s="113"/>
      <c r="AL613" s="46">
        <v>0</v>
      </c>
      <c r="AM613" s="113"/>
      <c r="AN613" s="113"/>
      <c r="AO613" s="113"/>
      <c r="AP613" s="113"/>
      <c r="AQ613" s="113"/>
      <c r="AR613" s="46">
        <v>0</v>
      </c>
      <c r="AS613" s="113"/>
      <c r="AT613" s="113"/>
      <c r="AU613" s="113"/>
      <c r="AV613" s="113"/>
      <c r="AW613" s="113"/>
      <c r="AX613" s="46">
        <v>0</v>
      </c>
      <c r="AY613" s="113"/>
      <c r="AZ613" s="113"/>
      <c r="BA613" s="113"/>
      <c r="BB613" s="113"/>
      <c r="BC613" s="113"/>
      <c r="BD613" s="46">
        <v>0</v>
      </c>
      <c r="BE613" s="113"/>
      <c r="BF613" s="113"/>
      <c r="BG613" s="113"/>
      <c r="BH613" s="113"/>
      <c r="BI613" s="113"/>
      <c r="BJ613" s="46">
        <v>0</v>
      </c>
      <c r="BK613" s="113"/>
      <c r="BL613" s="113"/>
      <c r="BM613" s="113"/>
      <c r="BN613" s="113"/>
      <c r="BO613" s="113"/>
      <c r="BP613" s="121"/>
      <c r="BQ613" s="121"/>
      <c r="GA613" t="s">
        <v>112</v>
      </c>
      <c r="GB613" t="s">
        <v>23128</v>
      </c>
      <c r="GC613" s="46">
        <v>0</v>
      </c>
      <c r="GD613" s="113"/>
      <c r="GE613" s="113"/>
      <c r="GF613" s="113"/>
      <c r="GG613" s="113"/>
      <c r="GH613" s="113"/>
      <c r="GI613" s="46">
        <v>0</v>
      </c>
      <c r="GJ613" s="113"/>
      <c r="GK613" s="113"/>
      <c r="GL613" s="113"/>
      <c r="GM613" s="113"/>
      <c r="GN613" s="113"/>
      <c r="GO613" s="46">
        <v>0</v>
      </c>
      <c r="GP613" s="113"/>
      <c r="GQ613" s="113"/>
      <c r="GR613" s="113"/>
      <c r="GS613" s="113"/>
      <c r="GT613" s="113"/>
      <c r="GU613" s="46">
        <v>0</v>
      </c>
      <c r="GV613" s="113"/>
      <c r="GW613" s="113"/>
      <c r="GX613" s="113"/>
      <c r="GY613" s="113"/>
      <c r="GZ613" s="113"/>
      <c r="HA613" s="46">
        <v>0</v>
      </c>
      <c r="HB613" s="113"/>
      <c r="HC613" s="113"/>
      <c r="HD613" s="113"/>
      <c r="HE613" s="113"/>
      <c r="HF613" s="113"/>
      <c r="HG613" s="46">
        <v>0</v>
      </c>
      <c r="HH613" s="113"/>
      <c r="HI613" s="113"/>
      <c r="HJ613" s="113"/>
      <c r="HK613" s="113"/>
      <c r="HL613" s="113"/>
      <c r="HM613" s="121"/>
      <c r="HN613" s="121"/>
      <c r="LM613" t="str">
        <v/>
      </c>
      <c r="LN613" t="str">
        <v/>
      </c>
      <c r="LO613" t="str">
        <v/>
      </c>
    </row>
    <row r="614" spans="30:327">
      <c r="AD614" t="s">
        <v>112</v>
      </c>
      <c r="AE614" t="s">
        <v>23129</v>
      </c>
      <c r="AF614" s="46">
        <v>0</v>
      </c>
      <c r="AG614" s="113"/>
      <c r="AH614" s="113"/>
      <c r="AI614" s="113"/>
      <c r="AJ614" s="113"/>
      <c r="AK614" s="113"/>
      <c r="AL614" s="46">
        <v>0</v>
      </c>
      <c r="AM614" s="113"/>
      <c r="AN614" s="113"/>
      <c r="AO614" s="113"/>
      <c r="AP614" s="113"/>
      <c r="AQ614" s="113"/>
      <c r="AR614" s="46">
        <v>0</v>
      </c>
      <c r="AS614" s="113"/>
      <c r="AT614" s="113"/>
      <c r="AU614" s="113"/>
      <c r="AV614" s="113"/>
      <c r="AW614" s="113"/>
      <c r="AX614" s="46">
        <v>0</v>
      </c>
      <c r="AY614" s="113"/>
      <c r="AZ614" s="113"/>
      <c r="BA614" s="113"/>
      <c r="BB614" s="113"/>
      <c r="BC614" s="113"/>
      <c r="BD614" s="46">
        <v>0</v>
      </c>
      <c r="BE614" s="113"/>
      <c r="BF614" s="113"/>
      <c r="BG614" s="113"/>
      <c r="BH614" s="113"/>
      <c r="BI614" s="113"/>
      <c r="BJ614" s="46">
        <v>0</v>
      </c>
      <c r="BK614" s="113"/>
      <c r="BL614" s="113"/>
      <c r="BM614" s="113"/>
      <c r="BN614" s="113"/>
      <c r="BO614" s="113"/>
      <c r="BP614" s="121"/>
      <c r="BQ614" s="121"/>
      <c r="GA614" t="s">
        <v>112</v>
      </c>
      <c r="GB614" t="s">
        <v>23129</v>
      </c>
      <c r="GC614" s="46">
        <v>0</v>
      </c>
      <c r="GD614" s="113"/>
      <c r="GE614" s="113"/>
      <c r="GF614" s="113"/>
      <c r="GG614" s="113"/>
      <c r="GH614" s="113"/>
      <c r="GI614" s="46">
        <v>0</v>
      </c>
      <c r="GJ614" s="113"/>
      <c r="GK614" s="113"/>
      <c r="GL614" s="113"/>
      <c r="GM614" s="113"/>
      <c r="GN614" s="113"/>
      <c r="GO614" s="46">
        <v>0</v>
      </c>
      <c r="GP614" s="113"/>
      <c r="GQ614" s="113"/>
      <c r="GR614" s="113"/>
      <c r="GS614" s="113"/>
      <c r="GT614" s="113"/>
      <c r="GU614" s="46">
        <v>0</v>
      </c>
      <c r="GV614" s="113"/>
      <c r="GW614" s="113"/>
      <c r="GX614" s="113"/>
      <c r="GY614" s="113"/>
      <c r="GZ614" s="113"/>
      <c r="HA614" s="46">
        <v>0</v>
      </c>
      <c r="HB614" s="113"/>
      <c r="HC614" s="113"/>
      <c r="HD614" s="113"/>
      <c r="HE614" s="113"/>
      <c r="HF614" s="113"/>
      <c r="HG614" s="46">
        <v>0</v>
      </c>
      <c r="HH614" s="113"/>
      <c r="HI614" s="113"/>
      <c r="HJ614" s="113"/>
      <c r="HK614" s="113"/>
      <c r="HL614" s="113"/>
      <c r="HM614" s="121"/>
      <c r="HN614" s="121"/>
      <c r="LM614" t="str">
        <v/>
      </c>
      <c r="LN614" t="str">
        <v/>
      </c>
      <c r="LO614" t="str">
        <v/>
      </c>
    </row>
    <row r="615" spans="30:327">
      <c r="AD615" t="s">
        <v>112</v>
      </c>
      <c r="AE615" t="s">
        <v>23130</v>
      </c>
      <c r="AF615" s="46">
        <v>0</v>
      </c>
      <c r="AG615" s="113"/>
      <c r="AH615" s="113"/>
      <c r="AI615" s="113"/>
      <c r="AJ615" s="113"/>
      <c r="AK615" s="113"/>
      <c r="AL615" s="46">
        <v>0</v>
      </c>
      <c r="AM615" s="113"/>
      <c r="AN615" s="113"/>
      <c r="AO615" s="113"/>
      <c r="AP615" s="113"/>
      <c r="AQ615" s="113"/>
      <c r="AR615" s="46">
        <v>0</v>
      </c>
      <c r="AS615" s="113"/>
      <c r="AT615" s="113"/>
      <c r="AU615" s="113"/>
      <c r="AV615" s="113"/>
      <c r="AW615" s="113"/>
      <c r="AX615" s="46">
        <v>0</v>
      </c>
      <c r="AY615" s="113"/>
      <c r="AZ615" s="113"/>
      <c r="BA615" s="113"/>
      <c r="BB615" s="113"/>
      <c r="BC615" s="113"/>
      <c r="BD615" s="46">
        <v>0</v>
      </c>
      <c r="BE615" s="113"/>
      <c r="BF615" s="113"/>
      <c r="BG615" s="113"/>
      <c r="BH615" s="113"/>
      <c r="BI615" s="113"/>
      <c r="BJ615" s="46">
        <v>0</v>
      </c>
      <c r="BK615" s="113"/>
      <c r="BL615" s="113"/>
      <c r="BM615" s="113"/>
      <c r="BN615" s="113"/>
      <c r="BO615" s="113"/>
      <c r="BP615" s="121"/>
      <c r="BQ615" s="121"/>
      <c r="GA615" t="s">
        <v>112</v>
      </c>
      <c r="GB615" t="s">
        <v>23130</v>
      </c>
      <c r="GC615" s="46">
        <v>0</v>
      </c>
      <c r="GD615" s="113"/>
      <c r="GE615" s="113"/>
      <c r="GF615" s="113"/>
      <c r="GG615" s="113"/>
      <c r="GH615" s="113"/>
      <c r="GI615" s="46">
        <v>0</v>
      </c>
      <c r="GJ615" s="113"/>
      <c r="GK615" s="113"/>
      <c r="GL615" s="113"/>
      <c r="GM615" s="113"/>
      <c r="GN615" s="113"/>
      <c r="GO615" s="46">
        <v>0</v>
      </c>
      <c r="GP615" s="113"/>
      <c r="GQ615" s="113"/>
      <c r="GR615" s="113"/>
      <c r="GS615" s="113"/>
      <c r="GT615" s="113"/>
      <c r="GU615" s="46">
        <v>0</v>
      </c>
      <c r="GV615" s="113"/>
      <c r="GW615" s="113"/>
      <c r="GX615" s="113"/>
      <c r="GY615" s="113"/>
      <c r="GZ615" s="113"/>
      <c r="HA615" s="46">
        <v>0</v>
      </c>
      <c r="HB615" s="113"/>
      <c r="HC615" s="113"/>
      <c r="HD615" s="113"/>
      <c r="HE615" s="113"/>
      <c r="HF615" s="113"/>
      <c r="HG615" s="46">
        <v>0</v>
      </c>
      <c r="HH615" s="113"/>
      <c r="HI615" s="113"/>
      <c r="HJ615" s="113"/>
      <c r="HK615" s="113"/>
      <c r="HL615" s="113"/>
      <c r="HM615" s="121"/>
      <c r="HN615" s="121"/>
      <c r="LM615" t="str">
        <v/>
      </c>
      <c r="LN615" t="str">
        <v/>
      </c>
      <c r="LO615" t="str">
        <v/>
      </c>
    </row>
    <row r="616" spans="30:327">
      <c r="AD616" t="s">
        <v>112</v>
      </c>
      <c r="AE616" t="s">
        <v>23131</v>
      </c>
      <c r="AF616" s="46">
        <v>0</v>
      </c>
      <c r="AG616" s="113"/>
      <c r="AH616" s="113"/>
      <c r="AI616" s="113"/>
      <c r="AJ616" s="113"/>
      <c r="AK616" s="113"/>
      <c r="AL616" s="46">
        <v>0</v>
      </c>
      <c r="AM616" s="113"/>
      <c r="AN616" s="113"/>
      <c r="AO616" s="113"/>
      <c r="AP616" s="113"/>
      <c r="AQ616" s="113"/>
      <c r="AR616" s="46">
        <v>0</v>
      </c>
      <c r="AS616" s="113"/>
      <c r="AT616" s="113"/>
      <c r="AU616" s="113"/>
      <c r="AV616" s="113"/>
      <c r="AW616" s="113"/>
      <c r="AX616" s="46">
        <v>0</v>
      </c>
      <c r="AY616" s="113"/>
      <c r="AZ616" s="113"/>
      <c r="BA616" s="113"/>
      <c r="BB616" s="113"/>
      <c r="BC616" s="113"/>
      <c r="BD616" s="46">
        <v>0</v>
      </c>
      <c r="BE616" s="113"/>
      <c r="BF616" s="113"/>
      <c r="BG616" s="113"/>
      <c r="BH616" s="113"/>
      <c r="BI616" s="113"/>
      <c r="BJ616" s="46">
        <v>0</v>
      </c>
      <c r="BK616" s="113"/>
      <c r="BL616" s="113"/>
      <c r="BM616" s="113"/>
      <c r="BN616" s="113"/>
      <c r="BO616" s="113"/>
      <c r="BP616" s="121"/>
      <c r="BQ616" s="121"/>
      <c r="GA616" t="s">
        <v>112</v>
      </c>
      <c r="GB616" t="s">
        <v>23131</v>
      </c>
      <c r="GC616" s="46">
        <v>0</v>
      </c>
      <c r="GD616" s="113"/>
      <c r="GE616" s="113"/>
      <c r="GF616" s="113"/>
      <c r="GG616" s="113"/>
      <c r="GH616" s="113"/>
      <c r="GI616" s="46">
        <v>0</v>
      </c>
      <c r="GJ616" s="113"/>
      <c r="GK616" s="113"/>
      <c r="GL616" s="113"/>
      <c r="GM616" s="113"/>
      <c r="GN616" s="113"/>
      <c r="GO616" s="46">
        <v>0</v>
      </c>
      <c r="GP616" s="113"/>
      <c r="GQ616" s="113"/>
      <c r="GR616" s="113"/>
      <c r="GS616" s="113"/>
      <c r="GT616" s="113"/>
      <c r="GU616" s="46">
        <v>0</v>
      </c>
      <c r="GV616" s="113"/>
      <c r="GW616" s="113"/>
      <c r="GX616" s="113"/>
      <c r="GY616" s="113"/>
      <c r="GZ616" s="113"/>
      <c r="HA616" s="46">
        <v>0</v>
      </c>
      <c r="HB616" s="113"/>
      <c r="HC616" s="113"/>
      <c r="HD616" s="113"/>
      <c r="HE616" s="113"/>
      <c r="HF616" s="113"/>
      <c r="HG616" s="46">
        <v>0</v>
      </c>
      <c r="HH616" s="113"/>
      <c r="HI616" s="113"/>
      <c r="HJ616" s="113"/>
      <c r="HK616" s="113"/>
      <c r="HL616" s="113"/>
      <c r="HM616" s="121"/>
      <c r="HN616" s="121"/>
      <c r="LM616" t="str">
        <v/>
      </c>
      <c r="LN616" t="str">
        <v/>
      </c>
      <c r="LO616" t="str">
        <v/>
      </c>
    </row>
    <row r="617" spans="30:327">
      <c r="AD617" t="s">
        <v>112</v>
      </c>
      <c r="AE617" t="s">
        <v>23132</v>
      </c>
      <c r="AF617" s="46">
        <v>0</v>
      </c>
      <c r="AG617" s="113"/>
      <c r="AH617" s="113"/>
      <c r="AI617" s="113"/>
      <c r="AJ617" s="113"/>
      <c r="AK617" s="113"/>
      <c r="AL617" s="46">
        <v>0</v>
      </c>
      <c r="AM617" s="113"/>
      <c r="AN617" s="113"/>
      <c r="AO617" s="113"/>
      <c r="AP617" s="113"/>
      <c r="AQ617" s="113"/>
      <c r="AR617" s="46">
        <v>0</v>
      </c>
      <c r="AS617" s="113"/>
      <c r="AT617" s="113"/>
      <c r="AU617" s="113"/>
      <c r="AV617" s="113"/>
      <c r="AW617" s="113"/>
      <c r="AX617" s="46">
        <v>0</v>
      </c>
      <c r="AY617" s="113"/>
      <c r="AZ617" s="113"/>
      <c r="BA617" s="113"/>
      <c r="BB617" s="113"/>
      <c r="BC617" s="113"/>
      <c r="BD617" s="46">
        <v>0</v>
      </c>
      <c r="BE617" s="113"/>
      <c r="BF617" s="113"/>
      <c r="BG617" s="113"/>
      <c r="BH617" s="113"/>
      <c r="BI617" s="113"/>
      <c r="BJ617" s="46">
        <v>0</v>
      </c>
      <c r="BK617" s="113"/>
      <c r="BL617" s="113"/>
      <c r="BM617" s="113"/>
      <c r="BN617" s="113"/>
      <c r="BO617" s="113"/>
      <c r="BP617" s="121"/>
      <c r="BQ617" s="121"/>
      <c r="GA617" t="s">
        <v>112</v>
      </c>
      <c r="GB617" t="s">
        <v>23132</v>
      </c>
      <c r="GC617" s="46">
        <v>0</v>
      </c>
      <c r="GD617" s="113"/>
      <c r="GE617" s="113"/>
      <c r="GF617" s="113"/>
      <c r="GG617" s="113"/>
      <c r="GH617" s="113"/>
      <c r="GI617" s="46">
        <v>0</v>
      </c>
      <c r="GJ617" s="113"/>
      <c r="GK617" s="113"/>
      <c r="GL617" s="113"/>
      <c r="GM617" s="113"/>
      <c r="GN617" s="113"/>
      <c r="GO617" s="46">
        <v>0</v>
      </c>
      <c r="GP617" s="113"/>
      <c r="GQ617" s="113"/>
      <c r="GR617" s="113"/>
      <c r="GS617" s="113"/>
      <c r="GT617" s="113"/>
      <c r="GU617" s="46">
        <v>0</v>
      </c>
      <c r="GV617" s="113"/>
      <c r="GW617" s="113"/>
      <c r="GX617" s="113"/>
      <c r="GY617" s="113"/>
      <c r="GZ617" s="113"/>
      <c r="HA617" s="46">
        <v>0</v>
      </c>
      <c r="HB617" s="113"/>
      <c r="HC617" s="113"/>
      <c r="HD617" s="113"/>
      <c r="HE617" s="113"/>
      <c r="HF617" s="113"/>
      <c r="HG617" s="46">
        <v>0</v>
      </c>
      <c r="HH617" s="113"/>
      <c r="HI617" s="113"/>
      <c r="HJ617" s="113"/>
      <c r="HK617" s="113"/>
      <c r="HL617" s="113"/>
      <c r="HM617" s="121"/>
      <c r="HN617" s="121"/>
      <c r="LM617" t="str">
        <v/>
      </c>
      <c r="LN617" t="str">
        <v/>
      </c>
      <c r="LO617" t="str">
        <v/>
      </c>
    </row>
    <row r="618" spans="30:327">
      <c r="AD618" t="s">
        <v>112</v>
      </c>
      <c r="AE618" t="s">
        <v>23133</v>
      </c>
      <c r="AF618" s="46">
        <v>0</v>
      </c>
      <c r="AG618" s="113"/>
      <c r="AH618" s="113"/>
      <c r="AI618" s="113"/>
      <c r="AJ618" s="113"/>
      <c r="AK618" s="113"/>
      <c r="AL618" s="46">
        <v>0</v>
      </c>
      <c r="AM618" s="113"/>
      <c r="AN618" s="113"/>
      <c r="AO618" s="113"/>
      <c r="AP618" s="113"/>
      <c r="AQ618" s="113"/>
      <c r="AR618" s="46">
        <v>0</v>
      </c>
      <c r="AS618" s="113"/>
      <c r="AT618" s="113"/>
      <c r="AU618" s="113"/>
      <c r="AV618" s="113"/>
      <c r="AW618" s="113"/>
      <c r="AX618" s="46">
        <v>0</v>
      </c>
      <c r="AY618" s="113"/>
      <c r="AZ618" s="113"/>
      <c r="BA618" s="113"/>
      <c r="BB618" s="113"/>
      <c r="BC618" s="113"/>
      <c r="BD618" s="46">
        <v>0</v>
      </c>
      <c r="BE618" s="113"/>
      <c r="BF618" s="113"/>
      <c r="BG618" s="113"/>
      <c r="BH618" s="113"/>
      <c r="BI618" s="113"/>
      <c r="BJ618" s="46">
        <v>0</v>
      </c>
      <c r="BK618" s="113"/>
      <c r="BL618" s="113"/>
      <c r="BM618" s="113"/>
      <c r="BN618" s="113"/>
      <c r="BO618" s="113"/>
      <c r="BP618" s="121"/>
      <c r="BQ618" s="121"/>
      <c r="GA618" t="s">
        <v>112</v>
      </c>
      <c r="GB618" t="s">
        <v>23133</v>
      </c>
      <c r="GC618" s="46">
        <v>0</v>
      </c>
      <c r="GD618" s="113"/>
      <c r="GE618" s="113"/>
      <c r="GF618" s="113"/>
      <c r="GG618" s="113"/>
      <c r="GH618" s="113"/>
      <c r="GI618" s="46">
        <v>0</v>
      </c>
      <c r="GJ618" s="113"/>
      <c r="GK618" s="113"/>
      <c r="GL618" s="113"/>
      <c r="GM618" s="113"/>
      <c r="GN618" s="113"/>
      <c r="GO618" s="46">
        <v>0</v>
      </c>
      <c r="GP618" s="113"/>
      <c r="GQ618" s="113"/>
      <c r="GR618" s="113"/>
      <c r="GS618" s="113"/>
      <c r="GT618" s="113"/>
      <c r="GU618" s="46">
        <v>0</v>
      </c>
      <c r="GV618" s="113"/>
      <c r="GW618" s="113"/>
      <c r="GX618" s="113"/>
      <c r="GY618" s="113"/>
      <c r="GZ618" s="113"/>
      <c r="HA618" s="46">
        <v>0</v>
      </c>
      <c r="HB618" s="113"/>
      <c r="HC618" s="113"/>
      <c r="HD618" s="113"/>
      <c r="HE618" s="113"/>
      <c r="HF618" s="113"/>
      <c r="HG618" s="46">
        <v>0</v>
      </c>
      <c r="HH618" s="113"/>
      <c r="HI618" s="113"/>
      <c r="HJ618" s="113"/>
      <c r="HK618" s="113"/>
      <c r="HL618" s="113"/>
      <c r="HM618" s="121"/>
      <c r="HN618" s="121"/>
      <c r="LM618" t="str">
        <v/>
      </c>
      <c r="LN618" t="str">
        <v/>
      </c>
      <c r="LO618" t="str">
        <v/>
      </c>
    </row>
    <row r="619" spans="30:327">
      <c r="AD619" t="s">
        <v>112</v>
      </c>
      <c r="AE619" t="s">
        <v>23134</v>
      </c>
      <c r="AF619" s="46">
        <v>0</v>
      </c>
      <c r="AG619" s="113"/>
      <c r="AH619" s="113"/>
      <c r="AI619" s="113"/>
      <c r="AJ619" s="113"/>
      <c r="AK619" s="113"/>
      <c r="AL619" s="46">
        <v>0</v>
      </c>
      <c r="AM619" s="113"/>
      <c r="AN619" s="113"/>
      <c r="AO619" s="113"/>
      <c r="AP619" s="113"/>
      <c r="AQ619" s="113"/>
      <c r="AR619" s="46">
        <v>0</v>
      </c>
      <c r="AS619" s="113"/>
      <c r="AT619" s="113"/>
      <c r="AU619" s="113"/>
      <c r="AV619" s="113"/>
      <c r="AW619" s="113"/>
      <c r="AX619" s="46">
        <v>0</v>
      </c>
      <c r="AY619" s="113"/>
      <c r="AZ619" s="113"/>
      <c r="BA619" s="113"/>
      <c r="BB619" s="113"/>
      <c r="BC619" s="113"/>
      <c r="BD619" s="46">
        <v>0</v>
      </c>
      <c r="BE619" s="113"/>
      <c r="BF619" s="113"/>
      <c r="BG619" s="113"/>
      <c r="BH619" s="113"/>
      <c r="BI619" s="113"/>
      <c r="BJ619" s="46">
        <v>0</v>
      </c>
      <c r="BK619" s="113"/>
      <c r="BL619" s="113"/>
      <c r="BM619" s="113"/>
      <c r="BN619" s="113"/>
      <c r="BO619" s="113"/>
      <c r="BP619" s="121"/>
      <c r="BQ619" s="121"/>
      <c r="GA619" t="s">
        <v>112</v>
      </c>
      <c r="GB619" t="s">
        <v>23134</v>
      </c>
      <c r="GC619" s="46">
        <v>0</v>
      </c>
      <c r="GD619" s="113"/>
      <c r="GE619" s="113"/>
      <c r="GF619" s="113"/>
      <c r="GG619" s="113"/>
      <c r="GH619" s="113"/>
      <c r="GI619" s="46">
        <v>0</v>
      </c>
      <c r="GJ619" s="113"/>
      <c r="GK619" s="113"/>
      <c r="GL619" s="113"/>
      <c r="GM619" s="113"/>
      <c r="GN619" s="113"/>
      <c r="GO619" s="46">
        <v>0</v>
      </c>
      <c r="GP619" s="113"/>
      <c r="GQ619" s="113"/>
      <c r="GR619" s="113"/>
      <c r="GS619" s="113"/>
      <c r="GT619" s="113"/>
      <c r="GU619" s="46">
        <v>0</v>
      </c>
      <c r="GV619" s="113"/>
      <c r="GW619" s="113"/>
      <c r="GX619" s="113"/>
      <c r="GY619" s="113"/>
      <c r="GZ619" s="113"/>
      <c r="HA619" s="46">
        <v>0</v>
      </c>
      <c r="HB619" s="113"/>
      <c r="HC619" s="113"/>
      <c r="HD619" s="113"/>
      <c r="HE619" s="113"/>
      <c r="HF619" s="113"/>
      <c r="HG619" s="46">
        <v>0</v>
      </c>
      <c r="HH619" s="113"/>
      <c r="HI619" s="113"/>
      <c r="HJ619" s="113"/>
      <c r="HK619" s="113"/>
      <c r="HL619" s="113"/>
      <c r="HM619" s="121"/>
      <c r="HN619" s="121"/>
      <c r="LM619" t="str">
        <v/>
      </c>
      <c r="LN619" t="str">
        <v/>
      </c>
      <c r="LO619" t="str">
        <v/>
      </c>
    </row>
    <row r="620" spans="30:327">
      <c r="AD620" t="s">
        <v>112</v>
      </c>
      <c r="AE620" t="s">
        <v>23135</v>
      </c>
      <c r="AF620" s="46">
        <v>0</v>
      </c>
      <c r="AG620" s="113"/>
      <c r="AH620" s="113"/>
      <c r="AI620" s="113"/>
      <c r="AJ620" s="113"/>
      <c r="AK620" s="113"/>
      <c r="AL620" s="46">
        <v>0</v>
      </c>
      <c r="AM620" s="113"/>
      <c r="AN620" s="113"/>
      <c r="AO620" s="113"/>
      <c r="AP620" s="113"/>
      <c r="AQ620" s="113"/>
      <c r="AR620" s="46">
        <v>0</v>
      </c>
      <c r="AS620" s="113"/>
      <c r="AT620" s="113"/>
      <c r="AU620" s="113"/>
      <c r="AV620" s="113"/>
      <c r="AW620" s="113"/>
      <c r="AX620" s="46">
        <v>0</v>
      </c>
      <c r="AY620" s="113"/>
      <c r="AZ620" s="113"/>
      <c r="BA620" s="113"/>
      <c r="BB620" s="113"/>
      <c r="BC620" s="113"/>
      <c r="BD620" s="46">
        <v>0</v>
      </c>
      <c r="BE620" s="113"/>
      <c r="BF620" s="113"/>
      <c r="BG620" s="113"/>
      <c r="BH620" s="113"/>
      <c r="BI620" s="113"/>
      <c r="BJ620" s="46">
        <v>0</v>
      </c>
      <c r="BK620" s="113"/>
      <c r="BL620" s="113"/>
      <c r="BM620" s="113"/>
      <c r="BN620" s="113"/>
      <c r="BO620" s="113"/>
      <c r="BP620" s="121"/>
      <c r="BQ620" s="121"/>
      <c r="GA620" t="s">
        <v>112</v>
      </c>
      <c r="GB620" t="s">
        <v>23135</v>
      </c>
      <c r="GC620" s="46">
        <v>0</v>
      </c>
      <c r="GD620" s="113"/>
      <c r="GE620" s="113"/>
      <c r="GF620" s="113"/>
      <c r="GG620" s="113"/>
      <c r="GH620" s="113"/>
      <c r="GI620" s="46">
        <v>0</v>
      </c>
      <c r="GJ620" s="113"/>
      <c r="GK620" s="113"/>
      <c r="GL620" s="113"/>
      <c r="GM620" s="113"/>
      <c r="GN620" s="113"/>
      <c r="GO620" s="46">
        <v>0</v>
      </c>
      <c r="GP620" s="113"/>
      <c r="GQ620" s="113"/>
      <c r="GR620" s="113"/>
      <c r="GS620" s="113"/>
      <c r="GT620" s="113"/>
      <c r="GU620" s="46">
        <v>0</v>
      </c>
      <c r="GV620" s="113"/>
      <c r="GW620" s="113"/>
      <c r="GX620" s="113"/>
      <c r="GY620" s="113"/>
      <c r="GZ620" s="113"/>
      <c r="HA620" s="46">
        <v>0</v>
      </c>
      <c r="HB620" s="113"/>
      <c r="HC620" s="113"/>
      <c r="HD620" s="113"/>
      <c r="HE620" s="113"/>
      <c r="HF620" s="113"/>
      <c r="HG620" s="46">
        <v>0</v>
      </c>
      <c r="HH620" s="113"/>
      <c r="HI620" s="113"/>
      <c r="HJ620" s="113"/>
      <c r="HK620" s="113"/>
      <c r="HL620" s="113"/>
      <c r="HM620" s="121"/>
      <c r="HN620" s="121"/>
      <c r="LM620" t="str">
        <v/>
      </c>
      <c r="LN620" t="str">
        <v/>
      </c>
      <c r="LO620" t="str">
        <v/>
      </c>
    </row>
    <row r="621" spans="30:327">
      <c r="AD621" t="s">
        <v>112</v>
      </c>
      <c r="AE621" t="s">
        <v>23136</v>
      </c>
      <c r="AF621" s="46">
        <v>0</v>
      </c>
      <c r="AG621" s="113"/>
      <c r="AH621" s="113"/>
      <c r="AI621" s="113"/>
      <c r="AJ621" s="113"/>
      <c r="AK621" s="113"/>
      <c r="AL621" s="46">
        <v>0</v>
      </c>
      <c r="AM621" s="113"/>
      <c r="AN621" s="113"/>
      <c r="AO621" s="113"/>
      <c r="AP621" s="113"/>
      <c r="AQ621" s="113"/>
      <c r="AR621" s="46">
        <v>0</v>
      </c>
      <c r="AS621" s="113"/>
      <c r="AT621" s="113"/>
      <c r="AU621" s="113"/>
      <c r="AV621" s="113"/>
      <c r="AW621" s="113"/>
      <c r="AX621" s="46">
        <v>0</v>
      </c>
      <c r="AY621" s="113"/>
      <c r="AZ621" s="113"/>
      <c r="BA621" s="113"/>
      <c r="BB621" s="113"/>
      <c r="BC621" s="113"/>
      <c r="BD621" s="46">
        <v>0</v>
      </c>
      <c r="BE621" s="113"/>
      <c r="BF621" s="113"/>
      <c r="BG621" s="113"/>
      <c r="BH621" s="113"/>
      <c r="BI621" s="113"/>
      <c r="BJ621" s="46">
        <v>0</v>
      </c>
      <c r="BK621" s="113"/>
      <c r="BL621" s="113"/>
      <c r="BM621" s="113"/>
      <c r="BN621" s="113"/>
      <c r="BO621" s="113"/>
      <c r="BP621" s="121"/>
      <c r="BQ621" s="121"/>
      <c r="GA621" t="s">
        <v>112</v>
      </c>
      <c r="GB621" t="s">
        <v>23136</v>
      </c>
      <c r="GC621" s="46">
        <v>0</v>
      </c>
      <c r="GD621" s="113"/>
      <c r="GE621" s="113"/>
      <c r="GF621" s="113"/>
      <c r="GG621" s="113"/>
      <c r="GH621" s="113"/>
      <c r="GI621" s="46">
        <v>0</v>
      </c>
      <c r="GJ621" s="113"/>
      <c r="GK621" s="113"/>
      <c r="GL621" s="113"/>
      <c r="GM621" s="113"/>
      <c r="GN621" s="113"/>
      <c r="GO621" s="46">
        <v>0</v>
      </c>
      <c r="GP621" s="113"/>
      <c r="GQ621" s="113"/>
      <c r="GR621" s="113"/>
      <c r="GS621" s="113"/>
      <c r="GT621" s="113"/>
      <c r="GU621" s="46">
        <v>0</v>
      </c>
      <c r="GV621" s="113"/>
      <c r="GW621" s="113"/>
      <c r="GX621" s="113"/>
      <c r="GY621" s="113"/>
      <c r="GZ621" s="113"/>
      <c r="HA621" s="46">
        <v>0</v>
      </c>
      <c r="HB621" s="113"/>
      <c r="HC621" s="113"/>
      <c r="HD621" s="113"/>
      <c r="HE621" s="113"/>
      <c r="HF621" s="113"/>
      <c r="HG621" s="46">
        <v>0</v>
      </c>
      <c r="HH621" s="113"/>
      <c r="HI621" s="113"/>
      <c r="HJ621" s="113"/>
      <c r="HK621" s="113"/>
      <c r="HL621" s="113"/>
      <c r="HM621" s="121"/>
      <c r="HN621" s="121"/>
      <c r="LM621" t="str">
        <v/>
      </c>
      <c r="LN621" t="str">
        <v/>
      </c>
      <c r="LO621" t="str">
        <v/>
      </c>
    </row>
    <row r="622" spans="30:327">
      <c r="AD622" t="s">
        <v>112</v>
      </c>
      <c r="AE622" t="s">
        <v>23137</v>
      </c>
      <c r="AF622" s="46">
        <v>0</v>
      </c>
      <c r="AG622" s="113"/>
      <c r="AH622" s="113"/>
      <c r="AI622" s="113"/>
      <c r="AJ622" s="113"/>
      <c r="AK622" s="113"/>
      <c r="AL622" s="46">
        <v>0</v>
      </c>
      <c r="AM622" s="113"/>
      <c r="AN622" s="113"/>
      <c r="AO622" s="113"/>
      <c r="AP622" s="113"/>
      <c r="AQ622" s="113"/>
      <c r="AR622" s="46">
        <v>0</v>
      </c>
      <c r="AS622" s="113"/>
      <c r="AT622" s="113"/>
      <c r="AU622" s="113"/>
      <c r="AV622" s="113"/>
      <c r="AW622" s="113"/>
      <c r="AX622" s="46">
        <v>0</v>
      </c>
      <c r="AY622" s="113"/>
      <c r="AZ622" s="113"/>
      <c r="BA622" s="113"/>
      <c r="BB622" s="113"/>
      <c r="BC622" s="113"/>
      <c r="BD622" s="46">
        <v>0</v>
      </c>
      <c r="BE622" s="113"/>
      <c r="BF622" s="113"/>
      <c r="BG622" s="113"/>
      <c r="BH622" s="113"/>
      <c r="BI622" s="113"/>
      <c r="BJ622" s="46">
        <v>0</v>
      </c>
      <c r="BK622" s="113"/>
      <c r="BL622" s="113"/>
      <c r="BM622" s="113"/>
      <c r="BN622" s="113"/>
      <c r="BO622" s="113"/>
      <c r="BP622" s="121"/>
      <c r="BQ622" s="121"/>
      <c r="GA622" t="s">
        <v>112</v>
      </c>
      <c r="GB622" t="s">
        <v>23137</v>
      </c>
      <c r="GC622" s="46">
        <v>0</v>
      </c>
      <c r="GD622" s="113"/>
      <c r="GE622" s="113"/>
      <c r="GF622" s="113"/>
      <c r="GG622" s="113"/>
      <c r="GH622" s="113"/>
      <c r="GI622" s="46">
        <v>0</v>
      </c>
      <c r="GJ622" s="113"/>
      <c r="GK622" s="113"/>
      <c r="GL622" s="113"/>
      <c r="GM622" s="113"/>
      <c r="GN622" s="113"/>
      <c r="GO622" s="46">
        <v>0</v>
      </c>
      <c r="GP622" s="113"/>
      <c r="GQ622" s="113"/>
      <c r="GR622" s="113"/>
      <c r="GS622" s="113"/>
      <c r="GT622" s="113"/>
      <c r="GU622" s="46">
        <v>0</v>
      </c>
      <c r="GV622" s="113"/>
      <c r="GW622" s="113"/>
      <c r="GX622" s="113"/>
      <c r="GY622" s="113"/>
      <c r="GZ622" s="113"/>
      <c r="HA622" s="46">
        <v>0</v>
      </c>
      <c r="HB622" s="113"/>
      <c r="HC622" s="113"/>
      <c r="HD622" s="113"/>
      <c r="HE622" s="113"/>
      <c r="HF622" s="113"/>
      <c r="HG622" s="46">
        <v>0</v>
      </c>
      <c r="HH622" s="113"/>
      <c r="HI622" s="113"/>
      <c r="HJ622" s="113"/>
      <c r="HK622" s="113"/>
      <c r="HL622" s="113"/>
      <c r="HM622" s="121"/>
      <c r="HN622" s="121"/>
      <c r="LM622" t="str">
        <v/>
      </c>
      <c r="LN622" t="str">
        <v/>
      </c>
      <c r="LO622" t="str">
        <v/>
      </c>
    </row>
    <row r="623" spans="30:327">
      <c r="AD623" t="s">
        <v>112</v>
      </c>
      <c r="AE623" t="s">
        <v>23138</v>
      </c>
      <c r="AF623" s="46">
        <v>0</v>
      </c>
      <c r="AG623" s="113"/>
      <c r="AH623" s="113"/>
      <c r="AI623" s="113"/>
      <c r="AJ623" s="113"/>
      <c r="AK623" s="113"/>
      <c r="AL623" s="46">
        <v>0</v>
      </c>
      <c r="AM623" s="113"/>
      <c r="AN623" s="113"/>
      <c r="AO623" s="113"/>
      <c r="AP623" s="113"/>
      <c r="AQ623" s="113"/>
      <c r="AR623" s="46">
        <v>0</v>
      </c>
      <c r="AS623" s="113"/>
      <c r="AT623" s="113"/>
      <c r="AU623" s="113"/>
      <c r="AV623" s="113"/>
      <c r="AW623" s="113"/>
      <c r="AX623" s="46">
        <v>0</v>
      </c>
      <c r="AY623" s="113"/>
      <c r="AZ623" s="113"/>
      <c r="BA623" s="113"/>
      <c r="BB623" s="113"/>
      <c r="BC623" s="113"/>
      <c r="BD623" s="46">
        <v>0</v>
      </c>
      <c r="BE623" s="113"/>
      <c r="BF623" s="113"/>
      <c r="BG623" s="113"/>
      <c r="BH623" s="113"/>
      <c r="BI623" s="113"/>
      <c r="BJ623" s="46">
        <v>0</v>
      </c>
      <c r="BK623" s="113"/>
      <c r="BL623" s="113"/>
      <c r="BM623" s="113"/>
      <c r="BN623" s="113"/>
      <c r="BO623" s="113"/>
      <c r="BP623" s="121"/>
      <c r="BQ623" s="121"/>
      <c r="GA623" t="s">
        <v>112</v>
      </c>
      <c r="GB623" t="s">
        <v>23138</v>
      </c>
      <c r="GC623" s="46">
        <v>0</v>
      </c>
      <c r="GD623" s="113"/>
      <c r="GE623" s="113"/>
      <c r="GF623" s="113"/>
      <c r="GG623" s="113"/>
      <c r="GH623" s="113"/>
      <c r="GI623" s="46">
        <v>0</v>
      </c>
      <c r="GJ623" s="113"/>
      <c r="GK623" s="113"/>
      <c r="GL623" s="113"/>
      <c r="GM623" s="113"/>
      <c r="GN623" s="113"/>
      <c r="GO623" s="46">
        <v>0</v>
      </c>
      <c r="GP623" s="113"/>
      <c r="GQ623" s="113"/>
      <c r="GR623" s="113"/>
      <c r="GS623" s="113"/>
      <c r="GT623" s="113"/>
      <c r="GU623" s="46">
        <v>0</v>
      </c>
      <c r="GV623" s="113"/>
      <c r="GW623" s="113"/>
      <c r="GX623" s="113"/>
      <c r="GY623" s="113"/>
      <c r="GZ623" s="113"/>
      <c r="HA623" s="46">
        <v>0</v>
      </c>
      <c r="HB623" s="113"/>
      <c r="HC623" s="113"/>
      <c r="HD623" s="113"/>
      <c r="HE623" s="113"/>
      <c r="HF623" s="113"/>
      <c r="HG623" s="46">
        <v>0</v>
      </c>
      <c r="HH623" s="113"/>
      <c r="HI623" s="113"/>
      <c r="HJ623" s="113"/>
      <c r="HK623" s="113"/>
      <c r="HL623" s="113"/>
      <c r="HM623" s="121"/>
      <c r="HN623" s="121"/>
      <c r="LM623" t="str">
        <v/>
      </c>
      <c r="LN623" t="str">
        <v/>
      </c>
      <c r="LO623" t="str">
        <v/>
      </c>
    </row>
    <row r="624" spans="30:327">
      <c r="AD624" t="s">
        <v>112</v>
      </c>
      <c r="AE624" t="s">
        <v>23139</v>
      </c>
      <c r="AF624" s="46">
        <v>0</v>
      </c>
      <c r="AG624" s="113"/>
      <c r="AH624" s="113"/>
      <c r="AI624" s="113"/>
      <c r="AJ624" s="113"/>
      <c r="AK624" s="113"/>
      <c r="AL624" s="46">
        <v>0</v>
      </c>
      <c r="AM624" s="113"/>
      <c r="AN624" s="113"/>
      <c r="AO624" s="113"/>
      <c r="AP624" s="113"/>
      <c r="AQ624" s="113"/>
      <c r="AR624" s="46">
        <v>0</v>
      </c>
      <c r="AS624" s="113"/>
      <c r="AT624" s="113"/>
      <c r="AU624" s="113"/>
      <c r="AV624" s="113"/>
      <c r="AW624" s="113"/>
      <c r="AX624" s="46">
        <v>0</v>
      </c>
      <c r="AY624" s="113"/>
      <c r="AZ624" s="113"/>
      <c r="BA624" s="113"/>
      <c r="BB624" s="113"/>
      <c r="BC624" s="113"/>
      <c r="BD624" s="46">
        <v>0</v>
      </c>
      <c r="BE624" s="113"/>
      <c r="BF624" s="113"/>
      <c r="BG624" s="113"/>
      <c r="BH624" s="113"/>
      <c r="BI624" s="113"/>
      <c r="BJ624" s="46">
        <v>0</v>
      </c>
      <c r="BK624" s="113"/>
      <c r="BL624" s="113"/>
      <c r="BM624" s="113"/>
      <c r="BN624" s="113"/>
      <c r="BO624" s="113"/>
      <c r="BP624" s="121"/>
      <c r="BQ624" s="121"/>
      <c r="GA624" t="s">
        <v>112</v>
      </c>
      <c r="GB624" t="s">
        <v>23139</v>
      </c>
      <c r="GC624" s="46">
        <v>0</v>
      </c>
      <c r="GD624" s="113"/>
      <c r="GE624" s="113"/>
      <c r="GF624" s="113"/>
      <c r="GG624" s="113"/>
      <c r="GH624" s="113"/>
      <c r="GI624" s="46">
        <v>0</v>
      </c>
      <c r="GJ624" s="113"/>
      <c r="GK624" s="113"/>
      <c r="GL624" s="113"/>
      <c r="GM624" s="113"/>
      <c r="GN624" s="113"/>
      <c r="GO624" s="46">
        <v>0</v>
      </c>
      <c r="GP624" s="113"/>
      <c r="GQ624" s="113"/>
      <c r="GR624" s="113"/>
      <c r="GS624" s="113"/>
      <c r="GT624" s="113"/>
      <c r="GU624" s="46">
        <v>0</v>
      </c>
      <c r="GV624" s="113"/>
      <c r="GW624" s="113"/>
      <c r="GX624" s="113"/>
      <c r="GY624" s="113"/>
      <c r="GZ624" s="113"/>
      <c r="HA624" s="46">
        <v>0</v>
      </c>
      <c r="HB624" s="113"/>
      <c r="HC624" s="113"/>
      <c r="HD624" s="113"/>
      <c r="HE624" s="113"/>
      <c r="HF624" s="113"/>
      <c r="HG624" s="46">
        <v>0</v>
      </c>
      <c r="HH624" s="113"/>
      <c r="HI624" s="113"/>
      <c r="HJ624" s="113"/>
      <c r="HK624" s="113"/>
      <c r="HL624" s="113"/>
      <c r="HM624" s="121"/>
      <c r="HN624" s="121"/>
      <c r="LM624" t="str">
        <v/>
      </c>
      <c r="LN624" t="str">
        <v/>
      </c>
      <c r="LO624" t="str">
        <v/>
      </c>
    </row>
    <row r="625" spans="30:327">
      <c r="AD625" t="s">
        <v>112</v>
      </c>
      <c r="AE625" t="s">
        <v>23140</v>
      </c>
      <c r="AF625" s="46">
        <v>0</v>
      </c>
      <c r="AG625" s="113"/>
      <c r="AH625" s="113"/>
      <c r="AI625" s="113"/>
      <c r="AJ625" s="113"/>
      <c r="AK625" s="113"/>
      <c r="AL625" s="46">
        <v>0</v>
      </c>
      <c r="AM625" s="113"/>
      <c r="AN625" s="113"/>
      <c r="AO625" s="113"/>
      <c r="AP625" s="113"/>
      <c r="AQ625" s="113"/>
      <c r="AR625" s="46">
        <v>0</v>
      </c>
      <c r="AS625" s="113"/>
      <c r="AT625" s="113"/>
      <c r="AU625" s="113"/>
      <c r="AV625" s="113"/>
      <c r="AW625" s="113"/>
      <c r="AX625" s="46">
        <v>0</v>
      </c>
      <c r="AY625" s="113"/>
      <c r="AZ625" s="113"/>
      <c r="BA625" s="113"/>
      <c r="BB625" s="113"/>
      <c r="BC625" s="113"/>
      <c r="BD625" s="46">
        <v>0</v>
      </c>
      <c r="BE625" s="113"/>
      <c r="BF625" s="113"/>
      <c r="BG625" s="113"/>
      <c r="BH625" s="113"/>
      <c r="BI625" s="113"/>
      <c r="BJ625" s="46">
        <v>0</v>
      </c>
      <c r="BK625" s="113"/>
      <c r="BL625" s="113"/>
      <c r="BM625" s="113"/>
      <c r="BN625" s="113"/>
      <c r="BO625" s="113"/>
      <c r="BP625" s="121"/>
      <c r="BQ625" s="121"/>
      <c r="GA625" t="s">
        <v>112</v>
      </c>
      <c r="GB625" t="s">
        <v>23140</v>
      </c>
      <c r="GC625" s="46">
        <v>0</v>
      </c>
      <c r="GD625" s="113"/>
      <c r="GE625" s="113"/>
      <c r="GF625" s="113"/>
      <c r="GG625" s="113"/>
      <c r="GH625" s="113"/>
      <c r="GI625" s="46">
        <v>0</v>
      </c>
      <c r="GJ625" s="113"/>
      <c r="GK625" s="113"/>
      <c r="GL625" s="113"/>
      <c r="GM625" s="113"/>
      <c r="GN625" s="113"/>
      <c r="GO625" s="46">
        <v>0</v>
      </c>
      <c r="GP625" s="113"/>
      <c r="GQ625" s="113"/>
      <c r="GR625" s="113"/>
      <c r="GS625" s="113"/>
      <c r="GT625" s="113"/>
      <c r="GU625" s="46">
        <v>0</v>
      </c>
      <c r="GV625" s="113"/>
      <c r="GW625" s="113"/>
      <c r="GX625" s="113"/>
      <c r="GY625" s="113"/>
      <c r="GZ625" s="113"/>
      <c r="HA625" s="46">
        <v>0</v>
      </c>
      <c r="HB625" s="113"/>
      <c r="HC625" s="113"/>
      <c r="HD625" s="113"/>
      <c r="HE625" s="113"/>
      <c r="HF625" s="113"/>
      <c r="HG625" s="46">
        <v>0</v>
      </c>
      <c r="HH625" s="113"/>
      <c r="HI625" s="113"/>
      <c r="HJ625" s="113"/>
      <c r="HK625" s="113"/>
      <c r="HL625" s="113"/>
      <c r="HM625" s="121"/>
      <c r="HN625" s="121"/>
      <c r="LM625" t="str">
        <v/>
      </c>
      <c r="LN625" t="str">
        <v/>
      </c>
      <c r="LO625" t="str">
        <v/>
      </c>
    </row>
    <row r="626" spans="30:327">
      <c r="AD626" t="s">
        <v>112</v>
      </c>
      <c r="AE626" t="s">
        <v>23141</v>
      </c>
      <c r="AF626" s="46">
        <v>0</v>
      </c>
      <c r="AG626" s="113"/>
      <c r="AH626" s="113"/>
      <c r="AI626" s="113"/>
      <c r="AJ626" s="113"/>
      <c r="AK626" s="113"/>
      <c r="AL626" s="46">
        <v>0</v>
      </c>
      <c r="AM626" s="113"/>
      <c r="AN626" s="113"/>
      <c r="AO626" s="113"/>
      <c r="AP626" s="113"/>
      <c r="AQ626" s="113"/>
      <c r="AR626" s="46">
        <v>0</v>
      </c>
      <c r="AS626" s="113"/>
      <c r="AT626" s="113"/>
      <c r="AU626" s="113"/>
      <c r="AV626" s="113"/>
      <c r="AW626" s="113"/>
      <c r="AX626" s="46">
        <v>0</v>
      </c>
      <c r="AY626" s="113"/>
      <c r="AZ626" s="113"/>
      <c r="BA626" s="113"/>
      <c r="BB626" s="113"/>
      <c r="BC626" s="113"/>
      <c r="BD626" s="46">
        <v>0</v>
      </c>
      <c r="BE626" s="113"/>
      <c r="BF626" s="113"/>
      <c r="BG626" s="113"/>
      <c r="BH626" s="113"/>
      <c r="BI626" s="113"/>
      <c r="BJ626" s="46">
        <v>0</v>
      </c>
      <c r="BK626" s="113"/>
      <c r="BL626" s="113"/>
      <c r="BM626" s="113"/>
      <c r="BN626" s="113"/>
      <c r="BO626" s="113"/>
      <c r="BP626" s="121"/>
      <c r="BQ626" s="121"/>
      <c r="GA626" t="s">
        <v>112</v>
      </c>
      <c r="GB626" t="s">
        <v>23141</v>
      </c>
      <c r="GC626" s="46">
        <v>0</v>
      </c>
      <c r="GD626" s="113"/>
      <c r="GE626" s="113"/>
      <c r="GF626" s="113"/>
      <c r="GG626" s="113"/>
      <c r="GH626" s="113"/>
      <c r="GI626" s="46">
        <v>0</v>
      </c>
      <c r="GJ626" s="113"/>
      <c r="GK626" s="113"/>
      <c r="GL626" s="113"/>
      <c r="GM626" s="113"/>
      <c r="GN626" s="113"/>
      <c r="GO626" s="46">
        <v>0</v>
      </c>
      <c r="GP626" s="113"/>
      <c r="GQ626" s="113"/>
      <c r="GR626" s="113"/>
      <c r="GS626" s="113"/>
      <c r="GT626" s="113"/>
      <c r="GU626" s="46">
        <v>0</v>
      </c>
      <c r="GV626" s="113"/>
      <c r="GW626" s="113"/>
      <c r="GX626" s="113"/>
      <c r="GY626" s="113"/>
      <c r="GZ626" s="113"/>
      <c r="HA626" s="46">
        <v>0</v>
      </c>
      <c r="HB626" s="113"/>
      <c r="HC626" s="113"/>
      <c r="HD626" s="113"/>
      <c r="HE626" s="113"/>
      <c r="HF626" s="113"/>
      <c r="HG626" s="46">
        <v>0</v>
      </c>
      <c r="HH626" s="113"/>
      <c r="HI626" s="113"/>
      <c r="HJ626" s="113"/>
      <c r="HK626" s="113"/>
      <c r="HL626" s="113"/>
      <c r="HM626" s="121"/>
      <c r="HN626" s="121"/>
      <c r="LM626" t="str">
        <v/>
      </c>
      <c r="LN626" t="str">
        <v/>
      </c>
      <c r="LO626" t="str">
        <v/>
      </c>
    </row>
    <row r="627" spans="30:327">
      <c r="AD627" t="s">
        <v>112</v>
      </c>
      <c r="AE627" t="s">
        <v>23142</v>
      </c>
      <c r="AF627" s="46">
        <v>0</v>
      </c>
      <c r="AG627" s="113"/>
      <c r="AH627" s="113"/>
      <c r="AI627" s="113"/>
      <c r="AJ627" s="113"/>
      <c r="AK627" s="113"/>
      <c r="AL627" s="46">
        <v>0</v>
      </c>
      <c r="AM627" s="113"/>
      <c r="AN627" s="113"/>
      <c r="AO627" s="113"/>
      <c r="AP627" s="113"/>
      <c r="AQ627" s="113"/>
      <c r="AR627" s="46">
        <v>0</v>
      </c>
      <c r="AS627" s="113"/>
      <c r="AT627" s="113"/>
      <c r="AU627" s="113"/>
      <c r="AV627" s="113"/>
      <c r="AW627" s="113"/>
      <c r="AX627" s="46">
        <v>0</v>
      </c>
      <c r="AY627" s="113"/>
      <c r="AZ627" s="113"/>
      <c r="BA627" s="113"/>
      <c r="BB627" s="113"/>
      <c r="BC627" s="113"/>
      <c r="BD627" s="46">
        <v>0</v>
      </c>
      <c r="BE627" s="113"/>
      <c r="BF627" s="113"/>
      <c r="BG627" s="113"/>
      <c r="BH627" s="113"/>
      <c r="BI627" s="113"/>
      <c r="BJ627" s="46">
        <v>0</v>
      </c>
      <c r="BK627" s="113"/>
      <c r="BL627" s="113"/>
      <c r="BM627" s="113"/>
      <c r="BN627" s="113"/>
      <c r="BO627" s="113"/>
      <c r="BP627" s="121"/>
      <c r="BQ627" s="121"/>
      <c r="GA627" t="s">
        <v>112</v>
      </c>
      <c r="GB627" t="s">
        <v>23142</v>
      </c>
      <c r="GC627" s="46">
        <v>0</v>
      </c>
      <c r="GD627" s="113"/>
      <c r="GE627" s="113"/>
      <c r="GF627" s="113"/>
      <c r="GG627" s="113"/>
      <c r="GH627" s="113"/>
      <c r="GI627" s="46">
        <v>0</v>
      </c>
      <c r="GJ627" s="113"/>
      <c r="GK627" s="113"/>
      <c r="GL627" s="113"/>
      <c r="GM627" s="113"/>
      <c r="GN627" s="113"/>
      <c r="GO627" s="46">
        <v>0</v>
      </c>
      <c r="GP627" s="113"/>
      <c r="GQ627" s="113"/>
      <c r="GR627" s="113"/>
      <c r="GS627" s="113"/>
      <c r="GT627" s="113"/>
      <c r="GU627" s="46">
        <v>0</v>
      </c>
      <c r="GV627" s="113"/>
      <c r="GW627" s="113"/>
      <c r="GX627" s="113"/>
      <c r="GY627" s="113"/>
      <c r="GZ627" s="113"/>
      <c r="HA627" s="46">
        <v>0</v>
      </c>
      <c r="HB627" s="113"/>
      <c r="HC627" s="113"/>
      <c r="HD627" s="113"/>
      <c r="HE627" s="113"/>
      <c r="HF627" s="113"/>
      <c r="HG627" s="46">
        <v>0</v>
      </c>
      <c r="HH627" s="113"/>
      <c r="HI627" s="113"/>
      <c r="HJ627" s="113"/>
      <c r="HK627" s="113"/>
      <c r="HL627" s="113"/>
      <c r="HM627" s="121"/>
      <c r="HN627" s="121"/>
      <c r="LM627" t="str">
        <v/>
      </c>
      <c r="LN627" t="str">
        <v/>
      </c>
      <c r="LO627" t="str">
        <v/>
      </c>
    </row>
    <row r="628" spans="30:327">
      <c r="AD628" t="s">
        <v>112</v>
      </c>
      <c r="AE628" t="s">
        <v>23143</v>
      </c>
      <c r="AF628" s="46">
        <v>0</v>
      </c>
      <c r="AG628" s="113"/>
      <c r="AH628" s="113"/>
      <c r="AI628" s="113"/>
      <c r="AJ628" s="113"/>
      <c r="AK628" s="113"/>
      <c r="AL628" s="46">
        <v>0</v>
      </c>
      <c r="AM628" s="113"/>
      <c r="AN628" s="113"/>
      <c r="AO628" s="113"/>
      <c r="AP628" s="113"/>
      <c r="AQ628" s="113"/>
      <c r="AR628" s="46">
        <v>0</v>
      </c>
      <c r="AS628" s="113"/>
      <c r="AT628" s="113"/>
      <c r="AU628" s="113"/>
      <c r="AV628" s="113"/>
      <c r="AW628" s="113"/>
      <c r="AX628" s="46">
        <v>0</v>
      </c>
      <c r="AY628" s="113"/>
      <c r="AZ628" s="113"/>
      <c r="BA628" s="113"/>
      <c r="BB628" s="113"/>
      <c r="BC628" s="113"/>
      <c r="BD628" s="46">
        <v>0</v>
      </c>
      <c r="BE628" s="113"/>
      <c r="BF628" s="113"/>
      <c r="BG628" s="113"/>
      <c r="BH628" s="113"/>
      <c r="BI628" s="113"/>
      <c r="BJ628" s="46">
        <v>0</v>
      </c>
      <c r="BK628" s="113"/>
      <c r="BL628" s="113"/>
      <c r="BM628" s="113"/>
      <c r="BN628" s="113"/>
      <c r="BO628" s="113"/>
      <c r="BP628" s="121"/>
      <c r="BQ628" s="121"/>
      <c r="GA628" t="s">
        <v>112</v>
      </c>
      <c r="GB628" t="s">
        <v>23143</v>
      </c>
      <c r="GC628" s="46">
        <v>0</v>
      </c>
      <c r="GD628" s="113"/>
      <c r="GE628" s="113"/>
      <c r="GF628" s="113"/>
      <c r="GG628" s="113"/>
      <c r="GH628" s="113"/>
      <c r="GI628" s="46">
        <v>0</v>
      </c>
      <c r="GJ628" s="113"/>
      <c r="GK628" s="113"/>
      <c r="GL628" s="113"/>
      <c r="GM628" s="113"/>
      <c r="GN628" s="113"/>
      <c r="GO628" s="46">
        <v>0</v>
      </c>
      <c r="GP628" s="113"/>
      <c r="GQ628" s="113"/>
      <c r="GR628" s="113"/>
      <c r="GS628" s="113"/>
      <c r="GT628" s="113"/>
      <c r="GU628" s="46">
        <v>0</v>
      </c>
      <c r="GV628" s="113"/>
      <c r="GW628" s="113"/>
      <c r="GX628" s="113"/>
      <c r="GY628" s="113"/>
      <c r="GZ628" s="113"/>
      <c r="HA628" s="46">
        <v>0</v>
      </c>
      <c r="HB628" s="113"/>
      <c r="HC628" s="113"/>
      <c r="HD628" s="113"/>
      <c r="HE628" s="113"/>
      <c r="HF628" s="113"/>
      <c r="HG628" s="46">
        <v>0</v>
      </c>
      <c r="HH628" s="113"/>
      <c r="HI628" s="113"/>
      <c r="HJ628" s="113"/>
      <c r="HK628" s="113"/>
      <c r="HL628" s="113"/>
      <c r="HM628" s="121"/>
      <c r="HN628" s="121"/>
      <c r="LM628" t="str">
        <v/>
      </c>
      <c r="LN628" t="str">
        <v/>
      </c>
      <c r="LO628" t="str">
        <v/>
      </c>
    </row>
    <row r="629" spans="30:327">
      <c r="AD629" t="s">
        <v>112</v>
      </c>
      <c r="AE629" t="s">
        <v>23144</v>
      </c>
      <c r="AF629" s="46">
        <v>0</v>
      </c>
      <c r="AG629" s="113"/>
      <c r="AH629" s="113"/>
      <c r="AI629" s="113"/>
      <c r="AJ629" s="113"/>
      <c r="AK629" s="113"/>
      <c r="AL629" s="46">
        <v>0</v>
      </c>
      <c r="AM629" s="113"/>
      <c r="AN629" s="113"/>
      <c r="AO629" s="113"/>
      <c r="AP629" s="113"/>
      <c r="AQ629" s="113"/>
      <c r="AR629" s="46">
        <v>0</v>
      </c>
      <c r="AS629" s="113"/>
      <c r="AT629" s="113"/>
      <c r="AU629" s="113"/>
      <c r="AV629" s="113"/>
      <c r="AW629" s="113"/>
      <c r="AX629" s="46">
        <v>0</v>
      </c>
      <c r="AY629" s="113"/>
      <c r="AZ629" s="113"/>
      <c r="BA629" s="113"/>
      <c r="BB629" s="113"/>
      <c r="BC629" s="113"/>
      <c r="BD629" s="46">
        <v>0</v>
      </c>
      <c r="BE629" s="113"/>
      <c r="BF629" s="113"/>
      <c r="BG629" s="113"/>
      <c r="BH629" s="113"/>
      <c r="BI629" s="113"/>
      <c r="BJ629" s="46">
        <v>0</v>
      </c>
      <c r="BK629" s="113"/>
      <c r="BL629" s="113"/>
      <c r="BM629" s="113"/>
      <c r="BN629" s="113"/>
      <c r="BO629" s="113"/>
      <c r="BP629" s="121"/>
      <c r="BQ629" s="121"/>
      <c r="GA629" t="s">
        <v>112</v>
      </c>
      <c r="GB629" t="s">
        <v>23144</v>
      </c>
      <c r="GC629" s="46">
        <v>0</v>
      </c>
      <c r="GD629" s="113"/>
      <c r="GE629" s="113"/>
      <c r="GF629" s="113"/>
      <c r="GG629" s="113"/>
      <c r="GH629" s="113"/>
      <c r="GI629" s="46">
        <v>0</v>
      </c>
      <c r="GJ629" s="113"/>
      <c r="GK629" s="113"/>
      <c r="GL629" s="113"/>
      <c r="GM629" s="113"/>
      <c r="GN629" s="113"/>
      <c r="GO629" s="46">
        <v>0</v>
      </c>
      <c r="GP629" s="113"/>
      <c r="GQ629" s="113"/>
      <c r="GR629" s="113"/>
      <c r="GS629" s="113"/>
      <c r="GT629" s="113"/>
      <c r="GU629" s="46">
        <v>0</v>
      </c>
      <c r="GV629" s="113"/>
      <c r="GW629" s="113"/>
      <c r="GX629" s="113"/>
      <c r="GY629" s="113"/>
      <c r="GZ629" s="113"/>
      <c r="HA629" s="46">
        <v>0</v>
      </c>
      <c r="HB629" s="113"/>
      <c r="HC629" s="113"/>
      <c r="HD629" s="113"/>
      <c r="HE629" s="113"/>
      <c r="HF629" s="113"/>
      <c r="HG629" s="46">
        <v>0</v>
      </c>
      <c r="HH629" s="113"/>
      <c r="HI629" s="113"/>
      <c r="HJ629" s="113"/>
      <c r="HK629" s="113"/>
      <c r="HL629" s="113"/>
      <c r="HM629" s="121"/>
      <c r="HN629" s="121"/>
      <c r="LM629" t="str">
        <v/>
      </c>
      <c r="LN629" t="str">
        <v/>
      </c>
      <c r="LO629" t="str">
        <v/>
      </c>
    </row>
    <row r="630" spans="30:327">
      <c r="AD630" t="s">
        <v>112</v>
      </c>
      <c r="AE630" t="s">
        <v>23145</v>
      </c>
      <c r="AF630" s="46">
        <v>0</v>
      </c>
      <c r="AG630" s="113"/>
      <c r="AH630" s="113"/>
      <c r="AI630" s="113"/>
      <c r="AJ630" s="113"/>
      <c r="AK630" s="113"/>
      <c r="AL630" s="46">
        <v>0</v>
      </c>
      <c r="AM630" s="113"/>
      <c r="AN630" s="113"/>
      <c r="AO630" s="113"/>
      <c r="AP630" s="113"/>
      <c r="AQ630" s="113"/>
      <c r="AR630" s="46">
        <v>0</v>
      </c>
      <c r="AS630" s="113"/>
      <c r="AT630" s="113"/>
      <c r="AU630" s="113"/>
      <c r="AV630" s="113"/>
      <c r="AW630" s="113"/>
      <c r="AX630" s="46">
        <v>0</v>
      </c>
      <c r="AY630" s="113"/>
      <c r="AZ630" s="113"/>
      <c r="BA630" s="113"/>
      <c r="BB630" s="113"/>
      <c r="BC630" s="113"/>
      <c r="BD630" s="46">
        <v>0</v>
      </c>
      <c r="BE630" s="113"/>
      <c r="BF630" s="113"/>
      <c r="BG630" s="113"/>
      <c r="BH630" s="113"/>
      <c r="BI630" s="113"/>
      <c r="BJ630" s="46">
        <v>0</v>
      </c>
      <c r="BK630" s="113"/>
      <c r="BL630" s="113"/>
      <c r="BM630" s="113"/>
      <c r="BN630" s="113"/>
      <c r="BO630" s="113"/>
      <c r="BP630" s="121"/>
      <c r="BQ630" s="121"/>
      <c r="GA630" t="s">
        <v>112</v>
      </c>
      <c r="GB630" t="s">
        <v>23145</v>
      </c>
      <c r="GC630" s="46">
        <v>0</v>
      </c>
      <c r="GD630" s="113"/>
      <c r="GE630" s="113"/>
      <c r="GF630" s="113"/>
      <c r="GG630" s="113"/>
      <c r="GH630" s="113"/>
      <c r="GI630" s="46">
        <v>0</v>
      </c>
      <c r="GJ630" s="113"/>
      <c r="GK630" s="113"/>
      <c r="GL630" s="113"/>
      <c r="GM630" s="113"/>
      <c r="GN630" s="113"/>
      <c r="GO630" s="46">
        <v>0</v>
      </c>
      <c r="GP630" s="113"/>
      <c r="GQ630" s="113"/>
      <c r="GR630" s="113"/>
      <c r="GS630" s="113"/>
      <c r="GT630" s="113"/>
      <c r="GU630" s="46">
        <v>0</v>
      </c>
      <c r="GV630" s="113"/>
      <c r="GW630" s="113"/>
      <c r="GX630" s="113"/>
      <c r="GY630" s="113"/>
      <c r="GZ630" s="113"/>
      <c r="HA630" s="46">
        <v>0</v>
      </c>
      <c r="HB630" s="113"/>
      <c r="HC630" s="113"/>
      <c r="HD630" s="113"/>
      <c r="HE630" s="113"/>
      <c r="HF630" s="113"/>
      <c r="HG630" s="46">
        <v>0</v>
      </c>
      <c r="HH630" s="113"/>
      <c r="HI630" s="113"/>
      <c r="HJ630" s="113"/>
      <c r="HK630" s="113"/>
      <c r="HL630" s="113"/>
      <c r="HM630" s="121"/>
      <c r="HN630" s="121"/>
      <c r="LM630" t="str">
        <v/>
      </c>
      <c r="LN630" t="str">
        <v/>
      </c>
      <c r="LO630" t="str">
        <v/>
      </c>
    </row>
    <row r="631" spans="30:327">
      <c r="AD631" t="s">
        <v>112</v>
      </c>
      <c r="AE631" t="s">
        <v>23146</v>
      </c>
      <c r="AF631" s="46">
        <v>0</v>
      </c>
      <c r="AG631" s="113"/>
      <c r="AH631" s="113"/>
      <c r="AI631" s="113"/>
      <c r="AJ631" s="113"/>
      <c r="AK631" s="113"/>
      <c r="AL631" s="46">
        <v>0</v>
      </c>
      <c r="AM631" s="113"/>
      <c r="AN631" s="113"/>
      <c r="AO631" s="113"/>
      <c r="AP631" s="113"/>
      <c r="AQ631" s="113"/>
      <c r="AR631" s="46">
        <v>0</v>
      </c>
      <c r="AS631" s="113"/>
      <c r="AT631" s="113"/>
      <c r="AU631" s="113"/>
      <c r="AV631" s="113"/>
      <c r="AW631" s="113"/>
      <c r="AX631" s="46">
        <v>0</v>
      </c>
      <c r="AY631" s="113"/>
      <c r="AZ631" s="113"/>
      <c r="BA631" s="113"/>
      <c r="BB631" s="113"/>
      <c r="BC631" s="113"/>
      <c r="BD631" s="46">
        <v>0</v>
      </c>
      <c r="BE631" s="113"/>
      <c r="BF631" s="113"/>
      <c r="BG631" s="113"/>
      <c r="BH631" s="113"/>
      <c r="BI631" s="113"/>
      <c r="BJ631" s="46">
        <v>0</v>
      </c>
      <c r="BK631" s="113"/>
      <c r="BL631" s="113"/>
      <c r="BM631" s="113"/>
      <c r="BN631" s="113"/>
      <c r="BO631" s="113"/>
      <c r="BP631" s="121"/>
      <c r="BQ631" s="121"/>
      <c r="GA631" t="s">
        <v>112</v>
      </c>
      <c r="GB631" t="s">
        <v>23146</v>
      </c>
      <c r="GC631" s="46">
        <v>0</v>
      </c>
      <c r="GD631" s="113"/>
      <c r="GE631" s="113"/>
      <c r="GF631" s="113"/>
      <c r="GG631" s="113"/>
      <c r="GH631" s="113"/>
      <c r="GI631" s="46">
        <v>0</v>
      </c>
      <c r="GJ631" s="113"/>
      <c r="GK631" s="113"/>
      <c r="GL631" s="113"/>
      <c r="GM631" s="113"/>
      <c r="GN631" s="113"/>
      <c r="GO631" s="46">
        <v>0</v>
      </c>
      <c r="GP631" s="113"/>
      <c r="GQ631" s="113"/>
      <c r="GR631" s="113"/>
      <c r="GS631" s="113"/>
      <c r="GT631" s="113"/>
      <c r="GU631" s="46">
        <v>0</v>
      </c>
      <c r="GV631" s="113"/>
      <c r="GW631" s="113"/>
      <c r="GX631" s="113"/>
      <c r="GY631" s="113"/>
      <c r="GZ631" s="113"/>
      <c r="HA631" s="46">
        <v>0</v>
      </c>
      <c r="HB631" s="113"/>
      <c r="HC631" s="113"/>
      <c r="HD631" s="113"/>
      <c r="HE631" s="113"/>
      <c r="HF631" s="113"/>
      <c r="HG631" s="46">
        <v>0</v>
      </c>
      <c r="HH631" s="113"/>
      <c r="HI631" s="113"/>
      <c r="HJ631" s="113"/>
      <c r="HK631" s="113"/>
      <c r="HL631" s="113"/>
      <c r="HM631" s="121"/>
      <c r="HN631" s="121"/>
      <c r="LM631" t="str">
        <v/>
      </c>
      <c r="LN631" t="str">
        <v/>
      </c>
      <c r="LO631" t="str">
        <v/>
      </c>
    </row>
    <row r="632" spans="30:327">
      <c r="AD632" t="s">
        <v>112</v>
      </c>
      <c r="AE632" t="s">
        <v>23147</v>
      </c>
      <c r="AF632" s="46">
        <v>0</v>
      </c>
      <c r="AG632" s="113"/>
      <c r="AH632" s="113"/>
      <c r="AI632" s="113"/>
      <c r="AJ632" s="113"/>
      <c r="AK632" s="113"/>
      <c r="AL632" s="46">
        <v>0</v>
      </c>
      <c r="AM632" s="113"/>
      <c r="AN632" s="113"/>
      <c r="AO632" s="113"/>
      <c r="AP632" s="113"/>
      <c r="AQ632" s="113"/>
      <c r="AR632" s="46">
        <v>0</v>
      </c>
      <c r="AS632" s="113"/>
      <c r="AT632" s="113"/>
      <c r="AU632" s="113"/>
      <c r="AV632" s="113"/>
      <c r="AW632" s="113"/>
      <c r="AX632" s="46">
        <v>0</v>
      </c>
      <c r="AY632" s="113"/>
      <c r="AZ632" s="113"/>
      <c r="BA632" s="113"/>
      <c r="BB632" s="113"/>
      <c r="BC632" s="113"/>
      <c r="BD632" s="46">
        <v>0</v>
      </c>
      <c r="BE632" s="113"/>
      <c r="BF632" s="113"/>
      <c r="BG632" s="113"/>
      <c r="BH632" s="113"/>
      <c r="BI632" s="113"/>
      <c r="BJ632" s="46">
        <v>0</v>
      </c>
      <c r="BK632" s="113"/>
      <c r="BL632" s="113"/>
      <c r="BM632" s="113"/>
      <c r="BN632" s="113"/>
      <c r="BO632" s="113"/>
      <c r="BP632" s="121"/>
      <c r="BQ632" s="121"/>
      <c r="GA632" t="s">
        <v>112</v>
      </c>
      <c r="GB632" t="s">
        <v>23147</v>
      </c>
      <c r="GC632" s="46">
        <v>0</v>
      </c>
      <c r="GD632" s="113"/>
      <c r="GE632" s="113"/>
      <c r="GF632" s="113"/>
      <c r="GG632" s="113"/>
      <c r="GH632" s="113"/>
      <c r="GI632" s="46">
        <v>0</v>
      </c>
      <c r="GJ632" s="113"/>
      <c r="GK632" s="113"/>
      <c r="GL632" s="113"/>
      <c r="GM632" s="113"/>
      <c r="GN632" s="113"/>
      <c r="GO632" s="46">
        <v>0</v>
      </c>
      <c r="GP632" s="113"/>
      <c r="GQ632" s="113"/>
      <c r="GR632" s="113"/>
      <c r="GS632" s="113"/>
      <c r="GT632" s="113"/>
      <c r="GU632" s="46">
        <v>0</v>
      </c>
      <c r="GV632" s="113"/>
      <c r="GW632" s="113"/>
      <c r="GX632" s="113"/>
      <c r="GY632" s="113"/>
      <c r="GZ632" s="113"/>
      <c r="HA632" s="46">
        <v>0</v>
      </c>
      <c r="HB632" s="113"/>
      <c r="HC632" s="113"/>
      <c r="HD632" s="113"/>
      <c r="HE632" s="113"/>
      <c r="HF632" s="113"/>
      <c r="HG632" s="46">
        <v>0</v>
      </c>
      <c r="HH632" s="113"/>
      <c r="HI632" s="113"/>
      <c r="HJ632" s="113"/>
      <c r="HK632" s="113"/>
      <c r="HL632" s="113"/>
      <c r="HM632" s="121"/>
      <c r="HN632" s="121"/>
      <c r="LM632" t="str">
        <v/>
      </c>
      <c r="LN632" t="str">
        <v/>
      </c>
      <c r="LO632" t="str">
        <v/>
      </c>
    </row>
    <row r="633" spans="30:327">
      <c r="AD633" t="s">
        <v>112</v>
      </c>
      <c r="AE633" t="s">
        <v>23148</v>
      </c>
      <c r="AF633" s="46">
        <v>0</v>
      </c>
      <c r="AG633" s="113"/>
      <c r="AH633" s="113"/>
      <c r="AI633" s="113"/>
      <c r="AJ633" s="113"/>
      <c r="AK633" s="113"/>
      <c r="AL633" s="46">
        <v>0</v>
      </c>
      <c r="AM633" s="113"/>
      <c r="AN633" s="113"/>
      <c r="AO633" s="113"/>
      <c r="AP633" s="113"/>
      <c r="AQ633" s="113"/>
      <c r="AR633" s="46">
        <v>0</v>
      </c>
      <c r="AS633" s="113"/>
      <c r="AT633" s="113"/>
      <c r="AU633" s="113"/>
      <c r="AV633" s="113"/>
      <c r="AW633" s="113"/>
      <c r="AX633" s="46">
        <v>0</v>
      </c>
      <c r="AY633" s="113"/>
      <c r="AZ633" s="113"/>
      <c r="BA633" s="113"/>
      <c r="BB633" s="113"/>
      <c r="BC633" s="113"/>
      <c r="BD633" s="46">
        <v>0</v>
      </c>
      <c r="BE633" s="113"/>
      <c r="BF633" s="113"/>
      <c r="BG633" s="113"/>
      <c r="BH633" s="113"/>
      <c r="BI633" s="113"/>
      <c r="BJ633" s="46">
        <v>0</v>
      </c>
      <c r="BK633" s="113"/>
      <c r="BL633" s="113"/>
      <c r="BM633" s="113"/>
      <c r="BN633" s="113"/>
      <c r="BO633" s="113"/>
      <c r="BP633" s="121"/>
      <c r="BQ633" s="121"/>
      <c r="GA633" t="s">
        <v>112</v>
      </c>
      <c r="GB633" t="s">
        <v>23148</v>
      </c>
      <c r="GC633" s="46">
        <v>0</v>
      </c>
      <c r="GD633" s="113"/>
      <c r="GE633" s="113"/>
      <c r="GF633" s="113"/>
      <c r="GG633" s="113"/>
      <c r="GH633" s="113"/>
      <c r="GI633" s="46">
        <v>0</v>
      </c>
      <c r="GJ633" s="113"/>
      <c r="GK633" s="113"/>
      <c r="GL633" s="113"/>
      <c r="GM633" s="113"/>
      <c r="GN633" s="113"/>
      <c r="GO633" s="46">
        <v>0</v>
      </c>
      <c r="GP633" s="113"/>
      <c r="GQ633" s="113"/>
      <c r="GR633" s="113"/>
      <c r="GS633" s="113"/>
      <c r="GT633" s="113"/>
      <c r="GU633" s="46">
        <v>0</v>
      </c>
      <c r="GV633" s="113"/>
      <c r="GW633" s="113"/>
      <c r="GX633" s="113"/>
      <c r="GY633" s="113"/>
      <c r="GZ633" s="113"/>
      <c r="HA633" s="46">
        <v>0</v>
      </c>
      <c r="HB633" s="113"/>
      <c r="HC633" s="113"/>
      <c r="HD633" s="113"/>
      <c r="HE633" s="113"/>
      <c r="HF633" s="113"/>
      <c r="HG633" s="46">
        <v>0</v>
      </c>
      <c r="HH633" s="113"/>
      <c r="HI633" s="113"/>
      <c r="HJ633" s="113"/>
      <c r="HK633" s="113"/>
      <c r="HL633" s="113"/>
      <c r="HM633" s="121"/>
      <c r="HN633" s="121"/>
      <c r="LM633" t="str">
        <v/>
      </c>
      <c r="LN633" t="str">
        <v/>
      </c>
      <c r="LO633" t="str">
        <v/>
      </c>
    </row>
    <row r="634" spans="30:327">
      <c r="AD634" t="s">
        <v>112</v>
      </c>
      <c r="AE634" t="s">
        <v>23149</v>
      </c>
      <c r="AF634" s="46">
        <v>0</v>
      </c>
      <c r="AG634" s="113"/>
      <c r="AH634" s="113"/>
      <c r="AI634" s="113"/>
      <c r="AJ634" s="113"/>
      <c r="AK634" s="113"/>
      <c r="AL634" s="46">
        <v>0</v>
      </c>
      <c r="AM634" s="113"/>
      <c r="AN634" s="113"/>
      <c r="AO634" s="113"/>
      <c r="AP634" s="113"/>
      <c r="AQ634" s="113"/>
      <c r="AR634" s="46">
        <v>0</v>
      </c>
      <c r="AS634" s="113"/>
      <c r="AT634" s="113"/>
      <c r="AU634" s="113"/>
      <c r="AV634" s="113"/>
      <c r="AW634" s="113"/>
      <c r="AX634" s="46">
        <v>0</v>
      </c>
      <c r="AY634" s="113"/>
      <c r="AZ634" s="113"/>
      <c r="BA634" s="113"/>
      <c r="BB634" s="113"/>
      <c r="BC634" s="113"/>
      <c r="BD634" s="46">
        <v>0</v>
      </c>
      <c r="BE634" s="113"/>
      <c r="BF634" s="113"/>
      <c r="BG634" s="113"/>
      <c r="BH634" s="113"/>
      <c r="BI634" s="113"/>
      <c r="BJ634" s="46">
        <v>0</v>
      </c>
      <c r="BK634" s="113"/>
      <c r="BL634" s="113"/>
      <c r="BM634" s="113"/>
      <c r="BN634" s="113"/>
      <c r="BO634" s="113"/>
      <c r="BP634" s="121"/>
      <c r="BQ634" s="121"/>
      <c r="GA634" t="s">
        <v>112</v>
      </c>
      <c r="GB634" t="s">
        <v>23149</v>
      </c>
      <c r="GC634" s="46">
        <v>0</v>
      </c>
      <c r="GD634" s="113"/>
      <c r="GE634" s="113"/>
      <c r="GF634" s="113"/>
      <c r="GG634" s="113"/>
      <c r="GH634" s="113"/>
      <c r="GI634" s="46">
        <v>0</v>
      </c>
      <c r="GJ634" s="113"/>
      <c r="GK634" s="113"/>
      <c r="GL634" s="113"/>
      <c r="GM634" s="113"/>
      <c r="GN634" s="113"/>
      <c r="GO634" s="46">
        <v>0</v>
      </c>
      <c r="GP634" s="113"/>
      <c r="GQ634" s="113"/>
      <c r="GR634" s="113"/>
      <c r="GS634" s="113"/>
      <c r="GT634" s="113"/>
      <c r="GU634" s="46">
        <v>0</v>
      </c>
      <c r="GV634" s="113"/>
      <c r="GW634" s="113"/>
      <c r="GX634" s="113"/>
      <c r="GY634" s="113"/>
      <c r="GZ634" s="113"/>
      <c r="HA634" s="46">
        <v>0</v>
      </c>
      <c r="HB634" s="113"/>
      <c r="HC634" s="113"/>
      <c r="HD634" s="113"/>
      <c r="HE634" s="113"/>
      <c r="HF634" s="113"/>
      <c r="HG634" s="46">
        <v>0</v>
      </c>
      <c r="HH634" s="113"/>
      <c r="HI634" s="113"/>
      <c r="HJ634" s="113"/>
      <c r="HK634" s="113"/>
      <c r="HL634" s="113"/>
      <c r="HM634" s="121"/>
      <c r="HN634" s="121"/>
      <c r="LM634" t="str">
        <v/>
      </c>
      <c r="LN634" t="str">
        <v/>
      </c>
      <c r="LO634" t="str">
        <v/>
      </c>
    </row>
    <row r="635" spans="30:327">
      <c r="AD635" t="s">
        <v>112</v>
      </c>
      <c r="AE635" t="s">
        <v>23150</v>
      </c>
      <c r="AF635" s="46">
        <v>0</v>
      </c>
      <c r="AG635" s="113"/>
      <c r="AH635" s="113"/>
      <c r="AI635" s="113"/>
      <c r="AJ635" s="113"/>
      <c r="AK635" s="113"/>
      <c r="AL635" s="46">
        <v>0</v>
      </c>
      <c r="AM635" s="113"/>
      <c r="AN635" s="113"/>
      <c r="AO635" s="113"/>
      <c r="AP635" s="113"/>
      <c r="AQ635" s="113"/>
      <c r="AR635" s="46">
        <v>0</v>
      </c>
      <c r="AS635" s="113"/>
      <c r="AT635" s="113"/>
      <c r="AU635" s="113"/>
      <c r="AV635" s="113"/>
      <c r="AW635" s="113"/>
      <c r="AX635" s="46">
        <v>0</v>
      </c>
      <c r="AY635" s="113"/>
      <c r="AZ635" s="113"/>
      <c r="BA635" s="113"/>
      <c r="BB635" s="113"/>
      <c r="BC635" s="113"/>
      <c r="BD635" s="46">
        <v>0</v>
      </c>
      <c r="BE635" s="113"/>
      <c r="BF635" s="113"/>
      <c r="BG635" s="113"/>
      <c r="BH635" s="113"/>
      <c r="BI635" s="113"/>
      <c r="BJ635" s="46">
        <v>0</v>
      </c>
      <c r="BK635" s="113"/>
      <c r="BL635" s="113"/>
      <c r="BM635" s="113"/>
      <c r="BN635" s="113"/>
      <c r="BO635" s="113"/>
      <c r="BP635" s="121"/>
      <c r="BQ635" s="121"/>
      <c r="GA635" t="s">
        <v>112</v>
      </c>
      <c r="GB635" t="s">
        <v>23150</v>
      </c>
      <c r="GC635" s="46">
        <v>0</v>
      </c>
      <c r="GD635" s="113"/>
      <c r="GE635" s="113"/>
      <c r="GF635" s="113"/>
      <c r="GG635" s="113"/>
      <c r="GH635" s="113"/>
      <c r="GI635" s="46">
        <v>0</v>
      </c>
      <c r="GJ635" s="113"/>
      <c r="GK635" s="113"/>
      <c r="GL635" s="113"/>
      <c r="GM635" s="113"/>
      <c r="GN635" s="113"/>
      <c r="GO635" s="46">
        <v>0</v>
      </c>
      <c r="GP635" s="113"/>
      <c r="GQ635" s="113"/>
      <c r="GR635" s="113"/>
      <c r="GS635" s="113"/>
      <c r="GT635" s="113"/>
      <c r="GU635" s="46">
        <v>0</v>
      </c>
      <c r="GV635" s="113"/>
      <c r="GW635" s="113"/>
      <c r="GX635" s="113"/>
      <c r="GY635" s="113"/>
      <c r="GZ635" s="113"/>
      <c r="HA635" s="46">
        <v>0</v>
      </c>
      <c r="HB635" s="113"/>
      <c r="HC635" s="113"/>
      <c r="HD635" s="113"/>
      <c r="HE635" s="113"/>
      <c r="HF635" s="113"/>
      <c r="HG635" s="46">
        <v>0</v>
      </c>
      <c r="HH635" s="113"/>
      <c r="HI635" s="113"/>
      <c r="HJ635" s="113"/>
      <c r="HK635" s="113"/>
      <c r="HL635" s="113"/>
      <c r="HM635" s="121"/>
      <c r="HN635" s="121"/>
      <c r="LM635" t="str">
        <v/>
      </c>
      <c r="LN635" t="str">
        <v/>
      </c>
      <c r="LO635" t="str">
        <v/>
      </c>
    </row>
    <row r="636" spans="30:327">
      <c r="AD636" t="s">
        <v>112</v>
      </c>
      <c r="AE636" t="s">
        <v>23151</v>
      </c>
      <c r="AF636" s="46">
        <v>0</v>
      </c>
      <c r="AG636" s="113"/>
      <c r="AH636" s="113"/>
      <c r="AI636" s="113"/>
      <c r="AJ636" s="113"/>
      <c r="AK636" s="113"/>
      <c r="AL636" s="46">
        <v>0</v>
      </c>
      <c r="AM636" s="113"/>
      <c r="AN636" s="113"/>
      <c r="AO636" s="113"/>
      <c r="AP636" s="113"/>
      <c r="AQ636" s="113"/>
      <c r="AR636" s="46">
        <v>0</v>
      </c>
      <c r="AS636" s="113"/>
      <c r="AT636" s="113"/>
      <c r="AU636" s="113"/>
      <c r="AV636" s="113"/>
      <c r="AW636" s="113"/>
      <c r="AX636" s="46">
        <v>0</v>
      </c>
      <c r="AY636" s="113"/>
      <c r="AZ636" s="113"/>
      <c r="BA636" s="113"/>
      <c r="BB636" s="113"/>
      <c r="BC636" s="113"/>
      <c r="BD636" s="46">
        <v>0</v>
      </c>
      <c r="BE636" s="113"/>
      <c r="BF636" s="113"/>
      <c r="BG636" s="113"/>
      <c r="BH636" s="113"/>
      <c r="BI636" s="113"/>
      <c r="BJ636" s="46">
        <v>0</v>
      </c>
      <c r="BK636" s="113"/>
      <c r="BL636" s="113"/>
      <c r="BM636" s="113"/>
      <c r="BN636" s="113"/>
      <c r="BO636" s="113"/>
      <c r="BP636" s="121"/>
      <c r="BQ636" s="121"/>
      <c r="GA636" t="s">
        <v>112</v>
      </c>
      <c r="GB636" t="s">
        <v>23151</v>
      </c>
      <c r="GC636" s="46">
        <v>0</v>
      </c>
      <c r="GD636" s="113"/>
      <c r="GE636" s="113"/>
      <c r="GF636" s="113"/>
      <c r="GG636" s="113"/>
      <c r="GH636" s="113"/>
      <c r="GI636" s="46">
        <v>0</v>
      </c>
      <c r="GJ636" s="113"/>
      <c r="GK636" s="113"/>
      <c r="GL636" s="113"/>
      <c r="GM636" s="113"/>
      <c r="GN636" s="113"/>
      <c r="GO636" s="46">
        <v>0</v>
      </c>
      <c r="GP636" s="113"/>
      <c r="GQ636" s="113"/>
      <c r="GR636" s="113"/>
      <c r="GS636" s="113"/>
      <c r="GT636" s="113"/>
      <c r="GU636" s="46">
        <v>0</v>
      </c>
      <c r="GV636" s="113"/>
      <c r="GW636" s="113"/>
      <c r="GX636" s="113"/>
      <c r="GY636" s="113"/>
      <c r="GZ636" s="113"/>
      <c r="HA636" s="46">
        <v>0</v>
      </c>
      <c r="HB636" s="113"/>
      <c r="HC636" s="113"/>
      <c r="HD636" s="113"/>
      <c r="HE636" s="113"/>
      <c r="HF636" s="113"/>
      <c r="HG636" s="46">
        <v>0</v>
      </c>
      <c r="HH636" s="113"/>
      <c r="HI636" s="113"/>
      <c r="HJ636" s="113"/>
      <c r="HK636" s="113"/>
      <c r="HL636" s="113"/>
      <c r="HM636" s="121"/>
      <c r="HN636" s="121"/>
      <c r="LM636" t="str">
        <v/>
      </c>
      <c r="LN636" t="str">
        <v/>
      </c>
      <c r="LO636" t="str">
        <v/>
      </c>
    </row>
    <row r="637" spans="30:327">
      <c r="AD637" t="s">
        <v>112</v>
      </c>
      <c r="AE637" t="s">
        <v>23152</v>
      </c>
      <c r="AF637" s="46">
        <v>0</v>
      </c>
      <c r="AG637" s="113"/>
      <c r="AH637" s="113"/>
      <c r="AI637" s="113"/>
      <c r="AJ637" s="113"/>
      <c r="AK637" s="113"/>
      <c r="AL637" s="46">
        <v>0</v>
      </c>
      <c r="AM637" s="113"/>
      <c r="AN637" s="113"/>
      <c r="AO637" s="113"/>
      <c r="AP637" s="113"/>
      <c r="AQ637" s="113"/>
      <c r="AR637" s="46">
        <v>0</v>
      </c>
      <c r="AS637" s="113"/>
      <c r="AT637" s="113"/>
      <c r="AU637" s="113"/>
      <c r="AV637" s="113"/>
      <c r="AW637" s="113"/>
      <c r="AX637" s="46">
        <v>0</v>
      </c>
      <c r="AY637" s="113"/>
      <c r="AZ637" s="113"/>
      <c r="BA637" s="113"/>
      <c r="BB637" s="113"/>
      <c r="BC637" s="113"/>
      <c r="BD637" s="46">
        <v>0</v>
      </c>
      <c r="BE637" s="113"/>
      <c r="BF637" s="113"/>
      <c r="BG637" s="113"/>
      <c r="BH637" s="113"/>
      <c r="BI637" s="113"/>
      <c r="BJ637" s="46">
        <v>0</v>
      </c>
      <c r="BK637" s="113"/>
      <c r="BL637" s="113"/>
      <c r="BM637" s="113"/>
      <c r="BN637" s="113"/>
      <c r="BO637" s="113"/>
      <c r="BP637" s="121"/>
      <c r="BQ637" s="121"/>
      <c r="GA637" t="s">
        <v>112</v>
      </c>
      <c r="GB637" t="s">
        <v>23152</v>
      </c>
      <c r="GC637" s="46">
        <v>0</v>
      </c>
      <c r="GD637" s="113"/>
      <c r="GE637" s="113"/>
      <c r="GF637" s="113"/>
      <c r="GG637" s="113"/>
      <c r="GH637" s="113"/>
      <c r="GI637" s="46">
        <v>0</v>
      </c>
      <c r="GJ637" s="113"/>
      <c r="GK637" s="113"/>
      <c r="GL637" s="113"/>
      <c r="GM637" s="113"/>
      <c r="GN637" s="113"/>
      <c r="GO637" s="46">
        <v>0</v>
      </c>
      <c r="GP637" s="113"/>
      <c r="GQ637" s="113"/>
      <c r="GR637" s="113"/>
      <c r="GS637" s="113"/>
      <c r="GT637" s="113"/>
      <c r="GU637" s="46">
        <v>0</v>
      </c>
      <c r="GV637" s="113"/>
      <c r="GW637" s="113"/>
      <c r="GX637" s="113"/>
      <c r="GY637" s="113"/>
      <c r="GZ637" s="113"/>
      <c r="HA637" s="46">
        <v>0</v>
      </c>
      <c r="HB637" s="113"/>
      <c r="HC637" s="113"/>
      <c r="HD637" s="113"/>
      <c r="HE637" s="113"/>
      <c r="HF637" s="113"/>
      <c r="HG637" s="46">
        <v>0</v>
      </c>
      <c r="HH637" s="113"/>
      <c r="HI637" s="113"/>
      <c r="HJ637" s="113"/>
      <c r="HK637" s="113"/>
      <c r="HL637" s="113"/>
      <c r="HM637" s="121"/>
      <c r="HN637" s="121"/>
      <c r="LM637" t="str">
        <v/>
      </c>
      <c r="LN637" t="str">
        <v/>
      </c>
      <c r="LO637" t="str">
        <v/>
      </c>
    </row>
    <row r="638" spans="30:327">
      <c r="AD638" t="s">
        <v>112</v>
      </c>
      <c r="AE638" t="s">
        <v>23153</v>
      </c>
      <c r="AF638" s="46">
        <v>0</v>
      </c>
      <c r="AG638" s="113"/>
      <c r="AH638" s="113"/>
      <c r="AI638" s="113"/>
      <c r="AJ638" s="113"/>
      <c r="AK638" s="113"/>
      <c r="AL638" s="46">
        <v>0</v>
      </c>
      <c r="AM638" s="113"/>
      <c r="AN638" s="113"/>
      <c r="AO638" s="113"/>
      <c r="AP638" s="113"/>
      <c r="AQ638" s="113"/>
      <c r="AR638" s="46">
        <v>0</v>
      </c>
      <c r="AS638" s="113"/>
      <c r="AT638" s="113"/>
      <c r="AU638" s="113"/>
      <c r="AV638" s="113"/>
      <c r="AW638" s="113"/>
      <c r="AX638" s="46">
        <v>0</v>
      </c>
      <c r="AY638" s="113"/>
      <c r="AZ638" s="113"/>
      <c r="BA638" s="113"/>
      <c r="BB638" s="113"/>
      <c r="BC638" s="113"/>
      <c r="BD638" s="46">
        <v>0</v>
      </c>
      <c r="BE638" s="113"/>
      <c r="BF638" s="113"/>
      <c r="BG638" s="113"/>
      <c r="BH638" s="113"/>
      <c r="BI638" s="113"/>
      <c r="BJ638" s="46">
        <v>0</v>
      </c>
      <c r="BK638" s="113"/>
      <c r="BL638" s="113"/>
      <c r="BM638" s="113"/>
      <c r="BN638" s="113"/>
      <c r="BO638" s="113"/>
      <c r="BP638" s="121"/>
      <c r="BQ638" s="121"/>
      <c r="GA638" t="s">
        <v>112</v>
      </c>
      <c r="GB638" t="s">
        <v>23153</v>
      </c>
      <c r="GC638" s="46">
        <v>0</v>
      </c>
      <c r="GD638" s="113"/>
      <c r="GE638" s="113"/>
      <c r="GF638" s="113"/>
      <c r="GG638" s="113"/>
      <c r="GH638" s="113"/>
      <c r="GI638" s="46">
        <v>0</v>
      </c>
      <c r="GJ638" s="113"/>
      <c r="GK638" s="113"/>
      <c r="GL638" s="113"/>
      <c r="GM638" s="113"/>
      <c r="GN638" s="113"/>
      <c r="GO638" s="46">
        <v>0</v>
      </c>
      <c r="GP638" s="113"/>
      <c r="GQ638" s="113"/>
      <c r="GR638" s="113"/>
      <c r="GS638" s="113"/>
      <c r="GT638" s="113"/>
      <c r="GU638" s="46">
        <v>0</v>
      </c>
      <c r="GV638" s="113"/>
      <c r="GW638" s="113"/>
      <c r="GX638" s="113"/>
      <c r="GY638" s="113"/>
      <c r="GZ638" s="113"/>
      <c r="HA638" s="46">
        <v>0</v>
      </c>
      <c r="HB638" s="113"/>
      <c r="HC638" s="113"/>
      <c r="HD638" s="113"/>
      <c r="HE638" s="113"/>
      <c r="HF638" s="113"/>
      <c r="HG638" s="46">
        <v>0</v>
      </c>
      <c r="HH638" s="113"/>
      <c r="HI638" s="113"/>
      <c r="HJ638" s="113"/>
      <c r="HK638" s="113"/>
      <c r="HL638" s="113"/>
      <c r="HM638" s="121"/>
      <c r="HN638" s="121"/>
      <c r="LM638" t="str">
        <v/>
      </c>
      <c r="LN638" t="str">
        <v/>
      </c>
      <c r="LO638" t="str">
        <v/>
      </c>
    </row>
    <row r="639" spans="30:327">
      <c r="AD639" t="s">
        <v>112</v>
      </c>
      <c r="AE639" t="s">
        <v>23154</v>
      </c>
      <c r="AF639" s="46">
        <v>0</v>
      </c>
      <c r="AG639" s="113"/>
      <c r="AH639" s="113"/>
      <c r="AI639" s="113"/>
      <c r="AJ639" s="113"/>
      <c r="AK639" s="113"/>
      <c r="AL639" s="46">
        <v>0</v>
      </c>
      <c r="AM639" s="113"/>
      <c r="AN639" s="113"/>
      <c r="AO639" s="113"/>
      <c r="AP639" s="113"/>
      <c r="AQ639" s="113"/>
      <c r="AR639" s="46">
        <v>0</v>
      </c>
      <c r="AS639" s="113"/>
      <c r="AT639" s="113"/>
      <c r="AU639" s="113"/>
      <c r="AV639" s="113"/>
      <c r="AW639" s="113"/>
      <c r="AX639" s="46">
        <v>0</v>
      </c>
      <c r="AY639" s="113"/>
      <c r="AZ639" s="113"/>
      <c r="BA639" s="113"/>
      <c r="BB639" s="113"/>
      <c r="BC639" s="113"/>
      <c r="BD639" s="46">
        <v>0</v>
      </c>
      <c r="BE639" s="113"/>
      <c r="BF639" s="113"/>
      <c r="BG639" s="113"/>
      <c r="BH639" s="113"/>
      <c r="BI639" s="113"/>
      <c r="BJ639" s="46">
        <v>0</v>
      </c>
      <c r="BK639" s="113"/>
      <c r="BL639" s="113"/>
      <c r="BM639" s="113"/>
      <c r="BN639" s="113"/>
      <c r="BO639" s="113"/>
      <c r="BP639" s="121"/>
      <c r="BQ639" s="121"/>
      <c r="GA639" t="s">
        <v>112</v>
      </c>
      <c r="GB639" t="s">
        <v>23154</v>
      </c>
      <c r="GC639" s="46">
        <v>0</v>
      </c>
      <c r="GD639" s="113"/>
      <c r="GE639" s="113"/>
      <c r="GF639" s="113"/>
      <c r="GG639" s="113"/>
      <c r="GH639" s="113"/>
      <c r="GI639" s="46">
        <v>0</v>
      </c>
      <c r="GJ639" s="113"/>
      <c r="GK639" s="113"/>
      <c r="GL639" s="113"/>
      <c r="GM639" s="113"/>
      <c r="GN639" s="113"/>
      <c r="GO639" s="46">
        <v>0</v>
      </c>
      <c r="GP639" s="113"/>
      <c r="GQ639" s="113"/>
      <c r="GR639" s="113"/>
      <c r="GS639" s="113"/>
      <c r="GT639" s="113"/>
      <c r="GU639" s="46">
        <v>0</v>
      </c>
      <c r="GV639" s="113"/>
      <c r="GW639" s="113"/>
      <c r="GX639" s="113"/>
      <c r="GY639" s="113"/>
      <c r="GZ639" s="113"/>
      <c r="HA639" s="46">
        <v>0</v>
      </c>
      <c r="HB639" s="113"/>
      <c r="HC639" s="113"/>
      <c r="HD639" s="113"/>
      <c r="HE639" s="113"/>
      <c r="HF639" s="113"/>
      <c r="HG639" s="46">
        <v>0</v>
      </c>
      <c r="HH639" s="113"/>
      <c r="HI639" s="113"/>
      <c r="HJ639" s="113"/>
      <c r="HK639" s="113"/>
      <c r="HL639" s="113"/>
      <c r="HM639" s="121"/>
      <c r="HN639" s="121"/>
      <c r="LM639" t="str">
        <v/>
      </c>
      <c r="LN639" t="str">
        <v/>
      </c>
      <c r="LO639" t="str">
        <v/>
      </c>
    </row>
    <row r="640" spans="30:327">
      <c r="AD640" t="s">
        <v>112</v>
      </c>
      <c r="AE640" t="s">
        <v>23155</v>
      </c>
      <c r="AF640" s="46">
        <v>0</v>
      </c>
      <c r="AG640" s="113"/>
      <c r="AH640" s="113"/>
      <c r="AI640" s="113"/>
      <c r="AJ640" s="113"/>
      <c r="AK640" s="113"/>
      <c r="AL640" s="46">
        <v>0</v>
      </c>
      <c r="AM640" s="113"/>
      <c r="AN640" s="113"/>
      <c r="AO640" s="113"/>
      <c r="AP640" s="113"/>
      <c r="AQ640" s="113"/>
      <c r="AR640" s="46">
        <v>0</v>
      </c>
      <c r="AS640" s="113"/>
      <c r="AT640" s="113"/>
      <c r="AU640" s="113"/>
      <c r="AV640" s="113"/>
      <c r="AW640" s="113"/>
      <c r="AX640" s="46">
        <v>0</v>
      </c>
      <c r="AY640" s="113"/>
      <c r="AZ640" s="113"/>
      <c r="BA640" s="113"/>
      <c r="BB640" s="113"/>
      <c r="BC640" s="113"/>
      <c r="BD640" s="46">
        <v>0</v>
      </c>
      <c r="BE640" s="113"/>
      <c r="BF640" s="113"/>
      <c r="BG640" s="113"/>
      <c r="BH640" s="113"/>
      <c r="BI640" s="113"/>
      <c r="BJ640" s="46">
        <v>0</v>
      </c>
      <c r="BK640" s="113"/>
      <c r="BL640" s="113"/>
      <c r="BM640" s="113"/>
      <c r="BN640" s="113"/>
      <c r="BO640" s="113"/>
      <c r="BP640" s="121"/>
      <c r="BQ640" s="121"/>
      <c r="GA640" t="s">
        <v>112</v>
      </c>
      <c r="GB640" t="s">
        <v>23155</v>
      </c>
      <c r="GC640" s="46">
        <v>0</v>
      </c>
      <c r="GD640" s="113"/>
      <c r="GE640" s="113"/>
      <c r="GF640" s="113"/>
      <c r="GG640" s="113"/>
      <c r="GH640" s="113"/>
      <c r="GI640" s="46">
        <v>0</v>
      </c>
      <c r="GJ640" s="113"/>
      <c r="GK640" s="113"/>
      <c r="GL640" s="113"/>
      <c r="GM640" s="113"/>
      <c r="GN640" s="113"/>
      <c r="GO640" s="46">
        <v>0</v>
      </c>
      <c r="GP640" s="113"/>
      <c r="GQ640" s="113"/>
      <c r="GR640" s="113"/>
      <c r="GS640" s="113"/>
      <c r="GT640" s="113"/>
      <c r="GU640" s="46">
        <v>0</v>
      </c>
      <c r="GV640" s="113"/>
      <c r="GW640" s="113"/>
      <c r="GX640" s="113"/>
      <c r="GY640" s="113"/>
      <c r="GZ640" s="113"/>
      <c r="HA640" s="46">
        <v>0</v>
      </c>
      <c r="HB640" s="113"/>
      <c r="HC640" s="113"/>
      <c r="HD640" s="113"/>
      <c r="HE640" s="113"/>
      <c r="HF640" s="113"/>
      <c r="HG640" s="46">
        <v>0</v>
      </c>
      <c r="HH640" s="113"/>
      <c r="HI640" s="113"/>
      <c r="HJ640" s="113"/>
      <c r="HK640" s="113"/>
      <c r="HL640" s="113"/>
      <c r="HM640" s="121"/>
      <c r="HN640" s="121"/>
      <c r="LM640" t="str">
        <v/>
      </c>
      <c r="LN640" t="str">
        <v/>
      </c>
      <c r="LO640" t="str">
        <v/>
      </c>
    </row>
    <row r="641" spans="30:327">
      <c r="AD641" t="s">
        <v>112</v>
      </c>
      <c r="AE641" t="s">
        <v>23156</v>
      </c>
      <c r="AF641" s="46">
        <v>0</v>
      </c>
      <c r="AG641" s="113"/>
      <c r="AH641" s="113"/>
      <c r="AI641" s="113"/>
      <c r="AJ641" s="113"/>
      <c r="AK641" s="113"/>
      <c r="AL641" s="46">
        <v>0</v>
      </c>
      <c r="AM641" s="113"/>
      <c r="AN641" s="113"/>
      <c r="AO641" s="113"/>
      <c r="AP641" s="113"/>
      <c r="AQ641" s="113"/>
      <c r="AR641" s="46">
        <v>0</v>
      </c>
      <c r="AS641" s="113"/>
      <c r="AT641" s="113"/>
      <c r="AU641" s="113"/>
      <c r="AV641" s="113"/>
      <c r="AW641" s="113"/>
      <c r="AX641" s="46">
        <v>0</v>
      </c>
      <c r="AY641" s="113"/>
      <c r="AZ641" s="113"/>
      <c r="BA641" s="113"/>
      <c r="BB641" s="113"/>
      <c r="BC641" s="113"/>
      <c r="BD641" s="46">
        <v>0</v>
      </c>
      <c r="BE641" s="113"/>
      <c r="BF641" s="113"/>
      <c r="BG641" s="113"/>
      <c r="BH641" s="113"/>
      <c r="BI641" s="113"/>
      <c r="BJ641" s="46">
        <v>0</v>
      </c>
      <c r="BK641" s="113"/>
      <c r="BL641" s="113"/>
      <c r="BM641" s="113"/>
      <c r="BN641" s="113"/>
      <c r="BO641" s="113"/>
      <c r="BP641" s="121"/>
      <c r="BQ641" s="121"/>
      <c r="GA641" t="s">
        <v>112</v>
      </c>
      <c r="GB641" t="s">
        <v>23156</v>
      </c>
      <c r="GC641" s="46">
        <v>0</v>
      </c>
      <c r="GD641" s="113"/>
      <c r="GE641" s="113"/>
      <c r="GF641" s="113"/>
      <c r="GG641" s="113"/>
      <c r="GH641" s="113"/>
      <c r="GI641" s="46">
        <v>0</v>
      </c>
      <c r="GJ641" s="113"/>
      <c r="GK641" s="113"/>
      <c r="GL641" s="113"/>
      <c r="GM641" s="113"/>
      <c r="GN641" s="113"/>
      <c r="GO641" s="46">
        <v>0</v>
      </c>
      <c r="GP641" s="113"/>
      <c r="GQ641" s="113"/>
      <c r="GR641" s="113"/>
      <c r="GS641" s="113"/>
      <c r="GT641" s="113"/>
      <c r="GU641" s="46">
        <v>0</v>
      </c>
      <c r="GV641" s="113"/>
      <c r="GW641" s="113"/>
      <c r="GX641" s="113"/>
      <c r="GY641" s="113"/>
      <c r="GZ641" s="113"/>
      <c r="HA641" s="46">
        <v>0</v>
      </c>
      <c r="HB641" s="113"/>
      <c r="HC641" s="113"/>
      <c r="HD641" s="113"/>
      <c r="HE641" s="113"/>
      <c r="HF641" s="113"/>
      <c r="HG641" s="46">
        <v>0</v>
      </c>
      <c r="HH641" s="113"/>
      <c r="HI641" s="113"/>
      <c r="HJ641" s="113"/>
      <c r="HK641" s="113"/>
      <c r="HL641" s="113"/>
      <c r="HM641" s="121"/>
      <c r="HN641" s="121"/>
      <c r="LM641" t="str">
        <v/>
      </c>
      <c r="LN641" t="str">
        <v/>
      </c>
      <c r="LO641" t="str">
        <v/>
      </c>
    </row>
    <row r="642" spans="30:327">
      <c r="AD642" t="s">
        <v>112</v>
      </c>
      <c r="AE642" t="s">
        <v>23157</v>
      </c>
      <c r="AF642" s="46">
        <v>0</v>
      </c>
      <c r="AG642" s="113"/>
      <c r="AH642" s="113"/>
      <c r="AI642" s="113"/>
      <c r="AJ642" s="113"/>
      <c r="AK642" s="113"/>
      <c r="AL642" s="46">
        <v>0</v>
      </c>
      <c r="AM642" s="113"/>
      <c r="AN642" s="113"/>
      <c r="AO642" s="113"/>
      <c r="AP642" s="113"/>
      <c r="AQ642" s="113"/>
      <c r="AR642" s="46">
        <v>0</v>
      </c>
      <c r="AS642" s="113"/>
      <c r="AT642" s="113"/>
      <c r="AU642" s="113"/>
      <c r="AV642" s="113"/>
      <c r="AW642" s="113"/>
      <c r="AX642" s="46">
        <v>0</v>
      </c>
      <c r="AY642" s="113"/>
      <c r="AZ642" s="113"/>
      <c r="BA642" s="113"/>
      <c r="BB642" s="113"/>
      <c r="BC642" s="113"/>
      <c r="BD642" s="46">
        <v>0</v>
      </c>
      <c r="BE642" s="113"/>
      <c r="BF642" s="113"/>
      <c r="BG642" s="113"/>
      <c r="BH642" s="113"/>
      <c r="BI642" s="113"/>
      <c r="BJ642" s="46">
        <v>0</v>
      </c>
      <c r="BK642" s="113"/>
      <c r="BL642" s="113"/>
      <c r="BM642" s="113"/>
      <c r="BN642" s="113"/>
      <c r="BO642" s="113"/>
      <c r="BP642" s="121"/>
      <c r="BQ642" s="121"/>
      <c r="GA642" t="s">
        <v>112</v>
      </c>
      <c r="GB642" t="s">
        <v>23157</v>
      </c>
      <c r="GC642" s="46">
        <v>0</v>
      </c>
      <c r="GD642" s="113"/>
      <c r="GE642" s="113"/>
      <c r="GF642" s="113"/>
      <c r="GG642" s="113"/>
      <c r="GH642" s="113"/>
      <c r="GI642" s="46">
        <v>0</v>
      </c>
      <c r="GJ642" s="113"/>
      <c r="GK642" s="113"/>
      <c r="GL642" s="113"/>
      <c r="GM642" s="113"/>
      <c r="GN642" s="113"/>
      <c r="GO642" s="46">
        <v>0</v>
      </c>
      <c r="GP642" s="113"/>
      <c r="GQ642" s="113"/>
      <c r="GR642" s="113"/>
      <c r="GS642" s="113"/>
      <c r="GT642" s="113"/>
      <c r="GU642" s="46">
        <v>0</v>
      </c>
      <c r="GV642" s="113"/>
      <c r="GW642" s="113"/>
      <c r="GX642" s="113"/>
      <c r="GY642" s="113"/>
      <c r="GZ642" s="113"/>
      <c r="HA642" s="46">
        <v>0</v>
      </c>
      <c r="HB642" s="113"/>
      <c r="HC642" s="113"/>
      <c r="HD642" s="113"/>
      <c r="HE642" s="113"/>
      <c r="HF642" s="113"/>
      <c r="HG642" s="46">
        <v>0</v>
      </c>
      <c r="HH642" s="113"/>
      <c r="HI642" s="113"/>
      <c r="HJ642" s="113"/>
      <c r="HK642" s="113"/>
      <c r="HL642" s="113"/>
      <c r="HM642" s="121"/>
      <c r="HN642" s="121"/>
      <c r="LM642" t="str">
        <v/>
      </c>
      <c r="LN642" t="str">
        <v/>
      </c>
      <c r="LO642" t="str">
        <v/>
      </c>
    </row>
    <row r="643" spans="30:327">
      <c r="AD643" t="s">
        <v>112</v>
      </c>
      <c r="AE643" t="s">
        <v>23158</v>
      </c>
      <c r="AF643" s="46">
        <v>0</v>
      </c>
      <c r="AG643" s="113"/>
      <c r="AH643" s="113"/>
      <c r="AI643" s="113"/>
      <c r="AJ643" s="113"/>
      <c r="AK643" s="113"/>
      <c r="AL643" s="46">
        <v>0</v>
      </c>
      <c r="AM643" s="113"/>
      <c r="AN643" s="113"/>
      <c r="AO643" s="113"/>
      <c r="AP643" s="113"/>
      <c r="AQ643" s="113"/>
      <c r="AR643" s="46">
        <v>0</v>
      </c>
      <c r="AS643" s="113"/>
      <c r="AT643" s="113"/>
      <c r="AU643" s="113"/>
      <c r="AV643" s="113"/>
      <c r="AW643" s="113"/>
      <c r="AX643" s="46">
        <v>0</v>
      </c>
      <c r="AY643" s="113"/>
      <c r="AZ643" s="113"/>
      <c r="BA643" s="113"/>
      <c r="BB643" s="113"/>
      <c r="BC643" s="113"/>
      <c r="BD643" s="46">
        <v>0</v>
      </c>
      <c r="BE643" s="113"/>
      <c r="BF643" s="113"/>
      <c r="BG643" s="113"/>
      <c r="BH643" s="113"/>
      <c r="BI643" s="113"/>
      <c r="BJ643" s="46">
        <v>0</v>
      </c>
      <c r="BK643" s="113"/>
      <c r="BL643" s="113"/>
      <c r="BM643" s="113"/>
      <c r="BN643" s="113"/>
      <c r="BO643" s="113"/>
      <c r="BP643" s="121"/>
      <c r="BQ643" s="121"/>
      <c r="GA643" t="s">
        <v>112</v>
      </c>
      <c r="GB643" t="s">
        <v>23158</v>
      </c>
      <c r="GC643" s="46">
        <v>0</v>
      </c>
      <c r="GD643" s="113"/>
      <c r="GE643" s="113"/>
      <c r="GF643" s="113"/>
      <c r="GG643" s="113"/>
      <c r="GH643" s="113"/>
      <c r="GI643" s="46">
        <v>0</v>
      </c>
      <c r="GJ643" s="113"/>
      <c r="GK643" s="113"/>
      <c r="GL643" s="113"/>
      <c r="GM643" s="113"/>
      <c r="GN643" s="113"/>
      <c r="GO643" s="46">
        <v>0</v>
      </c>
      <c r="GP643" s="113"/>
      <c r="GQ643" s="113"/>
      <c r="GR643" s="113"/>
      <c r="GS643" s="113"/>
      <c r="GT643" s="113"/>
      <c r="GU643" s="46">
        <v>0</v>
      </c>
      <c r="GV643" s="113"/>
      <c r="GW643" s="113"/>
      <c r="GX643" s="113"/>
      <c r="GY643" s="113"/>
      <c r="GZ643" s="113"/>
      <c r="HA643" s="46">
        <v>0</v>
      </c>
      <c r="HB643" s="113"/>
      <c r="HC643" s="113"/>
      <c r="HD643" s="113"/>
      <c r="HE643" s="113"/>
      <c r="HF643" s="113"/>
      <c r="HG643" s="46">
        <v>0</v>
      </c>
      <c r="HH643" s="113"/>
      <c r="HI643" s="113"/>
      <c r="HJ643" s="113"/>
      <c r="HK643" s="113"/>
      <c r="HL643" s="113"/>
      <c r="HM643" s="121"/>
      <c r="HN643" s="121"/>
      <c r="LM643" t="str">
        <v/>
      </c>
      <c r="LN643" t="str">
        <v/>
      </c>
      <c r="LO643" t="str">
        <v/>
      </c>
    </row>
    <row r="644" spans="30:327">
      <c r="AD644" t="s">
        <v>112</v>
      </c>
      <c r="AE644" t="s">
        <v>23159</v>
      </c>
      <c r="AF644" s="46">
        <v>0</v>
      </c>
      <c r="AG644" s="113"/>
      <c r="AH644" s="113"/>
      <c r="AI644" s="113"/>
      <c r="AJ644" s="113"/>
      <c r="AK644" s="113"/>
      <c r="AL644" s="46">
        <v>0</v>
      </c>
      <c r="AM644" s="113"/>
      <c r="AN644" s="113"/>
      <c r="AO644" s="113"/>
      <c r="AP644" s="113"/>
      <c r="AQ644" s="113"/>
      <c r="AR644" s="46">
        <v>0</v>
      </c>
      <c r="AS644" s="113"/>
      <c r="AT644" s="113"/>
      <c r="AU644" s="113"/>
      <c r="AV644" s="113"/>
      <c r="AW644" s="113"/>
      <c r="AX644" s="46">
        <v>0</v>
      </c>
      <c r="AY644" s="113"/>
      <c r="AZ644" s="113"/>
      <c r="BA644" s="113"/>
      <c r="BB644" s="113"/>
      <c r="BC644" s="113"/>
      <c r="BD644" s="46">
        <v>0</v>
      </c>
      <c r="BE644" s="113"/>
      <c r="BF644" s="113"/>
      <c r="BG644" s="113"/>
      <c r="BH644" s="113"/>
      <c r="BI644" s="113"/>
      <c r="BJ644" s="46">
        <v>0</v>
      </c>
      <c r="BK644" s="113"/>
      <c r="BL644" s="113"/>
      <c r="BM644" s="113"/>
      <c r="BN644" s="113"/>
      <c r="BO644" s="113"/>
      <c r="BP644" s="121"/>
      <c r="BQ644" s="121"/>
      <c r="GA644" t="s">
        <v>112</v>
      </c>
      <c r="GB644" t="s">
        <v>23159</v>
      </c>
      <c r="GC644" s="46">
        <v>0</v>
      </c>
      <c r="GD644" s="113"/>
      <c r="GE644" s="113"/>
      <c r="GF644" s="113"/>
      <c r="GG644" s="113"/>
      <c r="GH644" s="113"/>
      <c r="GI644" s="46">
        <v>0</v>
      </c>
      <c r="GJ644" s="113"/>
      <c r="GK644" s="113"/>
      <c r="GL644" s="113"/>
      <c r="GM644" s="113"/>
      <c r="GN644" s="113"/>
      <c r="GO644" s="46">
        <v>0</v>
      </c>
      <c r="GP644" s="113"/>
      <c r="GQ644" s="113"/>
      <c r="GR644" s="113"/>
      <c r="GS644" s="113"/>
      <c r="GT644" s="113"/>
      <c r="GU644" s="46">
        <v>0</v>
      </c>
      <c r="GV644" s="113"/>
      <c r="GW644" s="113"/>
      <c r="GX644" s="113"/>
      <c r="GY644" s="113"/>
      <c r="GZ644" s="113"/>
      <c r="HA644" s="46">
        <v>0</v>
      </c>
      <c r="HB644" s="113"/>
      <c r="HC644" s="113"/>
      <c r="HD644" s="113"/>
      <c r="HE644" s="113"/>
      <c r="HF644" s="113"/>
      <c r="HG644" s="46">
        <v>0</v>
      </c>
      <c r="HH644" s="113"/>
      <c r="HI644" s="113"/>
      <c r="HJ644" s="113"/>
      <c r="HK644" s="113"/>
      <c r="HL644" s="113"/>
      <c r="HM644" s="121"/>
      <c r="HN644" s="121"/>
      <c r="LM644" t="str">
        <v/>
      </c>
      <c r="LN644" t="str">
        <v/>
      </c>
      <c r="LO644" t="str">
        <v/>
      </c>
    </row>
    <row r="645" spans="30:327">
      <c r="AD645" t="s">
        <v>112</v>
      </c>
      <c r="AE645" t="s">
        <v>23160</v>
      </c>
      <c r="AF645" s="46">
        <v>0</v>
      </c>
      <c r="AG645" s="113"/>
      <c r="AH645" s="113"/>
      <c r="AI645" s="113"/>
      <c r="AJ645" s="113"/>
      <c r="AK645" s="113"/>
      <c r="AL645" s="46">
        <v>0</v>
      </c>
      <c r="AM645" s="113"/>
      <c r="AN645" s="113"/>
      <c r="AO645" s="113"/>
      <c r="AP645" s="113"/>
      <c r="AQ645" s="113"/>
      <c r="AR645" s="46">
        <v>0</v>
      </c>
      <c r="AS645" s="113"/>
      <c r="AT645" s="113"/>
      <c r="AU645" s="113"/>
      <c r="AV645" s="113"/>
      <c r="AW645" s="113"/>
      <c r="AX645" s="46">
        <v>0</v>
      </c>
      <c r="AY645" s="113"/>
      <c r="AZ645" s="113"/>
      <c r="BA645" s="113"/>
      <c r="BB645" s="113"/>
      <c r="BC645" s="113"/>
      <c r="BD645" s="46">
        <v>0</v>
      </c>
      <c r="BE645" s="113"/>
      <c r="BF645" s="113"/>
      <c r="BG645" s="113"/>
      <c r="BH645" s="113"/>
      <c r="BI645" s="113"/>
      <c r="BJ645" s="46">
        <v>0</v>
      </c>
      <c r="BK645" s="113"/>
      <c r="BL645" s="113"/>
      <c r="BM645" s="113"/>
      <c r="BN645" s="113"/>
      <c r="BO645" s="113"/>
      <c r="BP645" s="121"/>
      <c r="BQ645" s="121"/>
      <c r="GA645" t="s">
        <v>112</v>
      </c>
      <c r="GB645" t="s">
        <v>23160</v>
      </c>
      <c r="GC645" s="46">
        <v>0</v>
      </c>
      <c r="GD645" s="113"/>
      <c r="GE645" s="113"/>
      <c r="GF645" s="113"/>
      <c r="GG645" s="113"/>
      <c r="GH645" s="113"/>
      <c r="GI645" s="46">
        <v>0</v>
      </c>
      <c r="GJ645" s="113"/>
      <c r="GK645" s="113"/>
      <c r="GL645" s="113"/>
      <c r="GM645" s="113"/>
      <c r="GN645" s="113"/>
      <c r="GO645" s="46">
        <v>0</v>
      </c>
      <c r="GP645" s="113"/>
      <c r="GQ645" s="113"/>
      <c r="GR645" s="113"/>
      <c r="GS645" s="113"/>
      <c r="GT645" s="113"/>
      <c r="GU645" s="46">
        <v>0</v>
      </c>
      <c r="GV645" s="113"/>
      <c r="GW645" s="113"/>
      <c r="GX645" s="113"/>
      <c r="GY645" s="113"/>
      <c r="GZ645" s="113"/>
      <c r="HA645" s="46">
        <v>0</v>
      </c>
      <c r="HB645" s="113"/>
      <c r="HC645" s="113"/>
      <c r="HD645" s="113"/>
      <c r="HE645" s="113"/>
      <c r="HF645" s="113"/>
      <c r="HG645" s="46">
        <v>0</v>
      </c>
      <c r="HH645" s="113"/>
      <c r="HI645" s="113"/>
      <c r="HJ645" s="113"/>
      <c r="HK645" s="113"/>
      <c r="HL645" s="113"/>
      <c r="HM645" s="121"/>
      <c r="HN645" s="121"/>
      <c r="LM645" t="str">
        <v/>
      </c>
      <c r="LN645" t="str">
        <v/>
      </c>
      <c r="LO645" t="str">
        <v/>
      </c>
    </row>
    <row r="646" spans="30:327">
      <c r="AD646" t="s">
        <v>112</v>
      </c>
      <c r="AE646" t="s">
        <v>23161</v>
      </c>
      <c r="AF646" s="46">
        <v>0</v>
      </c>
      <c r="AG646" s="113"/>
      <c r="AH646" s="113"/>
      <c r="AI646" s="113"/>
      <c r="AJ646" s="113"/>
      <c r="AK646" s="113"/>
      <c r="AL646" s="46">
        <v>0</v>
      </c>
      <c r="AM646" s="113"/>
      <c r="AN646" s="113"/>
      <c r="AO646" s="113"/>
      <c r="AP646" s="113"/>
      <c r="AQ646" s="113"/>
      <c r="AR646" s="46">
        <v>0</v>
      </c>
      <c r="AS646" s="113"/>
      <c r="AT646" s="113"/>
      <c r="AU646" s="113"/>
      <c r="AV646" s="113"/>
      <c r="AW646" s="113"/>
      <c r="AX646" s="46">
        <v>0</v>
      </c>
      <c r="AY646" s="113"/>
      <c r="AZ646" s="113"/>
      <c r="BA646" s="113"/>
      <c r="BB646" s="113"/>
      <c r="BC646" s="113"/>
      <c r="BD646" s="46">
        <v>0</v>
      </c>
      <c r="BE646" s="113"/>
      <c r="BF646" s="113"/>
      <c r="BG646" s="113"/>
      <c r="BH646" s="113"/>
      <c r="BI646" s="113"/>
      <c r="BJ646" s="46">
        <v>0</v>
      </c>
      <c r="BK646" s="113"/>
      <c r="BL646" s="113"/>
      <c r="BM646" s="113"/>
      <c r="BN646" s="113"/>
      <c r="BO646" s="113"/>
      <c r="BP646" s="121"/>
      <c r="BQ646" s="121"/>
      <c r="GA646" t="s">
        <v>112</v>
      </c>
      <c r="GB646" t="s">
        <v>23161</v>
      </c>
      <c r="GC646" s="46">
        <v>0</v>
      </c>
      <c r="GD646" s="113"/>
      <c r="GE646" s="113"/>
      <c r="GF646" s="113"/>
      <c r="GG646" s="113"/>
      <c r="GH646" s="113"/>
      <c r="GI646" s="46">
        <v>0</v>
      </c>
      <c r="GJ646" s="113"/>
      <c r="GK646" s="113"/>
      <c r="GL646" s="113"/>
      <c r="GM646" s="113"/>
      <c r="GN646" s="113"/>
      <c r="GO646" s="46">
        <v>0</v>
      </c>
      <c r="GP646" s="113"/>
      <c r="GQ646" s="113"/>
      <c r="GR646" s="113"/>
      <c r="GS646" s="113"/>
      <c r="GT646" s="113"/>
      <c r="GU646" s="46">
        <v>0</v>
      </c>
      <c r="GV646" s="113"/>
      <c r="GW646" s="113"/>
      <c r="GX646" s="113"/>
      <c r="GY646" s="113"/>
      <c r="GZ646" s="113"/>
      <c r="HA646" s="46">
        <v>0</v>
      </c>
      <c r="HB646" s="113"/>
      <c r="HC646" s="113"/>
      <c r="HD646" s="113"/>
      <c r="HE646" s="113"/>
      <c r="HF646" s="113"/>
      <c r="HG646" s="46">
        <v>0</v>
      </c>
      <c r="HH646" s="113"/>
      <c r="HI646" s="113"/>
      <c r="HJ646" s="113"/>
      <c r="HK646" s="113"/>
      <c r="HL646" s="113"/>
      <c r="HM646" s="121"/>
      <c r="HN646" s="121"/>
      <c r="LM646" t="str">
        <v/>
      </c>
      <c r="LN646" t="str">
        <v/>
      </c>
      <c r="LO646" t="str">
        <v/>
      </c>
    </row>
    <row r="647" spans="30:327">
      <c r="AD647" t="s">
        <v>112</v>
      </c>
      <c r="AE647" t="s">
        <v>23162</v>
      </c>
      <c r="AF647" s="46">
        <v>0</v>
      </c>
      <c r="AG647" s="113"/>
      <c r="AH647" s="113"/>
      <c r="AI647" s="113"/>
      <c r="AJ647" s="113"/>
      <c r="AK647" s="113"/>
      <c r="AL647" s="46">
        <v>0</v>
      </c>
      <c r="AM647" s="113"/>
      <c r="AN647" s="113"/>
      <c r="AO647" s="113"/>
      <c r="AP647" s="113"/>
      <c r="AQ647" s="113"/>
      <c r="AR647" s="46">
        <v>0</v>
      </c>
      <c r="AS647" s="113"/>
      <c r="AT647" s="113"/>
      <c r="AU647" s="113"/>
      <c r="AV647" s="113"/>
      <c r="AW647" s="113"/>
      <c r="AX647" s="46">
        <v>0</v>
      </c>
      <c r="AY647" s="113"/>
      <c r="AZ647" s="113"/>
      <c r="BA647" s="113"/>
      <c r="BB647" s="113"/>
      <c r="BC647" s="113"/>
      <c r="BD647" s="46">
        <v>0</v>
      </c>
      <c r="BE647" s="113"/>
      <c r="BF647" s="113"/>
      <c r="BG647" s="113"/>
      <c r="BH647" s="113"/>
      <c r="BI647" s="113"/>
      <c r="BJ647" s="46">
        <v>0</v>
      </c>
      <c r="BK647" s="113"/>
      <c r="BL647" s="113"/>
      <c r="BM647" s="113"/>
      <c r="BN647" s="113"/>
      <c r="BO647" s="113"/>
      <c r="BP647" s="121"/>
      <c r="BQ647" s="121"/>
      <c r="GA647" t="s">
        <v>112</v>
      </c>
      <c r="GB647" t="s">
        <v>23162</v>
      </c>
      <c r="GC647" s="46">
        <v>0</v>
      </c>
      <c r="GD647" s="113"/>
      <c r="GE647" s="113"/>
      <c r="GF647" s="113"/>
      <c r="GG647" s="113"/>
      <c r="GH647" s="113"/>
      <c r="GI647" s="46">
        <v>0</v>
      </c>
      <c r="GJ647" s="113"/>
      <c r="GK647" s="113"/>
      <c r="GL647" s="113"/>
      <c r="GM647" s="113"/>
      <c r="GN647" s="113"/>
      <c r="GO647" s="46">
        <v>0</v>
      </c>
      <c r="GP647" s="113"/>
      <c r="GQ647" s="113"/>
      <c r="GR647" s="113"/>
      <c r="GS647" s="113"/>
      <c r="GT647" s="113"/>
      <c r="GU647" s="46">
        <v>0</v>
      </c>
      <c r="GV647" s="113"/>
      <c r="GW647" s="113"/>
      <c r="GX647" s="113"/>
      <c r="GY647" s="113"/>
      <c r="GZ647" s="113"/>
      <c r="HA647" s="46">
        <v>0</v>
      </c>
      <c r="HB647" s="113"/>
      <c r="HC647" s="113"/>
      <c r="HD647" s="113"/>
      <c r="HE647" s="113"/>
      <c r="HF647" s="113"/>
      <c r="HG647" s="46">
        <v>0</v>
      </c>
      <c r="HH647" s="113"/>
      <c r="HI647" s="113"/>
      <c r="HJ647" s="113"/>
      <c r="HK647" s="113"/>
      <c r="HL647" s="113"/>
      <c r="HM647" s="121"/>
      <c r="HN647" s="121"/>
      <c r="LM647" t="str">
        <v/>
      </c>
      <c r="LN647" t="str">
        <v/>
      </c>
      <c r="LO647" t="str">
        <v/>
      </c>
    </row>
    <row r="648" spans="30:327">
      <c r="AD648" t="s">
        <v>112</v>
      </c>
      <c r="AE648" t="s">
        <v>23163</v>
      </c>
      <c r="AF648" s="46">
        <v>0</v>
      </c>
      <c r="AG648" s="113"/>
      <c r="AH648" s="113"/>
      <c r="AI648" s="113"/>
      <c r="AJ648" s="113"/>
      <c r="AK648" s="113"/>
      <c r="AL648" s="46">
        <v>0</v>
      </c>
      <c r="AM648" s="113"/>
      <c r="AN648" s="113"/>
      <c r="AO648" s="113"/>
      <c r="AP648" s="113"/>
      <c r="AQ648" s="113"/>
      <c r="AR648" s="46">
        <v>0</v>
      </c>
      <c r="AS648" s="113"/>
      <c r="AT648" s="113"/>
      <c r="AU648" s="113"/>
      <c r="AV648" s="113"/>
      <c r="AW648" s="113"/>
      <c r="AX648" s="46">
        <v>0</v>
      </c>
      <c r="AY648" s="113"/>
      <c r="AZ648" s="113"/>
      <c r="BA648" s="113"/>
      <c r="BB648" s="113"/>
      <c r="BC648" s="113"/>
      <c r="BD648" s="46">
        <v>0</v>
      </c>
      <c r="BE648" s="113"/>
      <c r="BF648" s="113"/>
      <c r="BG648" s="113"/>
      <c r="BH648" s="113"/>
      <c r="BI648" s="113"/>
      <c r="BJ648" s="46">
        <v>0</v>
      </c>
      <c r="BK648" s="113"/>
      <c r="BL648" s="113"/>
      <c r="BM648" s="113"/>
      <c r="BN648" s="113"/>
      <c r="BO648" s="113"/>
      <c r="BP648" s="121"/>
      <c r="BQ648" s="121"/>
      <c r="GA648" t="s">
        <v>112</v>
      </c>
      <c r="GB648" t="s">
        <v>23163</v>
      </c>
      <c r="GC648" s="46">
        <v>0</v>
      </c>
      <c r="GD648" s="113"/>
      <c r="GE648" s="113"/>
      <c r="GF648" s="113"/>
      <c r="GG648" s="113"/>
      <c r="GH648" s="113"/>
      <c r="GI648" s="46">
        <v>0</v>
      </c>
      <c r="GJ648" s="113"/>
      <c r="GK648" s="113"/>
      <c r="GL648" s="113"/>
      <c r="GM648" s="113"/>
      <c r="GN648" s="113"/>
      <c r="GO648" s="46">
        <v>0</v>
      </c>
      <c r="GP648" s="113"/>
      <c r="GQ648" s="113"/>
      <c r="GR648" s="113"/>
      <c r="GS648" s="113"/>
      <c r="GT648" s="113"/>
      <c r="GU648" s="46">
        <v>0</v>
      </c>
      <c r="GV648" s="113"/>
      <c r="GW648" s="113"/>
      <c r="GX648" s="113"/>
      <c r="GY648" s="113"/>
      <c r="GZ648" s="113"/>
      <c r="HA648" s="46">
        <v>0</v>
      </c>
      <c r="HB648" s="113"/>
      <c r="HC648" s="113"/>
      <c r="HD648" s="113"/>
      <c r="HE648" s="113"/>
      <c r="HF648" s="113"/>
      <c r="HG648" s="46">
        <v>0</v>
      </c>
      <c r="HH648" s="113"/>
      <c r="HI648" s="113"/>
      <c r="HJ648" s="113"/>
      <c r="HK648" s="113"/>
      <c r="HL648" s="113"/>
      <c r="HM648" s="121"/>
      <c r="HN648" s="121"/>
      <c r="LM648" t="str">
        <v/>
      </c>
      <c r="LN648" t="str">
        <v/>
      </c>
      <c r="LO648" t="str">
        <v/>
      </c>
    </row>
    <row r="649" spans="30:327">
      <c r="AD649" t="s">
        <v>112</v>
      </c>
      <c r="AE649" t="s">
        <v>23164</v>
      </c>
      <c r="AF649" s="46">
        <v>0</v>
      </c>
      <c r="AG649" s="113"/>
      <c r="AH649" s="113"/>
      <c r="AI649" s="113"/>
      <c r="AJ649" s="113"/>
      <c r="AK649" s="113"/>
      <c r="AL649" s="46">
        <v>0</v>
      </c>
      <c r="AM649" s="113"/>
      <c r="AN649" s="113"/>
      <c r="AO649" s="113"/>
      <c r="AP649" s="113"/>
      <c r="AQ649" s="113"/>
      <c r="AR649" s="46">
        <v>0</v>
      </c>
      <c r="AS649" s="113"/>
      <c r="AT649" s="113"/>
      <c r="AU649" s="113"/>
      <c r="AV649" s="113"/>
      <c r="AW649" s="113"/>
      <c r="AX649" s="46">
        <v>0</v>
      </c>
      <c r="AY649" s="113"/>
      <c r="AZ649" s="113"/>
      <c r="BA649" s="113"/>
      <c r="BB649" s="113"/>
      <c r="BC649" s="113"/>
      <c r="BD649" s="46">
        <v>0</v>
      </c>
      <c r="BE649" s="113"/>
      <c r="BF649" s="113"/>
      <c r="BG649" s="113"/>
      <c r="BH649" s="113"/>
      <c r="BI649" s="113"/>
      <c r="BJ649" s="46">
        <v>0</v>
      </c>
      <c r="BK649" s="113"/>
      <c r="BL649" s="113"/>
      <c r="BM649" s="113"/>
      <c r="BN649" s="113"/>
      <c r="BO649" s="113"/>
      <c r="BP649" s="121"/>
      <c r="BQ649" s="121"/>
      <c r="GA649" t="s">
        <v>112</v>
      </c>
      <c r="GB649" t="s">
        <v>23164</v>
      </c>
      <c r="GC649" s="46">
        <v>0</v>
      </c>
      <c r="GD649" s="113"/>
      <c r="GE649" s="113"/>
      <c r="GF649" s="113"/>
      <c r="GG649" s="113"/>
      <c r="GH649" s="113"/>
      <c r="GI649" s="46">
        <v>0</v>
      </c>
      <c r="GJ649" s="113"/>
      <c r="GK649" s="113"/>
      <c r="GL649" s="113"/>
      <c r="GM649" s="113"/>
      <c r="GN649" s="113"/>
      <c r="GO649" s="46">
        <v>0</v>
      </c>
      <c r="GP649" s="113"/>
      <c r="GQ649" s="113"/>
      <c r="GR649" s="113"/>
      <c r="GS649" s="113"/>
      <c r="GT649" s="113"/>
      <c r="GU649" s="46">
        <v>0</v>
      </c>
      <c r="GV649" s="113"/>
      <c r="GW649" s="113"/>
      <c r="GX649" s="113"/>
      <c r="GY649" s="113"/>
      <c r="GZ649" s="113"/>
      <c r="HA649" s="46">
        <v>0</v>
      </c>
      <c r="HB649" s="113"/>
      <c r="HC649" s="113"/>
      <c r="HD649" s="113"/>
      <c r="HE649" s="113"/>
      <c r="HF649" s="113"/>
      <c r="HG649" s="46">
        <v>0</v>
      </c>
      <c r="HH649" s="113"/>
      <c r="HI649" s="113"/>
      <c r="HJ649" s="113"/>
      <c r="HK649" s="113"/>
      <c r="HL649" s="113"/>
      <c r="HM649" s="121"/>
      <c r="HN649" s="121"/>
      <c r="LM649" t="str">
        <v/>
      </c>
      <c r="LN649" t="str">
        <v/>
      </c>
      <c r="LO649" t="str">
        <v/>
      </c>
    </row>
    <row r="650" spans="30:327">
      <c r="AD650" t="s">
        <v>112</v>
      </c>
      <c r="AE650" t="s">
        <v>23165</v>
      </c>
      <c r="AF650" s="46">
        <v>0</v>
      </c>
      <c r="AG650" s="113"/>
      <c r="AH650" s="113"/>
      <c r="AI650" s="113"/>
      <c r="AJ650" s="113"/>
      <c r="AK650" s="113"/>
      <c r="AL650" s="46">
        <v>0</v>
      </c>
      <c r="AM650" s="113"/>
      <c r="AN650" s="113"/>
      <c r="AO650" s="113"/>
      <c r="AP650" s="113"/>
      <c r="AQ650" s="113"/>
      <c r="AR650" s="46">
        <v>0</v>
      </c>
      <c r="AS650" s="113"/>
      <c r="AT650" s="113"/>
      <c r="AU650" s="113"/>
      <c r="AV650" s="113"/>
      <c r="AW650" s="113"/>
      <c r="AX650" s="46">
        <v>0</v>
      </c>
      <c r="AY650" s="113"/>
      <c r="AZ650" s="113"/>
      <c r="BA650" s="113"/>
      <c r="BB650" s="113"/>
      <c r="BC650" s="113"/>
      <c r="BD650" s="46">
        <v>0</v>
      </c>
      <c r="BE650" s="113"/>
      <c r="BF650" s="113"/>
      <c r="BG650" s="113"/>
      <c r="BH650" s="113"/>
      <c r="BI650" s="113"/>
      <c r="BJ650" s="46">
        <v>0</v>
      </c>
      <c r="BK650" s="113"/>
      <c r="BL650" s="113"/>
      <c r="BM650" s="113"/>
      <c r="BN650" s="113"/>
      <c r="BO650" s="113"/>
      <c r="BP650" s="121"/>
      <c r="BQ650" s="121"/>
      <c r="GA650" t="s">
        <v>112</v>
      </c>
      <c r="GB650" t="s">
        <v>23165</v>
      </c>
      <c r="GC650" s="46">
        <v>0</v>
      </c>
      <c r="GD650" s="113"/>
      <c r="GE650" s="113"/>
      <c r="GF650" s="113"/>
      <c r="GG650" s="113"/>
      <c r="GH650" s="113"/>
      <c r="GI650" s="46">
        <v>0</v>
      </c>
      <c r="GJ650" s="113"/>
      <c r="GK650" s="113"/>
      <c r="GL650" s="113"/>
      <c r="GM650" s="113"/>
      <c r="GN650" s="113"/>
      <c r="GO650" s="46">
        <v>0</v>
      </c>
      <c r="GP650" s="113"/>
      <c r="GQ650" s="113"/>
      <c r="GR650" s="113"/>
      <c r="GS650" s="113"/>
      <c r="GT650" s="113"/>
      <c r="GU650" s="46">
        <v>0</v>
      </c>
      <c r="GV650" s="113"/>
      <c r="GW650" s="113"/>
      <c r="GX650" s="113"/>
      <c r="GY650" s="113"/>
      <c r="GZ650" s="113"/>
      <c r="HA650" s="46">
        <v>0</v>
      </c>
      <c r="HB650" s="113"/>
      <c r="HC650" s="113"/>
      <c r="HD650" s="113"/>
      <c r="HE650" s="113"/>
      <c r="HF650" s="113"/>
      <c r="HG650" s="46">
        <v>0</v>
      </c>
      <c r="HH650" s="113"/>
      <c r="HI650" s="113"/>
      <c r="HJ650" s="113"/>
      <c r="HK650" s="113"/>
      <c r="HL650" s="113"/>
      <c r="HM650" s="121"/>
      <c r="HN650" s="121"/>
      <c r="LM650" t="str">
        <v/>
      </c>
      <c r="LN650" t="str">
        <v/>
      </c>
      <c r="LO650" t="str">
        <v/>
      </c>
    </row>
    <row r="651" spans="30:327">
      <c r="AD651" t="s">
        <v>112</v>
      </c>
      <c r="AE651" t="s">
        <v>23166</v>
      </c>
      <c r="AF651" s="46">
        <v>0</v>
      </c>
      <c r="AG651" s="113"/>
      <c r="AH651" s="113"/>
      <c r="AI651" s="113"/>
      <c r="AJ651" s="113"/>
      <c r="AK651" s="113"/>
      <c r="AL651" s="46">
        <v>0</v>
      </c>
      <c r="AM651" s="113"/>
      <c r="AN651" s="113"/>
      <c r="AO651" s="113"/>
      <c r="AP651" s="113"/>
      <c r="AQ651" s="113"/>
      <c r="AR651" s="46">
        <v>0</v>
      </c>
      <c r="AS651" s="113"/>
      <c r="AT651" s="113"/>
      <c r="AU651" s="113"/>
      <c r="AV651" s="113"/>
      <c r="AW651" s="113"/>
      <c r="AX651" s="46">
        <v>0</v>
      </c>
      <c r="AY651" s="113"/>
      <c r="AZ651" s="113"/>
      <c r="BA651" s="113"/>
      <c r="BB651" s="113"/>
      <c r="BC651" s="113"/>
      <c r="BD651" s="46">
        <v>0</v>
      </c>
      <c r="BE651" s="113"/>
      <c r="BF651" s="113"/>
      <c r="BG651" s="113"/>
      <c r="BH651" s="113"/>
      <c r="BI651" s="113"/>
      <c r="BJ651" s="46">
        <v>0</v>
      </c>
      <c r="BK651" s="113"/>
      <c r="BL651" s="113"/>
      <c r="BM651" s="113"/>
      <c r="BN651" s="113"/>
      <c r="BO651" s="113"/>
      <c r="BP651" s="121"/>
      <c r="BQ651" s="121"/>
      <c r="GA651" t="s">
        <v>112</v>
      </c>
      <c r="GB651" t="s">
        <v>23166</v>
      </c>
      <c r="GC651" s="46">
        <v>0</v>
      </c>
      <c r="GD651" s="113"/>
      <c r="GE651" s="113"/>
      <c r="GF651" s="113"/>
      <c r="GG651" s="113"/>
      <c r="GH651" s="113"/>
      <c r="GI651" s="46">
        <v>0</v>
      </c>
      <c r="GJ651" s="113"/>
      <c r="GK651" s="113"/>
      <c r="GL651" s="113"/>
      <c r="GM651" s="113"/>
      <c r="GN651" s="113"/>
      <c r="GO651" s="46">
        <v>0</v>
      </c>
      <c r="GP651" s="113"/>
      <c r="GQ651" s="113"/>
      <c r="GR651" s="113"/>
      <c r="GS651" s="113"/>
      <c r="GT651" s="113"/>
      <c r="GU651" s="46">
        <v>0</v>
      </c>
      <c r="GV651" s="113"/>
      <c r="GW651" s="113"/>
      <c r="GX651" s="113"/>
      <c r="GY651" s="113"/>
      <c r="GZ651" s="113"/>
      <c r="HA651" s="46">
        <v>0</v>
      </c>
      <c r="HB651" s="113"/>
      <c r="HC651" s="113"/>
      <c r="HD651" s="113"/>
      <c r="HE651" s="113"/>
      <c r="HF651" s="113"/>
      <c r="HG651" s="46">
        <v>0</v>
      </c>
      <c r="HH651" s="113"/>
      <c r="HI651" s="113"/>
      <c r="HJ651" s="113"/>
      <c r="HK651" s="113"/>
      <c r="HL651" s="113"/>
      <c r="HM651" s="121"/>
      <c r="HN651" s="121"/>
      <c r="LM651" t="str">
        <v/>
      </c>
      <c r="LN651" t="str">
        <v/>
      </c>
      <c r="LO651" t="str">
        <v/>
      </c>
    </row>
    <row r="652" spans="30:327">
      <c r="AD652" t="s">
        <v>112</v>
      </c>
      <c r="AE652" t="s">
        <v>23167</v>
      </c>
      <c r="AF652" s="46">
        <v>0</v>
      </c>
      <c r="AG652" s="113"/>
      <c r="AH652" s="113"/>
      <c r="AI652" s="113"/>
      <c r="AJ652" s="113"/>
      <c r="AK652" s="113"/>
      <c r="AL652" s="46">
        <v>0</v>
      </c>
      <c r="AM652" s="113"/>
      <c r="AN652" s="113"/>
      <c r="AO652" s="113"/>
      <c r="AP652" s="113"/>
      <c r="AQ652" s="113"/>
      <c r="AR652" s="46">
        <v>0</v>
      </c>
      <c r="AS652" s="113"/>
      <c r="AT652" s="113"/>
      <c r="AU652" s="113"/>
      <c r="AV652" s="113"/>
      <c r="AW652" s="113"/>
      <c r="AX652" s="46">
        <v>0</v>
      </c>
      <c r="AY652" s="113"/>
      <c r="AZ652" s="113"/>
      <c r="BA652" s="113"/>
      <c r="BB652" s="113"/>
      <c r="BC652" s="113"/>
      <c r="BD652" s="46">
        <v>0</v>
      </c>
      <c r="BE652" s="113"/>
      <c r="BF652" s="113"/>
      <c r="BG652" s="113"/>
      <c r="BH652" s="113"/>
      <c r="BI652" s="113"/>
      <c r="BJ652" s="46">
        <v>0</v>
      </c>
      <c r="BK652" s="113"/>
      <c r="BL652" s="113"/>
      <c r="BM652" s="113"/>
      <c r="BN652" s="113"/>
      <c r="BO652" s="113"/>
      <c r="BP652" s="121"/>
      <c r="BQ652" s="121"/>
      <c r="GA652" t="s">
        <v>112</v>
      </c>
      <c r="GB652" t="s">
        <v>23167</v>
      </c>
      <c r="GC652" s="46">
        <v>0</v>
      </c>
      <c r="GD652" s="113"/>
      <c r="GE652" s="113"/>
      <c r="GF652" s="113"/>
      <c r="GG652" s="113"/>
      <c r="GH652" s="113"/>
      <c r="GI652" s="46">
        <v>0</v>
      </c>
      <c r="GJ652" s="113"/>
      <c r="GK652" s="113"/>
      <c r="GL652" s="113"/>
      <c r="GM652" s="113"/>
      <c r="GN652" s="113"/>
      <c r="GO652" s="46">
        <v>0</v>
      </c>
      <c r="GP652" s="113"/>
      <c r="GQ652" s="113"/>
      <c r="GR652" s="113"/>
      <c r="GS652" s="113"/>
      <c r="GT652" s="113"/>
      <c r="GU652" s="46">
        <v>0</v>
      </c>
      <c r="GV652" s="113"/>
      <c r="GW652" s="113"/>
      <c r="GX652" s="113"/>
      <c r="GY652" s="113"/>
      <c r="GZ652" s="113"/>
      <c r="HA652" s="46">
        <v>0</v>
      </c>
      <c r="HB652" s="113"/>
      <c r="HC652" s="113"/>
      <c r="HD652" s="113"/>
      <c r="HE652" s="113"/>
      <c r="HF652" s="113"/>
      <c r="HG652" s="46">
        <v>0</v>
      </c>
      <c r="HH652" s="113"/>
      <c r="HI652" s="113"/>
      <c r="HJ652" s="113"/>
      <c r="HK652" s="113"/>
      <c r="HL652" s="113"/>
      <c r="HM652" s="121"/>
      <c r="HN652" s="121"/>
      <c r="LM652" t="str">
        <v/>
      </c>
      <c r="LN652" t="str">
        <v/>
      </c>
      <c r="LO652" t="str">
        <v/>
      </c>
    </row>
    <row r="653" spans="30:327">
      <c r="AD653" t="s">
        <v>112</v>
      </c>
      <c r="AE653" t="s">
        <v>23168</v>
      </c>
      <c r="AF653" s="46">
        <v>0</v>
      </c>
      <c r="AG653" s="113"/>
      <c r="AH653" s="113"/>
      <c r="AI653" s="113"/>
      <c r="AJ653" s="113"/>
      <c r="AK653" s="113"/>
      <c r="AL653" s="46">
        <v>0</v>
      </c>
      <c r="AM653" s="113"/>
      <c r="AN653" s="113"/>
      <c r="AO653" s="113"/>
      <c r="AP653" s="113"/>
      <c r="AQ653" s="113"/>
      <c r="AR653" s="46">
        <v>0</v>
      </c>
      <c r="AS653" s="113"/>
      <c r="AT653" s="113"/>
      <c r="AU653" s="113"/>
      <c r="AV653" s="113"/>
      <c r="AW653" s="113"/>
      <c r="AX653" s="46">
        <v>0</v>
      </c>
      <c r="AY653" s="113"/>
      <c r="AZ653" s="113"/>
      <c r="BA653" s="113"/>
      <c r="BB653" s="113"/>
      <c r="BC653" s="113"/>
      <c r="BD653" s="46">
        <v>0</v>
      </c>
      <c r="BE653" s="113"/>
      <c r="BF653" s="113"/>
      <c r="BG653" s="113"/>
      <c r="BH653" s="113"/>
      <c r="BI653" s="113"/>
      <c r="BJ653" s="46">
        <v>0</v>
      </c>
      <c r="BK653" s="113"/>
      <c r="BL653" s="113"/>
      <c r="BM653" s="113"/>
      <c r="BN653" s="113"/>
      <c r="BO653" s="113"/>
      <c r="BP653" s="121"/>
      <c r="BQ653" s="121"/>
      <c r="GA653" t="s">
        <v>112</v>
      </c>
      <c r="GB653" t="s">
        <v>23168</v>
      </c>
      <c r="GC653" s="46">
        <v>0</v>
      </c>
      <c r="GD653" s="113"/>
      <c r="GE653" s="113"/>
      <c r="GF653" s="113"/>
      <c r="GG653" s="113"/>
      <c r="GH653" s="113"/>
      <c r="GI653" s="46">
        <v>0</v>
      </c>
      <c r="GJ653" s="113"/>
      <c r="GK653" s="113"/>
      <c r="GL653" s="113"/>
      <c r="GM653" s="113"/>
      <c r="GN653" s="113"/>
      <c r="GO653" s="46">
        <v>0</v>
      </c>
      <c r="GP653" s="113"/>
      <c r="GQ653" s="113"/>
      <c r="GR653" s="113"/>
      <c r="GS653" s="113"/>
      <c r="GT653" s="113"/>
      <c r="GU653" s="46">
        <v>0</v>
      </c>
      <c r="GV653" s="113"/>
      <c r="GW653" s="113"/>
      <c r="GX653" s="113"/>
      <c r="GY653" s="113"/>
      <c r="GZ653" s="113"/>
      <c r="HA653" s="46">
        <v>0</v>
      </c>
      <c r="HB653" s="113"/>
      <c r="HC653" s="113"/>
      <c r="HD653" s="113"/>
      <c r="HE653" s="113"/>
      <c r="HF653" s="113"/>
      <c r="HG653" s="46">
        <v>0</v>
      </c>
      <c r="HH653" s="113"/>
      <c r="HI653" s="113"/>
      <c r="HJ653" s="113"/>
      <c r="HK653" s="113"/>
      <c r="HL653" s="113"/>
      <c r="HM653" s="121"/>
      <c r="HN653" s="121"/>
      <c r="LM653" t="str">
        <v/>
      </c>
      <c r="LN653" t="str">
        <v/>
      </c>
      <c r="LO653" t="str">
        <v/>
      </c>
    </row>
    <row r="654" spans="30:327">
      <c r="AD654" t="s">
        <v>112</v>
      </c>
      <c r="AE654" t="s">
        <v>23169</v>
      </c>
      <c r="AF654" s="46">
        <v>0</v>
      </c>
      <c r="AG654" s="113"/>
      <c r="AH654" s="113"/>
      <c r="AI654" s="113"/>
      <c r="AJ654" s="113"/>
      <c r="AK654" s="113"/>
      <c r="AL654" s="46">
        <v>0</v>
      </c>
      <c r="AM654" s="113"/>
      <c r="AN654" s="113"/>
      <c r="AO654" s="113"/>
      <c r="AP654" s="113"/>
      <c r="AQ654" s="113"/>
      <c r="AR654" s="46">
        <v>0</v>
      </c>
      <c r="AS654" s="113"/>
      <c r="AT654" s="113"/>
      <c r="AU654" s="113"/>
      <c r="AV654" s="113"/>
      <c r="AW654" s="113"/>
      <c r="AX654" s="46">
        <v>0</v>
      </c>
      <c r="AY654" s="113"/>
      <c r="AZ654" s="113"/>
      <c r="BA654" s="113"/>
      <c r="BB654" s="113"/>
      <c r="BC654" s="113"/>
      <c r="BD654" s="46">
        <v>0</v>
      </c>
      <c r="BE654" s="113"/>
      <c r="BF654" s="113"/>
      <c r="BG654" s="113"/>
      <c r="BH654" s="113"/>
      <c r="BI654" s="113"/>
      <c r="BJ654" s="46">
        <v>0</v>
      </c>
      <c r="BK654" s="113"/>
      <c r="BL654" s="113"/>
      <c r="BM654" s="113"/>
      <c r="BN654" s="113"/>
      <c r="BO654" s="113"/>
      <c r="BP654" s="121"/>
      <c r="BQ654" s="121"/>
      <c r="GA654" t="s">
        <v>112</v>
      </c>
      <c r="GB654" t="s">
        <v>23169</v>
      </c>
      <c r="GC654" s="46">
        <v>0</v>
      </c>
      <c r="GD654" s="113"/>
      <c r="GE654" s="113"/>
      <c r="GF654" s="113"/>
      <c r="GG654" s="113"/>
      <c r="GH654" s="113"/>
      <c r="GI654" s="46">
        <v>0</v>
      </c>
      <c r="GJ654" s="113"/>
      <c r="GK654" s="113"/>
      <c r="GL654" s="113"/>
      <c r="GM654" s="113"/>
      <c r="GN654" s="113"/>
      <c r="GO654" s="46">
        <v>0</v>
      </c>
      <c r="GP654" s="113"/>
      <c r="GQ654" s="113"/>
      <c r="GR654" s="113"/>
      <c r="GS654" s="113"/>
      <c r="GT654" s="113"/>
      <c r="GU654" s="46">
        <v>0</v>
      </c>
      <c r="GV654" s="113"/>
      <c r="GW654" s="113"/>
      <c r="GX654" s="113"/>
      <c r="GY654" s="113"/>
      <c r="GZ654" s="113"/>
      <c r="HA654" s="46">
        <v>0</v>
      </c>
      <c r="HB654" s="113"/>
      <c r="HC654" s="113"/>
      <c r="HD654" s="113"/>
      <c r="HE654" s="113"/>
      <c r="HF654" s="113"/>
      <c r="HG654" s="46">
        <v>0</v>
      </c>
      <c r="HH654" s="113"/>
      <c r="HI654" s="113"/>
      <c r="HJ654" s="113"/>
      <c r="HK654" s="113"/>
      <c r="HL654" s="113"/>
      <c r="HM654" s="121"/>
      <c r="HN654" s="121"/>
      <c r="LM654" t="str">
        <v/>
      </c>
      <c r="LN654" t="str">
        <v/>
      </c>
      <c r="LO654" t="str">
        <v/>
      </c>
    </row>
    <row r="655" spans="30:327">
      <c r="AD655" t="s">
        <v>112</v>
      </c>
      <c r="AE655" t="s">
        <v>23170</v>
      </c>
      <c r="AF655" s="46">
        <v>0</v>
      </c>
      <c r="AG655" s="113"/>
      <c r="AH655" s="113"/>
      <c r="AI655" s="113"/>
      <c r="AJ655" s="113"/>
      <c r="AK655" s="113"/>
      <c r="AL655" s="46">
        <v>0</v>
      </c>
      <c r="AM655" s="113"/>
      <c r="AN655" s="113"/>
      <c r="AO655" s="113"/>
      <c r="AP655" s="113"/>
      <c r="AQ655" s="113"/>
      <c r="AR655" s="46">
        <v>0</v>
      </c>
      <c r="AS655" s="113"/>
      <c r="AT655" s="113"/>
      <c r="AU655" s="113"/>
      <c r="AV655" s="113"/>
      <c r="AW655" s="113"/>
      <c r="AX655" s="46">
        <v>0</v>
      </c>
      <c r="AY655" s="113"/>
      <c r="AZ655" s="113"/>
      <c r="BA655" s="113"/>
      <c r="BB655" s="113"/>
      <c r="BC655" s="113"/>
      <c r="BD655" s="46">
        <v>0</v>
      </c>
      <c r="BE655" s="113"/>
      <c r="BF655" s="113"/>
      <c r="BG655" s="113"/>
      <c r="BH655" s="113"/>
      <c r="BI655" s="113"/>
      <c r="BJ655" s="46">
        <v>0</v>
      </c>
      <c r="BK655" s="113"/>
      <c r="BL655" s="113"/>
      <c r="BM655" s="113"/>
      <c r="BN655" s="113"/>
      <c r="BO655" s="113"/>
      <c r="BP655" s="121"/>
      <c r="BQ655" s="121"/>
      <c r="GA655" t="s">
        <v>112</v>
      </c>
      <c r="GB655" t="s">
        <v>23170</v>
      </c>
      <c r="GC655" s="46">
        <v>0</v>
      </c>
      <c r="GD655" s="113"/>
      <c r="GE655" s="113"/>
      <c r="GF655" s="113"/>
      <c r="GG655" s="113"/>
      <c r="GH655" s="113"/>
      <c r="GI655" s="46">
        <v>0</v>
      </c>
      <c r="GJ655" s="113"/>
      <c r="GK655" s="113"/>
      <c r="GL655" s="113"/>
      <c r="GM655" s="113"/>
      <c r="GN655" s="113"/>
      <c r="GO655" s="46">
        <v>0</v>
      </c>
      <c r="GP655" s="113"/>
      <c r="GQ655" s="113"/>
      <c r="GR655" s="113"/>
      <c r="GS655" s="113"/>
      <c r="GT655" s="113"/>
      <c r="GU655" s="46">
        <v>0</v>
      </c>
      <c r="GV655" s="113"/>
      <c r="GW655" s="113"/>
      <c r="GX655" s="113"/>
      <c r="GY655" s="113"/>
      <c r="GZ655" s="113"/>
      <c r="HA655" s="46">
        <v>0</v>
      </c>
      <c r="HB655" s="113"/>
      <c r="HC655" s="113"/>
      <c r="HD655" s="113"/>
      <c r="HE655" s="113"/>
      <c r="HF655" s="113"/>
      <c r="HG655" s="46">
        <v>0</v>
      </c>
      <c r="HH655" s="113"/>
      <c r="HI655" s="113"/>
      <c r="HJ655" s="113"/>
      <c r="HK655" s="113"/>
      <c r="HL655" s="113"/>
      <c r="HM655" s="121"/>
      <c r="HN655" s="121"/>
      <c r="LM655" t="str">
        <v/>
      </c>
      <c r="LN655" t="str">
        <v/>
      </c>
      <c r="LO655" t="str">
        <v/>
      </c>
    </row>
    <row r="656" spans="30:327">
      <c r="AD656" t="s">
        <v>112</v>
      </c>
      <c r="AE656" t="s">
        <v>23171</v>
      </c>
      <c r="AF656" s="46">
        <v>0</v>
      </c>
      <c r="AG656" s="113"/>
      <c r="AH656" s="113"/>
      <c r="AI656" s="113"/>
      <c r="AJ656" s="113"/>
      <c r="AK656" s="113"/>
      <c r="AL656" s="46">
        <v>0</v>
      </c>
      <c r="AM656" s="113"/>
      <c r="AN656" s="113"/>
      <c r="AO656" s="113"/>
      <c r="AP656" s="113"/>
      <c r="AQ656" s="113"/>
      <c r="AR656" s="46">
        <v>0</v>
      </c>
      <c r="AS656" s="113"/>
      <c r="AT656" s="113"/>
      <c r="AU656" s="113"/>
      <c r="AV656" s="113"/>
      <c r="AW656" s="113"/>
      <c r="AX656" s="46">
        <v>0</v>
      </c>
      <c r="AY656" s="113"/>
      <c r="AZ656" s="113"/>
      <c r="BA656" s="113"/>
      <c r="BB656" s="113"/>
      <c r="BC656" s="113"/>
      <c r="BD656" s="46">
        <v>0</v>
      </c>
      <c r="BE656" s="113"/>
      <c r="BF656" s="113"/>
      <c r="BG656" s="113"/>
      <c r="BH656" s="113"/>
      <c r="BI656" s="113"/>
      <c r="BJ656" s="46">
        <v>0</v>
      </c>
      <c r="BK656" s="113"/>
      <c r="BL656" s="113"/>
      <c r="BM656" s="113"/>
      <c r="BN656" s="113"/>
      <c r="BO656" s="113"/>
      <c r="BP656" s="121"/>
      <c r="BQ656" s="121"/>
      <c r="GA656" t="s">
        <v>112</v>
      </c>
      <c r="GB656" t="s">
        <v>23171</v>
      </c>
      <c r="GC656" s="46">
        <v>0</v>
      </c>
      <c r="GD656" s="113"/>
      <c r="GE656" s="113"/>
      <c r="GF656" s="113"/>
      <c r="GG656" s="113"/>
      <c r="GH656" s="113"/>
      <c r="GI656" s="46">
        <v>0</v>
      </c>
      <c r="GJ656" s="113"/>
      <c r="GK656" s="113"/>
      <c r="GL656" s="113"/>
      <c r="GM656" s="113"/>
      <c r="GN656" s="113"/>
      <c r="GO656" s="46">
        <v>0</v>
      </c>
      <c r="GP656" s="113"/>
      <c r="GQ656" s="113"/>
      <c r="GR656" s="113"/>
      <c r="GS656" s="113"/>
      <c r="GT656" s="113"/>
      <c r="GU656" s="46">
        <v>0</v>
      </c>
      <c r="GV656" s="113"/>
      <c r="GW656" s="113"/>
      <c r="GX656" s="113"/>
      <c r="GY656" s="113"/>
      <c r="GZ656" s="113"/>
      <c r="HA656" s="46">
        <v>0</v>
      </c>
      <c r="HB656" s="113"/>
      <c r="HC656" s="113"/>
      <c r="HD656" s="113"/>
      <c r="HE656" s="113"/>
      <c r="HF656" s="113"/>
      <c r="HG656" s="46">
        <v>0</v>
      </c>
      <c r="HH656" s="113"/>
      <c r="HI656" s="113"/>
      <c r="HJ656" s="113"/>
      <c r="HK656" s="113"/>
      <c r="HL656" s="113"/>
      <c r="HM656" s="121"/>
      <c r="HN656" s="121"/>
      <c r="LM656" t="str">
        <v/>
      </c>
      <c r="LN656" t="str">
        <v/>
      </c>
      <c r="LO656" t="str">
        <v/>
      </c>
    </row>
    <row r="657" spans="30:327">
      <c r="AD657" t="s">
        <v>112</v>
      </c>
      <c r="AE657" t="s">
        <v>23172</v>
      </c>
      <c r="AF657" s="46">
        <v>0</v>
      </c>
      <c r="AG657" s="113"/>
      <c r="AH657" s="113"/>
      <c r="AI657" s="113"/>
      <c r="AJ657" s="113"/>
      <c r="AK657" s="113"/>
      <c r="AL657" s="46">
        <v>0</v>
      </c>
      <c r="AM657" s="113"/>
      <c r="AN657" s="113"/>
      <c r="AO657" s="113"/>
      <c r="AP657" s="113"/>
      <c r="AQ657" s="113"/>
      <c r="AR657" s="46">
        <v>0</v>
      </c>
      <c r="AS657" s="113"/>
      <c r="AT657" s="113"/>
      <c r="AU657" s="113"/>
      <c r="AV657" s="113"/>
      <c r="AW657" s="113"/>
      <c r="AX657" s="46">
        <v>0</v>
      </c>
      <c r="AY657" s="113"/>
      <c r="AZ657" s="113"/>
      <c r="BA657" s="113"/>
      <c r="BB657" s="113"/>
      <c r="BC657" s="113"/>
      <c r="BD657" s="46">
        <v>0</v>
      </c>
      <c r="BE657" s="113"/>
      <c r="BF657" s="113"/>
      <c r="BG657" s="113"/>
      <c r="BH657" s="113"/>
      <c r="BI657" s="113"/>
      <c r="BJ657" s="46">
        <v>0</v>
      </c>
      <c r="BK657" s="113"/>
      <c r="BL657" s="113"/>
      <c r="BM657" s="113"/>
      <c r="BN657" s="113"/>
      <c r="BO657" s="113"/>
      <c r="BP657" s="121"/>
      <c r="BQ657" s="121"/>
      <c r="GA657" t="s">
        <v>112</v>
      </c>
      <c r="GB657" t="s">
        <v>23172</v>
      </c>
      <c r="GC657" s="46">
        <v>0</v>
      </c>
      <c r="GD657" s="113"/>
      <c r="GE657" s="113"/>
      <c r="GF657" s="113"/>
      <c r="GG657" s="113"/>
      <c r="GH657" s="113"/>
      <c r="GI657" s="46">
        <v>0</v>
      </c>
      <c r="GJ657" s="113"/>
      <c r="GK657" s="113"/>
      <c r="GL657" s="113"/>
      <c r="GM657" s="113"/>
      <c r="GN657" s="113"/>
      <c r="GO657" s="46">
        <v>0</v>
      </c>
      <c r="GP657" s="113"/>
      <c r="GQ657" s="113"/>
      <c r="GR657" s="113"/>
      <c r="GS657" s="113"/>
      <c r="GT657" s="113"/>
      <c r="GU657" s="46">
        <v>0</v>
      </c>
      <c r="GV657" s="113"/>
      <c r="GW657" s="113"/>
      <c r="GX657" s="113"/>
      <c r="GY657" s="113"/>
      <c r="GZ657" s="113"/>
      <c r="HA657" s="46">
        <v>0</v>
      </c>
      <c r="HB657" s="113"/>
      <c r="HC657" s="113"/>
      <c r="HD657" s="113"/>
      <c r="HE657" s="113"/>
      <c r="HF657" s="113"/>
      <c r="HG657" s="46">
        <v>0</v>
      </c>
      <c r="HH657" s="113"/>
      <c r="HI657" s="113"/>
      <c r="HJ657" s="113"/>
      <c r="HK657" s="113"/>
      <c r="HL657" s="113"/>
      <c r="HM657" s="121"/>
      <c r="HN657" s="121"/>
      <c r="LM657" t="str">
        <v/>
      </c>
      <c r="LN657" t="str">
        <v/>
      </c>
      <c r="LO657" t="str">
        <v/>
      </c>
    </row>
    <row r="658" spans="30:327">
      <c r="AD658" t="s">
        <v>112</v>
      </c>
      <c r="AE658" t="s">
        <v>23173</v>
      </c>
      <c r="AF658" s="46">
        <v>0</v>
      </c>
      <c r="AG658" s="113"/>
      <c r="AH658" s="113"/>
      <c r="AI658" s="113"/>
      <c r="AJ658" s="113"/>
      <c r="AK658" s="113"/>
      <c r="AL658" s="46">
        <v>0</v>
      </c>
      <c r="AM658" s="113"/>
      <c r="AN658" s="113"/>
      <c r="AO658" s="113"/>
      <c r="AP658" s="113"/>
      <c r="AQ658" s="113"/>
      <c r="AR658" s="46">
        <v>0</v>
      </c>
      <c r="AS658" s="113"/>
      <c r="AT658" s="113"/>
      <c r="AU658" s="113"/>
      <c r="AV658" s="113"/>
      <c r="AW658" s="113"/>
      <c r="AX658" s="46">
        <v>0</v>
      </c>
      <c r="AY658" s="113"/>
      <c r="AZ658" s="113"/>
      <c r="BA658" s="113"/>
      <c r="BB658" s="113"/>
      <c r="BC658" s="113"/>
      <c r="BD658" s="46">
        <v>0</v>
      </c>
      <c r="BE658" s="113"/>
      <c r="BF658" s="113"/>
      <c r="BG658" s="113"/>
      <c r="BH658" s="113"/>
      <c r="BI658" s="113"/>
      <c r="BJ658" s="46">
        <v>0</v>
      </c>
      <c r="BK658" s="113"/>
      <c r="BL658" s="113"/>
      <c r="BM658" s="113"/>
      <c r="BN658" s="113"/>
      <c r="BO658" s="113"/>
      <c r="BP658" s="121"/>
      <c r="BQ658" s="121"/>
      <c r="GA658" t="s">
        <v>112</v>
      </c>
      <c r="GB658" t="s">
        <v>23173</v>
      </c>
      <c r="GC658" s="46">
        <v>0</v>
      </c>
      <c r="GD658" s="113"/>
      <c r="GE658" s="113"/>
      <c r="GF658" s="113"/>
      <c r="GG658" s="113"/>
      <c r="GH658" s="113"/>
      <c r="GI658" s="46">
        <v>0</v>
      </c>
      <c r="GJ658" s="113"/>
      <c r="GK658" s="113"/>
      <c r="GL658" s="113"/>
      <c r="GM658" s="113"/>
      <c r="GN658" s="113"/>
      <c r="GO658" s="46">
        <v>0</v>
      </c>
      <c r="GP658" s="113"/>
      <c r="GQ658" s="113"/>
      <c r="GR658" s="113"/>
      <c r="GS658" s="113"/>
      <c r="GT658" s="113"/>
      <c r="GU658" s="46">
        <v>0</v>
      </c>
      <c r="GV658" s="113"/>
      <c r="GW658" s="113"/>
      <c r="GX658" s="113"/>
      <c r="GY658" s="113"/>
      <c r="GZ658" s="113"/>
      <c r="HA658" s="46">
        <v>0</v>
      </c>
      <c r="HB658" s="113"/>
      <c r="HC658" s="113"/>
      <c r="HD658" s="113"/>
      <c r="HE658" s="113"/>
      <c r="HF658" s="113"/>
      <c r="HG658" s="46">
        <v>0</v>
      </c>
      <c r="HH658" s="113"/>
      <c r="HI658" s="113"/>
      <c r="HJ658" s="113"/>
      <c r="HK658" s="113"/>
      <c r="HL658" s="113"/>
      <c r="HM658" s="121"/>
      <c r="HN658" s="121"/>
      <c r="LM658" t="str">
        <v/>
      </c>
      <c r="LN658" t="str">
        <v/>
      </c>
      <c r="LO658" t="str">
        <v/>
      </c>
    </row>
    <row r="659" spans="30:327">
      <c r="AD659" t="s">
        <v>112</v>
      </c>
      <c r="AE659" t="s">
        <v>23174</v>
      </c>
      <c r="AF659" s="46">
        <v>0</v>
      </c>
      <c r="AG659" s="113"/>
      <c r="AH659" s="113"/>
      <c r="AI659" s="113"/>
      <c r="AJ659" s="113"/>
      <c r="AK659" s="113"/>
      <c r="AL659" s="46">
        <v>0</v>
      </c>
      <c r="AM659" s="113"/>
      <c r="AN659" s="113"/>
      <c r="AO659" s="113"/>
      <c r="AP659" s="113"/>
      <c r="AQ659" s="113"/>
      <c r="AR659" s="46">
        <v>0</v>
      </c>
      <c r="AS659" s="113"/>
      <c r="AT659" s="113"/>
      <c r="AU659" s="113"/>
      <c r="AV659" s="113"/>
      <c r="AW659" s="113"/>
      <c r="AX659" s="46">
        <v>0</v>
      </c>
      <c r="AY659" s="113"/>
      <c r="AZ659" s="113"/>
      <c r="BA659" s="113"/>
      <c r="BB659" s="113"/>
      <c r="BC659" s="113"/>
      <c r="BD659" s="46">
        <v>0</v>
      </c>
      <c r="BE659" s="113"/>
      <c r="BF659" s="113"/>
      <c r="BG659" s="113"/>
      <c r="BH659" s="113"/>
      <c r="BI659" s="113"/>
      <c r="BJ659" s="46">
        <v>0</v>
      </c>
      <c r="BK659" s="113"/>
      <c r="BL659" s="113"/>
      <c r="BM659" s="113"/>
      <c r="BN659" s="113"/>
      <c r="BO659" s="113"/>
      <c r="BP659" s="121"/>
      <c r="BQ659" s="121"/>
      <c r="GA659" t="s">
        <v>112</v>
      </c>
      <c r="GB659" t="s">
        <v>23174</v>
      </c>
      <c r="GC659" s="46">
        <v>0</v>
      </c>
      <c r="GD659" s="113"/>
      <c r="GE659" s="113"/>
      <c r="GF659" s="113"/>
      <c r="GG659" s="113"/>
      <c r="GH659" s="113"/>
      <c r="GI659" s="46">
        <v>0</v>
      </c>
      <c r="GJ659" s="113"/>
      <c r="GK659" s="113"/>
      <c r="GL659" s="113"/>
      <c r="GM659" s="113"/>
      <c r="GN659" s="113"/>
      <c r="GO659" s="46">
        <v>0</v>
      </c>
      <c r="GP659" s="113"/>
      <c r="GQ659" s="113"/>
      <c r="GR659" s="113"/>
      <c r="GS659" s="113"/>
      <c r="GT659" s="113"/>
      <c r="GU659" s="46">
        <v>0</v>
      </c>
      <c r="GV659" s="113"/>
      <c r="GW659" s="113"/>
      <c r="GX659" s="113"/>
      <c r="GY659" s="113"/>
      <c r="GZ659" s="113"/>
      <c r="HA659" s="46">
        <v>0</v>
      </c>
      <c r="HB659" s="113"/>
      <c r="HC659" s="113"/>
      <c r="HD659" s="113"/>
      <c r="HE659" s="113"/>
      <c r="HF659" s="113"/>
      <c r="HG659" s="46">
        <v>0</v>
      </c>
      <c r="HH659" s="113"/>
      <c r="HI659" s="113"/>
      <c r="HJ659" s="113"/>
      <c r="HK659" s="113"/>
      <c r="HL659" s="113"/>
      <c r="HM659" s="121"/>
      <c r="HN659" s="121"/>
      <c r="LM659" t="str">
        <v/>
      </c>
      <c r="LN659" t="str">
        <v/>
      </c>
      <c r="LO659" t="str">
        <v/>
      </c>
    </row>
    <row r="660" spans="30:327">
      <c r="AD660" t="s">
        <v>112</v>
      </c>
      <c r="AE660" t="s">
        <v>23175</v>
      </c>
      <c r="AF660" s="46">
        <v>0</v>
      </c>
      <c r="AG660" s="113"/>
      <c r="AH660" s="113"/>
      <c r="AI660" s="113"/>
      <c r="AJ660" s="113"/>
      <c r="AK660" s="113"/>
      <c r="AL660" s="46">
        <v>0</v>
      </c>
      <c r="AM660" s="113"/>
      <c r="AN660" s="113"/>
      <c r="AO660" s="113"/>
      <c r="AP660" s="113"/>
      <c r="AQ660" s="113"/>
      <c r="AR660" s="46">
        <v>0</v>
      </c>
      <c r="AS660" s="113"/>
      <c r="AT660" s="113"/>
      <c r="AU660" s="113"/>
      <c r="AV660" s="113"/>
      <c r="AW660" s="113"/>
      <c r="AX660" s="46">
        <v>0</v>
      </c>
      <c r="AY660" s="113"/>
      <c r="AZ660" s="113"/>
      <c r="BA660" s="113"/>
      <c r="BB660" s="113"/>
      <c r="BC660" s="113"/>
      <c r="BD660" s="46">
        <v>0</v>
      </c>
      <c r="BE660" s="113"/>
      <c r="BF660" s="113"/>
      <c r="BG660" s="113"/>
      <c r="BH660" s="113"/>
      <c r="BI660" s="113"/>
      <c r="BJ660" s="46">
        <v>0</v>
      </c>
      <c r="BK660" s="113"/>
      <c r="BL660" s="113"/>
      <c r="BM660" s="113"/>
      <c r="BN660" s="113"/>
      <c r="BO660" s="113"/>
      <c r="BP660" s="121"/>
      <c r="BQ660" s="121"/>
      <c r="GA660" t="s">
        <v>112</v>
      </c>
      <c r="GB660" t="s">
        <v>23175</v>
      </c>
      <c r="GC660" s="46">
        <v>0</v>
      </c>
      <c r="GD660" s="113"/>
      <c r="GE660" s="113"/>
      <c r="GF660" s="113"/>
      <c r="GG660" s="113"/>
      <c r="GH660" s="113"/>
      <c r="GI660" s="46">
        <v>0</v>
      </c>
      <c r="GJ660" s="113"/>
      <c r="GK660" s="113"/>
      <c r="GL660" s="113"/>
      <c r="GM660" s="113"/>
      <c r="GN660" s="113"/>
      <c r="GO660" s="46">
        <v>0</v>
      </c>
      <c r="GP660" s="113"/>
      <c r="GQ660" s="113"/>
      <c r="GR660" s="113"/>
      <c r="GS660" s="113"/>
      <c r="GT660" s="113"/>
      <c r="GU660" s="46">
        <v>0</v>
      </c>
      <c r="GV660" s="113"/>
      <c r="GW660" s="113"/>
      <c r="GX660" s="113"/>
      <c r="GY660" s="113"/>
      <c r="GZ660" s="113"/>
      <c r="HA660" s="46">
        <v>0</v>
      </c>
      <c r="HB660" s="113"/>
      <c r="HC660" s="113"/>
      <c r="HD660" s="113"/>
      <c r="HE660" s="113"/>
      <c r="HF660" s="113"/>
      <c r="HG660" s="46">
        <v>0</v>
      </c>
      <c r="HH660" s="113"/>
      <c r="HI660" s="113"/>
      <c r="HJ660" s="113"/>
      <c r="HK660" s="113"/>
      <c r="HL660" s="113"/>
      <c r="HM660" s="121"/>
      <c r="HN660" s="121"/>
      <c r="LM660" t="str">
        <v/>
      </c>
      <c r="LN660" t="str">
        <v/>
      </c>
      <c r="LO660" t="str">
        <v/>
      </c>
    </row>
    <row r="661" spans="30:327">
      <c r="AD661" t="s">
        <v>112</v>
      </c>
      <c r="AE661" t="s">
        <v>23176</v>
      </c>
      <c r="AF661" s="46">
        <v>0</v>
      </c>
      <c r="AG661" s="113"/>
      <c r="AH661" s="113"/>
      <c r="AI661" s="113"/>
      <c r="AJ661" s="113"/>
      <c r="AK661" s="113"/>
      <c r="AL661" s="46">
        <v>0</v>
      </c>
      <c r="AM661" s="113"/>
      <c r="AN661" s="113"/>
      <c r="AO661" s="113"/>
      <c r="AP661" s="113"/>
      <c r="AQ661" s="113"/>
      <c r="AR661" s="46">
        <v>0</v>
      </c>
      <c r="AS661" s="113"/>
      <c r="AT661" s="113"/>
      <c r="AU661" s="113"/>
      <c r="AV661" s="113"/>
      <c r="AW661" s="113"/>
      <c r="AX661" s="46">
        <v>0</v>
      </c>
      <c r="AY661" s="113"/>
      <c r="AZ661" s="113"/>
      <c r="BA661" s="113"/>
      <c r="BB661" s="113"/>
      <c r="BC661" s="113"/>
      <c r="BD661" s="46">
        <v>0</v>
      </c>
      <c r="BE661" s="113"/>
      <c r="BF661" s="113"/>
      <c r="BG661" s="113"/>
      <c r="BH661" s="113"/>
      <c r="BI661" s="113"/>
      <c r="BJ661" s="46">
        <v>0</v>
      </c>
      <c r="BK661" s="113"/>
      <c r="BL661" s="113"/>
      <c r="BM661" s="113"/>
      <c r="BN661" s="113"/>
      <c r="BO661" s="113"/>
      <c r="BP661" s="121"/>
      <c r="BQ661" s="121"/>
      <c r="GA661" t="s">
        <v>112</v>
      </c>
      <c r="GB661" t="s">
        <v>23176</v>
      </c>
      <c r="GC661" s="46">
        <v>0</v>
      </c>
      <c r="GD661" s="113"/>
      <c r="GE661" s="113"/>
      <c r="GF661" s="113"/>
      <c r="GG661" s="113"/>
      <c r="GH661" s="113"/>
      <c r="GI661" s="46">
        <v>0</v>
      </c>
      <c r="GJ661" s="113"/>
      <c r="GK661" s="113"/>
      <c r="GL661" s="113"/>
      <c r="GM661" s="113"/>
      <c r="GN661" s="113"/>
      <c r="GO661" s="46">
        <v>0</v>
      </c>
      <c r="GP661" s="113"/>
      <c r="GQ661" s="113"/>
      <c r="GR661" s="113"/>
      <c r="GS661" s="113"/>
      <c r="GT661" s="113"/>
      <c r="GU661" s="46">
        <v>0</v>
      </c>
      <c r="GV661" s="113"/>
      <c r="GW661" s="113"/>
      <c r="GX661" s="113"/>
      <c r="GY661" s="113"/>
      <c r="GZ661" s="113"/>
      <c r="HA661" s="46">
        <v>0</v>
      </c>
      <c r="HB661" s="113"/>
      <c r="HC661" s="113"/>
      <c r="HD661" s="113"/>
      <c r="HE661" s="113"/>
      <c r="HF661" s="113"/>
      <c r="HG661" s="46">
        <v>0</v>
      </c>
      <c r="HH661" s="113"/>
      <c r="HI661" s="113"/>
      <c r="HJ661" s="113"/>
      <c r="HK661" s="113"/>
      <c r="HL661" s="113"/>
      <c r="HM661" s="121"/>
      <c r="HN661" s="121"/>
      <c r="LM661" t="str">
        <v/>
      </c>
      <c r="LN661" t="str">
        <v/>
      </c>
      <c r="LO661" t="str">
        <v/>
      </c>
    </row>
    <row r="662" spans="30:327">
      <c r="AD662" t="s">
        <v>112</v>
      </c>
      <c r="AE662" t="s">
        <v>19748</v>
      </c>
      <c r="AF662" s="46">
        <v>0</v>
      </c>
      <c r="AG662" s="113"/>
      <c r="AH662" s="113"/>
      <c r="AI662" s="113"/>
      <c r="AJ662" s="113"/>
      <c r="AK662" s="113"/>
      <c r="AL662" s="46">
        <v>0</v>
      </c>
      <c r="AM662" s="113"/>
      <c r="AN662" s="113"/>
      <c r="AO662" s="113"/>
      <c r="AP662" s="113"/>
      <c r="AQ662" s="113"/>
      <c r="AR662" s="46">
        <v>0</v>
      </c>
      <c r="AS662" s="113"/>
      <c r="AT662" s="113"/>
      <c r="AU662" s="113"/>
      <c r="AV662" s="113"/>
      <c r="AW662" s="113"/>
      <c r="AX662" s="46">
        <v>0</v>
      </c>
      <c r="AY662" s="113"/>
      <c r="AZ662" s="113"/>
      <c r="BA662" s="113"/>
      <c r="BB662" s="113"/>
      <c r="BC662" s="113"/>
      <c r="BD662" s="46">
        <v>0</v>
      </c>
      <c r="BE662" s="113"/>
      <c r="BF662" s="113"/>
      <c r="BG662" s="113"/>
      <c r="BH662" s="113"/>
      <c r="BI662" s="113"/>
      <c r="BJ662" s="46">
        <v>0</v>
      </c>
      <c r="BK662" s="113"/>
      <c r="BL662" s="113"/>
      <c r="BM662" s="113"/>
      <c r="BN662" s="113"/>
      <c r="BO662" s="113"/>
      <c r="BP662" s="121"/>
      <c r="BQ662" s="121"/>
      <c r="GA662" t="s">
        <v>112</v>
      </c>
      <c r="GB662" t="s">
        <v>19748</v>
      </c>
      <c r="GC662" s="46">
        <v>0</v>
      </c>
      <c r="GD662" s="113"/>
      <c r="GE662" s="113"/>
      <c r="GF662" s="113"/>
      <c r="GG662" s="113"/>
      <c r="GH662" s="113"/>
      <c r="GI662" s="46">
        <v>0</v>
      </c>
      <c r="GJ662" s="113"/>
      <c r="GK662" s="113"/>
      <c r="GL662" s="113"/>
      <c r="GM662" s="113"/>
      <c r="GN662" s="113"/>
      <c r="GO662" s="46">
        <v>0</v>
      </c>
      <c r="GP662" s="113"/>
      <c r="GQ662" s="113"/>
      <c r="GR662" s="113"/>
      <c r="GS662" s="113"/>
      <c r="GT662" s="113"/>
      <c r="GU662" s="46">
        <v>0</v>
      </c>
      <c r="GV662" s="113"/>
      <c r="GW662" s="113"/>
      <c r="GX662" s="113"/>
      <c r="GY662" s="113"/>
      <c r="GZ662" s="113"/>
      <c r="HA662" s="46">
        <v>0</v>
      </c>
      <c r="HB662" s="113"/>
      <c r="HC662" s="113"/>
      <c r="HD662" s="113"/>
      <c r="HE662" s="113"/>
      <c r="HF662" s="113"/>
      <c r="HG662" s="46">
        <v>0</v>
      </c>
      <c r="HH662" s="113"/>
      <c r="HI662" s="113"/>
      <c r="HJ662" s="113"/>
      <c r="HK662" s="113"/>
      <c r="HL662" s="113"/>
      <c r="HM662" s="121"/>
      <c r="HN662" s="121"/>
      <c r="LM662" t="str">
        <v/>
      </c>
      <c r="LN662" t="str">
        <v/>
      </c>
      <c r="LO662" t="str">
        <v/>
      </c>
    </row>
    <row r="663" spans="30:327">
      <c r="AD663" t="s">
        <v>112</v>
      </c>
      <c r="AE663" t="s">
        <v>19749</v>
      </c>
      <c r="AF663" s="46">
        <v>0</v>
      </c>
      <c r="AG663" s="113"/>
      <c r="AH663" s="113"/>
      <c r="AI663" s="113"/>
      <c r="AJ663" s="113"/>
      <c r="AK663" s="113"/>
      <c r="AL663" s="46">
        <v>0</v>
      </c>
      <c r="AM663" s="113"/>
      <c r="AN663" s="113"/>
      <c r="AO663" s="113"/>
      <c r="AP663" s="113"/>
      <c r="AQ663" s="113"/>
      <c r="AR663" s="46">
        <v>0</v>
      </c>
      <c r="AS663" s="113"/>
      <c r="AT663" s="113"/>
      <c r="AU663" s="113"/>
      <c r="AV663" s="113"/>
      <c r="AW663" s="113"/>
      <c r="AX663" s="46">
        <v>0</v>
      </c>
      <c r="AY663" s="113"/>
      <c r="AZ663" s="113"/>
      <c r="BA663" s="113"/>
      <c r="BB663" s="113"/>
      <c r="BC663" s="113"/>
      <c r="BD663" s="46">
        <v>0</v>
      </c>
      <c r="BE663" s="113"/>
      <c r="BF663" s="113"/>
      <c r="BG663" s="113"/>
      <c r="BH663" s="113"/>
      <c r="BI663" s="113"/>
      <c r="BJ663" s="46">
        <v>0</v>
      </c>
      <c r="BK663" s="113"/>
      <c r="BL663" s="113"/>
      <c r="BM663" s="113"/>
      <c r="BN663" s="113"/>
      <c r="BO663" s="113"/>
      <c r="BP663" s="121"/>
      <c r="BQ663" s="121"/>
      <c r="GA663" t="s">
        <v>112</v>
      </c>
      <c r="GB663" t="s">
        <v>19749</v>
      </c>
      <c r="GC663" s="46">
        <v>0</v>
      </c>
      <c r="GD663" s="113"/>
      <c r="GE663" s="113"/>
      <c r="GF663" s="113"/>
      <c r="GG663" s="113"/>
      <c r="GH663" s="113"/>
      <c r="GI663" s="46">
        <v>0</v>
      </c>
      <c r="GJ663" s="113"/>
      <c r="GK663" s="113"/>
      <c r="GL663" s="113"/>
      <c r="GM663" s="113"/>
      <c r="GN663" s="113"/>
      <c r="GO663" s="46">
        <v>0</v>
      </c>
      <c r="GP663" s="113"/>
      <c r="GQ663" s="113"/>
      <c r="GR663" s="113"/>
      <c r="GS663" s="113"/>
      <c r="GT663" s="113"/>
      <c r="GU663" s="46">
        <v>0</v>
      </c>
      <c r="GV663" s="113"/>
      <c r="GW663" s="113"/>
      <c r="GX663" s="113"/>
      <c r="GY663" s="113"/>
      <c r="GZ663" s="113"/>
      <c r="HA663" s="46">
        <v>0</v>
      </c>
      <c r="HB663" s="113"/>
      <c r="HC663" s="113"/>
      <c r="HD663" s="113"/>
      <c r="HE663" s="113"/>
      <c r="HF663" s="113"/>
      <c r="HG663" s="46">
        <v>0</v>
      </c>
      <c r="HH663" s="113"/>
      <c r="HI663" s="113"/>
      <c r="HJ663" s="113"/>
      <c r="HK663" s="113"/>
      <c r="HL663" s="113"/>
      <c r="HM663" s="121"/>
      <c r="HN663" s="121"/>
      <c r="LM663" t="str">
        <v/>
      </c>
      <c r="LN663" t="str">
        <v/>
      </c>
      <c r="LO663" t="str">
        <v/>
      </c>
    </row>
    <row r="664" spans="30:327">
      <c r="AD664" t="s">
        <v>112</v>
      </c>
      <c r="AE664" t="s">
        <v>19750</v>
      </c>
      <c r="AF664" s="46">
        <v>0</v>
      </c>
      <c r="AG664" s="113"/>
      <c r="AH664" s="113"/>
      <c r="AI664" s="113"/>
      <c r="AJ664" s="113"/>
      <c r="AK664" s="113"/>
      <c r="AL664" s="46">
        <v>0</v>
      </c>
      <c r="AM664" s="113"/>
      <c r="AN664" s="113"/>
      <c r="AO664" s="113"/>
      <c r="AP664" s="113"/>
      <c r="AQ664" s="113"/>
      <c r="AR664" s="46">
        <v>0</v>
      </c>
      <c r="AS664" s="113"/>
      <c r="AT664" s="113"/>
      <c r="AU664" s="113"/>
      <c r="AV664" s="113"/>
      <c r="AW664" s="113"/>
      <c r="AX664" s="46">
        <v>0</v>
      </c>
      <c r="AY664" s="113"/>
      <c r="AZ664" s="113"/>
      <c r="BA664" s="113"/>
      <c r="BB664" s="113"/>
      <c r="BC664" s="113"/>
      <c r="BD664" s="46">
        <v>0</v>
      </c>
      <c r="BE664" s="113"/>
      <c r="BF664" s="113"/>
      <c r="BG664" s="113"/>
      <c r="BH664" s="113"/>
      <c r="BI664" s="113"/>
      <c r="BJ664" s="46">
        <v>0</v>
      </c>
      <c r="BK664" s="113"/>
      <c r="BL664" s="113"/>
      <c r="BM664" s="113"/>
      <c r="BN664" s="113"/>
      <c r="BO664" s="113"/>
      <c r="BP664" s="121"/>
      <c r="BQ664" s="121"/>
      <c r="GA664" t="s">
        <v>112</v>
      </c>
      <c r="GB664" t="s">
        <v>19750</v>
      </c>
      <c r="GC664" s="46">
        <v>0</v>
      </c>
      <c r="GD664" s="113"/>
      <c r="GE664" s="113"/>
      <c r="GF664" s="113"/>
      <c r="GG664" s="113"/>
      <c r="GH664" s="113"/>
      <c r="GI664" s="46">
        <v>0</v>
      </c>
      <c r="GJ664" s="113"/>
      <c r="GK664" s="113"/>
      <c r="GL664" s="113"/>
      <c r="GM664" s="113"/>
      <c r="GN664" s="113"/>
      <c r="GO664" s="46">
        <v>0</v>
      </c>
      <c r="GP664" s="113"/>
      <c r="GQ664" s="113"/>
      <c r="GR664" s="113"/>
      <c r="GS664" s="113"/>
      <c r="GT664" s="113"/>
      <c r="GU664" s="46">
        <v>0</v>
      </c>
      <c r="GV664" s="113"/>
      <c r="GW664" s="113"/>
      <c r="GX664" s="113"/>
      <c r="GY664" s="113"/>
      <c r="GZ664" s="113"/>
      <c r="HA664" s="46">
        <v>0</v>
      </c>
      <c r="HB664" s="113"/>
      <c r="HC664" s="113"/>
      <c r="HD664" s="113"/>
      <c r="HE664" s="113"/>
      <c r="HF664" s="113"/>
      <c r="HG664" s="46">
        <v>0</v>
      </c>
      <c r="HH664" s="113"/>
      <c r="HI664" s="113"/>
      <c r="HJ664" s="113"/>
      <c r="HK664" s="113"/>
      <c r="HL664" s="113"/>
      <c r="HM664" s="121"/>
      <c r="HN664" s="121"/>
      <c r="LM664" t="str">
        <v/>
      </c>
      <c r="LN664" t="str">
        <v/>
      </c>
      <c r="LO664" t="str">
        <v/>
      </c>
    </row>
    <row r="665" spans="30:327">
      <c r="AD665" t="s">
        <v>112</v>
      </c>
      <c r="AE665" t="s">
        <v>19751</v>
      </c>
      <c r="AF665" s="46">
        <v>0</v>
      </c>
      <c r="AG665" s="113"/>
      <c r="AH665" s="113"/>
      <c r="AI665" s="113"/>
      <c r="AJ665" s="113"/>
      <c r="AK665" s="113"/>
      <c r="AL665" s="46">
        <v>0</v>
      </c>
      <c r="AM665" s="113"/>
      <c r="AN665" s="113"/>
      <c r="AO665" s="113"/>
      <c r="AP665" s="113"/>
      <c r="AQ665" s="113"/>
      <c r="AR665" s="46">
        <v>0</v>
      </c>
      <c r="AS665" s="113"/>
      <c r="AT665" s="113"/>
      <c r="AU665" s="113"/>
      <c r="AV665" s="113"/>
      <c r="AW665" s="113"/>
      <c r="AX665" s="46">
        <v>0</v>
      </c>
      <c r="AY665" s="113"/>
      <c r="AZ665" s="113"/>
      <c r="BA665" s="113"/>
      <c r="BB665" s="113"/>
      <c r="BC665" s="113"/>
      <c r="BD665" s="46">
        <v>0</v>
      </c>
      <c r="BE665" s="113"/>
      <c r="BF665" s="113"/>
      <c r="BG665" s="113"/>
      <c r="BH665" s="113"/>
      <c r="BI665" s="113"/>
      <c r="BJ665" s="46">
        <v>0</v>
      </c>
      <c r="BK665" s="113"/>
      <c r="BL665" s="113"/>
      <c r="BM665" s="113"/>
      <c r="BN665" s="113"/>
      <c r="BO665" s="113"/>
      <c r="BP665" s="121"/>
      <c r="BQ665" s="121"/>
      <c r="GA665" t="s">
        <v>112</v>
      </c>
      <c r="GB665" t="s">
        <v>19751</v>
      </c>
      <c r="GC665" s="46">
        <v>0</v>
      </c>
      <c r="GD665" s="113"/>
      <c r="GE665" s="113"/>
      <c r="GF665" s="113"/>
      <c r="GG665" s="113"/>
      <c r="GH665" s="113"/>
      <c r="GI665" s="46">
        <v>0</v>
      </c>
      <c r="GJ665" s="113"/>
      <c r="GK665" s="113"/>
      <c r="GL665" s="113"/>
      <c r="GM665" s="113"/>
      <c r="GN665" s="113"/>
      <c r="GO665" s="46">
        <v>0</v>
      </c>
      <c r="GP665" s="113"/>
      <c r="GQ665" s="113"/>
      <c r="GR665" s="113"/>
      <c r="GS665" s="113"/>
      <c r="GT665" s="113"/>
      <c r="GU665" s="46">
        <v>0</v>
      </c>
      <c r="GV665" s="113"/>
      <c r="GW665" s="113"/>
      <c r="GX665" s="113"/>
      <c r="GY665" s="113"/>
      <c r="GZ665" s="113"/>
      <c r="HA665" s="46">
        <v>0</v>
      </c>
      <c r="HB665" s="113"/>
      <c r="HC665" s="113"/>
      <c r="HD665" s="113"/>
      <c r="HE665" s="113"/>
      <c r="HF665" s="113"/>
      <c r="HG665" s="46">
        <v>0</v>
      </c>
      <c r="HH665" s="113"/>
      <c r="HI665" s="113"/>
      <c r="HJ665" s="113"/>
      <c r="HK665" s="113"/>
      <c r="HL665" s="113"/>
      <c r="HM665" s="121"/>
      <c r="HN665" s="121"/>
      <c r="LM665" t="str">
        <v/>
      </c>
      <c r="LN665" t="str">
        <v/>
      </c>
      <c r="LO665" t="str">
        <v/>
      </c>
    </row>
    <row r="666" spans="30:327">
      <c r="AD666" t="s">
        <v>112</v>
      </c>
      <c r="AE666" t="s">
        <v>19752</v>
      </c>
      <c r="AF666" s="46">
        <v>0</v>
      </c>
      <c r="AG666" s="113"/>
      <c r="AH666" s="113"/>
      <c r="AI666" s="113"/>
      <c r="AJ666" s="113"/>
      <c r="AK666" s="113"/>
      <c r="AL666" s="46">
        <v>0</v>
      </c>
      <c r="AM666" s="113"/>
      <c r="AN666" s="113"/>
      <c r="AO666" s="113"/>
      <c r="AP666" s="113"/>
      <c r="AQ666" s="113"/>
      <c r="AR666" s="46">
        <v>0</v>
      </c>
      <c r="AS666" s="113"/>
      <c r="AT666" s="113"/>
      <c r="AU666" s="113"/>
      <c r="AV666" s="113"/>
      <c r="AW666" s="113"/>
      <c r="AX666" s="46">
        <v>0</v>
      </c>
      <c r="AY666" s="113"/>
      <c r="AZ666" s="113"/>
      <c r="BA666" s="113"/>
      <c r="BB666" s="113"/>
      <c r="BC666" s="113"/>
      <c r="BD666" s="46">
        <v>0</v>
      </c>
      <c r="BE666" s="113"/>
      <c r="BF666" s="113"/>
      <c r="BG666" s="113"/>
      <c r="BH666" s="113"/>
      <c r="BI666" s="113"/>
      <c r="BJ666" s="46">
        <v>0</v>
      </c>
      <c r="BK666" s="113"/>
      <c r="BL666" s="113"/>
      <c r="BM666" s="113"/>
      <c r="BN666" s="113"/>
      <c r="BO666" s="113"/>
      <c r="BP666" s="121"/>
      <c r="BQ666" s="121"/>
      <c r="GA666" t="s">
        <v>112</v>
      </c>
      <c r="GB666" t="s">
        <v>19752</v>
      </c>
      <c r="GC666" s="46">
        <v>0</v>
      </c>
      <c r="GD666" s="113"/>
      <c r="GE666" s="113"/>
      <c r="GF666" s="113"/>
      <c r="GG666" s="113"/>
      <c r="GH666" s="113"/>
      <c r="GI666" s="46">
        <v>0</v>
      </c>
      <c r="GJ666" s="113"/>
      <c r="GK666" s="113"/>
      <c r="GL666" s="113"/>
      <c r="GM666" s="113"/>
      <c r="GN666" s="113"/>
      <c r="GO666" s="46">
        <v>0</v>
      </c>
      <c r="GP666" s="113"/>
      <c r="GQ666" s="113"/>
      <c r="GR666" s="113"/>
      <c r="GS666" s="113"/>
      <c r="GT666" s="113"/>
      <c r="GU666" s="46">
        <v>0</v>
      </c>
      <c r="GV666" s="113"/>
      <c r="GW666" s="113"/>
      <c r="GX666" s="113"/>
      <c r="GY666" s="113"/>
      <c r="GZ666" s="113"/>
      <c r="HA666" s="46">
        <v>0</v>
      </c>
      <c r="HB666" s="113"/>
      <c r="HC666" s="113"/>
      <c r="HD666" s="113"/>
      <c r="HE666" s="113"/>
      <c r="HF666" s="113"/>
      <c r="HG666" s="46">
        <v>0</v>
      </c>
      <c r="HH666" s="113"/>
      <c r="HI666" s="113"/>
      <c r="HJ666" s="113"/>
      <c r="HK666" s="113"/>
      <c r="HL666" s="113"/>
      <c r="HM666" s="121"/>
      <c r="HN666" s="121"/>
      <c r="LM666" t="str">
        <v/>
      </c>
      <c r="LN666" t="str">
        <v/>
      </c>
      <c r="LO666" t="str">
        <v/>
      </c>
    </row>
    <row r="667" spans="30:327">
      <c r="AD667" t="s">
        <v>112</v>
      </c>
      <c r="AE667" t="s">
        <v>19753</v>
      </c>
      <c r="AF667" s="46">
        <v>0</v>
      </c>
      <c r="AG667" s="113"/>
      <c r="AH667" s="113"/>
      <c r="AI667" s="113"/>
      <c r="AJ667" s="113"/>
      <c r="AK667" s="113"/>
      <c r="AL667" s="46">
        <v>0</v>
      </c>
      <c r="AM667" s="113"/>
      <c r="AN667" s="113"/>
      <c r="AO667" s="113"/>
      <c r="AP667" s="113"/>
      <c r="AQ667" s="113"/>
      <c r="AR667" s="46">
        <v>0</v>
      </c>
      <c r="AS667" s="113"/>
      <c r="AT667" s="113"/>
      <c r="AU667" s="113"/>
      <c r="AV667" s="113"/>
      <c r="AW667" s="113"/>
      <c r="AX667" s="46">
        <v>0</v>
      </c>
      <c r="AY667" s="113"/>
      <c r="AZ667" s="113"/>
      <c r="BA667" s="113"/>
      <c r="BB667" s="113"/>
      <c r="BC667" s="113"/>
      <c r="BD667" s="46">
        <v>0</v>
      </c>
      <c r="BE667" s="113"/>
      <c r="BF667" s="113"/>
      <c r="BG667" s="113"/>
      <c r="BH667" s="113"/>
      <c r="BI667" s="113"/>
      <c r="BJ667" s="46">
        <v>0</v>
      </c>
      <c r="BK667" s="113"/>
      <c r="BL667" s="113"/>
      <c r="BM667" s="113"/>
      <c r="BN667" s="113"/>
      <c r="BO667" s="113"/>
      <c r="BP667" s="121"/>
      <c r="BQ667" s="121"/>
      <c r="GA667" t="s">
        <v>112</v>
      </c>
      <c r="GB667" t="s">
        <v>19753</v>
      </c>
      <c r="GC667" s="46">
        <v>0</v>
      </c>
      <c r="GD667" s="113"/>
      <c r="GE667" s="113"/>
      <c r="GF667" s="113"/>
      <c r="GG667" s="113"/>
      <c r="GH667" s="113"/>
      <c r="GI667" s="46">
        <v>0</v>
      </c>
      <c r="GJ667" s="113"/>
      <c r="GK667" s="113"/>
      <c r="GL667" s="113"/>
      <c r="GM667" s="113"/>
      <c r="GN667" s="113"/>
      <c r="GO667" s="46">
        <v>0</v>
      </c>
      <c r="GP667" s="113"/>
      <c r="GQ667" s="113"/>
      <c r="GR667" s="113"/>
      <c r="GS667" s="113"/>
      <c r="GT667" s="113"/>
      <c r="GU667" s="46">
        <v>0</v>
      </c>
      <c r="GV667" s="113"/>
      <c r="GW667" s="113"/>
      <c r="GX667" s="113"/>
      <c r="GY667" s="113"/>
      <c r="GZ667" s="113"/>
      <c r="HA667" s="46">
        <v>0</v>
      </c>
      <c r="HB667" s="113"/>
      <c r="HC667" s="113"/>
      <c r="HD667" s="113"/>
      <c r="HE667" s="113"/>
      <c r="HF667" s="113"/>
      <c r="HG667" s="46">
        <v>0</v>
      </c>
      <c r="HH667" s="113"/>
      <c r="HI667" s="113"/>
      <c r="HJ667" s="113"/>
      <c r="HK667" s="113"/>
      <c r="HL667" s="113"/>
      <c r="HM667" s="121"/>
      <c r="HN667" s="121"/>
      <c r="LM667" t="str">
        <v/>
      </c>
      <c r="LN667" t="str">
        <v/>
      </c>
      <c r="LO667" t="str">
        <v/>
      </c>
    </row>
    <row r="668" spans="30:327">
      <c r="AD668" t="s">
        <v>112</v>
      </c>
      <c r="AE668" t="s">
        <v>19754</v>
      </c>
      <c r="AF668" s="46">
        <v>0</v>
      </c>
      <c r="AG668" s="113"/>
      <c r="AH668" s="113"/>
      <c r="AI668" s="113"/>
      <c r="AJ668" s="113"/>
      <c r="AK668" s="113"/>
      <c r="AL668" s="46">
        <v>0</v>
      </c>
      <c r="AM668" s="113"/>
      <c r="AN668" s="113"/>
      <c r="AO668" s="113"/>
      <c r="AP668" s="113"/>
      <c r="AQ668" s="113"/>
      <c r="AR668" s="46">
        <v>0</v>
      </c>
      <c r="AS668" s="113"/>
      <c r="AT668" s="113"/>
      <c r="AU668" s="113"/>
      <c r="AV668" s="113"/>
      <c r="AW668" s="113"/>
      <c r="AX668" s="46">
        <v>0</v>
      </c>
      <c r="AY668" s="113"/>
      <c r="AZ668" s="113"/>
      <c r="BA668" s="113"/>
      <c r="BB668" s="113"/>
      <c r="BC668" s="113"/>
      <c r="BD668" s="46">
        <v>0</v>
      </c>
      <c r="BE668" s="113"/>
      <c r="BF668" s="113"/>
      <c r="BG668" s="113"/>
      <c r="BH668" s="113"/>
      <c r="BI668" s="113"/>
      <c r="BJ668" s="46">
        <v>0</v>
      </c>
      <c r="BK668" s="113"/>
      <c r="BL668" s="113"/>
      <c r="BM668" s="113"/>
      <c r="BN668" s="113"/>
      <c r="BO668" s="113"/>
      <c r="BP668" s="121"/>
      <c r="BQ668" s="121"/>
      <c r="GA668" t="s">
        <v>112</v>
      </c>
      <c r="GB668" t="s">
        <v>19754</v>
      </c>
      <c r="GC668" s="46">
        <v>0</v>
      </c>
      <c r="GD668" s="113"/>
      <c r="GE668" s="113"/>
      <c r="GF668" s="113"/>
      <c r="GG668" s="113"/>
      <c r="GH668" s="113"/>
      <c r="GI668" s="46">
        <v>0</v>
      </c>
      <c r="GJ668" s="113"/>
      <c r="GK668" s="113"/>
      <c r="GL668" s="113"/>
      <c r="GM668" s="113"/>
      <c r="GN668" s="113"/>
      <c r="GO668" s="46">
        <v>0</v>
      </c>
      <c r="GP668" s="113"/>
      <c r="GQ668" s="113"/>
      <c r="GR668" s="113"/>
      <c r="GS668" s="113"/>
      <c r="GT668" s="113"/>
      <c r="GU668" s="46">
        <v>0</v>
      </c>
      <c r="GV668" s="113"/>
      <c r="GW668" s="113"/>
      <c r="GX668" s="113"/>
      <c r="GY668" s="113"/>
      <c r="GZ668" s="113"/>
      <c r="HA668" s="46">
        <v>0</v>
      </c>
      <c r="HB668" s="113"/>
      <c r="HC668" s="113"/>
      <c r="HD668" s="113"/>
      <c r="HE668" s="113"/>
      <c r="HF668" s="113"/>
      <c r="HG668" s="46">
        <v>0</v>
      </c>
      <c r="HH668" s="113"/>
      <c r="HI668" s="113"/>
      <c r="HJ668" s="113"/>
      <c r="HK668" s="113"/>
      <c r="HL668" s="113"/>
      <c r="HM668" s="121"/>
      <c r="HN668" s="121"/>
      <c r="LM668" t="str">
        <v/>
      </c>
      <c r="LN668" t="str">
        <v/>
      </c>
      <c r="LO668" t="str">
        <v/>
      </c>
    </row>
    <row r="669" spans="30:327">
      <c r="AD669" t="s">
        <v>112</v>
      </c>
      <c r="AE669" t="s">
        <v>19755</v>
      </c>
      <c r="AF669" s="46">
        <v>0</v>
      </c>
      <c r="AG669" s="113"/>
      <c r="AH669" s="113"/>
      <c r="AI669" s="113"/>
      <c r="AJ669" s="113"/>
      <c r="AK669" s="113"/>
      <c r="AL669" s="46">
        <v>0</v>
      </c>
      <c r="AM669" s="113"/>
      <c r="AN669" s="113"/>
      <c r="AO669" s="113"/>
      <c r="AP669" s="113"/>
      <c r="AQ669" s="113"/>
      <c r="AR669" s="46">
        <v>0</v>
      </c>
      <c r="AS669" s="113"/>
      <c r="AT669" s="113"/>
      <c r="AU669" s="113"/>
      <c r="AV669" s="113"/>
      <c r="AW669" s="113"/>
      <c r="AX669" s="46">
        <v>0</v>
      </c>
      <c r="AY669" s="113"/>
      <c r="AZ669" s="113"/>
      <c r="BA669" s="113"/>
      <c r="BB669" s="113"/>
      <c r="BC669" s="113"/>
      <c r="BD669" s="46">
        <v>0</v>
      </c>
      <c r="BE669" s="113"/>
      <c r="BF669" s="113"/>
      <c r="BG669" s="113"/>
      <c r="BH669" s="113"/>
      <c r="BI669" s="113"/>
      <c r="BJ669" s="46">
        <v>0</v>
      </c>
      <c r="BK669" s="113"/>
      <c r="BL669" s="113"/>
      <c r="BM669" s="113"/>
      <c r="BN669" s="113"/>
      <c r="BO669" s="113"/>
      <c r="BP669" s="121"/>
      <c r="BQ669" s="121"/>
      <c r="GA669" t="s">
        <v>112</v>
      </c>
      <c r="GB669" t="s">
        <v>19755</v>
      </c>
      <c r="GC669" s="46">
        <v>0</v>
      </c>
      <c r="GD669" s="113"/>
      <c r="GE669" s="113"/>
      <c r="GF669" s="113"/>
      <c r="GG669" s="113"/>
      <c r="GH669" s="113"/>
      <c r="GI669" s="46">
        <v>0</v>
      </c>
      <c r="GJ669" s="113"/>
      <c r="GK669" s="113"/>
      <c r="GL669" s="113"/>
      <c r="GM669" s="113"/>
      <c r="GN669" s="113"/>
      <c r="GO669" s="46">
        <v>0</v>
      </c>
      <c r="GP669" s="113"/>
      <c r="GQ669" s="113"/>
      <c r="GR669" s="113"/>
      <c r="GS669" s="113"/>
      <c r="GT669" s="113"/>
      <c r="GU669" s="46">
        <v>0</v>
      </c>
      <c r="GV669" s="113"/>
      <c r="GW669" s="113"/>
      <c r="GX669" s="113"/>
      <c r="GY669" s="113"/>
      <c r="GZ669" s="113"/>
      <c r="HA669" s="46">
        <v>0</v>
      </c>
      <c r="HB669" s="113"/>
      <c r="HC669" s="113"/>
      <c r="HD669" s="113"/>
      <c r="HE669" s="113"/>
      <c r="HF669" s="113"/>
      <c r="HG669" s="46">
        <v>0</v>
      </c>
      <c r="HH669" s="113"/>
      <c r="HI669" s="113"/>
      <c r="HJ669" s="113"/>
      <c r="HK669" s="113"/>
      <c r="HL669" s="113"/>
      <c r="HM669" s="121"/>
      <c r="HN669" s="121"/>
      <c r="LM669" t="str">
        <v/>
      </c>
      <c r="LN669" t="str">
        <v/>
      </c>
      <c r="LO669" t="str">
        <v/>
      </c>
    </row>
    <row r="670" spans="30:327">
      <c r="AD670" t="s">
        <v>112</v>
      </c>
      <c r="AE670" t="s">
        <v>19756</v>
      </c>
      <c r="AF670" s="46">
        <v>0</v>
      </c>
      <c r="AG670" s="113"/>
      <c r="AH670" s="113"/>
      <c r="AI670" s="113"/>
      <c r="AJ670" s="113"/>
      <c r="AK670" s="113"/>
      <c r="AL670" s="46">
        <v>0</v>
      </c>
      <c r="AM670" s="113"/>
      <c r="AN670" s="113"/>
      <c r="AO670" s="113"/>
      <c r="AP670" s="113"/>
      <c r="AQ670" s="113"/>
      <c r="AR670" s="46">
        <v>0</v>
      </c>
      <c r="AS670" s="113"/>
      <c r="AT670" s="113"/>
      <c r="AU670" s="113"/>
      <c r="AV670" s="113"/>
      <c r="AW670" s="113"/>
      <c r="AX670" s="46">
        <v>0</v>
      </c>
      <c r="AY670" s="113"/>
      <c r="AZ670" s="113"/>
      <c r="BA670" s="113"/>
      <c r="BB670" s="113"/>
      <c r="BC670" s="113"/>
      <c r="BD670" s="46">
        <v>0</v>
      </c>
      <c r="BE670" s="113"/>
      <c r="BF670" s="113"/>
      <c r="BG670" s="113"/>
      <c r="BH670" s="113"/>
      <c r="BI670" s="113"/>
      <c r="BJ670" s="46">
        <v>0</v>
      </c>
      <c r="BK670" s="113"/>
      <c r="BL670" s="113"/>
      <c r="BM670" s="113"/>
      <c r="BN670" s="113"/>
      <c r="BO670" s="113"/>
      <c r="BP670" s="121"/>
      <c r="BQ670" s="121"/>
      <c r="GA670" t="s">
        <v>112</v>
      </c>
      <c r="GB670" t="s">
        <v>19756</v>
      </c>
      <c r="GC670" s="46">
        <v>0</v>
      </c>
      <c r="GD670" s="113"/>
      <c r="GE670" s="113"/>
      <c r="GF670" s="113"/>
      <c r="GG670" s="113"/>
      <c r="GH670" s="113"/>
      <c r="GI670" s="46">
        <v>0</v>
      </c>
      <c r="GJ670" s="113"/>
      <c r="GK670" s="113"/>
      <c r="GL670" s="113"/>
      <c r="GM670" s="113"/>
      <c r="GN670" s="113"/>
      <c r="GO670" s="46">
        <v>0</v>
      </c>
      <c r="GP670" s="113"/>
      <c r="GQ670" s="113"/>
      <c r="GR670" s="113"/>
      <c r="GS670" s="113"/>
      <c r="GT670" s="113"/>
      <c r="GU670" s="46">
        <v>0</v>
      </c>
      <c r="GV670" s="113"/>
      <c r="GW670" s="113"/>
      <c r="GX670" s="113"/>
      <c r="GY670" s="113"/>
      <c r="GZ670" s="113"/>
      <c r="HA670" s="46">
        <v>0</v>
      </c>
      <c r="HB670" s="113"/>
      <c r="HC670" s="113"/>
      <c r="HD670" s="113"/>
      <c r="HE670" s="113"/>
      <c r="HF670" s="113"/>
      <c r="HG670" s="46">
        <v>0</v>
      </c>
      <c r="HH670" s="113"/>
      <c r="HI670" s="113"/>
      <c r="HJ670" s="113"/>
      <c r="HK670" s="113"/>
      <c r="HL670" s="113"/>
      <c r="HM670" s="121"/>
      <c r="HN670" s="121"/>
      <c r="LM670" t="str">
        <v/>
      </c>
      <c r="LN670" t="str">
        <v/>
      </c>
      <c r="LO670" t="str">
        <v/>
      </c>
    </row>
    <row r="671" spans="30:327">
      <c r="AD671" t="s">
        <v>112</v>
      </c>
      <c r="AE671" t="s">
        <v>19757</v>
      </c>
      <c r="AF671" s="46">
        <v>0</v>
      </c>
      <c r="AG671" s="113"/>
      <c r="AH671" s="113"/>
      <c r="AI671" s="113"/>
      <c r="AJ671" s="113"/>
      <c r="AK671" s="113"/>
      <c r="AL671" s="46">
        <v>0</v>
      </c>
      <c r="AM671" s="113"/>
      <c r="AN671" s="113"/>
      <c r="AO671" s="113"/>
      <c r="AP671" s="113"/>
      <c r="AQ671" s="113"/>
      <c r="AR671" s="46">
        <v>0</v>
      </c>
      <c r="AS671" s="113"/>
      <c r="AT671" s="113"/>
      <c r="AU671" s="113"/>
      <c r="AV671" s="113"/>
      <c r="AW671" s="113"/>
      <c r="AX671" s="46">
        <v>0</v>
      </c>
      <c r="AY671" s="113"/>
      <c r="AZ671" s="113"/>
      <c r="BA671" s="113"/>
      <c r="BB671" s="113"/>
      <c r="BC671" s="113"/>
      <c r="BD671" s="46">
        <v>0</v>
      </c>
      <c r="BE671" s="113"/>
      <c r="BF671" s="113"/>
      <c r="BG671" s="113"/>
      <c r="BH671" s="113"/>
      <c r="BI671" s="113"/>
      <c r="BJ671" s="46">
        <v>0</v>
      </c>
      <c r="BK671" s="113"/>
      <c r="BL671" s="113"/>
      <c r="BM671" s="113"/>
      <c r="BN671" s="113"/>
      <c r="BO671" s="113"/>
      <c r="BP671" s="121"/>
      <c r="BQ671" s="121"/>
      <c r="GA671" t="s">
        <v>112</v>
      </c>
      <c r="GB671" t="s">
        <v>19757</v>
      </c>
      <c r="GC671" s="46">
        <v>0</v>
      </c>
      <c r="GD671" s="113"/>
      <c r="GE671" s="113"/>
      <c r="GF671" s="113"/>
      <c r="GG671" s="113"/>
      <c r="GH671" s="113"/>
      <c r="GI671" s="46">
        <v>0</v>
      </c>
      <c r="GJ671" s="113"/>
      <c r="GK671" s="113"/>
      <c r="GL671" s="113"/>
      <c r="GM671" s="113"/>
      <c r="GN671" s="113"/>
      <c r="GO671" s="46">
        <v>0</v>
      </c>
      <c r="GP671" s="113"/>
      <c r="GQ671" s="113"/>
      <c r="GR671" s="113"/>
      <c r="GS671" s="113"/>
      <c r="GT671" s="113"/>
      <c r="GU671" s="46">
        <v>0</v>
      </c>
      <c r="GV671" s="113"/>
      <c r="GW671" s="113"/>
      <c r="GX671" s="113"/>
      <c r="GY671" s="113"/>
      <c r="GZ671" s="113"/>
      <c r="HA671" s="46">
        <v>0</v>
      </c>
      <c r="HB671" s="113"/>
      <c r="HC671" s="113"/>
      <c r="HD671" s="113"/>
      <c r="HE671" s="113"/>
      <c r="HF671" s="113"/>
      <c r="HG671" s="46">
        <v>0</v>
      </c>
      <c r="HH671" s="113"/>
      <c r="HI671" s="113"/>
      <c r="HJ671" s="113"/>
      <c r="HK671" s="113"/>
      <c r="HL671" s="113"/>
      <c r="HM671" s="121"/>
      <c r="HN671" s="121"/>
      <c r="LM671" t="str">
        <v/>
      </c>
      <c r="LN671" t="str">
        <v/>
      </c>
      <c r="LO671" t="str">
        <v/>
      </c>
    </row>
    <row r="672" spans="30:327">
      <c r="AD672" t="s">
        <v>112</v>
      </c>
      <c r="AE672" t="s">
        <v>19758</v>
      </c>
      <c r="AF672" s="46">
        <v>0</v>
      </c>
      <c r="AG672" s="113"/>
      <c r="AH672" s="113"/>
      <c r="AI672" s="113"/>
      <c r="AJ672" s="113"/>
      <c r="AK672" s="113"/>
      <c r="AL672" s="46">
        <v>0</v>
      </c>
      <c r="AM672" s="113"/>
      <c r="AN672" s="113"/>
      <c r="AO672" s="113"/>
      <c r="AP672" s="113"/>
      <c r="AQ672" s="113"/>
      <c r="AR672" s="46">
        <v>0</v>
      </c>
      <c r="AS672" s="113"/>
      <c r="AT672" s="113"/>
      <c r="AU672" s="113"/>
      <c r="AV672" s="113"/>
      <c r="AW672" s="113"/>
      <c r="AX672" s="46">
        <v>0</v>
      </c>
      <c r="AY672" s="113"/>
      <c r="AZ672" s="113"/>
      <c r="BA672" s="113"/>
      <c r="BB672" s="113"/>
      <c r="BC672" s="113"/>
      <c r="BD672" s="46">
        <v>0</v>
      </c>
      <c r="BE672" s="113"/>
      <c r="BF672" s="113"/>
      <c r="BG672" s="113"/>
      <c r="BH672" s="113"/>
      <c r="BI672" s="113"/>
      <c r="BJ672" s="46">
        <v>0</v>
      </c>
      <c r="BK672" s="113"/>
      <c r="BL672" s="113"/>
      <c r="BM672" s="113"/>
      <c r="BN672" s="113"/>
      <c r="BO672" s="113"/>
      <c r="BP672" s="121"/>
      <c r="BQ672" s="121"/>
      <c r="GA672" t="s">
        <v>112</v>
      </c>
      <c r="GB672" t="s">
        <v>19758</v>
      </c>
      <c r="GC672" s="46">
        <v>0</v>
      </c>
      <c r="GD672" s="113"/>
      <c r="GE672" s="113"/>
      <c r="GF672" s="113"/>
      <c r="GG672" s="113"/>
      <c r="GH672" s="113"/>
      <c r="GI672" s="46">
        <v>0</v>
      </c>
      <c r="GJ672" s="113"/>
      <c r="GK672" s="113"/>
      <c r="GL672" s="113"/>
      <c r="GM672" s="113"/>
      <c r="GN672" s="113"/>
      <c r="GO672" s="46">
        <v>0</v>
      </c>
      <c r="GP672" s="113"/>
      <c r="GQ672" s="113"/>
      <c r="GR672" s="113"/>
      <c r="GS672" s="113"/>
      <c r="GT672" s="113"/>
      <c r="GU672" s="46">
        <v>0</v>
      </c>
      <c r="GV672" s="113"/>
      <c r="GW672" s="113"/>
      <c r="GX672" s="113"/>
      <c r="GY672" s="113"/>
      <c r="GZ672" s="113"/>
      <c r="HA672" s="46">
        <v>0</v>
      </c>
      <c r="HB672" s="113"/>
      <c r="HC672" s="113"/>
      <c r="HD672" s="113"/>
      <c r="HE672" s="113"/>
      <c r="HF672" s="113"/>
      <c r="HG672" s="46">
        <v>0</v>
      </c>
      <c r="HH672" s="113"/>
      <c r="HI672" s="113"/>
      <c r="HJ672" s="113"/>
      <c r="HK672" s="113"/>
      <c r="HL672" s="113"/>
      <c r="HM672" s="121"/>
      <c r="HN672" s="121"/>
      <c r="LM672" t="str">
        <v/>
      </c>
      <c r="LN672" t="str">
        <v/>
      </c>
      <c r="LO672" t="str">
        <v/>
      </c>
    </row>
    <row r="673" spans="30:327">
      <c r="AD673" t="s">
        <v>112</v>
      </c>
      <c r="AE673" t="s">
        <v>19759</v>
      </c>
      <c r="AF673" s="46">
        <v>0</v>
      </c>
      <c r="AG673" s="113"/>
      <c r="AH673" s="113"/>
      <c r="AI673" s="113"/>
      <c r="AJ673" s="113"/>
      <c r="AK673" s="113"/>
      <c r="AL673" s="46">
        <v>0</v>
      </c>
      <c r="AM673" s="113"/>
      <c r="AN673" s="113"/>
      <c r="AO673" s="113"/>
      <c r="AP673" s="113"/>
      <c r="AQ673" s="113"/>
      <c r="AR673" s="46">
        <v>0</v>
      </c>
      <c r="AS673" s="113"/>
      <c r="AT673" s="113"/>
      <c r="AU673" s="113"/>
      <c r="AV673" s="113"/>
      <c r="AW673" s="113"/>
      <c r="AX673" s="46">
        <v>0</v>
      </c>
      <c r="AY673" s="113"/>
      <c r="AZ673" s="113"/>
      <c r="BA673" s="113"/>
      <c r="BB673" s="113"/>
      <c r="BC673" s="113"/>
      <c r="BD673" s="46">
        <v>0</v>
      </c>
      <c r="BE673" s="113"/>
      <c r="BF673" s="113"/>
      <c r="BG673" s="113"/>
      <c r="BH673" s="113"/>
      <c r="BI673" s="113"/>
      <c r="BJ673" s="46">
        <v>0</v>
      </c>
      <c r="BK673" s="113"/>
      <c r="BL673" s="113"/>
      <c r="BM673" s="113"/>
      <c r="BN673" s="113"/>
      <c r="BO673" s="113"/>
      <c r="BP673" s="121"/>
      <c r="BQ673" s="121"/>
      <c r="GA673" t="s">
        <v>112</v>
      </c>
      <c r="GB673" t="s">
        <v>19759</v>
      </c>
      <c r="GC673" s="46">
        <v>0</v>
      </c>
      <c r="GD673" s="113"/>
      <c r="GE673" s="113"/>
      <c r="GF673" s="113"/>
      <c r="GG673" s="113"/>
      <c r="GH673" s="113"/>
      <c r="GI673" s="46">
        <v>0</v>
      </c>
      <c r="GJ673" s="113"/>
      <c r="GK673" s="113"/>
      <c r="GL673" s="113"/>
      <c r="GM673" s="113"/>
      <c r="GN673" s="113"/>
      <c r="GO673" s="46">
        <v>0</v>
      </c>
      <c r="GP673" s="113"/>
      <c r="GQ673" s="113"/>
      <c r="GR673" s="113"/>
      <c r="GS673" s="113"/>
      <c r="GT673" s="113"/>
      <c r="GU673" s="46">
        <v>0</v>
      </c>
      <c r="GV673" s="113"/>
      <c r="GW673" s="113"/>
      <c r="GX673" s="113"/>
      <c r="GY673" s="113"/>
      <c r="GZ673" s="113"/>
      <c r="HA673" s="46">
        <v>0</v>
      </c>
      <c r="HB673" s="113"/>
      <c r="HC673" s="113"/>
      <c r="HD673" s="113"/>
      <c r="HE673" s="113"/>
      <c r="HF673" s="113"/>
      <c r="HG673" s="46">
        <v>0</v>
      </c>
      <c r="HH673" s="113"/>
      <c r="HI673" s="113"/>
      <c r="HJ673" s="113"/>
      <c r="HK673" s="113"/>
      <c r="HL673" s="113"/>
      <c r="HM673" s="121"/>
      <c r="HN673" s="121"/>
      <c r="LM673" t="str">
        <v/>
      </c>
      <c r="LN673" t="str">
        <v/>
      </c>
      <c r="LO673" t="str">
        <v/>
      </c>
    </row>
    <row r="674" spans="30:327">
      <c r="AD674" t="s">
        <v>112</v>
      </c>
      <c r="AE674" t="s">
        <v>16274</v>
      </c>
      <c r="AF674" s="46">
        <v>0</v>
      </c>
      <c r="AG674" s="113"/>
      <c r="AH674" s="113"/>
      <c r="AI674" s="113"/>
      <c r="AJ674" s="113"/>
      <c r="AK674" s="113"/>
      <c r="AL674" s="46">
        <v>0</v>
      </c>
      <c r="AM674" s="113"/>
      <c r="AN674" s="113"/>
      <c r="AO674" s="113"/>
      <c r="AP674" s="113"/>
      <c r="AQ674" s="113"/>
      <c r="AR674" s="46">
        <v>0</v>
      </c>
      <c r="AS674" s="113"/>
      <c r="AT674" s="113"/>
      <c r="AU674" s="113"/>
      <c r="AV674" s="113"/>
      <c r="AW674" s="113"/>
      <c r="AX674" s="46">
        <v>0</v>
      </c>
      <c r="AY674" s="113"/>
      <c r="AZ674" s="113"/>
      <c r="BA674" s="113"/>
      <c r="BB674" s="113"/>
      <c r="BC674" s="113"/>
      <c r="BD674" s="46">
        <v>0</v>
      </c>
      <c r="BE674" s="113"/>
      <c r="BF674" s="113"/>
      <c r="BG674" s="113"/>
      <c r="BH674" s="113"/>
      <c r="BI674" s="113"/>
      <c r="BJ674" s="46">
        <v>0</v>
      </c>
      <c r="BK674" s="113"/>
      <c r="BL674" s="113"/>
      <c r="BM674" s="113"/>
      <c r="BN674" s="113"/>
      <c r="BO674" s="113"/>
      <c r="BP674" s="121"/>
      <c r="BQ674" s="121"/>
      <c r="GA674" t="s">
        <v>112</v>
      </c>
      <c r="GB674" t="s">
        <v>16274</v>
      </c>
      <c r="GC674" s="46">
        <v>0</v>
      </c>
      <c r="GD674" s="113"/>
      <c r="GE674" s="113"/>
      <c r="GF674" s="113"/>
      <c r="GG674" s="113"/>
      <c r="GH674" s="113"/>
      <c r="GI674" s="46">
        <v>0</v>
      </c>
      <c r="GJ674" s="113"/>
      <c r="GK674" s="113"/>
      <c r="GL674" s="113"/>
      <c r="GM674" s="113"/>
      <c r="GN674" s="113"/>
      <c r="GO674" s="46">
        <v>0</v>
      </c>
      <c r="GP674" s="113"/>
      <c r="GQ674" s="113"/>
      <c r="GR674" s="113"/>
      <c r="GS674" s="113"/>
      <c r="GT674" s="113"/>
      <c r="GU674" s="46">
        <v>0</v>
      </c>
      <c r="GV674" s="113"/>
      <c r="GW674" s="113"/>
      <c r="GX674" s="113"/>
      <c r="GY674" s="113"/>
      <c r="GZ674" s="113"/>
      <c r="HA674" s="46">
        <v>0</v>
      </c>
      <c r="HB674" s="113"/>
      <c r="HC674" s="113"/>
      <c r="HD674" s="113"/>
      <c r="HE674" s="113"/>
      <c r="HF674" s="113"/>
      <c r="HG674" s="46">
        <v>0</v>
      </c>
      <c r="HH674" s="113"/>
      <c r="HI674" s="113"/>
      <c r="HJ674" s="113"/>
      <c r="HK674" s="113"/>
      <c r="HL674" s="113"/>
      <c r="HM674" s="121"/>
      <c r="HN674" s="121"/>
      <c r="LM674" t="str">
        <v/>
      </c>
      <c r="LN674" t="str">
        <v/>
      </c>
      <c r="LO674" t="str">
        <v/>
      </c>
    </row>
    <row r="675" spans="30:327">
      <c r="AD675" t="s">
        <v>112</v>
      </c>
      <c r="AE675" t="s">
        <v>16486</v>
      </c>
      <c r="AF675" s="46">
        <v>0</v>
      </c>
      <c r="AG675" s="113"/>
      <c r="AH675" s="113"/>
      <c r="AI675" s="113"/>
      <c r="AJ675" s="113"/>
      <c r="AK675" s="113"/>
      <c r="AL675" s="46">
        <v>0</v>
      </c>
      <c r="AM675" s="113"/>
      <c r="AN675" s="113"/>
      <c r="AO675" s="113"/>
      <c r="AP675" s="113"/>
      <c r="AQ675" s="113"/>
      <c r="AR675" s="46">
        <v>0</v>
      </c>
      <c r="AS675" s="113"/>
      <c r="AT675" s="113"/>
      <c r="AU675" s="113"/>
      <c r="AV675" s="113"/>
      <c r="AW675" s="113"/>
      <c r="AX675" s="46">
        <v>0</v>
      </c>
      <c r="AY675" s="113"/>
      <c r="AZ675" s="113"/>
      <c r="BA675" s="113"/>
      <c r="BB675" s="113"/>
      <c r="BC675" s="113"/>
      <c r="BD675" s="46">
        <v>0</v>
      </c>
      <c r="BE675" s="113"/>
      <c r="BF675" s="113"/>
      <c r="BG675" s="113"/>
      <c r="BH675" s="113"/>
      <c r="BI675" s="113"/>
      <c r="BJ675" s="46">
        <v>0</v>
      </c>
      <c r="BK675" s="113"/>
      <c r="BL675" s="113"/>
      <c r="BM675" s="113"/>
      <c r="BN675" s="113"/>
      <c r="BO675" s="113"/>
      <c r="BP675" s="121"/>
      <c r="BQ675" s="121"/>
      <c r="GA675" t="s">
        <v>112</v>
      </c>
      <c r="GB675" t="s">
        <v>16486</v>
      </c>
      <c r="GC675" s="46">
        <v>0</v>
      </c>
      <c r="GD675" s="113"/>
      <c r="GE675" s="113"/>
      <c r="GF675" s="113"/>
      <c r="GG675" s="113"/>
      <c r="GH675" s="113"/>
      <c r="GI675" s="46">
        <v>0</v>
      </c>
      <c r="GJ675" s="113"/>
      <c r="GK675" s="113"/>
      <c r="GL675" s="113"/>
      <c r="GM675" s="113"/>
      <c r="GN675" s="113"/>
      <c r="GO675" s="46">
        <v>0</v>
      </c>
      <c r="GP675" s="113"/>
      <c r="GQ675" s="113"/>
      <c r="GR675" s="113"/>
      <c r="GS675" s="113"/>
      <c r="GT675" s="113"/>
      <c r="GU675" s="46">
        <v>0</v>
      </c>
      <c r="GV675" s="113"/>
      <c r="GW675" s="113"/>
      <c r="GX675" s="113"/>
      <c r="GY675" s="113"/>
      <c r="GZ675" s="113"/>
      <c r="HA675" s="46">
        <v>0</v>
      </c>
      <c r="HB675" s="113"/>
      <c r="HC675" s="113"/>
      <c r="HD675" s="113"/>
      <c r="HE675" s="113"/>
      <c r="HF675" s="113"/>
      <c r="HG675" s="46">
        <v>0</v>
      </c>
      <c r="HH675" s="113"/>
      <c r="HI675" s="113"/>
      <c r="HJ675" s="113"/>
      <c r="HK675" s="113"/>
      <c r="HL675" s="113"/>
      <c r="HM675" s="121"/>
      <c r="HN675" s="121"/>
      <c r="LM675" t="str">
        <v/>
      </c>
      <c r="LN675" t="str">
        <v/>
      </c>
      <c r="LO675" t="str">
        <v/>
      </c>
    </row>
    <row r="676" spans="30:327">
      <c r="AD676" t="s">
        <v>112</v>
      </c>
      <c r="AE676" t="s">
        <v>16487</v>
      </c>
      <c r="AF676" s="46">
        <v>0</v>
      </c>
      <c r="AG676" s="113"/>
      <c r="AH676" s="113"/>
      <c r="AI676" s="113"/>
      <c r="AJ676" s="113"/>
      <c r="AK676" s="113"/>
      <c r="AL676" s="46">
        <v>0</v>
      </c>
      <c r="AM676" s="113"/>
      <c r="AN676" s="113"/>
      <c r="AO676" s="113"/>
      <c r="AP676" s="113"/>
      <c r="AQ676" s="113"/>
      <c r="AR676" s="46">
        <v>0</v>
      </c>
      <c r="AS676" s="113"/>
      <c r="AT676" s="113"/>
      <c r="AU676" s="113"/>
      <c r="AV676" s="113"/>
      <c r="AW676" s="113"/>
      <c r="AX676" s="46">
        <v>0</v>
      </c>
      <c r="AY676" s="113"/>
      <c r="AZ676" s="113"/>
      <c r="BA676" s="113"/>
      <c r="BB676" s="113"/>
      <c r="BC676" s="113"/>
      <c r="BD676" s="46">
        <v>0</v>
      </c>
      <c r="BE676" s="113"/>
      <c r="BF676" s="113"/>
      <c r="BG676" s="113"/>
      <c r="BH676" s="113"/>
      <c r="BI676" s="113"/>
      <c r="BJ676" s="46">
        <v>0</v>
      </c>
      <c r="BK676" s="113"/>
      <c r="BL676" s="113"/>
      <c r="BM676" s="113"/>
      <c r="BN676" s="113"/>
      <c r="BO676" s="113"/>
      <c r="BP676" s="121"/>
      <c r="BQ676" s="121"/>
      <c r="GA676" t="s">
        <v>112</v>
      </c>
      <c r="GB676" t="s">
        <v>16487</v>
      </c>
      <c r="GC676" s="46">
        <v>0</v>
      </c>
      <c r="GD676" s="113"/>
      <c r="GE676" s="113"/>
      <c r="GF676" s="113"/>
      <c r="GG676" s="113"/>
      <c r="GH676" s="113"/>
      <c r="GI676" s="46">
        <v>0</v>
      </c>
      <c r="GJ676" s="113"/>
      <c r="GK676" s="113"/>
      <c r="GL676" s="113"/>
      <c r="GM676" s="113"/>
      <c r="GN676" s="113"/>
      <c r="GO676" s="46">
        <v>0</v>
      </c>
      <c r="GP676" s="113"/>
      <c r="GQ676" s="113"/>
      <c r="GR676" s="113"/>
      <c r="GS676" s="113"/>
      <c r="GT676" s="113"/>
      <c r="GU676" s="46">
        <v>0</v>
      </c>
      <c r="GV676" s="113"/>
      <c r="GW676" s="113"/>
      <c r="GX676" s="113"/>
      <c r="GY676" s="113"/>
      <c r="GZ676" s="113"/>
      <c r="HA676" s="46">
        <v>0</v>
      </c>
      <c r="HB676" s="113"/>
      <c r="HC676" s="113"/>
      <c r="HD676" s="113"/>
      <c r="HE676" s="113"/>
      <c r="HF676" s="113"/>
      <c r="HG676" s="46">
        <v>0</v>
      </c>
      <c r="HH676" s="113"/>
      <c r="HI676" s="113"/>
      <c r="HJ676" s="113"/>
      <c r="HK676" s="113"/>
      <c r="HL676" s="113"/>
      <c r="HM676" s="121"/>
      <c r="HN676" s="121"/>
      <c r="LM676" t="str">
        <v/>
      </c>
      <c r="LN676" t="str">
        <v/>
      </c>
      <c r="LO676" t="str">
        <v/>
      </c>
    </row>
    <row r="677" spans="30:327">
      <c r="AD677" t="s">
        <v>112</v>
      </c>
      <c r="AE677" t="s">
        <v>16488</v>
      </c>
      <c r="AF677" s="46">
        <v>0</v>
      </c>
      <c r="AG677" s="113"/>
      <c r="AH677" s="113"/>
      <c r="AI677" s="113"/>
      <c r="AJ677" s="113"/>
      <c r="AK677" s="113"/>
      <c r="AL677" s="46">
        <v>0</v>
      </c>
      <c r="AM677" s="113"/>
      <c r="AN677" s="113"/>
      <c r="AO677" s="113"/>
      <c r="AP677" s="113"/>
      <c r="AQ677" s="113"/>
      <c r="AR677" s="46">
        <v>0</v>
      </c>
      <c r="AS677" s="113"/>
      <c r="AT677" s="113"/>
      <c r="AU677" s="113"/>
      <c r="AV677" s="113"/>
      <c r="AW677" s="113"/>
      <c r="AX677" s="46">
        <v>0</v>
      </c>
      <c r="AY677" s="113"/>
      <c r="AZ677" s="113"/>
      <c r="BA677" s="113"/>
      <c r="BB677" s="113"/>
      <c r="BC677" s="113"/>
      <c r="BD677" s="46">
        <v>0</v>
      </c>
      <c r="BE677" s="113"/>
      <c r="BF677" s="113"/>
      <c r="BG677" s="113"/>
      <c r="BH677" s="113"/>
      <c r="BI677" s="113"/>
      <c r="BJ677" s="46">
        <v>0</v>
      </c>
      <c r="BK677" s="113"/>
      <c r="BL677" s="113"/>
      <c r="BM677" s="113"/>
      <c r="BN677" s="113"/>
      <c r="BO677" s="113"/>
      <c r="BP677" s="121"/>
      <c r="BQ677" s="121"/>
      <c r="GA677" t="s">
        <v>112</v>
      </c>
      <c r="GB677" t="s">
        <v>16488</v>
      </c>
      <c r="GC677" s="46">
        <v>0</v>
      </c>
      <c r="GD677" s="113"/>
      <c r="GE677" s="113"/>
      <c r="GF677" s="113"/>
      <c r="GG677" s="113"/>
      <c r="GH677" s="113"/>
      <c r="GI677" s="46">
        <v>0</v>
      </c>
      <c r="GJ677" s="113"/>
      <c r="GK677" s="113"/>
      <c r="GL677" s="113"/>
      <c r="GM677" s="113"/>
      <c r="GN677" s="113"/>
      <c r="GO677" s="46">
        <v>0</v>
      </c>
      <c r="GP677" s="113"/>
      <c r="GQ677" s="113"/>
      <c r="GR677" s="113"/>
      <c r="GS677" s="113"/>
      <c r="GT677" s="113"/>
      <c r="GU677" s="46">
        <v>0</v>
      </c>
      <c r="GV677" s="113"/>
      <c r="GW677" s="113"/>
      <c r="GX677" s="113"/>
      <c r="GY677" s="113"/>
      <c r="GZ677" s="113"/>
      <c r="HA677" s="46">
        <v>0</v>
      </c>
      <c r="HB677" s="113"/>
      <c r="HC677" s="113"/>
      <c r="HD677" s="113"/>
      <c r="HE677" s="113"/>
      <c r="HF677" s="113"/>
      <c r="HG677" s="46">
        <v>0</v>
      </c>
      <c r="HH677" s="113"/>
      <c r="HI677" s="113"/>
      <c r="HJ677" s="113"/>
      <c r="HK677" s="113"/>
      <c r="HL677" s="113"/>
      <c r="HM677" s="121"/>
      <c r="HN677" s="121"/>
      <c r="LM677" t="str">
        <v/>
      </c>
      <c r="LN677" t="str">
        <v/>
      </c>
      <c r="LO677" t="str">
        <v/>
      </c>
    </row>
    <row r="678" spans="30:327">
      <c r="AD678" t="s">
        <v>112</v>
      </c>
      <c r="AE678" t="s">
        <v>16491</v>
      </c>
      <c r="AF678" s="46">
        <v>0</v>
      </c>
      <c r="AG678" s="113"/>
      <c r="AH678" s="113"/>
      <c r="AI678" s="113"/>
      <c r="AJ678" s="113"/>
      <c r="AK678" s="113"/>
      <c r="AL678" s="46">
        <v>0</v>
      </c>
      <c r="AM678" s="113"/>
      <c r="AN678" s="113"/>
      <c r="AO678" s="113"/>
      <c r="AP678" s="113"/>
      <c r="AQ678" s="113"/>
      <c r="AR678" s="46">
        <v>0</v>
      </c>
      <c r="AS678" s="113"/>
      <c r="AT678" s="113"/>
      <c r="AU678" s="113"/>
      <c r="AV678" s="113"/>
      <c r="AW678" s="113"/>
      <c r="AX678" s="46">
        <v>0</v>
      </c>
      <c r="AY678" s="113"/>
      <c r="AZ678" s="113"/>
      <c r="BA678" s="113"/>
      <c r="BB678" s="113"/>
      <c r="BC678" s="113"/>
      <c r="BD678" s="46">
        <v>0</v>
      </c>
      <c r="BE678" s="113"/>
      <c r="BF678" s="113"/>
      <c r="BG678" s="113"/>
      <c r="BH678" s="113"/>
      <c r="BI678" s="113"/>
      <c r="BJ678" s="46">
        <v>0</v>
      </c>
      <c r="BK678" s="113"/>
      <c r="BL678" s="113"/>
      <c r="BM678" s="113"/>
      <c r="BN678" s="113"/>
      <c r="BO678" s="113"/>
      <c r="BP678" s="121"/>
      <c r="BQ678" s="121"/>
      <c r="GA678" t="s">
        <v>112</v>
      </c>
      <c r="GB678" t="s">
        <v>16491</v>
      </c>
      <c r="GC678" s="46">
        <v>0</v>
      </c>
      <c r="GD678" s="113"/>
      <c r="GE678" s="113"/>
      <c r="GF678" s="113"/>
      <c r="GG678" s="113"/>
      <c r="GH678" s="113"/>
      <c r="GI678" s="46">
        <v>0</v>
      </c>
      <c r="GJ678" s="113"/>
      <c r="GK678" s="113"/>
      <c r="GL678" s="113"/>
      <c r="GM678" s="113"/>
      <c r="GN678" s="113"/>
      <c r="GO678" s="46">
        <v>0</v>
      </c>
      <c r="GP678" s="113"/>
      <c r="GQ678" s="113"/>
      <c r="GR678" s="113"/>
      <c r="GS678" s="113"/>
      <c r="GT678" s="113"/>
      <c r="GU678" s="46">
        <v>0</v>
      </c>
      <c r="GV678" s="113"/>
      <c r="GW678" s="113"/>
      <c r="GX678" s="113"/>
      <c r="GY678" s="113"/>
      <c r="GZ678" s="113"/>
      <c r="HA678" s="46">
        <v>0</v>
      </c>
      <c r="HB678" s="113"/>
      <c r="HC678" s="113"/>
      <c r="HD678" s="113"/>
      <c r="HE678" s="113"/>
      <c r="HF678" s="113"/>
      <c r="HG678" s="46">
        <v>0</v>
      </c>
      <c r="HH678" s="113"/>
      <c r="HI678" s="113"/>
      <c r="HJ678" s="113"/>
      <c r="HK678" s="113"/>
      <c r="HL678" s="113"/>
      <c r="HM678" s="121"/>
      <c r="HN678" s="121"/>
      <c r="LM678" t="str">
        <v/>
      </c>
      <c r="LN678" t="str">
        <v/>
      </c>
      <c r="LO678" t="str">
        <v/>
      </c>
    </row>
    <row r="679" spans="30:327">
      <c r="AD679" t="s">
        <v>112</v>
      </c>
      <c r="AE679" t="s">
        <v>16492</v>
      </c>
      <c r="AF679" s="46">
        <v>0</v>
      </c>
      <c r="AG679" s="113"/>
      <c r="AH679" s="113"/>
      <c r="AI679" s="113"/>
      <c r="AJ679" s="113"/>
      <c r="AK679" s="113"/>
      <c r="AL679" s="46">
        <v>0</v>
      </c>
      <c r="AM679" s="113"/>
      <c r="AN679" s="113"/>
      <c r="AO679" s="113"/>
      <c r="AP679" s="113"/>
      <c r="AQ679" s="113"/>
      <c r="AR679" s="46">
        <v>0</v>
      </c>
      <c r="AS679" s="113"/>
      <c r="AT679" s="113"/>
      <c r="AU679" s="113"/>
      <c r="AV679" s="113"/>
      <c r="AW679" s="113"/>
      <c r="AX679" s="46">
        <v>0</v>
      </c>
      <c r="AY679" s="113"/>
      <c r="AZ679" s="113"/>
      <c r="BA679" s="113"/>
      <c r="BB679" s="113"/>
      <c r="BC679" s="113"/>
      <c r="BD679" s="46">
        <v>0</v>
      </c>
      <c r="BE679" s="113"/>
      <c r="BF679" s="113"/>
      <c r="BG679" s="113"/>
      <c r="BH679" s="113"/>
      <c r="BI679" s="113"/>
      <c r="BJ679" s="46">
        <v>0</v>
      </c>
      <c r="BK679" s="113"/>
      <c r="BL679" s="113"/>
      <c r="BM679" s="113"/>
      <c r="BN679" s="113"/>
      <c r="BO679" s="113"/>
      <c r="BP679" s="121"/>
      <c r="BQ679" s="121"/>
      <c r="GA679" t="s">
        <v>112</v>
      </c>
      <c r="GB679" t="s">
        <v>16492</v>
      </c>
      <c r="GC679" s="46">
        <v>0</v>
      </c>
      <c r="GD679" s="113"/>
      <c r="GE679" s="113"/>
      <c r="GF679" s="113"/>
      <c r="GG679" s="113"/>
      <c r="GH679" s="113"/>
      <c r="GI679" s="46">
        <v>0</v>
      </c>
      <c r="GJ679" s="113"/>
      <c r="GK679" s="113"/>
      <c r="GL679" s="113"/>
      <c r="GM679" s="113"/>
      <c r="GN679" s="113"/>
      <c r="GO679" s="46">
        <v>0</v>
      </c>
      <c r="GP679" s="113"/>
      <c r="GQ679" s="113"/>
      <c r="GR679" s="113"/>
      <c r="GS679" s="113"/>
      <c r="GT679" s="113"/>
      <c r="GU679" s="46">
        <v>0</v>
      </c>
      <c r="GV679" s="113"/>
      <c r="GW679" s="113"/>
      <c r="GX679" s="113"/>
      <c r="GY679" s="113"/>
      <c r="GZ679" s="113"/>
      <c r="HA679" s="46">
        <v>0</v>
      </c>
      <c r="HB679" s="113"/>
      <c r="HC679" s="113"/>
      <c r="HD679" s="113"/>
      <c r="HE679" s="113"/>
      <c r="HF679" s="113"/>
      <c r="HG679" s="46">
        <v>0</v>
      </c>
      <c r="HH679" s="113"/>
      <c r="HI679" s="113"/>
      <c r="HJ679" s="113"/>
      <c r="HK679" s="113"/>
      <c r="HL679" s="113"/>
      <c r="HM679" s="121"/>
      <c r="HN679" s="121"/>
      <c r="LM679" t="str">
        <v/>
      </c>
      <c r="LN679" t="str">
        <v/>
      </c>
      <c r="LO679" t="str">
        <v/>
      </c>
    </row>
    <row r="680" spans="30:327">
      <c r="AD680" t="s">
        <v>112</v>
      </c>
      <c r="AE680" t="s">
        <v>16493</v>
      </c>
      <c r="AF680" s="46">
        <v>0</v>
      </c>
      <c r="AG680" s="113"/>
      <c r="AH680" s="113"/>
      <c r="AI680" s="113"/>
      <c r="AJ680" s="113"/>
      <c r="AK680" s="113"/>
      <c r="AL680" s="46">
        <v>0</v>
      </c>
      <c r="AM680" s="113"/>
      <c r="AN680" s="113"/>
      <c r="AO680" s="113"/>
      <c r="AP680" s="113"/>
      <c r="AQ680" s="113"/>
      <c r="AR680" s="46">
        <v>0</v>
      </c>
      <c r="AS680" s="113"/>
      <c r="AT680" s="113"/>
      <c r="AU680" s="113"/>
      <c r="AV680" s="113"/>
      <c r="AW680" s="113"/>
      <c r="AX680" s="46">
        <v>0</v>
      </c>
      <c r="AY680" s="113"/>
      <c r="AZ680" s="113"/>
      <c r="BA680" s="113"/>
      <c r="BB680" s="113"/>
      <c r="BC680" s="113"/>
      <c r="BD680" s="46">
        <v>0</v>
      </c>
      <c r="BE680" s="113"/>
      <c r="BF680" s="113"/>
      <c r="BG680" s="113"/>
      <c r="BH680" s="113"/>
      <c r="BI680" s="113"/>
      <c r="BJ680" s="46">
        <v>0</v>
      </c>
      <c r="BK680" s="113"/>
      <c r="BL680" s="113"/>
      <c r="BM680" s="113"/>
      <c r="BN680" s="113"/>
      <c r="BO680" s="113"/>
      <c r="BP680" s="121"/>
      <c r="BQ680" s="121"/>
      <c r="GA680" t="s">
        <v>112</v>
      </c>
      <c r="GB680" t="s">
        <v>16493</v>
      </c>
      <c r="GC680" s="46">
        <v>0</v>
      </c>
      <c r="GD680" s="113"/>
      <c r="GE680" s="113"/>
      <c r="GF680" s="113"/>
      <c r="GG680" s="113"/>
      <c r="GH680" s="113"/>
      <c r="GI680" s="46">
        <v>0</v>
      </c>
      <c r="GJ680" s="113"/>
      <c r="GK680" s="113"/>
      <c r="GL680" s="113"/>
      <c r="GM680" s="113"/>
      <c r="GN680" s="113"/>
      <c r="GO680" s="46">
        <v>0</v>
      </c>
      <c r="GP680" s="113"/>
      <c r="GQ680" s="113"/>
      <c r="GR680" s="113"/>
      <c r="GS680" s="113"/>
      <c r="GT680" s="113"/>
      <c r="GU680" s="46">
        <v>0</v>
      </c>
      <c r="GV680" s="113"/>
      <c r="GW680" s="113"/>
      <c r="GX680" s="113"/>
      <c r="GY680" s="113"/>
      <c r="GZ680" s="113"/>
      <c r="HA680" s="46">
        <v>0</v>
      </c>
      <c r="HB680" s="113"/>
      <c r="HC680" s="113"/>
      <c r="HD680" s="113"/>
      <c r="HE680" s="113"/>
      <c r="HF680" s="113"/>
      <c r="HG680" s="46">
        <v>0</v>
      </c>
      <c r="HH680" s="113"/>
      <c r="HI680" s="113"/>
      <c r="HJ680" s="113"/>
      <c r="HK680" s="113"/>
      <c r="HL680" s="113"/>
      <c r="HM680" s="121"/>
      <c r="HN680" s="121"/>
      <c r="LM680" t="str">
        <v/>
      </c>
      <c r="LN680" t="str">
        <v/>
      </c>
      <c r="LO680" t="str">
        <v/>
      </c>
    </row>
    <row r="681" spans="30:327">
      <c r="AD681" t="s">
        <v>112</v>
      </c>
      <c r="AE681" t="s">
        <v>16494</v>
      </c>
      <c r="AF681" s="46">
        <v>0</v>
      </c>
      <c r="AG681" s="113"/>
      <c r="AH681" s="113"/>
      <c r="AI681" s="113"/>
      <c r="AJ681" s="113"/>
      <c r="AK681" s="113"/>
      <c r="AL681" s="46">
        <v>0</v>
      </c>
      <c r="AM681" s="113"/>
      <c r="AN681" s="113"/>
      <c r="AO681" s="113"/>
      <c r="AP681" s="113"/>
      <c r="AQ681" s="113"/>
      <c r="AR681" s="46">
        <v>0</v>
      </c>
      <c r="AS681" s="113"/>
      <c r="AT681" s="113"/>
      <c r="AU681" s="113"/>
      <c r="AV681" s="113"/>
      <c r="AW681" s="113"/>
      <c r="AX681" s="46">
        <v>0</v>
      </c>
      <c r="AY681" s="113"/>
      <c r="AZ681" s="113"/>
      <c r="BA681" s="113"/>
      <c r="BB681" s="113"/>
      <c r="BC681" s="113"/>
      <c r="BD681" s="46">
        <v>0</v>
      </c>
      <c r="BE681" s="113"/>
      <c r="BF681" s="113"/>
      <c r="BG681" s="113"/>
      <c r="BH681" s="113"/>
      <c r="BI681" s="113"/>
      <c r="BJ681" s="46">
        <v>0</v>
      </c>
      <c r="BK681" s="113"/>
      <c r="BL681" s="113"/>
      <c r="BM681" s="113"/>
      <c r="BN681" s="113"/>
      <c r="BO681" s="113"/>
      <c r="BP681" s="121"/>
      <c r="BQ681" s="121"/>
      <c r="GA681" t="s">
        <v>112</v>
      </c>
      <c r="GB681" t="s">
        <v>16494</v>
      </c>
      <c r="GC681" s="46">
        <v>0</v>
      </c>
      <c r="GD681" s="113"/>
      <c r="GE681" s="113"/>
      <c r="GF681" s="113"/>
      <c r="GG681" s="113"/>
      <c r="GH681" s="113"/>
      <c r="GI681" s="46">
        <v>0</v>
      </c>
      <c r="GJ681" s="113"/>
      <c r="GK681" s="113"/>
      <c r="GL681" s="113"/>
      <c r="GM681" s="113"/>
      <c r="GN681" s="113"/>
      <c r="GO681" s="46">
        <v>0</v>
      </c>
      <c r="GP681" s="113"/>
      <c r="GQ681" s="113"/>
      <c r="GR681" s="113"/>
      <c r="GS681" s="113"/>
      <c r="GT681" s="113"/>
      <c r="GU681" s="46">
        <v>0</v>
      </c>
      <c r="GV681" s="113"/>
      <c r="GW681" s="113"/>
      <c r="GX681" s="113"/>
      <c r="GY681" s="113"/>
      <c r="GZ681" s="113"/>
      <c r="HA681" s="46">
        <v>0</v>
      </c>
      <c r="HB681" s="113"/>
      <c r="HC681" s="113"/>
      <c r="HD681" s="113"/>
      <c r="HE681" s="113"/>
      <c r="HF681" s="113"/>
      <c r="HG681" s="46">
        <v>0</v>
      </c>
      <c r="HH681" s="113"/>
      <c r="HI681" s="113"/>
      <c r="HJ681" s="113"/>
      <c r="HK681" s="113"/>
      <c r="HL681" s="113"/>
      <c r="HM681" s="121"/>
      <c r="HN681" s="121"/>
      <c r="LM681" t="str">
        <v/>
      </c>
      <c r="LN681" t="str">
        <v/>
      </c>
      <c r="LO681" t="str">
        <v/>
      </c>
    </row>
    <row r="682" spans="30:327">
      <c r="AD682" t="s">
        <v>112</v>
      </c>
      <c r="AE682" t="s">
        <v>16495</v>
      </c>
      <c r="AF682" s="46">
        <v>0</v>
      </c>
      <c r="AG682" s="113"/>
      <c r="AH682" s="113"/>
      <c r="AI682" s="113"/>
      <c r="AJ682" s="113"/>
      <c r="AK682" s="113"/>
      <c r="AL682" s="46">
        <v>0</v>
      </c>
      <c r="AM682" s="113"/>
      <c r="AN682" s="113"/>
      <c r="AO682" s="113"/>
      <c r="AP682" s="113"/>
      <c r="AQ682" s="113"/>
      <c r="AR682" s="46">
        <v>0</v>
      </c>
      <c r="AS682" s="113"/>
      <c r="AT682" s="113"/>
      <c r="AU682" s="113"/>
      <c r="AV682" s="113"/>
      <c r="AW682" s="113"/>
      <c r="AX682" s="46">
        <v>0</v>
      </c>
      <c r="AY682" s="113"/>
      <c r="AZ682" s="113"/>
      <c r="BA682" s="113"/>
      <c r="BB682" s="113"/>
      <c r="BC682" s="113"/>
      <c r="BD682" s="46">
        <v>0</v>
      </c>
      <c r="BE682" s="113"/>
      <c r="BF682" s="113"/>
      <c r="BG682" s="113"/>
      <c r="BH682" s="113"/>
      <c r="BI682" s="113"/>
      <c r="BJ682" s="46">
        <v>0</v>
      </c>
      <c r="BK682" s="113"/>
      <c r="BL682" s="113"/>
      <c r="BM682" s="113"/>
      <c r="BN682" s="113"/>
      <c r="BO682" s="113"/>
      <c r="BP682" s="121"/>
      <c r="BQ682" s="121"/>
      <c r="GA682" t="s">
        <v>112</v>
      </c>
      <c r="GB682" t="s">
        <v>16495</v>
      </c>
      <c r="GC682" s="46">
        <v>0</v>
      </c>
      <c r="GD682" s="113"/>
      <c r="GE682" s="113"/>
      <c r="GF682" s="113"/>
      <c r="GG682" s="113"/>
      <c r="GH682" s="113"/>
      <c r="GI682" s="46">
        <v>0</v>
      </c>
      <c r="GJ682" s="113"/>
      <c r="GK682" s="113"/>
      <c r="GL682" s="113"/>
      <c r="GM682" s="113"/>
      <c r="GN682" s="113"/>
      <c r="GO682" s="46">
        <v>0</v>
      </c>
      <c r="GP682" s="113"/>
      <c r="GQ682" s="113"/>
      <c r="GR682" s="113"/>
      <c r="GS682" s="113"/>
      <c r="GT682" s="113"/>
      <c r="GU682" s="46">
        <v>0</v>
      </c>
      <c r="GV682" s="113"/>
      <c r="GW682" s="113"/>
      <c r="GX682" s="113"/>
      <c r="GY682" s="113"/>
      <c r="GZ682" s="113"/>
      <c r="HA682" s="46">
        <v>0</v>
      </c>
      <c r="HB682" s="113"/>
      <c r="HC682" s="113"/>
      <c r="HD682" s="113"/>
      <c r="HE682" s="113"/>
      <c r="HF682" s="113"/>
      <c r="HG682" s="46">
        <v>0</v>
      </c>
      <c r="HH682" s="113"/>
      <c r="HI682" s="113"/>
      <c r="HJ682" s="113"/>
      <c r="HK682" s="113"/>
      <c r="HL682" s="113"/>
      <c r="HM682" s="121"/>
      <c r="HN682" s="121"/>
      <c r="LM682" t="str">
        <v/>
      </c>
      <c r="LN682" t="str">
        <v/>
      </c>
      <c r="LO682" t="str">
        <v/>
      </c>
    </row>
    <row r="683" spans="30:327">
      <c r="AD683" t="s">
        <v>112</v>
      </c>
      <c r="AE683" t="s">
        <v>16496</v>
      </c>
      <c r="AF683" s="46">
        <v>0</v>
      </c>
      <c r="AG683" s="113"/>
      <c r="AH683" s="113"/>
      <c r="AI683" s="113"/>
      <c r="AJ683" s="113"/>
      <c r="AK683" s="113"/>
      <c r="AL683" s="46">
        <v>0</v>
      </c>
      <c r="AM683" s="113"/>
      <c r="AN683" s="113"/>
      <c r="AO683" s="113"/>
      <c r="AP683" s="113"/>
      <c r="AQ683" s="113"/>
      <c r="AR683" s="46">
        <v>0</v>
      </c>
      <c r="AS683" s="113"/>
      <c r="AT683" s="113"/>
      <c r="AU683" s="113"/>
      <c r="AV683" s="113"/>
      <c r="AW683" s="113"/>
      <c r="AX683" s="46">
        <v>0</v>
      </c>
      <c r="AY683" s="113"/>
      <c r="AZ683" s="113"/>
      <c r="BA683" s="113"/>
      <c r="BB683" s="113"/>
      <c r="BC683" s="113"/>
      <c r="BD683" s="46">
        <v>0</v>
      </c>
      <c r="BE683" s="113"/>
      <c r="BF683" s="113"/>
      <c r="BG683" s="113"/>
      <c r="BH683" s="113"/>
      <c r="BI683" s="113"/>
      <c r="BJ683" s="46">
        <v>0</v>
      </c>
      <c r="BK683" s="113"/>
      <c r="BL683" s="113"/>
      <c r="BM683" s="113"/>
      <c r="BN683" s="113"/>
      <c r="BO683" s="113"/>
      <c r="BP683" s="121"/>
      <c r="BQ683" s="121"/>
      <c r="GA683" t="s">
        <v>112</v>
      </c>
      <c r="GB683" t="s">
        <v>16496</v>
      </c>
      <c r="GC683" s="46">
        <v>0</v>
      </c>
      <c r="GD683" s="113"/>
      <c r="GE683" s="113"/>
      <c r="GF683" s="113"/>
      <c r="GG683" s="113"/>
      <c r="GH683" s="113"/>
      <c r="GI683" s="46">
        <v>0</v>
      </c>
      <c r="GJ683" s="113"/>
      <c r="GK683" s="113"/>
      <c r="GL683" s="113"/>
      <c r="GM683" s="113"/>
      <c r="GN683" s="113"/>
      <c r="GO683" s="46">
        <v>0</v>
      </c>
      <c r="GP683" s="113"/>
      <c r="GQ683" s="113"/>
      <c r="GR683" s="113"/>
      <c r="GS683" s="113"/>
      <c r="GT683" s="113"/>
      <c r="GU683" s="46">
        <v>0</v>
      </c>
      <c r="GV683" s="113"/>
      <c r="GW683" s="113"/>
      <c r="GX683" s="113"/>
      <c r="GY683" s="113"/>
      <c r="GZ683" s="113"/>
      <c r="HA683" s="46">
        <v>0</v>
      </c>
      <c r="HB683" s="113"/>
      <c r="HC683" s="113"/>
      <c r="HD683" s="113"/>
      <c r="HE683" s="113"/>
      <c r="HF683" s="113"/>
      <c r="HG683" s="46">
        <v>0</v>
      </c>
      <c r="HH683" s="113"/>
      <c r="HI683" s="113"/>
      <c r="HJ683" s="113"/>
      <c r="HK683" s="113"/>
      <c r="HL683" s="113"/>
      <c r="HM683" s="121"/>
      <c r="HN683" s="121"/>
      <c r="LM683" t="str">
        <v/>
      </c>
      <c r="LN683" t="str">
        <v/>
      </c>
      <c r="LO683" t="str">
        <v/>
      </c>
    </row>
    <row r="684" spans="30:327">
      <c r="AD684" t="s">
        <v>112</v>
      </c>
      <c r="AE684" t="s">
        <v>16497</v>
      </c>
      <c r="AF684" s="46">
        <v>0</v>
      </c>
      <c r="AG684" s="113"/>
      <c r="AH684" s="113"/>
      <c r="AI684" s="113"/>
      <c r="AJ684" s="113"/>
      <c r="AK684" s="113"/>
      <c r="AL684" s="46">
        <v>0</v>
      </c>
      <c r="AM684" s="113"/>
      <c r="AN684" s="113"/>
      <c r="AO684" s="113"/>
      <c r="AP684" s="113"/>
      <c r="AQ684" s="113"/>
      <c r="AR684" s="46">
        <v>0</v>
      </c>
      <c r="AS684" s="113"/>
      <c r="AT684" s="113"/>
      <c r="AU684" s="113"/>
      <c r="AV684" s="113"/>
      <c r="AW684" s="113"/>
      <c r="AX684" s="46">
        <v>0</v>
      </c>
      <c r="AY684" s="113"/>
      <c r="AZ684" s="113"/>
      <c r="BA684" s="113"/>
      <c r="BB684" s="113"/>
      <c r="BC684" s="113"/>
      <c r="BD684" s="46">
        <v>0</v>
      </c>
      <c r="BE684" s="113"/>
      <c r="BF684" s="113"/>
      <c r="BG684" s="113"/>
      <c r="BH684" s="113"/>
      <c r="BI684" s="113"/>
      <c r="BJ684" s="46">
        <v>0</v>
      </c>
      <c r="BK684" s="113"/>
      <c r="BL684" s="113"/>
      <c r="BM684" s="113"/>
      <c r="BN684" s="113"/>
      <c r="BO684" s="113"/>
      <c r="BP684" s="121"/>
      <c r="BQ684" s="121"/>
      <c r="GA684" t="s">
        <v>112</v>
      </c>
      <c r="GB684" t="s">
        <v>16497</v>
      </c>
      <c r="GC684" s="46">
        <v>0</v>
      </c>
      <c r="GD684" s="113"/>
      <c r="GE684" s="113"/>
      <c r="GF684" s="113"/>
      <c r="GG684" s="113"/>
      <c r="GH684" s="113"/>
      <c r="GI684" s="46">
        <v>0</v>
      </c>
      <c r="GJ684" s="113"/>
      <c r="GK684" s="113"/>
      <c r="GL684" s="113"/>
      <c r="GM684" s="113"/>
      <c r="GN684" s="113"/>
      <c r="GO684" s="46">
        <v>0</v>
      </c>
      <c r="GP684" s="113"/>
      <c r="GQ684" s="113"/>
      <c r="GR684" s="113"/>
      <c r="GS684" s="113"/>
      <c r="GT684" s="113"/>
      <c r="GU684" s="46">
        <v>0</v>
      </c>
      <c r="GV684" s="113"/>
      <c r="GW684" s="113"/>
      <c r="GX684" s="113"/>
      <c r="GY684" s="113"/>
      <c r="GZ684" s="113"/>
      <c r="HA684" s="46">
        <v>0</v>
      </c>
      <c r="HB684" s="113"/>
      <c r="HC684" s="113"/>
      <c r="HD684" s="113"/>
      <c r="HE684" s="113"/>
      <c r="HF684" s="113"/>
      <c r="HG684" s="46">
        <v>0</v>
      </c>
      <c r="HH684" s="113"/>
      <c r="HI684" s="113"/>
      <c r="HJ684" s="113"/>
      <c r="HK684" s="113"/>
      <c r="HL684" s="113"/>
      <c r="HM684" s="121"/>
      <c r="HN684" s="121"/>
      <c r="LM684" t="str">
        <v/>
      </c>
      <c r="LN684" t="str">
        <v/>
      </c>
      <c r="LO684" t="str">
        <v/>
      </c>
    </row>
    <row r="685" spans="30:327">
      <c r="AD685" t="s">
        <v>112</v>
      </c>
      <c r="AE685" t="s">
        <v>16498</v>
      </c>
      <c r="AF685" s="46">
        <v>0</v>
      </c>
      <c r="AG685" s="113"/>
      <c r="AH685" s="113"/>
      <c r="AI685" s="113"/>
      <c r="AJ685" s="113"/>
      <c r="AK685" s="113"/>
      <c r="AL685" s="46">
        <v>0</v>
      </c>
      <c r="AM685" s="113"/>
      <c r="AN685" s="113"/>
      <c r="AO685" s="113"/>
      <c r="AP685" s="113"/>
      <c r="AQ685" s="113"/>
      <c r="AR685" s="46">
        <v>0</v>
      </c>
      <c r="AS685" s="113"/>
      <c r="AT685" s="113"/>
      <c r="AU685" s="113"/>
      <c r="AV685" s="113"/>
      <c r="AW685" s="113"/>
      <c r="AX685" s="46">
        <v>0</v>
      </c>
      <c r="AY685" s="113"/>
      <c r="AZ685" s="113"/>
      <c r="BA685" s="113"/>
      <c r="BB685" s="113"/>
      <c r="BC685" s="113"/>
      <c r="BD685" s="46">
        <v>0</v>
      </c>
      <c r="BE685" s="113"/>
      <c r="BF685" s="113"/>
      <c r="BG685" s="113"/>
      <c r="BH685" s="113"/>
      <c r="BI685" s="113"/>
      <c r="BJ685" s="46">
        <v>0</v>
      </c>
      <c r="BK685" s="113"/>
      <c r="BL685" s="113"/>
      <c r="BM685" s="113"/>
      <c r="BN685" s="113"/>
      <c r="BO685" s="113"/>
      <c r="BP685" s="121"/>
      <c r="BQ685" s="121"/>
      <c r="GA685" t="s">
        <v>112</v>
      </c>
      <c r="GB685" t="s">
        <v>16498</v>
      </c>
      <c r="GC685" s="46">
        <v>0</v>
      </c>
      <c r="GD685" s="113"/>
      <c r="GE685" s="113"/>
      <c r="GF685" s="113"/>
      <c r="GG685" s="113"/>
      <c r="GH685" s="113"/>
      <c r="GI685" s="46">
        <v>0</v>
      </c>
      <c r="GJ685" s="113"/>
      <c r="GK685" s="113"/>
      <c r="GL685" s="113"/>
      <c r="GM685" s="113"/>
      <c r="GN685" s="113"/>
      <c r="GO685" s="46">
        <v>0</v>
      </c>
      <c r="GP685" s="113"/>
      <c r="GQ685" s="113"/>
      <c r="GR685" s="113"/>
      <c r="GS685" s="113"/>
      <c r="GT685" s="113"/>
      <c r="GU685" s="46">
        <v>0</v>
      </c>
      <c r="GV685" s="113"/>
      <c r="GW685" s="113"/>
      <c r="GX685" s="113"/>
      <c r="GY685" s="113"/>
      <c r="GZ685" s="113"/>
      <c r="HA685" s="46">
        <v>0</v>
      </c>
      <c r="HB685" s="113"/>
      <c r="HC685" s="113"/>
      <c r="HD685" s="113"/>
      <c r="HE685" s="113"/>
      <c r="HF685" s="113"/>
      <c r="HG685" s="46">
        <v>0</v>
      </c>
      <c r="HH685" s="113"/>
      <c r="HI685" s="113"/>
      <c r="HJ685" s="113"/>
      <c r="HK685" s="113"/>
      <c r="HL685" s="113"/>
      <c r="HM685" s="121"/>
      <c r="HN685" s="121"/>
      <c r="LM685" t="str">
        <v/>
      </c>
      <c r="LN685" t="str">
        <v/>
      </c>
      <c r="LO685" t="str">
        <v/>
      </c>
    </row>
    <row r="686" spans="30:327">
      <c r="AD686" t="s">
        <v>112</v>
      </c>
      <c r="AE686" t="s">
        <v>16499</v>
      </c>
      <c r="AF686" s="46">
        <v>0</v>
      </c>
      <c r="AG686" s="113"/>
      <c r="AH686" s="113"/>
      <c r="AI686" s="113"/>
      <c r="AJ686" s="113"/>
      <c r="AK686" s="113"/>
      <c r="AL686" s="46">
        <v>0</v>
      </c>
      <c r="AM686" s="113"/>
      <c r="AN686" s="113"/>
      <c r="AO686" s="113"/>
      <c r="AP686" s="113"/>
      <c r="AQ686" s="113"/>
      <c r="AR686" s="46">
        <v>0</v>
      </c>
      <c r="AS686" s="113"/>
      <c r="AT686" s="113"/>
      <c r="AU686" s="113"/>
      <c r="AV686" s="113"/>
      <c r="AW686" s="113"/>
      <c r="AX686" s="46">
        <v>0</v>
      </c>
      <c r="AY686" s="113"/>
      <c r="AZ686" s="113"/>
      <c r="BA686" s="113"/>
      <c r="BB686" s="113"/>
      <c r="BC686" s="113"/>
      <c r="BD686" s="46">
        <v>0</v>
      </c>
      <c r="BE686" s="113"/>
      <c r="BF686" s="113"/>
      <c r="BG686" s="113"/>
      <c r="BH686" s="113"/>
      <c r="BI686" s="113"/>
      <c r="BJ686" s="46">
        <v>0</v>
      </c>
      <c r="BK686" s="113"/>
      <c r="BL686" s="113"/>
      <c r="BM686" s="113"/>
      <c r="BN686" s="113"/>
      <c r="BO686" s="113"/>
      <c r="BP686" s="121"/>
      <c r="BQ686" s="121"/>
      <c r="GA686" t="s">
        <v>112</v>
      </c>
      <c r="GB686" t="s">
        <v>16499</v>
      </c>
      <c r="GC686" s="46">
        <v>0</v>
      </c>
      <c r="GD686" s="113"/>
      <c r="GE686" s="113"/>
      <c r="GF686" s="113"/>
      <c r="GG686" s="113"/>
      <c r="GH686" s="113"/>
      <c r="GI686" s="46">
        <v>0</v>
      </c>
      <c r="GJ686" s="113"/>
      <c r="GK686" s="113"/>
      <c r="GL686" s="113"/>
      <c r="GM686" s="113"/>
      <c r="GN686" s="113"/>
      <c r="GO686" s="46">
        <v>0</v>
      </c>
      <c r="GP686" s="113"/>
      <c r="GQ686" s="113"/>
      <c r="GR686" s="113"/>
      <c r="GS686" s="113"/>
      <c r="GT686" s="113"/>
      <c r="GU686" s="46">
        <v>0</v>
      </c>
      <c r="GV686" s="113"/>
      <c r="GW686" s="113"/>
      <c r="GX686" s="113"/>
      <c r="GY686" s="113"/>
      <c r="GZ686" s="113"/>
      <c r="HA686" s="46">
        <v>0</v>
      </c>
      <c r="HB686" s="113"/>
      <c r="HC686" s="113"/>
      <c r="HD686" s="113"/>
      <c r="HE686" s="113"/>
      <c r="HF686" s="113"/>
      <c r="HG686" s="46">
        <v>0</v>
      </c>
      <c r="HH686" s="113"/>
      <c r="HI686" s="113"/>
      <c r="HJ686" s="113"/>
      <c r="HK686" s="113"/>
      <c r="HL686" s="113"/>
      <c r="HM686" s="121"/>
      <c r="HN686" s="121"/>
      <c r="LM686" t="str">
        <v/>
      </c>
      <c r="LN686" t="str">
        <v/>
      </c>
      <c r="LO686" t="str">
        <v/>
      </c>
    </row>
    <row r="687" spans="30:327">
      <c r="AD687" t="s">
        <v>112</v>
      </c>
      <c r="AE687" t="s">
        <v>16500</v>
      </c>
      <c r="AF687" s="46">
        <v>0</v>
      </c>
      <c r="AG687" s="113"/>
      <c r="AH687" s="113"/>
      <c r="AI687" s="113"/>
      <c r="AJ687" s="113"/>
      <c r="AK687" s="113"/>
      <c r="AL687" s="46">
        <v>0</v>
      </c>
      <c r="AM687" s="113"/>
      <c r="AN687" s="113"/>
      <c r="AO687" s="113"/>
      <c r="AP687" s="113"/>
      <c r="AQ687" s="113"/>
      <c r="AR687" s="46">
        <v>0</v>
      </c>
      <c r="AS687" s="113"/>
      <c r="AT687" s="113"/>
      <c r="AU687" s="113"/>
      <c r="AV687" s="113"/>
      <c r="AW687" s="113"/>
      <c r="AX687" s="46">
        <v>0</v>
      </c>
      <c r="AY687" s="113"/>
      <c r="AZ687" s="113"/>
      <c r="BA687" s="113"/>
      <c r="BB687" s="113"/>
      <c r="BC687" s="113"/>
      <c r="BD687" s="46">
        <v>0</v>
      </c>
      <c r="BE687" s="113"/>
      <c r="BF687" s="113"/>
      <c r="BG687" s="113"/>
      <c r="BH687" s="113"/>
      <c r="BI687" s="113"/>
      <c r="BJ687" s="46">
        <v>0</v>
      </c>
      <c r="BK687" s="113"/>
      <c r="BL687" s="113"/>
      <c r="BM687" s="113"/>
      <c r="BN687" s="113"/>
      <c r="BO687" s="113"/>
      <c r="BP687" s="121"/>
      <c r="BQ687" s="121"/>
      <c r="GA687" t="s">
        <v>112</v>
      </c>
      <c r="GB687" t="s">
        <v>16500</v>
      </c>
      <c r="GC687" s="46">
        <v>0</v>
      </c>
      <c r="GD687" s="113"/>
      <c r="GE687" s="113"/>
      <c r="GF687" s="113"/>
      <c r="GG687" s="113"/>
      <c r="GH687" s="113"/>
      <c r="GI687" s="46">
        <v>0</v>
      </c>
      <c r="GJ687" s="113"/>
      <c r="GK687" s="113"/>
      <c r="GL687" s="113"/>
      <c r="GM687" s="113"/>
      <c r="GN687" s="113"/>
      <c r="GO687" s="46">
        <v>0</v>
      </c>
      <c r="GP687" s="113"/>
      <c r="GQ687" s="113"/>
      <c r="GR687" s="113"/>
      <c r="GS687" s="113"/>
      <c r="GT687" s="113"/>
      <c r="GU687" s="46">
        <v>0</v>
      </c>
      <c r="GV687" s="113"/>
      <c r="GW687" s="113"/>
      <c r="GX687" s="113"/>
      <c r="GY687" s="113"/>
      <c r="GZ687" s="113"/>
      <c r="HA687" s="46">
        <v>0</v>
      </c>
      <c r="HB687" s="113"/>
      <c r="HC687" s="113"/>
      <c r="HD687" s="113"/>
      <c r="HE687" s="113"/>
      <c r="HF687" s="113"/>
      <c r="HG687" s="46">
        <v>0</v>
      </c>
      <c r="HH687" s="113"/>
      <c r="HI687" s="113"/>
      <c r="HJ687" s="113"/>
      <c r="HK687" s="113"/>
      <c r="HL687" s="113"/>
      <c r="HM687" s="121"/>
      <c r="HN687" s="121"/>
      <c r="LM687" t="str">
        <v/>
      </c>
      <c r="LN687" t="str">
        <v/>
      </c>
      <c r="LO687" t="str">
        <v/>
      </c>
    </row>
    <row r="688" spans="30:327">
      <c r="AD688" t="s">
        <v>112</v>
      </c>
      <c r="AE688" t="s">
        <v>16501</v>
      </c>
      <c r="AF688" s="46">
        <v>0</v>
      </c>
      <c r="AG688" s="113"/>
      <c r="AH688" s="113"/>
      <c r="AI688" s="113"/>
      <c r="AJ688" s="113"/>
      <c r="AK688" s="113"/>
      <c r="AL688" s="46">
        <v>0</v>
      </c>
      <c r="AM688" s="113"/>
      <c r="AN688" s="113"/>
      <c r="AO688" s="113"/>
      <c r="AP688" s="113"/>
      <c r="AQ688" s="113"/>
      <c r="AR688" s="46">
        <v>0</v>
      </c>
      <c r="AS688" s="113"/>
      <c r="AT688" s="113"/>
      <c r="AU688" s="113"/>
      <c r="AV688" s="113"/>
      <c r="AW688" s="113"/>
      <c r="AX688" s="46">
        <v>0</v>
      </c>
      <c r="AY688" s="113"/>
      <c r="AZ688" s="113"/>
      <c r="BA688" s="113"/>
      <c r="BB688" s="113"/>
      <c r="BC688" s="113"/>
      <c r="BD688" s="46">
        <v>0</v>
      </c>
      <c r="BE688" s="113"/>
      <c r="BF688" s="113"/>
      <c r="BG688" s="113"/>
      <c r="BH688" s="113"/>
      <c r="BI688" s="113"/>
      <c r="BJ688" s="46">
        <v>0</v>
      </c>
      <c r="BK688" s="113"/>
      <c r="BL688" s="113"/>
      <c r="BM688" s="113"/>
      <c r="BN688" s="113"/>
      <c r="BO688" s="113"/>
      <c r="BP688" s="121"/>
      <c r="BQ688" s="121"/>
      <c r="GA688" t="s">
        <v>112</v>
      </c>
      <c r="GB688" t="s">
        <v>16501</v>
      </c>
      <c r="GC688" s="46">
        <v>0</v>
      </c>
      <c r="GD688" s="113"/>
      <c r="GE688" s="113"/>
      <c r="GF688" s="113"/>
      <c r="GG688" s="113"/>
      <c r="GH688" s="113"/>
      <c r="GI688" s="46">
        <v>0</v>
      </c>
      <c r="GJ688" s="113"/>
      <c r="GK688" s="113"/>
      <c r="GL688" s="113"/>
      <c r="GM688" s="113"/>
      <c r="GN688" s="113"/>
      <c r="GO688" s="46">
        <v>0</v>
      </c>
      <c r="GP688" s="113"/>
      <c r="GQ688" s="113"/>
      <c r="GR688" s="113"/>
      <c r="GS688" s="113"/>
      <c r="GT688" s="113"/>
      <c r="GU688" s="46">
        <v>0</v>
      </c>
      <c r="GV688" s="113"/>
      <c r="GW688" s="113"/>
      <c r="GX688" s="113"/>
      <c r="GY688" s="113"/>
      <c r="GZ688" s="113"/>
      <c r="HA688" s="46">
        <v>0</v>
      </c>
      <c r="HB688" s="113"/>
      <c r="HC688" s="113"/>
      <c r="HD688" s="113"/>
      <c r="HE688" s="113"/>
      <c r="HF688" s="113"/>
      <c r="HG688" s="46">
        <v>0</v>
      </c>
      <c r="HH688" s="113"/>
      <c r="HI688" s="113"/>
      <c r="HJ688" s="113"/>
      <c r="HK688" s="113"/>
      <c r="HL688" s="113"/>
      <c r="HM688" s="121"/>
      <c r="HN688" s="121"/>
      <c r="LM688" t="str">
        <v/>
      </c>
      <c r="LN688" t="str">
        <v/>
      </c>
      <c r="LO688" t="str">
        <v/>
      </c>
    </row>
    <row r="689" spans="30:327">
      <c r="AD689" t="s">
        <v>112</v>
      </c>
      <c r="AE689" t="s">
        <v>16502</v>
      </c>
      <c r="AF689" s="46">
        <v>0</v>
      </c>
      <c r="AG689" s="113"/>
      <c r="AH689" s="113"/>
      <c r="AI689" s="113"/>
      <c r="AJ689" s="113"/>
      <c r="AK689" s="113"/>
      <c r="AL689" s="46">
        <v>0</v>
      </c>
      <c r="AM689" s="113"/>
      <c r="AN689" s="113"/>
      <c r="AO689" s="113"/>
      <c r="AP689" s="113"/>
      <c r="AQ689" s="113"/>
      <c r="AR689" s="46">
        <v>0</v>
      </c>
      <c r="AS689" s="113"/>
      <c r="AT689" s="113"/>
      <c r="AU689" s="113"/>
      <c r="AV689" s="113"/>
      <c r="AW689" s="113"/>
      <c r="AX689" s="46">
        <v>0</v>
      </c>
      <c r="AY689" s="113"/>
      <c r="AZ689" s="113"/>
      <c r="BA689" s="113"/>
      <c r="BB689" s="113"/>
      <c r="BC689" s="113"/>
      <c r="BD689" s="46">
        <v>0</v>
      </c>
      <c r="BE689" s="113"/>
      <c r="BF689" s="113"/>
      <c r="BG689" s="113"/>
      <c r="BH689" s="113"/>
      <c r="BI689" s="113"/>
      <c r="BJ689" s="46">
        <v>0</v>
      </c>
      <c r="BK689" s="113"/>
      <c r="BL689" s="113"/>
      <c r="BM689" s="113"/>
      <c r="BN689" s="113"/>
      <c r="BO689" s="113"/>
      <c r="BP689" s="121"/>
      <c r="BQ689" s="121"/>
      <c r="GA689" t="s">
        <v>112</v>
      </c>
      <c r="GB689" t="s">
        <v>16502</v>
      </c>
      <c r="GC689" s="46">
        <v>0</v>
      </c>
      <c r="GD689" s="113"/>
      <c r="GE689" s="113"/>
      <c r="GF689" s="113"/>
      <c r="GG689" s="113"/>
      <c r="GH689" s="113"/>
      <c r="GI689" s="46">
        <v>0</v>
      </c>
      <c r="GJ689" s="113"/>
      <c r="GK689" s="113"/>
      <c r="GL689" s="113"/>
      <c r="GM689" s="113"/>
      <c r="GN689" s="113"/>
      <c r="GO689" s="46">
        <v>0</v>
      </c>
      <c r="GP689" s="113"/>
      <c r="GQ689" s="113"/>
      <c r="GR689" s="113"/>
      <c r="GS689" s="113"/>
      <c r="GT689" s="113"/>
      <c r="GU689" s="46">
        <v>0</v>
      </c>
      <c r="GV689" s="113"/>
      <c r="GW689" s="113"/>
      <c r="GX689" s="113"/>
      <c r="GY689" s="113"/>
      <c r="GZ689" s="113"/>
      <c r="HA689" s="46">
        <v>0</v>
      </c>
      <c r="HB689" s="113"/>
      <c r="HC689" s="113"/>
      <c r="HD689" s="113"/>
      <c r="HE689" s="113"/>
      <c r="HF689" s="113"/>
      <c r="HG689" s="46">
        <v>0</v>
      </c>
      <c r="HH689" s="113"/>
      <c r="HI689" s="113"/>
      <c r="HJ689" s="113"/>
      <c r="HK689" s="113"/>
      <c r="HL689" s="113"/>
      <c r="HM689" s="121"/>
      <c r="HN689" s="121"/>
      <c r="LM689" t="str">
        <v/>
      </c>
      <c r="LN689" t="str">
        <v/>
      </c>
      <c r="LO689" t="str">
        <v/>
      </c>
    </row>
    <row r="690" spans="30:327">
      <c r="AD690" t="s">
        <v>112</v>
      </c>
      <c r="AE690" t="s">
        <v>16503</v>
      </c>
      <c r="AF690" s="46">
        <v>0</v>
      </c>
      <c r="AG690" s="113"/>
      <c r="AH690" s="113"/>
      <c r="AI690" s="113"/>
      <c r="AJ690" s="113"/>
      <c r="AK690" s="113"/>
      <c r="AL690" s="46">
        <v>0</v>
      </c>
      <c r="AM690" s="113"/>
      <c r="AN690" s="113"/>
      <c r="AO690" s="113"/>
      <c r="AP690" s="113"/>
      <c r="AQ690" s="113"/>
      <c r="AR690" s="46">
        <v>0</v>
      </c>
      <c r="AS690" s="113"/>
      <c r="AT690" s="113"/>
      <c r="AU690" s="113"/>
      <c r="AV690" s="113"/>
      <c r="AW690" s="113"/>
      <c r="AX690" s="46">
        <v>0</v>
      </c>
      <c r="AY690" s="113"/>
      <c r="AZ690" s="113"/>
      <c r="BA690" s="113"/>
      <c r="BB690" s="113"/>
      <c r="BC690" s="113"/>
      <c r="BD690" s="46">
        <v>0</v>
      </c>
      <c r="BE690" s="113"/>
      <c r="BF690" s="113"/>
      <c r="BG690" s="113"/>
      <c r="BH690" s="113"/>
      <c r="BI690" s="113"/>
      <c r="BJ690" s="46">
        <v>0</v>
      </c>
      <c r="BK690" s="113"/>
      <c r="BL690" s="113"/>
      <c r="BM690" s="113"/>
      <c r="BN690" s="113"/>
      <c r="BO690" s="113"/>
      <c r="BP690" s="121"/>
      <c r="BQ690" s="121"/>
      <c r="GA690" t="s">
        <v>112</v>
      </c>
      <c r="GB690" t="s">
        <v>16503</v>
      </c>
      <c r="GC690" s="46">
        <v>0</v>
      </c>
      <c r="GD690" s="113"/>
      <c r="GE690" s="113"/>
      <c r="GF690" s="113"/>
      <c r="GG690" s="113"/>
      <c r="GH690" s="113"/>
      <c r="GI690" s="46">
        <v>0</v>
      </c>
      <c r="GJ690" s="113"/>
      <c r="GK690" s="113"/>
      <c r="GL690" s="113"/>
      <c r="GM690" s="113"/>
      <c r="GN690" s="113"/>
      <c r="GO690" s="46">
        <v>0</v>
      </c>
      <c r="GP690" s="113"/>
      <c r="GQ690" s="113"/>
      <c r="GR690" s="113"/>
      <c r="GS690" s="113"/>
      <c r="GT690" s="113"/>
      <c r="GU690" s="46">
        <v>0</v>
      </c>
      <c r="GV690" s="113"/>
      <c r="GW690" s="113"/>
      <c r="GX690" s="113"/>
      <c r="GY690" s="113"/>
      <c r="GZ690" s="113"/>
      <c r="HA690" s="46">
        <v>0</v>
      </c>
      <c r="HB690" s="113"/>
      <c r="HC690" s="113"/>
      <c r="HD690" s="113"/>
      <c r="HE690" s="113"/>
      <c r="HF690" s="113"/>
      <c r="HG690" s="46">
        <v>0</v>
      </c>
      <c r="HH690" s="113"/>
      <c r="HI690" s="113"/>
      <c r="HJ690" s="113"/>
      <c r="HK690" s="113"/>
      <c r="HL690" s="113"/>
      <c r="HM690" s="121"/>
      <c r="HN690" s="121"/>
      <c r="LM690" t="str">
        <v/>
      </c>
      <c r="LN690" t="str">
        <v/>
      </c>
      <c r="LO690" t="str">
        <v/>
      </c>
    </row>
    <row r="691" spans="30:327">
      <c r="AD691" t="s">
        <v>112</v>
      </c>
      <c r="AE691" t="s">
        <v>16504</v>
      </c>
      <c r="AF691" s="46">
        <v>0</v>
      </c>
      <c r="AG691" s="113"/>
      <c r="AH691" s="113"/>
      <c r="AI691" s="113"/>
      <c r="AJ691" s="113"/>
      <c r="AK691" s="113"/>
      <c r="AL691" s="46">
        <v>0</v>
      </c>
      <c r="AM691" s="113"/>
      <c r="AN691" s="113"/>
      <c r="AO691" s="113"/>
      <c r="AP691" s="113"/>
      <c r="AQ691" s="113"/>
      <c r="AR691" s="46">
        <v>0</v>
      </c>
      <c r="AS691" s="113"/>
      <c r="AT691" s="113"/>
      <c r="AU691" s="113"/>
      <c r="AV691" s="113"/>
      <c r="AW691" s="113"/>
      <c r="AX691" s="46">
        <v>0</v>
      </c>
      <c r="AY691" s="113"/>
      <c r="AZ691" s="113"/>
      <c r="BA691" s="113"/>
      <c r="BB691" s="113"/>
      <c r="BC691" s="113"/>
      <c r="BD691" s="46">
        <v>0</v>
      </c>
      <c r="BE691" s="113"/>
      <c r="BF691" s="113"/>
      <c r="BG691" s="113"/>
      <c r="BH691" s="113"/>
      <c r="BI691" s="113"/>
      <c r="BJ691" s="46">
        <v>0</v>
      </c>
      <c r="BK691" s="113"/>
      <c r="BL691" s="113"/>
      <c r="BM691" s="113"/>
      <c r="BN691" s="113"/>
      <c r="BO691" s="113"/>
      <c r="BP691" s="121"/>
      <c r="BQ691" s="121"/>
      <c r="GA691" t="s">
        <v>112</v>
      </c>
      <c r="GB691" t="s">
        <v>16504</v>
      </c>
      <c r="GC691" s="46">
        <v>0</v>
      </c>
      <c r="GD691" s="113"/>
      <c r="GE691" s="113"/>
      <c r="GF691" s="113"/>
      <c r="GG691" s="113"/>
      <c r="GH691" s="113"/>
      <c r="GI691" s="46">
        <v>0</v>
      </c>
      <c r="GJ691" s="113"/>
      <c r="GK691" s="113"/>
      <c r="GL691" s="113"/>
      <c r="GM691" s="113"/>
      <c r="GN691" s="113"/>
      <c r="GO691" s="46">
        <v>0</v>
      </c>
      <c r="GP691" s="113"/>
      <c r="GQ691" s="113"/>
      <c r="GR691" s="113"/>
      <c r="GS691" s="113"/>
      <c r="GT691" s="113"/>
      <c r="GU691" s="46">
        <v>0</v>
      </c>
      <c r="GV691" s="113"/>
      <c r="GW691" s="113"/>
      <c r="GX691" s="113"/>
      <c r="GY691" s="113"/>
      <c r="GZ691" s="113"/>
      <c r="HA691" s="46">
        <v>0</v>
      </c>
      <c r="HB691" s="113"/>
      <c r="HC691" s="113"/>
      <c r="HD691" s="113"/>
      <c r="HE691" s="113"/>
      <c r="HF691" s="113"/>
      <c r="HG691" s="46">
        <v>0</v>
      </c>
      <c r="HH691" s="113"/>
      <c r="HI691" s="113"/>
      <c r="HJ691" s="113"/>
      <c r="HK691" s="113"/>
      <c r="HL691" s="113"/>
      <c r="HM691" s="121"/>
      <c r="HN691" s="121"/>
      <c r="LM691" t="str">
        <v/>
      </c>
      <c r="LN691" t="str">
        <v/>
      </c>
      <c r="LO691" t="str">
        <v/>
      </c>
    </row>
    <row r="692" spans="30:327">
      <c r="AD692" t="s">
        <v>112</v>
      </c>
      <c r="AE692" t="s">
        <v>16505</v>
      </c>
      <c r="AF692" s="46">
        <v>0</v>
      </c>
      <c r="AG692" s="113"/>
      <c r="AH692" s="113"/>
      <c r="AI692" s="113"/>
      <c r="AJ692" s="113"/>
      <c r="AK692" s="113"/>
      <c r="AL692" s="46">
        <v>0</v>
      </c>
      <c r="AM692" s="113"/>
      <c r="AN692" s="113"/>
      <c r="AO692" s="113"/>
      <c r="AP692" s="113"/>
      <c r="AQ692" s="113"/>
      <c r="AR692" s="46">
        <v>0</v>
      </c>
      <c r="AS692" s="113"/>
      <c r="AT692" s="113"/>
      <c r="AU692" s="113"/>
      <c r="AV692" s="113"/>
      <c r="AW692" s="113"/>
      <c r="AX692" s="46">
        <v>0</v>
      </c>
      <c r="AY692" s="113"/>
      <c r="AZ692" s="113"/>
      <c r="BA692" s="113"/>
      <c r="BB692" s="113"/>
      <c r="BC692" s="113"/>
      <c r="BD692" s="46">
        <v>0</v>
      </c>
      <c r="BE692" s="113"/>
      <c r="BF692" s="113"/>
      <c r="BG692" s="113"/>
      <c r="BH692" s="113"/>
      <c r="BI692" s="113"/>
      <c r="BJ692" s="46">
        <v>0</v>
      </c>
      <c r="BK692" s="113"/>
      <c r="BL692" s="113"/>
      <c r="BM692" s="113"/>
      <c r="BN692" s="113"/>
      <c r="BO692" s="113"/>
      <c r="BP692" s="121"/>
      <c r="BQ692" s="121"/>
      <c r="GA692" t="s">
        <v>112</v>
      </c>
      <c r="GB692" t="s">
        <v>16505</v>
      </c>
      <c r="GC692" s="46">
        <v>0</v>
      </c>
      <c r="GD692" s="113"/>
      <c r="GE692" s="113"/>
      <c r="GF692" s="113"/>
      <c r="GG692" s="113"/>
      <c r="GH692" s="113"/>
      <c r="GI692" s="46">
        <v>0</v>
      </c>
      <c r="GJ692" s="113"/>
      <c r="GK692" s="113"/>
      <c r="GL692" s="113"/>
      <c r="GM692" s="113"/>
      <c r="GN692" s="113"/>
      <c r="GO692" s="46">
        <v>0</v>
      </c>
      <c r="GP692" s="113"/>
      <c r="GQ692" s="113"/>
      <c r="GR692" s="113"/>
      <c r="GS692" s="113"/>
      <c r="GT692" s="113"/>
      <c r="GU692" s="46">
        <v>0</v>
      </c>
      <c r="GV692" s="113"/>
      <c r="GW692" s="113"/>
      <c r="GX692" s="113"/>
      <c r="GY692" s="113"/>
      <c r="GZ692" s="113"/>
      <c r="HA692" s="46">
        <v>0</v>
      </c>
      <c r="HB692" s="113"/>
      <c r="HC692" s="113"/>
      <c r="HD692" s="113"/>
      <c r="HE692" s="113"/>
      <c r="HF692" s="113"/>
      <c r="HG692" s="46">
        <v>0</v>
      </c>
      <c r="HH692" s="113"/>
      <c r="HI692" s="113"/>
      <c r="HJ692" s="113"/>
      <c r="HK692" s="113"/>
      <c r="HL692" s="113"/>
      <c r="HM692" s="121"/>
      <c r="HN692" s="121"/>
      <c r="LM692" t="str">
        <v/>
      </c>
      <c r="LN692" t="str">
        <v/>
      </c>
      <c r="LO692" t="str">
        <v/>
      </c>
    </row>
    <row r="693" spans="30:327">
      <c r="AD693" t="s">
        <v>112</v>
      </c>
      <c r="AE693" t="s">
        <v>16506</v>
      </c>
      <c r="AF693" s="46">
        <v>0</v>
      </c>
      <c r="AG693" s="113"/>
      <c r="AH693" s="113"/>
      <c r="AI693" s="113"/>
      <c r="AJ693" s="113"/>
      <c r="AK693" s="113"/>
      <c r="AL693" s="46">
        <v>0</v>
      </c>
      <c r="AM693" s="113"/>
      <c r="AN693" s="113"/>
      <c r="AO693" s="113"/>
      <c r="AP693" s="113"/>
      <c r="AQ693" s="113"/>
      <c r="AR693" s="46">
        <v>0</v>
      </c>
      <c r="AS693" s="113"/>
      <c r="AT693" s="113"/>
      <c r="AU693" s="113"/>
      <c r="AV693" s="113"/>
      <c r="AW693" s="113"/>
      <c r="AX693" s="46">
        <v>0</v>
      </c>
      <c r="AY693" s="113"/>
      <c r="AZ693" s="113"/>
      <c r="BA693" s="113"/>
      <c r="BB693" s="113"/>
      <c r="BC693" s="113"/>
      <c r="BD693" s="46">
        <v>0</v>
      </c>
      <c r="BE693" s="113"/>
      <c r="BF693" s="113"/>
      <c r="BG693" s="113"/>
      <c r="BH693" s="113"/>
      <c r="BI693" s="113"/>
      <c r="BJ693" s="46">
        <v>0</v>
      </c>
      <c r="BK693" s="113"/>
      <c r="BL693" s="113"/>
      <c r="BM693" s="113"/>
      <c r="BN693" s="113"/>
      <c r="BO693" s="113"/>
      <c r="BP693" s="121"/>
      <c r="BQ693" s="121"/>
      <c r="GA693" t="s">
        <v>112</v>
      </c>
      <c r="GB693" t="s">
        <v>16506</v>
      </c>
      <c r="GC693" s="46">
        <v>0</v>
      </c>
      <c r="GD693" s="113"/>
      <c r="GE693" s="113"/>
      <c r="GF693" s="113"/>
      <c r="GG693" s="113"/>
      <c r="GH693" s="113"/>
      <c r="GI693" s="46">
        <v>0</v>
      </c>
      <c r="GJ693" s="113"/>
      <c r="GK693" s="113"/>
      <c r="GL693" s="113"/>
      <c r="GM693" s="113"/>
      <c r="GN693" s="113"/>
      <c r="GO693" s="46">
        <v>0</v>
      </c>
      <c r="GP693" s="113"/>
      <c r="GQ693" s="113"/>
      <c r="GR693" s="113"/>
      <c r="GS693" s="113"/>
      <c r="GT693" s="113"/>
      <c r="GU693" s="46">
        <v>0</v>
      </c>
      <c r="GV693" s="113"/>
      <c r="GW693" s="113"/>
      <c r="GX693" s="113"/>
      <c r="GY693" s="113"/>
      <c r="GZ693" s="113"/>
      <c r="HA693" s="46">
        <v>0</v>
      </c>
      <c r="HB693" s="113"/>
      <c r="HC693" s="113"/>
      <c r="HD693" s="113"/>
      <c r="HE693" s="113"/>
      <c r="HF693" s="113"/>
      <c r="HG693" s="46">
        <v>0</v>
      </c>
      <c r="HH693" s="113"/>
      <c r="HI693" s="113"/>
      <c r="HJ693" s="113"/>
      <c r="HK693" s="113"/>
      <c r="HL693" s="113"/>
      <c r="HM693" s="121"/>
      <c r="HN693" s="121"/>
      <c r="LM693" t="str">
        <v/>
      </c>
      <c r="LN693" t="str">
        <v/>
      </c>
      <c r="LO693" t="str">
        <v/>
      </c>
    </row>
    <row r="694" spans="30:327">
      <c r="AD694" t="s">
        <v>112</v>
      </c>
      <c r="AE694" t="s">
        <v>16507</v>
      </c>
      <c r="AF694" s="46">
        <v>0</v>
      </c>
      <c r="AG694" s="113"/>
      <c r="AH694" s="113"/>
      <c r="AI694" s="113"/>
      <c r="AJ694" s="113"/>
      <c r="AK694" s="113"/>
      <c r="AL694" s="46">
        <v>0</v>
      </c>
      <c r="AM694" s="113"/>
      <c r="AN694" s="113"/>
      <c r="AO694" s="113"/>
      <c r="AP694" s="113"/>
      <c r="AQ694" s="113"/>
      <c r="AR694" s="46">
        <v>0</v>
      </c>
      <c r="AS694" s="113"/>
      <c r="AT694" s="113"/>
      <c r="AU694" s="113"/>
      <c r="AV694" s="113"/>
      <c r="AW694" s="113"/>
      <c r="AX694" s="46">
        <v>0</v>
      </c>
      <c r="AY694" s="113"/>
      <c r="AZ694" s="113"/>
      <c r="BA694" s="113"/>
      <c r="BB694" s="113"/>
      <c r="BC694" s="113"/>
      <c r="BD694" s="46">
        <v>0</v>
      </c>
      <c r="BE694" s="113"/>
      <c r="BF694" s="113"/>
      <c r="BG694" s="113"/>
      <c r="BH694" s="113"/>
      <c r="BI694" s="113"/>
      <c r="BJ694" s="46">
        <v>0</v>
      </c>
      <c r="BK694" s="113"/>
      <c r="BL694" s="113"/>
      <c r="BM694" s="113"/>
      <c r="BN694" s="113"/>
      <c r="BO694" s="113"/>
      <c r="BP694" s="121"/>
      <c r="BQ694" s="121"/>
      <c r="GA694" t="s">
        <v>112</v>
      </c>
      <c r="GB694" t="s">
        <v>16507</v>
      </c>
      <c r="GC694" s="46">
        <v>0</v>
      </c>
      <c r="GD694" s="113"/>
      <c r="GE694" s="113"/>
      <c r="GF694" s="113"/>
      <c r="GG694" s="113"/>
      <c r="GH694" s="113"/>
      <c r="GI694" s="46">
        <v>0</v>
      </c>
      <c r="GJ694" s="113"/>
      <c r="GK694" s="113"/>
      <c r="GL694" s="113"/>
      <c r="GM694" s="113"/>
      <c r="GN694" s="113"/>
      <c r="GO694" s="46">
        <v>0</v>
      </c>
      <c r="GP694" s="113"/>
      <c r="GQ694" s="113"/>
      <c r="GR694" s="113"/>
      <c r="GS694" s="113"/>
      <c r="GT694" s="113"/>
      <c r="GU694" s="46">
        <v>0</v>
      </c>
      <c r="GV694" s="113"/>
      <c r="GW694" s="113"/>
      <c r="GX694" s="113"/>
      <c r="GY694" s="113"/>
      <c r="GZ694" s="113"/>
      <c r="HA694" s="46">
        <v>0</v>
      </c>
      <c r="HB694" s="113"/>
      <c r="HC694" s="113"/>
      <c r="HD694" s="113"/>
      <c r="HE694" s="113"/>
      <c r="HF694" s="113"/>
      <c r="HG694" s="46">
        <v>0</v>
      </c>
      <c r="HH694" s="113"/>
      <c r="HI694" s="113"/>
      <c r="HJ694" s="113"/>
      <c r="HK694" s="113"/>
      <c r="HL694" s="113"/>
      <c r="HM694" s="121"/>
      <c r="HN694" s="121"/>
      <c r="LM694" t="str">
        <v/>
      </c>
      <c r="LN694" t="str">
        <v/>
      </c>
      <c r="LO694" t="str">
        <v/>
      </c>
    </row>
    <row r="695" spans="30:327">
      <c r="AD695" t="s">
        <v>112</v>
      </c>
      <c r="AE695" t="s">
        <v>16508</v>
      </c>
      <c r="AF695" s="46">
        <v>0</v>
      </c>
      <c r="AG695" s="113"/>
      <c r="AH695" s="113"/>
      <c r="AI695" s="113"/>
      <c r="AJ695" s="113"/>
      <c r="AK695" s="113"/>
      <c r="AL695" s="46">
        <v>0</v>
      </c>
      <c r="AM695" s="113"/>
      <c r="AN695" s="113"/>
      <c r="AO695" s="113"/>
      <c r="AP695" s="113"/>
      <c r="AQ695" s="113"/>
      <c r="AR695" s="46">
        <v>0</v>
      </c>
      <c r="AS695" s="113"/>
      <c r="AT695" s="113"/>
      <c r="AU695" s="113"/>
      <c r="AV695" s="113"/>
      <c r="AW695" s="113"/>
      <c r="AX695" s="46">
        <v>0</v>
      </c>
      <c r="AY695" s="113"/>
      <c r="AZ695" s="113"/>
      <c r="BA695" s="113"/>
      <c r="BB695" s="113"/>
      <c r="BC695" s="113"/>
      <c r="BD695" s="46">
        <v>0</v>
      </c>
      <c r="BE695" s="113"/>
      <c r="BF695" s="113"/>
      <c r="BG695" s="113"/>
      <c r="BH695" s="113"/>
      <c r="BI695" s="113"/>
      <c r="BJ695" s="46">
        <v>0</v>
      </c>
      <c r="BK695" s="113"/>
      <c r="BL695" s="113"/>
      <c r="BM695" s="113"/>
      <c r="BN695" s="113"/>
      <c r="BO695" s="113"/>
      <c r="BP695" s="121"/>
      <c r="BQ695" s="121"/>
      <c r="GA695" t="s">
        <v>112</v>
      </c>
      <c r="GB695" t="s">
        <v>16508</v>
      </c>
      <c r="GC695" s="46">
        <v>0</v>
      </c>
      <c r="GD695" s="113"/>
      <c r="GE695" s="113"/>
      <c r="GF695" s="113"/>
      <c r="GG695" s="113"/>
      <c r="GH695" s="113"/>
      <c r="GI695" s="46">
        <v>0</v>
      </c>
      <c r="GJ695" s="113"/>
      <c r="GK695" s="113"/>
      <c r="GL695" s="113"/>
      <c r="GM695" s="113"/>
      <c r="GN695" s="113"/>
      <c r="GO695" s="46">
        <v>0</v>
      </c>
      <c r="GP695" s="113"/>
      <c r="GQ695" s="113"/>
      <c r="GR695" s="113"/>
      <c r="GS695" s="113"/>
      <c r="GT695" s="113"/>
      <c r="GU695" s="46">
        <v>0</v>
      </c>
      <c r="GV695" s="113"/>
      <c r="GW695" s="113"/>
      <c r="GX695" s="113"/>
      <c r="GY695" s="113"/>
      <c r="GZ695" s="113"/>
      <c r="HA695" s="46">
        <v>0</v>
      </c>
      <c r="HB695" s="113"/>
      <c r="HC695" s="113"/>
      <c r="HD695" s="113"/>
      <c r="HE695" s="113"/>
      <c r="HF695" s="113"/>
      <c r="HG695" s="46">
        <v>0</v>
      </c>
      <c r="HH695" s="113"/>
      <c r="HI695" s="113"/>
      <c r="HJ695" s="113"/>
      <c r="HK695" s="113"/>
      <c r="HL695" s="113"/>
      <c r="HM695" s="121"/>
      <c r="HN695" s="121"/>
      <c r="LM695" t="str">
        <v/>
      </c>
      <c r="LN695" t="str">
        <v/>
      </c>
      <c r="LO695" t="str">
        <v/>
      </c>
    </row>
    <row r="696" spans="30:327">
      <c r="AD696" t="s">
        <v>112</v>
      </c>
      <c r="AE696" t="s">
        <v>16509</v>
      </c>
      <c r="AF696" s="46">
        <v>0</v>
      </c>
      <c r="AG696" s="113"/>
      <c r="AH696" s="113"/>
      <c r="AI696" s="113"/>
      <c r="AJ696" s="113"/>
      <c r="AK696" s="113"/>
      <c r="AL696" s="46">
        <v>0</v>
      </c>
      <c r="AM696" s="113"/>
      <c r="AN696" s="113"/>
      <c r="AO696" s="113"/>
      <c r="AP696" s="113"/>
      <c r="AQ696" s="113"/>
      <c r="AR696" s="46">
        <v>0</v>
      </c>
      <c r="AS696" s="113"/>
      <c r="AT696" s="113"/>
      <c r="AU696" s="113"/>
      <c r="AV696" s="113"/>
      <c r="AW696" s="113"/>
      <c r="AX696" s="46">
        <v>0</v>
      </c>
      <c r="AY696" s="113"/>
      <c r="AZ696" s="113"/>
      <c r="BA696" s="113"/>
      <c r="BB696" s="113"/>
      <c r="BC696" s="113"/>
      <c r="BD696" s="46">
        <v>0</v>
      </c>
      <c r="BE696" s="113"/>
      <c r="BF696" s="113"/>
      <c r="BG696" s="113"/>
      <c r="BH696" s="113"/>
      <c r="BI696" s="113"/>
      <c r="BJ696" s="46">
        <v>0</v>
      </c>
      <c r="BK696" s="113"/>
      <c r="BL696" s="113"/>
      <c r="BM696" s="113"/>
      <c r="BN696" s="113"/>
      <c r="BO696" s="113"/>
      <c r="BP696" s="121"/>
      <c r="BQ696" s="121"/>
      <c r="GA696" t="s">
        <v>112</v>
      </c>
      <c r="GB696" t="s">
        <v>16509</v>
      </c>
      <c r="GC696" s="46">
        <v>0</v>
      </c>
      <c r="GD696" s="113"/>
      <c r="GE696" s="113"/>
      <c r="GF696" s="113"/>
      <c r="GG696" s="113"/>
      <c r="GH696" s="113"/>
      <c r="GI696" s="46">
        <v>0</v>
      </c>
      <c r="GJ696" s="113"/>
      <c r="GK696" s="113"/>
      <c r="GL696" s="113"/>
      <c r="GM696" s="113"/>
      <c r="GN696" s="113"/>
      <c r="GO696" s="46">
        <v>0</v>
      </c>
      <c r="GP696" s="113"/>
      <c r="GQ696" s="113"/>
      <c r="GR696" s="113"/>
      <c r="GS696" s="113"/>
      <c r="GT696" s="113"/>
      <c r="GU696" s="46">
        <v>0</v>
      </c>
      <c r="GV696" s="113"/>
      <c r="GW696" s="113"/>
      <c r="GX696" s="113"/>
      <c r="GY696" s="113"/>
      <c r="GZ696" s="113"/>
      <c r="HA696" s="46">
        <v>0</v>
      </c>
      <c r="HB696" s="113"/>
      <c r="HC696" s="113"/>
      <c r="HD696" s="113"/>
      <c r="HE696" s="113"/>
      <c r="HF696" s="113"/>
      <c r="HG696" s="46">
        <v>0</v>
      </c>
      <c r="HH696" s="113"/>
      <c r="HI696" s="113"/>
      <c r="HJ696" s="113"/>
      <c r="HK696" s="113"/>
      <c r="HL696" s="113"/>
      <c r="HM696" s="121"/>
      <c r="HN696" s="121"/>
      <c r="LM696" t="str">
        <v/>
      </c>
      <c r="LN696" t="str">
        <v/>
      </c>
      <c r="LO696" t="str">
        <v/>
      </c>
    </row>
    <row r="697" spans="30:327">
      <c r="AD697" t="s">
        <v>112</v>
      </c>
      <c r="AE697" t="s">
        <v>16510</v>
      </c>
      <c r="AF697" s="46">
        <v>0</v>
      </c>
      <c r="AG697" s="113"/>
      <c r="AH697" s="113"/>
      <c r="AI697" s="113"/>
      <c r="AJ697" s="113"/>
      <c r="AK697" s="113"/>
      <c r="AL697" s="46">
        <v>0</v>
      </c>
      <c r="AM697" s="113"/>
      <c r="AN697" s="113"/>
      <c r="AO697" s="113"/>
      <c r="AP697" s="113"/>
      <c r="AQ697" s="113"/>
      <c r="AR697" s="46">
        <v>0</v>
      </c>
      <c r="AS697" s="113"/>
      <c r="AT697" s="113"/>
      <c r="AU697" s="113"/>
      <c r="AV697" s="113"/>
      <c r="AW697" s="113"/>
      <c r="AX697" s="46">
        <v>0</v>
      </c>
      <c r="AY697" s="113"/>
      <c r="AZ697" s="113"/>
      <c r="BA697" s="113"/>
      <c r="BB697" s="113"/>
      <c r="BC697" s="113"/>
      <c r="BD697" s="46">
        <v>0</v>
      </c>
      <c r="BE697" s="113"/>
      <c r="BF697" s="113"/>
      <c r="BG697" s="113"/>
      <c r="BH697" s="113"/>
      <c r="BI697" s="113"/>
      <c r="BJ697" s="46">
        <v>0</v>
      </c>
      <c r="BK697" s="113"/>
      <c r="BL697" s="113"/>
      <c r="BM697" s="113"/>
      <c r="BN697" s="113"/>
      <c r="BO697" s="113"/>
      <c r="BP697" s="121"/>
      <c r="BQ697" s="121"/>
      <c r="GA697" t="s">
        <v>112</v>
      </c>
      <c r="GB697" t="s">
        <v>16510</v>
      </c>
      <c r="GC697" s="46">
        <v>0</v>
      </c>
      <c r="GD697" s="113"/>
      <c r="GE697" s="113"/>
      <c r="GF697" s="113"/>
      <c r="GG697" s="113"/>
      <c r="GH697" s="113"/>
      <c r="GI697" s="46">
        <v>0</v>
      </c>
      <c r="GJ697" s="113"/>
      <c r="GK697" s="113"/>
      <c r="GL697" s="113"/>
      <c r="GM697" s="113"/>
      <c r="GN697" s="113"/>
      <c r="GO697" s="46">
        <v>0</v>
      </c>
      <c r="GP697" s="113"/>
      <c r="GQ697" s="113"/>
      <c r="GR697" s="113"/>
      <c r="GS697" s="113"/>
      <c r="GT697" s="113"/>
      <c r="GU697" s="46">
        <v>0</v>
      </c>
      <c r="GV697" s="113"/>
      <c r="GW697" s="113"/>
      <c r="GX697" s="113"/>
      <c r="GY697" s="113"/>
      <c r="GZ697" s="113"/>
      <c r="HA697" s="46">
        <v>0</v>
      </c>
      <c r="HB697" s="113"/>
      <c r="HC697" s="113"/>
      <c r="HD697" s="113"/>
      <c r="HE697" s="113"/>
      <c r="HF697" s="113"/>
      <c r="HG697" s="46">
        <v>0</v>
      </c>
      <c r="HH697" s="113"/>
      <c r="HI697" s="113"/>
      <c r="HJ697" s="113"/>
      <c r="HK697" s="113"/>
      <c r="HL697" s="113"/>
      <c r="HM697" s="121"/>
      <c r="HN697" s="121"/>
      <c r="LM697" t="str">
        <v/>
      </c>
      <c r="LN697" t="str">
        <v/>
      </c>
      <c r="LO697" t="str">
        <v/>
      </c>
    </row>
    <row r="698" spans="30:327">
      <c r="AD698" t="s">
        <v>112</v>
      </c>
      <c r="AE698" t="s">
        <v>22881</v>
      </c>
      <c r="AF698" s="46">
        <v>0</v>
      </c>
      <c r="AG698" s="113"/>
      <c r="AH698" s="113"/>
      <c r="AI698" s="113"/>
      <c r="AJ698" s="113"/>
      <c r="AK698" s="113"/>
      <c r="AL698" s="46">
        <v>0</v>
      </c>
      <c r="AM698" s="113"/>
      <c r="AN698" s="113"/>
      <c r="AO698" s="113"/>
      <c r="AP698" s="113"/>
      <c r="AQ698" s="113"/>
      <c r="AR698" s="46">
        <v>0</v>
      </c>
      <c r="AS698" s="113"/>
      <c r="AT698" s="113"/>
      <c r="AU698" s="113"/>
      <c r="AV698" s="113"/>
      <c r="AW698" s="113"/>
      <c r="AX698" s="46">
        <v>0</v>
      </c>
      <c r="AY698" s="113"/>
      <c r="AZ698" s="113"/>
      <c r="BA698" s="113"/>
      <c r="BB698" s="113"/>
      <c r="BC698" s="113"/>
      <c r="BD698" s="46">
        <v>0</v>
      </c>
      <c r="BE698" s="113"/>
      <c r="BF698" s="113"/>
      <c r="BG698" s="113"/>
      <c r="BH698" s="113"/>
      <c r="BI698" s="113"/>
      <c r="BJ698" s="46">
        <v>0</v>
      </c>
      <c r="BK698" s="113"/>
      <c r="BL698" s="113"/>
      <c r="BM698" s="113"/>
      <c r="BN698" s="113"/>
      <c r="BO698" s="113"/>
      <c r="BP698" s="121"/>
      <c r="BQ698" s="121"/>
      <c r="GA698" t="s">
        <v>112</v>
      </c>
      <c r="GB698" t="s">
        <v>22881</v>
      </c>
      <c r="GC698" s="46">
        <v>0</v>
      </c>
      <c r="GD698" s="113"/>
      <c r="GE698" s="113"/>
      <c r="GF698" s="113"/>
      <c r="GG698" s="113"/>
      <c r="GH698" s="113"/>
      <c r="GI698" s="46">
        <v>0</v>
      </c>
      <c r="GJ698" s="113"/>
      <c r="GK698" s="113"/>
      <c r="GL698" s="113"/>
      <c r="GM698" s="113"/>
      <c r="GN698" s="113"/>
      <c r="GO698" s="46">
        <v>0</v>
      </c>
      <c r="GP698" s="113"/>
      <c r="GQ698" s="113"/>
      <c r="GR698" s="113"/>
      <c r="GS698" s="113"/>
      <c r="GT698" s="113"/>
      <c r="GU698" s="46">
        <v>0</v>
      </c>
      <c r="GV698" s="113"/>
      <c r="GW698" s="113"/>
      <c r="GX698" s="113"/>
      <c r="GY698" s="113"/>
      <c r="GZ698" s="113"/>
      <c r="HA698" s="46">
        <v>0</v>
      </c>
      <c r="HB698" s="113"/>
      <c r="HC698" s="113"/>
      <c r="HD698" s="113"/>
      <c r="HE698" s="113"/>
      <c r="HF698" s="113"/>
      <c r="HG698" s="46">
        <v>0</v>
      </c>
      <c r="HH698" s="113"/>
      <c r="HI698" s="113"/>
      <c r="HJ698" s="113"/>
      <c r="HK698" s="113"/>
      <c r="HL698" s="113"/>
      <c r="HM698" s="121"/>
      <c r="HN698" s="121"/>
      <c r="LM698" t="str">
        <v/>
      </c>
      <c r="LN698" t="str">
        <v/>
      </c>
      <c r="LO698" t="str">
        <v/>
      </c>
    </row>
    <row r="699" spans="30:327">
      <c r="AD699" t="s">
        <v>112</v>
      </c>
      <c r="AE699" t="s">
        <v>22882</v>
      </c>
      <c r="AF699" s="46">
        <v>0</v>
      </c>
      <c r="AG699" s="113"/>
      <c r="AH699" s="113"/>
      <c r="AI699" s="113"/>
      <c r="AJ699" s="113"/>
      <c r="AK699" s="113"/>
      <c r="AL699" s="46">
        <v>0</v>
      </c>
      <c r="AM699" s="113"/>
      <c r="AN699" s="113"/>
      <c r="AO699" s="113"/>
      <c r="AP699" s="113"/>
      <c r="AQ699" s="113"/>
      <c r="AR699" s="46">
        <v>0</v>
      </c>
      <c r="AS699" s="113"/>
      <c r="AT699" s="113"/>
      <c r="AU699" s="113"/>
      <c r="AV699" s="113"/>
      <c r="AW699" s="113"/>
      <c r="AX699" s="46">
        <v>0</v>
      </c>
      <c r="AY699" s="113"/>
      <c r="AZ699" s="113"/>
      <c r="BA699" s="113"/>
      <c r="BB699" s="113"/>
      <c r="BC699" s="113"/>
      <c r="BD699" s="46">
        <v>0</v>
      </c>
      <c r="BE699" s="113"/>
      <c r="BF699" s="113"/>
      <c r="BG699" s="113"/>
      <c r="BH699" s="113"/>
      <c r="BI699" s="113"/>
      <c r="BJ699" s="46">
        <v>0</v>
      </c>
      <c r="BK699" s="113"/>
      <c r="BL699" s="113"/>
      <c r="BM699" s="113"/>
      <c r="BN699" s="113"/>
      <c r="BO699" s="113"/>
      <c r="BP699" s="121"/>
      <c r="BQ699" s="121"/>
      <c r="GA699" t="s">
        <v>112</v>
      </c>
      <c r="GB699" t="s">
        <v>22882</v>
      </c>
      <c r="GC699" s="46">
        <v>0</v>
      </c>
      <c r="GD699" s="113"/>
      <c r="GE699" s="113"/>
      <c r="GF699" s="113"/>
      <c r="GG699" s="113"/>
      <c r="GH699" s="113"/>
      <c r="GI699" s="46">
        <v>0</v>
      </c>
      <c r="GJ699" s="113"/>
      <c r="GK699" s="113"/>
      <c r="GL699" s="113"/>
      <c r="GM699" s="113"/>
      <c r="GN699" s="113"/>
      <c r="GO699" s="46">
        <v>0</v>
      </c>
      <c r="GP699" s="113"/>
      <c r="GQ699" s="113"/>
      <c r="GR699" s="113"/>
      <c r="GS699" s="113"/>
      <c r="GT699" s="113"/>
      <c r="GU699" s="46">
        <v>0</v>
      </c>
      <c r="GV699" s="113"/>
      <c r="GW699" s="113"/>
      <c r="GX699" s="113"/>
      <c r="GY699" s="113"/>
      <c r="GZ699" s="113"/>
      <c r="HA699" s="46">
        <v>0</v>
      </c>
      <c r="HB699" s="113"/>
      <c r="HC699" s="113"/>
      <c r="HD699" s="113"/>
      <c r="HE699" s="113"/>
      <c r="HF699" s="113"/>
      <c r="HG699" s="46">
        <v>0</v>
      </c>
      <c r="HH699" s="113"/>
      <c r="HI699" s="113"/>
      <c r="HJ699" s="113"/>
      <c r="HK699" s="113"/>
      <c r="HL699" s="113"/>
      <c r="HM699" s="121"/>
      <c r="HN699" s="121"/>
      <c r="LM699" t="str">
        <v/>
      </c>
      <c r="LN699" t="str">
        <v/>
      </c>
      <c r="LO699" t="str">
        <v/>
      </c>
    </row>
    <row r="700" spans="30:327">
      <c r="AD700" t="s">
        <v>112</v>
      </c>
      <c r="AE700" t="s">
        <v>22883</v>
      </c>
      <c r="AF700" s="46">
        <v>0</v>
      </c>
      <c r="AG700" s="113"/>
      <c r="AH700" s="113"/>
      <c r="AI700" s="113"/>
      <c r="AJ700" s="113"/>
      <c r="AK700" s="113"/>
      <c r="AL700" s="46">
        <v>0</v>
      </c>
      <c r="AM700" s="113"/>
      <c r="AN700" s="113"/>
      <c r="AO700" s="113"/>
      <c r="AP700" s="113"/>
      <c r="AQ700" s="113"/>
      <c r="AR700" s="46">
        <v>0</v>
      </c>
      <c r="AS700" s="113"/>
      <c r="AT700" s="113"/>
      <c r="AU700" s="113"/>
      <c r="AV700" s="113"/>
      <c r="AW700" s="113"/>
      <c r="AX700" s="46">
        <v>0</v>
      </c>
      <c r="AY700" s="113"/>
      <c r="AZ700" s="113"/>
      <c r="BA700" s="113"/>
      <c r="BB700" s="113"/>
      <c r="BC700" s="113"/>
      <c r="BD700" s="46">
        <v>0</v>
      </c>
      <c r="BE700" s="113"/>
      <c r="BF700" s="113"/>
      <c r="BG700" s="113"/>
      <c r="BH700" s="113"/>
      <c r="BI700" s="113"/>
      <c r="BJ700" s="46">
        <v>0</v>
      </c>
      <c r="BK700" s="113"/>
      <c r="BL700" s="113"/>
      <c r="BM700" s="113"/>
      <c r="BN700" s="113"/>
      <c r="BO700" s="113"/>
      <c r="BP700" s="121"/>
      <c r="BQ700" s="121"/>
      <c r="GA700" t="s">
        <v>112</v>
      </c>
      <c r="GB700" t="s">
        <v>22883</v>
      </c>
      <c r="GC700" s="46">
        <v>0</v>
      </c>
      <c r="GD700" s="113"/>
      <c r="GE700" s="113"/>
      <c r="GF700" s="113"/>
      <c r="GG700" s="113"/>
      <c r="GH700" s="113"/>
      <c r="GI700" s="46">
        <v>0</v>
      </c>
      <c r="GJ700" s="113"/>
      <c r="GK700" s="113"/>
      <c r="GL700" s="113"/>
      <c r="GM700" s="113"/>
      <c r="GN700" s="113"/>
      <c r="GO700" s="46">
        <v>0</v>
      </c>
      <c r="GP700" s="113"/>
      <c r="GQ700" s="113"/>
      <c r="GR700" s="113"/>
      <c r="GS700" s="113"/>
      <c r="GT700" s="113"/>
      <c r="GU700" s="46">
        <v>0</v>
      </c>
      <c r="GV700" s="113"/>
      <c r="GW700" s="113"/>
      <c r="GX700" s="113"/>
      <c r="GY700" s="113"/>
      <c r="GZ700" s="113"/>
      <c r="HA700" s="46">
        <v>0</v>
      </c>
      <c r="HB700" s="113"/>
      <c r="HC700" s="113"/>
      <c r="HD700" s="113"/>
      <c r="HE700" s="113"/>
      <c r="HF700" s="113"/>
      <c r="HG700" s="46">
        <v>0</v>
      </c>
      <c r="HH700" s="113"/>
      <c r="HI700" s="113"/>
      <c r="HJ700" s="113"/>
      <c r="HK700" s="113"/>
      <c r="HL700" s="113"/>
      <c r="HM700" s="121"/>
      <c r="HN700" s="121"/>
      <c r="LM700" t="str">
        <v/>
      </c>
      <c r="LN700" t="str">
        <v/>
      </c>
      <c r="LO700" t="str">
        <v/>
      </c>
    </row>
    <row r="701" spans="30:327">
      <c r="AD701" t="s">
        <v>112</v>
      </c>
      <c r="AE701" t="s">
        <v>22884</v>
      </c>
      <c r="AF701" s="46">
        <v>0</v>
      </c>
      <c r="AG701" s="113"/>
      <c r="AH701" s="113"/>
      <c r="AI701" s="113"/>
      <c r="AJ701" s="113"/>
      <c r="AK701" s="113"/>
      <c r="AL701" s="46">
        <v>0</v>
      </c>
      <c r="AM701" s="113"/>
      <c r="AN701" s="113"/>
      <c r="AO701" s="113"/>
      <c r="AP701" s="113"/>
      <c r="AQ701" s="113"/>
      <c r="AR701" s="46">
        <v>0</v>
      </c>
      <c r="AS701" s="113"/>
      <c r="AT701" s="113"/>
      <c r="AU701" s="113"/>
      <c r="AV701" s="113"/>
      <c r="AW701" s="113"/>
      <c r="AX701" s="46">
        <v>0</v>
      </c>
      <c r="AY701" s="113"/>
      <c r="AZ701" s="113"/>
      <c r="BA701" s="113"/>
      <c r="BB701" s="113"/>
      <c r="BC701" s="113"/>
      <c r="BD701" s="46">
        <v>0</v>
      </c>
      <c r="BE701" s="113"/>
      <c r="BF701" s="113"/>
      <c r="BG701" s="113"/>
      <c r="BH701" s="113"/>
      <c r="BI701" s="113"/>
      <c r="BJ701" s="46">
        <v>0</v>
      </c>
      <c r="BK701" s="113"/>
      <c r="BL701" s="113"/>
      <c r="BM701" s="113"/>
      <c r="BN701" s="113"/>
      <c r="BO701" s="113"/>
      <c r="BP701" s="121"/>
      <c r="BQ701" s="121"/>
      <c r="GA701" t="s">
        <v>112</v>
      </c>
      <c r="GB701" t="s">
        <v>22884</v>
      </c>
      <c r="GC701" s="46">
        <v>0</v>
      </c>
      <c r="GD701" s="113"/>
      <c r="GE701" s="113"/>
      <c r="GF701" s="113"/>
      <c r="GG701" s="113"/>
      <c r="GH701" s="113"/>
      <c r="GI701" s="46">
        <v>0</v>
      </c>
      <c r="GJ701" s="113"/>
      <c r="GK701" s="113"/>
      <c r="GL701" s="113"/>
      <c r="GM701" s="113"/>
      <c r="GN701" s="113"/>
      <c r="GO701" s="46">
        <v>0</v>
      </c>
      <c r="GP701" s="113"/>
      <c r="GQ701" s="113"/>
      <c r="GR701" s="113"/>
      <c r="GS701" s="113"/>
      <c r="GT701" s="113"/>
      <c r="GU701" s="46">
        <v>0</v>
      </c>
      <c r="GV701" s="113"/>
      <c r="GW701" s="113"/>
      <c r="GX701" s="113"/>
      <c r="GY701" s="113"/>
      <c r="GZ701" s="113"/>
      <c r="HA701" s="46">
        <v>0</v>
      </c>
      <c r="HB701" s="113"/>
      <c r="HC701" s="113"/>
      <c r="HD701" s="113"/>
      <c r="HE701" s="113"/>
      <c r="HF701" s="113"/>
      <c r="HG701" s="46">
        <v>0</v>
      </c>
      <c r="HH701" s="113"/>
      <c r="HI701" s="113"/>
      <c r="HJ701" s="113"/>
      <c r="HK701" s="113"/>
      <c r="HL701" s="113"/>
      <c r="HM701" s="121"/>
      <c r="HN701" s="121"/>
      <c r="LM701" t="str">
        <v/>
      </c>
      <c r="LN701" t="str">
        <v/>
      </c>
      <c r="LO701" t="str">
        <v/>
      </c>
    </row>
    <row r="702" spans="30:327">
      <c r="AD702" t="s">
        <v>112</v>
      </c>
      <c r="AE702" t="s">
        <v>22885</v>
      </c>
      <c r="AF702" s="46">
        <v>0</v>
      </c>
      <c r="AG702" s="113"/>
      <c r="AH702" s="113"/>
      <c r="AI702" s="113"/>
      <c r="AJ702" s="113"/>
      <c r="AK702" s="113"/>
      <c r="AL702" s="46">
        <v>0</v>
      </c>
      <c r="AM702" s="113"/>
      <c r="AN702" s="113"/>
      <c r="AO702" s="113"/>
      <c r="AP702" s="113"/>
      <c r="AQ702" s="113"/>
      <c r="AR702" s="46">
        <v>0</v>
      </c>
      <c r="AS702" s="113"/>
      <c r="AT702" s="113"/>
      <c r="AU702" s="113"/>
      <c r="AV702" s="113"/>
      <c r="AW702" s="113"/>
      <c r="AX702" s="46">
        <v>0</v>
      </c>
      <c r="AY702" s="113"/>
      <c r="AZ702" s="113"/>
      <c r="BA702" s="113"/>
      <c r="BB702" s="113"/>
      <c r="BC702" s="113"/>
      <c r="BD702" s="46">
        <v>0</v>
      </c>
      <c r="BE702" s="113"/>
      <c r="BF702" s="113"/>
      <c r="BG702" s="113"/>
      <c r="BH702" s="113"/>
      <c r="BI702" s="113"/>
      <c r="BJ702" s="46">
        <v>0</v>
      </c>
      <c r="BK702" s="113"/>
      <c r="BL702" s="113"/>
      <c r="BM702" s="113"/>
      <c r="BN702" s="113"/>
      <c r="BO702" s="113"/>
      <c r="BP702" s="121"/>
      <c r="BQ702" s="121"/>
      <c r="GA702" t="s">
        <v>112</v>
      </c>
      <c r="GB702" t="s">
        <v>22885</v>
      </c>
      <c r="GC702" s="46">
        <v>0</v>
      </c>
      <c r="GD702" s="113"/>
      <c r="GE702" s="113"/>
      <c r="GF702" s="113"/>
      <c r="GG702" s="113"/>
      <c r="GH702" s="113"/>
      <c r="GI702" s="46">
        <v>0</v>
      </c>
      <c r="GJ702" s="113"/>
      <c r="GK702" s="113"/>
      <c r="GL702" s="113"/>
      <c r="GM702" s="113"/>
      <c r="GN702" s="113"/>
      <c r="GO702" s="46">
        <v>0</v>
      </c>
      <c r="GP702" s="113"/>
      <c r="GQ702" s="113"/>
      <c r="GR702" s="113"/>
      <c r="GS702" s="113"/>
      <c r="GT702" s="113"/>
      <c r="GU702" s="46">
        <v>0</v>
      </c>
      <c r="GV702" s="113"/>
      <c r="GW702" s="113"/>
      <c r="GX702" s="113"/>
      <c r="GY702" s="113"/>
      <c r="GZ702" s="113"/>
      <c r="HA702" s="46">
        <v>0</v>
      </c>
      <c r="HB702" s="113"/>
      <c r="HC702" s="113"/>
      <c r="HD702" s="113"/>
      <c r="HE702" s="113"/>
      <c r="HF702" s="113"/>
      <c r="HG702" s="46">
        <v>0</v>
      </c>
      <c r="HH702" s="113"/>
      <c r="HI702" s="113"/>
      <c r="HJ702" s="113"/>
      <c r="HK702" s="113"/>
      <c r="HL702" s="113"/>
      <c r="HM702" s="121"/>
      <c r="HN702" s="121"/>
      <c r="LM702" t="str">
        <v/>
      </c>
      <c r="LN702" t="str">
        <v/>
      </c>
      <c r="LO702" t="str">
        <v/>
      </c>
    </row>
    <row r="703" spans="30:327">
      <c r="AD703" t="s">
        <v>112</v>
      </c>
      <c r="AE703" t="s">
        <v>22886</v>
      </c>
      <c r="AF703" s="46">
        <v>0</v>
      </c>
      <c r="AG703" s="113"/>
      <c r="AH703" s="113"/>
      <c r="AI703" s="113"/>
      <c r="AJ703" s="113"/>
      <c r="AK703" s="113"/>
      <c r="AL703" s="46">
        <v>0</v>
      </c>
      <c r="AM703" s="113"/>
      <c r="AN703" s="113"/>
      <c r="AO703" s="113"/>
      <c r="AP703" s="113"/>
      <c r="AQ703" s="113"/>
      <c r="AR703" s="46">
        <v>0</v>
      </c>
      <c r="AS703" s="113"/>
      <c r="AT703" s="113"/>
      <c r="AU703" s="113"/>
      <c r="AV703" s="113"/>
      <c r="AW703" s="113"/>
      <c r="AX703" s="46">
        <v>0</v>
      </c>
      <c r="AY703" s="113"/>
      <c r="AZ703" s="113"/>
      <c r="BA703" s="113"/>
      <c r="BB703" s="113"/>
      <c r="BC703" s="113"/>
      <c r="BD703" s="46">
        <v>0</v>
      </c>
      <c r="BE703" s="113"/>
      <c r="BF703" s="113"/>
      <c r="BG703" s="113"/>
      <c r="BH703" s="113"/>
      <c r="BI703" s="113"/>
      <c r="BJ703" s="46">
        <v>0</v>
      </c>
      <c r="BK703" s="113"/>
      <c r="BL703" s="113"/>
      <c r="BM703" s="113"/>
      <c r="BN703" s="113"/>
      <c r="BO703" s="113"/>
      <c r="BP703" s="121"/>
      <c r="BQ703" s="121"/>
      <c r="GA703" t="s">
        <v>112</v>
      </c>
      <c r="GB703" t="s">
        <v>22886</v>
      </c>
      <c r="GC703" s="46">
        <v>0</v>
      </c>
      <c r="GD703" s="113"/>
      <c r="GE703" s="113"/>
      <c r="GF703" s="113"/>
      <c r="GG703" s="113"/>
      <c r="GH703" s="113"/>
      <c r="GI703" s="46">
        <v>0</v>
      </c>
      <c r="GJ703" s="113"/>
      <c r="GK703" s="113"/>
      <c r="GL703" s="113"/>
      <c r="GM703" s="113"/>
      <c r="GN703" s="113"/>
      <c r="GO703" s="46">
        <v>0</v>
      </c>
      <c r="GP703" s="113"/>
      <c r="GQ703" s="113"/>
      <c r="GR703" s="113"/>
      <c r="GS703" s="113"/>
      <c r="GT703" s="113"/>
      <c r="GU703" s="46">
        <v>0</v>
      </c>
      <c r="GV703" s="113"/>
      <c r="GW703" s="113"/>
      <c r="GX703" s="113"/>
      <c r="GY703" s="113"/>
      <c r="GZ703" s="113"/>
      <c r="HA703" s="46">
        <v>0</v>
      </c>
      <c r="HB703" s="113"/>
      <c r="HC703" s="113"/>
      <c r="HD703" s="113"/>
      <c r="HE703" s="113"/>
      <c r="HF703" s="113"/>
      <c r="HG703" s="46">
        <v>0</v>
      </c>
      <c r="HH703" s="113"/>
      <c r="HI703" s="113"/>
      <c r="HJ703" s="113"/>
      <c r="HK703" s="113"/>
      <c r="HL703" s="113"/>
      <c r="HM703" s="121"/>
      <c r="HN703" s="121"/>
      <c r="LM703" t="str">
        <v/>
      </c>
      <c r="LN703" t="str">
        <v/>
      </c>
      <c r="LO703" t="str">
        <v/>
      </c>
    </row>
    <row r="704" spans="30:327">
      <c r="AD704" t="s">
        <v>112</v>
      </c>
      <c r="AE704" t="s">
        <v>22887</v>
      </c>
      <c r="AF704" s="46">
        <v>0</v>
      </c>
      <c r="AG704" s="113"/>
      <c r="AH704" s="113"/>
      <c r="AI704" s="113"/>
      <c r="AJ704" s="113"/>
      <c r="AK704" s="113"/>
      <c r="AL704" s="46">
        <v>0</v>
      </c>
      <c r="AM704" s="113"/>
      <c r="AN704" s="113"/>
      <c r="AO704" s="113"/>
      <c r="AP704" s="113"/>
      <c r="AQ704" s="113"/>
      <c r="AR704" s="46">
        <v>0</v>
      </c>
      <c r="AS704" s="113"/>
      <c r="AT704" s="113"/>
      <c r="AU704" s="113"/>
      <c r="AV704" s="113"/>
      <c r="AW704" s="113"/>
      <c r="AX704" s="46">
        <v>0</v>
      </c>
      <c r="AY704" s="113"/>
      <c r="AZ704" s="113"/>
      <c r="BA704" s="113"/>
      <c r="BB704" s="113"/>
      <c r="BC704" s="113"/>
      <c r="BD704" s="46">
        <v>0</v>
      </c>
      <c r="BE704" s="113"/>
      <c r="BF704" s="113"/>
      <c r="BG704" s="113"/>
      <c r="BH704" s="113"/>
      <c r="BI704" s="113"/>
      <c r="BJ704" s="46">
        <v>0</v>
      </c>
      <c r="BK704" s="113"/>
      <c r="BL704" s="113"/>
      <c r="BM704" s="113"/>
      <c r="BN704" s="113"/>
      <c r="BO704" s="113"/>
      <c r="BP704" s="121"/>
      <c r="BQ704" s="121"/>
      <c r="GA704" t="s">
        <v>112</v>
      </c>
      <c r="GB704" t="s">
        <v>22887</v>
      </c>
      <c r="GC704" s="46">
        <v>0</v>
      </c>
      <c r="GD704" s="113"/>
      <c r="GE704" s="113"/>
      <c r="GF704" s="113"/>
      <c r="GG704" s="113"/>
      <c r="GH704" s="113"/>
      <c r="GI704" s="46">
        <v>0</v>
      </c>
      <c r="GJ704" s="113"/>
      <c r="GK704" s="113"/>
      <c r="GL704" s="113"/>
      <c r="GM704" s="113"/>
      <c r="GN704" s="113"/>
      <c r="GO704" s="46">
        <v>0</v>
      </c>
      <c r="GP704" s="113"/>
      <c r="GQ704" s="113"/>
      <c r="GR704" s="113"/>
      <c r="GS704" s="113"/>
      <c r="GT704" s="113"/>
      <c r="GU704" s="46">
        <v>0</v>
      </c>
      <c r="GV704" s="113"/>
      <c r="GW704" s="113"/>
      <c r="GX704" s="113"/>
      <c r="GY704" s="113"/>
      <c r="GZ704" s="113"/>
      <c r="HA704" s="46">
        <v>0</v>
      </c>
      <c r="HB704" s="113"/>
      <c r="HC704" s="113"/>
      <c r="HD704" s="113"/>
      <c r="HE704" s="113"/>
      <c r="HF704" s="113"/>
      <c r="HG704" s="46">
        <v>0</v>
      </c>
      <c r="HH704" s="113"/>
      <c r="HI704" s="113"/>
      <c r="HJ704" s="113"/>
      <c r="HK704" s="113"/>
      <c r="HL704" s="113"/>
      <c r="HM704" s="121"/>
      <c r="HN704" s="121"/>
      <c r="LM704" t="str">
        <v/>
      </c>
      <c r="LN704" t="str">
        <v/>
      </c>
      <c r="LO704" t="str">
        <v/>
      </c>
    </row>
    <row r="705" spans="30:327">
      <c r="AD705" t="s">
        <v>112</v>
      </c>
      <c r="AE705" t="s">
        <v>22888</v>
      </c>
      <c r="AF705" s="46">
        <v>0</v>
      </c>
      <c r="AG705" s="113"/>
      <c r="AH705" s="113"/>
      <c r="AI705" s="113"/>
      <c r="AJ705" s="113"/>
      <c r="AK705" s="113"/>
      <c r="AL705" s="46">
        <v>0</v>
      </c>
      <c r="AM705" s="113"/>
      <c r="AN705" s="113"/>
      <c r="AO705" s="113"/>
      <c r="AP705" s="113"/>
      <c r="AQ705" s="113"/>
      <c r="AR705" s="46">
        <v>0</v>
      </c>
      <c r="AS705" s="113"/>
      <c r="AT705" s="113"/>
      <c r="AU705" s="113"/>
      <c r="AV705" s="113"/>
      <c r="AW705" s="113"/>
      <c r="AX705" s="46">
        <v>0</v>
      </c>
      <c r="AY705" s="113"/>
      <c r="AZ705" s="113"/>
      <c r="BA705" s="113"/>
      <c r="BB705" s="113"/>
      <c r="BC705" s="113"/>
      <c r="BD705" s="46">
        <v>0</v>
      </c>
      <c r="BE705" s="113"/>
      <c r="BF705" s="113"/>
      <c r="BG705" s="113"/>
      <c r="BH705" s="113"/>
      <c r="BI705" s="113"/>
      <c r="BJ705" s="46">
        <v>0</v>
      </c>
      <c r="BK705" s="113"/>
      <c r="BL705" s="113"/>
      <c r="BM705" s="113"/>
      <c r="BN705" s="113"/>
      <c r="BO705" s="113"/>
      <c r="BP705" s="121"/>
      <c r="BQ705" s="121"/>
      <c r="GA705" t="s">
        <v>112</v>
      </c>
      <c r="GB705" t="s">
        <v>22888</v>
      </c>
      <c r="GC705" s="46">
        <v>0</v>
      </c>
      <c r="GD705" s="113"/>
      <c r="GE705" s="113"/>
      <c r="GF705" s="113"/>
      <c r="GG705" s="113"/>
      <c r="GH705" s="113"/>
      <c r="GI705" s="46">
        <v>0</v>
      </c>
      <c r="GJ705" s="113"/>
      <c r="GK705" s="113"/>
      <c r="GL705" s="113"/>
      <c r="GM705" s="113"/>
      <c r="GN705" s="113"/>
      <c r="GO705" s="46">
        <v>0</v>
      </c>
      <c r="GP705" s="113"/>
      <c r="GQ705" s="113"/>
      <c r="GR705" s="113"/>
      <c r="GS705" s="113"/>
      <c r="GT705" s="113"/>
      <c r="GU705" s="46">
        <v>0</v>
      </c>
      <c r="GV705" s="113"/>
      <c r="GW705" s="113"/>
      <c r="GX705" s="113"/>
      <c r="GY705" s="113"/>
      <c r="GZ705" s="113"/>
      <c r="HA705" s="46">
        <v>0</v>
      </c>
      <c r="HB705" s="113"/>
      <c r="HC705" s="113"/>
      <c r="HD705" s="113"/>
      <c r="HE705" s="113"/>
      <c r="HF705" s="113"/>
      <c r="HG705" s="46">
        <v>0</v>
      </c>
      <c r="HH705" s="113"/>
      <c r="HI705" s="113"/>
      <c r="HJ705" s="113"/>
      <c r="HK705" s="113"/>
      <c r="HL705" s="113"/>
      <c r="HM705" s="121"/>
      <c r="HN705" s="121"/>
      <c r="LM705" t="str">
        <v/>
      </c>
      <c r="LN705" t="str">
        <v/>
      </c>
      <c r="LO705" t="str">
        <v/>
      </c>
    </row>
    <row r="706" spans="30:327">
      <c r="AD706" t="s">
        <v>112</v>
      </c>
      <c r="AE706" t="s">
        <v>22889</v>
      </c>
      <c r="AF706" s="46">
        <v>0</v>
      </c>
      <c r="AG706" s="113"/>
      <c r="AH706" s="113"/>
      <c r="AI706" s="113"/>
      <c r="AJ706" s="113"/>
      <c r="AK706" s="113"/>
      <c r="AL706" s="46">
        <v>0</v>
      </c>
      <c r="AM706" s="113"/>
      <c r="AN706" s="113"/>
      <c r="AO706" s="113"/>
      <c r="AP706" s="113"/>
      <c r="AQ706" s="113"/>
      <c r="AR706" s="46">
        <v>0</v>
      </c>
      <c r="AS706" s="113"/>
      <c r="AT706" s="113"/>
      <c r="AU706" s="113"/>
      <c r="AV706" s="113"/>
      <c r="AW706" s="113"/>
      <c r="AX706" s="46">
        <v>0</v>
      </c>
      <c r="AY706" s="113"/>
      <c r="AZ706" s="113"/>
      <c r="BA706" s="113"/>
      <c r="BB706" s="113"/>
      <c r="BC706" s="113"/>
      <c r="BD706" s="46">
        <v>0</v>
      </c>
      <c r="BE706" s="113"/>
      <c r="BF706" s="113"/>
      <c r="BG706" s="113"/>
      <c r="BH706" s="113"/>
      <c r="BI706" s="113"/>
      <c r="BJ706" s="46">
        <v>0</v>
      </c>
      <c r="BK706" s="113"/>
      <c r="BL706" s="113"/>
      <c r="BM706" s="113"/>
      <c r="BN706" s="113"/>
      <c r="BO706" s="113"/>
      <c r="BP706" s="121"/>
      <c r="BQ706" s="121"/>
      <c r="GA706" t="s">
        <v>112</v>
      </c>
      <c r="GB706" t="s">
        <v>22889</v>
      </c>
      <c r="GC706" s="46">
        <v>0</v>
      </c>
      <c r="GD706" s="113"/>
      <c r="GE706" s="113"/>
      <c r="GF706" s="113"/>
      <c r="GG706" s="113"/>
      <c r="GH706" s="113"/>
      <c r="GI706" s="46">
        <v>0</v>
      </c>
      <c r="GJ706" s="113"/>
      <c r="GK706" s="113"/>
      <c r="GL706" s="113"/>
      <c r="GM706" s="113"/>
      <c r="GN706" s="113"/>
      <c r="GO706" s="46">
        <v>0</v>
      </c>
      <c r="GP706" s="113"/>
      <c r="GQ706" s="113"/>
      <c r="GR706" s="113"/>
      <c r="GS706" s="113"/>
      <c r="GT706" s="113"/>
      <c r="GU706" s="46">
        <v>0</v>
      </c>
      <c r="GV706" s="113"/>
      <c r="GW706" s="113"/>
      <c r="GX706" s="113"/>
      <c r="GY706" s="113"/>
      <c r="GZ706" s="113"/>
      <c r="HA706" s="46">
        <v>0</v>
      </c>
      <c r="HB706" s="113"/>
      <c r="HC706" s="113"/>
      <c r="HD706" s="113"/>
      <c r="HE706" s="113"/>
      <c r="HF706" s="113"/>
      <c r="HG706" s="46">
        <v>0</v>
      </c>
      <c r="HH706" s="113"/>
      <c r="HI706" s="113"/>
      <c r="HJ706" s="113"/>
      <c r="HK706" s="113"/>
      <c r="HL706" s="113"/>
      <c r="HM706" s="121"/>
      <c r="HN706" s="121"/>
      <c r="LM706" t="str">
        <v/>
      </c>
      <c r="LN706" t="str">
        <v/>
      </c>
      <c r="LO706" t="str">
        <v/>
      </c>
    </row>
    <row r="707" spans="30:327">
      <c r="AD707" t="s">
        <v>112</v>
      </c>
      <c r="AE707" t="s">
        <v>22890</v>
      </c>
      <c r="AF707" s="46">
        <v>0</v>
      </c>
      <c r="AG707" s="113"/>
      <c r="AH707" s="113"/>
      <c r="AI707" s="113"/>
      <c r="AJ707" s="113"/>
      <c r="AK707" s="113"/>
      <c r="AL707" s="46">
        <v>0</v>
      </c>
      <c r="AM707" s="113"/>
      <c r="AN707" s="113"/>
      <c r="AO707" s="113"/>
      <c r="AP707" s="113"/>
      <c r="AQ707" s="113"/>
      <c r="AR707" s="46">
        <v>0</v>
      </c>
      <c r="AS707" s="113"/>
      <c r="AT707" s="113"/>
      <c r="AU707" s="113"/>
      <c r="AV707" s="113"/>
      <c r="AW707" s="113"/>
      <c r="AX707" s="46">
        <v>0</v>
      </c>
      <c r="AY707" s="113"/>
      <c r="AZ707" s="113"/>
      <c r="BA707" s="113"/>
      <c r="BB707" s="113"/>
      <c r="BC707" s="113"/>
      <c r="BD707" s="46">
        <v>0</v>
      </c>
      <c r="BE707" s="113"/>
      <c r="BF707" s="113"/>
      <c r="BG707" s="113"/>
      <c r="BH707" s="113"/>
      <c r="BI707" s="113"/>
      <c r="BJ707" s="46">
        <v>0</v>
      </c>
      <c r="BK707" s="113"/>
      <c r="BL707" s="113"/>
      <c r="BM707" s="113"/>
      <c r="BN707" s="113"/>
      <c r="BO707" s="113"/>
      <c r="BP707" s="121"/>
      <c r="BQ707" s="121"/>
      <c r="GA707" t="s">
        <v>112</v>
      </c>
      <c r="GB707" t="s">
        <v>22890</v>
      </c>
      <c r="GC707" s="46">
        <v>0</v>
      </c>
      <c r="GD707" s="113"/>
      <c r="GE707" s="113"/>
      <c r="GF707" s="113"/>
      <c r="GG707" s="113"/>
      <c r="GH707" s="113"/>
      <c r="GI707" s="46">
        <v>0</v>
      </c>
      <c r="GJ707" s="113"/>
      <c r="GK707" s="113"/>
      <c r="GL707" s="113"/>
      <c r="GM707" s="113"/>
      <c r="GN707" s="113"/>
      <c r="GO707" s="46">
        <v>0</v>
      </c>
      <c r="GP707" s="113"/>
      <c r="GQ707" s="113"/>
      <c r="GR707" s="113"/>
      <c r="GS707" s="113"/>
      <c r="GT707" s="113"/>
      <c r="GU707" s="46">
        <v>0</v>
      </c>
      <c r="GV707" s="113"/>
      <c r="GW707" s="113"/>
      <c r="GX707" s="113"/>
      <c r="GY707" s="113"/>
      <c r="GZ707" s="113"/>
      <c r="HA707" s="46">
        <v>0</v>
      </c>
      <c r="HB707" s="113"/>
      <c r="HC707" s="113"/>
      <c r="HD707" s="113"/>
      <c r="HE707" s="113"/>
      <c r="HF707" s="113"/>
      <c r="HG707" s="46">
        <v>0</v>
      </c>
      <c r="HH707" s="113"/>
      <c r="HI707" s="113"/>
      <c r="HJ707" s="113"/>
      <c r="HK707" s="113"/>
      <c r="HL707" s="113"/>
      <c r="HM707" s="121"/>
      <c r="HN707" s="121"/>
      <c r="LM707" t="str">
        <v/>
      </c>
      <c r="LN707" t="str">
        <v/>
      </c>
      <c r="LO707" t="str">
        <v/>
      </c>
    </row>
    <row r="708" spans="30:327">
      <c r="AD708" t="s">
        <v>112</v>
      </c>
      <c r="AE708" t="s">
        <v>22891</v>
      </c>
      <c r="AF708" s="46">
        <v>0</v>
      </c>
      <c r="AG708" s="113"/>
      <c r="AH708" s="113"/>
      <c r="AI708" s="113"/>
      <c r="AJ708" s="113"/>
      <c r="AK708" s="113"/>
      <c r="AL708" s="46">
        <v>0</v>
      </c>
      <c r="AM708" s="113"/>
      <c r="AN708" s="113"/>
      <c r="AO708" s="113"/>
      <c r="AP708" s="113"/>
      <c r="AQ708" s="113"/>
      <c r="AR708" s="46">
        <v>0</v>
      </c>
      <c r="AS708" s="113"/>
      <c r="AT708" s="113"/>
      <c r="AU708" s="113"/>
      <c r="AV708" s="113"/>
      <c r="AW708" s="113"/>
      <c r="AX708" s="46">
        <v>0</v>
      </c>
      <c r="AY708" s="113"/>
      <c r="AZ708" s="113"/>
      <c r="BA708" s="113"/>
      <c r="BB708" s="113"/>
      <c r="BC708" s="113"/>
      <c r="BD708" s="46">
        <v>0</v>
      </c>
      <c r="BE708" s="113"/>
      <c r="BF708" s="113"/>
      <c r="BG708" s="113"/>
      <c r="BH708" s="113"/>
      <c r="BI708" s="113"/>
      <c r="BJ708" s="46">
        <v>0</v>
      </c>
      <c r="BK708" s="113"/>
      <c r="BL708" s="113"/>
      <c r="BM708" s="113"/>
      <c r="BN708" s="113"/>
      <c r="BO708" s="113"/>
      <c r="BP708" s="121"/>
      <c r="BQ708" s="121"/>
      <c r="GA708" t="s">
        <v>112</v>
      </c>
      <c r="GB708" t="s">
        <v>22891</v>
      </c>
      <c r="GC708" s="46">
        <v>0</v>
      </c>
      <c r="GD708" s="113"/>
      <c r="GE708" s="113"/>
      <c r="GF708" s="113"/>
      <c r="GG708" s="113"/>
      <c r="GH708" s="113"/>
      <c r="GI708" s="46">
        <v>0</v>
      </c>
      <c r="GJ708" s="113"/>
      <c r="GK708" s="113"/>
      <c r="GL708" s="113"/>
      <c r="GM708" s="113"/>
      <c r="GN708" s="113"/>
      <c r="GO708" s="46">
        <v>0</v>
      </c>
      <c r="GP708" s="113"/>
      <c r="GQ708" s="113"/>
      <c r="GR708" s="113"/>
      <c r="GS708" s="113"/>
      <c r="GT708" s="113"/>
      <c r="GU708" s="46">
        <v>0</v>
      </c>
      <c r="GV708" s="113"/>
      <c r="GW708" s="113"/>
      <c r="GX708" s="113"/>
      <c r="GY708" s="113"/>
      <c r="GZ708" s="113"/>
      <c r="HA708" s="46">
        <v>0</v>
      </c>
      <c r="HB708" s="113"/>
      <c r="HC708" s="113"/>
      <c r="HD708" s="113"/>
      <c r="HE708" s="113"/>
      <c r="HF708" s="113"/>
      <c r="HG708" s="46">
        <v>0</v>
      </c>
      <c r="HH708" s="113"/>
      <c r="HI708" s="113"/>
      <c r="HJ708" s="113"/>
      <c r="HK708" s="113"/>
      <c r="HL708" s="113"/>
      <c r="HM708" s="121"/>
      <c r="HN708" s="121"/>
      <c r="LM708" t="str">
        <v/>
      </c>
      <c r="LN708" t="str">
        <v/>
      </c>
      <c r="LO708" t="str">
        <v/>
      </c>
    </row>
    <row r="709" spans="30:327">
      <c r="AD709" t="s">
        <v>112</v>
      </c>
      <c r="AE709" t="s">
        <v>22892</v>
      </c>
      <c r="AF709" s="46">
        <v>0</v>
      </c>
      <c r="AG709" s="113"/>
      <c r="AH709" s="113"/>
      <c r="AI709" s="113"/>
      <c r="AJ709" s="113"/>
      <c r="AK709" s="113"/>
      <c r="AL709" s="46">
        <v>0</v>
      </c>
      <c r="AM709" s="113"/>
      <c r="AN709" s="113"/>
      <c r="AO709" s="113"/>
      <c r="AP709" s="113"/>
      <c r="AQ709" s="113"/>
      <c r="AR709" s="46">
        <v>0</v>
      </c>
      <c r="AS709" s="113"/>
      <c r="AT709" s="113"/>
      <c r="AU709" s="113"/>
      <c r="AV709" s="113"/>
      <c r="AW709" s="113"/>
      <c r="AX709" s="46">
        <v>0</v>
      </c>
      <c r="AY709" s="113"/>
      <c r="AZ709" s="113"/>
      <c r="BA709" s="113"/>
      <c r="BB709" s="113"/>
      <c r="BC709" s="113"/>
      <c r="BD709" s="46">
        <v>0</v>
      </c>
      <c r="BE709" s="113"/>
      <c r="BF709" s="113"/>
      <c r="BG709" s="113"/>
      <c r="BH709" s="113"/>
      <c r="BI709" s="113"/>
      <c r="BJ709" s="46">
        <v>0</v>
      </c>
      <c r="BK709" s="113"/>
      <c r="BL709" s="113"/>
      <c r="BM709" s="113"/>
      <c r="BN709" s="113"/>
      <c r="BO709" s="113"/>
      <c r="BP709" s="121"/>
      <c r="BQ709" s="121"/>
      <c r="GA709" t="s">
        <v>112</v>
      </c>
      <c r="GB709" t="s">
        <v>22892</v>
      </c>
      <c r="GC709" s="46">
        <v>0</v>
      </c>
      <c r="GD709" s="113"/>
      <c r="GE709" s="113"/>
      <c r="GF709" s="113"/>
      <c r="GG709" s="113"/>
      <c r="GH709" s="113"/>
      <c r="GI709" s="46">
        <v>0</v>
      </c>
      <c r="GJ709" s="113"/>
      <c r="GK709" s="113"/>
      <c r="GL709" s="113"/>
      <c r="GM709" s="113"/>
      <c r="GN709" s="113"/>
      <c r="GO709" s="46">
        <v>0</v>
      </c>
      <c r="GP709" s="113"/>
      <c r="GQ709" s="113"/>
      <c r="GR709" s="113"/>
      <c r="GS709" s="113"/>
      <c r="GT709" s="113"/>
      <c r="GU709" s="46">
        <v>0</v>
      </c>
      <c r="GV709" s="113"/>
      <c r="GW709" s="113"/>
      <c r="GX709" s="113"/>
      <c r="GY709" s="113"/>
      <c r="GZ709" s="113"/>
      <c r="HA709" s="46">
        <v>0</v>
      </c>
      <c r="HB709" s="113"/>
      <c r="HC709" s="113"/>
      <c r="HD709" s="113"/>
      <c r="HE709" s="113"/>
      <c r="HF709" s="113"/>
      <c r="HG709" s="46">
        <v>0</v>
      </c>
      <c r="HH709" s="113"/>
      <c r="HI709" s="113"/>
      <c r="HJ709" s="113"/>
      <c r="HK709" s="113"/>
      <c r="HL709" s="113"/>
      <c r="HM709" s="121"/>
      <c r="HN709" s="121"/>
      <c r="LM709" t="str">
        <v/>
      </c>
      <c r="LN709" t="str">
        <v/>
      </c>
      <c r="LO709" t="str">
        <v/>
      </c>
    </row>
    <row r="710" spans="30:327">
      <c r="AD710" t="s">
        <v>112</v>
      </c>
      <c r="AE710" t="s">
        <v>23177</v>
      </c>
      <c r="AF710" s="46">
        <v>0</v>
      </c>
      <c r="AG710" s="113"/>
      <c r="AH710" s="113"/>
      <c r="AI710" s="113"/>
      <c r="AJ710" s="113"/>
      <c r="AK710" s="113"/>
      <c r="AL710" s="46">
        <v>0</v>
      </c>
      <c r="AM710" s="113"/>
      <c r="AN710" s="113"/>
      <c r="AO710" s="113"/>
      <c r="AP710" s="113"/>
      <c r="AQ710" s="113"/>
      <c r="AR710" s="46">
        <v>0</v>
      </c>
      <c r="AS710" s="113"/>
      <c r="AT710" s="113"/>
      <c r="AU710" s="113"/>
      <c r="AV710" s="113"/>
      <c r="AW710" s="113"/>
      <c r="AX710" s="46">
        <v>0</v>
      </c>
      <c r="AY710" s="113"/>
      <c r="AZ710" s="113"/>
      <c r="BA710" s="113"/>
      <c r="BB710" s="113"/>
      <c r="BC710" s="113"/>
      <c r="BD710" s="46">
        <v>0</v>
      </c>
      <c r="BE710" s="113"/>
      <c r="BF710" s="113"/>
      <c r="BG710" s="113"/>
      <c r="BH710" s="113"/>
      <c r="BI710" s="113"/>
      <c r="BJ710" s="46">
        <v>0</v>
      </c>
      <c r="BK710" s="113"/>
      <c r="BL710" s="113"/>
      <c r="BM710" s="113"/>
      <c r="BN710" s="113"/>
      <c r="BO710" s="113"/>
      <c r="BP710" s="121"/>
      <c r="BQ710" s="121"/>
      <c r="GA710" t="s">
        <v>112</v>
      </c>
      <c r="GB710" t="s">
        <v>23177</v>
      </c>
      <c r="GC710" s="46">
        <v>0</v>
      </c>
      <c r="GD710" s="113"/>
      <c r="GE710" s="113"/>
      <c r="GF710" s="113"/>
      <c r="GG710" s="113"/>
      <c r="GH710" s="113"/>
      <c r="GI710" s="46">
        <v>0</v>
      </c>
      <c r="GJ710" s="113"/>
      <c r="GK710" s="113"/>
      <c r="GL710" s="113"/>
      <c r="GM710" s="113"/>
      <c r="GN710" s="113"/>
      <c r="GO710" s="46">
        <v>0</v>
      </c>
      <c r="GP710" s="113"/>
      <c r="GQ710" s="113"/>
      <c r="GR710" s="113"/>
      <c r="GS710" s="113"/>
      <c r="GT710" s="113"/>
      <c r="GU710" s="46">
        <v>0</v>
      </c>
      <c r="GV710" s="113"/>
      <c r="GW710" s="113"/>
      <c r="GX710" s="113"/>
      <c r="GY710" s="113"/>
      <c r="GZ710" s="113"/>
      <c r="HA710" s="46">
        <v>0</v>
      </c>
      <c r="HB710" s="113"/>
      <c r="HC710" s="113"/>
      <c r="HD710" s="113"/>
      <c r="HE710" s="113"/>
      <c r="HF710" s="113"/>
      <c r="HG710" s="46">
        <v>0</v>
      </c>
      <c r="HH710" s="113"/>
      <c r="HI710" s="113"/>
      <c r="HJ710" s="113"/>
      <c r="HK710" s="113"/>
      <c r="HL710" s="113"/>
      <c r="HM710" s="121"/>
      <c r="HN710" s="121"/>
      <c r="LM710" t="str">
        <v/>
      </c>
      <c r="LN710" t="str">
        <v/>
      </c>
      <c r="LO710" t="str">
        <v/>
      </c>
    </row>
    <row r="711" spans="30:327">
      <c r="AD711" t="s">
        <v>112</v>
      </c>
      <c r="AE711" t="s">
        <v>23178</v>
      </c>
      <c r="AF711" s="46">
        <v>0</v>
      </c>
      <c r="AG711" s="113"/>
      <c r="AH711" s="113"/>
      <c r="AI711" s="113"/>
      <c r="AJ711" s="113"/>
      <c r="AK711" s="113"/>
      <c r="AL711" s="46">
        <v>0</v>
      </c>
      <c r="AM711" s="113"/>
      <c r="AN711" s="113"/>
      <c r="AO711" s="113"/>
      <c r="AP711" s="113"/>
      <c r="AQ711" s="113"/>
      <c r="AR711" s="46">
        <v>0</v>
      </c>
      <c r="AS711" s="113"/>
      <c r="AT711" s="113"/>
      <c r="AU711" s="113"/>
      <c r="AV711" s="113"/>
      <c r="AW711" s="113"/>
      <c r="AX711" s="46">
        <v>0</v>
      </c>
      <c r="AY711" s="113"/>
      <c r="AZ711" s="113"/>
      <c r="BA711" s="113"/>
      <c r="BB711" s="113"/>
      <c r="BC711" s="113"/>
      <c r="BD711" s="46">
        <v>0</v>
      </c>
      <c r="BE711" s="113"/>
      <c r="BF711" s="113"/>
      <c r="BG711" s="113"/>
      <c r="BH711" s="113"/>
      <c r="BI711" s="113"/>
      <c r="BJ711" s="46">
        <v>0</v>
      </c>
      <c r="BK711" s="113"/>
      <c r="BL711" s="113"/>
      <c r="BM711" s="113"/>
      <c r="BN711" s="113"/>
      <c r="BO711" s="113"/>
      <c r="BP711" s="121"/>
      <c r="BQ711" s="121"/>
      <c r="GA711" t="s">
        <v>112</v>
      </c>
      <c r="GB711" t="s">
        <v>23178</v>
      </c>
      <c r="GC711" s="46">
        <v>0</v>
      </c>
      <c r="GD711" s="113"/>
      <c r="GE711" s="113"/>
      <c r="GF711" s="113"/>
      <c r="GG711" s="113"/>
      <c r="GH711" s="113"/>
      <c r="GI711" s="46">
        <v>0</v>
      </c>
      <c r="GJ711" s="113"/>
      <c r="GK711" s="113"/>
      <c r="GL711" s="113"/>
      <c r="GM711" s="113"/>
      <c r="GN711" s="113"/>
      <c r="GO711" s="46">
        <v>0</v>
      </c>
      <c r="GP711" s="113"/>
      <c r="GQ711" s="113"/>
      <c r="GR711" s="113"/>
      <c r="GS711" s="113"/>
      <c r="GT711" s="113"/>
      <c r="GU711" s="46">
        <v>0</v>
      </c>
      <c r="GV711" s="113"/>
      <c r="GW711" s="113"/>
      <c r="GX711" s="113"/>
      <c r="GY711" s="113"/>
      <c r="GZ711" s="113"/>
      <c r="HA711" s="46">
        <v>0</v>
      </c>
      <c r="HB711" s="113"/>
      <c r="HC711" s="113"/>
      <c r="HD711" s="113"/>
      <c r="HE711" s="113"/>
      <c r="HF711" s="113"/>
      <c r="HG711" s="46">
        <v>0</v>
      </c>
      <c r="HH711" s="113"/>
      <c r="HI711" s="113"/>
      <c r="HJ711" s="113"/>
      <c r="HK711" s="113"/>
      <c r="HL711" s="113"/>
      <c r="HM711" s="121"/>
      <c r="HN711" s="121"/>
      <c r="LM711" t="str">
        <v/>
      </c>
      <c r="LN711" t="str">
        <v/>
      </c>
      <c r="LO711" t="str">
        <v/>
      </c>
    </row>
    <row r="712" spans="30:327">
      <c r="AD712" t="s">
        <v>112</v>
      </c>
      <c r="AE712" t="s">
        <v>23179</v>
      </c>
      <c r="AF712" s="46">
        <v>0</v>
      </c>
      <c r="AG712" s="113"/>
      <c r="AH712" s="113"/>
      <c r="AI712" s="113"/>
      <c r="AJ712" s="113"/>
      <c r="AK712" s="113"/>
      <c r="AL712" s="46">
        <v>0</v>
      </c>
      <c r="AM712" s="113"/>
      <c r="AN712" s="113"/>
      <c r="AO712" s="113"/>
      <c r="AP712" s="113"/>
      <c r="AQ712" s="113"/>
      <c r="AR712" s="46">
        <v>0</v>
      </c>
      <c r="AS712" s="113"/>
      <c r="AT712" s="113"/>
      <c r="AU712" s="113"/>
      <c r="AV712" s="113"/>
      <c r="AW712" s="113"/>
      <c r="AX712" s="46">
        <v>0</v>
      </c>
      <c r="AY712" s="113"/>
      <c r="AZ712" s="113"/>
      <c r="BA712" s="113"/>
      <c r="BB712" s="113"/>
      <c r="BC712" s="113"/>
      <c r="BD712" s="46">
        <v>0</v>
      </c>
      <c r="BE712" s="113"/>
      <c r="BF712" s="113"/>
      <c r="BG712" s="113"/>
      <c r="BH712" s="113"/>
      <c r="BI712" s="113"/>
      <c r="BJ712" s="46">
        <v>0</v>
      </c>
      <c r="BK712" s="113"/>
      <c r="BL712" s="113"/>
      <c r="BM712" s="113"/>
      <c r="BN712" s="113"/>
      <c r="BO712" s="113"/>
      <c r="BP712" s="121"/>
      <c r="BQ712" s="121"/>
      <c r="GA712" t="s">
        <v>112</v>
      </c>
      <c r="GB712" t="s">
        <v>23179</v>
      </c>
      <c r="GC712" s="46">
        <v>0</v>
      </c>
      <c r="GD712" s="113"/>
      <c r="GE712" s="113"/>
      <c r="GF712" s="113"/>
      <c r="GG712" s="113"/>
      <c r="GH712" s="113"/>
      <c r="GI712" s="46">
        <v>0</v>
      </c>
      <c r="GJ712" s="113"/>
      <c r="GK712" s="113"/>
      <c r="GL712" s="113"/>
      <c r="GM712" s="113"/>
      <c r="GN712" s="113"/>
      <c r="GO712" s="46">
        <v>0</v>
      </c>
      <c r="GP712" s="113"/>
      <c r="GQ712" s="113"/>
      <c r="GR712" s="113"/>
      <c r="GS712" s="113"/>
      <c r="GT712" s="113"/>
      <c r="GU712" s="46">
        <v>0</v>
      </c>
      <c r="GV712" s="113"/>
      <c r="GW712" s="113"/>
      <c r="GX712" s="113"/>
      <c r="GY712" s="113"/>
      <c r="GZ712" s="113"/>
      <c r="HA712" s="46">
        <v>0</v>
      </c>
      <c r="HB712" s="113"/>
      <c r="HC712" s="113"/>
      <c r="HD712" s="113"/>
      <c r="HE712" s="113"/>
      <c r="HF712" s="113"/>
      <c r="HG712" s="46">
        <v>0</v>
      </c>
      <c r="HH712" s="113"/>
      <c r="HI712" s="113"/>
      <c r="HJ712" s="113"/>
      <c r="HK712" s="113"/>
      <c r="HL712" s="113"/>
      <c r="HM712" s="121"/>
      <c r="HN712" s="121"/>
      <c r="LM712" t="str">
        <v/>
      </c>
      <c r="LN712" t="str">
        <v/>
      </c>
      <c r="LO712" t="str">
        <v/>
      </c>
    </row>
    <row r="713" spans="30:327">
      <c r="AD713" t="s">
        <v>112</v>
      </c>
      <c r="AE713" t="s">
        <v>23180</v>
      </c>
      <c r="AF713" s="46">
        <v>0</v>
      </c>
      <c r="AG713" s="113"/>
      <c r="AH713" s="113"/>
      <c r="AI713" s="113"/>
      <c r="AJ713" s="113"/>
      <c r="AK713" s="113"/>
      <c r="AL713" s="46">
        <v>0</v>
      </c>
      <c r="AM713" s="113"/>
      <c r="AN713" s="113"/>
      <c r="AO713" s="113"/>
      <c r="AP713" s="113"/>
      <c r="AQ713" s="113"/>
      <c r="AR713" s="46">
        <v>0</v>
      </c>
      <c r="AS713" s="113"/>
      <c r="AT713" s="113"/>
      <c r="AU713" s="113"/>
      <c r="AV713" s="113"/>
      <c r="AW713" s="113"/>
      <c r="AX713" s="46">
        <v>0</v>
      </c>
      <c r="AY713" s="113"/>
      <c r="AZ713" s="113"/>
      <c r="BA713" s="113"/>
      <c r="BB713" s="113"/>
      <c r="BC713" s="113"/>
      <c r="BD713" s="46">
        <v>0</v>
      </c>
      <c r="BE713" s="113"/>
      <c r="BF713" s="113"/>
      <c r="BG713" s="113"/>
      <c r="BH713" s="113"/>
      <c r="BI713" s="113"/>
      <c r="BJ713" s="46">
        <v>0</v>
      </c>
      <c r="BK713" s="113"/>
      <c r="BL713" s="113"/>
      <c r="BM713" s="113"/>
      <c r="BN713" s="113"/>
      <c r="BO713" s="113"/>
      <c r="BP713" s="121"/>
      <c r="BQ713" s="121"/>
      <c r="GA713" t="s">
        <v>112</v>
      </c>
      <c r="GB713" t="s">
        <v>23180</v>
      </c>
      <c r="GC713" s="46">
        <v>0</v>
      </c>
      <c r="GD713" s="113"/>
      <c r="GE713" s="113"/>
      <c r="GF713" s="113"/>
      <c r="GG713" s="113"/>
      <c r="GH713" s="113"/>
      <c r="GI713" s="46">
        <v>0</v>
      </c>
      <c r="GJ713" s="113"/>
      <c r="GK713" s="113"/>
      <c r="GL713" s="113"/>
      <c r="GM713" s="113"/>
      <c r="GN713" s="113"/>
      <c r="GO713" s="46">
        <v>0</v>
      </c>
      <c r="GP713" s="113"/>
      <c r="GQ713" s="113"/>
      <c r="GR713" s="113"/>
      <c r="GS713" s="113"/>
      <c r="GT713" s="113"/>
      <c r="GU713" s="46">
        <v>0</v>
      </c>
      <c r="GV713" s="113"/>
      <c r="GW713" s="113"/>
      <c r="GX713" s="113"/>
      <c r="GY713" s="113"/>
      <c r="GZ713" s="113"/>
      <c r="HA713" s="46">
        <v>0</v>
      </c>
      <c r="HB713" s="113"/>
      <c r="HC713" s="113"/>
      <c r="HD713" s="113"/>
      <c r="HE713" s="113"/>
      <c r="HF713" s="113"/>
      <c r="HG713" s="46">
        <v>0</v>
      </c>
      <c r="HH713" s="113"/>
      <c r="HI713" s="113"/>
      <c r="HJ713" s="113"/>
      <c r="HK713" s="113"/>
      <c r="HL713" s="113"/>
      <c r="HM713" s="121"/>
      <c r="HN713" s="121"/>
      <c r="LM713" t="str">
        <v/>
      </c>
      <c r="LN713" t="str">
        <v/>
      </c>
      <c r="LO713" t="str">
        <v/>
      </c>
    </row>
    <row r="714" spans="30:327">
      <c r="AD714" t="s">
        <v>112</v>
      </c>
      <c r="AE714" t="s">
        <v>23181</v>
      </c>
      <c r="AF714" s="46">
        <v>0</v>
      </c>
      <c r="AG714" s="113"/>
      <c r="AH714" s="113"/>
      <c r="AI714" s="113"/>
      <c r="AJ714" s="113"/>
      <c r="AK714" s="113"/>
      <c r="AL714" s="46">
        <v>0</v>
      </c>
      <c r="AM714" s="113"/>
      <c r="AN714" s="113"/>
      <c r="AO714" s="113"/>
      <c r="AP714" s="113"/>
      <c r="AQ714" s="113"/>
      <c r="AR714" s="46">
        <v>0</v>
      </c>
      <c r="AS714" s="113"/>
      <c r="AT714" s="113"/>
      <c r="AU714" s="113"/>
      <c r="AV714" s="113"/>
      <c r="AW714" s="113"/>
      <c r="AX714" s="46">
        <v>0</v>
      </c>
      <c r="AY714" s="113"/>
      <c r="AZ714" s="113"/>
      <c r="BA714" s="113"/>
      <c r="BB714" s="113"/>
      <c r="BC714" s="113"/>
      <c r="BD714" s="46">
        <v>0</v>
      </c>
      <c r="BE714" s="113"/>
      <c r="BF714" s="113"/>
      <c r="BG714" s="113"/>
      <c r="BH714" s="113"/>
      <c r="BI714" s="113"/>
      <c r="BJ714" s="46">
        <v>0</v>
      </c>
      <c r="BK714" s="113"/>
      <c r="BL714" s="113"/>
      <c r="BM714" s="113"/>
      <c r="BN714" s="113"/>
      <c r="BO714" s="113"/>
      <c r="BP714" s="121"/>
      <c r="BQ714" s="121"/>
      <c r="GA714" t="s">
        <v>112</v>
      </c>
      <c r="GB714" t="s">
        <v>23181</v>
      </c>
      <c r="GC714" s="46">
        <v>0</v>
      </c>
      <c r="GD714" s="113"/>
      <c r="GE714" s="113"/>
      <c r="GF714" s="113"/>
      <c r="GG714" s="113"/>
      <c r="GH714" s="113"/>
      <c r="GI714" s="46">
        <v>0</v>
      </c>
      <c r="GJ714" s="113"/>
      <c r="GK714" s="113"/>
      <c r="GL714" s="113"/>
      <c r="GM714" s="113"/>
      <c r="GN714" s="113"/>
      <c r="GO714" s="46">
        <v>0</v>
      </c>
      <c r="GP714" s="113"/>
      <c r="GQ714" s="113"/>
      <c r="GR714" s="113"/>
      <c r="GS714" s="113"/>
      <c r="GT714" s="113"/>
      <c r="GU714" s="46">
        <v>0</v>
      </c>
      <c r="GV714" s="113"/>
      <c r="GW714" s="113"/>
      <c r="GX714" s="113"/>
      <c r="GY714" s="113"/>
      <c r="GZ714" s="113"/>
      <c r="HA714" s="46">
        <v>0</v>
      </c>
      <c r="HB714" s="113"/>
      <c r="HC714" s="113"/>
      <c r="HD714" s="113"/>
      <c r="HE714" s="113"/>
      <c r="HF714" s="113"/>
      <c r="HG714" s="46">
        <v>0</v>
      </c>
      <c r="HH714" s="113"/>
      <c r="HI714" s="113"/>
      <c r="HJ714" s="113"/>
      <c r="HK714" s="113"/>
      <c r="HL714" s="113"/>
      <c r="HM714" s="121"/>
      <c r="HN714" s="121"/>
      <c r="LM714" t="str">
        <v/>
      </c>
      <c r="LN714" t="str">
        <v/>
      </c>
      <c r="LO714" t="str">
        <v/>
      </c>
    </row>
    <row r="715" spans="30:327">
      <c r="AD715" t="s">
        <v>112</v>
      </c>
      <c r="AE715" t="s">
        <v>23182</v>
      </c>
      <c r="AF715" s="46">
        <v>0</v>
      </c>
      <c r="AG715" s="113"/>
      <c r="AH715" s="113"/>
      <c r="AI715" s="113"/>
      <c r="AJ715" s="113"/>
      <c r="AK715" s="113"/>
      <c r="AL715" s="46">
        <v>0</v>
      </c>
      <c r="AM715" s="113"/>
      <c r="AN715" s="113"/>
      <c r="AO715" s="113"/>
      <c r="AP715" s="113"/>
      <c r="AQ715" s="113"/>
      <c r="AR715" s="46">
        <v>0</v>
      </c>
      <c r="AS715" s="113"/>
      <c r="AT715" s="113"/>
      <c r="AU715" s="113"/>
      <c r="AV715" s="113"/>
      <c r="AW715" s="113"/>
      <c r="AX715" s="46">
        <v>0</v>
      </c>
      <c r="AY715" s="113"/>
      <c r="AZ715" s="113"/>
      <c r="BA715" s="113"/>
      <c r="BB715" s="113"/>
      <c r="BC715" s="113"/>
      <c r="BD715" s="46">
        <v>0</v>
      </c>
      <c r="BE715" s="113"/>
      <c r="BF715" s="113"/>
      <c r="BG715" s="113"/>
      <c r="BH715" s="113"/>
      <c r="BI715" s="113"/>
      <c r="BJ715" s="46">
        <v>0</v>
      </c>
      <c r="BK715" s="113"/>
      <c r="BL715" s="113"/>
      <c r="BM715" s="113"/>
      <c r="BN715" s="113"/>
      <c r="BO715" s="113"/>
      <c r="BP715" s="121"/>
      <c r="BQ715" s="121"/>
      <c r="GA715" t="s">
        <v>112</v>
      </c>
      <c r="GB715" t="s">
        <v>23182</v>
      </c>
      <c r="GC715" s="46">
        <v>0</v>
      </c>
      <c r="GD715" s="113"/>
      <c r="GE715" s="113"/>
      <c r="GF715" s="113"/>
      <c r="GG715" s="113"/>
      <c r="GH715" s="113"/>
      <c r="GI715" s="46">
        <v>0</v>
      </c>
      <c r="GJ715" s="113"/>
      <c r="GK715" s="113"/>
      <c r="GL715" s="113"/>
      <c r="GM715" s="113"/>
      <c r="GN715" s="113"/>
      <c r="GO715" s="46">
        <v>0</v>
      </c>
      <c r="GP715" s="113"/>
      <c r="GQ715" s="113"/>
      <c r="GR715" s="113"/>
      <c r="GS715" s="113"/>
      <c r="GT715" s="113"/>
      <c r="GU715" s="46">
        <v>0</v>
      </c>
      <c r="GV715" s="113"/>
      <c r="GW715" s="113"/>
      <c r="GX715" s="113"/>
      <c r="GY715" s="113"/>
      <c r="GZ715" s="113"/>
      <c r="HA715" s="46">
        <v>0</v>
      </c>
      <c r="HB715" s="113"/>
      <c r="HC715" s="113"/>
      <c r="HD715" s="113"/>
      <c r="HE715" s="113"/>
      <c r="HF715" s="113"/>
      <c r="HG715" s="46">
        <v>0</v>
      </c>
      <c r="HH715" s="113"/>
      <c r="HI715" s="113"/>
      <c r="HJ715" s="113"/>
      <c r="HK715" s="113"/>
      <c r="HL715" s="113"/>
      <c r="HM715" s="121"/>
      <c r="HN715" s="121"/>
      <c r="LM715" t="str">
        <v/>
      </c>
      <c r="LN715" t="str">
        <v/>
      </c>
      <c r="LO715" t="str">
        <v/>
      </c>
    </row>
    <row r="716" spans="30:327">
      <c r="AD716" t="s">
        <v>112</v>
      </c>
      <c r="AE716" t="s">
        <v>23183</v>
      </c>
      <c r="AF716" s="46">
        <v>0</v>
      </c>
      <c r="AG716" s="113"/>
      <c r="AH716" s="113"/>
      <c r="AI716" s="113"/>
      <c r="AJ716" s="113"/>
      <c r="AK716" s="113"/>
      <c r="AL716" s="46">
        <v>0</v>
      </c>
      <c r="AM716" s="113"/>
      <c r="AN716" s="113"/>
      <c r="AO716" s="113"/>
      <c r="AP716" s="113"/>
      <c r="AQ716" s="113"/>
      <c r="AR716" s="46">
        <v>0</v>
      </c>
      <c r="AS716" s="113"/>
      <c r="AT716" s="113"/>
      <c r="AU716" s="113"/>
      <c r="AV716" s="113"/>
      <c r="AW716" s="113"/>
      <c r="AX716" s="46">
        <v>0</v>
      </c>
      <c r="AY716" s="113"/>
      <c r="AZ716" s="113"/>
      <c r="BA716" s="113"/>
      <c r="BB716" s="113"/>
      <c r="BC716" s="113"/>
      <c r="BD716" s="46">
        <v>0</v>
      </c>
      <c r="BE716" s="113"/>
      <c r="BF716" s="113"/>
      <c r="BG716" s="113"/>
      <c r="BH716" s="113"/>
      <c r="BI716" s="113"/>
      <c r="BJ716" s="46">
        <v>0</v>
      </c>
      <c r="BK716" s="113"/>
      <c r="BL716" s="113"/>
      <c r="BM716" s="113"/>
      <c r="BN716" s="113"/>
      <c r="BO716" s="113"/>
      <c r="BP716" s="121"/>
      <c r="BQ716" s="121"/>
      <c r="GA716" t="s">
        <v>112</v>
      </c>
      <c r="GB716" t="s">
        <v>23183</v>
      </c>
      <c r="GC716" s="46">
        <v>0</v>
      </c>
      <c r="GD716" s="113"/>
      <c r="GE716" s="113"/>
      <c r="GF716" s="113"/>
      <c r="GG716" s="113"/>
      <c r="GH716" s="113"/>
      <c r="GI716" s="46">
        <v>0</v>
      </c>
      <c r="GJ716" s="113"/>
      <c r="GK716" s="113"/>
      <c r="GL716" s="113"/>
      <c r="GM716" s="113"/>
      <c r="GN716" s="113"/>
      <c r="GO716" s="46">
        <v>0</v>
      </c>
      <c r="GP716" s="113"/>
      <c r="GQ716" s="113"/>
      <c r="GR716" s="113"/>
      <c r="GS716" s="113"/>
      <c r="GT716" s="113"/>
      <c r="GU716" s="46">
        <v>0</v>
      </c>
      <c r="GV716" s="113"/>
      <c r="GW716" s="113"/>
      <c r="GX716" s="113"/>
      <c r="GY716" s="113"/>
      <c r="GZ716" s="113"/>
      <c r="HA716" s="46">
        <v>0</v>
      </c>
      <c r="HB716" s="113"/>
      <c r="HC716" s="113"/>
      <c r="HD716" s="113"/>
      <c r="HE716" s="113"/>
      <c r="HF716" s="113"/>
      <c r="HG716" s="46">
        <v>0</v>
      </c>
      <c r="HH716" s="113"/>
      <c r="HI716" s="113"/>
      <c r="HJ716" s="113"/>
      <c r="HK716" s="113"/>
      <c r="HL716" s="113"/>
      <c r="HM716" s="121"/>
      <c r="HN716" s="121"/>
      <c r="LM716" t="str">
        <v/>
      </c>
      <c r="LN716" t="str">
        <v/>
      </c>
      <c r="LO716" t="str">
        <v/>
      </c>
    </row>
    <row r="717" spans="30:327">
      <c r="AD717" t="s">
        <v>112</v>
      </c>
      <c r="AE717" t="s">
        <v>23184</v>
      </c>
      <c r="AF717" s="46">
        <v>0</v>
      </c>
      <c r="AG717" s="113"/>
      <c r="AH717" s="113"/>
      <c r="AI717" s="113"/>
      <c r="AJ717" s="113"/>
      <c r="AK717" s="113"/>
      <c r="AL717" s="46">
        <v>0</v>
      </c>
      <c r="AM717" s="113"/>
      <c r="AN717" s="113"/>
      <c r="AO717" s="113"/>
      <c r="AP717" s="113"/>
      <c r="AQ717" s="113"/>
      <c r="AR717" s="46">
        <v>0</v>
      </c>
      <c r="AS717" s="113"/>
      <c r="AT717" s="113"/>
      <c r="AU717" s="113"/>
      <c r="AV717" s="113"/>
      <c r="AW717" s="113"/>
      <c r="AX717" s="46">
        <v>0</v>
      </c>
      <c r="AY717" s="113"/>
      <c r="AZ717" s="113"/>
      <c r="BA717" s="113"/>
      <c r="BB717" s="113"/>
      <c r="BC717" s="113"/>
      <c r="BD717" s="46">
        <v>0</v>
      </c>
      <c r="BE717" s="113"/>
      <c r="BF717" s="113"/>
      <c r="BG717" s="113"/>
      <c r="BH717" s="113"/>
      <c r="BI717" s="113"/>
      <c r="BJ717" s="46">
        <v>0</v>
      </c>
      <c r="BK717" s="113"/>
      <c r="BL717" s="113"/>
      <c r="BM717" s="113"/>
      <c r="BN717" s="113"/>
      <c r="BO717" s="113"/>
      <c r="BP717" s="121"/>
      <c r="BQ717" s="121"/>
      <c r="GA717" t="s">
        <v>112</v>
      </c>
      <c r="GB717" t="s">
        <v>23184</v>
      </c>
      <c r="GC717" s="46">
        <v>0</v>
      </c>
      <c r="GD717" s="113"/>
      <c r="GE717" s="113"/>
      <c r="GF717" s="113"/>
      <c r="GG717" s="113"/>
      <c r="GH717" s="113"/>
      <c r="GI717" s="46">
        <v>0</v>
      </c>
      <c r="GJ717" s="113"/>
      <c r="GK717" s="113"/>
      <c r="GL717" s="113"/>
      <c r="GM717" s="113"/>
      <c r="GN717" s="113"/>
      <c r="GO717" s="46">
        <v>0</v>
      </c>
      <c r="GP717" s="113"/>
      <c r="GQ717" s="113"/>
      <c r="GR717" s="113"/>
      <c r="GS717" s="113"/>
      <c r="GT717" s="113"/>
      <c r="GU717" s="46">
        <v>0</v>
      </c>
      <c r="GV717" s="113"/>
      <c r="GW717" s="113"/>
      <c r="GX717" s="113"/>
      <c r="GY717" s="113"/>
      <c r="GZ717" s="113"/>
      <c r="HA717" s="46">
        <v>0</v>
      </c>
      <c r="HB717" s="113"/>
      <c r="HC717" s="113"/>
      <c r="HD717" s="113"/>
      <c r="HE717" s="113"/>
      <c r="HF717" s="113"/>
      <c r="HG717" s="46">
        <v>0</v>
      </c>
      <c r="HH717" s="113"/>
      <c r="HI717" s="113"/>
      <c r="HJ717" s="113"/>
      <c r="HK717" s="113"/>
      <c r="HL717" s="113"/>
      <c r="HM717" s="121"/>
      <c r="HN717" s="121"/>
      <c r="LM717" t="str">
        <v/>
      </c>
      <c r="LN717" t="str">
        <v/>
      </c>
      <c r="LO717" t="str">
        <v/>
      </c>
    </row>
    <row r="718" spans="30:327">
      <c r="AD718" t="s">
        <v>112</v>
      </c>
      <c r="AE718" t="s">
        <v>23185</v>
      </c>
      <c r="AF718" s="46">
        <v>0</v>
      </c>
      <c r="AG718" s="113"/>
      <c r="AH718" s="113"/>
      <c r="AI718" s="113"/>
      <c r="AJ718" s="113"/>
      <c r="AK718" s="113"/>
      <c r="AL718" s="46">
        <v>0</v>
      </c>
      <c r="AM718" s="113"/>
      <c r="AN718" s="113"/>
      <c r="AO718" s="113"/>
      <c r="AP718" s="113"/>
      <c r="AQ718" s="113"/>
      <c r="AR718" s="46">
        <v>0</v>
      </c>
      <c r="AS718" s="113"/>
      <c r="AT718" s="113"/>
      <c r="AU718" s="113"/>
      <c r="AV718" s="113"/>
      <c r="AW718" s="113"/>
      <c r="AX718" s="46">
        <v>0</v>
      </c>
      <c r="AY718" s="113"/>
      <c r="AZ718" s="113"/>
      <c r="BA718" s="113"/>
      <c r="BB718" s="113"/>
      <c r="BC718" s="113"/>
      <c r="BD718" s="46">
        <v>0</v>
      </c>
      <c r="BE718" s="113"/>
      <c r="BF718" s="113"/>
      <c r="BG718" s="113"/>
      <c r="BH718" s="113"/>
      <c r="BI718" s="113"/>
      <c r="BJ718" s="46">
        <v>0</v>
      </c>
      <c r="BK718" s="113"/>
      <c r="BL718" s="113"/>
      <c r="BM718" s="113"/>
      <c r="BN718" s="113"/>
      <c r="BO718" s="113"/>
      <c r="BP718" s="121"/>
      <c r="BQ718" s="121"/>
      <c r="GA718" t="s">
        <v>112</v>
      </c>
      <c r="GB718" t="s">
        <v>23185</v>
      </c>
      <c r="GC718" s="46">
        <v>0</v>
      </c>
      <c r="GD718" s="113"/>
      <c r="GE718" s="113"/>
      <c r="GF718" s="113"/>
      <c r="GG718" s="113"/>
      <c r="GH718" s="113"/>
      <c r="GI718" s="46">
        <v>0</v>
      </c>
      <c r="GJ718" s="113"/>
      <c r="GK718" s="113"/>
      <c r="GL718" s="113"/>
      <c r="GM718" s="113"/>
      <c r="GN718" s="113"/>
      <c r="GO718" s="46">
        <v>0</v>
      </c>
      <c r="GP718" s="113"/>
      <c r="GQ718" s="113"/>
      <c r="GR718" s="113"/>
      <c r="GS718" s="113"/>
      <c r="GT718" s="113"/>
      <c r="GU718" s="46">
        <v>0</v>
      </c>
      <c r="GV718" s="113"/>
      <c r="GW718" s="113"/>
      <c r="GX718" s="113"/>
      <c r="GY718" s="113"/>
      <c r="GZ718" s="113"/>
      <c r="HA718" s="46">
        <v>0</v>
      </c>
      <c r="HB718" s="113"/>
      <c r="HC718" s="113"/>
      <c r="HD718" s="113"/>
      <c r="HE718" s="113"/>
      <c r="HF718" s="113"/>
      <c r="HG718" s="46">
        <v>0</v>
      </c>
      <c r="HH718" s="113"/>
      <c r="HI718" s="113"/>
      <c r="HJ718" s="113"/>
      <c r="HK718" s="113"/>
      <c r="HL718" s="113"/>
      <c r="HM718" s="121"/>
      <c r="HN718" s="121"/>
      <c r="LM718" t="str">
        <v/>
      </c>
      <c r="LN718" t="str">
        <v/>
      </c>
      <c r="LO718" t="str">
        <v/>
      </c>
    </row>
    <row r="719" spans="30:327">
      <c r="AD719" t="s">
        <v>112</v>
      </c>
      <c r="AE719" t="s">
        <v>23186</v>
      </c>
      <c r="AF719" s="46">
        <v>0</v>
      </c>
      <c r="AG719" s="113"/>
      <c r="AH719" s="113"/>
      <c r="AI719" s="113"/>
      <c r="AJ719" s="113"/>
      <c r="AK719" s="113"/>
      <c r="AL719" s="46">
        <v>0</v>
      </c>
      <c r="AM719" s="113"/>
      <c r="AN719" s="113"/>
      <c r="AO719" s="113"/>
      <c r="AP719" s="113"/>
      <c r="AQ719" s="113"/>
      <c r="AR719" s="46">
        <v>0</v>
      </c>
      <c r="AS719" s="113"/>
      <c r="AT719" s="113"/>
      <c r="AU719" s="113"/>
      <c r="AV719" s="113"/>
      <c r="AW719" s="113"/>
      <c r="AX719" s="46">
        <v>0</v>
      </c>
      <c r="AY719" s="113"/>
      <c r="AZ719" s="113"/>
      <c r="BA719" s="113"/>
      <c r="BB719" s="113"/>
      <c r="BC719" s="113"/>
      <c r="BD719" s="46">
        <v>0</v>
      </c>
      <c r="BE719" s="113"/>
      <c r="BF719" s="113"/>
      <c r="BG719" s="113"/>
      <c r="BH719" s="113"/>
      <c r="BI719" s="113"/>
      <c r="BJ719" s="46">
        <v>0</v>
      </c>
      <c r="BK719" s="113"/>
      <c r="BL719" s="113"/>
      <c r="BM719" s="113"/>
      <c r="BN719" s="113"/>
      <c r="BO719" s="113"/>
      <c r="BP719" s="121"/>
      <c r="BQ719" s="121"/>
      <c r="GA719" t="s">
        <v>112</v>
      </c>
      <c r="GB719" t="s">
        <v>23186</v>
      </c>
      <c r="GC719" s="46">
        <v>0</v>
      </c>
      <c r="GD719" s="113"/>
      <c r="GE719" s="113"/>
      <c r="GF719" s="113"/>
      <c r="GG719" s="113"/>
      <c r="GH719" s="113"/>
      <c r="GI719" s="46">
        <v>0</v>
      </c>
      <c r="GJ719" s="113"/>
      <c r="GK719" s="113"/>
      <c r="GL719" s="113"/>
      <c r="GM719" s="113"/>
      <c r="GN719" s="113"/>
      <c r="GO719" s="46">
        <v>0</v>
      </c>
      <c r="GP719" s="113"/>
      <c r="GQ719" s="113"/>
      <c r="GR719" s="113"/>
      <c r="GS719" s="113"/>
      <c r="GT719" s="113"/>
      <c r="GU719" s="46">
        <v>0</v>
      </c>
      <c r="GV719" s="113"/>
      <c r="GW719" s="113"/>
      <c r="GX719" s="113"/>
      <c r="GY719" s="113"/>
      <c r="GZ719" s="113"/>
      <c r="HA719" s="46">
        <v>0</v>
      </c>
      <c r="HB719" s="113"/>
      <c r="HC719" s="113"/>
      <c r="HD719" s="113"/>
      <c r="HE719" s="113"/>
      <c r="HF719" s="113"/>
      <c r="HG719" s="46">
        <v>0</v>
      </c>
      <c r="HH719" s="113"/>
      <c r="HI719" s="113"/>
      <c r="HJ719" s="113"/>
      <c r="HK719" s="113"/>
      <c r="HL719" s="113"/>
      <c r="HM719" s="121"/>
      <c r="HN719" s="121"/>
      <c r="LM719" t="str">
        <v/>
      </c>
      <c r="LN719" t="str">
        <v/>
      </c>
      <c r="LO719" t="str">
        <v/>
      </c>
    </row>
    <row r="720" spans="30:327">
      <c r="AD720" t="s">
        <v>112</v>
      </c>
      <c r="AE720" t="s">
        <v>23187</v>
      </c>
      <c r="AF720" s="46">
        <v>0</v>
      </c>
      <c r="AG720" s="113"/>
      <c r="AH720" s="113"/>
      <c r="AI720" s="113"/>
      <c r="AJ720" s="113"/>
      <c r="AK720" s="113"/>
      <c r="AL720" s="46">
        <v>0</v>
      </c>
      <c r="AM720" s="113"/>
      <c r="AN720" s="113"/>
      <c r="AO720" s="113"/>
      <c r="AP720" s="113"/>
      <c r="AQ720" s="113"/>
      <c r="AR720" s="46">
        <v>0</v>
      </c>
      <c r="AS720" s="113"/>
      <c r="AT720" s="113"/>
      <c r="AU720" s="113"/>
      <c r="AV720" s="113"/>
      <c r="AW720" s="113"/>
      <c r="AX720" s="46">
        <v>0</v>
      </c>
      <c r="AY720" s="113"/>
      <c r="AZ720" s="113"/>
      <c r="BA720" s="113"/>
      <c r="BB720" s="113"/>
      <c r="BC720" s="113"/>
      <c r="BD720" s="46">
        <v>0</v>
      </c>
      <c r="BE720" s="113"/>
      <c r="BF720" s="113"/>
      <c r="BG720" s="113"/>
      <c r="BH720" s="113"/>
      <c r="BI720" s="113"/>
      <c r="BJ720" s="46">
        <v>0</v>
      </c>
      <c r="BK720" s="113"/>
      <c r="BL720" s="113"/>
      <c r="BM720" s="113"/>
      <c r="BN720" s="113"/>
      <c r="BO720" s="113"/>
      <c r="BP720" s="121"/>
      <c r="BQ720" s="121"/>
      <c r="GA720" t="s">
        <v>112</v>
      </c>
      <c r="GB720" t="s">
        <v>23187</v>
      </c>
      <c r="GC720" s="46">
        <v>0</v>
      </c>
      <c r="GD720" s="113"/>
      <c r="GE720" s="113"/>
      <c r="GF720" s="113"/>
      <c r="GG720" s="113"/>
      <c r="GH720" s="113"/>
      <c r="GI720" s="46">
        <v>0</v>
      </c>
      <c r="GJ720" s="113"/>
      <c r="GK720" s="113"/>
      <c r="GL720" s="113"/>
      <c r="GM720" s="113"/>
      <c r="GN720" s="113"/>
      <c r="GO720" s="46">
        <v>0</v>
      </c>
      <c r="GP720" s="113"/>
      <c r="GQ720" s="113"/>
      <c r="GR720" s="113"/>
      <c r="GS720" s="113"/>
      <c r="GT720" s="113"/>
      <c r="GU720" s="46">
        <v>0</v>
      </c>
      <c r="GV720" s="113"/>
      <c r="GW720" s="113"/>
      <c r="GX720" s="113"/>
      <c r="GY720" s="113"/>
      <c r="GZ720" s="113"/>
      <c r="HA720" s="46">
        <v>0</v>
      </c>
      <c r="HB720" s="113"/>
      <c r="HC720" s="113"/>
      <c r="HD720" s="113"/>
      <c r="HE720" s="113"/>
      <c r="HF720" s="113"/>
      <c r="HG720" s="46">
        <v>0</v>
      </c>
      <c r="HH720" s="113"/>
      <c r="HI720" s="113"/>
      <c r="HJ720" s="113"/>
      <c r="HK720" s="113"/>
      <c r="HL720" s="113"/>
      <c r="HM720" s="121"/>
      <c r="HN720" s="121"/>
      <c r="LM720" t="str">
        <v/>
      </c>
      <c r="LN720" t="str">
        <v/>
      </c>
      <c r="LO720" t="str">
        <v/>
      </c>
    </row>
    <row r="721" spans="30:327">
      <c r="AD721" t="s">
        <v>112</v>
      </c>
      <c r="AE721" t="s">
        <v>23188</v>
      </c>
      <c r="AF721" s="46">
        <v>0</v>
      </c>
      <c r="AG721" s="113"/>
      <c r="AH721" s="113"/>
      <c r="AI721" s="113"/>
      <c r="AJ721" s="113"/>
      <c r="AK721" s="113"/>
      <c r="AL721" s="46">
        <v>0</v>
      </c>
      <c r="AM721" s="113"/>
      <c r="AN721" s="113"/>
      <c r="AO721" s="113"/>
      <c r="AP721" s="113"/>
      <c r="AQ721" s="113"/>
      <c r="AR721" s="46">
        <v>0</v>
      </c>
      <c r="AS721" s="113"/>
      <c r="AT721" s="113"/>
      <c r="AU721" s="113"/>
      <c r="AV721" s="113"/>
      <c r="AW721" s="113"/>
      <c r="AX721" s="46">
        <v>0</v>
      </c>
      <c r="AY721" s="113"/>
      <c r="AZ721" s="113"/>
      <c r="BA721" s="113"/>
      <c r="BB721" s="113"/>
      <c r="BC721" s="113"/>
      <c r="BD721" s="46">
        <v>0</v>
      </c>
      <c r="BE721" s="113"/>
      <c r="BF721" s="113"/>
      <c r="BG721" s="113"/>
      <c r="BH721" s="113"/>
      <c r="BI721" s="113"/>
      <c r="BJ721" s="46">
        <v>0</v>
      </c>
      <c r="BK721" s="113"/>
      <c r="BL721" s="113"/>
      <c r="BM721" s="113"/>
      <c r="BN721" s="113"/>
      <c r="BO721" s="113"/>
      <c r="BP721" s="121"/>
      <c r="BQ721" s="121"/>
      <c r="GA721" t="s">
        <v>112</v>
      </c>
      <c r="GB721" t="s">
        <v>23188</v>
      </c>
      <c r="GC721" s="46">
        <v>0</v>
      </c>
      <c r="GD721" s="113"/>
      <c r="GE721" s="113"/>
      <c r="GF721" s="113"/>
      <c r="GG721" s="113"/>
      <c r="GH721" s="113"/>
      <c r="GI721" s="46">
        <v>0</v>
      </c>
      <c r="GJ721" s="113"/>
      <c r="GK721" s="113"/>
      <c r="GL721" s="113"/>
      <c r="GM721" s="113"/>
      <c r="GN721" s="113"/>
      <c r="GO721" s="46">
        <v>0</v>
      </c>
      <c r="GP721" s="113"/>
      <c r="GQ721" s="113"/>
      <c r="GR721" s="113"/>
      <c r="GS721" s="113"/>
      <c r="GT721" s="113"/>
      <c r="GU721" s="46">
        <v>0</v>
      </c>
      <c r="GV721" s="113"/>
      <c r="GW721" s="113"/>
      <c r="GX721" s="113"/>
      <c r="GY721" s="113"/>
      <c r="GZ721" s="113"/>
      <c r="HA721" s="46">
        <v>0</v>
      </c>
      <c r="HB721" s="113"/>
      <c r="HC721" s="113"/>
      <c r="HD721" s="113"/>
      <c r="HE721" s="113"/>
      <c r="HF721" s="113"/>
      <c r="HG721" s="46">
        <v>0</v>
      </c>
      <c r="HH721" s="113"/>
      <c r="HI721" s="113"/>
      <c r="HJ721" s="113"/>
      <c r="HK721" s="113"/>
      <c r="HL721" s="113"/>
      <c r="HM721" s="121"/>
      <c r="HN721" s="121"/>
      <c r="LM721" t="str">
        <v/>
      </c>
      <c r="LN721" t="str">
        <v/>
      </c>
      <c r="LO721" t="str">
        <v/>
      </c>
    </row>
    <row r="722" spans="30:327">
      <c r="AD722" t="s">
        <v>112</v>
      </c>
      <c r="AE722" t="s">
        <v>23189</v>
      </c>
      <c r="AF722" s="46">
        <v>0</v>
      </c>
      <c r="AG722" s="113"/>
      <c r="AH722" s="113"/>
      <c r="AI722" s="113"/>
      <c r="AJ722" s="113"/>
      <c r="AK722" s="113"/>
      <c r="AL722" s="46">
        <v>0</v>
      </c>
      <c r="AM722" s="113"/>
      <c r="AN722" s="113"/>
      <c r="AO722" s="113"/>
      <c r="AP722" s="113"/>
      <c r="AQ722" s="113"/>
      <c r="AR722" s="46">
        <v>0</v>
      </c>
      <c r="AS722" s="113"/>
      <c r="AT722" s="113"/>
      <c r="AU722" s="113"/>
      <c r="AV722" s="113"/>
      <c r="AW722" s="113"/>
      <c r="AX722" s="46">
        <v>0</v>
      </c>
      <c r="AY722" s="113"/>
      <c r="AZ722" s="113"/>
      <c r="BA722" s="113"/>
      <c r="BB722" s="113"/>
      <c r="BC722" s="113"/>
      <c r="BD722" s="46">
        <v>0</v>
      </c>
      <c r="BE722" s="113"/>
      <c r="BF722" s="113"/>
      <c r="BG722" s="113"/>
      <c r="BH722" s="113"/>
      <c r="BI722" s="113"/>
      <c r="BJ722" s="46">
        <v>0</v>
      </c>
      <c r="BK722" s="113"/>
      <c r="BL722" s="113"/>
      <c r="BM722" s="113"/>
      <c r="BN722" s="113"/>
      <c r="BO722" s="113"/>
      <c r="BP722" s="121"/>
      <c r="BQ722" s="121"/>
      <c r="GA722" t="s">
        <v>112</v>
      </c>
      <c r="GB722" t="s">
        <v>23189</v>
      </c>
      <c r="GC722" s="46">
        <v>0</v>
      </c>
      <c r="GD722" s="113"/>
      <c r="GE722" s="113"/>
      <c r="GF722" s="113"/>
      <c r="GG722" s="113"/>
      <c r="GH722" s="113"/>
      <c r="GI722" s="46">
        <v>0</v>
      </c>
      <c r="GJ722" s="113"/>
      <c r="GK722" s="113"/>
      <c r="GL722" s="113"/>
      <c r="GM722" s="113"/>
      <c r="GN722" s="113"/>
      <c r="GO722" s="46">
        <v>0</v>
      </c>
      <c r="GP722" s="113"/>
      <c r="GQ722" s="113"/>
      <c r="GR722" s="113"/>
      <c r="GS722" s="113"/>
      <c r="GT722" s="113"/>
      <c r="GU722" s="46">
        <v>0</v>
      </c>
      <c r="GV722" s="113"/>
      <c r="GW722" s="113"/>
      <c r="GX722" s="113"/>
      <c r="GY722" s="113"/>
      <c r="GZ722" s="113"/>
      <c r="HA722" s="46">
        <v>0</v>
      </c>
      <c r="HB722" s="113"/>
      <c r="HC722" s="113"/>
      <c r="HD722" s="113"/>
      <c r="HE722" s="113"/>
      <c r="HF722" s="113"/>
      <c r="HG722" s="46">
        <v>0</v>
      </c>
      <c r="HH722" s="113"/>
      <c r="HI722" s="113"/>
      <c r="HJ722" s="113"/>
      <c r="HK722" s="113"/>
      <c r="HL722" s="113"/>
      <c r="HM722" s="121"/>
      <c r="HN722" s="121"/>
      <c r="LM722" t="str">
        <v/>
      </c>
      <c r="LN722" t="str">
        <v/>
      </c>
      <c r="LO722" t="str">
        <v/>
      </c>
    </row>
    <row r="723" spans="30:327">
      <c r="AD723" t="s">
        <v>112</v>
      </c>
      <c r="AE723" t="s">
        <v>23190</v>
      </c>
      <c r="AF723" s="46">
        <v>0</v>
      </c>
      <c r="AG723" s="113"/>
      <c r="AH723" s="113"/>
      <c r="AI723" s="113"/>
      <c r="AJ723" s="113"/>
      <c r="AK723" s="113"/>
      <c r="AL723" s="46">
        <v>0</v>
      </c>
      <c r="AM723" s="113"/>
      <c r="AN723" s="113"/>
      <c r="AO723" s="113"/>
      <c r="AP723" s="113"/>
      <c r="AQ723" s="113"/>
      <c r="AR723" s="46">
        <v>0</v>
      </c>
      <c r="AS723" s="113"/>
      <c r="AT723" s="113"/>
      <c r="AU723" s="113"/>
      <c r="AV723" s="113"/>
      <c r="AW723" s="113"/>
      <c r="AX723" s="46">
        <v>0</v>
      </c>
      <c r="AY723" s="113"/>
      <c r="AZ723" s="113"/>
      <c r="BA723" s="113"/>
      <c r="BB723" s="113"/>
      <c r="BC723" s="113"/>
      <c r="BD723" s="46">
        <v>0</v>
      </c>
      <c r="BE723" s="113"/>
      <c r="BF723" s="113"/>
      <c r="BG723" s="113"/>
      <c r="BH723" s="113"/>
      <c r="BI723" s="113"/>
      <c r="BJ723" s="46">
        <v>0</v>
      </c>
      <c r="BK723" s="113"/>
      <c r="BL723" s="113"/>
      <c r="BM723" s="113"/>
      <c r="BN723" s="113"/>
      <c r="BO723" s="113"/>
      <c r="BP723" s="121"/>
      <c r="BQ723" s="121"/>
      <c r="GA723" t="s">
        <v>112</v>
      </c>
      <c r="GB723" t="s">
        <v>23190</v>
      </c>
      <c r="GC723" s="46">
        <v>0</v>
      </c>
      <c r="GD723" s="113"/>
      <c r="GE723" s="113"/>
      <c r="GF723" s="113"/>
      <c r="GG723" s="113"/>
      <c r="GH723" s="113"/>
      <c r="GI723" s="46">
        <v>0</v>
      </c>
      <c r="GJ723" s="113"/>
      <c r="GK723" s="113"/>
      <c r="GL723" s="113"/>
      <c r="GM723" s="113"/>
      <c r="GN723" s="113"/>
      <c r="GO723" s="46">
        <v>0</v>
      </c>
      <c r="GP723" s="113"/>
      <c r="GQ723" s="113"/>
      <c r="GR723" s="113"/>
      <c r="GS723" s="113"/>
      <c r="GT723" s="113"/>
      <c r="GU723" s="46">
        <v>0</v>
      </c>
      <c r="GV723" s="113"/>
      <c r="GW723" s="113"/>
      <c r="GX723" s="113"/>
      <c r="GY723" s="113"/>
      <c r="GZ723" s="113"/>
      <c r="HA723" s="46">
        <v>0</v>
      </c>
      <c r="HB723" s="113"/>
      <c r="HC723" s="113"/>
      <c r="HD723" s="113"/>
      <c r="HE723" s="113"/>
      <c r="HF723" s="113"/>
      <c r="HG723" s="46">
        <v>0</v>
      </c>
      <c r="HH723" s="113"/>
      <c r="HI723" s="113"/>
      <c r="HJ723" s="113"/>
      <c r="HK723" s="113"/>
      <c r="HL723" s="113"/>
      <c r="HM723" s="121"/>
      <c r="HN723" s="121"/>
      <c r="LM723" t="str">
        <v/>
      </c>
      <c r="LN723" t="str">
        <v/>
      </c>
      <c r="LO723" t="str">
        <v/>
      </c>
    </row>
    <row r="724" spans="30:327">
      <c r="AD724" t="s">
        <v>112</v>
      </c>
      <c r="AE724" t="s">
        <v>23191</v>
      </c>
      <c r="AF724" s="46">
        <v>0</v>
      </c>
      <c r="AG724" s="113"/>
      <c r="AH724" s="113"/>
      <c r="AI724" s="113"/>
      <c r="AJ724" s="113"/>
      <c r="AK724" s="113"/>
      <c r="AL724" s="46">
        <v>0</v>
      </c>
      <c r="AM724" s="113"/>
      <c r="AN724" s="113"/>
      <c r="AO724" s="113"/>
      <c r="AP724" s="113"/>
      <c r="AQ724" s="113"/>
      <c r="AR724" s="46">
        <v>0</v>
      </c>
      <c r="AS724" s="113"/>
      <c r="AT724" s="113"/>
      <c r="AU724" s="113"/>
      <c r="AV724" s="113"/>
      <c r="AW724" s="113"/>
      <c r="AX724" s="46">
        <v>0</v>
      </c>
      <c r="AY724" s="113"/>
      <c r="AZ724" s="113"/>
      <c r="BA724" s="113"/>
      <c r="BB724" s="113"/>
      <c r="BC724" s="113"/>
      <c r="BD724" s="46">
        <v>0</v>
      </c>
      <c r="BE724" s="113"/>
      <c r="BF724" s="113"/>
      <c r="BG724" s="113"/>
      <c r="BH724" s="113"/>
      <c r="BI724" s="113"/>
      <c r="BJ724" s="46">
        <v>0</v>
      </c>
      <c r="BK724" s="113"/>
      <c r="BL724" s="113"/>
      <c r="BM724" s="113"/>
      <c r="BN724" s="113"/>
      <c r="BO724" s="113"/>
      <c r="BP724" s="121"/>
      <c r="BQ724" s="121"/>
      <c r="GA724" t="s">
        <v>112</v>
      </c>
      <c r="GB724" t="s">
        <v>23191</v>
      </c>
      <c r="GC724" s="46">
        <v>0</v>
      </c>
      <c r="GD724" s="113"/>
      <c r="GE724" s="113"/>
      <c r="GF724" s="113"/>
      <c r="GG724" s="113"/>
      <c r="GH724" s="113"/>
      <c r="GI724" s="46">
        <v>0</v>
      </c>
      <c r="GJ724" s="113"/>
      <c r="GK724" s="113"/>
      <c r="GL724" s="113"/>
      <c r="GM724" s="113"/>
      <c r="GN724" s="113"/>
      <c r="GO724" s="46">
        <v>0</v>
      </c>
      <c r="GP724" s="113"/>
      <c r="GQ724" s="113"/>
      <c r="GR724" s="113"/>
      <c r="GS724" s="113"/>
      <c r="GT724" s="113"/>
      <c r="GU724" s="46">
        <v>0</v>
      </c>
      <c r="GV724" s="113"/>
      <c r="GW724" s="113"/>
      <c r="GX724" s="113"/>
      <c r="GY724" s="113"/>
      <c r="GZ724" s="113"/>
      <c r="HA724" s="46">
        <v>0</v>
      </c>
      <c r="HB724" s="113"/>
      <c r="HC724" s="113"/>
      <c r="HD724" s="113"/>
      <c r="HE724" s="113"/>
      <c r="HF724" s="113"/>
      <c r="HG724" s="46">
        <v>0</v>
      </c>
      <c r="HH724" s="113"/>
      <c r="HI724" s="113"/>
      <c r="HJ724" s="113"/>
      <c r="HK724" s="113"/>
      <c r="HL724" s="113"/>
      <c r="HM724" s="121"/>
      <c r="HN724" s="121"/>
      <c r="LM724" t="str">
        <v/>
      </c>
      <c r="LN724" t="str">
        <v/>
      </c>
      <c r="LO724" t="str">
        <v/>
      </c>
    </row>
    <row r="725" spans="30:327">
      <c r="AD725" t="s">
        <v>112</v>
      </c>
      <c r="AE725" t="s">
        <v>23192</v>
      </c>
      <c r="AF725" s="46">
        <v>0</v>
      </c>
      <c r="AG725" s="113"/>
      <c r="AH725" s="113"/>
      <c r="AI725" s="113"/>
      <c r="AJ725" s="113"/>
      <c r="AK725" s="113"/>
      <c r="AL725" s="46">
        <v>0</v>
      </c>
      <c r="AM725" s="113"/>
      <c r="AN725" s="113"/>
      <c r="AO725" s="113"/>
      <c r="AP725" s="113"/>
      <c r="AQ725" s="113"/>
      <c r="AR725" s="46">
        <v>0</v>
      </c>
      <c r="AS725" s="113"/>
      <c r="AT725" s="113"/>
      <c r="AU725" s="113"/>
      <c r="AV725" s="113"/>
      <c r="AW725" s="113"/>
      <c r="AX725" s="46">
        <v>0</v>
      </c>
      <c r="AY725" s="113"/>
      <c r="AZ725" s="113"/>
      <c r="BA725" s="113"/>
      <c r="BB725" s="113"/>
      <c r="BC725" s="113"/>
      <c r="BD725" s="46">
        <v>0</v>
      </c>
      <c r="BE725" s="113"/>
      <c r="BF725" s="113"/>
      <c r="BG725" s="113"/>
      <c r="BH725" s="113"/>
      <c r="BI725" s="113"/>
      <c r="BJ725" s="46">
        <v>0</v>
      </c>
      <c r="BK725" s="113"/>
      <c r="BL725" s="113"/>
      <c r="BM725" s="113"/>
      <c r="BN725" s="113"/>
      <c r="BO725" s="113"/>
      <c r="BP725" s="121"/>
      <c r="BQ725" s="121"/>
      <c r="GA725" t="s">
        <v>112</v>
      </c>
      <c r="GB725" t="s">
        <v>23192</v>
      </c>
      <c r="GC725" s="46">
        <v>0</v>
      </c>
      <c r="GD725" s="113"/>
      <c r="GE725" s="113"/>
      <c r="GF725" s="113"/>
      <c r="GG725" s="113"/>
      <c r="GH725" s="113"/>
      <c r="GI725" s="46">
        <v>0</v>
      </c>
      <c r="GJ725" s="113"/>
      <c r="GK725" s="113"/>
      <c r="GL725" s="113"/>
      <c r="GM725" s="113"/>
      <c r="GN725" s="113"/>
      <c r="GO725" s="46">
        <v>0</v>
      </c>
      <c r="GP725" s="113"/>
      <c r="GQ725" s="113"/>
      <c r="GR725" s="113"/>
      <c r="GS725" s="113"/>
      <c r="GT725" s="113"/>
      <c r="GU725" s="46">
        <v>0</v>
      </c>
      <c r="GV725" s="113"/>
      <c r="GW725" s="113"/>
      <c r="GX725" s="113"/>
      <c r="GY725" s="113"/>
      <c r="GZ725" s="113"/>
      <c r="HA725" s="46">
        <v>0</v>
      </c>
      <c r="HB725" s="113"/>
      <c r="HC725" s="113"/>
      <c r="HD725" s="113"/>
      <c r="HE725" s="113"/>
      <c r="HF725" s="113"/>
      <c r="HG725" s="46">
        <v>0</v>
      </c>
      <c r="HH725" s="113"/>
      <c r="HI725" s="113"/>
      <c r="HJ725" s="113"/>
      <c r="HK725" s="113"/>
      <c r="HL725" s="113"/>
      <c r="HM725" s="121"/>
      <c r="HN725" s="121"/>
      <c r="LM725" t="str">
        <v/>
      </c>
      <c r="LN725" t="str">
        <v/>
      </c>
      <c r="LO725" t="str">
        <v/>
      </c>
    </row>
    <row r="726" spans="30:327">
      <c r="AD726" t="s">
        <v>112</v>
      </c>
      <c r="AE726" t="s">
        <v>23193</v>
      </c>
      <c r="AF726" s="46">
        <v>0</v>
      </c>
      <c r="AG726" s="113"/>
      <c r="AH726" s="113"/>
      <c r="AI726" s="113"/>
      <c r="AJ726" s="113"/>
      <c r="AK726" s="113"/>
      <c r="AL726" s="46">
        <v>0</v>
      </c>
      <c r="AM726" s="113"/>
      <c r="AN726" s="113"/>
      <c r="AO726" s="113"/>
      <c r="AP726" s="113"/>
      <c r="AQ726" s="113"/>
      <c r="AR726" s="46">
        <v>0</v>
      </c>
      <c r="AS726" s="113"/>
      <c r="AT726" s="113"/>
      <c r="AU726" s="113"/>
      <c r="AV726" s="113"/>
      <c r="AW726" s="113"/>
      <c r="AX726" s="46">
        <v>0</v>
      </c>
      <c r="AY726" s="113"/>
      <c r="AZ726" s="113"/>
      <c r="BA726" s="113"/>
      <c r="BB726" s="113"/>
      <c r="BC726" s="113"/>
      <c r="BD726" s="46">
        <v>0</v>
      </c>
      <c r="BE726" s="113"/>
      <c r="BF726" s="113"/>
      <c r="BG726" s="113"/>
      <c r="BH726" s="113"/>
      <c r="BI726" s="113"/>
      <c r="BJ726" s="46">
        <v>0</v>
      </c>
      <c r="BK726" s="113"/>
      <c r="BL726" s="113"/>
      <c r="BM726" s="113"/>
      <c r="BN726" s="113"/>
      <c r="BO726" s="113"/>
      <c r="BP726" s="121"/>
      <c r="BQ726" s="121"/>
      <c r="GA726" t="s">
        <v>112</v>
      </c>
      <c r="GB726" t="s">
        <v>23193</v>
      </c>
      <c r="GC726" s="46">
        <v>0</v>
      </c>
      <c r="GD726" s="113"/>
      <c r="GE726" s="113"/>
      <c r="GF726" s="113"/>
      <c r="GG726" s="113"/>
      <c r="GH726" s="113"/>
      <c r="GI726" s="46">
        <v>0</v>
      </c>
      <c r="GJ726" s="113"/>
      <c r="GK726" s="113"/>
      <c r="GL726" s="113"/>
      <c r="GM726" s="113"/>
      <c r="GN726" s="113"/>
      <c r="GO726" s="46">
        <v>0</v>
      </c>
      <c r="GP726" s="113"/>
      <c r="GQ726" s="113"/>
      <c r="GR726" s="113"/>
      <c r="GS726" s="113"/>
      <c r="GT726" s="113"/>
      <c r="GU726" s="46">
        <v>0</v>
      </c>
      <c r="GV726" s="113"/>
      <c r="GW726" s="113"/>
      <c r="GX726" s="113"/>
      <c r="GY726" s="113"/>
      <c r="GZ726" s="113"/>
      <c r="HA726" s="46">
        <v>0</v>
      </c>
      <c r="HB726" s="113"/>
      <c r="HC726" s="113"/>
      <c r="HD726" s="113"/>
      <c r="HE726" s="113"/>
      <c r="HF726" s="113"/>
      <c r="HG726" s="46">
        <v>0</v>
      </c>
      <c r="HH726" s="113"/>
      <c r="HI726" s="113"/>
      <c r="HJ726" s="113"/>
      <c r="HK726" s="113"/>
      <c r="HL726" s="113"/>
      <c r="HM726" s="121"/>
      <c r="HN726" s="121"/>
      <c r="LM726" t="str">
        <v/>
      </c>
      <c r="LN726" t="str">
        <v/>
      </c>
      <c r="LO726" t="str">
        <v/>
      </c>
    </row>
    <row r="727" spans="30:327">
      <c r="AD727" t="s">
        <v>112</v>
      </c>
      <c r="AE727" t="s">
        <v>23194</v>
      </c>
      <c r="AF727" s="46">
        <v>0</v>
      </c>
      <c r="AG727" s="113"/>
      <c r="AH727" s="113"/>
      <c r="AI727" s="113"/>
      <c r="AJ727" s="113"/>
      <c r="AK727" s="113"/>
      <c r="AL727" s="46">
        <v>0</v>
      </c>
      <c r="AM727" s="113"/>
      <c r="AN727" s="113"/>
      <c r="AO727" s="113"/>
      <c r="AP727" s="113"/>
      <c r="AQ727" s="113"/>
      <c r="AR727" s="46">
        <v>0</v>
      </c>
      <c r="AS727" s="113"/>
      <c r="AT727" s="113"/>
      <c r="AU727" s="113"/>
      <c r="AV727" s="113"/>
      <c r="AW727" s="113"/>
      <c r="AX727" s="46">
        <v>0</v>
      </c>
      <c r="AY727" s="113"/>
      <c r="AZ727" s="113"/>
      <c r="BA727" s="113"/>
      <c r="BB727" s="113"/>
      <c r="BC727" s="113"/>
      <c r="BD727" s="46">
        <v>0</v>
      </c>
      <c r="BE727" s="113"/>
      <c r="BF727" s="113"/>
      <c r="BG727" s="113"/>
      <c r="BH727" s="113"/>
      <c r="BI727" s="113"/>
      <c r="BJ727" s="46">
        <v>0</v>
      </c>
      <c r="BK727" s="113"/>
      <c r="BL727" s="113"/>
      <c r="BM727" s="113"/>
      <c r="BN727" s="113"/>
      <c r="BO727" s="113"/>
      <c r="BP727" s="121"/>
      <c r="BQ727" s="121"/>
      <c r="GA727" t="s">
        <v>112</v>
      </c>
      <c r="GB727" t="s">
        <v>23194</v>
      </c>
      <c r="GC727" s="46">
        <v>0</v>
      </c>
      <c r="GD727" s="113"/>
      <c r="GE727" s="113"/>
      <c r="GF727" s="113"/>
      <c r="GG727" s="113"/>
      <c r="GH727" s="113"/>
      <c r="GI727" s="46">
        <v>0</v>
      </c>
      <c r="GJ727" s="113"/>
      <c r="GK727" s="113"/>
      <c r="GL727" s="113"/>
      <c r="GM727" s="113"/>
      <c r="GN727" s="113"/>
      <c r="GO727" s="46">
        <v>0</v>
      </c>
      <c r="GP727" s="113"/>
      <c r="GQ727" s="113"/>
      <c r="GR727" s="113"/>
      <c r="GS727" s="113"/>
      <c r="GT727" s="113"/>
      <c r="GU727" s="46">
        <v>0</v>
      </c>
      <c r="GV727" s="113"/>
      <c r="GW727" s="113"/>
      <c r="GX727" s="113"/>
      <c r="GY727" s="113"/>
      <c r="GZ727" s="113"/>
      <c r="HA727" s="46">
        <v>0</v>
      </c>
      <c r="HB727" s="113"/>
      <c r="HC727" s="113"/>
      <c r="HD727" s="113"/>
      <c r="HE727" s="113"/>
      <c r="HF727" s="113"/>
      <c r="HG727" s="46">
        <v>0</v>
      </c>
      <c r="HH727" s="113"/>
      <c r="HI727" s="113"/>
      <c r="HJ727" s="113"/>
      <c r="HK727" s="113"/>
      <c r="HL727" s="113"/>
      <c r="HM727" s="121"/>
      <c r="HN727" s="121"/>
      <c r="LM727" t="str">
        <v/>
      </c>
      <c r="LN727" t="str">
        <v/>
      </c>
      <c r="LO727" t="str">
        <v/>
      </c>
    </row>
    <row r="728" spans="30:327">
      <c r="AD728" t="s">
        <v>112</v>
      </c>
      <c r="AE728" t="s">
        <v>23195</v>
      </c>
      <c r="AF728" s="46">
        <v>0</v>
      </c>
      <c r="AG728" s="113"/>
      <c r="AH728" s="113"/>
      <c r="AI728" s="113"/>
      <c r="AJ728" s="113"/>
      <c r="AK728" s="113"/>
      <c r="AL728" s="46">
        <v>0</v>
      </c>
      <c r="AM728" s="113"/>
      <c r="AN728" s="113"/>
      <c r="AO728" s="113"/>
      <c r="AP728" s="113"/>
      <c r="AQ728" s="113"/>
      <c r="AR728" s="46">
        <v>0</v>
      </c>
      <c r="AS728" s="113"/>
      <c r="AT728" s="113"/>
      <c r="AU728" s="113"/>
      <c r="AV728" s="113"/>
      <c r="AW728" s="113"/>
      <c r="AX728" s="46">
        <v>0</v>
      </c>
      <c r="AY728" s="113"/>
      <c r="AZ728" s="113"/>
      <c r="BA728" s="113"/>
      <c r="BB728" s="113"/>
      <c r="BC728" s="113"/>
      <c r="BD728" s="46">
        <v>0</v>
      </c>
      <c r="BE728" s="113"/>
      <c r="BF728" s="113"/>
      <c r="BG728" s="113"/>
      <c r="BH728" s="113"/>
      <c r="BI728" s="113"/>
      <c r="BJ728" s="46">
        <v>0</v>
      </c>
      <c r="BK728" s="113"/>
      <c r="BL728" s="113"/>
      <c r="BM728" s="113"/>
      <c r="BN728" s="113"/>
      <c r="BO728" s="113"/>
      <c r="BP728" s="121"/>
      <c r="BQ728" s="121"/>
      <c r="GA728" t="s">
        <v>112</v>
      </c>
      <c r="GB728" t="s">
        <v>23195</v>
      </c>
      <c r="GC728" s="46">
        <v>0</v>
      </c>
      <c r="GD728" s="113"/>
      <c r="GE728" s="113"/>
      <c r="GF728" s="113"/>
      <c r="GG728" s="113"/>
      <c r="GH728" s="113"/>
      <c r="GI728" s="46">
        <v>0</v>
      </c>
      <c r="GJ728" s="113"/>
      <c r="GK728" s="113"/>
      <c r="GL728" s="113"/>
      <c r="GM728" s="113"/>
      <c r="GN728" s="113"/>
      <c r="GO728" s="46">
        <v>0</v>
      </c>
      <c r="GP728" s="113"/>
      <c r="GQ728" s="113"/>
      <c r="GR728" s="113"/>
      <c r="GS728" s="113"/>
      <c r="GT728" s="113"/>
      <c r="GU728" s="46">
        <v>0</v>
      </c>
      <c r="GV728" s="113"/>
      <c r="GW728" s="113"/>
      <c r="GX728" s="113"/>
      <c r="GY728" s="113"/>
      <c r="GZ728" s="113"/>
      <c r="HA728" s="46">
        <v>0</v>
      </c>
      <c r="HB728" s="113"/>
      <c r="HC728" s="113"/>
      <c r="HD728" s="113"/>
      <c r="HE728" s="113"/>
      <c r="HF728" s="113"/>
      <c r="HG728" s="46">
        <v>0</v>
      </c>
      <c r="HH728" s="113"/>
      <c r="HI728" s="113"/>
      <c r="HJ728" s="113"/>
      <c r="HK728" s="113"/>
      <c r="HL728" s="113"/>
      <c r="HM728" s="121"/>
      <c r="HN728" s="121"/>
      <c r="LM728" t="str">
        <v/>
      </c>
      <c r="LN728" t="str">
        <v/>
      </c>
      <c r="LO728" t="str">
        <v/>
      </c>
    </row>
    <row r="729" spans="30:327">
      <c r="AD729" t="s">
        <v>112</v>
      </c>
      <c r="AE729" t="s">
        <v>23196</v>
      </c>
      <c r="AF729" s="46">
        <v>0</v>
      </c>
      <c r="AG729" s="113"/>
      <c r="AH729" s="113"/>
      <c r="AI729" s="113"/>
      <c r="AJ729" s="113"/>
      <c r="AK729" s="113"/>
      <c r="AL729" s="46">
        <v>0</v>
      </c>
      <c r="AM729" s="113"/>
      <c r="AN729" s="113"/>
      <c r="AO729" s="113"/>
      <c r="AP729" s="113"/>
      <c r="AQ729" s="113"/>
      <c r="AR729" s="46">
        <v>0</v>
      </c>
      <c r="AS729" s="113"/>
      <c r="AT729" s="113"/>
      <c r="AU729" s="113"/>
      <c r="AV729" s="113"/>
      <c r="AW729" s="113"/>
      <c r="AX729" s="46">
        <v>0</v>
      </c>
      <c r="AY729" s="113"/>
      <c r="AZ729" s="113"/>
      <c r="BA729" s="113"/>
      <c r="BB729" s="113"/>
      <c r="BC729" s="113"/>
      <c r="BD729" s="46">
        <v>0</v>
      </c>
      <c r="BE729" s="113"/>
      <c r="BF729" s="113"/>
      <c r="BG729" s="113"/>
      <c r="BH729" s="113"/>
      <c r="BI729" s="113"/>
      <c r="BJ729" s="46">
        <v>0</v>
      </c>
      <c r="BK729" s="113"/>
      <c r="BL729" s="113"/>
      <c r="BM729" s="113"/>
      <c r="BN729" s="113"/>
      <c r="BO729" s="113"/>
      <c r="BP729" s="121"/>
      <c r="BQ729" s="121"/>
      <c r="GA729" t="s">
        <v>112</v>
      </c>
      <c r="GB729" t="s">
        <v>23196</v>
      </c>
      <c r="GC729" s="46">
        <v>0</v>
      </c>
      <c r="GD729" s="113"/>
      <c r="GE729" s="113"/>
      <c r="GF729" s="113"/>
      <c r="GG729" s="113"/>
      <c r="GH729" s="113"/>
      <c r="GI729" s="46">
        <v>0</v>
      </c>
      <c r="GJ729" s="113"/>
      <c r="GK729" s="113"/>
      <c r="GL729" s="113"/>
      <c r="GM729" s="113"/>
      <c r="GN729" s="113"/>
      <c r="GO729" s="46">
        <v>0</v>
      </c>
      <c r="GP729" s="113"/>
      <c r="GQ729" s="113"/>
      <c r="GR729" s="113"/>
      <c r="GS729" s="113"/>
      <c r="GT729" s="113"/>
      <c r="GU729" s="46">
        <v>0</v>
      </c>
      <c r="GV729" s="113"/>
      <c r="GW729" s="113"/>
      <c r="GX729" s="113"/>
      <c r="GY729" s="113"/>
      <c r="GZ729" s="113"/>
      <c r="HA729" s="46">
        <v>0</v>
      </c>
      <c r="HB729" s="113"/>
      <c r="HC729" s="113"/>
      <c r="HD729" s="113"/>
      <c r="HE729" s="113"/>
      <c r="HF729" s="113"/>
      <c r="HG729" s="46">
        <v>0</v>
      </c>
      <c r="HH729" s="113"/>
      <c r="HI729" s="113"/>
      <c r="HJ729" s="113"/>
      <c r="HK729" s="113"/>
      <c r="HL729" s="113"/>
      <c r="HM729" s="121"/>
      <c r="HN729" s="121"/>
      <c r="LM729" t="str">
        <v/>
      </c>
      <c r="LN729" t="str">
        <v/>
      </c>
      <c r="LO729" t="str">
        <v/>
      </c>
    </row>
    <row r="730" spans="30:327">
      <c r="AD730" t="s">
        <v>112</v>
      </c>
      <c r="AE730" t="s">
        <v>23197</v>
      </c>
      <c r="AF730" s="46">
        <v>0</v>
      </c>
      <c r="AG730" s="113"/>
      <c r="AH730" s="113"/>
      <c r="AI730" s="113"/>
      <c r="AJ730" s="113"/>
      <c r="AK730" s="113"/>
      <c r="AL730" s="46">
        <v>0</v>
      </c>
      <c r="AM730" s="113"/>
      <c r="AN730" s="113"/>
      <c r="AO730" s="113"/>
      <c r="AP730" s="113"/>
      <c r="AQ730" s="113"/>
      <c r="AR730" s="46">
        <v>0</v>
      </c>
      <c r="AS730" s="113"/>
      <c r="AT730" s="113"/>
      <c r="AU730" s="113"/>
      <c r="AV730" s="113"/>
      <c r="AW730" s="113"/>
      <c r="AX730" s="46">
        <v>0</v>
      </c>
      <c r="AY730" s="113"/>
      <c r="AZ730" s="113"/>
      <c r="BA730" s="113"/>
      <c r="BB730" s="113"/>
      <c r="BC730" s="113"/>
      <c r="BD730" s="46">
        <v>0</v>
      </c>
      <c r="BE730" s="113"/>
      <c r="BF730" s="113"/>
      <c r="BG730" s="113"/>
      <c r="BH730" s="113"/>
      <c r="BI730" s="113"/>
      <c r="BJ730" s="46">
        <v>0</v>
      </c>
      <c r="BK730" s="113"/>
      <c r="BL730" s="113"/>
      <c r="BM730" s="113"/>
      <c r="BN730" s="113"/>
      <c r="BO730" s="113"/>
      <c r="BP730" s="121"/>
      <c r="BQ730" s="121"/>
      <c r="GA730" t="s">
        <v>112</v>
      </c>
      <c r="GB730" t="s">
        <v>23197</v>
      </c>
      <c r="GC730" s="46">
        <v>0</v>
      </c>
      <c r="GD730" s="113"/>
      <c r="GE730" s="113"/>
      <c r="GF730" s="113"/>
      <c r="GG730" s="113"/>
      <c r="GH730" s="113"/>
      <c r="GI730" s="46">
        <v>0</v>
      </c>
      <c r="GJ730" s="113"/>
      <c r="GK730" s="113"/>
      <c r="GL730" s="113"/>
      <c r="GM730" s="113"/>
      <c r="GN730" s="113"/>
      <c r="GO730" s="46">
        <v>0</v>
      </c>
      <c r="GP730" s="113"/>
      <c r="GQ730" s="113"/>
      <c r="GR730" s="113"/>
      <c r="GS730" s="113"/>
      <c r="GT730" s="113"/>
      <c r="GU730" s="46">
        <v>0</v>
      </c>
      <c r="GV730" s="113"/>
      <c r="GW730" s="113"/>
      <c r="GX730" s="113"/>
      <c r="GY730" s="113"/>
      <c r="GZ730" s="113"/>
      <c r="HA730" s="46">
        <v>0</v>
      </c>
      <c r="HB730" s="113"/>
      <c r="HC730" s="113"/>
      <c r="HD730" s="113"/>
      <c r="HE730" s="113"/>
      <c r="HF730" s="113"/>
      <c r="HG730" s="46">
        <v>0</v>
      </c>
      <c r="HH730" s="113"/>
      <c r="HI730" s="113"/>
      <c r="HJ730" s="113"/>
      <c r="HK730" s="113"/>
      <c r="HL730" s="113"/>
      <c r="HM730" s="121"/>
      <c r="HN730" s="121"/>
      <c r="LM730" t="str">
        <v/>
      </c>
      <c r="LN730" t="str">
        <v/>
      </c>
      <c r="LO730" t="str">
        <v/>
      </c>
    </row>
    <row r="731" spans="30:327">
      <c r="AD731" t="s">
        <v>112</v>
      </c>
      <c r="AE731" t="s">
        <v>23198</v>
      </c>
      <c r="AF731" s="46">
        <v>0</v>
      </c>
      <c r="AG731" s="113"/>
      <c r="AH731" s="113"/>
      <c r="AI731" s="113"/>
      <c r="AJ731" s="113"/>
      <c r="AK731" s="113"/>
      <c r="AL731" s="46">
        <v>0</v>
      </c>
      <c r="AM731" s="113"/>
      <c r="AN731" s="113"/>
      <c r="AO731" s="113"/>
      <c r="AP731" s="113"/>
      <c r="AQ731" s="113"/>
      <c r="AR731" s="46">
        <v>0</v>
      </c>
      <c r="AS731" s="113"/>
      <c r="AT731" s="113"/>
      <c r="AU731" s="113"/>
      <c r="AV731" s="113"/>
      <c r="AW731" s="113"/>
      <c r="AX731" s="46">
        <v>0</v>
      </c>
      <c r="AY731" s="113"/>
      <c r="AZ731" s="113"/>
      <c r="BA731" s="113"/>
      <c r="BB731" s="113"/>
      <c r="BC731" s="113"/>
      <c r="BD731" s="46">
        <v>0</v>
      </c>
      <c r="BE731" s="113"/>
      <c r="BF731" s="113"/>
      <c r="BG731" s="113"/>
      <c r="BH731" s="113"/>
      <c r="BI731" s="113"/>
      <c r="BJ731" s="46">
        <v>0</v>
      </c>
      <c r="BK731" s="113"/>
      <c r="BL731" s="113"/>
      <c r="BM731" s="113"/>
      <c r="BN731" s="113"/>
      <c r="BO731" s="113"/>
      <c r="BP731" s="121"/>
      <c r="BQ731" s="121"/>
      <c r="GA731" t="s">
        <v>112</v>
      </c>
      <c r="GB731" t="s">
        <v>23198</v>
      </c>
      <c r="GC731" s="46">
        <v>0</v>
      </c>
      <c r="GD731" s="113"/>
      <c r="GE731" s="113"/>
      <c r="GF731" s="113"/>
      <c r="GG731" s="113"/>
      <c r="GH731" s="113"/>
      <c r="GI731" s="46">
        <v>0</v>
      </c>
      <c r="GJ731" s="113"/>
      <c r="GK731" s="113"/>
      <c r="GL731" s="113"/>
      <c r="GM731" s="113"/>
      <c r="GN731" s="113"/>
      <c r="GO731" s="46">
        <v>0</v>
      </c>
      <c r="GP731" s="113"/>
      <c r="GQ731" s="113"/>
      <c r="GR731" s="113"/>
      <c r="GS731" s="113"/>
      <c r="GT731" s="113"/>
      <c r="GU731" s="46">
        <v>0</v>
      </c>
      <c r="GV731" s="113"/>
      <c r="GW731" s="113"/>
      <c r="GX731" s="113"/>
      <c r="GY731" s="113"/>
      <c r="GZ731" s="113"/>
      <c r="HA731" s="46">
        <v>0</v>
      </c>
      <c r="HB731" s="113"/>
      <c r="HC731" s="113"/>
      <c r="HD731" s="113"/>
      <c r="HE731" s="113"/>
      <c r="HF731" s="113"/>
      <c r="HG731" s="46">
        <v>0</v>
      </c>
      <c r="HH731" s="113"/>
      <c r="HI731" s="113"/>
      <c r="HJ731" s="113"/>
      <c r="HK731" s="113"/>
      <c r="HL731" s="113"/>
      <c r="HM731" s="121"/>
      <c r="HN731" s="121"/>
      <c r="LM731" t="str">
        <v/>
      </c>
      <c r="LN731" t="str">
        <v/>
      </c>
      <c r="LO731" t="str">
        <v/>
      </c>
    </row>
    <row r="732" spans="30:327">
      <c r="AD732" t="s">
        <v>112</v>
      </c>
      <c r="AE732" t="s">
        <v>23199</v>
      </c>
      <c r="AF732" s="46">
        <v>0</v>
      </c>
      <c r="AG732" s="113"/>
      <c r="AH732" s="113"/>
      <c r="AI732" s="113"/>
      <c r="AJ732" s="113"/>
      <c r="AK732" s="113"/>
      <c r="AL732" s="46">
        <v>0</v>
      </c>
      <c r="AM732" s="113"/>
      <c r="AN732" s="113"/>
      <c r="AO732" s="113"/>
      <c r="AP732" s="113"/>
      <c r="AQ732" s="113"/>
      <c r="AR732" s="46">
        <v>0</v>
      </c>
      <c r="AS732" s="113"/>
      <c r="AT732" s="113"/>
      <c r="AU732" s="113"/>
      <c r="AV732" s="113"/>
      <c r="AW732" s="113"/>
      <c r="AX732" s="46">
        <v>0</v>
      </c>
      <c r="AY732" s="113"/>
      <c r="AZ732" s="113"/>
      <c r="BA732" s="113"/>
      <c r="BB732" s="113"/>
      <c r="BC732" s="113"/>
      <c r="BD732" s="46">
        <v>0</v>
      </c>
      <c r="BE732" s="113"/>
      <c r="BF732" s="113"/>
      <c r="BG732" s="113"/>
      <c r="BH732" s="113"/>
      <c r="BI732" s="113"/>
      <c r="BJ732" s="46">
        <v>0</v>
      </c>
      <c r="BK732" s="113"/>
      <c r="BL732" s="113"/>
      <c r="BM732" s="113"/>
      <c r="BN732" s="113"/>
      <c r="BO732" s="113"/>
      <c r="BP732" s="121"/>
      <c r="BQ732" s="121"/>
      <c r="GA732" t="s">
        <v>112</v>
      </c>
      <c r="GB732" t="s">
        <v>23199</v>
      </c>
      <c r="GC732" s="46">
        <v>0</v>
      </c>
      <c r="GD732" s="113"/>
      <c r="GE732" s="113"/>
      <c r="GF732" s="113"/>
      <c r="GG732" s="113"/>
      <c r="GH732" s="113"/>
      <c r="GI732" s="46">
        <v>0</v>
      </c>
      <c r="GJ732" s="113"/>
      <c r="GK732" s="113"/>
      <c r="GL732" s="113"/>
      <c r="GM732" s="113"/>
      <c r="GN732" s="113"/>
      <c r="GO732" s="46">
        <v>0</v>
      </c>
      <c r="GP732" s="113"/>
      <c r="GQ732" s="113"/>
      <c r="GR732" s="113"/>
      <c r="GS732" s="113"/>
      <c r="GT732" s="113"/>
      <c r="GU732" s="46">
        <v>0</v>
      </c>
      <c r="GV732" s="113"/>
      <c r="GW732" s="113"/>
      <c r="GX732" s="113"/>
      <c r="GY732" s="113"/>
      <c r="GZ732" s="113"/>
      <c r="HA732" s="46">
        <v>0</v>
      </c>
      <c r="HB732" s="113"/>
      <c r="HC732" s="113"/>
      <c r="HD732" s="113"/>
      <c r="HE732" s="113"/>
      <c r="HF732" s="113"/>
      <c r="HG732" s="46">
        <v>0</v>
      </c>
      <c r="HH732" s="113"/>
      <c r="HI732" s="113"/>
      <c r="HJ732" s="113"/>
      <c r="HK732" s="113"/>
      <c r="HL732" s="113"/>
      <c r="HM732" s="121"/>
      <c r="HN732" s="121"/>
      <c r="LM732" t="str">
        <v/>
      </c>
      <c r="LN732" t="str">
        <v/>
      </c>
      <c r="LO732" t="str">
        <v/>
      </c>
    </row>
    <row r="733" spans="30:327">
      <c r="AD733" t="s">
        <v>112</v>
      </c>
      <c r="AE733" t="s">
        <v>23200</v>
      </c>
      <c r="AF733" s="46">
        <v>0</v>
      </c>
      <c r="AG733" s="113"/>
      <c r="AH733" s="113"/>
      <c r="AI733" s="113"/>
      <c r="AJ733" s="113"/>
      <c r="AK733" s="113"/>
      <c r="AL733" s="46">
        <v>0</v>
      </c>
      <c r="AM733" s="113"/>
      <c r="AN733" s="113"/>
      <c r="AO733" s="113"/>
      <c r="AP733" s="113"/>
      <c r="AQ733" s="113"/>
      <c r="AR733" s="46">
        <v>0</v>
      </c>
      <c r="AS733" s="113"/>
      <c r="AT733" s="113"/>
      <c r="AU733" s="113"/>
      <c r="AV733" s="113"/>
      <c r="AW733" s="113"/>
      <c r="AX733" s="46">
        <v>0</v>
      </c>
      <c r="AY733" s="113"/>
      <c r="AZ733" s="113"/>
      <c r="BA733" s="113"/>
      <c r="BB733" s="113"/>
      <c r="BC733" s="113"/>
      <c r="BD733" s="46">
        <v>0</v>
      </c>
      <c r="BE733" s="113"/>
      <c r="BF733" s="113"/>
      <c r="BG733" s="113"/>
      <c r="BH733" s="113"/>
      <c r="BI733" s="113"/>
      <c r="BJ733" s="46">
        <v>0</v>
      </c>
      <c r="BK733" s="113"/>
      <c r="BL733" s="113"/>
      <c r="BM733" s="113"/>
      <c r="BN733" s="113"/>
      <c r="BO733" s="113"/>
      <c r="BP733" s="121"/>
      <c r="BQ733" s="121"/>
      <c r="GA733" t="s">
        <v>112</v>
      </c>
      <c r="GB733" t="s">
        <v>23200</v>
      </c>
      <c r="GC733" s="46">
        <v>0</v>
      </c>
      <c r="GD733" s="113"/>
      <c r="GE733" s="113"/>
      <c r="GF733" s="113"/>
      <c r="GG733" s="113"/>
      <c r="GH733" s="113"/>
      <c r="GI733" s="46">
        <v>0</v>
      </c>
      <c r="GJ733" s="113"/>
      <c r="GK733" s="113"/>
      <c r="GL733" s="113"/>
      <c r="GM733" s="113"/>
      <c r="GN733" s="113"/>
      <c r="GO733" s="46">
        <v>0</v>
      </c>
      <c r="GP733" s="113"/>
      <c r="GQ733" s="113"/>
      <c r="GR733" s="113"/>
      <c r="GS733" s="113"/>
      <c r="GT733" s="113"/>
      <c r="GU733" s="46">
        <v>0</v>
      </c>
      <c r="GV733" s="113"/>
      <c r="GW733" s="113"/>
      <c r="GX733" s="113"/>
      <c r="GY733" s="113"/>
      <c r="GZ733" s="113"/>
      <c r="HA733" s="46">
        <v>0</v>
      </c>
      <c r="HB733" s="113"/>
      <c r="HC733" s="113"/>
      <c r="HD733" s="113"/>
      <c r="HE733" s="113"/>
      <c r="HF733" s="113"/>
      <c r="HG733" s="46">
        <v>0</v>
      </c>
      <c r="HH733" s="113"/>
      <c r="HI733" s="113"/>
      <c r="HJ733" s="113"/>
      <c r="HK733" s="113"/>
      <c r="HL733" s="113"/>
      <c r="HM733" s="121"/>
      <c r="HN733" s="121"/>
      <c r="LM733" t="str">
        <v/>
      </c>
      <c r="LN733" t="str">
        <v/>
      </c>
      <c r="LO733" t="str">
        <v/>
      </c>
    </row>
    <row r="734" spans="30:327">
      <c r="AD734" t="s">
        <v>112</v>
      </c>
      <c r="AE734" t="s">
        <v>23201</v>
      </c>
      <c r="AF734" s="46">
        <v>0</v>
      </c>
      <c r="AG734" s="113"/>
      <c r="AH734" s="113"/>
      <c r="AI734" s="113"/>
      <c r="AJ734" s="113"/>
      <c r="AK734" s="113"/>
      <c r="AL734" s="46">
        <v>0</v>
      </c>
      <c r="AM734" s="113"/>
      <c r="AN734" s="113"/>
      <c r="AO734" s="113"/>
      <c r="AP734" s="113"/>
      <c r="AQ734" s="113"/>
      <c r="AR734" s="46">
        <v>0</v>
      </c>
      <c r="AS734" s="113"/>
      <c r="AT734" s="113"/>
      <c r="AU734" s="113"/>
      <c r="AV734" s="113"/>
      <c r="AW734" s="113"/>
      <c r="AX734" s="46">
        <v>0</v>
      </c>
      <c r="AY734" s="113"/>
      <c r="AZ734" s="113"/>
      <c r="BA734" s="113"/>
      <c r="BB734" s="113"/>
      <c r="BC734" s="113"/>
      <c r="BD734" s="46">
        <v>0</v>
      </c>
      <c r="BE734" s="113"/>
      <c r="BF734" s="113"/>
      <c r="BG734" s="113"/>
      <c r="BH734" s="113"/>
      <c r="BI734" s="113"/>
      <c r="BJ734" s="46">
        <v>0</v>
      </c>
      <c r="BK734" s="113"/>
      <c r="BL734" s="113"/>
      <c r="BM734" s="113"/>
      <c r="BN734" s="113"/>
      <c r="BO734" s="113"/>
      <c r="BP734" s="121"/>
      <c r="BQ734" s="121"/>
      <c r="GA734" t="s">
        <v>112</v>
      </c>
      <c r="GB734" t="s">
        <v>23201</v>
      </c>
      <c r="GC734" s="46">
        <v>0</v>
      </c>
      <c r="GD734" s="113"/>
      <c r="GE734" s="113"/>
      <c r="GF734" s="113"/>
      <c r="GG734" s="113"/>
      <c r="GH734" s="113"/>
      <c r="GI734" s="46">
        <v>0</v>
      </c>
      <c r="GJ734" s="113"/>
      <c r="GK734" s="113"/>
      <c r="GL734" s="113"/>
      <c r="GM734" s="113"/>
      <c r="GN734" s="113"/>
      <c r="GO734" s="46">
        <v>0</v>
      </c>
      <c r="GP734" s="113"/>
      <c r="GQ734" s="113"/>
      <c r="GR734" s="113"/>
      <c r="GS734" s="113"/>
      <c r="GT734" s="113"/>
      <c r="GU734" s="46">
        <v>0</v>
      </c>
      <c r="GV734" s="113"/>
      <c r="GW734" s="113"/>
      <c r="GX734" s="113"/>
      <c r="GY734" s="113"/>
      <c r="GZ734" s="113"/>
      <c r="HA734" s="46">
        <v>0</v>
      </c>
      <c r="HB734" s="113"/>
      <c r="HC734" s="113"/>
      <c r="HD734" s="113"/>
      <c r="HE734" s="113"/>
      <c r="HF734" s="113"/>
      <c r="HG734" s="46">
        <v>0</v>
      </c>
      <c r="HH734" s="113"/>
      <c r="HI734" s="113"/>
      <c r="HJ734" s="113"/>
      <c r="HK734" s="113"/>
      <c r="HL734" s="113"/>
      <c r="HM734" s="121"/>
      <c r="HN734" s="121"/>
      <c r="LM734" t="str">
        <v/>
      </c>
      <c r="LN734" t="str">
        <v/>
      </c>
      <c r="LO734" t="str">
        <v/>
      </c>
    </row>
    <row r="735" spans="30:327">
      <c r="AD735" t="s">
        <v>112</v>
      </c>
      <c r="AE735" t="s">
        <v>23202</v>
      </c>
      <c r="AF735" s="46">
        <v>0</v>
      </c>
      <c r="AG735" s="113"/>
      <c r="AH735" s="113"/>
      <c r="AI735" s="113"/>
      <c r="AJ735" s="113"/>
      <c r="AK735" s="113"/>
      <c r="AL735" s="46">
        <v>0</v>
      </c>
      <c r="AM735" s="113"/>
      <c r="AN735" s="113"/>
      <c r="AO735" s="113"/>
      <c r="AP735" s="113"/>
      <c r="AQ735" s="113"/>
      <c r="AR735" s="46">
        <v>0</v>
      </c>
      <c r="AS735" s="113"/>
      <c r="AT735" s="113"/>
      <c r="AU735" s="113"/>
      <c r="AV735" s="113"/>
      <c r="AW735" s="113"/>
      <c r="AX735" s="46">
        <v>0</v>
      </c>
      <c r="AY735" s="113"/>
      <c r="AZ735" s="113"/>
      <c r="BA735" s="113"/>
      <c r="BB735" s="113"/>
      <c r="BC735" s="113"/>
      <c r="BD735" s="46">
        <v>0</v>
      </c>
      <c r="BE735" s="113"/>
      <c r="BF735" s="113"/>
      <c r="BG735" s="113"/>
      <c r="BH735" s="113"/>
      <c r="BI735" s="113"/>
      <c r="BJ735" s="46">
        <v>0</v>
      </c>
      <c r="BK735" s="113"/>
      <c r="BL735" s="113"/>
      <c r="BM735" s="113"/>
      <c r="BN735" s="113"/>
      <c r="BO735" s="113"/>
      <c r="BP735" s="121"/>
      <c r="BQ735" s="121"/>
      <c r="GA735" t="s">
        <v>112</v>
      </c>
      <c r="GB735" t="s">
        <v>23202</v>
      </c>
      <c r="GC735" s="46">
        <v>0</v>
      </c>
      <c r="GD735" s="113"/>
      <c r="GE735" s="113"/>
      <c r="GF735" s="113"/>
      <c r="GG735" s="113"/>
      <c r="GH735" s="113"/>
      <c r="GI735" s="46">
        <v>0</v>
      </c>
      <c r="GJ735" s="113"/>
      <c r="GK735" s="113"/>
      <c r="GL735" s="113"/>
      <c r="GM735" s="113"/>
      <c r="GN735" s="113"/>
      <c r="GO735" s="46">
        <v>0</v>
      </c>
      <c r="GP735" s="113"/>
      <c r="GQ735" s="113"/>
      <c r="GR735" s="113"/>
      <c r="GS735" s="113"/>
      <c r="GT735" s="113"/>
      <c r="GU735" s="46">
        <v>0</v>
      </c>
      <c r="GV735" s="113"/>
      <c r="GW735" s="113"/>
      <c r="GX735" s="113"/>
      <c r="GY735" s="113"/>
      <c r="GZ735" s="113"/>
      <c r="HA735" s="46">
        <v>0</v>
      </c>
      <c r="HB735" s="113"/>
      <c r="HC735" s="113"/>
      <c r="HD735" s="113"/>
      <c r="HE735" s="113"/>
      <c r="HF735" s="113"/>
      <c r="HG735" s="46">
        <v>0</v>
      </c>
      <c r="HH735" s="113"/>
      <c r="HI735" s="113"/>
      <c r="HJ735" s="113"/>
      <c r="HK735" s="113"/>
      <c r="HL735" s="113"/>
      <c r="HM735" s="121"/>
      <c r="HN735" s="121"/>
      <c r="LM735" t="str">
        <v/>
      </c>
      <c r="LN735" t="str">
        <v/>
      </c>
      <c r="LO735" t="str">
        <v/>
      </c>
    </row>
    <row r="736" spans="30:327">
      <c r="AD736" t="s">
        <v>112</v>
      </c>
      <c r="AE736" t="s">
        <v>23203</v>
      </c>
      <c r="AF736" s="46">
        <v>0</v>
      </c>
      <c r="AG736" s="113"/>
      <c r="AH736" s="113"/>
      <c r="AI736" s="113"/>
      <c r="AJ736" s="113"/>
      <c r="AK736" s="113"/>
      <c r="AL736" s="46">
        <v>0</v>
      </c>
      <c r="AM736" s="113"/>
      <c r="AN736" s="113"/>
      <c r="AO736" s="113"/>
      <c r="AP736" s="113"/>
      <c r="AQ736" s="113"/>
      <c r="AR736" s="46">
        <v>0</v>
      </c>
      <c r="AS736" s="113"/>
      <c r="AT736" s="113"/>
      <c r="AU736" s="113"/>
      <c r="AV736" s="113"/>
      <c r="AW736" s="113"/>
      <c r="AX736" s="46">
        <v>0</v>
      </c>
      <c r="AY736" s="113"/>
      <c r="AZ736" s="113"/>
      <c r="BA736" s="113"/>
      <c r="BB736" s="113"/>
      <c r="BC736" s="113"/>
      <c r="BD736" s="46">
        <v>0</v>
      </c>
      <c r="BE736" s="113"/>
      <c r="BF736" s="113"/>
      <c r="BG736" s="113"/>
      <c r="BH736" s="113"/>
      <c r="BI736" s="113"/>
      <c r="BJ736" s="46">
        <v>0</v>
      </c>
      <c r="BK736" s="113"/>
      <c r="BL736" s="113"/>
      <c r="BM736" s="113"/>
      <c r="BN736" s="113"/>
      <c r="BO736" s="113"/>
      <c r="BP736" s="121"/>
      <c r="BQ736" s="121"/>
      <c r="GA736" t="s">
        <v>112</v>
      </c>
      <c r="GB736" t="s">
        <v>23203</v>
      </c>
      <c r="GC736" s="46">
        <v>0</v>
      </c>
      <c r="GD736" s="113"/>
      <c r="GE736" s="113"/>
      <c r="GF736" s="113"/>
      <c r="GG736" s="113"/>
      <c r="GH736" s="113"/>
      <c r="GI736" s="46">
        <v>0</v>
      </c>
      <c r="GJ736" s="113"/>
      <c r="GK736" s="113"/>
      <c r="GL736" s="113"/>
      <c r="GM736" s="113"/>
      <c r="GN736" s="113"/>
      <c r="GO736" s="46">
        <v>0</v>
      </c>
      <c r="GP736" s="113"/>
      <c r="GQ736" s="113"/>
      <c r="GR736" s="113"/>
      <c r="GS736" s="113"/>
      <c r="GT736" s="113"/>
      <c r="GU736" s="46">
        <v>0</v>
      </c>
      <c r="GV736" s="113"/>
      <c r="GW736" s="113"/>
      <c r="GX736" s="113"/>
      <c r="GY736" s="113"/>
      <c r="GZ736" s="113"/>
      <c r="HA736" s="46">
        <v>0</v>
      </c>
      <c r="HB736" s="113"/>
      <c r="HC736" s="113"/>
      <c r="HD736" s="113"/>
      <c r="HE736" s="113"/>
      <c r="HF736" s="113"/>
      <c r="HG736" s="46">
        <v>0</v>
      </c>
      <c r="HH736" s="113"/>
      <c r="HI736" s="113"/>
      <c r="HJ736" s="113"/>
      <c r="HK736" s="113"/>
      <c r="HL736" s="113"/>
      <c r="HM736" s="121"/>
      <c r="HN736" s="121"/>
      <c r="LM736" t="str">
        <v/>
      </c>
      <c r="LN736" t="str">
        <v/>
      </c>
      <c r="LO736" t="str">
        <v/>
      </c>
    </row>
    <row r="737" spans="30:327">
      <c r="AD737" t="s">
        <v>112</v>
      </c>
      <c r="AE737" t="s">
        <v>23204</v>
      </c>
      <c r="AF737" s="46">
        <v>0</v>
      </c>
      <c r="AG737" s="113"/>
      <c r="AH737" s="113"/>
      <c r="AI737" s="113"/>
      <c r="AJ737" s="113"/>
      <c r="AK737" s="113"/>
      <c r="AL737" s="46">
        <v>0</v>
      </c>
      <c r="AM737" s="113"/>
      <c r="AN737" s="113"/>
      <c r="AO737" s="113"/>
      <c r="AP737" s="113"/>
      <c r="AQ737" s="113"/>
      <c r="AR737" s="46">
        <v>0</v>
      </c>
      <c r="AS737" s="113"/>
      <c r="AT737" s="113"/>
      <c r="AU737" s="113"/>
      <c r="AV737" s="113"/>
      <c r="AW737" s="113"/>
      <c r="AX737" s="46">
        <v>0</v>
      </c>
      <c r="AY737" s="113"/>
      <c r="AZ737" s="113"/>
      <c r="BA737" s="113"/>
      <c r="BB737" s="113"/>
      <c r="BC737" s="113"/>
      <c r="BD737" s="46">
        <v>0</v>
      </c>
      <c r="BE737" s="113"/>
      <c r="BF737" s="113"/>
      <c r="BG737" s="113"/>
      <c r="BH737" s="113"/>
      <c r="BI737" s="113"/>
      <c r="BJ737" s="46">
        <v>0</v>
      </c>
      <c r="BK737" s="113"/>
      <c r="BL737" s="113"/>
      <c r="BM737" s="113"/>
      <c r="BN737" s="113"/>
      <c r="BO737" s="113"/>
      <c r="BP737" s="121"/>
      <c r="BQ737" s="121"/>
      <c r="GA737" t="s">
        <v>112</v>
      </c>
      <c r="GB737" t="s">
        <v>23204</v>
      </c>
      <c r="GC737" s="46">
        <v>0</v>
      </c>
      <c r="GD737" s="113"/>
      <c r="GE737" s="113"/>
      <c r="GF737" s="113"/>
      <c r="GG737" s="113"/>
      <c r="GH737" s="113"/>
      <c r="GI737" s="46">
        <v>0</v>
      </c>
      <c r="GJ737" s="113"/>
      <c r="GK737" s="113"/>
      <c r="GL737" s="113"/>
      <c r="GM737" s="113"/>
      <c r="GN737" s="113"/>
      <c r="GO737" s="46">
        <v>0</v>
      </c>
      <c r="GP737" s="113"/>
      <c r="GQ737" s="113"/>
      <c r="GR737" s="113"/>
      <c r="GS737" s="113"/>
      <c r="GT737" s="113"/>
      <c r="GU737" s="46">
        <v>0</v>
      </c>
      <c r="GV737" s="113"/>
      <c r="GW737" s="113"/>
      <c r="GX737" s="113"/>
      <c r="GY737" s="113"/>
      <c r="GZ737" s="113"/>
      <c r="HA737" s="46">
        <v>0</v>
      </c>
      <c r="HB737" s="113"/>
      <c r="HC737" s="113"/>
      <c r="HD737" s="113"/>
      <c r="HE737" s="113"/>
      <c r="HF737" s="113"/>
      <c r="HG737" s="46">
        <v>0</v>
      </c>
      <c r="HH737" s="113"/>
      <c r="HI737" s="113"/>
      <c r="HJ737" s="113"/>
      <c r="HK737" s="113"/>
      <c r="HL737" s="113"/>
      <c r="HM737" s="121"/>
      <c r="HN737" s="121"/>
      <c r="LM737" t="str">
        <v/>
      </c>
      <c r="LN737" t="str">
        <v/>
      </c>
      <c r="LO737" t="str">
        <v/>
      </c>
    </row>
    <row r="738" spans="30:327">
      <c r="AD738" t="s">
        <v>112</v>
      </c>
      <c r="AE738" t="s">
        <v>23205</v>
      </c>
      <c r="AF738" s="46">
        <v>0</v>
      </c>
      <c r="AG738" s="113"/>
      <c r="AH738" s="113"/>
      <c r="AI738" s="113"/>
      <c r="AJ738" s="113"/>
      <c r="AK738" s="113"/>
      <c r="AL738" s="46">
        <v>0</v>
      </c>
      <c r="AM738" s="113"/>
      <c r="AN738" s="113"/>
      <c r="AO738" s="113"/>
      <c r="AP738" s="113"/>
      <c r="AQ738" s="113"/>
      <c r="AR738" s="46">
        <v>0</v>
      </c>
      <c r="AS738" s="113"/>
      <c r="AT738" s="113"/>
      <c r="AU738" s="113"/>
      <c r="AV738" s="113"/>
      <c r="AW738" s="113"/>
      <c r="AX738" s="46">
        <v>0</v>
      </c>
      <c r="AY738" s="113"/>
      <c r="AZ738" s="113"/>
      <c r="BA738" s="113"/>
      <c r="BB738" s="113"/>
      <c r="BC738" s="113"/>
      <c r="BD738" s="46">
        <v>0</v>
      </c>
      <c r="BE738" s="113"/>
      <c r="BF738" s="113"/>
      <c r="BG738" s="113"/>
      <c r="BH738" s="113"/>
      <c r="BI738" s="113"/>
      <c r="BJ738" s="46">
        <v>0</v>
      </c>
      <c r="BK738" s="113"/>
      <c r="BL738" s="113"/>
      <c r="BM738" s="113"/>
      <c r="BN738" s="113"/>
      <c r="BO738" s="113"/>
      <c r="BP738" s="121"/>
      <c r="BQ738" s="121"/>
      <c r="GA738" t="s">
        <v>112</v>
      </c>
      <c r="GB738" t="s">
        <v>23205</v>
      </c>
      <c r="GC738" s="46">
        <v>0</v>
      </c>
      <c r="GD738" s="113"/>
      <c r="GE738" s="113"/>
      <c r="GF738" s="113"/>
      <c r="GG738" s="113"/>
      <c r="GH738" s="113"/>
      <c r="GI738" s="46">
        <v>0</v>
      </c>
      <c r="GJ738" s="113"/>
      <c r="GK738" s="113"/>
      <c r="GL738" s="113"/>
      <c r="GM738" s="113"/>
      <c r="GN738" s="113"/>
      <c r="GO738" s="46">
        <v>0</v>
      </c>
      <c r="GP738" s="113"/>
      <c r="GQ738" s="113"/>
      <c r="GR738" s="113"/>
      <c r="GS738" s="113"/>
      <c r="GT738" s="113"/>
      <c r="GU738" s="46">
        <v>0</v>
      </c>
      <c r="GV738" s="113"/>
      <c r="GW738" s="113"/>
      <c r="GX738" s="113"/>
      <c r="GY738" s="113"/>
      <c r="GZ738" s="113"/>
      <c r="HA738" s="46">
        <v>0</v>
      </c>
      <c r="HB738" s="113"/>
      <c r="HC738" s="113"/>
      <c r="HD738" s="113"/>
      <c r="HE738" s="113"/>
      <c r="HF738" s="113"/>
      <c r="HG738" s="46">
        <v>0</v>
      </c>
      <c r="HH738" s="113"/>
      <c r="HI738" s="113"/>
      <c r="HJ738" s="113"/>
      <c r="HK738" s="113"/>
      <c r="HL738" s="113"/>
      <c r="HM738" s="121"/>
      <c r="HN738" s="121"/>
      <c r="LM738" t="str">
        <v/>
      </c>
      <c r="LN738" t="str">
        <v/>
      </c>
      <c r="LO738" t="str">
        <v/>
      </c>
    </row>
    <row r="739" spans="30:327">
      <c r="AD739" t="s">
        <v>112</v>
      </c>
      <c r="AE739" t="s">
        <v>23206</v>
      </c>
      <c r="AF739" s="46">
        <v>0</v>
      </c>
      <c r="AG739" s="113"/>
      <c r="AH739" s="113"/>
      <c r="AI739" s="113"/>
      <c r="AJ739" s="113"/>
      <c r="AK739" s="113"/>
      <c r="AL739" s="46">
        <v>0</v>
      </c>
      <c r="AM739" s="113"/>
      <c r="AN739" s="113"/>
      <c r="AO739" s="113"/>
      <c r="AP739" s="113"/>
      <c r="AQ739" s="113"/>
      <c r="AR739" s="46">
        <v>0</v>
      </c>
      <c r="AS739" s="113"/>
      <c r="AT739" s="113"/>
      <c r="AU739" s="113"/>
      <c r="AV739" s="113"/>
      <c r="AW739" s="113"/>
      <c r="AX739" s="46">
        <v>0</v>
      </c>
      <c r="AY739" s="113"/>
      <c r="AZ739" s="113"/>
      <c r="BA739" s="113"/>
      <c r="BB739" s="113"/>
      <c r="BC739" s="113"/>
      <c r="BD739" s="46">
        <v>0</v>
      </c>
      <c r="BE739" s="113"/>
      <c r="BF739" s="113"/>
      <c r="BG739" s="113"/>
      <c r="BH739" s="113"/>
      <c r="BI739" s="113"/>
      <c r="BJ739" s="46">
        <v>0</v>
      </c>
      <c r="BK739" s="113"/>
      <c r="BL739" s="113"/>
      <c r="BM739" s="113"/>
      <c r="BN739" s="113"/>
      <c r="BO739" s="113"/>
      <c r="BP739" s="121"/>
      <c r="BQ739" s="121"/>
      <c r="GA739" t="s">
        <v>112</v>
      </c>
      <c r="GB739" t="s">
        <v>23206</v>
      </c>
      <c r="GC739" s="46">
        <v>0</v>
      </c>
      <c r="GD739" s="113"/>
      <c r="GE739" s="113"/>
      <c r="GF739" s="113"/>
      <c r="GG739" s="113"/>
      <c r="GH739" s="113"/>
      <c r="GI739" s="46">
        <v>0</v>
      </c>
      <c r="GJ739" s="113"/>
      <c r="GK739" s="113"/>
      <c r="GL739" s="113"/>
      <c r="GM739" s="113"/>
      <c r="GN739" s="113"/>
      <c r="GO739" s="46">
        <v>0</v>
      </c>
      <c r="GP739" s="113"/>
      <c r="GQ739" s="113"/>
      <c r="GR739" s="113"/>
      <c r="GS739" s="113"/>
      <c r="GT739" s="113"/>
      <c r="GU739" s="46">
        <v>0</v>
      </c>
      <c r="GV739" s="113"/>
      <c r="GW739" s="113"/>
      <c r="GX739" s="113"/>
      <c r="GY739" s="113"/>
      <c r="GZ739" s="113"/>
      <c r="HA739" s="46">
        <v>0</v>
      </c>
      <c r="HB739" s="113"/>
      <c r="HC739" s="113"/>
      <c r="HD739" s="113"/>
      <c r="HE739" s="113"/>
      <c r="HF739" s="113"/>
      <c r="HG739" s="46">
        <v>0</v>
      </c>
      <c r="HH739" s="113"/>
      <c r="HI739" s="113"/>
      <c r="HJ739" s="113"/>
      <c r="HK739" s="113"/>
      <c r="HL739" s="113"/>
      <c r="HM739" s="121"/>
      <c r="HN739" s="121"/>
      <c r="LM739" t="str">
        <v/>
      </c>
      <c r="LN739" t="str">
        <v/>
      </c>
      <c r="LO739" t="str">
        <v/>
      </c>
    </row>
    <row r="740" spans="30:327">
      <c r="AD740" t="s">
        <v>112</v>
      </c>
      <c r="AE740" t="s">
        <v>23207</v>
      </c>
      <c r="AF740" s="46">
        <v>0</v>
      </c>
      <c r="AG740" s="113"/>
      <c r="AH740" s="113"/>
      <c r="AI740" s="113"/>
      <c r="AJ740" s="113"/>
      <c r="AK740" s="113"/>
      <c r="AL740" s="46">
        <v>0</v>
      </c>
      <c r="AM740" s="113"/>
      <c r="AN740" s="113"/>
      <c r="AO740" s="113"/>
      <c r="AP740" s="113"/>
      <c r="AQ740" s="113"/>
      <c r="AR740" s="46">
        <v>0</v>
      </c>
      <c r="AS740" s="113"/>
      <c r="AT740" s="113"/>
      <c r="AU740" s="113"/>
      <c r="AV740" s="113"/>
      <c r="AW740" s="113"/>
      <c r="AX740" s="46">
        <v>0</v>
      </c>
      <c r="AY740" s="113"/>
      <c r="AZ740" s="113"/>
      <c r="BA740" s="113"/>
      <c r="BB740" s="113"/>
      <c r="BC740" s="113"/>
      <c r="BD740" s="46">
        <v>0</v>
      </c>
      <c r="BE740" s="113"/>
      <c r="BF740" s="113"/>
      <c r="BG740" s="113"/>
      <c r="BH740" s="113"/>
      <c r="BI740" s="113"/>
      <c r="BJ740" s="46">
        <v>0</v>
      </c>
      <c r="BK740" s="113"/>
      <c r="BL740" s="113"/>
      <c r="BM740" s="113"/>
      <c r="BN740" s="113"/>
      <c r="BO740" s="113"/>
      <c r="BP740" s="121"/>
      <c r="BQ740" s="121"/>
      <c r="GA740" t="s">
        <v>112</v>
      </c>
      <c r="GB740" t="s">
        <v>23207</v>
      </c>
      <c r="GC740" s="46">
        <v>0</v>
      </c>
      <c r="GD740" s="113"/>
      <c r="GE740" s="113"/>
      <c r="GF740" s="113"/>
      <c r="GG740" s="113"/>
      <c r="GH740" s="113"/>
      <c r="GI740" s="46">
        <v>0</v>
      </c>
      <c r="GJ740" s="113"/>
      <c r="GK740" s="113"/>
      <c r="GL740" s="113"/>
      <c r="GM740" s="113"/>
      <c r="GN740" s="113"/>
      <c r="GO740" s="46">
        <v>0</v>
      </c>
      <c r="GP740" s="113"/>
      <c r="GQ740" s="113"/>
      <c r="GR740" s="113"/>
      <c r="GS740" s="113"/>
      <c r="GT740" s="113"/>
      <c r="GU740" s="46">
        <v>0</v>
      </c>
      <c r="GV740" s="113"/>
      <c r="GW740" s="113"/>
      <c r="GX740" s="113"/>
      <c r="GY740" s="113"/>
      <c r="GZ740" s="113"/>
      <c r="HA740" s="46">
        <v>0</v>
      </c>
      <c r="HB740" s="113"/>
      <c r="HC740" s="113"/>
      <c r="HD740" s="113"/>
      <c r="HE740" s="113"/>
      <c r="HF740" s="113"/>
      <c r="HG740" s="46">
        <v>0</v>
      </c>
      <c r="HH740" s="113"/>
      <c r="HI740" s="113"/>
      <c r="HJ740" s="113"/>
      <c r="HK740" s="113"/>
      <c r="HL740" s="113"/>
      <c r="HM740" s="121"/>
      <c r="HN740" s="121"/>
      <c r="LM740" t="str">
        <v/>
      </c>
      <c r="LN740" t="str">
        <v/>
      </c>
      <c r="LO740" t="str">
        <v/>
      </c>
    </row>
    <row r="741" spans="30:327">
      <c r="AD741" t="s">
        <v>112</v>
      </c>
      <c r="AE741" t="s">
        <v>23208</v>
      </c>
      <c r="AF741" s="46">
        <v>0</v>
      </c>
      <c r="AG741" s="113"/>
      <c r="AH741" s="113"/>
      <c r="AI741" s="113"/>
      <c r="AJ741" s="113"/>
      <c r="AK741" s="113"/>
      <c r="AL741" s="46">
        <v>0</v>
      </c>
      <c r="AM741" s="113"/>
      <c r="AN741" s="113"/>
      <c r="AO741" s="113"/>
      <c r="AP741" s="113"/>
      <c r="AQ741" s="113"/>
      <c r="AR741" s="46">
        <v>0</v>
      </c>
      <c r="AS741" s="113"/>
      <c r="AT741" s="113"/>
      <c r="AU741" s="113"/>
      <c r="AV741" s="113"/>
      <c r="AW741" s="113"/>
      <c r="AX741" s="46">
        <v>0</v>
      </c>
      <c r="AY741" s="113"/>
      <c r="AZ741" s="113"/>
      <c r="BA741" s="113"/>
      <c r="BB741" s="113"/>
      <c r="BC741" s="113"/>
      <c r="BD741" s="46">
        <v>0</v>
      </c>
      <c r="BE741" s="113"/>
      <c r="BF741" s="113"/>
      <c r="BG741" s="113"/>
      <c r="BH741" s="113"/>
      <c r="BI741" s="113"/>
      <c r="BJ741" s="46">
        <v>0</v>
      </c>
      <c r="BK741" s="113"/>
      <c r="BL741" s="113"/>
      <c r="BM741" s="113"/>
      <c r="BN741" s="113"/>
      <c r="BO741" s="113"/>
      <c r="BP741" s="121"/>
      <c r="BQ741" s="121"/>
      <c r="GA741" t="s">
        <v>112</v>
      </c>
      <c r="GB741" t="s">
        <v>23208</v>
      </c>
      <c r="GC741" s="46">
        <v>0</v>
      </c>
      <c r="GD741" s="113"/>
      <c r="GE741" s="113"/>
      <c r="GF741" s="113"/>
      <c r="GG741" s="113"/>
      <c r="GH741" s="113"/>
      <c r="GI741" s="46">
        <v>0</v>
      </c>
      <c r="GJ741" s="113"/>
      <c r="GK741" s="113"/>
      <c r="GL741" s="113"/>
      <c r="GM741" s="113"/>
      <c r="GN741" s="113"/>
      <c r="GO741" s="46">
        <v>0</v>
      </c>
      <c r="GP741" s="113"/>
      <c r="GQ741" s="113"/>
      <c r="GR741" s="113"/>
      <c r="GS741" s="113"/>
      <c r="GT741" s="113"/>
      <c r="GU741" s="46">
        <v>0</v>
      </c>
      <c r="GV741" s="113"/>
      <c r="GW741" s="113"/>
      <c r="GX741" s="113"/>
      <c r="GY741" s="113"/>
      <c r="GZ741" s="113"/>
      <c r="HA741" s="46">
        <v>0</v>
      </c>
      <c r="HB741" s="113"/>
      <c r="HC741" s="113"/>
      <c r="HD741" s="113"/>
      <c r="HE741" s="113"/>
      <c r="HF741" s="113"/>
      <c r="HG741" s="46">
        <v>0</v>
      </c>
      <c r="HH741" s="113"/>
      <c r="HI741" s="113"/>
      <c r="HJ741" s="113"/>
      <c r="HK741" s="113"/>
      <c r="HL741" s="113"/>
      <c r="HM741" s="121"/>
      <c r="HN741" s="121"/>
      <c r="LM741" t="str">
        <v/>
      </c>
      <c r="LN741" t="str">
        <v/>
      </c>
      <c r="LO741" t="str">
        <v/>
      </c>
    </row>
    <row r="742" spans="30:327">
      <c r="AD742" t="s">
        <v>112</v>
      </c>
      <c r="AE742" t="s">
        <v>23209</v>
      </c>
      <c r="AF742" s="46">
        <v>0</v>
      </c>
      <c r="AG742" s="113"/>
      <c r="AH742" s="113"/>
      <c r="AI742" s="113"/>
      <c r="AJ742" s="113"/>
      <c r="AK742" s="113"/>
      <c r="AL742" s="46">
        <v>0</v>
      </c>
      <c r="AM742" s="113"/>
      <c r="AN742" s="113"/>
      <c r="AO742" s="113"/>
      <c r="AP742" s="113"/>
      <c r="AQ742" s="113"/>
      <c r="AR742" s="46">
        <v>0</v>
      </c>
      <c r="AS742" s="113"/>
      <c r="AT742" s="113"/>
      <c r="AU742" s="113"/>
      <c r="AV742" s="113"/>
      <c r="AW742" s="113"/>
      <c r="AX742" s="46">
        <v>0</v>
      </c>
      <c r="AY742" s="113"/>
      <c r="AZ742" s="113"/>
      <c r="BA742" s="113"/>
      <c r="BB742" s="113"/>
      <c r="BC742" s="113"/>
      <c r="BD742" s="46">
        <v>0</v>
      </c>
      <c r="BE742" s="113"/>
      <c r="BF742" s="113"/>
      <c r="BG742" s="113"/>
      <c r="BH742" s="113"/>
      <c r="BI742" s="113"/>
      <c r="BJ742" s="46">
        <v>0</v>
      </c>
      <c r="BK742" s="113"/>
      <c r="BL742" s="113"/>
      <c r="BM742" s="113"/>
      <c r="BN742" s="113"/>
      <c r="BO742" s="113"/>
      <c r="BP742" s="121"/>
      <c r="BQ742" s="121"/>
      <c r="GA742" t="s">
        <v>112</v>
      </c>
      <c r="GB742" t="s">
        <v>23209</v>
      </c>
      <c r="GC742" s="46">
        <v>0</v>
      </c>
      <c r="GD742" s="113"/>
      <c r="GE742" s="113"/>
      <c r="GF742" s="113"/>
      <c r="GG742" s="113"/>
      <c r="GH742" s="113"/>
      <c r="GI742" s="46">
        <v>0</v>
      </c>
      <c r="GJ742" s="113"/>
      <c r="GK742" s="113"/>
      <c r="GL742" s="113"/>
      <c r="GM742" s="113"/>
      <c r="GN742" s="113"/>
      <c r="GO742" s="46">
        <v>0</v>
      </c>
      <c r="GP742" s="113"/>
      <c r="GQ742" s="113"/>
      <c r="GR742" s="113"/>
      <c r="GS742" s="113"/>
      <c r="GT742" s="113"/>
      <c r="GU742" s="46">
        <v>0</v>
      </c>
      <c r="GV742" s="113"/>
      <c r="GW742" s="113"/>
      <c r="GX742" s="113"/>
      <c r="GY742" s="113"/>
      <c r="GZ742" s="113"/>
      <c r="HA742" s="46">
        <v>0</v>
      </c>
      <c r="HB742" s="113"/>
      <c r="HC742" s="113"/>
      <c r="HD742" s="113"/>
      <c r="HE742" s="113"/>
      <c r="HF742" s="113"/>
      <c r="HG742" s="46">
        <v>0</v>
      </c>
      <c r="HH742" s="113"/>
      <c r="HI742" s="113"/>
      <c r="HJ742" s="113"/>
      <c r="HK742" s="113"/>
      <c r="HL742" s="113"/>
      <c r="HM742" s="121"/>
      <c r="HN742" s="121"/>
      <c r="LM742" t="str">
        <v/>
      </c>
      <c r="LN742" t="str">
        <v/>
      </c>
      <c r="LO742" t="str">
        <v/>
      </c>
    </row>
    <row r="743" spans="30:327">
      <c r="AD743" t="s">
        <v>112</v>
      </c>
      <c r="AE743" t="s">
        <v>23210</v>
      </c>
      <c r="AF743" s="46">
        <v>0</v>
      </c>
      <c r="AG743" s="113"/>
      <c r="AH743" s="113"/>
      <c r="AI743" s="113"/>
      <c r="AJ743" s="113"/>
      <c r="AK743" s="113"/>
      <c r="AL743" s="46">
        <v>0</v>
      </c>
      <c r="AM743" s="113"/>
      <c r="AN743" s="113"/>
      <c r="AO743" s="113"/>
      <c r="AP743" s="113"/>
      <c r="AQ743" s="113"/>
      <c r="AR743" s="46">
        <v>0</v>
      </c>
      <c r="AS743" s="113"/>
      <c r="AT743" s="113"/>
      <c r="AU743" s="113"/>
      <c r="AV743" s="113"/>
      <c r="AW743" s="113"/>
      <c r="AX743" s="46">
        <v>0</v>
      </c>
      <c r="AY743" s="113"/>
      <c r="AZ743" s="113"/>
      <c r="BA743" s="113"/>
      <c r="BB743" s="113"/>
      <c r="BC743" s="113"/>
      <c r="BD743" s="46">
        <v>0</v>
      </c>
      <c r="BE743" s="113"/>
      <c r="BF743" s="113"/>
      <c r="BG743" s="113"/>
      <c r="BH743" s="113"/>
      <c r="BI743" s="113"/>
      <c r="BJ743" s="46">
        <v>0</v>
      </c>
      <c r="BK743" s="113"/>
      <c r="BL743" s="113"/>
      <c r="BM743" s="113"/>
      <c r="BN743" s="113"/>
      <c r="BO743" s="113"/>
      <c r="BP743" s="121"/>
      <c r="BQ743" s="121"/>
      <c r="GA743" t="s">
        <v>112</v>
      </c>
      <c r="GB743" t="s">
        <v>23210</v>
      </c>
      <c r="GC743" s="46">
        <v>0</v>
      </c>
      <c r="GD743" s="113"/>
      <c r="GE743" s="113"/>
      <c r="GF743" s="113"/>
      <c r="GG743" s="113"/>
      <c r="GH743" s="113"/>
      <c r="GI743" s="46">
        <v>0</v>
      </c>
      <c r="GJ743" s="113"/>
      <c r="GK743" s="113"/>
      <c r="GL743" s="113"/>
      <c r="GM743" s="113"/>
      <c r="GN743" s="113"/>
      <c r="GO743" s="46">
        <v>0</v>
      </c>
      <c r="GP743" s="113"/>
      <c r="GQ743" s="113"/>
      <c r="GR743" s="113"/>
      <c r="GS743" s="113"/>
      <c r="GT743" s="113"/>
      <c r="GU743" s="46">
        <v>0</v>
      </c>
      <c r="GV743" s="113"/>
      <c r="GW743" s="113"/>
      <c r="GX743" s="113"/>
      <c r="GY743" s="113"/>
      <c r="GZ743" s="113"/>
      <c r="HA743" s="46">
        <v>0</v>
      </c>
      <c r="HB743" s="113"/>
      <c r="HC743" s="113"/>
      <c r="HD743" s="113"/>
      <c r="HE743" s="113"/>
      <c r="HF743" s="113"/>
      <c r="HG743" s="46">
        <v>0</v>
      </c>
      <c r="HH743" s="113"/>
      <c r="HI743" s="113"/>
      <c r="HJ743" s="113"/>
      <c r="HK743" s="113"/>
      <c r="HL743" s="113"/>
      <c r="HM743" s="121"/>
      <c r="HN743" s="121"/>
      <c r="LM743" t="str">
        <v/>
      </c>
      <c r="LN743" t="str">
        <v/>
      </c>
      <c r="LO743" t="str">
        <v/>
      </c>
    </row>
    <row r="744" spans="30:327">
      <c r="AD744" t="s">
        <v>112</v>
      </c>
      <c r="AE744" t="s">
        <v>23211</v>
      </c>
      <c r="AF744" s="46">
        <v>0</v>
      </c>
      <c r="AG744" s="113"/>
      <c r="AH744" s="113"/>
      <c r="AI744" s="113"/>
      <c r="AJ744" s="113"/>
      <c r="AK744" s="113"/>
      <c r="AL744" s="46">
        <v>0</v>
      </c>
      <c r="AM744" s="113"/>
      <c r="AN744" s="113"/>
      <c r="AO744" s="113"/>
      <c r="AP744" s="113"/>
      <c r="AQ744" s="113"/>
      <c r="AR744" s="46">
        <v>0</v>
      </c>
      <c r="AS744" s="113"/>
      <c r="AT744" s="113"/>
      <c r="AU744" s="113"/>
      <c r="AV744" s="113"/>
      <c r="AW744" s="113"/>
      <c r="AX744" s="46">
        <v>0</v>
      </c>
      <c r="AY744" s="113"/>
      <c r="AZ744" s="113"/>
      <c r="BA744" s="113"/>
      <c r="BB744" s="113"/>
      <c r="BC744" s="113"/>
      <c r="BD744" s="46">
        <v>0</v>
      </c>
      <c r="BE744" s="113"/>
      <c r="BF744" s="113"/>
      <c r="BG744" s="113"/>
      <c r="BH744" s="113"/>
      <c r="BI744" s="113"/>
      <c r="BJ744" s="46">
        <v>0</v>
      </c>
      <c r="BK744" s="113"/>
      <c r="BL744" s="113"/>
      <c r="BM744" s="113"/>
      <c r="BN744" s="113"/>
      <c r="BO744" s="113"/>
      <c r="BP744" s="121"/>
      <c r="BQ744" s="121"/>
      <c r="GA744" t="s">
        <v>112</v>
      </c>
      <c r="GB744" t="s">
        <v>23211</v>
      </c>
      <c r="GC744" s="46">
        <v>0</v>
      </c>
      <c r="GD744" s="113"/>
      <c r="GE744" s="113"/>
      <c r="GF744" s="113"/>
      <c r="GG744" s="113"/>
      <c r="GH744" s="113"/>
      <c r="GI744" s="46">
        <v>0</v>
      </c>
      <c r="GJ744" s="113"/>
      <c r="GK744" s="113"/>
      <c r="GL744" s="113"/>
      <c r="GM744" s="113"/>
      <c r="GN744" s="113"/>
      <c r="GO744" s="46">
        <v>0</v>
      </c>
      <c r="GP744" s="113"/>
      <c r="GQ744" s="113"/>
      <c r="GR744" s="113"/>
      <c r="GS744" s="113"/>
      <c r="GT744" s="113"/>
      <c r="GU744" s="46">
        <v>0</v>
      </c>
      <c r="GV744" s="113"/>
      <c r="GW744" s="113"/>
      <c r="GX744" s="113"/>
      <c r="GY744" s="113"/>
      <c r="GZ744" s="113"/>
      <c r="HA744" s="46">
        <v>0</v>
      </c>
      <c r="HB744" s="113"/>
      <c r="HC744" s="113"/>
      <c r="HD744" s="113"/>
      <c r="HE744" s="113"/>
      <c r="HF744" s="113"/>
      <c r="HG744" s="46">
        <v>0</v>
      </c>
      <c r="HH744" s="113"/>
      <c r="HI744" s="113"/>
      <c r="HJ744" s="113"/>
      <c r="HK744" s="113"/>
      <c r="HL744" s="113"/>
      <c r="HM744" s="121"/>
      <c r="HN744" s="121"/>
      <c r="LM744" t="str">
        <v/>
      </c>
      <c r="LN744" t="str">
        <v/>
      </c>
      <c r="LO744" t="str">
        <v/>
      </c>
    </row>
    <row r="745" spans="30:327">
      <c r="AD745" t="s">
        <v>112</v>
      </c>
      <c r="AE745" t="s">
        <v>23212</v>
      </c>
      <c r="AF745" s="46">
        <v>0</v>
      </c>
      <c r="AG745" s="113"/>
      <c r="AH745" s="113"/>
      <c r="AI745" s="113"/>
      <c r="AJ745" s="113"/>
      <c r="AK745" s="113"/>
      <c r="AL745" s="46">
        <v>0</v>
      </c>
      <c r="AM745" s="113"/>
      <c r="AN745" s="113"/>
      <c r="AO745" s="113"/>
      <c r="AP745" s="113"/>
      <c r="AQ745" s="113"/>
      <c r="AR745" s="46">
        <v>0</v>
      </c>
      <c r="AS745" s="113"/>
      <c r="AT745" s="113"/>
      <c r="AU745" s="113"/>
      <c r="AV745" s="113"/>
      <c r="AW745" s="113"/>
      <c r="AX745" s="46">
        <v>0</v>
      </c>
      <c r="AY745" s="113"/>
      <c r="AZ745" s="113"/>
      <c r="BA745" s="113"/>
      <c r="BB745" s="113"/>
      <c r="BC745" s="113"/>
      <c r="BD745" s="46">
        <v>0</v>
      </c>
      <c r="BE745" s="113"/>
      <c r="BF745" s="113"/>
      <c r="BG745" s="113"/>
      <c r="BH745" s="113"/>
      <c r="BI745" s="113"/>
      <c r="BJ745" s="46">
        <v>0</v>
      </c>
      <c r="BK745" s="113"/>
      <c r="BL745" s="113"/>
      <c r="BM745" s="113"/>
      <c r="BN745" s="113"/>
      <c r="BO745" s="113"/>
      <c r="BP745" s="121"/>
      <c r="BQ745" s="121"/>
      <c r="GA745" t="s">
        <v>112</v>
      </c>
      <c r="GB745" t="s">
        <v>23212</v>
      </c>
      <c r="GC745" s="46">
        <v>0</v>
      </c>
      <c r="GD745" s="113"/>
      <c r="GE745" s="113"/>
      <c r="GF745" s="113"/>
      <c r="GG745" s="113"/>
      <c r="GH745" s="113"/>
      <c r="GI745" s="46">
        <v>0</v>
      </c>
      <c r="GJ745" s="113"/>
      <c r="GK745" s="113"/>
      <c r="GL745" s="113"/>
      <c r="GM745" s="113"/>
      <c r="GN745" s="113"/>
      <c r="GO745" s="46">
        <v>0</v>
      </c>
      <c r="GP745" s="113"/>
      <c r="GQ745" s="113"/>
      <c r="GR745" s="113"/>
      <c r="GS745" s="113"/>
      <c r="GT745" s="113"/>
      <c r="GU745" s="46">
        <v>0</v>
      </c>
      <c r="GV745" s="113"/>
      <c r="GW745" s="113"/>
      <c r="GX745" s="113"/>
      <c r="GY745" s="113"/>
      <c r="GZ745" s="113"/>
      <c r="HA745" s="46">
        <v>0</v>
      </c>
      <c r="HB745" s="113"/>
      <c r="HC745" s="113"/>
      <c r="HD745" s="113"/>
      <c r="HE745" s="113"/>
      <c r="HF745" s="113"/>
      <c r="HG745" s="46">
        <v>0</v>
      </c>
      <c r="HH745" s="113"/>
      <c r="HI745" s="113"/>
      <c r="HJ745" s="113"/>
      <c r="HK745" s="113"/>
      <c r="HL745" s="113"/>
      <c r="HM745" s="121"/>
      <c r="HN745" s="121"/>
      <c r="LM745" t="str">
        <v/>
      </c>
      <c r="LN745" t="str">
        <v/>
      </c>
      <c r="LO745" t="str">
        <v/>
      </c>
    </row>
    <row r="746" spans="30:327">
      <c r="AD746" t="s">
        <v>112</v>
      </c>
      <c r="AE746" t="s">
        <v>23213</v>
      </c>
      <c r="AF746" s="46">
        <v>0</v>
      </c>
      <c r="AG746" s="113"/>
      <c r="AH746" s="113"/>
      <c r="AI746" s="113"/>
      <c r="AJ746" s="113"/>
      <c r="AK746" s="113"/>
      <c r="AL746" s="46">
        <v>0</v>
      </c>
      <c r="AM746" s="113"/>
      <c r="AN746" s="113"/>
      <c r="AO746" s="113"/>
      <c r="AP746" s="113"/>
      <c r="AQ746" s="113"/>
      <c r="AR746" s="46">
        <v>0</v>
      </c>
      <c r="AS746" s="113"/>
      <c r="AT746" s="113"/>
      <c r="AU746" s="113"/>
      <c r="AV746" s="113"/>
      <c r="AW746" s="113"/>
      <c r="AX746" s="46">
        <v>0</v>
      </c>
      <c r="AY746" s="113"/>
      <c r="AZ746" s="113"/>
      <c r="BA746" s="113"/>
      <c r="BB746" s="113"/>
      <c r="BC746" s="113"/>
      <c r="BD746" s="46">
        <v>0</v>
      </c>
      <c r="BE746" s="113"/>
      <c r="BF746" s="113"/>
      <c r="BG746" s="113"/>
      <c r="BH746" s="113"/>
      <c r="BI746" s="113"/>
      <c r="BJ746" s="46">
        <v>0</v>
      </c>
      <c r="BK746" s="113"/>
      <c r="BL746" s="113"/>
      <c r="BM746" s="113"/>
      <c r="BN746" s="113"/>
      <c r="BO746" s="113"/>
      <c r="BP746" s="121"/>
      <c r="BQ746" s="121"/>
      <c r="GA746" t="s">
        <v>112</v>
      </c>
      <c r="GB746" t="s">
        <v>23213</v>
      </c>
      <c r="GC746" s="46">
        <v>0</v>
      </c>
      <c r="GD746" s="113"/>
      <c r="GE746" s="113"/>
      <c r="GF746" s="113"/>
      <c r="GG746" s="113"/>
      <c r="GH746" s="113"/>
      <c r="GI746" s="46">
        <v>0</v>
      </c>
      <c r="GJ746" s="113"/>
      <c r="GK746" s="113"/>
      <c r="GL746" s="113"/>
      <c r="GM746" s="113"/>
      <c r="GN746" s="113"/>
      <c r="GO746" s="46">
        <v>0</v>
      </c>
      <c r="GP746" s="113"/>
      <c r="GQ746" s="113"/>
      <c r="GR746" s="113"/>
      <c r="GS746" s="113"/>
      <c r="GT746" s="113"/>
      <c r="GU746" s="46">
        <v>0</v>
      </c>
      <c r="GV746" s="113"/>
      <c r="GW746" s="113"/>
      <c r="GX746" s="113"/>
      <c r="GY746" s="113"/>
      <c r="GZ746" s="113"/>
      <c r="HA746" s="46">
        <v>0</v>
      </c>
      <c r="HB746" s="113"/>
      <c r="HC746" s="113"/>
      <c r="HD746" s="113"/>
      <c r="HE746" s="113"/>
      <c r="HF746" s="113"/>
      <c r="HG746" s="46">
        <v>0</v>
      </c>
      <c r="HH746" s="113"/>
      <c r="HI746" s="113"/>
      <c r="HJ746" s="113"/>
      <c r="HK746" s="113"/>
      <c r="HL746" s="113"/>
      <c r="HM746" s="121"/>
      <c r="HN746" s="121"/>
      <c r="LM746" t="str">
        <v/>
      </c>
      <c r="LN746" t="str">
        <v/>
      </c>
      <c r="LO746" t="str">
        <v/>
      </c>
    </row>
    <row r="747" spans="30:327">
      <c r="AD747" t="s">
        <v>112</v>
      </c>
      <c r="AE747" t="s">
        <v>23214</v>
      </c>
      <c r="AF747" s="46">
        <v>0</v>
      </c>
      <c r="AG747" s="113"/>
      <c r="AH747" s="113"/>
      <c r="AI747" s="113"/>
      <c r="AJ747" s="113"/>
      <c r="AK747" s="113"/>
      <c r="AL747" s="46">
        <v>0</v>
      </c>
      <c r="AM747" s="113"/>
      <c r="AN747" s="113"/>
      <c r="AO747" s="113"/>
      <c r="AP747" s="113"/>
      <c r="AQ747" s="113"/>
      <c r="AR747" s="46">
        <v>0</v>
      </c>
      <c r="AS747" s="113"/>
      <c r="AT747" s="113"/>
      <c r="AU747" s="113"/>
      <c r="AV747" s="113"/>
      <c r="AW747" s="113"/>
      <c r="AX747" s="46">
        <v>0</v>
      </c>
      <c r="AY747" s="113"/>
      <c r="AZ747" s="113"/>
      <c r="BA747" s="113"/>
      <c r="BB747" s="113"/>
      <c r="BC747" s="113"/>
      <c r="BD747" s="46">
        <v>0</v>
      </c>
      <c r="BE747" s="113"/>
      <c r="BF747" s="113"/>
      <c r="BG747" s="113"/>
      <c r="BH747" s="113"/>
      <c r="BI747" s="113"/>
      <c r="BJ747" s="46">
        <v>0</v>
      </c>
      <c r="BK747" s="113"/>
      <c r="BL747" s="113"/>
      <c r="BM747" s="113"/>
      <c r="BN747" s="113"/>
      <c r="BO747" s="113"/>
      <c r="BP747" s="121"/>
      <c r="BQ747" s="121"/>
      <c r="GA747" t="s">
        <v>112</v>
      </c>
      <c r="GB747" t="s">
        <v>23214</v>
      </c>
      <c r="GC747" s="46">
        <v>0</v>
      </c>
      <c r="GD747" s="113"/>
      <c r="GE747" s="113"/>
      <c r="GF747" s="113"/>
      <c r="GG747" s="113"/>
      <c r="GH747" s="113"/>
      <c r="GI747" s="46">
        <v>0</v>
      </c>
      <c r="GJ747" s="113"/>
      <c r="GK747" s="113"/>
      <c r="GL747" s="113"/>
      <c r="GM747" s="113"/>
      <c r="GN747" s="113"/>
      <c r="GO747" s="46">
        <v>0</v>
      </c>
      <c r="GP747" s="113"/>
      <c r="GQ747" s="113"/>
      <c r="GR747" s="113"/>
      <c r="GS747" s="113"/>
      <c r="GT747" s="113"/>
      <c r="GU747" s="46">
        <v>0</v>
      </c>
      <c r="GV747" s="113"/>
      <c r="GW747" s="113"/>
      <c r="GX747" s="113"/>
      <c r="GY747" s="113"/>
      <c r="GZ747" s="113"/>
      <c r="HA747" s="46">
        <v>0</v>
      </c>
      <c r="HB747" s="113"/>
      <c r="HC747" s="113"/>
      <c r="HD747" s="113"/>
      <c r="HE747" s="113"/>
      <c r="HF747" s="113"/>
      <c r="HG747" s="46">
        <v>0</v>
      </c>
      <c r="HH747" s="113"/>
      <c r="HI747" s="113"/>
      <c r="HJ747" s="113"/>
      <c r="HK747" s="113"/>
      <c r="HL747" s="113"/>
      <c r="HM747" s="121"/>
      <c r="HN747" s="121"/>
      <c r="LM747" t="str">
        <v/>
      </c>
      <c r="LN747" t="str">
        <v/>
      </c>
      <c r="LO747" t="str">
        <v/>
      </c>
    </row>
    <row r="748" spans="30:327">
      <c r="AD748" t="s">
        <v>112</v>
      </c>
      <c r="AE748" t="s">
        <v>23215</v>
      </c>
      <c r="AF748" s="46">
        <v>0</v>
      </c>
      <c r="AG748" s="113"/>
      <c r="AH748" s="113"/>
      <c r="AI748" s="113"/>
      <c r="AJ748" s="113"/>
      <c r="AK748" s="113"/>
      <c r="AL748" s="46">
        <v>0</v>
      </c>
      <c r="AM748" s="113"/>
      <c r="AN748" s="113"/>
      <c r="AO748" s="113"/>
      <c r="AP748" s="113"/>
      <c r="AQ748" s="113"/>
      <c r="AR748" s="46">
        <v>0</v>
      </c>
      <c r="AS748" s="113"/>
      <c r="AT748" s="113"/>
      <c r="AU748" s="113"/>
      <c r="AV748" s="113"/>
      <c r="AW748" s="113"/>
      <c r="AX748" s="46">
        <v>0</v>
      </c>
      <c r="AY748" s="113"/>
      <c r="AZ748" s="113"/>
      <c r="BA748" s="113"/>
      <c r="BB748" s="113"/>
      <c r="BC748" s="113"/>
      <c r="BD748" s="46">
        <v>0</v>
      </c>
      <c r="BE748" s="113"/>
      <c r="BF748" s="113"/>
      <c r="BG748" s="113"/>
      <c r="BH748" s="113"/>
      <c r="BI748" s="113"/>
      <c r="BJ748" s="46">
        <v>0</v>
      </c>
      <c r="BK748" s="113"/>
      <c r="BL748" s="113"/>
      <c r="BM748" s="113"/>
      <c r="BN748" s="113"/>
      <c r="BO748" s="113"/>
      <c r="BP748" s="121"/>
      <c r="BQ748" s="121"/>
      <c r="GA748" t="s">
        <v>112</v>
      </c>
      <c r="GB748" t="s">
        <v>23215</v>
      </c>
      <c r="GC748" s="46">
        <v>0</v>
      </c>
      <c r="GD748" s="113"/>
      <c r="GE748" s="113"/>
      <c r="GF748" s="113"/>
      <c r="GG748" s="113"/>
      <c r="GH748" s="113"/>
      <c r="GI748" s="46">
        <v>0</v>
      </c>
      <c r="GJ748" s="113"/>
      <c r="GK748" s="113"/>
      <c r="GL748" s="113"/>
      <c r="GM748" s="113"/>
      <c r="GN748" s="113"/>
      <c r="GO748" s="46">
        <v>0</v>
      </c>
      <c r="GP748" s="113"/>
      <c r="GQ748" s="113"/>
      <c r="GR748" s="113"/>
      <c r="GS748" s="113"/>
      <c r="GT748" s="113"/>
      <c r="GU748" s="46">
        <v>0</v>
      </c>
      <c r="GV748" s="113"/>
      <c r="GW748" s="113"/>
      <c r="GX748" s="113"/>
      <c r="GY748" s="113"/>
      <c r="GZ748" s="113"/>
      <c r="HA748" s="46">
        <v>0</v>
      </c>
      <c r="HB748" s="113"/>
      <c r="HC748" s="113"/>
      <c r="HD748" s="113"/>
      <c r="HE748" s="113"/>
      <c r="HF748" s="113"/>
      <c r="HG748" s="46">
        <v>0</v>
      </c>
      <c r="HH748" s="113"/>
      <c r="HI748" s="113"/>
      <c r="HJ748" s="113"/>
      <c r="HK748" s="113"/>
      <c r="HL748" s="113"/>
      <c r="HM748" s="121"/>
      <c r="HN748" s="121"/>
      <c r="LM748" t="str">
        <v/>
      </c>
      <c r="LN748" t="str">
        <v/>
      </c>
      <c r="LO748" t="str">
        <v/>
      </c>
    </row>
    <row r="749" spans="30:327">
      <c r="AD749" t="s">
        <v>112</v>
      </c>
      <c r="AE749" t="s">
        <v>23216</v>
      </c>
      <c r="AF749" s="46">
        <v>0</v>
      </c>
      <c r="AG749" s="113"/>
      <c r="AH749" s="113"/>
      <c r="AI749" s="113"/>
      <c r="AJ749" s="113"/>
      <c r="AK749" s="113"/>
      <c r="AL749" s="46">
        <v>0</v>
      </c>
      <c r="AM749" s="113"/>
      <c r="AN749" s="113"/>
      <c r="AO749" s="113"/>
      <c r="AP749" s="113"/>
      <c r="AQ749" s="113"/>
      <c r="AR749" s="46">
        <v>0</v>
      </c>
      <c r="AS749" s="113"/>
      <c r="AT749" s="113"/>
      <c r="AU749" s="113"/>
      <c r="AV749" s="113"/>
      <c r="AW749" s="113"/>
      <c r="AX749" s="46">
        <v>0</v>
      </c>
      <c r="AY749" s="113"/>
      <c r="AZ749" s="113"/>
      <c r="BA749" s="113"/>
      <c r="BB749" s="113"/>
      <c r="BC749" s="113"/>
      <c r="BD749" s="46">
        <v>0</v>
      </c>
      <c r="BE749" s="113"/>
      <c r="BF749" s="113"/>
      <c r="BG749" s="113"/>
      <c r="BH749" s="113"/>
      <c r="BI749" s="113"/>
      <c r="BJ749" s="46">
        <v>0</v>
      </c>
      <c r="BK749" s="113"/>
      <c r="BL749" s="113"/>
      <c r="BM749" s="113"/>
      <c r="BN749" s="113"/>
      <c r="BO749" s="113"/>
      <c r="BP749" s="121"/>
      <c r="BQ749" s="121"/>
      <c r="GA749" t="s">
        <v>112</v>
      </c>
      <c r="GB749" t="s">
        <v>23216</v>
      </c>
      <c r="GC749" s="46">
        <v>0</v>
      </c>
      <c r="GD749" s="113"/>
      <c r="GE749" s="113"/>
      <c r="GF749" s="113"/>
      <c r="GG749" s="113"/>
      <c r="GH749" s="113"/>
      <c r="GI749" s="46">
        <v>0</v>
      </c>
      <c r="GJ749" s="113"/>
      <c r="GK749" s="113"/>
      <c r="GL749" s="113"/>
      <c r="GM749" s="113"/>
      <c r="GN749" s="113"/>
      <c r="GO749" s="46">
        <v>0</v>
      </c>
      <c r="GP749" s="113"/>
      <c r="GQ749" s="113"/>
      <c r="GR749" s="113"/>
      <c r="GS749" s="113"/>
      <c r="GT749" s="113"/>
      <c r="GU749" s="46">
        <v>0</v>
      </c>
      <c r="GV749" s="113"/>
      <c r="GW749" s="113"/>
      <c r="GX749" s="113"/>
      <c r="GY749" s="113"/>
      <c r="GZ749" s="113"/>
      <c r="HA749" s="46">
        <v>0</v>
      </c>
      <c r="HB749" s="113"/>
      <c r="HC749" s="113"/>
      <c r="HD749" s="113"/>
      <c r="HE749" s="113"/>
      <c r="HF749" s="113"/>
      <c r="HG749" s="46">
        <v>0</v>
      </c>
      <c r="HH749" s="113"/>
      <c r="HI749" s="113"/>
      <c r="HJ749" s="113"/>
      <c r="HK749" s="113"/>
      <c r="HL749" s="113"/>
      <c r="HM749" s="121"/>
      <c r="HN749" s="121"/>
      <c r="LM749" t="str">
        <v/>
      </c>
      <c r="LN749" t="str">
        <v/>
      </c>
      <c r="LO749" t="str">
        <v/>
      </c>
    </row>
    <row r="750" spans="30:327">
      <c r="AD750" t="s">
        <v>114</v>
      </c>
      <c r="AE750" t="s">
        <v>22893</v>
      </c>
      <c r="AF750" s="46">
        <v>0</v>
      </c>
      <c r="AG750" s="113"/>
      <c r="AH750" s="113"/>
      <c r="AI750" s="113"/>
      <c r="AJ750" s="113"/>
      <c r="AK750" s="113"/>
      <c r="AL750" s="46">
        <v>0</v>
      </c>
      <c r="AM750" s="113"/>
      <c r="AN750" s="113"/>
      <c r="AO750" s="113"/>
      <c r="AP750" s="113"/>
      <c r="AQ750" s="113"/>
      <c r="AR750" s="46">
        <v>0</v>
      </c>
      <c r="AS750" s="113"/>
      <c r="AT750" s="113"/>
      <c r="AU750" s="113"/>
      <c r="AV750" s="113"/>
      <c r="AW750" s="113"/>
      <c r="AX750" s="46">
        <v>0</v>
      </c>
      <c r="AY750" s="113"/>
      <c r="AZ750" s="113"/>
      <c r="BA750" s="113"/>
      <c r="BB750" s="113"/>
      <c r="BC750" s="113"/>
      <c r="BD750" s="46">
        <v>0</v>
      </c>
      <c r="BE750" s="113"/>
      <c r="BF750" s="113"/>
      <c r="BG750" s="113"/>
      <c r="BH750" s="113"/>
      <c r="BI750" s="113"/>
      <c r="BJ750" s="46">
        <v>0</v>
      </c>
      <c r="BK750" s="113"/>
      <c r="BL750" s="113"/>
      <c r="BM750" s="113"/>
      <c r="BN750" s="113"/>
      <c r="BO750" s="113"/>
      <c r="BP750" s="121"/>
      <c r="BQ750" s="121"/>
      <c r="GA750" t="s">
        <v>114</v>
      </c>
      <c r="GB750" t="s">
        <v>22893</v>
      </c>
      <c r="GC750" s="46">
        <v>0</v>
      </c>
      <c r="GD750" s="113"/>
      <c r="GE750" s="113"/>
      <c r="GF750" s="113"/>
      <c r="GG750" s="113"/>
      <c r="GH750" s="113"/>
      <c r="GI750" s="46">
        <v>0</v>
      </c>
      <c r="GJ750" s="113"/>
      <c r="GK750" s="113"/>
      <c r="GL750" s="113"/>
      <c r="GM750" s="113"/>
      <c r="GN750" s="113"/>
      <c r="GO750" s="46">
        <v>0</v>
      </c>
      <c r="GP750" s="113"/>
      <c r="GQ750" s="113"/>
      <c r="GR750" s="113"/>
      <c r="GS750" s="113"/>
      <c r="GT750" s="113"/>
      <c r="GU750" s="46">
        <v>0</v>
      </c>
      <c r="GV750" s="113"/>
      <c r="GW750" s="113"/>
      <c r="GX750" s="113"/>
      <c r="GY750" s="113"/>
      <c r="GZ750" s="113"/>
      <c r="HA750" s="46">
        <v>0</v>
      </c>
      <c r="HB750" s="113"/>
      <c r="HC750" s="113"/>
      <c r="HD750" s="113"/>
      <c r="HE750" s="113"/>
      <c r="HF750" s="113"/>
      <c r="HG750" s="46">
        <v>0</v>
      </c>
      <c r="HH750" s="113"/>
      <c r="HI750" s="113"/>
      <c r="HJ750" s="113"/>
      <c r="HK750" s="113"/>
      <c r="HL750" s="113"/>
      <c r="HM750" s="121"/>
      <c r="HN750" s="121"/>
      <c r="LM750" t="str">
        <v/>
      </c>
      <c r="LN750" t="str">
        <v/>
      </c>
      <c r="LO750" t="str">
        <v/>
      </c>
    </row>
    <row r="751" spans="30:327">
      <c r="AD751" t="s">
        <v>114</v>
      </c>
      <c r="AE751" t="s">
        <v>22894</v>
      </c>
      <c r="AF751" s="46">
        <v>0</v>
      </c>
      <c r="AG751" s="113"/>
      <c r="AH751" s="113"/>
      <c r="AI751" s="113"/>
      <c r="AJ751" s="113"/>
      <c r="AK751" s="113"/>
      <c r="AL751" s="46">
        <v>0</v>
      </c>
      <c r="AM751" s="113"/>
      <c r="AN751" s="113"/>
      <c r="AO751" s="113"/>
      <c r="AP751" s="113"/>
      <c r="AQ751" s="113"/>
      <c r="AR751" s="46">
        <v>0</v>
      </c>
      <c r="AS751" s="113"/>
      <c r="AT751" s="113"/>
      <c r="AU751" s="113"/>
      <c r="AV751" s="113"/>
      <c r="AW751" s="113"/>
      <c r="AX751" s="46">
        <v>0</v>
      </c>
      <c r="AY751" s="113"/>
      <c r="AZ751" s="113"/>
      <c r="BA751" s="113"/>
      <c r="BB751" s="113"/>
      <c r="BC751" s="113"/>
      <c r="BD751" s="46">
        <v>0</v>
      </c>
      <c r="BE751" s="113"/>
      <c r="BF751" s="113"/>
      <c r="BG751" s="113"/>
      <c r="BH751" s="113"/>
      <c r="BI751" s="113"/>
      <c r="BJ751" s="46">
        <v>0</v>
      </c>
      <c r="BK751" s="113"/>
      <c r="BL751" s="113"/>
      <c r="BM751" s="113"/>
      <c r="BN751" s="113"/>
      <c r="BO751" s="113"/>
      <c r="BP751" s="121"/>
      <c r="BQ751" s="121"/>
      <c r="GA751" t="s">
        <v>114</v>
      </c>
      <c r="GB751" t="s">
        <v>22894</v>
      </c>
      <c r="GC751" s="46">
        <v>0</v>
      </c>
      <c r="GD751" s="113"/>
      <c r="GE751" s="113"/>
      <c r="GF751" s="113"/>
      <c r="GG751" s="113"/>
      <c r="GH751" s="113"/>
      <c r="GI751" s="46">
        <v>0</v>
      </c>
      <c r="GJ751" s="113"/>
      <c r="GK751" s="113"/>
      <c r="GL751" s="113"/>
      <c r="GM751" s="113"/>
      <c r="GN751" s="113"/>
      <c r="GO751" s="46">
        <v>0</v>
      </c>
      <c r="GP751" s="113"/>
      <c r="GQ751" s="113"/>
      <c r="GR751" s="113"/>
      <c r="GS751" s="113"/>
      <c r="GT751" s="113"/>
      <c r="GU751" s="46">
        <v>0</v>
      </c>
      <c r="GV751" s="113"/>
      <c r="GW751" s="113"/>
      <c r="GX751" s="113"/>
      <c r="GY751" s="113"/>
      <c r="GZ751" s="113"/>
      <c r="HA751" s="46">
        <v>0</v>
      </c>
      <c r="HB751" s="113"/>
      <c r="HC751" s="113"/>
      <c r="HD751" s="113"/>
      <c r="HE751" s="113"/>
      <c r="HF751" s="113"/>
      <c r="HG751" s="46">
        <v>0</v>
      </c>
      <c r="HH751" s="113"/>
      <c r="HI751" s="113"/>
      <c r="HJ751" s="113"/>
      <c r="HK751" s="113"/>
      <c r="HL751" s="113"/>
      <c r="HM751" s="121"/>
      <c r="HN751" s="121"/>
      <c r="LM751" t="str">
        <v/>
      </c>
      <c r="LN751" t="str">
        <v/>
      </c>
      <c r="LO751" t="str">
        <v/>
      </c>
    </row>
    <row r="752" spans="30:327">
      <c r="AD752" t="s">
        <v>114</v>
      </c>
      <c r="AE752" t="s">
        <v>22895</v>
      </c>
      <c r="AF752" s="46">
        <v>0</v>
      </c>
      <c r="AG752" s="113"/>
      <c r="AH752" s="113"/>
      <c r="AI752" s="113"/>
      <c r="AJ752" s="113"/>
      <c r="AK752" s="113"/>
      <c r="AL752" s="46">
        <v>0</v>
      </c>
      <c r="AM752" s="113"/>
      <c r="AN752" s="113"/>
      <c r="AO752" s="113"/>
      <c r="AP752" s="113"/>
      <c r="AQ752" s="113"/>
      <c r="AR752" s="46">
        <v>0</v>
      </c>
      <c r="AS752" s="113"/>
      <c r="AT752" s="113"/>
      <c r="AU752" s="113"/>
      <c r="AV752" s="113"/>
      <c r="AW752" s="113"/>
      <c r="AX752" s="46">
        <v>0</v>
      </c>
      <c r="AY752" s="113"/>
      <c r="AZ752" s="113"/>
      <c r="BA752" s="113"/>
      <c r="BB752" s="113"/>
      <c r="BC752" s="113"/>
      <c r="BD752" s="46">
        <v>0</v>
      </c>
      <c r="BE752" s="113"/>
      <c r="BF752" s="113"/>
      <c r="BG752" s="113"/>
      <c r="BH752" s="113"/>
      <c r="BI752" s="113"/>
      <c r="BJ752" s="46">
        <v>0</v>
      </c>
      <c r="BK752" s="113"/>
      <c r="BL752" s="113"/>
      <c r="BM752" s="113"/>
      <c r="BN752" s="113"/>
      <c r="BO752" s="113"/>
      <c r="BP752" s="121"/>
      <c r="BQ752" s="121"/>
      <c r="GA752" t="s">
        <v>114</v>
      </c>
      <c r="GB752" t="s">
        <v>22895</v>
      </c>
      <c r="GC752" s="46">
        <v>0</v>
      </c>
      <c r="GD752" s="113"/>
      <c r="GE752" s="113"/>
      <c r="GF752" s="113"/>
      <c r="GG752" s="113"/>
      <c r="GH752" s="113"/>
      <c r="GI752" s="46">
        <v>0</v>
      </c>
      <c r="GJ752" s="113"/>
      <c r="GK752" s="113"/>
      <c r="GL752" s="113"/>
      <c r="GM752" s="113"/>
      <c r="GN752" s="113"/>
      <c r="GO752" s="46">
        <v>0</v>
      </c>
      <c r="GP752" s="113"/>
      <c r="GQ752" s="113"/>
      <c r="GR752" s="113"/>
      <c r="GS752" s="113"/>
      <c r="GT752" s="113"/>
      <c r="GU752" s="46">
        <v>0</v>
      </c>
      <c r="GV752" s="113"/>
      <c r="GW752" s="113"/>
      <c r="GX752" s="113"/>
      <c r="GY752" s="113"/>
      <c r="GZ752" s="113"/>
      <c r="HA752" s="46">
        <v>0</v>
      </c>
      <c r="HB752" s="113"/>
      <c r="HC752" s="113"/>
      <c r="HD752" s="113"/>
      <c r="HE752" s="113"/>
      <c r="HF752" s="113"/>
      <c r="HG752" s="46">
        <v>0</v>
      </c>
      <c r="HH752" s="113"/>
      <c r="HI752" s="113"/>
      <c r="HJ752" s="113"/>
      <c r="HK752" s="113"/>
      <c r="HL752" s="113"/>
      <c r="HM752" s="121"/>
      <c r="HN752" s="121"/>
      <c r="LM752" t="str">
        <v/>
      </c>
      <c r="LN752" t="str">
        <v/>
      </c>
      <c r="LO752" t="str">
        <v/>
      </c>
    </row>
    <row r="753" spans="30:327">
      <c r="AD753" t="s">
        <v>114</v>
      </c>
      <c r="AE753" t="s">
        <v>22896</v>
      </c>
      <c r="AF753" s="46">
        <v>0</v>
      </c>
      <c r="AG753" s="113"/>
      <c r="AH753" s="113"/>
      <c r="AI753" s="113"/>
      <c r="AJ753" s="113"/>
      <c r="AK753" s="113"/>
      <c r="AL753" s="46">
        <v>0</v>
      </c>
      <c r="AM753" s="113"/>
      <c r="AN753" s="113"/>
      <c r="AO753" s="113"/>
      <c r="AP753" s="113"/>
      <c r="AQ753" s="113"/>
      <c r="AR753" s="46">
        <v>0</v>
      </c>
      <c r="AS753" s="113"/>
      <c r="AT753" s="113"/>
      <c r="AU753" s="113"/>
      <c r="AV753" s="113"/>
      <c r="AW753" s="113"/>
      <c r="AX753" s="46">
        <v>0</v>
      </c>
      <c r="AY753" s="113"/>
      <c r="AZ753" s="113"/>
      <c r="BA753" s="113"/>
      <c r="BB753" s="113"/>
      <c r="BC753" s="113"/>
      <c r="BD753" s="46">
        <v>0</v>
      </c>
      <c r="BE753" s="113"/>
      <c r="BF753" s="113"/>
      <c r="BG753" s="113"/>
      <c r="BH753" s="113"/>
      <c r="BI753" s="113"/>
      <c r="BJ753" s="46">
        <v>0</v>
      </c>
      <c r="BK753" s="113"/>
      <c r="BL753" s="113"/>
      <c r="BM753" s="113"/>
      <c r="BN753" s="113"/>
      <c r="BO753" s="113"/>
      <c r="BP753" s="121"/>
      <c r="BQ753" s="121"/>
      <c r="GA753" t="s">
        <v>114</v>
      </c>
      <c r="GB753" t="s">
        <v>22896</v>
      </c>
      <c r="GC753" s="46">
        <v>0</v>
      </c>
      <c r="GD753" s="113"/>
      <c r="GE753" s="113"/>
      <c r="GF753" s="113"/>
      <c r="GG753" s="113"/>
      <c r="GH753" s="113"/>
      <c r="GI753" s="46">
        <v>0</v>
      </c>
      <c r="GJ753" s="113"/>
      <c r="GK753" s="113"/>
      <c r="GL753" s="113"/>
      <c r="GM753" s="113"/>
      <c r="GN753" s="113"/>
      <c r="GO753" s="46">
        <v>0</v>
      </c>
      <c r="GP753" s="113"/>
      <c r="GQ753" s="113"/>
      <c r="GR753" s="113"/>
      <c r="GS753" s="113"/>
      <c r="GT753" s="113"/>
      <c r="GU753" s="46">
        <v>0</v>
      </c>
      <c r="GV753" s="113"/>
      <c r="GW753" s="113"/>
      <c r="GX753" s="113"/>
      <c r="GY753" s="113"/>
      <c r="GZ753" s="113"/>
      <c r="HA753" s="46">
        <v>0</v>
      </c>
      <c r="HB753" s="113"/>
      <c r="HC753" s="113"/>
      <c r="HD753" s="113"/>
      <c r="HE753" s="113"/>
      <c r="HF753" s="113"/>
      <c r="HG753" s="46">
        <v>0</v>
      </c>
      <c r="HH753" s="113"/>
      <c r="HI753" s="113"/>
      <c r="HJ753" s="113"/>
      <c r="HK753" s="113"/>
      <c r="HL753" s="113"/>
      <c r="HM753" s="121"/>
      <c r="HN753" s="121"/>
      <c r="LM753" t="str">
        <v/>
      </c>
      <c r="LN753" t="str">
        <v/>
      </c>
      <c r="LO753" t="str">
        <v/>
      </c>
    </row>
    <row r="754" spans="30:327">
      <c r="AD754" t="s">
        <v>114</v>
      </c>
      <c r="AE754" t="s">
        <v>22897</v>
      </c>
      <c r="AF754" s="46">
        <v>0</v>
      </c>
      <c r="AG754" s="113"/>
      <c r="AH754" s="113"/>
      <c r="AI754" s="113"/>
      <c r="AJ754" s="113"/>
      <c r="AK754" s="113"/>
      <c r="AL754" s="46">
        <v>0</v>
      </c>
      <c r="AM754" s="113"/>
      <c r="AN754" s="113"/>
      <c r="AO754" s="113"/>
      <c r="AP754" s="113"/>
      <c r="AQ754" s="113"/>
      <c r="AR754" s="46">
        <v>0</v>
      </c>
      <c r="AS754" s="113"/>
      <c r="AT754" s="113"/>
      <c r="AU754" s="113"/>
      <c r="AV754" s="113"/>
      <c r="AW754" s="113"/>
      <c r="AX754" s="46">
        <v>0</v>
      </c>
      <c r="AY754" s="113"/>
      <c r="AZ754" s="113"/>
      <c r="BA754" s="113"/>
      <c r="BB754" s="113"/>
      <c r="BC754" s="113"/>
      <c r="BD754" s="46">
        <v>0</v>
      </c>
      <c r="BE754" s="113"/>
      <c r="BF754" s="113"/>
      <c r="BG754" s="113"/>
      <c r="BH754" s="113"/>
      <c r="BI754" s="113"/>
      <c r="BJ754" s="46">
        <v>0</v>
      </c>
      <c r="BK754" s="113"/>
      <c r="BL754" s="113"/>
      <c r="BM754" s="113"/>
      <c r="BN754" s="113"/>
      <c r="BO754" s="113"/>
      <c r="BP754" s="121"/>
      <c r="BQ754" s="121"/>
      <c r="GA754" t="s">
        <v>114</v>
      </c>
      <c r="GB754" t="s">
        <v>22897</v>
      </c>
      <c r="GC754" s="46">
        <v>0</v>
      </c>
      <c r="GD754" s="113"/>
      <c r="GE754" s="113"/>
      <c r="GF754" s="113"/>
      <c r="GG754" s="113"/>
      <c r="GH754" s="113"/>
      <c r="GI754" s="46">
        <v>0</v>
      </c>
      <c r="GJ754" s="113"/>
      <c r="GK754" s="113"/>
      <c r="GL754" s="113"/>
      <c r="GM754" s="113"/>
      <c r="GN754" s="113"/>
      <c r="GO754" s="46">
        <v>0</v>
      </c>
      <c r="GP754" s="113"/>
      <c r="GQ754" s="113"/>
      <c r="GR754" s="113"/>
      <c r="GS754" s="113"/>
      <c r="GT754" s="113"/>
      <c r="GU754" s="46">
        <v>0</v>
      </c>
      <c r="GV754" s="113"/>
      <c r="GW754" s="113"/>
      <c r="GX754" s="113"/>
      <c r="GY754" s="113"/>
      <c r="GZ754" s="113"/>
      <c r="HA754" s="46">
        <v>0</v>
      </c>
      <c r="HB754" s="113"/>
      <c r="HC754" s="113"/>
      <c r="HD754" s="113"/>
      <c r="HE754" s="113"/>
      <c r="HF754" s="113"/>
      <c r="HG754" s="46">
        <v>0</v>
      </c>
      <c r="HH754" s="113"/>
      <c r="HI754" s="113"/>
      <c r="HJ754" s="113"/>
      <c r="HK754" s="113"/>
      <c r="HL754" s="113"/>
      <c r="HM754" s="121"/>
      <c r="HN754" s="121"/>
      <c r="LM754" t="str">
        <v/>
      </c>
      <c r="LN754" t="str">
        <v/>
      </c>
      <c r="LO754" t="str">
        <v/>
      </c>
    </row>
    <row r="755" spans="30:327">
      <c r="AD755" t="s">
        <v>114</v>
      </c>
      <c r="AE755" t="s">
        <v>22898</v>
      </c>
      <c r="AF755" s="46">
        <v>0</v>
      </c>
      <c r="AG755" s="113"/>
      <c r="AH755" s="113"/>
      <c r="AI755" s="113"/>
      <c r="AJ755" s="113"/>
      <c r="AK755" s="113"/>
      <c r="AL755" s="46">
        <v>0</v>
      </c>
      <c r="AM755" s="113"/>
      <c r="AN755" s="113"/>
      <c r="AO755" s="113"/>
      <c r="AP755" s="113"/>
      <c r="AQ755" s="113"/>
      <c r="AR755" s="46">
        <v>0</v>
      </c>
      <c r="AS755" s="113"/>
      <c r="AT755" s="113"/>
      <c r="AU755" s="113"/>
      <c r="AV755" s="113"/>
      <c r="AW755" s="113"/>
      <c r="AX755" s="46">
        <v>0</v>
      </c>
      <c r="AY755" s="113"/>
      <c r="AZ755" s="113"/>
      <c r="BA755" s="113"/>
      <c r="BB755" s="113"/>
      <c r="BC755" s="113"/>
      <c r="BD755" s="46">
        <v>0</v>
      </c>
      <c r="BE755" s="113"/>
      <c r="BF755" s="113"/>
      <c r="BG755" s="113"/>
      <c r="BH755" s="113"/>
      <c r="BI755" s="113"/>
      <c r="BJ755" s="46">
        <v>0</v>
      </c>
      <c r="BK755" s="113"/>
      <c r="BL755" s="113"/>
      <c r="BM755" s="113"/>
      <c r="BN755" s="113"/>
      <c r="BO755" s="113"/>
      <c r="BP755" s="121"/>
      <c r="BQ755" s="121"/>
      <c r="GA755" t="s">
        <v>114</v>
      </c>
      <c r="GB755" t="s">
        <v>22898</v>
      </c>
      <c r="GC755" s="46">
        <v>0</v>
      </c>
      <c r="GD755" s="113"/>
      <c r="GE755" s="113"/>
      <c r="GF755" s="113"/>
      <c r="GG755" s="113"/>
      <c r="GH755" s="113"/>
      <c r="GI755" s="46">
        <v>0</v>
      </c>
      <c r="GJ755" s="113"/>
      <c r="GK755" s="113"/>
      <c r="GL755" s="113"/>
      <c r="GM755" s="113"/>
      <c r="GN755" s="113"/>
      <c r="GO755" s="46">
        <v>0</v>
      </c>
      <c r="GP755" s="113"/>
      <c r="GQ755" s="113"/>
      <c r="GR755" s="113"/>
      <c r="GS755" s="113"/>
      <c r="GT755" s="113"/>
      <c r="GU755" s="46">
        <v>0</v>
      </c>
      <c r="GV755" s="113"/>
      <c r="GW755" s="113"/>
      <c r="GX755" s="113"/>
      <c r="GY755" s="113"/>
      <c r="GZ755" s="113"/>
      <c r="HA755" s="46">
        <v>0</v>
      </c>
      <c r="HB755" s="113"/>
      <c r="HC755" s="113"/>
      <c r="HD755" s="113"/>
      <c r="HE755" s="113"/>
      <c r="HF755" s="113"/>
      <c r="HG755" s="46">
        <v>0</v>
      </c>
      <c r="HH755" s="113"/>
      <c r="HI755" s="113"/>
      <c r="HJ755" s="113"/>
      <c r="HK755" s="113"/>
      <c r="HL755" s="113"/>
      <c r="HM755" s="121"/>
      <c r="HN755" s="121"/>
      <c r="LM755" t="str">
        <v/>
      </c>
      <c r="LN755" t="str">
        <v/>
      </c>
      <c r="LO755" t="str">
        <v/>
      </c>
    </row>
    <row r="756" spans="30:327">
      <c r="AD756" t="s">
        <v>114</v>
      </c>
      <c r="AE756" t="s">
        <v>22899</v>
      </c>
      <c r="AF756" s="46">
        <v>0</v>
      </c>
      <c r="AG756" s="113"/>
      <c r="AH756" s="113"/>
      <c r="AI756" s="113"/>
      <c r="AJ756" s="113"/>
      <c r="AK756" s="113"/>
      <c r="AL756" s="46">
        <v>0</v>
      </c>
      <c r="AM756" s="113"/>
      <c r="AN756" s="113"/>
      <c r="AO756" s="113"/>
      <c r="AP756" s="113"/>
      <c r="AQ756" s="113"/>
      <c r="AR756" s="46">
        <v>0</v>
      </c>
      <c r="AS756" s="113"/>
      <c r="AT756" s="113"/>
      <c r="AU756" s="113"/>
      <c r="AV756" s="113"/>
      <c r="AW756" s="113"/>
      <c r="AX756" s="46">
        <v>0</v>
      </c>
      <c r="AY756" s="113"/>
      <c r="AZ756" s="113"/>
      <c r="BA756" s="113"/>
      <c r="BB756" s="113"/>
      <c r="BC756" s="113"/>
      <c r="BD756" s="46">
        <v>0</v>
      </c>
      <c r="BE756" s="113"/>
      <c r="BF756" s="113"/>
      <c r="BG756" s="113"/>
      <c r="BH756" s="113"/>
      <c r="BI756" s="113"/>
      <c r="BJ756" s="46">
        <v>0</v>
      </c>
      <c r="BK756" s="113"/>
      <c r="BL756" s="113"/>
      <c r="BM756" s="113"/>
      <c r="BN756" s="113"/>
      <c r="BO756" s="113"/>
      <c r="BP756" s="121"/>
      <c r="BQ756" s="121"/>
      <c r="GA756" t="s">
        <v>114</v>
      </c>
      <c r="GB756" t="s">
        <v>22899</v>
      </c>
      <c r="GC756" s="46">
        <v>0</v>
      </c>
      <c r="GD756" s="113"/>
      <c r="GE756" s="113"/>
      <c r="GF756" s="113"/>
      <c r="GG756" s="113"/>
      <c r="GH756" s="113"/>
      <c r="GI756" s="46">
        <v>0</v>
      </c>
      <c r="GJ756" s="113"/>
      <c r="GK756" s="113"/>
      <c r="GL756" s="113"/>
      <c r="GM756" s="113"/>
      <c r="GN756" s="113"/>
      <c r="GO756" s="46">
        <v>0</v>
      </c>
      <c r="GP756" s="113"/>
      <c r="GQ756" s="113"/>
      <c r="GR756" s="113"/>
      <c r="GS756" s="113"/>
      <c r="GT756" s="113"/>
      <c r="GU756" s="46">
        <v>0</v>
      </c>
      <c r="GV756" s="113"/>
      <c r="GW756" s="113"/>
      <c r="GX756" s="113"/>
      <c r="GY756" s="113"/>
      <c r="GZ756" s="113"/>
      <c r="HA756" s="46">
        <v>0</v>
      </c>
      <c r="HB756" s="113"/>
      <c r="HC756" s="113"/>
      <c r="HD756" s="113"/>
      <c r="HE756" s="113"/>
      <c r="HF756" s="113"/>
      <c r="HG756" s="46">
        <v>0</v>
      </c>
      <c r="HH756" s="113"/>
      <c r="HI756" s="113"/>
      <c r="HJ756" s="113"/>
      <c r="HK756" s="113"/>
      <c r="HL756" s="113"/>
      <c r="HM756" s="121"/>
      <c r="HN756" s="121"/>
      <c r="LM756" t="str">
        <v/>
      </c>
      <c r="LN756" t="str">
        <v/>
      </c>
      <c r="LO756" t="str">
        <v/>
      </c>
    </row>
    <row r="757" spans="30:327">
      <c r="AD757" t="s">
        <v>114</v>
      </c>
      <c r="AE757" t="s">
        <v>22900</v>
      </c>
      <c r="AF757" s="46">
        <v>0</v>
      </c>
      <c r="AG757" s="113"/>
      <c r="AH757" s="113"/>
      <c r="AI757" s="113"/>
      <c r="AJ757" s="113"/>
      <c r="AK757" s="113"/>
      <c r="AL757" s="46">
        <v>0</v>
      </c>
      <c r="AM757" s="113"/>
      <c r="AN757" s="113"/>
      <c r="AO757" s="113"/>
      <c r="AP757" s="113"/>
      <c r="AQ757" s="113"/>
      <c r="AR757" s="46">
        <v>0</v>
      </c>
      <c r="AS757" s="113"/>
      <c r="AT757" s="113"/>
      <c r="AU757" s="113"/>
      <c r="AV757" s="113"/>
      <c r="AW757" s="113"/>
      <c r="AX757" s="46">
        <v>0</v>
      </c>
      <c r="AY757" s="113"/>
      <c r="AZ757" s="113"/>
      <c r="BA757" s="113"/>
      <c r="BB757" s="113"/>
      <c r="BC757" s="113"/>
      <c r="BD757" s="46">
        <v>0</v>
      </c>
      <c r="BE757" s="113"/>
      <c r="BF757" s="113"/>
      <c r="BG757" s="113"/>
      <c r="BH757" s="113"/>
      <c r="BI757" s="113"/>
      <c r="BJ757" s="46">
        <v>0</v>
      </c>
      <c r="BK757" s="113"/>
      <c r="BL757" s="113"/>
      <c r="BM757" s="113"/>
      <c r="BN757" s="113"/>
      <c r="BO757" s="113"/>
      <c r="BP757" s="121"/>
      <c r="BQ757" s="121"/>
      <c r="GA757" t="s">
        <v>114</v>
      </c>
      <c r="GB757" t="s">
        <v>22900</v>
      </c>
      <c r="GC757" s="46">
        <v>0</v>
      </c>
      <c r="GD757" s="113"/>
      <c r="GE757" s="113"/>
      <c r="GF757" s="113"/>
      <c r="GG757" s="113"/>
      <c r="GH757" s="113"/>
      <c r="GI757" s="46">
        <v>0</v>
      </c>
      <c r="GJ757" s="113"/>
      <c r="GK757" s="113"/>
      <c r="GL757" s="113"/>
      <c r="GM757" s="113"/>
      <c r="GN757" s="113"/>
      <c r="GO757" s="46">
        <v>0</v>
      </c>
      <c r="GP757" s="113"/>
      <c r="GQ757" s="113"/>
      <c r="GR757" s="113"/>
      <c r="GS757" s="113"/>
      <c r="GT757" s="113"/>
      <c r="GU757" s="46">
        <v>0</v>
      </c>
      <c r="GV757" s="113"/>
      <c r="GW757" s="113"/>
      <c r="GX757" s="113"/>
      <c r="GY757" s="113"/>
      <c r="GZ757" s="113"/>
      <c r="HA757" s="46">
        <v>0</v>
      </c>
      <c r="HB757" s="113"/>
      <c r="HC757" s="113"/>
      <c r="HD757" s="113"/>
      <c r="HE757" s="113"/>
      <c r="HF757" s="113"/>
      <c r="HG757" s="46">
        <v>0</v>
      </c>
      <c r="HH757" s="113"/>
      <c r="HI757" s="113"/>
      <c r="HJ757" s="113"/>
      <c r="HK757" s="113"/>
      <c r="HL757" s="113"/>
      <c r="HM757" s="121"/>
      <c r="HN757" s="121"/>
      <c r="LM757" t="str">
        <v/>
      </c>
      <c r="LN757" t="str">
        <v/>
      </c>
      <c r="LO757" t="str">
        <v/>
      </c>
    </row>
    <row r="758" spans="30:327">
      <c r="AD758" t="s">
        <v>114</v>
      </c>
      <c r="AE758" t="s">
        <v>22901</v>
      </c>
      <c r="AF758" s="46">
        <v>0</v>
      </c>
      <c r="AG758" s="113"/>
      <c r="AH758" s="113"/>
      <c r="AI758" s="113"/>
      <c r="AJ758" s="113"/>
      <c r="AK758" s="113"/>
      <c r="AL758" s="46">
        <v>0</v>
      </c>
      <c r="AM758" s="113"/>
      <c r="AN758" s="113"/>
      <c r="AO758" s="113"/>
      <c r="AP758" s="113"/>
      <c r="AQ758" s="113"/>
      <c r="AR758" s="46">
        <v>0</v>
      </c>
      <c r="AS758" s="113"/>
      <c r="AT758" s="113"/>
      <c r="AU758" s="113"/>
      <c r="AV758" s="113"/>
      <c r="AW758" s="113"/>
      <c r="AX758" s="46">
        <v>0</v>
      </c>
      <c r="AY758" s="113"/>
      <c r="AZ758" s="113"/>
      <c r="BA758" s="113"/>
      <c r="BB758" s="113"/>
      <c r="BC758" s="113"/>
      <c r="BD758" s="46">
        <v>0</v>
      </c>
      <c r="BE758" s="113"/>
      <c r="BF758" s="113"/>
      <c r="BG758" s="113"/>
      <c r="BH758" s="113"/>
      <c r="BI758" s="113"/>
      <c r="BJ758" s="46">
        <v>0</v>
      </c>
      <c r="BK758" s="113"/>
      <c r="BL758" s="113"/>
      <c r="BM758" s="113"/>
      <c r="BN758" s="113"/>
      <c r="BO758" s="113"/>
      <c r="BP758" s="121"/>
      <c r="BQ758" s="121"/>
      <c r="GA758" t="s">
        <v>114</v>
      </c>
      <c r="GB758" t="s">
        <v>22901</v>
      </c>
      <c r="GC758" s="46">
        <v>0</v>
      </c>
      <c r="GD758" s="113"/>
      <c r="GE758" s="113"/>
      <c r="GF758" s="113"/>
      <c r="GG758" s="113"/>
      <c r="GH758" s="113"/>
      <c r="GI758" s="46">
        <v>0</v>
      </c>
      <c r="GJ758" s="113"/>
      <c r="GK758" s="113"/>
      <c r="GL758" s="113"/>
      <c r="GM758" s="113"/>
      <c r="GN758" s="113"/>
      <c r="GO758" s="46">
        <v>0</v>
      </c>
      <c r="GP758" s="113"/>
      <c r="GQ758" s="113"/>
      <c r="GR758" s="113"/>
      <c r="GS758" s="113"/>
      <c r="GT758" s="113"/>
      <c r="GU758" s="46">
        <v>0</v>
      </c>
      <c r="GV758" s="113"/>
      <c r="GW758" s="113"/>
      <c r="GX758" s="113"/>
      <c r="GY758" s="113"/>
      <c r="GZ758" s="113"/>
      <c r="HA758" s="46">
        <v>0</v>
      </c>
      <c r="HB758" s="113"/>
      <c r="HC758" s="113"/>
      <c r="HD758" s="113"/>
      <c r="HE758" s="113"/>
      <c r="HF758" s="113"/>
      <c r="HG758" s="46">
        <v>0</v>
      </c>
      <c r="HH758" s="113"/>
      <c r="HI758" s="113"/>
      <c r="HJ758" s="113"/>
      <c r="HK758" s="113"/>
      <c r="HL758" s="113"/>
      <c r="HM758" s="121"/>
      <c r="HN758" s="121"/>
      <c r="LM758" t="str">
        <v/>
      </c>
      <c r="LN758" t="str">
        <v/>
      </c>
      <c r="LO758" t="str">
        <v/>
      </c>
    </row>
    <row r="759" spans="30:327">
      <c r="AD759" t="s">
        <v>114</v>
      </c>
      <c r="AE759" t="s">
        <v>22902</v>
      </c>
      <c r="AF759" s="46">
        <v>0</v>
      </c>
      <c r="AG759" s="113"/>
      <c r="AH759" s="113"/>
      <c r="AI759" s="113"/>
      <c r="AJ759" s="113"/>
      <c r="AK759" s="113"/>
      <c r="AL759" s="46">
        <v>0</v>
      </c>
      <c r="AM759" s="113"/>
      <c r="AN759" s="113"/>
      <c r="AO759" s="113"/>
      <c r="AP759" s="113"/>
      <c r="AQ759" s="113"/>
      <c r="AR759" s="46">
        <v>0</v>
      </c>
      <c r="AS759" s="113"/>
      <c r="AT759" s="113"/>
      <c r="AU759" s="113"/>
      <c r="AV759" s="113"/>
      <c r="AW759" s="113"/>
      <c r="AX759" s="46">
        <v>0</v>
      </c>
      <c r="AY759" s="113"/>
      <c r="AZ759" s="113"/>
      <c r="BA759" s="113"/>
      <c r="BB759" s="113"/>
      <c r="BC759" s="113"/>
      <c r="BD759" s="46">
        <v>0</v>
      </c>
      <c r="BE759" s="113"/>
      <c r="BF759" s="113"/>
      <c r="BG759" s="113"/>
      <c r="BH759" s="113"/>
      <c r="BI759" s="113"/>
      <c r="BJ759" s="46">
        <v>0</v>
      </c>
      <c r="BK759" s="113"/>
      <c r="BL759" s="113"/>
      <c r="BM759" s="113"/>
      <c r="BN759" s="113"/>
      <c r="BO759" s="113"/>
      <c r="BP759" s="121"/>
      <c r="BQ759" s="121"/>
      <c r="GA759" t="s">
        <v>114</v>
      </c>
      <c r="GB759" t="s">
        <v>22902</v>
      </c>
      <c r="GC759" s="46">
        <v>0</v>
      </c>
      <c r="GD759" s="113"/>
      <c r="GE759" s="113"/>
      <c r="GF759" s="113"/>
      <c r="GG759" s="113"/>
      <c r="GH759" s="113"/>
      <c r="GI759" s="46">
        <v>0</v>
      </c>
      <c r="GJ759" s="113"/>
      <c r="GK759" s="113"/>
      <c r="GL759" s="113"/>
      <c r="GM759" s="113"/>
      <c r="GN759" s="113"/>
      <c r="GO759" s="46">
        <v>0</v>
      </c>
      <c r="GP759" s="113"/>
      <c r="GQ759" s="113"/>
      <c r="GR759" s="113"/>
      <c r="GS759" s="113"/>
      <c r="GT759" s="113"/>
      <c r="GU759" s="46">
        <v>0</v>
      </c>
      <c r="GV759" s="113"/>
      <c r="GW759" s="113"/>
      <c r="GX759" s="113"/>
      <c r="GY759" s="113"/>
      <c r="GZ759" s="113"/>
      <c r="HA759" s="46">
        <v>0</v>
      </c>
      <c r="HB759" s="113"/>
      <c r="HC759" s="113"/>
      <c r="HD759" s="113"/>
      <c r="HE759" s="113"/>
      <c r="HF759" s="113"/>
      <c r="HG759" s="46">
        <v>0</v>
      </c>
      <c r="HH759" s="113"/>
      <c r="HI759" s="113"/>
      <c r="HJ759" s="113"/>
      <c r="HK759" s="113"/>
      <c r="HL759" s="113"/>
      <c r="HM759" s="121"/>
      <c r="HN759" s="121"/>
      <c r="LM759" t="str">
        <v/>
      </c>
      <c r="LN759" t="str">
        <v/>
      </c>
      <c r="LO759" t="str">
        <v/>
      </c>
    </row>
    <row r="760" spans="30:327">
      <c r="AD760" t="s">
        <v>114</v>
      </c>
      <c r="AE760" t="s">
        <v>22903</v>
      </c>
      <c r="AF760" s="46">
        <v>0</v>
      </c>
      <c r="AG760" s="113"/>
      <c r="AH760" s="113"/>
      <c r="AI760" s="113"/>
      <c r="AJ760" s="113"/>
      <c r="AK760" s="113"/>
      <c r="AL760" s="46">
        <v>0</v>
      </c>
      <c r="AM760" s="113"/>
      <c r="AN760" s="113"/>
      <c r="AO760" s="113"/>
      <c r="AP760" s="113"/>
      <c r="AQ760" s="113"/>
      <c r="AR760" s="46">
        <v>0</v>
      </c>
      <c r="AS760" s="113"/>
      <c r="AT760" s="113"/>
      <c r="AU760" s="113"/>
      <c r="AV760" s="113"/>
      <c r="AW760" s="113"/>
      <c r="AX760" s="46">
        <v>0</v>
      </c>
      <c r="AY760" s="113"/>
      <c r="AZ760" s="113"/>
      <c r="BA760" s="113"/>
      <c r="BB760" s="113"/>
      <c r="BC760" s="113"/>
      <c r="BD760" s="46">
        <v>0</v>
      </c>
      <c r="BE760" s="113"/>
      <c r="BF760" s="113"/>
      <c r="BG760" s="113"/>
      <c r="BH760" s="113"/>
      <c r="BI760" s="113"/>
      <c r="BJ760" s="46">
        <v>0</v>
      </c>
      <c r="BK760" s="113"/>
      <c r="BL760" s="113"/>
      <c r="BM760" s="113"/>
      <c r="BN760" s="113"/>
      <c r="BO760" s="113"/>
      <c r="BP760" s="121"/>
      <c r="BQ760" s="121"/>
      <c r="GA760" t="s">
        <v>114</v>
      </c>
      <c r="GB760" t="s">
        <v>22903</v>
      </c>
      <c r="GC760" s="46">
        <v>0</v>
      </c>
      <c r="GD760" s="113"/>
      <c r="GE760" s="113"/>
      <c r="GF760" s="113"/>
      <c r="GG760" s="113"/>
      <c r="GH760" s="113"/>
      <c r="GI760" s="46">
        <v>0</v>
      </c>
      <c r="GJ760" s="113"/>
      <c r="GK760" s="113"/>
      <c r="GL760" s="113"/>
      <c r="GM760" s="113"/>
      <c r="GN760" s="113"/>
      <c r="GO760" s="46">
        <v>0</v>
      </c>
      <c r="GP760" s="113"/>
      <c r="GQ760" s="113"/>
      <c r="GR760" s="113"/>
      <c r="GS760" s="113"/>
      <c r="GT760" s="113"/>
      <c r="GU760" s="46">
        <v>0</v>
      </c>
      <c r="GV760" s="113"/>
      <c r="GW760" s="113"/>
      <c r="GX760" s="113"/>
      <c r="GY760" s="113"/>
      <c r="GZ760" s="113"/>
      <c r="HA760" s="46">
        <v>0</v>
      </c>
      <c r="HB760" s="113"/>
      <c r="HC760" s="113"/>
      <c r="HD760" s="113"/>
      <c r="HE760" s="113"/>
      <c r="HF760" s="113"/>
      <c r="HG760" s="46">
        <v>0</v>
      </c>
      <c r="HH760" s="113"/>
      <c r="HI760" s="113"/>
      <c r="HJ760" s="113"/>
      <c r="HK760" s="113"/>
      <c r="HL760" s="113"/>
      <c r="HM760" s="121"/>
      <c r="HN760" s="121"/>
      <c r="LM760" t="str">
        <v/>
      </c>
      <c r="LN760" t="str">
        <v/>
      </c>
      <c r="LO760" t="str">
        <v/>
      </c>
    </row>
    <row r="761" spans="30:327">
      <c r="AD761" t="s">
        <v>114</v>
      </c>
      <c r="AE761" t="s">
        <v>22904</v>
      </c>
      <c r="AF761" s="46">
        <v>0</v>
      </c>
      <c r="AG761" s="113"/>
      <c r="AH761" s="113"/>
      <c r="AI761" s="113"/>
      <c r="AJ761" s="113"/>
      <c r="AK761" s="113"/>
      <c r="AL761" s="46">
        <v>0</v>
      </c>
      <c r="AM761" s="113"/>
      <c r="AN761" s="113"/>
      <c r="AO761" s="113"/>
      <c r="AP761" s="113"/>
      <c r="AQ761" s="113"/>
      <c r="AR761" s="46">
        <v>0</v>
      </c>
      <c r="AS761" s="113"/>
      <c r="AT761" s="113"/>
      <c r="AU761" s="113"/>
      <c r="AV761" s="113"/>
      <c r="AW761" s="113"/>
      <c r="AX761" s="46">
        <v>0</v>
      </c>
      <c r="AY761" s="113"/>
      <c r="AZ761" s="113"/>
      <c r="BA761" s="113"/>
      <c r="BB761" s="113"/>
      <c r="BC761" s="113"/>
      <c r="BD761" s="46">
        <v>0</v>
      </c>
      <c r="BE761" s="113"/>
      <c r="BF761" s="113"/>
      <c r="BG761" s="113"/>
      <c r="BH761" s="113"/>
      <c r="BI761" s="113"/>
      <c r="BJ761" s="46">
        <v>0</v>
      </c>
      <c r="BK761" s="113"/>
      <c r="BL761" s="113"/>
      <c r="BM761" s="113"/>
      <c r="BN761" s="113"/>
      <c r="BO761" s="113"/>
      <c r="BP761" s="121"/>
      <c r="BQ761" s="121"/>
      <c r="GA761" t="s">
        <v>114</v>
      </c>
      <c r="GB761" t="s">
        <v>22904</v>
      </c>
      <c r="GC761" s="46">
        <v>0</v>
      </c>
      <c r="GD761" s="113"/>
      <c r="GE761" s="113"/>
      <c r="GF761" s="113"/>
      <c r="GG761" s="113"/>
      <c r="GH761" s="113"/>
      <c r="GI761" s="46">
        <v>0</v>
      </c>
      <c r="GJ761" s="113"/>
      <c r="GK761" s="113"/>
      <c r="GL761" s="113"/>
      <c r="GM761" s="113"/>
      <c r="GN761" s="113"/>
      <c r="GO761" s="46">
        <v>0</v>
      </c>
      <c r="GP761" s="113"/>
      <c r="GQ761" s="113"/>
      <c r="GR761" s="113"/>
      <c r="GS761" s="113"/>
      <c r="GT761" s="113"/>
      <c r="GU761" s="46">
        <v>0</v>
      </c>
      <c r="GV761" s="113"/>
      <c r="GW761" s="113"/>
      <c r="GX761" s="113"/>
      <c r="GY761" s="113"/>
      <c r="GZ761" s="113"/>
      <c r="HA761" s="46">
        <v>0</v>
      </c>
      <c r="HB761" s="113"/>
      <c r="HC761" s="113"/>
      <c r="HD761" s="113"/>
      <c r="HE761" s="113"/>
      <c r="HF761" s="113"/>
      <c r="HG761" s="46">
        <v>0</v>
      </c>
      <c r="HH761" s="113"/>
      <c r="HI761" s="113"/>
      <c r="HJ761" s="113"/>
      <c r="HK761" s="113"/>
      <c r="HL761" s="113"/>
      <c r="HM761" s="121"/>
      <c r="HN761" s="121"/>
      <c r="LM761" t="str">
        <v/>
      </c>
      <c r="LN761" t="str">
        <v/>
      </c>
      <c r="LO761" t="str">
        <v/>
      </c>
    </row>
    <row r="762" spans="30:327">
      <c r="AD762" t="s">
        <v>114</v>
      </c>
      <c r="AE762" t="s">
        <v>22905</v>
      </c>
      <c r="AF762" s="46">
        <v>0</v>
      </c>
      <c r="AG762" s="113"/>
      <c r="AH762" s="113"/>
      <c r="AI762" s="113"/>
      <c r="AJ762" s="113"/>
      <c r="AK762" s="113"/>
      <c r="AL762" s="46">
        <v>0</v>
      </c>
      <c r="AM762" s="113"/>
      <c r="AN762" s="113"/>
      <c r="AO762" s="113"/>
      <c r="AP762" s="113"/>
      <c r="AQ762" s="113"/>
      <c r="AR762" s="46">
        <v>0</v>
      </c>
      <c r="AS762" s="113"/>
      <c r="AT762" s="113"/>
      <c r="AU762" s="113"/>
      <c r="AV762" s="113"/>
      <c r="AW762" s="113"/>
      <c r="AX762" s="46">
        <v>0</v>
      </c>
      <c r="AY762" s="113"/>
      <c r="AZ762" s="113"/>
      <c r="BA762" s="113"/>
      <c r="BB762" s="113"/>
      <c r="BC762" s="113"/>
      <c r="BD762" s="46">
        <v>0</v>
      </c>
      <c r="BE762" s="113"/>
      <c r="BF762" s="113"/>
      <c r="BG762" s="113"/>
      <c r="BH762" s="113"/>
      <c r="BI762" s="113"/>
      <c r="BJ762" s="46">
        <v>0</v>
      </c>
      <c r="BK762" s="113"/>
      <c r="BL762" s="113"/>
      <c r="BM762" s="113"/>
      <c r="BN762" s="113"/>
      <c r="BO762" s="113"/>
      <c r="BP762" s="121"/>
      <c r="BQ762" s="121"/>
      <c r="GA762" t="s">
        <v>114</v>
      </c>
      <c r="GB762" t="s">
        <v>22905</v>
      </c>
      <c r="GC762" s="46">
        <v>0</v>
      </c>
      <c r="GD762" s="113"/>
      <c r="GE762" s="113"/>
      <c r="GF762" s="113"/>
      <c r="GG762" s="113"/>
      <c r="GH762" s="113"/>
      <c r="GI762" s="46">
        <v>0</v>
      </c>
      <c r="GJ762" s="113"/>
      <c r="GK762" s="113"/>
      <c r="GL762" s="113"/>
      <c r="GM762" s="113"/>
      <c r="GN762" s="113"/>
      <c r="GO762" s="46">
        <v>0</v>
      </c>
      <c r="GP762" s="113"/>
      <c r="GQ762" s="113"/>
      <c r="GR762" s="113"/>
      <c r="GS762" s="113"/>
      <c r="GT762" s="113"/>
      <c r="GU762" s="46">
        <v>0</v>
      </c>
      <c r="GV762" s="113"/>
      <c r="GW762" s="113"/>
      <c r="GX762" s="113"/>
      <c r="GY762" s="113"/>
      <c r="GZ762" s="113"/>
      <c r="HA762" s="46">
        <v>0</v>
      </c>
      <c r="HB762" s="113"/>
      <c r="HC762" s="113"/>
      <c r="HD762" s="113"/>
      <c r="HE762" s="113"/>
      <c r="HF762" s="113"/>
      <c r="HG762" s="46">
        <v>0</v>
      </c>
      <c r="HH762" s="113"/>
      <c r="HI762" s="113"/>
      <c r="HJ762" s="113"/>
      <c r="HK762" s="113"/>
      <c r="HL762" s="113"/>
      <c r="HM762" s="121"/>
      <c r="HN762" s="121"/>
      <c r="LM762" t="str">
        <v/>
      </c>
      <c r="LN762" t="str">
        <v/>
      </c>
      <c r="LO762" t="str">
        <v/>
      </c>
    </row>
    <row r="763" spans="30:327">
      <c r="AD763" t="s">
        <v>114</v>
      </c>
      <c r="AE763" t="s">
        <v>22906</v>
      </c>
      <c r="AF763" s="46">
        <v>0</v>
      </c>
      <c r="AG763" s="113"/>
      <c r="AH763" s="113"/>
      <c r="AI763" s="113"/>
      <c r="AJ763" s="113"/>
      <c r="AK763" s="113"/>
      <c r="AL763" s="46">
        <v>0</v>
      </c>
      <c r="AM763" s="113"/>
      <c r="AN763" s="113"/>
      <c r="AO763" s="113"/>
      <c r="AP763" s="113"/>
      <c r="AQ763" s="113"/>
      <c r="AR763" s="46">
        <v>0</v>
      </c>
      <c r="AS763" s="113"/>
      <c r="AT763" s="113"/>
      <c r="AU763" s="113"/>
      <c r="AV763" s="113"/>
      <c r="AW763" s="113"/>
      <c r="AX763" s="46">
        <v>0</v>
      </c>
      <c r="AY763" s="113"/>
      <c r="AZ763" s="113"/>
      <c r="BA763" s="113"/>
      <c r="BB763" s="113"/>
      <c r="BC763" s="113"/>
      <c r="BD763" s="46">
        <v>0</v>
      </c>
      <c r="BE763" s="113"/>
      <c r="BF763" s="113"/>
      <c r="BG763" s="113"/>
      <c r="BH763" s="113"/>
      <c r="BI763" s="113"/>
      <c r="BJ763" s="46">
        <v>0</v>
      </c>
      <c r="BK763" s="113"/>
      <c r="BL763" s="113"/>
      <c r="BM763" s="113"/>
      <c r="BN763" s="113"/>
      <c r="BO763" s="113"/>
      <c r="BP763" s="121"/>
      <c r="BQ763" s="121"/>
      <c r="GA763" t="s">
        <v>114</v>
      </c>
      <c r="GB763" t="s">
        <v>22906</v>
      </c>
      <c r="GC763" s="46">
        <v>0</v>
      </c>
      <c r="GD763" s="113"/>
      <c r="GE763" s="113"/>
      <c r="GF763" s="113"/>
      <c r="GG763" s="113"/>
      <c r="GH763" s="113"/>
      <c r="GI763" s="46">
        <v>0</v>
      </c>
      <c r="GJ763" s="113"/>
      <c r="GK763" s="113"/>
      <c r="GL763" s="113"/>
      <c r="GM763" s="113"/>
      <c r="GN763" s="113"/>
      <c r="GO763" s="46">
        <v>0</v>
      </c>
      <c r="GP763" s="113"/>
      <c r="GQ763" s="113"/>
      <c r="GR763" s="113"/>
      <c r="GS763" s="113"/>
      <c r="GT763" s="113"/>
      <c r="GU763" s="46">
        <v>0</v>
      </c>
      <c r="GV763" s="113"/>
      <c r="GW763" s="113"/>
      <c r="GX763" s="113"/>
      <c r="GY763" s="113"/>
      <c r="GZ763" s="113"/>
      <c r="HA763" s="46">
        <v>0</v>
      </c>
      <c r="HB763" s="113"/>
      <c r="HC763" s="113"/>
      <c r="HD763" s="113"/>
      <c r="HE763" s="113"/>
      <c r="HF763" s="113"/>
      <c r="HG763" s="46">
        <v>0</v>
      </c>
      <c r="HH763" s="113"/>
      <c r="HI763" s="113"/>
      <c r="HJ763" s="113"/>
      <c r="HK763" s="113"/>
      <c r="HL763" s="113"/>
      <c r="HM763" s="121"/>
      <c r="HN763" s="121"/>
      <c r="LM763" t="str">
        <v/>
      </c>
      <c r="LN763" t="str">
        <v/>
      </c>
      <c r="LO763" t="str">
        <v/>
      </c>
    </row>
    <row r="764" spans="30:327">
      <c r="AD764" t="s">
        <v>114</v>
      </c>
      <c r="AE764" t="s">
        <v>22907</v>
      </c>
      <c r="AF764" s="46">
        <v>0</v>
      </c>
      <c r="AG764" s="113"/>
      <c r="AH764" s="113"/>
      <c r="AI764" s="113"/>
      <c r="AJ764" s="113"/>
      <c r="AK764" s="113"/>
      <c r="AL764" s="46">
        <v>0</v>
      </c>
      <c r="AM764" s="113"/>
      <c r="AN764" s="113"/>
      <c r="AO764" s="113"/>
      <c r="AP764" s="113"/>
      <c r="AQ764" s="113"/>
      <c r="AR764" s="46">
        <v>0</v>
      </c>
      <c r="AS764" s="113"/>
      <c r="AT764" s="113"/>
      <c r="AU764" s="113"/>
      <c r="AV764" s="113"/>
      <c r="AW764" s="113"/>
      <c r="AX764" s="46">
        <v>0</v>
      </c>
      <c r="AY764" s="113"/>
      <c r="AZ764" s="113"/>
      <c r="BA764" s="113"/>
      <c r="BB764" s="113"/>
      <c r="BC764" s="113"/>
      <c r="BD764" s="46">
        <v>0</v>
      </c>
      <c r="BE764" s="113"/>
      <c r="BF764" s="113"/>
      <c r="BG764" s="113"/>
      <c r="BH764" s="113"/>
      <c r="BI764" s="113"/>
      <c r="BJ764" s="46">
        <v>0</v>
      </c>
      <c r="BK764" s="113"/>
      <c r="BL764" s="113"/>
      <c r="BM764" s="113"/>
      <c r="BN764" s="113"/>
      <c r="BO764" s="113"/>
      <c r="BP764" s="121"/>
      <c r="BQ764" s="121"/>
      <c r="GA764" t="s">
        <v>114</v>
      </c>
      <c r="GB764" t="s">
        <v>22907</v>
      </c>
      <c r="GC764" s="46">
        <v>0</v>
      </c>
      <c r="GD764" s="113"/>
      <c r="GE764" s="113"/>
      <c r="GF764" s="113"/>
      <c r="GG764" s="113"/>
      <c r="GH764" s="113"/>
      <c r="GI764" s="46">
        <v>0</v>
      </c>
      <c r="GJ764" s="113"/>
      <c r="GK764" s="113"/>
      <c r="GL764" s="113"/>
      <c r="GM764" s="113"/>
      <c r="GN764" s="113"/>
      <c r="GO764" s="46">
        <v>0</v>
      </c>
      <c r="GP764" s="113"/>
      <c r="GQ764" s="113"/>
      <c r="GR764" s="113"/>
      <c r="GS764" s="113"/>
      <c r="GT764" s="113"/>
      <c r="GU764" s="46">
        <v>0</v>
      </c>
      <c r="GV764" s="113"/>
      <c r="GW764" s="113"/>
      <c r="GX764" s="113"/>
      <c r="GY764" s="113"/>
      <c r="GZ764" s="113"/>
      <c r="HA764" s="46">
        <v>0</v>
      </c>
      <c r="HB764" s="113"/>
      <c r="HC764" s="113"/>
      <c r="HD764" s="113"/>
      <c r="HE764" s="113"/>
      <c r="HF764" s="113"/>
      <c r="HG764" s="46">
        <v>0</v>
      </c>
      <c r="HH764" s="113"/>
      <c r="HI764" s="113"/>
      <c r="HJ764" s="113"/>
      <c r="HK764" s="113"/>
      <c r="HL764" s="113"/>
      <c r="HM764" s="121"/>
      <c r="HN764" s="121"/>
      <c r="LM764" t="str">
        <v/>
      </c>
      <c r="LN764" t="str">
        <v/>
      </c>
      <c r="LO764" t="str">
        <v/>
      </c>
    </row>
    <row r="765" spans="30:327">
      <c r="AD765" t="s">
        <v>114</v>
      </c>
      <c r="AE765" t="s">
        <v>22908</v>
      </c>
      <c r="AF765" s="46">
        <v>0</v>
      </c>
      <c r="AG765" s="113"/>
      <c r="AH765" s="113"/>
      <c r="AI765" s="113"/>
      <c r="AJ765" s="113"/>
      <c r="AK765" s="113"/>
      <c r="AL765" s="46">
        <v>0</v>
      </c>
      <c r="AM765" s="113"/>
      <c r="AN765" s="113"/>
      <c r="AO765" s="113"/>
      <c r="AP765" s="113"/>
      <c r="AQ765" s="113"/>
      <c r="AR765" s="46">
        <v>0</v>
      </c>
      <c r="AS765" s="113"/>
      <c r="AT765" s="113"/>
      <c r="AU765" s="113"/>
      <c r="AV765" s="113"/>
      <c r="AW765" s="113"/>
      <c r="AX765" s="46">
        <v>0</v>
      </c>
      <c r="AY765" s="113"/>
      <c r="AZ765" s="113"/>
      <c r="BA765" s="113"/>
      <c r="BB765" s="113"/>
      <c r="BC765" s="113"/>
      <c r="BD765" s="46">
        <v>0</v>
      </c>
      <c r="BE765" s="113"/>
      <c r="BF765" s="113"/>
      <c r="BG765" s="113"/>
      <c r="BH765" s="113"/>
      <c r="BI765" s="113"/>
      <c r="BJ765" s="46">
        <v>0</v>
      </c>
      <c r="BK765" s="113"/>
      <c r="BL765" s="113"/>
      <c r="BM765" s="113"/>
      <c r="BN765" s="113"/>
      <c r="BO765" s="113"/>
      <c r="BP765" s="121"/>
      <c r="BQ765" s="121"/>
      <c r="GA765" t="s">
        <v>114</v>
      </c>
      <c r="GB765" t="s">
        <v>22908</v>
      </c>
      <c r="GC765" s="46">
        <v>0</v>
      </c>
      <c r="GD765" s="113"/>
      <c r="GE765" s="113"/>
      <c r="GF765" s="113"/>
      <c r="GG765" s="113"/>
      <c r="GH765" s="113"/>
      <c r="GI765" s="46">
        <v>0</v>
      </c>
      <c r="GJ765" s="113"/>
      <c r="GK765" s="113"/>
      <c r="GL765" s="113"/>
      <c r="GM765" s="113"/>
      <c r="GN765" s="113"/>
      <c r="GO765" s="46">
        <v>0</v>
      </c>
      <c r="GP765" s="113"/>
      <c r="GQ765" s="113"/>
      <c r="GR765" s="113"/>
      <c r="GS765" s="113"/>
      <c r="GT765" s="113"/>
      <c r="GU765" s="46">
        <v>0</v>
      </c>
      <c r="GV765" s="113"/>
      <c r="GW765" s="113"/>
      <c r="GX765" s="113"/>
      <c r="GY765" s="113"/>
      <c r="GZ765" s="113"/>
      <c r="HA765" s="46">
        <v>0</v>
      </c>
      <c r="HB765" s="113"/>
      <c r="HC765" s="113"/>
      <c r="HD765" s="113"/>
      <c r="HE765" s="113"/>
      <c r="HF765" s="113"/>
      <c r="HG765" s="46">
        <v>0</v>
      </c>
      <c r="HH765" s="113"/>
      <c r="HI765" s="113"/>
      <c r="HJ765" s="113"/>
      <c r="HK765" s="113"/>
      <c r="HL765" s="113"/>
      <c r="HM765" s="121"/>
      <c r="HN765" s="121"/>
      <c r="LM765" t="str">
        <v/>
      </c>
      <c r="LN765" t="str">
        <v/>
      </c>
      <c r="LO765" t="str">
        <v/>
      </c>
    </row>
    <row r="766" spans="30:327">
      <c r="AD766" t="s">
        <v>114</v>
      </c>
      <c r="AE766" t="s">
        <v>22909</v>
      </c>
      <c r="AF766" s="46">
        <v>0</v>
      </c>
      <c r="AG766" s="113"/>
      <c r="AH766" s="113"/>
      <c r="AI766" s="113"/>
      <c r="AJ766" s="113"/>
      <c r="AK766" s="113"/>
      <c r="AL766" s="46">
        <v>0</v>
      </c>
      <c r="AM766" s="113"/>
      <c r="AN766" s="113"/>
      <c r="AO766" s="113"/>
      <c r="AP766" s="113"/>
      <c r="AQ766" s="113"/>
      <c r="AR766" s="46">
        <v>0</v>
      </c>
      <c r="AS766" s="113"/>
      <c r="AT766" s="113"/>
      <c r="AU766" s="113"/>
      <c r="AV766" s="113"/>
      <c r="AW766" s="113"/>
      <c r="AX766" s="46">
        <v>0</v>
      </c>
      <c r="AY766" s="113"/>
      <c r="AZ766" s="113"/>
      <c r="BA766" s="113"/>
      <c r="BB766" s="113"/>
      <c r="BC766" s="113"/>
      <c r="BD766" s="46">
        <v>0</v>
      </c>
      <c r="BE766" s="113"/>
      <c r="BF766" s="113"/>
      <c r="BG766" s="113"/>
      <c r="BH766" s="113"/>
      <c r="BI766" s="113"/>
      <c r="BJ766" s="46">
        <v>0</v>
      </c>
      <c r="BK766" s="113"/>
      <c r="BL766" s="113"/>
      <c r="BM766" s="113"/>
      <c r="BN766" s="113"/>
      <c r="BO766" s="113"/>
      <c r="BP766" s="121"/>
      <c r="BQ766" s="121"/>
      <c r="GA766" t="s">
        <v>114</v>
      </c>
      <c r="GB766" t="s">
        <v>22909</v>
      </c>
      <c r="GC766" s="46">
        <v>0</v>
      </c>
      <c r="GD766" s="113"/>
      <c r="GE766" s="113"/>
      <c r="GF766" s="113"/>
      <c r="GG766" s="113"/>
      <c r="GH766" s="113"/>
      <c r="GI766" s="46">
        <v>0</v>
      </c>
      <c r="GJ766" s="113"/>
      <c r="GK766" s="113"/>
      <c r="GL766" s="113"/>
      <c r="GM766" s="113"/>
      <c r="GN766" s="113"/>
      <c r="GO766" s="46">
        <v>0</v>
      </c>
      <c r="GP766" s="113"/>
      <c r="GQ766" s="113"/>
      <c r="GR766" s="113"/>
      <c r="GS766" s="113"/>
      <c r="GT766" s="113"/>
      <c r="GU766" s="46">
        <v>0</v>
      </c>
      <c r="GV766" s="113"/>
      <c r="GW766" s="113"/>
      <c r="GX766" s="113"/>
      <c r="GY766" s="113"/>
      <c r="GZ766" s="113"/>
      <c r="HA766" s="46">
        <v>0</v>
      </c>
      <c r="HB766" s="113"/>
      <c r="HC766" s="113"/>
      <c r="HD766" s="113"/>
      <c r="HE766" s="113"/>
      <c r="HF766" s="113"/>
      <c r="HG766" s="46">
        <v>0</v>
      </c>
      <c r="HH766" s="113"/>
      <c r="HI766" s="113"/>
      <c r="HJ766" s="113"/>
      <c r="HK766" s="113"/>
      <c r="HL766" s="113"/>
      <c r="HM766" s="121"/>
      <c r="HN766" s="121"/>
      <c r="LM766" t="str">
        <v/>
      </c>
      <c r="LN766" t="str">
        <v/>
      </c>
      <c r="LO766" t="str">
        <v/>
      </c>
    </row>
    <row r="767" spans="30:327">
      <c r="AD767" t="s">
        <v>114</v>
      </c>
      <c r="AE767" t="s">
        <v>22910</v>
      </c>
      <c r="AF767" s="46">
        <v>0</v>
      </c>
      <c r="AG767" s="113"/>
      <c r="AH767" s="113"/>
      <c r="AI767" s="113"/>
      <c r="AJ767" s="113"/>
      <c r="AK767" s="113"/>
      <c r="AL767" s="46">
        <v>0</v>
      </c>
      <c r="AM767" s="113"/>
      <c r="AN767" s="113"/>
      <c r="AO767" s="113"/>
      <c r="AP767" s="113"/>
      <c r="AQ767" s="113"/>
      <c r="AR767" s="46">
        <v>0</v>
      </c>
      <c r="AS767" s="113"/>
      <c r="AT767" s="113"/>
      <c r="AU767" s="113"/>
      <c r="AV767" s="113"/>
      <c r="AW767" s="113"/>
      <c r="AX767" s="46">
        <v>0</v>
      </c>
      <c r="AY767" s="113"/>
      <c r="AZ767" s="113"/>
      <c r="BA767" s="113"/>
      <c r="BB767" s="113"/>
      <c r="BC767" s="113"/>
      <c r="BD767" s="46">
        <v>0</v>
      </c>
      <c r="BE767" s="113"/>
      <c r="BF767" s="113"/>
      <c r="BG767" s="113"/>
      <c r="BH767" s="113"/>
      <c r="BI767" s="113"/>
      <c r="BJ767" s="46">
        <v>0</v>
      </c>
      <c r="BK767" s="113"/>
      <c r="BL767" s="113"/>
      <c r="BM767" s="113"/>
      <c r="BN767" s="113"/>
      <c r="BO767" s="113"/>
      <c r="BP767" s="121"/>
      <c r="BQ767" s="121"/>
      <c r="GA767" t="s">
        <v>114</v>
      </c>
      <c r="GB767" t="s">
        <v>22910</v>
      </c>
      <c r="GC767" s="46">
        <v>0</v>
      </c>
      <c r="GD767" s="113"/>
      <c r="GE767" s="113"/>
      <c r="GF767" s="113"/>
      <c r="GG767" s="113"/>
      <c r="GH767" s="113"/>
      <c r="GI767" s="46">
        <v>0</v>
      </c>
      <c r="GJ767" s="113"/>
      <c r="GK767" s="113"/>
      <c r="GL767" s="113"/>
      <c r="GM767" s="113"/>
      <c r="GN767" s="113"/>
      <c r="GO767" s="46">
        <v>0</v>
      </c>
      <c r="GP767" s="113"/>
      <c r="GQ767" s="113"/>
      <c r="GR767" s="113"/>
      <c r="GS767" s="113"/>
      <c r="GT767" s="113"/>
      <c r="GU767" s="46">
        <v>0</v>
      </c>
      <c r="GV767" s="113"/>
      <c r="GW767" s="113"/>
      <c r="GX767" s="113"/>
      <c r="GY767" s="113"/>
      <c r="GZ767" s="113"/>
      <c r="HA767" s="46">
        <v>0</v>
      </c>
      <c r="HB767" s="113"/>
      <c r="HC767" s="113"/>
      <c r="HD767" s="113"/>
      <c r="HE767" s="113"/>
      <c r="HF767" s="113"/>
      <c r="HG767" s="46">
        <v>0</v>
      </c>
      <c r="HH767" s="113"/>
      <c r="HI767" s="113"/>
      <c r="HJ767" s="113"/>
      <c r="HK767" s="113"/>
      <c r="HL767" s="113"/>
      <c r="HM767" s="121"/>
      <c r="HN767" s="121"/>
      <c r="LM767" t="str">
        <v/>
      </c>
      <c r="LN767" t="str">
        <v/>
      </c>
      <c r="LO767" t="str">
        <v/>
      </c>
    </row>
    <row r="768" spans="30:327">
      <c r="AD768" t="s">
        <v>114</v>
      </c>
      <c r="AE768" t="s">
        <v>22911</v>
      </c>
      <c r="AF768" s="46">
        <v>0</v>
      </c>
      <c r="AG768" s="113"/>
      <c r="AH768" s="113"/>
      <c r="AI768" s="113"/>
      <c r="AJ768" s="113"/>
      <c r="AK768" s="113"/>
      <c r="AL768" s="46">
        <v>0</v>
      </c>
      <c r="AM768" s="113"/>
      <c r="AN768" s="113"/>
      <c r="AO768" s="113"/>
      <c r="AP768" s="113"/>
      <c r="AQ768" s="113"/>
      <c r="AR768" s="46">
        <v>0</v>
      </c>
      <c r="AS768" s="113"/>
      <c r="AT768" s="113"/>
      <c r="AU768" s="113"/>
      <c r="AV768" s="113"/>
      <c r="AW768" s="113"/>
      <c r="AX768" s="46">
        <v>0</v>
      </c>
      <c r="AY768" s="113"/>
      <c r="AZ768" s="113"/>
      <c r="BA768" s="113"/>
      <c r="BB768" s="113"/>
      <c r="BC768" s="113"/>
      <c r="BD768" s="46">
        <v>0</v>
      </c>
      <c r="BE768" s="113"/>
      <c r="BF768" s="113"/>
      <c r="BG768" s="113"/>
      <c r="BH768" s="113"/>
      <c r="BI768" s="113"/>
      <c r="BJ768" s="46">
        <v>0</v>
      </c>
      <c r="BK768" s="113"/>
      <c r="BL768" s="113"/>
      <c r="BM768" s="113"/>
      <c r="BN768" s="113"/>
      <c r="BO768" s="113"/>
      <c r="BP768" s="121"/>
      <c r="BQ768" s="121"/>
      <c r="GA768" t="s">
        <v>114</v>
      </c>
      <c r="GB768" t="s">
        <v>22911</v>
      </c>
      <c r="GC768" s="46">
        <v>0</v>
      </c>
      <c r="GD768" s="113"/>
      <c r="GE768" s="113"/>
      <c r="GF768" s="113"/>
      <c r="GG768" s="113"/>
      <c r="GH768" s="113"/>
      <c r="GI768" s="46">
        <v>0</v>
      </c>
      <c r="GJ768" s="113"/>
      <c r="GK768" s="113"/>
      <c r="GL768" s="113"/>
      <c r="GM768" s="113"/>
      <c r="GN768" s="113"/>
      <c r="GO768" s="46">
        <v>0</v>
      </c>
      <c r="GP768" s="113"/>
      <c r="GQ768" s="113"/>
      <c r="GR768" s="113"/>
      <c r="GS768" s="113"/>
      <c r="GT768" s="113"/>
      <c r="GU768" s="46">
        <v>0</v>
      </c>
      <c r="GV768" s="113"/>
      <c r="GW768" s="113"/>
      <c r="GX768" s="113"/>
      <c r="GY768" s="113"/>
      <c r="GZ768" s="113"/>
      <c r="HA768" s="46">
        <v>0</v>
      </c>
      <c r="HB768" s="113"/>
      <c r="HC768" s="113"/>
      <c r="HD768" s="113"/>
      <c r="HE768" s="113"/>
      <c r="HF768" s="113"/>
      <c r="HG768" s="46">
        <v>0</v>
      </c>
      <c r="HH768" s="113"/>
      <c r="HI768" s="113"/>
      <c r="HJ768" s="113"/>
      <c r="HK768" s="113"/>
      <c r="HL768" s="113"/>
      <c r="HM768" s="121"/>
      <c r="HN768" s="121"/>
      <c r="LM768" t="str">
        <v/>
      </c>
      <c r="LN768" t="str">
        <v/>
      </c>
      <c r="LO768" t="str">
        <v/>
      </c>
    </row>
    <row r="769" spans="30:327">
      <c r="AD769" t="s">
        <v>114</v>
      </c>
      <c r="AE769" t="s">
        <v>22912</v>
      </c>
      <c r="AF769" s="46">
        <v>0</v>
      </c>
      <c r="AG769" s="113"/>
      <c r="AH769" s="113"/>
      <c r="AI769" s="113"/>
      <c r="AJ769" s="113"/>
      <c r="AK769" s="113"/>
      <c r="AL769" s="46">
        <v>0</v>
      </c>
      <c r="AM769" s="113"/>
      <c r="AN769" s="113"/>
      <c r="AO769" s="113"/>
      <c r="AP769" s="113"/>
      <c r="AQ769" s="113"/>
      <c r="AR769" s="46">
        <v>0</v>
      </c>
      <c r="AS769" s="113"/>
      <c r="AT769" s="113"/>
      <c r="AU769" s="113"/>
      <c r="AV769" s="113"/>
      <c r="AW769" s="113"/>
      <c r="AX769" s="46">
        <v>0</v>
      </c>
      <c r="AY769" s="113"/>
      <c r="AZ769" s="113"/>
      <c r="BA769" s="113"/>
      <c r="BB769" s="113"/>
      <c r="BC769" s="113"/>
      <c r="BD769" s="46">
        <v>0</v>
      </c>
      <c r="BE769" s="113"/>
      <c r="BF769" s="113"/>
      <c r="BG769" s="113"/>
      <c r="BH769" s="113"/>
      <c r="BI769" s="113"/>
      <c r="BJ769" s="46">
        <v>0</v>
      </c>
      <c r="BK769" s="113"/>
      <c r="BL769" s="113"/>
      <c r="BM769" s="113"/>
      <c r="BN769" s="113"/>
      <c r="BO769" s="113"/>
      <c r="BP769" s="121"/>
      <c r="BQ769" s="121"/>
      <c r="GA769" t="s">
        <v>114</v>
      </c>
      <c r="GB769" t="s">
        <v>22912</v>
      </c>
      <c r="GC769" s="46">
        <v>0</v>
      </c>
      <c r="GD769" s="113"/>
      <c r="GE769" s="113"/>
      <c r="GF769" s="113"/>
      <c r="GG769" s="113"/>
      <c r="GH769" s="113"/>
      <c r="GI769" s="46">
        <v>0</v>
      </c>
      <c r="GJ769" s="113"/>
      <c r="GK769" s="113"/>
      <c r="GL769" s="113"/>
      <c r="GM769" s="113"/>
      <c r="GN769" s="113"/>
      <c r="GO769" s="46">
        <v>0</v>
      </c>
      <c r="GP769" s="113"/>
      <c r="GQ769" s="113"/>
      <c r="GR769" s="113"/>
      <c r="GS769" s="113"/>
      <c r="GT769" s="113"/>
      <c r="GU769" s="46">
        <v>0</v>
      </c>
      <c r="GV769" s="113"/>
      <c r="GW769" s="113"/>
      <c r="GX769" s="113"/>
      <c r="GY769" s="113"/>
      <c r="GZ769" s="113"/>
      <c r="HA769" s="46">
        <v>0</v>
      </c>
      <c r="HB769" s="113"/>
      <c r="HC769" s="113"/>
      <c r="HD769" s="113"/>
      <c r="HE769" s="113"/>
      <c r="HF769" s="113"/>
      <c r="HG769" s="46">
        <v>0</v>
      </c>
      <c r="HH769" s="113"/>
      <c r="HI769" s="113"/>
      <c r="HJ769" s="113"/>
      <c r="HK769" s="113"/>
      <c r="HL769" s="113"/>
      <c r="HM769" s="121"/>
      <c r="HN769" s="121"/>
      <c r="LM769" t="str">
        <v/>
      </c>
      <c r="LN769" t="str">
        <v/>
      </c>
      <c r="LO769" t="str">
        <v/>
      </c>
    </row>
    <row r="770" spans="30:327">
      <c r="AD770" t="s">
        <v>114</v>
      </c>
      <c r="AE770" t="s">
        <v>22913</v>
      </c>
      <c r="AF770" s="46">
        <v>0</v>
      </c>
      <c r="AG770" s="113"/>
      <c r="AH770" s="113"/>
      <c r="AI770" s="113"/>
      <c r="AJ770" s="113"/>
      <c r="AK770" s="113"/>
      <c r="AL770" s="46">
        <v>0</v>
      </c>
      <c r="AM770" s="113"/>
      <c r="AN770" s="113"/>
      <c r="AO770" s="113"/>
      <c r="AP770" s="113"/>
      <c r="AQ770" s="113"/>
      <c r="AR770" s="46">
        <v>0</v>
      </c>
      <c r="AS770" s="113"/>
      <c r="AT770" s="113"/>
      <c r="AU770" s="113"/>
      <c r="AV770" s="113"/>
      <c r="AW770" s="113"/>
      <c r="AX770" s="46">
        <v>0</v>
      </c>
      <c r="AY770" s="113"/>
      <c r="AZ770" s="113"/>
      <c r="BA770" s="113"/>
      <c r="BB770" s="113"/>
      <c r="BC770" s="113"/>
      <c r="BD770" s="46">
        <v>0</v>
      </c>
      <c r="BE770" s="113"/>
      <c r="BF770" s="113"/>
      <c r="BG770" s="113"/>
      <c r="BH770" s="113"/>
      <c r="BI770" s="113"/>
      <c r="BJ770" s="46">
        <v>0</v>
      </c>
      <c r="BK770" s="113"/>
      <c r="BL770" s="113"/>
      <c r="BM770" s="113"/>
      <c r="BN770" s="113"/>
      <c r="BO770" s="113"/>
      <c r="BP770" s="121"/>
      <c r="BQ770" s="121"/>
      <c r="GA770" t="s">
        <v>114</v>
      </c>
      <c r="GB770" t="s">
        <v>22913</v>
      </c>
      <c r="GC770" s="46">
        <v>0</v>
      </c>
      <c r="GD770" s="113"/>
      <c r="GE770" s="113"/>
      <c r="GF770" s="113"/>
      <c r="GG770" s="113"/>
      <c r="GH770" s="113"/>
      <c r="GI770" s="46">
        <v>0</v>
      </c>
      <c r="GJ770" s="113"/>
      <c r="GK770" s="113"/>
      <c r="GL770" s="113"/>
      <c r="GM770" s="113"/>
      <c r="GN770" s="113"/>
      <c r="GO770" s="46">
        <v>0</v>
      </c>
      <c r="GP770" s="113"/>
      <c r="GQ770" s="113"/>
      <c r="GR770" s="113"/>
      <c r="GS770" s="113"/>
      <c r="GT770" s="113"/>
      <c r="GU770" s="46">
        <v>0</v>
      </c>
      <c r="GV770" s="113"/>
      <c r="GW770" s="113"/>
      <c r="GX770" s="113"/>
      <c r="GY770" s="113"/>
      <c r="GZ770" s="113"/>
      <c r="HA770" s="46">
        <v>0</v>
      </c>
      <c r="HB770" s="113"/>
      <c r="HC770" s="113"/>
      <c r="HD770" s="113"/>
      <c r="HE770" s="113"/>
      <c r="HF770" s="113"/>
      <c r="HG770" s="46">
        <v>0</v>
      </c>
      <c r="HH770" s="113"/>
      <c r="HI770" s="113"/>
      <c r="HJ770" s="113"/>
      <c r="HK770" s="113"/>
      <c r="HL770" s="113"/>
      <c r="HM770" s="121"/>
      <c r="HN770" s="121"/>
      <c r="LM770" t="str">
        <v/>
      </c>
      <c r="LN770" t="str">
        <v/>
      </c>
      <c r="LO770" t="str">
        <v/>
      </c>
    </row>
    <row r="771" spans="30:327">
      <c r="AD771" t="s">
        <v>114</v>
      </c>
      <c r="AE771" t="s">
        <v>22914</v>
      </c>
      <c r="AF771" s="46">
        <v>0</v>
      </c>
      <c r="AG771" s="113"/>
      <c r="AH771" s="113"/>
      <c r="AI771" s="113"/>
      <c r="AJ771" s="113"/>
      <c r="AK771" s="113"/>
      <c r="AL771" s="46">
        <v>0</v>
      </c>
      <c r="AM771" s="113"/>
      <c r="AN771" s="113"/>
      <c r="AO771" s="113"/>
      <c r="AP771" s="113"/>
      <c r="AQ771" s="113"/>
      <c r="AR771" s="46">
        <v>0</v>
      </c>
      <c r="AS771" s="113"/>
      <c r="AT771" s="113"/>
      <c r="AU771" s="113"/>
      <c r="AV771" s="113"/>
      <c r="AW771" s="113"/>
      <c r="AX771" s="46">
        <v>0</v>
      </c>
      <c r="AY771" s="113"/>
      <c r="AZ771" s="113"/>
      <c r="BA771" s="113"/>
      <c r="BB771" s="113"/>
      <c r="BC771" s="113"/>
      <c r="BD771" s="46">
        <v>0</v>
      </c>
      <c r="BE771" s="113"/>
      <c r="BF771" s="113"/>
      <c r="BG771" s="113"/>
      <c r="BH771" s="113"/>
      <c r="BI771" s="113"/>
      <c r="BJ771" s="46">
        <v>0</v>
      </c>
      <c r="BK771" s="113"/>
      <c r="BL771" s="113"/>
      <c r="BM771" s="113"/>
      <c r="BN771" s="113"/>
      <c r="BO771" s="113"/>
      <c r="BP771" s="121"/>
      <c r="BQ771" s="121"/>
      <c r="GA771" t="s">
        <v>114</v>
      </c>
      <c r="GB771" t="s">
        <v>22914</v>
      </c>
      <c r="GC771" s="46">
        <v>0</v>
      </c>
      <c r="GD771" s="113"/>
      <c r="GE771" s="113"/>
      <c r="GF771" s="113"/>
      <c r="GG771" s="113"/>
      <c r="GH771" s="113"/>
      <c r="GI771" s="46">
        <v>0</v>
      </c>
      <c r="GJ771" s="113"/>
      <c r="GK771" s="113"/>
      <c r="GL771" s="113"/>
      <c r="GM771" s="113"/>
      <c r="GN771" s="113"/>
      <c r="GO771" s="46">
        <v>0</v>
      </c>
      <c r="GP771" s="113"/>
      <c r="GQ771" s="113"/>
      <c r="GR771" s="113"/>
      <c r="GS771" s="113"/>
      <c r="GT771" s="113"/>
      <c r="GU771" s="46">
        <v>0</v>
      </c>
      <c r="GV771" s="113"/>
      <c r="GW771" s="113"/>
      <c r="GX771" s="113"/>
      <c r="GY771" s="113"/>
      <c r="GZ771" s="113"/>
      <c r="HA771" s="46">
        <v>0</v>
      </c>
      <c r="HB771" s="113"/>
      <c r="HC771" s="113"/>
      <c r="HD771" s="113"/>
      <c r="HE771" s="113"/>
      <c r="HF771" s="113"/>
      <c r="HG771" s="46">
        <v>0</v>
      </c>
      <c r="HH771" s="113"/>
      <c r="HI771" s="113"/>
      <c r="HJ771" s="113"/>
      <c r="HK771" s="113"/>
      <c r="HL771" s="113"/>
      <c r="HM771" s="121"/>
      <c r="HN771" s="121"/>
      <c r="LM771" t="str">
        <v/>
      </c>
      <c r="LN771" t="str">
        <v/>
      </c>
      <c r="LO771" t="str">
        <v/>
      </c>
    </row>
    <row r="772" spans="30:327">
      <c r="AD772" t="s">
        <v>114</v>
      </c>
      <c r="AE772" t="s">
        <v>22915</v>
      </c>
      <c r="AF772" s="46">
        <v>0</v>
      </c>
      <c r="AG772" s="113"/>
      <c r="AH772" s="113"/>
      <c r="AI772" s="113"/>
      <c r="AJ772" s="113"/>
      <c r="AK772" s="113"/>
      <c r="AL772" s="46">
        <v>0</v>
      </c>
      <c r="AM772" s="113"/>
      <c r="AN772" s="113"/>
      <c r="AO772" s="113"/>
      <c r="AP772" s="113"/>
      <c r="AQ772" s="113"/>
      <c r="AR772" s="46">
        <v>0</v>
      </c>
      <c r="AS772" s="113"/>
      <c r="AT772" s="113"/>
      <c r="AU772" s="113"/>
      <c r="AV772" s="113"/>
      <c r="AW772" s="113"/>
      <c r="AX772" s="46">
        <v>0</v>
      </c>
      <c r="AY772" s="113"/>
      <c r="AZ772" s="113"/>
      <c r="BA772" s="113"/>
      <c r="BB772" s="113"/>
      <c r="BC772" s="113"/>
      <c r="BD772" s="46">
        <v>0</v>
      </c>
      <c r="BE772" s="113"/>
      <c r="BF772" s="113"/>
      <c r="BG772" s="113"/>
      <c r="BH772" s="113"/>
      <c r="BI772" s="113"/>
      <c r="BJ772" s="46">
        <v>0</v>
      </c>
      <c r="BK772" s="113"/>
      <c r="BL772" s="113"/>
      <c r="BM772" s="113"/>
      <c r="BN772" s="113"/>
      <c r="BO772" s="113"/>
      <c r="BP772" s="121"/>
      <c r="BQ772" s="121"/>
      <c r="GA772" t="s">
        <v>114</v>
      </c>
      <c r="GB772" t="s">
        <v>22915</v>
      </c>
      <c r="GC772" s="46">
        <v>0</v>
      </c>
      <c r="GD772" s="113"/>
      <c r="GE772" s="113"/>
      <c r="GF772" s="113"/>
      <c r="GG772" s="113"/>
      <c r="GH772" s="113"/>
      <c r="GI772" s="46">
        <v>0</v>
      </c>
      <c r="GJ772" s="113"/>
      <c r="GK772" s="113"/>
      <c r="GL772" s="113"/>
      <c r="GM772" s="113"/>
      <c r="GN772" s="113"/>
      <c r="GO772" s="46">
        <v>0</v>
      </c>
      <c r="GP772" s="113"/>
      <c r="GQ772" s="113"/>
      <c r="GR772" s="113"/>
      <c r="GS772" s="113"/>
      <c r="GT772" s="113"/>
      <c r="GU772" s="46">
        <v>0</v>
      </c>
      <c r="GV772" s="113"/>
      <c r="GW772" s="113"/>
      <c r="GX772" s="113"/>
      <c r="GY772" s="113"/>
      <c r="GZ772" s="113"/>
      <c r="HA772" s="46">
        <v>0</v>
      </c>
      <c r="HB772" s="113"/>
      <c r="HC772" s="113"/>
      <c r="HD772" s="113"/>
      <c r="HE772" s="113"/>
      <c r="HF772" s="113"/>
      <c r="HG772" s="46">
        <v>0</v>
      </c>
      <c r="HH772" s="113"/>
      <c r="HI772" s="113"/>
      <c r="HJ772" s="113"/>
      <c r="HK772" s="113"/>
      <c r="HL772" s="113"/>
      <c r="HM772" s="121"/>
      <c r="HN772" s="121"/>
      <c r="LM772" t="str">
        <v/>
      </c>
      <c r="LN772" t="str">
        <v/>
      </c>
      <c r="LO772" t="str">
        <v/>
      </c>
    </row>
    <row r="773" spans="30:327">
      <c r="AD773" t="s">
        <v>114</v>
      </c>
      <c r="AE773" t="s">
        <v>22916</v>
      </c>
      <c r="AF773" s="46">
        <v>0</v>
      </c>
      <c r="AG773" s="113"/>
      <c r="AH773" s="113"/>
      <c r="AI773" s="113"/>
      <c r="AJ773" s="113"/>
      <c r="AK773" s="113"/>
      <c r="AL773" s="46">
        <v>0</v>
      </c>
      <c r="AM773" s="113"/>
      <c r="AN773" s="113"/>
      <c r="AO773" s="113"/>
      <c r="AP773" s="113"/>
      <c r="AQ773" s="113"/>
      <c r="AR773" s="46">
        <v>0</v>
      </c>
      <c r="AS773" s="113"/>
      <c r="AT773" s="113"/>
      <c r="AU773" s="113"/>
      <c r="AV773" s="113"/>
      <c r="AW773" s="113"/>
      <c r="AX773" s="46">
        <v>0</v>
      </c>
      <c r="AY773" s="113"/>
      <c r="AZ773" s="113"/>
      <c r="BA773" s="113"/>
      <c r="BB773" s="113"/>
      <c r="BC773" s="113"/>
      <c r="BD773" s="46">
        <v>0</v>
      </c>
      <c r="BE773" s="113"/>
      <c r="BF773" s="113"/>
      <c r="BG773" s="113"/>
      <c r="BH773" s="113"/>
      <c r="BI773" s="113"/>
      <c r="BJ773" s="46">
        <v>0</v>
      </c>
      <c r="BK773" s="113"/>
      <c r="BL773" s="113"/>
      <c r="BM773" s="113"/>
      <c r="BN773" s="113"/>
      <c r="BO773" s="113"/>
      <c r="BP773" s="121"/>
      <c r="BQ773" s="121"/>
      <c r="GA773" t="s">
        <v>114</v>
      </c>
      <c r="GB773" t="s">
        <v>22916</v>
      </c>
      <c r="GC773" s="46">
        <v>0</v>
      </c>
      <c r="GD773" s="113"/>
      <c r="GE773" s="113"/>
      <c r="GF773" s="113"/>
      <c r="GG773" s="113"/>
      <c r="GH773" s="113"/>
      <c r="GI773" s="46">
        <v>0</v>
      </c>
      <c r="GJ773" s="113"/>
      <c r="GK773" s="113"/>
      <c r="GL773" s="113"/>
      <c r="GM773" s="113"/>
      <c r="GN773" s="113"/>
      <c r="GO773" s="46">
        <v>0</v>
      </c>
      <c r="GP773" s="113"/>
      <c r="GQ773" s="113"/>
      <c r="GR773" s="113"/>
      <c r="GS773" s="113"/>
      <c r="GT773" s="113"/>
      <c r="GU773" s="46">
        <v>0</v>
      </c>
      <c r="GV773" s="113"/>
      <c r="GW773" s="113"/>
      <c r="GX773" s="113"/>
      <c r="GY773" s="113"/>
      <c r="GZ773" s="113"/>
      <c r="HA773" s="46">
        <v>0</v>
      </c>
      <c r="HB773" s="113"/>
      <c r="HC773" s="113"/>
      <c r="HD773" s="113"/>
      <c r="HE773" s="113"/>
      <c r="HF773" s="113"/>
      <c r="HG773" s="46">
        <v>0</v>
      </c>
      <c r="HH773" s="113"/>
      <c r="HI773" s="113"/>
      <c r="HJ773" s="113"/>
      <c r="HK773" s="113"/>
      <c r="HL773" s="113"/>
      <c r="HM773" s="121"/>
      <c r="HN773" s="121"/>
      <c r="LM773" t="str">
        <v/>
      </c>
      <c r="LN773" t="str">
        <v/>
      </c>
      <c r="LO773" t="str">
        <v/>
      </c>
    </row>
    <row r="774" spans="30:327">
      <c r="AD774" t="s">
        <v>114</v>
      </c>
      <c r="AE774" t="s">
        <v>22917</v>
      </c>
      <c r="AF774" s="46">
        <v>0</v>
      </c>
      <c r="AG774" s="113"/>
      <c r="AH774" s="113"/>
      <c r="AI774" s="113"/>
      <c r="AJ774" s="113"/>
      <c r="AK774" s="113"/>
      <c r="AL774" s="46">
        <v>0</v>
      </c>
      <c r="AM774" s="113"/>
      <c r="AN774" s="113"/>
      <c r="AO774" s="113"/>
      <c r="AP774" s="113"/>
      <c r="AQ774" s="113"/>
      <c r="AR774" s="46">
        <v>0</v>
      </c>
      <c r="AS774" s="113"/>
      <c r="AT774" s="113"/>
      <c r="AU774" s="113"/>
      <c r="AV774" s="113"/>
      <c r="AW774" s="113"/>
      <c r="AX774" s="46">
        <v>0</v>
      </c>
      <c r="AY774" s="113"/>
      <c r="AZ774" s="113"/>
      <c r="BA774" s="113"/>
      <c r="BB774" s="113"/>
      <c r="BC774" s="113"/>
      <c r="BD774" s="46">
        <v>0</v>
      </c>
      <c r="BE774" s="113"/>
      <c r="BF774" s="113"/>
      <c r="BG774" s="113"/>
      <c r="BH774" s="113"/>
      <c r="BI774" s="113"/>
      <c r="BJ774" s="46">
        <v>0</v>
      </c>
      <c r="BK774" s="113"/>
      <c r="BL774" s="113"/>
      <c r="BM774" s="113"/>
      <c r="BN774" s="113"/>
      <c r="BO774" s="113"/>
      <c r="BP774" s="121"/>
      <c r="BQ774" s="121"/>
      <c r="GA774" t="s">
        <v>114</v>
      </c>
      <c r="GB774" t="s">
        <v>22917</v>
      </c>
      <c r="GC774" s="46">
        <v>0</v>
      </c>
      <c r="GD774" s="113"/>
      <c r="GE774" s="113"/>
      <c r="GF774" s="113"/>
      <c r="GG774" s="113"/>
      <c r="GH774" s="113"/>
      <c r="GI774" s="46">
        <v>0</v>
      </c>
      <c r="GJ774" s="113"/>
      <c r="GK774" s="113"/>
      <c r="GL774" s="113"/>
      <c r="GM774" s="113"/>
      <c r="GN774" s="113"/>
      <c r="GO774" s="46">
        <v>0</v>
      </c>
      <c r="GP774" s="113"/>
      <c r="GQ774" s="113"/>
      <c r="GR774" s="113"/>
      <c r="GS774" s="113"/>
      <c r="GT774" s="113"/>
      <c r="GU774" s="46">
        <v>0</v>
      </c>
      <c r="GV774" s="113"/>
      <c r="GW774" s="113"/>
      <c r="GX774" s="113"/>
      <c r="GY774" s="113"/>
      <c r="GZ774" s="113"/>
      <c r="HA774" s="46">
        <v>0</v>
      </c>
      <c r="HB774" s="113"/>
      <c r="HC774" s="113"/>
      <c r="HD774" s="113"/>
      <c r="HE774" s="113"/>
      <c r="HF774" s="113"/>
      <c r="HG774" s="46">
        <v>0</v>
      </c>
      <c r="HH774" s="113"/>
      <c r="HI774" s="113"/>
      <c r="HJ774" s="113"/>
      <c r="HK774" s="113"/>
      <c r="HL774" s="113"/>
      <c r="HM774" s="121"/>
      <c r="HN774" s="121"/>
      <c r="LM774" t="str">
        <v/>
      </c>
      <c r="LN774" t="str">
        <v/>
      </c>
      <c r="LO774" t="str">
        <v/>
      </c>
    </row>
    <row r="775" spans="30:327">
      <c r="AD775" t="s">
        <v>114</v>
      </c>
      <c r="AE775" t="s">
        <v>22918</v>
      </c>
      <c r="AF775" s="46">
        <v>0</v>
      </c>
      <c r="AG775" s="113"/>
      <c r="AH775" s="113"/>
      <c r="AI775" s="113"/>
      <c r="AJ775" s="113"/>
      <c r="AK775" s="113"/>
      <c r="AL775" s="46">
        <v>0</v>
      </c>
      <c r="AM775" s="113"/>
      <c r="AN775" s="113"/>
      <c r="AO775" s="113"/>
      <c r="AP775" s="113"/>
      <c r="AQ775" s="113"/>
      <c r="AR775" s="46">
        <v>0</v>
      </c>
      <c r="AS775" s="113"/>
      <c r="AT775" s="113"/>
      <c r="AU775" s="113"/>
      <c r="AV775" s="113"/>
      <c r="AW775" s="113"/>
      <c r="AX775" s="46">
        <v>0</v>
      </c>
      <c r="AY775" s="113"/>
      <c r="AZ775" s="113"/>
      <c r="BA775" s="113"/>
      <c r="BB775" s="113"/>
      <c r="BC775" s="113"/>
      <c r="BD775" s="46">
        <v>0</v>
      </c>
      <c r="BE775" s="113"/>
      <c r="BF775" s="113"/>
      <c r="BG775" s="113"/>
      <c r="BH775" s="113"/>
      <c r="BI775" s="113"/>
      <c r="BJ775" s="46">
        <v>0</v>
      </c>
      <c r="BK775" s="113"/>
      <c r="BL775" s="113"/>
      <c r="BM775" s="113"/>
      <c r="BN775" s="113"/>
      <c r="BO775" s="113"/>
      <c r="BP775" s="121"/>
      <c r="BQ775" s="121"/>
      <c r="GA775" t="s">
        <v>114</v>
      </c>
      <c r="GB775" t="s">
        <v>22918</v>
      </c>
      <c r="GC775" s="46">
        <v>0</v>
      </c>
      <c r="GD775" s="113"/>
      <c r="GE775" s="113"/>
      <c r="GF775" s="113"/>
      <c r="GG775" s="113"/>
      <c r="GH775" s="113"/>
      <c r="GI775" s="46">
        <v>0</v>
      </c>
      <c r="GJ775" s="113"/>
      <c r="GK775" s="113"/>
      <c r="GL775" s="113"/>
      <c r="GM775" s="113"/>
      <c r="GN775" s="113"/>
      <c r="GO775" s="46">
        <v>0</v>
      </c>
      <c r="GP775" s="113"/>
      <c r="GQ775" s="113"/>
      <c r="GR775" s="113"/>
      <c r="GS775" s="113"/>
      <c r="GT775" s="113"/>
      <c r="GU775" s="46">
        <v>0</v>
      </c>
      <c r="GV775" s="113"/>
      <c r="GW775" s="113"/>
      <c r="GX775" s="113"/>
      <c r="GY775" s="113"/>
      <c r="GZ775" s="113"/>
      <c r="HA775" s="46">
        <v>0</v>
      </c>
      <c r="HB775" s="113"/>
      <c r="HC775" s="113"/>
      <c r="HD775" s="113"/>
      <c r="HE775" s="113"/>
      <c r="HF775" s="113"/>
      <c r="HG775" s="46">
        <v>0</v>
      </c>
      <c r="HH775" s="113"/>
      <c r="HI775" s="113"/>
      <c r="HJ775" s="113"/>
      <c r="HK775" s="113"/>
      <c r="HL775" s="113"/>
      <c r="HM775" s="121"/>
      <c r="HN775" s="121"/>
      <c r="LM775" t="str">
        <v/>
      </c>
      <c r="LN775" t="str">
        <v/>
      </c>
      <c r="LO775" t="str">
        <v/>
      </c>
    </row>
    <row r="776" spans="30:327">
      <c r="AD776" t="s">
        <v>114</v>
      </c>
      <c r="AE776" t="s">
        <v>22919</v>
      </c>
      <c r="AF776" s="46">
        <v>0</v>
      </c>
      <c r="AG776" s="113"/>
      <c r="AH776" s="113"/>
      <c r="AI776" s="113"/>
      <c r="AJ776" s="113"/>
      <c r="AK776" s="113"/>
      <c r="AL776" s="46">
        <v>0</v>
      </c>
      <c r="AM776" s="113"/>
      <c r="AN776" s="113"/>
      <c r="AO776" s="113"/>
      <c r="AP776" s="113"/>
      <c r="AQ776" s="113"/>
      <c r="AR776" s="46">
        <v>0</v>
      </c>
      <c r="AS776" s="113"/>
      <c r="AT776" s="113"/>
      <c r="AU776" s="113"/>
      <c r="AV776" s="113"/>
      <c r="AW776" s="113"/>
      <c r="AX776" s="46">
        <v>0</v>
      </c>
      <c r="AY776" s="113"/>
      <c r="AZ776" s="113"/>
      <c r="BA776" s="113"/>
      <c r="BB776" s="113"/>
      <c r="BC776" s="113"/>
      <c r="BD776" s="46">
        <v>0</v>
      </c>
      <c r="BE776" s="113"/>
      <c r="BF776" s="113"/>
      <c r="BG776" s="113"/>
      <c r="BH776" s="113"/>
      <c r="BI776" s="113"/>
      <c r="BJ776" s="46">
        <v>0</v>
      </c>
      <c r="BK776" s="113"/>
      <c r="BL776" s="113"/>
      <c r="BM776" s="113"/>
      <c r="BN776" s="113"/>
      <c r="BO776" s="113"/>
      <c r="BP776" s="121"/>
      <c r="BQ776" s="121"/>
      <c r="GA776" t="s">
        <v>114</v>
      </c>
      <c r="GB776" t="s">
        <v>22919</v>
      </c>
      <c r="GC776" s="46">
        <v>0</v>
      </c>
      <c r="GD776" s="113"/>
      <c r="GE776" s="113"/>
      <c r="GF776" s="113"/>
      <c r="GG776" s="113"/>
      <c r="GH776" s="113"/>
      <c r="GI776" s="46">
        <v>0</v>
      </c>
      <c r="GJ776" s="113"/>
      <c r="GK776" s="113"/>
      <c r="GL776" s="113"/>
      <c r="GM776" s="113"/>
      <c r="GN776" s="113"/>
      <c r="GO776" s="46">
        <v>0</v>
      </c>
      <c r="GP776" s="113"/>
      <c r="GQ776" s="113"/>
      <c r="GR776" s="113"/>
      <c r="GS776" s="113"/>
      <c r="GT776" s="113"/>
      <c r="GU776" s="46">
        <v>0</v>
      </c>
      <c r="GV776" s="113"/>
      <c r="GW776" s="113"/>
      <c r="GX776" s="113"/>
      <c r="GY776" s="113"/>
      <c r="GZ776" s="113"/>
      <c r="HA776" s="46">
        <v>0</v>
      </c>
      <c r="HB776" s="113"/>
      <c r="HC776" s="113"/>
      <c r="HD776" s="113"/>
      <c r="HE776" s="113"/>
      <c r="HF776" s="113"/>
      <c r="HG776" s="46">
        <v>0</v>
      </c>
      <c r="HH776" s="113"/>
      <c r="HI776" s="113"/>
      <c r="HJ776" s="113"/>
      <c r="HK776" s="113"/>
      <c r="HL776" s="113"/>
      <c r="HM776" s="121"/>
      <c r="HN776" s="121"/>
      <c r="LM776" t="str">
        <v/>
      </c>
      <c r="LN776" t="str">
        <v/>
      </c>
      <c r="LO776" t="str">
        <v/>
      </c>
    </row>
    <row r="777" spans="30:327">
      <c r="AD777" t="s">
        <v>114</v>
      </c>
      <c r="AE777" t="s">
        <v>22920</v>
      </c>
      <c r="AF777" s="46">
        <v>0</v>
      </c>
      <c r="AG777" s="113"/>
      <c r="AH777" s="113"/>
      <c r="AI777" s="113"/>
      <c r="AJ777" s="113"/>
      <c r="AK777" s="113"/>
      <c r="AL777" s="46">
        <v>0</v>
      </c>
      <c r="AM777" s="113"/>
      <c r="AN777" s="113"/>
      <c r="AO777" s="113"/>
      <c r="AP777" s="113"/>
      <c r="AQ777" s="113"/>
      <c r="AR777" s="46">
        <v>0</v>
      </c>
      <c r="AS777" s="113"/>
      <c r="AT777" s="113"/>
      <c r="AU777" s="113"/>
      <c r="AV777" s="113"/>
      <c r="AW777" s="113"/>
      <c r="AX777" s="46">
        <v>0</v>
      </c>
      <c r="AY777" s="113"/>
      <c r="AZ777" s="113"/>
      <c r="BA777" s="113"/>
      <c r="BB777" s="113"/>
      <c r="BC777" s="113"/>
      <c r="BD777" s="46">
        <v>0</v>
      </c>
      <c r="BE777" s="113"/>
      <c r="BF777" s="113"/>
      <c r="BG777" s="113"/>
      <c r="BH777" s="113"/>
      <c r="BI777" s="113"/>
      <c r="BJ777" s="46">
        <v>0</v>
      </c>
      <c r="BK777" s="113"/>
      <c r="BL777" s="113"/>
      <c r="BM777" s="113"/>
      <c r="BN777" s="113"/>
      <c r="BO777" s="113"/>
      <c r="BP777" s="121"/>
      <c r="BQ777" s="121"/>
      <c r="GA777" t="s">
        <v>114</v>
      </c>
      <c r="GB777" t="s">
        <v>22920</v>
      </c>
      <c r="GC777" s="46">
        <v>0</v>
      </c>
      <c r="GD777" s="113"/>
      <c r="GE777" s="113"/>
      <c r="GF777" s="113"/>
      <c r="GG777" s="113"/>
      <c r="GH777" s="113"/>
      <c r="GI777" s="46">
        <v>0</v>
      </c>
      <c r="GJ777" s="113"/>
      <c r="GK777" s="113"/>
      <c r="GL777" s="113"/>
      <c r="GM777" s="113"/>
      <c r="GN777" s="113"/>
      <c r="GO777" s="46">
        <v>0</v>
      </c>
      <c r="GP777" s="113"/>
      <c r="GQ777" s="113"/>
      <c r="GR777" s="113"/>
      <c r="GS777" s="113"/>
      <c r="GT777" s="113"/>
      <c r="GU777" s="46">
        <v>0</v>
      </c>
      <c r="GV777" s="113"/>
      <c r="GW777" s="113"/>
      <c r="GX777" s="113"/>
      <c r="GY777" s="113"/>
      <c r="GZ777" s="113"/>
      <c r="HA777" s="46">
        <v>0</v>
      </c>
      <c r="HB777" s="113"/>
      <c r="HC777" s="113"/>
      <c r="HD777" s="113"/>
      <c r="HE777" s="113"/>
      <c r="HF777" s="113"/>
      <c r="HG777" s="46">
        <v>0</v>
      </c>
      <c r="HH777" s="113"/>
      <c r="HI777" s="113"/>
      <c r="HJ777" s="113"/>
      <c r="HK777" s="113"/>
      <c r="HL777" s="113"/>
      <c r="HM777" s="121"/>
      <c r="HN777" s="121"/>
      <c r="LM777" t="str">
        <v/>
      </c>
      <c r="LN777" t="str">
        <v/>
      </c>
      <c r="LO777" t="str">
        <v/>
      </c>
    </row>
    <row r="778" spans="30:327">
      <c r="AD778" t="s">
        <v>114</v>
      </c>
      <c r="AE778" t="s">
        <v>22921</v>
      </c>
      <c r="AF778" s="46">
        <v>0</v>
      </c>
      <c r="AG778" s="113"/>
      <c r="AH778" s="113"/>
      <c r="AI778" s="113"/>
      <c r="AJ778" s="113"/>
      <c r="AK778" s="113"/>
      <c r="AL778" s="46">
        <v>0</v>
      </c>
      <c r="AM778" s="113"/>
      <c r="AN778" s="113"/>
      <c r="AO778" s="113"/>
      <c r="AP778" s="113"/>
      <c r="AQ778" s="113"/>
      <c r="AR778" s="46">
        <v>0</v>
      </c>
      <c r="AS778" s="113"/>
      <c r="AT778" s="113"/>
      <c r="AU778" s="113"/>
      <c r="AV778" s="113"/>
      <c r="AW778" s="113"/>
      <c r="AX778" s="46">
        <v>0</v>
      </c>
      <c r="AY778" s="113"/>
      <c r="AZ778" s="113"/>
      <c r="BA778" s="113"/>
      <c r="BB778" s="113"/>
      <c r="BC778" s="113"/>
      <c r="BD778" s="46">
        <v>0</v>
      </c>
      <c r="BE778" s="113"/>
      <c r="BF778" s="113"/>
      <c r="BG778" s="113"/>
      <c r="BH778" s="113"/>
      <c r="BI778" s="113"/>
      <c r="BJ778" s="46">
        <v>0</v>
      </c>
      <c r="BK778" s="113"/>
      <c r="BL778" s="113"/>
      <c r="BM778" s="113"/>
      <c r="BN778" s="113"/>
      <c r="BO778" s="113"/>
      <c r="BP778" s="121"/>
      <c r="BQ778" s="121"/>
      <c r="GA778" t="s">
        <v>114</v>
      </c>
      <c r="GB778" t="s">
        <v>22921</v>
      </c>
      <c r="GC778" s="46">
        <v>0</v>
      </c>
      <c r="GD778" s="113"/>
      <c r="GE778" s="113"/>
      <c r="GF778" s="113"/>
      <c r="GG778" s="113"/>
      <c r="GH778" s="113"/>
      <c r="GI778" s="46">
        <v>0</v>
      </c>
      <c r="GJ778" s="113"/>
      <c r="GK778" s="113"/>
      <c r="GL778" s="113"/>
      <c r="GM778" s="113"/>
      <c r="GN778" s="113"/>
      <c r="GO778" s="46">
        <v>0</v>
      </c>
      <c r="GP778" s="113"/>
      <c r="GQ778" s="113"/>
      <c r="GR778" s="113"/>
      <c r="GS778" s="113"/>
      <c r="GT778" s="113"/>
      <c r="GU778" s="46">
        <v>0</v>
      </c>
      <c r="GV778" s="113"/>
      <c r="GW778" s="113"/>
      <c r="GX778" s="113"/>
      <c r="GY778" s="113"/>
      <c r="GZ778" s="113"/>
      <c r="HA778" s="46">
        <v>0</v>
      </c>
      <c r="HB778" s="113"/>
      <c r="HC778" s="113"/>
      <c r="HD778" s="113"/>
      <c r="HE778" s="113"/>
      <c r="HF778" s="113"/>
      <c r="HG778" s="46">
        <v>0</v>
      </c>
      <c r="HH778" s="113"/>
      <c r="HI778" s="113"/>
      <c r="HJ778" s="113"/>
      <c r="HK778" s="113"/>
      <c r="HL778" s="113"/>
      <c r="HM778" s="121"/>
      <c r="HN778" s="121"/>
      <c r="LM778" t="str">
        <v/>
      </c>
      <c r="LN778" t="str">
        <v/>
      </c>
      <c r="LO778" t="str">
        <v/>
      </c>
    </row>
    <row r="779" spans="30:327">
      <c r="AD779" t="s">
        <v>114</v>
      </c>
      <c r="AE779" t="s">
        <v>22922</v>
      </c>
      <c r="AF779" s="46">
        <v>0</v>
      </c>
      <c r="AG779" s="113"/>
      <c r="AH779" s="113"/>
      <c r="AI779" s="113"/>
      <c r="AJ779" s="113"/>
      <c r="AK779" s="113"/>
      <c r="AL779" s="46">
        <v>0</v>
      </c>
      <c r="AM779" s="113"/>
      <c r="AN779" s="113"/>
      <c r="AO779" s="113"/>
      <c r="AP779" s="113"/>
      <c r="AQ779" s="113"/>
      <c r="AR779" s="46">
        <v>0</v>
      </c>
      <c r="AS779" s="113"/>
      <c r="AT779" s="113"/>
      <c r="AU779" s="113"/>
      <c r="AV779" s="113"/>
      <c r="AW779" s="113"/>
      <c r="AX779" s="46">
        <v>0</v>
      </c>
      <c r="AY779" s="113"/>
      <c r="AZ779" s="113"/>
      <c r="BA779" s="113"/>
      <c r="BB779" s="113"/>
      <c r="BC779" s="113"/>
      <c r="BD779" s="46">
        <v>0</v>
      </c>
      <c r="BE779" s="113"/>
      <c r="BF779" s="113"/>
      <c r="BG779" s="113"/>
      <c r="BH779" s="113"/>
      <c r="BI779" s="113"/>
      <c r="BJ779" s="46">
        <v>0</v>
      </c>
      <c r="BK779" s="113"/>
      <c r="BL779" s="113"/>
      <c r="BM779" s="113"/>
      <c r="BN779" s="113"/>
      <c r="BO779" s="113"/>
      <c r="BP779" s="121"/>
      <c r="BQ779" s="121"/>
      <c r="GA779" t="s">
        <v>114</v>
      </c>
      <c r="GB779" t="s">
        <v>22922</v>
      </c>
      <c r="GC779" s="46">
        <v>0</v>
      </c>
      <c r="GD779" s="113"/>
      <c r="GE779" s="113"/>
      <c r="GF779" s="113"/>
      <c r="GG779" s="113"/>
      <c r="GH779" s="113"/>
      <c r="GI779" s="46">
        <v>0</v>
      </c>
      <c r="GJ779" s="113"/>
      <c r="GK779" s="113"/>
      <c r="GL779" s="113"/>
      <c r="GM779" s="113"/>
      <c r="GN779" s="113"/>
      <c r="GO779" s="46">
        <v>0</v>
      </c>
      <c r="GP779" s="113"/>
      <c r="GQ779" s="113"/>
      <c r="GR779" s="113"/>
      <c r="GS779" s="113"/>
      <c r="GT779" s="113"/>
      <c r="GU779" s="46">
        <v>0</v>
      </c>
      <c r="GV779" s="113"/>
      <c r="GW779" s="113"/>
      <c r="GX779" s="113"/>
      <c r="GY779" s="113"/>
      <c r="GZ779" s="113"/>
      <c r="HA779" s="46">
        <v>0</v>
      </c>
      <c r="HB779" s="113"/>
      <c r="HC779" s="113"/>
      <c r="HD779" s="113"/>
      <c r="HE779" s="113"/>
      <c r="HF779" s="113"/>
      <c r="HG779" s="46">
        <v>0</v>
      </c>
      <c r="HH779" s="113"/>
      <c r="HI779" s="113"/>
      <c r="HJ779" s="113"/>
      <c r="HK779" s="113"/>
      <c r="HL779" s="113"/>
      <c r="HM779" s="121"/>
      <c r="HN779" s="121"/>
      <c r="LM779" t="str">
        <v/>
      </c>
      <c r="LN779" t="str">
        <v/>
      </c>
      <c r="LO779" t="str">
        <v/>
      </c>
    </row>
    <row r="780" spans="30:327">
      <c r="AD780" t="s">
        <v>114</v>
      </c>
      <c r="AE780" t="s">
        <v>22923</v>
      </c>
      <c r="AF780" s="46">
        <v>0</v>
      </c>
      <c r="AG780" s="113"/>
      <c r="AH780" s="113"/>
      <c r="AI780" s="113"/>
      <c r="AJ780" s="113"/>
      <c r="AK780" s="113"/>
      <c r="AL780" s="46">
        <v>0</v>
      </c>
      <c r="AM780" s="113"/>
      <c r="AN780" s="113"/>
      <c r="AO780" s="113"/>
      <c r="AP780" s="113"/>
      <c r="AQ780" s="113"/>
      <c r="AR780" s="46">
        <v>0</v>
      </c>
      <c r="AS780" s="113"/>
      <c r="AT780" s="113"/>
      <c r="AU780" s="113"/>
      <c r="AV780" s="113"/>
      <c r="AW780" s="113"/>
      <c r="AX780" s="46">
        <v>0</v>
      </c>
      <c r="AY780" s="113"/>
      <c r="AZ780" s="113"/>
      <c r="BA780" s="113"/>
      <c r="BB780" s="113"/>
      <c r="BC780" s="113"/>
      <c r="BD780" s="46">
        <v>0</v>
      </c>
      <c r="BE780" s="113"/>
      <c r="BF780" s="113"/>
      <c r="BG780" s="113"/>
      <c r="BH780" s="113"/>
      <c r="BI780" s="113"/>
      <c r="BJ780" s="46">
        <v>0</v>
      </c>
      <c r="BK780" s="113"/>
      <c r="BL780" s="113"/>
      <c r="BM780" s="113"/>
      <c r="BN780" s="113"/>
      <c r="BO780" s="113"/>
      <c r="BP780" s="121"/>
      <c r="BQ780" s="121"/>
      <c r="GA780" t="s">
        <v>114</v>
      </c>
      <c r="GB780" t="s">
        <v>22923</v>
      </c>
      <c r="GC780" s="46">
        <v>0</v>
      </c>
      <c r="GD780" s="113"/>
      <c r="GE780" s="113"/>
      <c r="GF780" s="113"/>
      <c r="GG780" s="113"/>
      <c r="GH780" s="113"/>
      <c r="GI780" s="46">
        <v>0</v>
      </c>
      <c r="GJ780" s="113"/>
      <c r="GK780" s="113"/>
      <c r="GL780" s="113"/>
      <c r="GM780" s="113"/>
      <c r="GN780" s="113"/>
      <c r="GO780" s="46">
        <v>0</v>
      </c>
      <c r="GP780" s="113"/>
      <c r="GQ780" s="113"/>
      <c r="GR780" s="113"/>
      <c r="GS780" s="113"/>
      <c r="GT780" s="113"/>
      <c r="GU780" s="46">
        <v>0</v>
      </c>
      <c r="GV780" s="113"/>
      <c r="GW780" s="113"/>
      <c r="GX780" s="113"/>
      <c r="GY780" s="113"/>
      <c r="GZ780" s="113"/>
      <c r="HA780" s="46">
        <v>0</v>
      </c>
      <c r="HB780" s="113"/>
      <c r="HC780" s="113"/>
      <c r="HD780" s="113"/>
      <c r="HE780" s="113"/>
      <c r="HF780" s="113"/>
      <c r="HG780" s="46">
        <v>0</v>
      </c>
      <c r="HH780" s="113"/>
      <c r="HI780" s="113"/>
      <c r="HJ780" s="113"/>
      <c r="HK780" s="113"/>
      <c r="HL780" s="113"/>
      <c r="HM780" s="121"/>
      <c r="HN780" s="121"/>
      <c r="LM780" t="str">
        <v/>
      </c>
      <c r="LN780" t="str">
        <v/>
      </c>
      <c r="LO780" t="str">
        <v/>
      </c>
    </row>
    <row r="781" spans="30:327">
      <c r="AD781" t="s">
        <v>114</v>
      </c>
      <c r="AE781" t="s">
        <v>22924</v>
      </c>
      <c r="AF781" s="46">
        <v>0</v>
      </c>
      <c r="AG781" s="113"/>
      <c r="AH781" s="113"/>
      <c r="AI781" s="113"/>
      <c r="AJ781" s="113"/>
      <c r="AK781" s="113"/>
      <c r="AL781" s="46">
        <v>0</v>
      </c>
      <c r="AM781" s="113"/>
      <c r="AN781" s="113"/>
      <c r="AO781" s="113"/>
      <c r="AP781" s="113"/>
      <c r="AQ781" s="113"/>
      <c r="AR781" s="46">
        <v>0</v>
      </c>
      <c r="AS781" s="113"/>
      <c r="AT781" s="113"/>
      <c r="AU781" s="113"/>
      <c r="AV781" s="113"/>
      <c r="AW781" s="113"/>
      <c r="AX781" s="46">
        <v>0</v>
      </c>
      <c r="AY781" s="113"/>
      <c r="AZ781" s="113"/>
      <c r="BA781" s="113"/>
      <c r="BB781" s="113"/>
      <c r="BC781" s="113"/>
      <c r="BD781" s="46">
        <v>0</v>
      </c>
      <c r="BE781" s="113"/>
      <c r="BF781" s="113"/>
      <c r="BG781" s="113"/>
      <c r="BH781" s="113"/>
      <c r="BI781" s="113"/>
      <c r="BJ781" s="46">
        <v>0</v>
      </c>
      <c r="BK781" s="113"/>
      <c r="BL781" s="113"/>
      <c r="BM781" s="113"/>
      <c r="BN781" s="113"/>
      <c r="BO781" s="113"/>
      <c r="BP781" s="121"/>
      <c r="BQ781" s="121"/>
      <c r="GA781" t="s">
        <v>114</v>
      </c>
      <c r="GB781" t="s">
        <v>22924</v>
      </c>
      <c r="GC781" s="46">
        <v>0</v>
      </c>
      <c r="GD781" s="113"/>
      <c r="GE781" s="113"/>
      <c r="GF781" s="113"/>
      <c r="GG781" s="113"/>
      <c r="GH781" s="113"/>
      <c r="GI781" s="46">
        <v>0</v>
      </c>
      <c r="GJ781" s="113"/>
      <c r="GK781" s="113"/>
      <c r="GL781" s="113"/>
      <c r="GM781" s="113"/>
      <c r="GN781" s="113"/>
      <c r="GO781" s="46">
        <v>0</v>
      </c>
      <c r="GP781" s="113"/>
      <c r="GQ781" s="113"/>
      <c r="GR781" s="113"/>
      <c r="GS781" s="113"/>
      <c r="GT781" s="113"/>
      <c r="GU781" s="46">
        <v>0</v>
      </c>
      <c r="GV781" s="113"/>
      <c r="GW781" s="113"/>
      <c r="GX781" s="113"/>
      <c r="GY781" s="113"/>
      <c r="GZ781" s="113"/>
      <c r="HA781" s="46">
        <v>0</v>
      </c>
      <c r="HB781" s="113"/>
      <c r="HC781" s="113"/>
      <c r="HD781" s="113"/>
      <c r="HE781" s="113"/>
      <c r="HF781" s="113"/>
      <c r="HG781" s="46">
        <v>0</v>
      </c>
      <c r="HH781" s="113"/>
      <c r="HI781" s="113"/>
      <c r="HJ781" s="113"/>
      <c r="HK781" s="113"/>
      <c r="HL781" s="113"/>
      <c r="HM781" s="121"/>
      <c r="HN781" s="121"/>
      <c r="LM781" t="str">
        <v/>
      </c>
      <c r="LN781" t="str">
        <v/>
      </c>
      <c r="LO781" t="str">
        <v/>
      </c>
    </row>
    <row r="782" spans="30:327">
      <c r="AD782" t="s">
        <v>114</v>
      </c>
      <c r="AE782" t="s">
        <v>22925</v>
      </c>
      <c r="AF782" s="46">
        <v>0</v>
      </c>
      <c r="AG782" s="113"/>
      <c r="AH782" s="113"/>
      <c r="AI782" s="113"/>
      <c r="AJ782" s="113"/>
      <c r="AK782" s="113"/>
      <c r="AL782" s="46">
        <v>0</v>
      </c>
      <c r="AM782" s="113"/>
      <c r="AN782" s="113"/>
      <c r="AO782" s="113"/>
      <c r="AP782" s="113"/>
      <c r="AQ782" s="113"/>
      <c r="AR782" s="46">
        <v>0</v>
      </c>
      <c r="AS782" s="113"/>
      <c r="AT782" s="113"/>
      <c r="AU782" s="113"/>
      <c r="AV782" s="113"/>
      <c r="AW782" s="113"/>
      <c r="AX782" s="46">
        <v>0</v>
      </c>
      <c r="AY782" s="113"/>
      <c r="AZ782" s="113"/>
      <c r="BA782" s="113"/>
      <c r="BB782" s="113"/>
      <c r="BC782" s="113"/>
      <c r="BD782" s="46">
        <v>0</v>
      </c>
      <c r="BE782" s="113"/>
      <c r="BF782" s="113"/>
      <c r="BG782" s="113"/>
      <c r="BH782" s="113"/>
      <c r="BI782" s="113"/>
      <c r="BJ782" s="46">
        <v>0</v>
      </c>
      <c r="BK782" s="113"/>
      <c r="BL782" s="113"/>
      <c r="BM782" s="113"/>
      <c r="BN782" s="113"/>
      <c r="BO782" s="113"/>
      <c r="BP782" s="121"/>
      <c r="BQ782" s="121"/>
      <c r="GA782" t="s">
        <v>114</v>
      </c>
      <c r="GB782" t="s">
        <v>22925</v>
      </c>
      <c r="GC782" s="46">
        <v>0</v>
      </c>
      <c r="GD782" s="113"/>
      <c r="GE782" s="113"/>
      <c r="GF782" s="113"/>
      <c r="GG782" s="113"/>
      <c r="GH782" s="113"/>
      <c r="GI782" s="46">
        <v>0</v>
      </c>
      <c r="GJ782" s="113"/>
      <c r="GK782" s="113"/>
      <c r="GL782" s="113"/>
      <c r="GM782" s="113"/>
      <c r="GN782" s="113"/>
      <c r="GO782" s="46">
        <v>0</v>
      </c>
      <c r="GP782" s="113"/>
      <c r="GQ782" s="113"/>
      <c r="GR782" s="113"/>
      <c r="GS782" s="113"/>
      <c r="GT782" s="113"/>
      <c r="GU782" s="46">
        <v>0</v>
      </c>
      <c r="GV782" s="113"/>
      <c r="GW782" s="113"/>
      <c r="GX782" s="113"/>
      <c r="GY782" s="113"/>
      <c r="GZ782" s="113"/>
      <c r="HA782" s="46">
        <v>0</v>
      </c>
      <c r="HB782" s="113"/>
      <c r="HC782" s="113"/>
      <c r="HD782" s="113"/>
      <c r="HE782" s="113"/>
      <c r="HF782" s="113"/>
      <c r="HG782" s="46">
        <v>0</v>
      </c>
      <c r="HH782" s="113"/>
      <c r="HI782" s="113"/>
      <c r="HJ782" s="113"/>
      <c r="HK782" s="113"/>
      <c r="HL782" s="113"/>
      <c r="HM782" s="121"/>
      <c r="HN782" s="121"/>
      <c r="LM782" t="str">
        <v/>
      </c>
      <c r="LN782" t="str">
        <v/>
      </c>
      <c r="LO782" t="str">
        <v/>
      </c>
    </row>
    <row r="783" spans="30:327">
      <c r="AD783" t="s">
        <v>114</v>
      </c>
      <c r="AE783" t="s">
        <v>22926</v>
      </c>
      <c r="AF783" s="46">
        <v>0</v>
      </c>
      <c r="AG783" s="113"/>
      <c r="AH783" s="113"/>
      <c r="AI783" s="113"/>
      <c r="AJ783" s="113"/>
      <c r="AK783" s="113"/>
      <c r="AL783" s="46">
        <v>0</v>
      </c>
      <c r="AM783" s="113"/>
      <c r="AN783" s="113"/>
      <c r="AO783" s="113"/>
      <c r="AP783" s="113"/>
      <c r="AQ783" s="113"/>
      <c r="AR783" s="46">
        <v>0</v>
      </c>
      <c r="AS783" s="113"/>
      <c r="AT783" s="113"/>
      <c r="AU783" s="113"/>
      <c r="AV783" s="113"/>
      <c r="AW783" s="113"/>
      <c r="AX783" s="46">
        <v>0</v>
      </c>
      <c r="AY783" s="113"/>
      <c r="AZ783" s="113"/>
      <c r="BA783" s="113"/>
      <c r="BB783" s="113"/>
      <c r="BC783" s="113"/>
      <c r="BD783" s="46">
        <v>0</v>
      </c>
      <c r="BE783" s="113"/>
      <c r="BF783" s="113"/>
      <c r="BG783" s="113"/>
      <c r="BH783" s="113"/>
      <c r="BI783" s="113"/>
      <c r="BJ783" s="46">
        <v>0</v>
      </c>
      <c r="BK783" s="113"/>
      <c r="BL783" s="113"/>
      <c r="BM783" s="113"/>
      <c r="BN783" s="113"/>
      <c r="BO783" s="113"/>
      <c r="BP783" s="121"/>
      <c r="BQ783" s="121"/>
      <c r="GA783" t="s">
        <v>114</v>
      </c>
      <c r="GB783" t="s">
        <v>22926</v>
      </c>
      <c r="GC783" s="46">
        <v>0</v>
      </c>
      <c r="GD783" s="113"/>
      <c r="GE783" s="113"/>
      <c r="GF783" s="113"/>
      <c r="GG783" s="113"/>
      <c r="GH783" s="113"/>
      <c r="GI783" s="46">
        <v>0</v>
      </c>
      <c r="GJ783" s="113"/>
      <c r="GK783" s="113"/>
      <c r="GL783" s="113"/>
      <c r="GM783" s="113"/>
      <c r="GN783" s="113"/>
      <c r="GO783" s="46">
        <v>0</v>
      </c>
      <c r="GP783" s="113"/>
      <c r="GQ783" s="113"/>
      <c r="GR783" s="113"/>
      <c r="GS783" s="113"/>
      <c r="GT783" s="113"/>
      <c r="GU783" s="46">
        <v>0</v>
      </c>
      <c r="GV783" s="113"/>
      <c r="GW783" s="113"/>
      <c r="GX783" s="113"/>
      <c r="GY783" s="113"/>
      <c r="GZ783" s="113"/>
      <c r="HA783" s="46">
        <v>0</v>
      </c>
      <c r="HB783" s="113"/>
      <c r="HC783" s="113"/>
      <c r="HD783" s="113"/>
      <c r="HE783" s="113"/>
      <c r="HF783" s="113"/>
      <c r="HG783" s="46">
        <v>0</v>
      </c>
      <c r="HH783" s="113"/>
      <c r="HI783" s="113"/>
      <c r="HJ783" s="113"/>
      <c r="HK783" s="113"/>
      <c r="HL783" s="113"/>
      <c r="HM783" s="121"/>
      <c r="HN783" s="121"/>
      <c r="LM783" t="str">
        <v/>
      </c>
      <c r="LN783" t="str">
        <v/>
      </c>
      <c r="LO783" t="str">
        <v/>
      </c>
    </row>
    <row r="784" spans="30:327">
      <c r="AD784" t="s">
        <v>114</v>
      </c>
      <c r="AE784" t="s">
        <v>22927</v>
      </c>
      <c r="AF784" s="46">
        <v>0</v>
      </c>
      <c r="AG784" s="113"/>
      <c r="AH784" s="113"/>
      <c r="AI784" s="113"/>
      <c r="AJ784" s="113"/>
      <c r="AK784" s="113"/>
      <c r="AL784" s="46">
        <v>0</v>
      </c>
      <c r="AM784" s="113"/>
      <c r="AN784" s="113"/>
      <c r="AO784" s="113"/>
      <c r="AP784" s="113"/>
      <c r="AQ784" s="113"/>
      <c r="AR784" s="46">
        <v>0</v>
      </c>
      <c r="AS784" s="113"/>
      <c r="AT784" s="113"/>
      <c r="AU784" s="113"/>
      <c r="AV784" s="113"/>
      <c r="AW784" s="113"/>
      <c r="AX784" s="46">
        <v>0</v>
      </c>
      <c r="AY784" s="113"/>
      <c r="AZ784" s="113"/>
      <c r="BA784" s="113"/>
      <c r="BB784" s="113"/>
      <c r="BC784" s="113"/>
      <c r="BD784" s="46">
        <v>0</v>
      </c>
      <c r="BE784" s="113"/>
      <c r="BF784" s="113"/>
      <c r="BG784" s="113"/>
      <c r="BH784" s="113"/>
      <c r="BI784" s="113"/>
      <c r="BJ784" s="46">
        <v>0</v>
      </c>
      <c r="BK784" s="113"/>
      <c r="BL784" s="113"/>
      <c r="BM784" s="113"/>
      <c r="BN784" s="113"/>
      <c r="BO784" s="113"/>
      <c r="BP784" s="121"/>
      <c r="BQ784" s="121"/>
      <c r="GA784" t="s">
        <v>114</v>
      </c>
      <c r="GB784" t="s">
        <v>22927</v>
      </c>
      <c r="GC784" s="46">
        <v>0</v>
      </c>
      <c r="GD784" s="113"/>
      <c r="GE784" s="113"/>
      <c r="GF784" s="113"/>
      <c r="GG784" s="113"/>
      <c r="GH784" s="113"/>
      <c r="GI784" s="46">
        <v>0</v>
      </c>
      <c r="GJ784" s="113"/>
      <c r="GK784" s="113"/>
      <c r="GL784" s="113"/>
      <c r="GM784" s="113"/>
      <c r="GN784" s="113"/>
      <c r="GO784" s="46">
        <v>0</v>
      </c>
      <c r="GP784" s="113"/>
      <c r="GQ784" s="113"/>
      <c r="GR784" s="113"/>
      <c r="GS784" s="113"/>
      <c r="GT784" s="113"/>
      <c r="GU784" s="46">
        <v>0</v>
      </c>
      <c r="GV784" s="113"/>
      <c r="GW784" s="113"/>
      <c r="GX784" s="113"/>
      <c r="GY784" s="113"/>
      <c r="GZ784" s="113"/>
      <c r="HA784" s="46">
        <v>0</v>
      </c>
      <c r="HB784" s="113"/>
      <c r="HC784" s="113"/>
      <c r="HD784" s="113"/>
      <c r="HE784" s="113"/>
      <c r="HF784" s="113"/>
      <c r="HG784" s="46">
        <v>0</v>
      </c>
      <c r="HH784" s="113"/>
      <c r="HI784" s="113"/>
      <c r="HJ784" s="113"/>
      <c r="HK784" s="113"/>
      <c r="HL784" s="113"/>
      <c r="HM784" s="121"/>
      <c r="HN784" s="121"/>
      <c r="LM784" t="str">
        <v/>
      </c>
      <c r="LN784" t="str">
        <v/>
      </c>
      <c r="LO784" t="str">
        <v/>
      </c>
    </row>
    <row r="785" spans="30:327">
      <c r="AD785" t="s">
        <v>114</v>
      </c>
      <c r="AE785" t="s">
        <v>22928</v>
      </c>
      <c r="AF785" s="46">
        <v>0</v>
      </c>
      <c r="AG785" s="113"/>
      <c r="AH785" s="113"/>
      <c r="AI785" s="113"/>
      <c r="AJ785" s="113"/>
      <c r="AK785" s="113"/>
      <c r="AL785" s="46">
        <v>0</v>
      </c>
      <c r="AM785" s="113"/>
      <c r="AN785" s="113"/>
      <c r="AO785" s="113"/>
      <c r="AP785" s="113"/>
      <c r="AQ785" s="113"/>
      <c r="AR785" s="46">
        <v>0</v>
      </c>
      <c r="AS785" s="113"/>
      <c r="AT785" s="113"/>
      <c r="AU785" s="113"/>
      <c r="AV785" s="113"/>
      <c r="AW785" s="113"/>
      <c r="AX785" s="46">
        <v>0</v>
      </c>
      <c r="AY785" s="113"/>
      <c r="AZ785" s="113"/>
      <c r="BA785" s="113"/>
      <c r="BB785" s="113"/>
      <c r="BC785" s="113"/>
      <c r="BD785" s="46">
        <v>0</v>
      </c>
      <c r="BE785" s="113"/>
      <c r="BF785" s="113"/>
      <c r="BG785" s="113"/>
      <c r="BH785" s="113"/>
      <c r="BI785" s="113"/>
      <c r="BJ785" s="46">
        <v>0</v>
      </c>
      <c r="BK785" s="113"/>
      <c r="BL785" s="113"/>
      <c r="BM785" s="113"/>
      <c r="BN785" s="113"/>
      <c r="BO785" s="113"/>
      <c r="BP785" s="121"/>
      <c r="BQ785" s="121"/>
      <c r="GA785" t="s">
        <v>114</v>
      </c>
      <c r="GB785" t="s">
        <v>22928</v>
      </c>
      <c r="GC785" s="46">
        <v>0</v>
      </c>
      <c r="GD785" s="113"/>
      <c r="GE785" s="113"/>
      <c r="GF785" s="113"/>
      <c r="GG785" s="113"/>
      <c r="GH785" s="113"/>
      <c r="GI785" s="46">
        <v>0</v>
      </c>
      <c r="GJ785" s="113"/>
      <c r="GK785" s="113"/>
      <c r="GL785" s="113"/>
      <c r="GM785" s="113"/>
      <c r="GN785" s="113"/>
      <c r="GO785" s="46">
        <v>0</v>
      </c>
      <c r="GP785" s="113"/>
      <c r="GQ785" s="113"/>
      <c r="GR785" s="113"/>
      <c r="GS785" s="113"/>
      <c r="GT785" s="113"/>
      <c r="GU785" s="46">
        <v>0</v>
      </c>
      <c r="GV785" s="113"/>
      <c r="GW785" s="113"/>
      <c r="GX785" s="113"/>
      <c r="GY785" s="113"/>
      <c r="GZ785" s="113"/>
      <c r="HA785" s="46">
        <v>0</v>
      </c>
      <c r="HB785" s="113"/>
      <c r="HC785" s="113"/>
      <c r="HD785" s="113"/>
      <c r="HE785" s="113"/>
      <c r="HF785" s="113"/>
      <c r="HG785" s="46">
        <v>0</v>
      </c>
      <c r="HH785" s="113"/>
      <c r="HI785" s="113"/>
      <c r="HJ785" s="113"/>
      <c r="HK785" s="113"/>
      <c r="HL785" s="113"/>
      <c r="HM785" s="121"/>
      <c r="HN785" s="121"/>
      <c r="LM785" t="str">
        <v/>
      </c>
      <c r="LN785" t="str">
        <v/>
      </c>
      <c r="LO785" t="str">
        <v/>
      </c>
    </row>
    <row r="786" spans="30:327">
      <c r="AD786" t="s">
        <v>114</v>
      </c>
      <c r="AE786" t="s">
        <v>22929</v>
      </c>
      <c r="AF786" s="46">
        <v>0</v>
      </c>
      <c r="AG786" s="113"/>
      <c r="AH786" s="113"/>
      <c r="AI786" s="113"/>
      <c r="AJ786" s="113"/>
      <c r="AK786" s="113"/>
      <c r="AL786" s="46">
        <v>0</v>
      </c>
      <c r="AM786" s="113"/>
      <c r="AN786" s="113"/>
      <c r="AO786" s="113"/>
      <c r="AP786" s="113"/>
      <c r="AQ786" s="113"/>
      <c r="AR786" s="46">
        <v>0</v>
      </c>
      <c r="AS786" s="113"/>
      <c r="AT786" s="113"/>
      <c r="AU786" s="113"/>
      <c r="AV786" s="113"/>
      <c r="AW786" s="113"/>
      <c r="AX786" s="46">
        <v>0</v>
      </c>
      <c r="AY786" s="113"/>
      <c r="AZ786" s="113"/>
      <c r="BA786" s="113"/>
      <c r="BB786" s="113"/>
      <c r="BC786" s="113"/>
      <c r="BD786" s="46">
        <v>0</v>
      </c>
      <c r="BE786" s="113"/>
      <c r="BF786" s="113"/>
      <c r="BG786" s="113"/>
      <c r="BH786" s="113"/>
      <c r="BI786" s="113"/>
      <c r="BJ786" s="46">
        <v>0</v>
      </c>
      <c r="BK786" s="113"/>
      <c r="BL786" s="113"/>
      <c r="BM786" s="113"/>
      <c r="BN786" s="113"/>
      <c r="BO786" s="113"/>
      <c r="BP786" s="121"/>
      <c r="BQ786" s="121"/>
      <c r="GA786" t="s">
        <v>114</v>
      </c>
      <c r="GB786" t="s">
        <v>22929</v>
      </c>
      <c r="GC786" s="46">
        <v>0</v>
      </c>
      <c r="GD786" s="113"/>
      <c r="GE786" s="113"/>
      <c r="GF786" s="113"/>
      <c r="GG786" s="113"/>
      <c r="GH786" s="113"/>
      <c r="GI786" s="46">
        <v>0</v>
      </c>
      <c r="GJ786" s="113"/>
      <c r="GK786" s="113"/>
      <c r="GL786" s="113"/>
      <c r="GM786" s="113"/>
      <c r="GN786" s="113"/>
      <c r="GO786" s="46">
        <v>0</v>
      </c>
      <c r="GP786" s="113"/>
      <c r="GQ786" s="113"/>
      <c r="GR786" s="113"/>
      <c r="GS786" s="113"/>
      <c r="GT786" s="113"/>
      <c r="GU786" s="46">
        <v>0</v>
      </c>
      <c r="GV786" s="113"/>
      <c r="GW786" s="113"/>
      <c r="GX786" s="113"/>
      <c r="GY786" s="113"/>
      <c r="GZ786" s="113"/>
      <c r="HA786" s="46">
        <v>0</v>
      </c>
      <c r="HB786" s="113"/>
      <c r="HC786" s="113"/>
      <c r="HD786" s="113"/>
      <c r="HE786" s="113"/>
      <c r="HF786" s="113"/>
      <c r="HG786" s="46">
        <v>0</v>
      </c>
      <c r="HH786" s="113"/>
      <c r="HI786" s="113"/>
      <c r="HJ786" s="113"/>
      <c r="HK786" s="113"/>
      <c r="HL786" s="113"/>
      <c r="HM786" s="121"/>
      <c r="HN786" s="121"/>
      <c r="LM786" t="str">
        <v/>
      </c>
      <c r="LN786" t="str">
        <v/>
      </c>
      <c r="LO786" t="str">
        <v/>
      </c>
    </row>
    <row r="787" spans="30:327">
      <c r="AD787" t="s">
        <v>114</v>
      </c>
      <c r="AE787" t="s">
        <v>22930</v>
      </c>
      <c r="AF787" s="46">
        <v>0</v>
      </c>
      <c r="AG787" s="113"/>
      <c r="AH787" s="113"/>
      <c r="AI787" s="113"/>
      <c r="AJ787" s="113"/>
      <c r="AK787" s="113"/>
      <c r="AL787" s="46">
        <v>0</v>
      </c>
      <c r="AM787" s="113"/>
      <c r="AN787" s="113"/>
      <c r="AO787" s="113"/>
      <c r="AP787" s="113"/>
      <c r="AQ787" s="113"/>
      <c r="AR787" s="46">
        <v>0</v>
      </c>
      <c r="AS787" s="113"/>
      <c r="AT787" s="113"/>
      <c r="AU787" s="113"/>
      <c r="AV787" s="113"/>
      <c r="AW787" s="113"/>
      <c r="AX787" s="46">
        <v>0</v>
      </c>
      <c r="AY787" s="113"/>
      <c r="AZ787" s="113"/>
      <c r="BA787" s="113"/>
      <c r="BB787" s="113"/>
      <c r="BC787" s="113"/>
      <c r="BD787" s="46">
        <v>0</v>
      </c>
      <c r="BE787" s="113"/>
      <c r="BF787" s="113"/>
      <c r="BG787" s="113"/>
      <c r="BH787" s="113"/>
      <c r="BI787" s="113"/>
      <c r="BJ787" s="46">
        <v>0</v>
      </c>
      <c r="BK787" s="113"/>
      <c r="BL787" s="113"/>
      <c r="BM787" s="113"/>
      <c r="BN787" s="113"/>
      <c r="BO787" s="113"/>
      <c r="BP787" s="121"/>
      <c r="BQ787" s="121"/>
      <c r="GA787" t="s">
        <v>114</v>
      </c>
      <c r="GB787" t="s">
        <v>22930</v>
      </c>
      <c r="GC787" s="46">
        <v>0</v>
      </c>
      <c r="GD787" s="113"/>
      <c r="GE787" s="113"/>
      <c r="GF787" s="113"/>
      <c r="GG787" s="113"/>
      <c r="GH787" s="113"/>
      <c r="GI787" s="46">
        <v>0</v>
      </c>
      <c r="GJ787" s="113"/>
      <c r="GK787" s="113"/>
      <c r="GL787" s="113"/>
      <c r="GM787" s="113"/>
      <c r="GN787" s="113"/>
      <c r="GO787" s="46">
        <v>0</v>
      </c>
      <c r="GP787" s="113"/>
      <c r="GQ787" s="113"/>
      <c r="GR787" s="113"/>
      <c r="GS787" s="113"/>
      <c r="GT787" s="113"/>
      <c r="GU787" s="46">
        <v>0</v>
      </c>
      <c r="GV787" s="113"/>
      <c r="GW787" s="113"/>
      <c r="GX787" s="113"/>
      <c r="GY787" s="113"/>
      <c r="GZ787" s="113"/>
      <c r="HA787" s="46">
        <v>0</v>
      </c>
      <c r="HB787" s="113"/>
      <c r="HC787" s="113"/>
      <c r="HD787" s="113"/>
      <c r="HE787" s="113"/>
      <c r="HF787" s="113"/>
      <c r="HG787" s="46">
        <v>0</v>
      </c>
      <c r="HH787" s="113"/>
      <c r="HI787" s="113"/>
      <c r="HJ787" s="113"/>
      <c r="HK787" s="113"/>
      <c r="HL787" s="113"/>
      <c r="HM787" s="121"/>
      <c r="HN787" s="121"/>
      <c r="LM787" t="str">
        <v/>
      </c>
      <c r="LN787" t="str">
        <v/>
      </c>
      <c r="LO787" t="str">
        <v/>
      </c>
    </row>
    <row r="788" spans="30:327">
      <c r="AD788" t="s">
        <v>114</v>
      </c>
      <c r="AE788" t="s">
        <v>22931</v>
      </c>
      <c r="AF788" s="46">
        <v>0</v>
      </c>
      <c r="AG788" s="113"/>
      <c r="AH788" s="113"/>
      <c r="AI788" s="113"/>
      <c r="AJ788" s="113"/>
      <c r="AK788" s="113"/>
      <c r="AL788" s="46">
        <v>0</v>
      </c>
      <c r="AM788" s="113"/>
      <c r="AN788" s="113"/>
      <c r="AO788" s="113"/>
      <c r="AP788" s="113"/>
      <c r="AQ788" s="113"/>
      <c r="AR788" s="46">
        <v>0</v>
      </c>
      <c r="AS788" s="113"/>
      <c r="AT788" s="113"/>
      <c r="AU788" s="113"/>
      <c r="AV788" s="113"/>
      <c r="AW788" s="113"/>
      <c r="AX788" s="46">
        <v>0</v>
      </c>
      <c r="AY788" s="113"/>
      <c r="AZ788" s="113"/>
      <c r="BA788" s="113"/>
      <c r="BB788" s="113"/>
      <c r="BC788" s="113"/>
      <c r="BD788" s="46">
        <v>0</v>
      </c>
      <c r="BE788" s="113"/>
      <c r="BF788" s="113"/>
      <c r="BG788" s="113"/>
      <c r="BH788" s="113"/>
      <c r="BI788" s="113"/>
      <c r="BJ788" s="46">
        <v>0</v>
      </c>
      <c r="BK788" s="113"/>
      <c r="BL788" s="113"/>
      <c r="BM788" s="113"/>
      <c r="BN788" s="113"/>
      <c r="BO788" s="113"/>
      <c r="BP788" s="121"/>
      <c r="BQ788" s="121"/>
      <c r="GA788" t="s">
        <v>114</v>
      </c>
      <c r="GB788" t="s">
        <v>22931</v>
      </c>
      <c r="GC788" s="46">
        <v>0</v>
      </c>
      <c r="GD788" s="113"/>
      <c r="GE788" s="113"/>
      <c r="GF788" s="113"/>
      <c r="GG788" s="113"/>
      <c r="GH788" s="113"/>
      <c r="GI788" s="46">
        <v>0</v>
      </c>
      <c r="GJ788" s="113"/>
      <c r="GK788" s="113"/>
      <c r="GL788" s="113"/>
      <c r="GM788" s="113"/>
      <c r="GN788" s="113"/>
      <c r="GO788" s="46">
        <v>0</v>
      </c>
      <c r="GP788" s="113"/>
      <c r="GQ788" s="113"/>
      <c r="GR788" s="113"/>
      <c r="GS788" s="113"/>
      <c r="GT788" s="113"/>
      <c r="GU788" s="46">
        <v>0</v>
      </c>
      <c r="GV788" s="113"/>
      <c r="GW788" s="113"/>
      <c r="GX788" s="113"/>
      <c r="GY788" s="113"/>
      <c r="GZ788" s="113"/>
      <c r="HA788" s="46">
        <v>0</v>
      </c>
      <c r="HB788" s="113"/>
      <c r="HC788" s="113"/>
      <c r="HD788" s="113"/>
      <c r="HE788" s="113"/>
      <c r="HF788" s="113"/>
      <c r="HG788" s="46">
        <v>0</v>
      </c>
      <c r="HH788" s="113"/>
      <c r="HI788" s="113"/>
      <c r="HJ788" s="113"/>
      <c r="HK788" s="113"/>
      <c r="HL788" s="113"/>
      <c r="HM788" s="121"/>
      <c r="HN788" s="121"/>
      <c r="LM788" t="str">
        <v/>
      </c>
      <c r="LN788" t="str">
        <v/>
      </c>
      <c r="LO788" t="str">
        <v/>
      </c>
    </row>
    <row r="789" spans="30:327">
      <c r="AD789" t="s">
        <v>114</v>
      </c>
      <c r="AE789" t="s">
        <v>22932</v>
      </c>
      <c r="AF789" s="46">
        <v>0</v>
      </c>
      <c r="AG789" s="113"/>
      <c r="AH789" s="113"/>
      <c r="AI789" s="113"/>
      <c r="AJ789" s="113"/>
      <c r="AK789" s="113"/>
      <c r="AL789" s="46">
        <v>0</v>
      </c>
      <c r="AM789" s="113"/>
      <c r="AN789" s="113"/>
      <c r="AO789" s="113"/>
      <c r="AP789" s="113"/>
      <c r="AQ789" s="113"/>
      <c r="AR789" s="46">
        <v>0</v>
      </c>
      <c r="AS789" s="113"/>
      <c r="AT789" s="113"/>
      <c r="AU789" s="113"/>
      <c r="AV789" s="113"/>
      <c r="AW789" s="113"/>
      <c r="AX789" s="46">
        <v>0</v>
      </c>
      <c r="AY789" s="113"/>
      <c r="AZ789" s="113"/>
      <c r="BA789" s="113"/>
      <c r="BB789" s="113"/>
      <c r="BC789" s="113"/>
      <c r="BD789" s="46">
        <v>0</v>
      </c>
      <c r="BE789" s="113"/>
      <c r="BF789" s="113"/>
      <c r="BG789" s="113"/>
      <c r="BH789" s="113"/>
      <c r="BI789" s="113"/>
      <c r="BJ789" s="46">
        <v>0</v>
      </c>
      <c r="BK789" s="113"/>
      <c r="BL789" s="113"/>
      <c r="BM789" s="113"/>
      <c r="BN789" s="113"/>
      <c r="BO789" s="113"/>
      <c r="BP789" s="121"/>
      <c r="BQ789" s="121"/>
      <c r="GA789" t="s">
        <v>114</v>
      </c>
      <c r="GB789" t="s">
        <v>22932</v>
      </c>
      <c r="GC789" s="46">
        <v>0</v>
      </c>
      <c r="GD789" s="113"/>
      <c r="GE789" s="113"/>
      <c r="GF789" s="113"/>
      <c r="GG789" s="113"/>
      <c r="GH789" s="113"/>
      <c r="GI789" s="46">
        <v>0</v>
      </c>
      <c r="GJ789" s="113"/>
      <c r="GK789" s="113"/>
      <c r="GL789" s="113"/>
      <c r="GM789" s="113"/>
      <c r="GN789" s="113"/>
      <c r="GO789" s="46">
        <v>0</v>
      </c>
      <c r="GP789" s="113"/>
      <c r="GQ789" s="113"/>
      <c r="GR789" s="113"/>
      <c r="GS789" s="113"/>
      <c r="GT789" s="113"/>
      <c r="GU789" s="46">
        <v>0</v>
      </c>
      <c r="GV789" s="113"/>
      <c r="GW789" s="113"/>
      <c r="GX789" s="113"/>
      <c r="GY789" s="113"/>
      <c r="GZ789" s="113"/>
      <c r="HA789" s="46">
        <v>0</v>
      </c>
      <c r="HB789" s="113"/>
      <c r="HC789" s="113"/>
      <c r="HD789" s="113"/>
      <c r="HE789" s="113"/>
      <c r="HF789" s="113"/>
      <c r="HG789" s="46">
        <v>0</v>
      </c>
      <c r="HH789" s="113"/>
      <c r="HI789" s="113"/>
      <c r="HJ789" s="113"/>
      <c r="HK789" s="113"/>
      <c r="HL789" s="113"/>
      <c r="HM789" s="121"/>
      <c r="HN789" s="121"/>
      <c r="LM789" t="str">
        <v/>
      </c>
      <c r="LN789" t="str">
        <v/>
      </c>
      <c r="LO789" t="str">
        <v/>
      </c>
    </row>
    <row r="790" spans="30:327">
      <c r="AD790" t="s">
        <v>114</v>
      </c>
      <c r="AE790" t="s">
        <v>22933</v>
      </c>
      <c r="AF790" s="46">
        <v>0</v>
      </c>
      <c r="AG790" s="113"/>
      <c r="AH790" s="113"/>
      <c r="AI790" s="113"/>
      <c r="AJ790" s="113"/>
      <c r="AK790" s="113"/>
      <c r="AL790" s="46">
        <v>0</v>
      </c>
      <c r="AM790" s="113"/>
      <c r="AN790" s="113"/>
      <c r="AO790" s="113"/>
      <c r="AP790" s="113"/>
      <c r="AQ790" s="113"/>
      <c r="AR790" s="46">
        <v>0</v>
      </c>
      <c r="AS790" s="113"/>
      <c r="AT790" s="113"/>
      <c r="AU790" s="113"/>
      <c r="AV790" s="113"/>
      <c r="AW790" s="113"/>
      <c r="AX790" s="46">
        <v>0</v>
      </c>
      <c r="AY790" s="113"/>
      <c r="AZ790" s="113"/>
      <c r="BA790" s="113"/>
      <c r="BB790" s="113"/>
      <c r="BC790" s="113"/>
      <c r="BD790" s="46">
        <v>0</v>
      </c>
      <c r="BE790" s="113"/>
      <c r="BF790" s="113"/>
      <c r="BG790" s="113"/>
      <c r="BH790" s="113"/>
      <c r="BI790" s="113"/>
      <c r="BJ790" s="46">
        <v>0</v>
      </c>
      <c r="BK790" s="113"/>
      <c r="BL790" s="113"/>
      <c r="BM790" s="113"/>
      <c r="BN790" s="113"/>
      <c r="BO790" s="113"/>
      <c r="BP790" s="121"/>
      <c r="BQ790" s="121"/>
      <c r="GA790" t="s">
        <v>114</v>
      </c>
      <c r="GB790" t="s">
        <v>22933</v>
      </c>
      <c r="GC790" s="46">
        <v>0</v>
      </c>
      <c r="GD790" s="113"/>
      <c r="GE790" s="113"/>
      <c r="GF790" s="113"/>
      <c r="GG790" s="113"/>
      <c r="GH790" s="113"/>
      <c r="GI790" s="46">
        <v>0</v>
      </c>
      <c r="GJ790" s="113"/>
      <c r="GK790" s="113"/>
      <c r="GL790" s="113"/>
      <c r="GM790" s="113"/>
      <c r="GN790" s="113"/>
      <c r="GO790" s="46">
        <v>0</v>
      </c>
      <c r="GP790" s="113"/>
      <c r="GQ790" s="113"/>
      <c r="GR790" s="113"/>
      <c r="GS790" s="113"/>
      <c r="GT790" s="113"/>
      <c r="GU790" s="46">
        <v>0</v>
      </c>
      <c r="GV790" s="113"/>
      <c r="GW790" s="113"/>
      <c r="GX790" s="113"/>
      <c r="GY790" s="113"/>
      <c r="GZ790" s="113"/>
      <c r="HA790" s="46">
        <v>0</v>
      </c>
      <c r="HB790" s="113"/>
      <c r="HC790" s="113"/>
      <c r="HD790" s="113"/>
      <c r="HE790" s="113"/>
      <c r="HF790" s="113"/>
      <c r="HG790" s="46">
        <v>0</v>
      </c>
      <c r="HH790" s="113"/>
      <c r="HI790" s="113"/>
      <c r="HJ790" s="113"/>
      <c r="HK790" s="113"/>
      <c r="HL790" s="113"/>
      <c r="HM790" s="121"/>
      <c r="HN790" s="121"/>
      <c r="LM790" t="str">
        <v/>
      </c>
      <c r="LN790" t="str">
        <v/>
      </c>
      <c r="LO790" t="str">
        <v/>
      </c>
    </row>
    <row r="791" spans="30:327">
      <c r="AD791" t="s">
        <v>114</v>
      </c>
      <c r="AE791" t="s">
        <v>22934</v>
      </c>
      <c r="AF791" s="46">
        <v>0</v>
      </c>
      <c r="AG791" s="113"/>
      <c r="AH791" s="113"/>
      <c r="AI791" s="113"/>
      <c r="AJ791" s="113"/>
      <c r="AK791" s="113"/>
      <c r="AL791" s="46">
        <v>0</v>
      </c>
      <c r="AM791" s="113"/>
      <c r="AN791" s="113"/>
      <c r="AO791" s="113"/>
      <c r="AP791" s="113"/>
      <c r="AQ791" s="113"/>
      <c r="AR791" s="46">
        <v>0</v>
      </c>
      <c r="AS791" s="113"/>
      <c r="AT791" s="113"/>
      <c r="AU791" s="113"/>
      <c r="AV791" s="113"/>
      <c r="AW791" s="113"/>
      <c r="AX791" s="46">
        <v>0</v>
      </c>
      <c r="AY791" s="113"/>
      <c r="AZ791" s="113"/>
      <c r="BA791" s="113"/>
      <c r="BB791" s="113"/>
      <c r="BC791" s="113"/>
      <c r="BD791" s="46">
        <v>0</v>
      </c>
      <c r="BE791" s="113"/>
      <c r="BF791" s="113"/>
      <c r="BG791" s="113"/>
      <c r="BH791" s="113"/>
      <c r="BI791" s="113"/>
      <c r="BJ791" s="46">
        <v>0</v>
      </c>
      <c r="BK791" s="113"/>
      <c r="BL791" s="113"/>
      <c r="BM791" s="113"/>
      <c r="BN791" s="113"/>
      <c r="BO791" s="113"/>
      <c r="BP791" s="121"/>
      <c r="BQ791" s="121"/>
      <c r="GA791" t="s">
        <v>114</v>
      </c>
      <c r="GB791" t="s">
        <v>22934</v>
      </c>
      <c r="GC791" s="46">
        <v>0</v>
      </c>
      <c r="GD791" s="113"/>
      <c r="GE791" s="113"/>
      <c r="GF791" s="113"/>
      <c r="GG791" s="113"/>
      <c r="GH791" s="113"/>
      <c r="GI791" s="46">
        <v>0</v>
      </c>
      <c r="GJ791" s="113"/>
      <c r="GK791" s="113"/>
      <c r="GL791" s="113"/>
      <c r="GM791" s="113"/>
      <c r="GN791" s="113"/>
      <c r="GO791" s="46">
        <v>0</v>
      </c>
      <c r="GP791" s="113"/>
      <c r="GQ791" s="113"/>
      <c r="GR791" s="113"/>
      <c r="GS791" s="113"/>
      <c r="GT791" s="113"/>
      <c r="GU791" s="46">
        <v>0</v>
      </c>
      <c r="GV791" s="113"/>
      <c r="GW791" s="113"/>
      <c r="GX791" s="113"/>
      <c r="GY791" s="113"/>
      <c r="GZ791" s="113"/>
      <c r="HA791" s="46">
        <v>0</v>
      </c>
      <c r="HB791" s="113"/>
      <c r="HC791" s="113"/>
      <c r="HD791" s="113"/>
      <c r="HE791" s="113"/>
      <c r="HF791" s="113"/>
      <c r="HG791" s="46">
        <v>0</v>
      </c>
      <c r="HH791" s="113"/>
      <c r="HI791" s="113"/>
      <c r="HJ791" s="113"/>
      <c r="HK791" s="113"/>
      <c r="HL791" s="113"/>
      <c r="HM791" s="121"/>
      <c r="HN791" s="121"/>
      <c r="LM791" t="str">
        <v/>
      </c>
      <c r="LN791" t="str">
        <v/>
      </c>
      <c r="LO791" t="str">
        <v/>
      </c>
    </row>
    <row r="792" spans="30:327">
      <c r="AD792" t="s">
        <v>114</v>
      </c>
      <c r="AE792" t="s">
        <v>22935</v>
      </c>
      <c r="AF792" s="46">
        <v>0</v>
      </c>
      <c r="AG792" s="113"/>
      <c r="AH792" s="113"/>
      <c r="AI792" s="113"/>
      <c r="AJ792" s="113"/>
      <c r="AK792" s="113"/>
      <c r="AL792" s="46">
        <v>0</v>
      </c>
      <c r="AM792" s="113"/>
      <c r="AN792" s="113"/>
      <c r="AO792" s="113"/>
      <c r="AP792" s="113"/>
      <c r="AQ792" s="113"/>
      <c r="AR792" s="46">
        <v>0</v>
      </c>
      <c r="AS792" s="113"/>
      <c r="AT792" s="113"/>
      <c r="AU792" s="113"/>
      <c r="AV792" s="113"/>
      <c r="AW792" s="113"/>
      <c r="AX792" s="46">
        <v>0</v>
      </c>
      <c r="AY792" s="113"/>
      <c r="AZ792" s="113"/>
      <c r="BA792" s="113"/>
      <c r="BB792" s="113"/>
      <c r="BC792" s="113"/>
      <c r="BD792" s="46">
        <v>0</v>
      </c>
      <c r="BE792" s="113"/>
      <c r="BF792" s="113"/>
      <c r="BG792" s="113"/>
      <c r="BH792" s="113"/>
      <c r="BI792" s="113"/>
      <c r="BJ792" s="46">
        <v>0</v>
      </c>
      <c r="BK792" s="113"/>
      <c r="BL792" s="113"/>
      <c r="BM792" s="113"/>
      <c r="BN792" s="113"/>
      <c r="BO792" s="113"/>
      <c r="BP792" s="121"/>
      <c r="BQ792" s="121"/>
      <c r="GA792" t="s">
        <v>114</v>
      </c>
      <c r="GB792" t="s">
        <v>22935</v>
      </c>
      <c r="GC792" s="46">
        <v>0</v>
      </c>
      <c r="GD792" s="113"/>
      <c r="GE792" s="113"/>
      <c r="GF792" s="113"/>
      <c r="GG792" s="113"/>
      <c r="GH792" s="113"/>
      <c r="GI792" s="46">
        <v>0</v>
      </c>
      <c r="GJ792" s="113"/>
      <c r="GK792" s="113"/>
      <c r="GL792" s="113"/>
      <c r="GM792" s="113"/>
      <c r="GN792" s="113"/>
      <c r="GO792" s="46">
        <v>0</v>
      </c>
      <c r="GP792" s="113"/>
      <c r="GQ792" s="113"/>
      <c r="GR792" s="113"/>
      <c r="GS792" s="113"/>
      <c r="GT792" s="113"/>
      <c r="GU792" s="46">
        <v>0</v>
      </c>
      <c r="GV792" s="113"/>
      <c r="GW792" s="113"/>
      <c r="GX792" s="113"/>
      <c r="GY792" s="113"/>
      <c r="GZ792" s="113"/>
      <c r="HA792" s="46">
        <v>0</v>
      </c>
      <c r="HB792" s="113"/>
      <c r="HC792" s="113"/>
      <c r="HD792" s="113"/>
      <c r="HE792" s="113"/>
      <c r="HF792" s="113"/>
      <c r="HG792" s="46">
        <v>0</v>
      </c>
      <c r="HH792" s="113"/>
      <c r="HI792" s="113"/>
      <c r="HJ792" s="113"/>
      <c r="HK792" s="113"/>
      <c r="HL792" s="113"/>
      <c r="HM792" s="121"/>
      <c r="HN792" s="121"/>
      <c r="LM792" t="str">
        <v/>
      </c>
      <c r="LN792" t="str">
        <v/>
      </c>
      <c r="LO792" t="str">
        <v/>
      </c>
    </row>
    <row r="793" spans="30:327">
      <c r="AD793" t="s">
        <v>114</v>
      </c>
      <c r="AE793" t="s">
        <v>22936</v>
      </c>
      <c r="AF793" s="46">
        <v>0</v>
      </c>
      <c r="AG793" s="113"/>
      <c r="AH793" s="113"/>
      <c r="AI793" s="113"/>
      <c r="AJ793" s="113"/>
      <c r="AK793" s="113"/>
      <c r="AL793" s="46">
        <v>0</v>
      </c>
      <c r="AM793" s="113"/>
      <c r="AN793" s="113"/>
      <c r="AO793" s="113"/>
      <c r="AP793" s="113"/>
      <c r="AQ793" s="113"/>
      <c r="AR793" s="46">
        <v>0</v>
      </c>
      <c r="AS793" s="113"/>
      <c r="AT793" s="113"/>
      <c r="AU793" s="113"/>
      <c r="AV793" s="113"/>
      <c r="AW793" s="113"/>
      <c r="AX793" s="46">
        <v>0</v>
      </c>
      <c r="AY793" s="113"/>
      <c r="AZ793" s="113"/>
      <c r="BA793" s="113"/>
      <c r="BB793" s="113"/>
      <c r="BC793" s="113"/>
      <c r="BD793" s="46">
        <v>0</v>
      </c>
      <c r="BE793" s="113"/>
      <c r="BF793" s="113"/>
      <c r="BG793" s="113"/>
      <c r="BH793" s="113"/>
      <c r="BI793" s="113"/>
      <c r="BJ793" s="46">
        <v>0</v>
      </c>
      <c r="BK793" s="113"/>
      <c r="BL793" s="113"/>
      <c r="BM793" s="113"/>
      <c r="BN793" s="113"/>
      <c r="BO793" s="113"/>
      <c r="BP793" s="121"/>
      <c r="BQ793" s="121"/>
      <c r="GA793" t="s">
        <v>114</v>
      </c>
      <c r="GB793" t="s">
        <v>22936</v>
      </c>
      <c r="GC793" s="46">
        <v>0</v>
      </c>
      <c r="GD793" s="113"/>
      <c r="GE793" s="113"/>
      <c r="GF793" s="113"/>
      <c r="GG793" s="113"/>
      <c r="GH793" s="113"/>
      <c r="GI793" s="46">
        <v>0</v>
      </c>
      <c r="GJ793" s="113"/>
      <c r="GK793" s="113"/>
      <c r="GL793" s="113"/>
      <c r="GM793" s="113"/>
      <c r="GN793" s="113"/>
      <c r="GO793" s="46">
        <v>0</v>
      </c>
      <c r="GP793" s="113"/>
      <c r="GQ793" s="113"/>
      <c r="GR793" s="113"/>
      <c r="GS793" s="113"/>
      <c r="GT793" s="113"/>
      <c r="GU793" s="46">
        <v>0</v>
      </c>
      <c r="GV793" s="113"/>
      <c r="GW793" s="113"/>
      <c r="GX793" s="113"/>
      <c r="GY793" s="113"/>
      <c r="GZ793" s="113"/>
      <c r="HA793" s="46">
        <v>0</v>
      </c>
      <c r="HB793" s="113"/>
      <c r="HC793" s="113"/>
      <c r="HD793" s="113"/>
      <c r="HE793" s="113"/>
      <c r="HF793" s="113"/>
      <c r="HG793" s="46">
        <v>0</v>
      </c>
      <c r="HH793" s="113"/>
      <c r="HI793" s="113"/>
      <c r="HJ793" s="113"/>
      <c r="HK793" s="113"/>
      <c r="HL793" s="113"/>
      <c r="HM793" s="121"/>
      <c r="HN793" s="121"/>
      <c r="LM793" t="str">
        <v/>
      </c>
      <c r="LN793" t="str">
        <v/>
      </c>
      <c r="LO793" t="str">
        <v/>
      </c>
    </row>
    <row r="794" spans="30:327">
      <c r="AD794" t="s">
        <v>114</v>
      </c>
      <c r="AE794" t="s">
        <v>22937</v>
      </c>
      <c r="AF794" s="46">
        <v>0</v>
      </c>
      <c r="AG794" s="113"/>
      <c r="AH794" s="113"/>
      <c r="AI794" s="113"/>
      <c r="AJ794" s="113"/>
      <c r="AK794" s="113"/>
      <c r="AL794" s="46">
        <v>0</v>
      </c>
      <c r="AM794" s="113"/>
      <c r="AN794" s="113"/>
      <c r="AO794" s="113"/>
      <c r="AP794" s="113"/>
      <c r="AQ794" s="113"/>
      <c r="AR794" s="46">
        <v>0</v>
      </c>
      <c r="AS794" s="113"/>
      <c r="AT794" s="113"/>
      <c r="AU794" s="113"/>
      <c r="AV794" s="113"/>
      <c r="AW794" s="113"/>
      <c r="AX794" s="46">
        <v>0</v>
      </c>
      <c r="AY794" s="113"/>
      <c r="AZ794" s="113"/>
      <c r="BA794" s="113"/>
      <c r="BB794" s="113"/>
      <c r="BC794" s="113"/>
      <c r="BD794" s="46">
        <v>0</v>
      </c>
      <c r="BE794" s="113"/>
      <c r="BF794" s="113"/>
      <c r="BG794" s="113"/>
      <c r="BH794" s="113"/>
      <c r="BI794" s="113"/>
      <c r="BJ794" s="46">
        <v>0</v>
      </c>
      <c r="BK794" s="113"/>
      <c r="BL794" s="113"/>
      <c r="BM794" s="113"/>
      <c r="BN794" s="113"/>
      <c r="BO794" s="113"/>
      <c r="BP794" s="121"/>
      <c r="BQ794" s="121"/>
      <c r="GA794" t="s">
        <v>114</v>
      </c>
      <c r="GB794" t="s">
        <v>22937</v>
      </c>
      <c r="GC794" s="46">
        <v>0</v>
      </c>
      <c r="GD794" s="113"/>
      <c r="GE794" s="113"/>
      <c r="GF794" s="113"/>
      <c r="GG794" s="113"/>
      <c r="GH794" s="113"/>
      <c r="GI794" s="46">
        <v>0</v>
      </c>
      <c r="GJ794" s="113"/>
      <c r="GK794" s="113"/>
      <c r="GL794" s="113"/>
      <c r="GM794" s="113"/>
      <c r="GN794" s="113"/>
      <c r="GO794" s="46">
        <v>0</v>
      </c>
      <c r="GP794" s="113"/>
      <c r="GQ794" s="113"/>
      <c r="GR794" s="113"/>
      <c r="GS794" s="113"/>
      <c r="GT794" s="113"/>
      <c r="GU794" s="46">
        <v>0</v>
      </c>
      <c r="GV794" s="113"/>
      <c r="GW794" s="113"/>
      <c r="GX794" s="113"/>
      <c r="GY794" s="113"/>
      <c r="GZ794" s="113"/>
      <c r="HA794" s="46">
        <v>0</v>
      </c>
      <c r="HB794" s="113"/>
      <c r="HC794" s="113"/>
      <c r="HD794" s="113"/>
      <c r="HE794" s="113"/>
      <c r="HF794" s="113"/>
      <c r="HG794" s="46">
        <v>0</v>
      </c>
      <c r="HH794" s="113"/>
      <c r="HI794" s="113"/>
      <c r="HJ794" s="113"/>
      <c r="HK794" s="113"/>
      <c r="HL794" s="113"/>
      <c r="HM794" s="121"/>
      <c r="HN794" s="121"/>
      <c r="LM794" t="str">
        <v/>
      </c>
      <c r="LN794" t="str">
        <v/>
      </c>
      <c r="LO794" t="str">
        <v/>
      </c>
    </row>
    <row r="795" spans="30:327">
      <c r="AD795" t="s">
        <v>114</v>
      </c>
      <c r="AE795" t="s">
        <v>22938</v>
      </c>
      <c r="AF795" s="46">
        <v>0</v>
      </c>
      <c r="AG795" s="113"/>
      <c r="AH795" s="113"/>
      <c r="AI795" s="113"/>
      <c r="AJ795" s="113"/>
      <c r="AK795" s="113"/>
      <c r="AL795" s="46">
        <v>0</v>
      </c>
      <c r="AM795" s="113"/>
      <c r="AN795" s="113"/>
      <c r="AO795" s="113"/>
      <c r="AP795" s="113"/>
      <c r="AQ795" s="113"/>
      <c r="AR795" s="46">
        <v>0</v>
      </c>
      <c r="AS795" s="113"/>
      <c r="AT795" s="113"/>
      <c r="AU795" s="113"/>
      <c r="AV795" s="113"/>
      <c r="AW795" s="113"/>
      <c r="AX795" s="46">
        <v>0</v>
      </c>
      <c r="AY795" s="113"/>
      <c r="AZ795" s="113"/>
      <c r="BA795" s="113"/>
      <c r="BB795" s="113"/>
      <c r="BC795" s="113"/>
      <c r="BD795" s="46">
        <v>0</v>
      </c>
      <c r="BE795" s="113"/>
      <c r="BF795" s="113"/>
      <c r="BG795" s="113"/>
      <c r="BH795" s="113"/>
      <c r="BI795" s="113"/>
      <c r="BJ795" s="46">
        <v>0</v>
      </c>
      <c r="BK795" s="113"/>
      <c r="BL795" s="113"/>
      <c r="BM795" s="113"/>
      <c r="BN795" s="113"/>
      <c r="BO795" s="113"/>
      <c r="BP795" s="121"/>
      <c r="BQ795" s="121"/>
      <c r="GA795" t="s">
        <v>114</v>
      </c>
      <c r="GB795" t="s">
        <v>22938</v>
      </c>
      <c r="GC795" s="46">
        <v>0</v>
      </c>
      <c r="GD795" s="113"/>
      <c r="GE795" s="113"/>
      <c r="GF795" s="113"/>
      <c r="GG795" s="113"/>
      <c r="GH795" s="113"/>
      <c r="GI795" s="46">
        <v>0</v>
      </c>
      <c r="GJ795" s="113"/>
      <c r="GK795" s="113"/>
      <c r="GL795" s="113"/>
      <c r="GM795" s="113"/>
      <c r="GN795" s="113"/>
      <c r="GO795" s="46">
        <v>0</v>
      </c>
      <c r="GP795" s="113"/>
      <c r="GQ795" s="113"/>
      <c r="GR795" s="113"/>
      <c r="GS795" s="113"/>
      <c r="GT795" s="113"/>
      <c r="GU795" s="46">
        <v>0</v>
      </c>
      <c r="GV795" s="113"/>
      <c r="GW795" s="113"/>
      <c r="GX795" s="113"/>
      <c r="GY795" s="113"/>
      <c r="GZ795" s="113"/>
      <c r="HA795" s="46">
        <v>0</v>
      </c>
      <c r="HB795" s="113"/>
      <c r="HC795" s="113"/>
      <c r="HD795" s="113"/>
      <c r="HE795" s="113"/>
      <c r="HF795" s="113"/>
      <c r="HG795" s="46">
        <v>0</v>
      </c>
      <c r="HH795" s="113"/>
      <c r="HI795" s="113"/>
      <c r="HJ795" s="113"/>
      <c r="HK795" s="113"/>
      <c r="HL795" s="113"/>
      <c r="HM795" s="121"/>
      <c r="HN795" s="121"/>
      <c r="LM795" t="str">
        <v/>
      </c>
      <c r="LN795" t="str">
        <v/>
      </c>
      <c r="LO795" t="str">
        <v/>
      </c>
    </row>
    <row r="796" spans="30:327">
      <c r="AD796" t="s">
        <v>114</v>
      </c>
      <c r="AE796" t="s">
        <v>22939</v>
      </c>
      <c r="AF796" s="46">
        <v>0</v>
      </c>
      <c r="AG796" s="113"/>
      <c r="AH796" s="113"/>
      <c r="AI796" s="113"/>
      <c r="AJ796" s="113"/>
      <c r="AK796" s="113"/>
      <c r="AL796" s="46">
        <v>0</v>
      </c>
      <c r="AM796" s="113"/>
      <c r="AN796" s="113"/>
      <c r="AO796" s="113"/>
      <c r="AP796" s="113"/>
      <c r="AQ796" s="113"/>
      <c r="AR796" s="46">
        <v>0</v>
      </c>
      <c r="AS796" s="113"/>
      <c r="AT796" s="113"/>
      <c r="AU796" s="113"/>
      <c r="AV796" s="113"/>
      <c r="AW796" s="113"/>
      <c r="AX796" s="46">
        <v>0</v>
      </c>
      <c r="AY796" s="113"/>
      <c r="AZ796" s="113"/>
      <c r="BA796" s="113"/>
      <c r="BB796" s="113"/>
      <c r="BC796" s="113"/>
      <c r="BD796" s="46">
        <v>0</v>
      </c>
      <c r="BE796" s="113"/>
      <c r="BF796" s="113"/>
      <c r="BG796" s="113"/>
      <c r="BH796" s="113"/>
      <c r="BI796" s="113"/>
      <c r="BJ796" s="46">
        <v>0</v>
      </c>
      <c r="BK796" s="113"/>
      <c r="BL796" s="113"/>
      <c r="BM796" s="113"/>
      <c r="BN796" s="113"/>
      <c r="BO796" s="113"/>
      <c r="BP796" s="121"/>
      <c r="BQ796" s="121"/>
      <c r="GA796" t="s">
        <v>114</v>
      </c>
      <c r="GB796" t="s">
        <v>22939</v>
      </c>
      <c r="GC796" s="46">
        <v>0</v>
      </c>
      <c r="GD796" s="113"/>
      <c r="GE796" s="113"/>
      <c r="GF796" s="113"/>
      <c r="GG796" s="113"/>
      <c r="GH796" s="113"/>
      <c r="GI796" s="46">
        <v>0</v>
      </c>
      <c r="GJ796" s="113"/>
      <c r="GK796" s="113"/>
      <c r="GL796" s="113"/>
      <c r="GM796" s="113"/>
      <c r="GN796" s="113"/>
      <c r="GO796" s="46">
        <v>0</v>
      </c>
      <c r="GP796" s="113"/>
      <c r="GQ796" s="113"/>
      <c r="GR796" s="113"/>
      <c r="GS796" s="113"/>
      <c r="GT796" s="113"/>
      <c r="GU796" s="46">
        <v>0</v>
      </c>
      <c r="GV796" s="113"/>
      <c r="GW796" s="113"/>
      <c r="GX796" s="113"/>
      <c r="GY796" s="113"/>
      <c r="GZ796" s="113"/>
      <c r="HA796" s="46">
        <v>0</v>
      </c>
      <c r="HB796" s="113"/>
      <c r="HC796" s="113"/>
      <c r="HD796" s="113"/>
      <c r="HE796" s="113"/>
      <c r="HF796" s="113"/>
      <c r="HG796" s="46">
        <v>0</v>
      </c>
      <c r="HH796" s="113"/>
      <c r="HI796" s="113"/>
      <c r="HJ796" s="113"/>
      <c r="HK796" s="113"/>
      <c r="HL796" s="113"/>
      <c r="HM796" s="121"/>
      <c r="HN796" s="121"/>
      <c r="LM796" t="str">
        <v/>
      </c>
      <c r="LN796" t="str">
        <v/>
      </c>
      <c r="LO796" t="str">
        <v/>
      </c>
    </row>
    <row r="797" spans="30:327">
      <c r="AD797" t="s">
        <v>114</v>
      </c>
      <c r="AE797" t="s">
        <v>22940</v>
      </c>
      <c r="AF797" s="46">
        <v>0</v>
      </c>
      <c r="AG797" s="113"/>
      <c r="AH797" s="113"/>
      <c r="AI797" s="113"/>
      <c r="AJ797" s="113"/>
      <c r="AK797" s="113"/>
      <c r="AL797" s="46">
        <v>0</v>
      </c>
      <c r="AM797" s="113"/>
      <c r="AN797" s="113"/>
      <c r="AO797" s="113"/>
      <c r="AP797" s="113"/>
      <c r="AQ797" s="113"/>
      <c r="AR797" s="46">
        <v>0</v>
      </c>
      <c r="AS797" s="113"/>
      <c r="AT797" s="113"/>
      <c r="AU797" s="113"/>
      <c r="AV797" s="113"/>
      <c r="AW797" s="113"/>
      <c r="AX797" s="46">
        <v>0</v>
      </c>
      <c r="AY797" s="113"/>
      <c r="AZ797" s="113"/>
      <c r="BA797" s="113"/>
      <c r="BB797" s="113"/>
      <c r="BC797" s="113"/>
      <c r="BD797" s="46">
        <v>0</v>
      </c>
      <c r="BE797" s="113"/>
      <c r="BF797" s="113"/>
      <c r="BG797" s="113"/>
      <c r="BH797" s="113"/>
      <c r="BI797" s="113"/>
      <c r="BJ797" s="46">
        <v>0</v>
      </c>
      <c r="BK797" s="113"/>
      <c r="BL797" s="113"/>
      <c r="BM797" s="113"/>
      <c r="BN797" s="113"/>
      <c r="BO797" s="113"/>
      <c r="BP797" s="121"/>
      <c r="BQ797" s="121"/>
      <c r="GA797" t="s">
        <v>114</v>
      </c>
      <c r="GB797" t="s">
        <v>22940</v>
      </c>
      <c r="GC797" s="46">
        <v>0</v>
      </c>
      <c r="GD797" s="113"/>
      <c r="GE797" s="113"/>
      <c r="GF797" s="113"/>
      <c r="GG797" s="113"/>
      <c r="GH797" s="113"/>
      <c r="GI797" s="46">
        <v>0</v>
      </c>
      <c r="GJ797" s="113"/>
      <c r="GK797" s="113"/>
      <c r="GL797" s="113"/>
      <c r="GM797" s="113"/>
      <c r="GN797" s="113"/>
      <c r="GO797" s="46">
        <v>0</v>
      </c>
      <c r="GP797" s="113"/>
      <c r="GQ797" s="113"/>
      <c r="GR797" s="113"/>
      <c r="GS797" s="113"/>
      <c r="GT797" s="113"/>
      <c r="GU797" s="46">
        <v>0</v>
      </c>
      <c r="GV797" s="113"/>
      <c r="GW797" s="113"/>
      <c r="GX797" s="113"/>
      <c r="GY797" s="113"/>
      <c r="GZ797" s="113"/>
      <c r="HA797" s="46">
        <v>0</v>
      </c>
      <c r="HB797" s="113"/>
      <c r="HC797" s="113"/>
      <c r="HD797" s="113"/>
      <c r="HE797" s="113"/>
      <c r="HF797" s="113"/>
      <c r="HG797" s="46">
        <v>0</v>
      </c>
      <c r="HH797" s="113"/>
      <c r="HI797" s="113"/>
      <c r="HJ797" s="113"/>
      <c r="HK797" s="113"/>
      <c r="HL797" s="113"/>
      <c r="HM797" s="121"/>
      <c r="HN797" s="121"/>
      <c r="LM797" t="str">
        <v/>
      </c>
      <c r="LN797" t="str">
        <v/>
      </c>
      <c r="LO797" t="str">
        <v/>
      </c>
    </row>
    <row r="798" spans="30:327">
      <c r="AD798" t="s">
        <v>114</v>
      </c>
      <c r="AE798" t="s">
        <v>22941</v>
      </c>
      <c r="AF798" s="46">
        <v>0</v>
      </c>
      <c r="AG798" s="113"/>
      <c r="AH798" s="113"/>
      <c r="AI798" s="113"/>
      <c r="AJ798" s="113"/>
      <c r="AK798" s="113"/>
      <c r="AL798" s="46">
        <v>0</v>
      </c>
      <c r="AM798" s="113"/>
      <c r="AN798" s="113"/>
      <c r="AO798" s="113"/>
      <c r="AP798" s="113"/>
      <c r="AQ798" s="113"/>
      <c r="AR798" s="46">
        <v>0</v>
      </c>
      <c r="AS798" s="113"/>
      <c r="AT798" s="113"/>
      <c r="AU798" s="113"/>
      <c r="AV798" s="113"/>
      <c r="AW798" s="113"/>
      <c r="AX798" s="46">
        <v>0</v>
      </c>
      <c r="AY798" s="113"/>
      <c r="AZ798" s="113"/>
      <c r="BA798" s="113"/>
      <c r="BB798" s="113"/>
      <c r="BC798" s="113"/>
      <c r="BD798" s="46">
        <v>0</v>
      </c>
      <c r="BE798" s="113"/>
      <c r="BF798" s="113"/>
      <c r="BG798" s="113"/>
      <c r="BH798" s="113"/>
      <c r="BI798" s="113"/>
      <c r="BJ798" s="46">
        <v>0</v>
      </c>
      <c r="BK798" s="113"/>
      <c r="BL798" s="113"/>
      <c r="BM798" s="113"/>
      <c r="BN798" s="113"/>
      <c r="BO798" s="113"/>
      <c r="BP798" s="121"/>
      <c r="BQ798" s="121"/>
      <c r="GA798" t="s">
        <v>114</v>
      </c>
      <c r="GB798" t="s">
        <v>22941</v>
      </c>
      <c r="GC798" s="46">
        <v>0</v>
      </c>
      <c r="GD798" s="113"/>
      <c r="GE798" s="113"/>
      <c r="GF798" s="113"/>
      <c r="GG798" s="113"/>
      <c r="GH798" s="113"/>
      <c r="GI798" s="46">
        <v>0</v>
      </c>
      <c r="GJ798" s="113"/>
      <c r="GK798" s="113"/>
      <c r="GL798" s="113"/>
      <c r="GM798" s="113"/>
      <c r="GN798" s="113"/>
      <c r="GO798" s="46">
        <v>0</v>
      </c>
      <c r="GP798" s="113"/>
      <c r="GQ798" s="113"/>
      <c r="GR798" s="113"/>
      <c r="GS798" s="113"/>
      <c r="GT798" s="113"/>
      <c r="GU798" s="46">
        <v>0</v>
      </c>
      <c r="GV798" s="113"/>
      <c r="GW798" s="113"/>
      <c r="GX798" s="113"/>
      <c r="GY798" s="113"/>
      <c r="GZ798" s="113"/>
      <c r="HA798" s="46">
        <v>0</v>
      </c>
      <c r="HB798" s="113"/>
      <c r="HC798" s="113"/>
      <c r="HD798" s="113"/>
      <c r="HE798" s="113"/>
      <c r="HF798" s="113"/>
      <c r="HG798" s="46">
        <v>0</v>
      </c>
      <c r="HH798" s="113"/>
      <c r="HI798" s="113"/>
      <c r="HJ798" s="113"/>
      <c r="HK798" s="113"/>
      <c r="HL798" s="113"/>
      <c r="HM798" s="121"/>
      <c r="HN798" s="121"/>
      <c r="LM798" t="str">
        <v/>
      </c>
      <c r="LN798" t="str">
        <v/>
      </c>
      <c r="LO798" t="str">
        <v/>
      </c>
    </row>
    <row r="799" spans="30:327">
      <c r="AD799" t="s">
        <v>114</v>
      </c>
      <c r="AE799" t="s">
        <v>22942</v>
      </c>
      <c r="AF799" s="46">
        <v>0</v>
      </c>
      <c r="AG799" s="113"/>
      <c r="AH799" s="113"/>
      <c r="AI799" s="113"/>
      <c r="AJ799" s="113"/>
      <c r="AK799" s="113"/>
      <c r="AL799" s="46">
        <v>0</v>
      </c>
      <c r="AM799" s="113"/>
      <c r="AN799" s="113"/>
      <c r="AO799" s="113"/>
      <c r="AP799" s="113"/>
      <c r="AQ799" s="113"/>
      <c r="AR799" s="46">
        <v>0</v>
      </c>
      <c r="AS799" s="113"/>
      <c r="AT799" s="113"/>
      <c r="AU799" s="113"/>
      <c r="AV799" s="113"/>
      <c r="AW799" s="113"/>
      <c r="AX799" s="46">
        <v>0</v>
      </c>
      <c r="AY799" s="113"/>
      <c r="AZ799" s="113"/>
      <c r="BA799" s="113"/>
      <c r="BB799" s="113"/>
      <c r="BC799" s="113"/>
      <c r="BD799" s="46">
        <v>0</v>
      </c>
      <c r="BE799" s="113"/>
      <c r="BF799" s="113"/>
      <c r="BG799" s="113"/>
      <c r="BH799" s="113"/>
      <c r="BI799" s="113"/>
      <c r="BJ799" s="46">
        <v>0</v>
      </c>
      <c r="BK799" s="113"/>
      <c r="BL799" s="113"/>
      <c r="BM799" s="113"/>
      <c r="BN799" s="113"/>
      <c r="BO799" s="113"/>
      <c r="BP799" s="121"/>
      <c r="BQ799" s="121"/>
      <c r="GA799" t="s">
        <v>114</v>
      </c>
      <c r="GB799" t="s">
        <v>22942</v>
      </c>
      <c r="GC799" s="46">
        <v>0</v>
      </c>
      <c r="GD799" s="113"/>
      <c r="GE799" s="113"/>
      <c r="GF799" s="113"/>
      <c r="GG799" s="113"/>
      <c r="GH799" s="113"/>
      <c r="GI799" s="46">
        <v>0</v>
      </c>
      <c r="GJ799" s="113"/>
      <c r="GK799" s="113"/>
      <c r="GL799" s="113"/>
      <c r="GM799" s="113"/>
      <c r="GN799" s="113"/>
      <c r="GO799" s="46">
        <v>0</v>
      </c>
      <c r="GP799" s="113"/>
      <c r="GQ799" s="113"/>
      <c r="GR799" s="113"/>
      <c r="GS799" s="113"/>
      <c r="GT799" s="113"/>
      <c r="GU799" s="46">
        <v>0</v>
      </c>
      <c r="GV799" s="113"/>
      <c r="GW799" s="113"/>
      <c r="GX799" s="113"/>
      <c r="GY799" s="113"/>
      <c r="GZ799" s="113"/>
      <c r="HA799" s="46">
        <v>0</v>
      </c>
      <c r="HB799" s="113"/>
      <c r="HC799" s="113"/>
      <c r="HD799" s="113"/>
      <c r="HE799" s="113"/>
      <c r="HF799" s="113"/>
      <c r="HG799" s="46">
        <v>0</v>
      </c>
      <c r="HH799" s="113"/>
      <c r="HI799" s="113"/>
      <c r="HJ799" s="113"/>
      <c r="HK799" s="113"/>
      <c r="HL799" s="113"/>
      <c r="HM799" s="121"/>
      <c r="HN799" s="121"/>
      <c r="LM799" t="str">
        <v/>
      </c>
      <c r="LN799" t="str">
        <v/>
      </c>
      <c r="LO799" t="str">
        <v/>
      </c>
    </row>
    <row r="800" spans="30:327">
      <c r="AD800" t="s">
        <v>114</v>
      </c>
      <c r="AE800" t="s">
        <v>22943</v>
      </c>
      <c r="AF800" s="46">
        <v>0</v>
      </c>
      <c r="AG800" s="113"/>
      <c r="AH800" s="113"/>
      <c r="AI800" s="113"/>
      <c r="AJ800" s="113"/>
      <c r="AK800" s="113"/>
      <c r="AL800" s="46">
        <v>0</v>
      </c>
      <c r="AM800" s="113"/>
      <c r="AN800" s="113"/>
      <c r="AO800" s="113"/>
      <c r="AP800" s="113"/>
      <c r="AQ800" s="113"/>
      <c r="AR800" s="46">
        <v>0</v>
      </c>
      <c r="AS800" s="113"/>
      <c r="AT800" s="113"/>
      <c r="AU800" s="113"/>
      <c r="AV800" s="113"/>
      <c r="AW800" s="113"/>
      <c r="AX800" s="46">
        <v>0</v>
      </c>
      <c r="AY800" s="113"/>
      <c r="AZ800" s="113"/>
      <c r="BA800" s="113"/>
      <c r="BB800" s="113"/>
      <c r="BC800" s="113"/>
      <c r="BD800" s="46">
        <v>0</v>
      </c>
      <c r="BE800" s="113"/>
      <c r="BF800" s="113"/>
      <c r="BG800" s="113"/>
      <c r="BH800" s="113"/>
      <c r="BI800" s="113"/>
      <c r="BJ800" s="46">
        <v>0</v>
      </c>
      <c r="BK800" s="113"/>
      <c r="BL800" s="113"/>
      <c r="BM800" s="113"/>
      <c r="BN800" s="113"/>
      <c r="BO800" s="113"/>
      <c r="BP800" s="121"/>
      <c r="BQ800" s="121"/>
      <c r="GA800" t="s">
        <v>114</v>
      </c>
      <c r="GB800" t="s">
        <v>22943</v>
      </c>
      <c r="GC800" s="46">
        <v>0</v>
      </c>
      <c r="GD800" s="113"/>
      <c r="GE800" s="113"/>
      <c r="GF800" s="113"/>
      <c r="GG800" s="113"/>
      <c r="GH800" s="113"/>
      <c r="GI800" s="46">
        <v>0</v>
      </c>
      <c r="GJ800" s="113"/>
      <c r="GK800" s="113"/>
      <c r="GL800" s="113"/>
      <c r="GM800" s="113"/>
      <c r="GN800" s="113"/>
      <c r="GO800" s="46">
        <v>0</v>
      </c>
      <c r="GP800" s="113"/>
      <c r="GQ800" s="113"/>
      <c r="GR800" s="113"/>
      <c r="GS800" s="113"/>
      <c r="GT800" s="113"/>
      <c r="GU800" s="46">
        <v>0</v>
      </c>
      <c r="GV800" s="113"/>
      <c r="GW800" s="113"/>
      <c r="GX800" s="113"/>
      <c r="GY800" s="113"/>
      <c r="GZ800" s="113"/>
      <c r="HA800" s="46">
        <v>0</v>
      </c>
      <c r="HB800" s="113"/>
      <c r="HC800" s="113"/>
      <c r="HD800" s="113"/>
      <c r="HE800" s="113"/>
      <c r="HF800" s="113"/>
      <c r="HG800" s="46">
        <v>0</v>
      </c>
      <c r="HH800" s="113"/>
      <c r="HI800" s="113"/>
      <c r="HJ800" s="113"/>
      <c r="HK800" s="113"/>
      <c r="HL800" s="113"/>
      <c r="HM800" s="121"/>
      <c r="HN800" s="121"/>
      <c r="LM800" t="str">
        <v/>
      </c>
      <c r="LN800" t="str">
        <v/>
      </c>
      <c r="LO800" t="str">
        <v/>
      </c>
    </row>
    <row r="801" spans="30:327">
      <c r="AD801" t="s">
        <v>114</v>
      </c>
      <c r="AE801" t="s">
        <v>22944</v>
      </c>
      <c r="AF801" s="46">
        <v>0</v>
      </c>
      <c r="AG801" s="113"/>
      <c r="AH801" s="113"/>
      <c r="AI801" s="113"/>
      <c r="AJ801" s="113"/>
      <c r="AK801" s="113"/>
      <c r="AL801" s="46">
        <v>0</v>
      </c>
      <c r="AM801" s="113"/>
      <c r="AN801" s="113"/>
      <c r="AO801" s="113"/>
      <c r="AP801" s="113"/>
      <c r="AQ801" s="113"/>
      <c r="AR801" s="46">
        <v>0</v>
      </c>
      <c r="AS801" s="113"/>
      <c r="AT801" s="113"/>
      <c r="AU801" s="113"/>
      <c r="AV801" s="113"/>
      <c r="AW801" s="113"/>
      <c r="AX801" s="46">
        <v>0</v>
      </c>
      <c r="AY801" s="113"/>
      <c r="AZ801" s="113"/>
      <c r="BA801" s="113"/>
      <c r="BB801" s="113"/>
      <c r="BC801" s="113"/>
      <c r="BD801" s="46">
        <v>0</v>
      </c>
      <c r="BE801" s="113"/>
      <c r="BF801" s="113"/>
      <c r="BG801" s="113"/>
      <c r="BH801" s="113"/>
      <c r="BI801" s="113"/>
      <c r="BJ801" s="46">
        <v>0</v>
      </c>
      <c r="BK801" s="113"/>
      <c r="BL801" s="113"/>
      <c r="BM801" s="113"/>
      <c r="BN801" s="113"/>
      <c r="BO801" s="113"/>
      <c r="BP801" s="121"/>
      <c r="BQ801" s="121"/>
      <c r="GA801" t="s">
        <v>114</v>
      </c>
      <c r="GB801" t="s">
        <v>22944</v>
      </c>
      <c r="GC801" s="46">
        <v>0</v>
      </c>
      <c r="GD801" s="113"/>
      <c r="GE801" s="113"/>
      <c r="GF801" s="113"/>
      <c r="GG801" s="113"/>
      <c r="GH801" s="113"/>
      <c r="GI801" s="46">
        <v>0</v>
      </c>
      <c r="GJ801" s="113"/>
      <c r="GK801" s="113"/>
      <c r="GL801" s="113"/>
      <c r="GM801" s="113"/>
      <c r="GN801" s="113"/>
      <c r="GO801" s="46">
        <v>0</v>
      </c>
      <c r="GP801" s="113"/>
      <c r="GQ801" s="113"/>
      <c r="GR801" s="113"/>
      <c r="GS801" s="113"/>
      <c r="GT801" s="113"/>
      <c r="GU801" s="46">
        <v>0</v>
      </c>
      <c r="GV801" s="113"/>
      <c r="GW801" s="113"/>
      <c r="GX801" s="113"/>
      <c r="GY801" s="113"/>
      <c r="GZ801" s="113"/>
      <c r="HA801" s="46">
        <v>0</v>
      </c>
      <c r="HB801" s="113"/>
      <c r="HC801" s="113"/>
      <c r="HD801" s="113"/>
      <c r="HE801" s="113"/>
      <c r="HF801" s="113"/>
      <c r="HG801" s="46">
        <v>0</v>
      </c>
      <c r="HH801" s="113"/>
      <c r="HI801" s="113"/>
      <c r="HJ801" s="113"/>
      <c r="HK801" s="113"/>
      <c r="HL801" s="113"/>
      <c r="HM801" s="121"/>
      <c r="HN801" s="121"/>
      <c r="LM801" t="str">
        <v/>
      </c>
      <c r="LN801" t="str">
        <v/>
      </c>
      <c r="LO801" t="str">
        <v/>
      </c>
    </row>
    <row r="802" spans="30:327">
      <c r="AD802" t="s">
        <v>114</v>
      </c>
      <c r="AE802" t="s">
        <v>22945</v>
      </c>
      <c r="AF802" s="46">
        <v>0</v>
      </c>
      <c r="AG802" s="113"/>
      <c r="AH802" s="113"/>
      <c r="AI802" s="113"/>
      <c r="AJ802" s="113"/>
      <c r="AK802" s="113"/>
      <c r="AL802" s="46">
        <v>0</v>
      </c>
      <c r="AM802" s="113"/>
      <c r="AN802" s="113"/>
      <c r="AO802" s="113"/>
      <c r="AP802" s="113"/>
      <c r="AQ802" s="113"/>
      <c r="AR802" s="46">
        <v>0</v>
      </c>
      <c r="AS802" s="113"/>
      <c r="AT802" s="113"/>
      <c r="AU802" s="113"/>
      <c r="AV802" s="113"/>
      <c r="AW802" s="113"/>
      <c r="AX802" s="46">
        <v>0</v>
      </c>
      <c r="AY802" s="113"/>
      <c r="AZ802" s="113"/>
      <c r="BA802" s="113"/>
      <c r="BB802" s="113"/>
      <c r="BC802" s="113"/>
      <c r="BD802" s="46">
        <v>0</v>
      </c>
      <c r="BE802" s="113"/>
      <c r="BF802" s="113"/>
      <c r="BG802" s="113"/>
      <c r="BH802" s="113"/>
      <c r="BI802" s="113"/>
      <c r="BJ802" s="46">
        <v>0</v>
      </c>
      <c r="BK802" s="113"/>
      <c r="BL802" s="113"/>
      <c r="BM802" s="113"/>
      <c r="BN802" s="113"/>
      <c r="BO802" s="113"/>
      <c r="BP802" s="121"/>
      <c r="BQ802" s="121"/>
      <c r="GA802" t="s">
        <v>114</v>
      </c>
      <c r="GB802" t="s">
        <v>22945</v>
      </c>
      <c r="GC802" s="46">
        <v>0</v>
      </c>
      <c r="GD802" s="113"/>
      <c r="GE802" s="113"/>
      <c r="GF802" s="113"/>
      <c r="GG802" s="113"/>
      <c r="GH802" s="113"/>
      <c r="GI802" s="46">
        <v>0</v>
      </c>
      <c r="GJ802" s="113"/>
      <c r="GK802" s="113"/>
      <c r="GL802" s="113"/>
      <c r="GM802" s="113"/>
      <c r="GN802" s="113"/>
      <c r="GO802" s="46">
        <v>0</v>
      </c>
      <c r="GP802" s="113"/>
      <c r="GQ802" s="113"/>
      <c r="GR802" s="113"/>
      <c r="GS802" s="113"/>
      <c r="GT802" s="113"/>
      <c r="GU802" s="46">
        <v>0</v>
      </c>
      <c r="GV802" s="113"/>
      <c r="GW802" s="113"/>
      <c r="GX802" s="113"/>
      <c r="GY802" s="113"/>
      <c r="GZ802" s="113"/>
      <c r="HA802" s="46">
        <v>0</v>
      </c>
      <c r="HB802" s="113"/>
      <c r="HC802" s="113"/>
      <c r="HD802" s="113"/>
      <c r="HE802" s="113"/>
      <c r="HF802" s="113"/>
      <c r="HG802" s="46">
        <v>0</v>
      </c>
      <c r="HH802" s="113"/>
      <c r="HI802" s="113"/>
      <c r="HJ802" s="113"/>
      <c r="HK802" s="113"/>
      <c r="HL802" s="113"/>
      <c r="HM802" s="121"/>
      <c r="HN802" s="121"/>
      <c r="LM802" t="str">
        <v/>
      </c>
      <c r="LN802" t="str">
        <v/>
      </c>
      <c r="LO802" t="str">
        <v/>
      </c>
    </row>
    <row r="803" spans="30:327">
      <c r="AD803" t="s">
        <v>114</v>
      </c>
      <c r="AE803" t="s">
        <v>22946</v>
      </c>
      <c r="AF803" s="46">
        <v>0</v>
      </c>
      <c r="AG803" s="113"/>
      <c r="AH803" s="113"/>
      <c r="AI803" s="113"/>
      <c r="AJ803" s="113"/>
      <c r="AK803" s="113"/>
      <c r="AL803" s="46">
        <v>0</v>
      </c>
      <c r="AM803" s="113"/>
      <c r="AN803" s="113"/>
      <c r="AO803" s="113"/>
      <c r="AP803" s="113"/>
      <c r="AQ803" s="113"/>
      <c r="AR803" s="46">
        <v>0</v>
      </c>
      <c r="AS803" s="113"/>
      <c r="AT803" s="113"/>
      <c r="AU803" s="113"/>
      <c r="AV803" s="113"/>
      <c r="AW803" s="113"/>
      <c r="AX803" s="46">
        <v>0</v>
      </c>
      <c r="AY803" s="113"/>
      <c r="AZ803" s="113"/>
      <c r="BA803" s="113"/>
      <c r="BB803" s="113"/>
      <c r="BC803" s="113"/>
      <c r="BD803" s="46">
        <v>0</v>
      </c>
      <c r="BE803" s="113"/>
      <c r="BF803" s="113"/>
      <c r="BG803" s="113"/>
      <c r="BH803" s="113"/>
      <c r="BI803" s="113"/>
      <c r="BJ803" s="46">
        <v>0</v>
      </c>
      <c r="BK803" s="113"/>
      <c r="BL803" s="113"/>
      <c r="BM803" s="113"/>
      <c r="BN803" s="113"/>
      <c r="BO803" s="113"/>
      <c r="BP803" s="121"/>
      <c r="BQ803" s="121"/>
      <c r="GA803" t="s">
        <v>114</v>
      </c>
      <c r="GB803" t="s">
        <v>22946</v>
      </c>
      <c r="GC803" s="46">
        <v>0</v>
      </c>
      <c r="GD803" s="113"/>
      <c r="GE803" s="113"/>
      <c r="GF803" s="113"/>
      <c r="GG803" s="113"/>
      <c r="GH803" s="113"/>
      <c r="GI803" s="46">
        <v>0</v>
      </c>
      <c r="GJ803" s="113"/>
      <c r="GK803" s="113"/>
      <c r="GL803" s="113"/>
      <c r="GM803" s="113"/>
      <c r="GN803" s="113"/>
      <c r="GO803" s="46">
        <v>0</v>
      </c>
      <c r="GP803" s="113"/>
      <c r="GQ803" s="113"/>
      <c r="GR803" s="113"/>
      <c r="GS803" s="113"/>
      <c r="GT803" s="113"/>
      <c r="GU803" s="46">
        <v>0</v>
      </c>
      <c r="GV803" s="113"/>
      <c r="GW803" s="113"/>
      <c r="GX803" s="113"/>
      <c r="GY803" s="113"/>
      <c r="GZ803" s="113"/>
      <c r="HA803" s="46">
        <v>0</v>
      </c>
      <c r="HB803" s="113"/>
      <c r="HC803" s="113"/>
      <c r="HD803" s="113"/>
      <c r="HE803" s="113"/>
      <c r="HF803" s="113"/>
      <c r="HG803" s="46">
        <v>0</v>
      </c>
      <c r="HH803" s="113"/>
      <c r="HI803" s="113"/>
      <c r="HJ803" s="113"/>
      <c r="HK803" s="113"/>
      <c r="HL803" s="113"/>
      <c r="HM803" s="121"/>
      <c r="HN803" s="121"/>
      <c r="LM803" t="str">
        <v/>
      </c>
      <c r="LN803" t="str">
        <v/>
      </c>
      <c r="LO803" t="str">
        <v/>
      </c>
    </row>
    <row r="804" spans="30:327">
      <c r="AD804" t="s">
        <v>114</v>
      </c>
      <c r="AE804" t="s">
        <v>22947</v>
      </c>
      <c r="AF804" s="46">
        <v>0</v>
      </c>
      <c r="AG804" s="113"/>
      <c r="AH804" s="113"/>
      <c r="AI804" s="113"/>
      <c r="AJ804" s="113"/>
      <c r="AK804" s="113"/>
      <c r="AL804" s="46">
        <v>0</v>
      </c>
      <c r="AM804" s="113"/>
      <c r="AN804" s="113"/>
      <c r="AO804" s="113"/>
      <c r="AP804" s="113"/>
      <c r="AQ804" s="113"/>
      <c r="AR804" s="46">
        <v>0</v>
      </c>
      <c r="AS804" s="113"/>
      <c r="AT804" s="113"/>
      <c r="AU804" s="113"/>
      <c r="AV804" s="113"/>
      <c r="AW804" s="113"/>
      <c r="AX804" s="46">
        <v>0</v>
      </c>
      <c r="AY804" s="113"/>
      <c r="AZ804" s="113"/>
      <c r="BA804" s="113"/>
      <c r="BB804" s="113"/>
      <c r="BC804" s="113"/>
      <c r="BD804" s="46">
        <v>0</v>
      </c>
      <c r="BE804" s="113"/>
      <c r="BF804" s="113"/>
      <c r="BG804" s="113"/>
      <c r="BH804" s="113"/>
      <c r="BI804" s="113"/>
      <c r="BJ804" s="46">
        <v>0</v>
      </c>
      <c r="BK804" s="113"/>
      <c r="BL804" s="113"/>
      <c r="BM804" s="113"/>
      <c r="BN804" s="113"/>
      <c r="BO804" s="113"/>
      <c r="BP804" s="121"/>
      <c r="BQ804" s="121"/>
      <c r="GA804" t="s">
        <v>114</v>
      </c>
      <c r="GB804" t="s">
        <v>22947</v>
      </c>
      <c r="GC804" s="46">
        <v>0</v>
      </c>
      <c r="GD804" s="113"/>
      <c r="GE804" s="113"/>
      <c r="GF804" s="113"/>
      <c r="GG804" s="113"/>
      <c r="GH804" s="113"/>
      <c r="GI804" s="46">
        <v>0</v>
      </c>
      <c r="GJ804" s="113"/>
      <c r="GK804" s="113"/>
      <c r="GL804" s="113"/>
      <c r="GM804" s="113"/>
      <c r="GN804" s="113"/>
      <c r="GO804" s="46">
        <v>0</v>
      </c>
      <c r="GP804" s="113"/>
      <c r="GQ804" s="113"/>
      <c r="GR804" s="113"/>
      <c r="GS804" s="113"/>
      <c r="GT804" s="113"/>
      <c r="GU804" s="46">
        <v>0</v>
      </c>
      <c r="GV804" s="113"/>
      <c r="GW804" s="113"/>
      <c r="GX804" s="113"/>
      <c r="GY804" s="113"/>
      <c r="GZ804" s="113"/>
      <c r="HA804" s="46">
        <v>0</v>
      </c>
      <c r="HB804" s="113"/>
      <c r="HC804" s="113"/>
      <c r="HD804" s="113"/>
      <c r="HE804" s="113"/>
      <c r="HF804" s="113"/>
      <c r="HG804" s="46">
        <v>0</v>
      </c>
      <c r="HH804" s="113"/>
      <c r="HI804" s="113"/>
      <c r="HJ804" s="113"/>
      <c r="HK804" s="113"/>
      <c r="HL804" s="113"/>
      <c r="HM804" s="121"/>
      <c r="HN804" s="121"/>
      <c r="LM804" t="str">
        <v/>
      </c>
      <c r="LN804" t="str">
        <v/>
      </c>
      <c r="LO804" t="str">
        <v/>
      </c>
    </row>
    <row r="805" spans="30:327">
      <c r="AD805" t="s">
        <v>114</v>
      </c>
      <c r="AE805" t="s">
        <v>22948</v>
      </c>
      <c r="AF805" s="46">
        <v>0</v>
      </c>
      <c r="AG805" s="113"/>
      <c r="AH805" s="113"/>
      <c r="AI805" s="113"/>
      <c r="AJ805" s="113"/>
      <c r="AK805" s="113"/>
      <c r="AL805" s="46">
        <v>0</v>
      </c>
      <c r="AM805" s="113"/>
      <c r="AN805" s="113"/>
      <c r="AO805" s="113"/>
      <c r="AP805" s="113"/>
      <c r="AQ805" s="113"/>
      <c r="AR805" s="46">
        <v>0</v>
      </c>
      <c r="AS805" s="113"/>
      <c r="AT805" s="113"/>
      <c r="AU805" s="113"/>
      <c r="AV805" s="113"/>
      <c r="AW805" s="113"/>
      <c r="AX805" s="46">
        <v>0</v>
      </c>
      <c r="AY805" s="113"/>
      <c r="AZ805" s="113"/>
      <c r="BA805" s="113"/>
      <c r="BB805" s="113"/>
      <c r="BC805" s="113"/>
      <c r="BD805" s="46">
        <v>0</v>
      </c>
      <c r="BE805" s="113"/>
      <c r="BF805" s="113"/>
      <c r="BG805" s="113"/>
      <c r="BH805" s="113"/>
      <c r="BI805" s="113"/>
      <c r="BJ805" s="46">
        <v>0</v>
      </c>
      <c r="BK805" s="113"/>
      <c r="BL805" s="113"/>
      <c r="BM805" s="113"/>
      <c r="BN805" s="113"/>
      <c r="BO805" s="113"/>
      <c r="BP805" s="121"/>
      <c r="BQ805" s="121"/>
      <c r="GA805" t="s">
        <v>114</v>
      </c>
      <c r="GB805" t="s">
        <v>22948</v>
      </c>
      <c r="GC805" s="46">
        <v>0</v>
      </c>
      <c r="GD805" s="113"/>
      <c r="GE805" s="113"/>
      <c r="GF805" s="113"/>
      <c r="GG805" s="113"/>
      <c r="GH805" s="113"/>
      <c r="GI805" s="46">
        <v>0</v>
      </c>
      <c r="GJ805" s="113"/>
      <c r="GK805" s="113"/>
      <c r="GL805" s="113"/>
      <c r="GM805" s="113"/>
      <c r="GN805" s="113"/>
      <c r="GO805" s="46">
        <v>0</v>
      </c>
      <c r="GP805" s="113"/>
      <c r="GQ805" s="113"/>
      <c r="GR805" s="113"/>
      <c r="GS805" s="113"/>
      <c r="GT805" s="113"/>
      <c r="GU805" s="46">
        <v>0</v>
      </c>
      <c r="GV805" s="113"/>
      <c r="GW805" s="113"/>
      <c r="GX805" s="113"/>
      <c r="GY805" s="113"/>
      <c r="GZ805" s="113"/>
      <c r="HA805" s="46">
        <v>0</v>
      </c>
      <c r="HB805" s="113"/>
      <c r="HC805" s="113"/>
      <c r="HD805" s="113"/>
      <c r="HE805" s="113"/>
      <c r="HF805" s="113"/>
      <c r="HG805" s="46">
        <v>0</v>
      </c>
      <c r="HH805" s="113"/>
      <c r="HI805" s="113"/>
      <c r="HJ805" s="113"/>
      <c r="HK805" s="113"/>
      <c r="HL805" s="113"/>
      <c r="HM805" s="121"/>
      <c r="HN805" s="121"/>
      <c r="LM805" t="str">
        <v/>
      </c>
      <c r="LN805" t="str">
        <v/>
      </c>
      <c r="LO805" t="str">
        <v/>
      </c>
    </row>
    <row r="806" spans="30:327">
      <c r="AD806" t="s">
        <v>114</v>
      </c>
      <c r="AE806" t="s">
        <v>22949</v>
      </c>
      <c r="AF806" s="46">
        <v>0</v>
      </c>
      <c r="AG806" s="113"/>
      <c r="AH806" s="113"/>
      <c r="AI806" s="113"/>
      <c r="AJ806" s="113"/>
      <c r="AK806" s="113"/>
      <c r="AL806" s="46">
        <v>0</v>
      </c>
      <c r="AM806" s="113"/>
      <c r="AN806" s="113"/>
      <c r="AO806" s="113"/>
      <c r="AP806" s="113"/>
      <c r="AQ806" s="113"/>
      <c r="AR806" s="46">
        <v>0</v>
      </c>
      <c r="AS806" s="113"/>
      <c r="AT806" s="113"/>
      <c r="AU806" s="113"/>
      <c r="AV806" s="113"/>
      <c r="AW806" s="113"/>
      <c r="AX806" s="46">
        <v>0</v>
      </c>
      <c r="AY806" s="113"/>
      <c r="AZ806" s="113"/>
      <c r="BA806" s="113"/>
      <c r="BB806" s="113"/>
      <c r="BC806" s="113"/>
      <c r="BD806" s="46">
        <v>0</v>
      </c>
      <c r="BE806" s="113"/>
      <c r="BF806" s="113"/>
      <c r="BG806" s="113"/>
      <c r="BH806" s="113"/>
      <c r="BI806" s="113"/>
      <c r="BJ806" s="46">
        <v>0</v>
      </c>
      <c r="BK806" s="113"/>
      <c r="BL806" s="113"/>
      <c r="BM806" s="113"/>
      <c r="BN806" s="113"/>
      <c r="BO806" s="113"/>
      <c r="BP806" s="121"/>
      <c r="BQ806" s="121"/>
      <c r="GA806" t="s">
        <v>114</v>
      </c>
      <c r="GB806" t="s">
        <v>22949</v>
      </c>
      <c r="GC806" s="46">
        <v>0</v>
      </c>
      <c r="GD806" s="113"/>
      <c r="GE806" s="113"/>
      <c r="GF806" s="113"/>
      <c r="GG806" s="113"/>
      <c r="GH806" s="113"/>
      <c r="GI806" s="46">
        <v>0</v>
      </c>
      <c r="GJ806" s="113"/>
      <c r="GK806" s="113"/>
      <c r="GL806" s="113"/>
      <c r="GM806" s="113"/>
      <c r="GN806" s="113"/>
      <c r="GO806" s="46">
        <v>0</v>
      </c>
      <c r="GP806" s="113"/>
      <c r="GQ806" s="113"/>
      <c r="GR806" s="113"/>
      <c r="GS806" s="113"/>
      <c r="GT806" s="113"/>
      <c r="GU806" s="46">
        <v>0</v>
      </c>
      <c r="GV806" s="113"/>
      <c r="GW806" s="113"/>
      <c r="GX806" s="113"/>
      <c r="GY806" s="113"/>
      <c r="GZ806" s="113"/>
      <c r="HA806" s="46">
        <v>0</v>
      </c>
      <c r="HB806" s="113"/>
      <c r="HC806" s="113"/>
      <c r="HD806" s="113"/>
      <c r="HE806" s="113"/>
      <c r="HF806" s="113"/>
      <c r="HG806" s="46">
        <v>0</v>
      </c>
      <c r="HH806" s="113"/>
      <c r="HI806" s="113"/>
      <c r="HJ806" s="113"/>
      <c r="HK806" s="113"/>
      <c r="HL806" s="113"/>
      <c r="HM806" s="121"/>
      <c r="HN806" s="121"/>
      <c r="LM806" t="str">
        <v/>
      </c>
      <c r="LN806" t="str">
        <v/>
      </c>
      <c r="LO806" t="str">
        <v/>
      </c>
    </row>
    <row r="807" spans="30:327">
      <c r="AD807" t="s">
        <v>114</v>
      </c>
      <c r="AE807" t="s">
        <v>22950</v>
      </c>
      <c r="AF807" s="46">
        <v>0</v>
      </c>
      <c r="AG807" s="113"/>
      <c r="AH807" s="113"/>
      <c r="AI807" s="113"/>
      <c r="AJ807" s="113"/>
      <c r="AK807" s="113"/>
      <c r="AL807" s="46">
        <v>0</v>
      </c>
      <c r="AM807" s="113"/>
      <c r="AN807" s="113"/>
      <c r="AO807" s="113"/>
      <c r="AP807" s="113"/>
      <c r="AQ807" s="113"/>
      <c r="AR807" s="46">
        <v>0</v>
      </c>
      <c r="AS807" s="113"/>
      <c r="AT807" s="113"/>
      <c r="AU807" s="113"/>
      <c r="AV807" s="113"/>
      <c r="AW807" s="113"/>
      <c r="AX807" s="46">
        <v>0</v>
      </c>
      <c r="AY807" s="113"/>
      <c r="AZ807" s="113"/>
      <c r="BA807" s="113"/>
      <c r="BB807" s="113"/>
      <c r="BC807" s="113"/>
      <c r="BD807" s="46">
        <v>0</v>
      </c>
      <c r="BE807" s="113"/>
      <c r="BF807" s="113"/>
      <c r="BG807" s="113"/>
      <c r="BH807" s="113"/>
      <c r="BI807" s="113"/>
      <c r="BJ807" s="46">
        <v>0</v>
      </c>
      <c r="BK807" s="113"/>
      <c r="BL807" s="113"/>
      <c r="BM807" s="113"/>
      <c r="BN807" s="113"/>
      <c r="BO807" s="113"/>
      <c r="BP807" s="121"/>
      <c r="BQ807" s="121"/>
      <c r="GA807" t="s">
        <v>114</v>
      </c>
      <c r="GB807" t="s">
        <v>22950</v>
      </c>
      <c r="GC807" s="46">
        <v>0</v>
      </c>
      <c r="GD807" s="113"/>
      <c r="GE807" s="113"/>
      <c r="GF807" s="113"/>
      <c r="GG807" s="113"/>
      <c r="GH807" s="113"/>
      <c r="GI807" s="46">
        <v>0</v>
      </c>
      <c r="GJ807" s="113"/>
      <c r="GK807" s="113"/>
      <c r="GL807" s="113"/>
      <c r="GM807" s="113"/>
      <c r="GN807" s="113"/>
      <c r="GO807" s="46">
        <v>0</v>
      </c>
      <c r="GP807" s="113"/>
      <c r="GQ807" s="113"/>
      <c r="GR807" s="113"/>
      <c r="GS807" s="113"/>
      <c r="GT807" s="113"/>
      <c r="GU807" s="46">
        <v>0</v>
      </c>
      <c r="GV807" s="113"/>
      <c r="GW807" s="113"/>
      <c r="GX807" s="113"/>
      <c r="GY807" s="113"/>
      <c r="GZ807" s="113"/>
      <c r="HA807" s="46">
        <v>0</v>
      </c>
      <c r="HB807" s="113"/>
      <c r="HC807" s="113"/>
      <c r="HD807" s="113"/>
      <c r="HE807" s="113"/>
      <c r="HF807" s="113"/>
      <c r="HG807" s="46">
        <v>0</v>
      </c>
      <c r="HH807" s="113"/>
      <c r="HI807" s="113"/>
      <c r="HJ807" s="113"/>
      <c r="HK807" s="113"/>
      <c r="HL807" s="113"/>
      <c r="HM807" s="121"/>
      <c r="HN807" s="121"/>
      <c r="LM807" t="str">
        <v/>
      </c>
      <c r="LN807" t="str">
        <v/>
      </c>
      <c r="LO807" t="str">
        <v/>
      </c>
    </row>
    <row r="808" spans="30:327">
      <c r="AD808" t="s">
        <v>114</v>
      </c>
      <c r="AE808" t="s">
        <v>22951</v>
      </c>
      <c r="AF808" s="46">
        <v>0</v>
      </c>
      <c r="AG808" s="113"/>
      <c r="AH808" s="113"/>
      <c r="AI808" s="113"/>
      <c r="AJ808" s="113"/>
      <c r="AK808" s="113"/>
      <c r="AL808" s="46">
        <v>0</v>
      </c>
      <c r="AM808" s="113"/>
      <c r="AN808" s="113"/>
      <c r="AO808" s="113"/>
      <c r="AP808" s="113"/>
      <c r="AQ808" s="113"/>
      <c r="AR808" s="46">
        <v>0</v>
      </c>
      <c r="AS808" s="113"/>
      <c r="AT808" s="113"/>
      <c r="AU808" s="113"/>
      <c r="AV808" s="113"/>
      <c r="AW808" s="113"/>
      <c r="AX808" s="46">
        <v>0</v>
      </c>
      <c r="AY808" s="113"/>
      <c r="AZ808" s="113"/>
      <c r="BA808" s="113"/>
      <c r="BB808" s="113"/>
      <c r="BC808" s="113"/>
      <c r="BD808" s="46">
        <v>0</v>
      </c>
      <c r="BE808" s="113"/>
      <c r="BF808" s="113"/>
      <c r="BG808" s="113"/>
      <c r="BH808" s="113"/>
      <c r="BI808" s="113"/>
      <c r="BJ808" s="46">
        <v>0</v>
      </c>
      <c r="BK808" s="113"/>
      <c r="BL808" s="113"/>
      <c r="BM808" s="113"/>
      <c r="BN808" s="113"/>
      <c r="BO808" s="113"/>
      <c r="BP808" s="121"/>
      <c r="BQ808" s="121"/>
      <c r="GA808" t="s">
        <v>114</v>
      </c>
      <c r="GB808" t="s">
        <v>22951</v>
      </c>
      <c r="GC808" s="46">
        <v>0</v>
      </c>
      <c r="GD808" s="113"/>
      <c r="GE808" s="113"/>
      <c r="GF808" s="113"/>
      <c r="GG808" s="113"/>
      <c r="GH808" s="113"/>
      <c r="GI808" s="46">
        <v>0</v>
      </c>
      <c r="GJ808" s="113"/>
      <c r="GK808" s="113"/>
      <c r="GL808" s="113"/>
      <c r="GM808" s="113"/>
      <c r="GN808" s="113"/>
      <c r="GO808" s="46">
        <v>0</v>
      </c>
      <c r="GP808" s="113"/>
      <c r="GQ808" s="113"/>
      <c r="GR808" s="113"/>
      <c r="GS808" s="113"/>
      <c r="GT808" s="113"/>
      <c r="GU808" s="46">
        <v>0</v>
      </c>
      <c r="GV808" s="113"/>
      <c r="GW808" s="113"/>
      <c r="GX808" s="113"/>
      <c r="GY808" s="113"/>
      <c r="GZ808" s="113"/>
      <c r="HA808" s="46">
        <v>0</v>
      </c>
      <c r="HB808" s="113"/>
      <c r="HC808" s="113"/>
      <c r="HD808" s="113"/>
      <c r="HE808" s="113"/>
      <c r="HF808" s="113"/>
      <c r="HG808" s="46">
        <v>0</v>
      </c>
      <c r="HH808" s="113"/>
      <c r="HI808" s="113"/>
      <c r="HJ808" s="113"/>
      <c r="HK808" s="113"/>
      <c r="HL808" s="113"/>
      <c r="HM808" s="121"/>
      <c r="HN808" s="121"/>
      <c r="LM808" t="str">
        <v/>
      </c>
      <c r="LN808" t="str">
        <v/>
      </c>
      <c r="LO808" t="str">
        <v/>
      </c>
    </row>
    <row r="809" spans="30:327">
      <c r="AD809" t="s">
        <v>114</v>
      </c>
      <c r="AE809" t="s">
        <v>22952</v>
      </c>
      <c r="AF809" s="46">
        <v>0</v>
      </c>
      <c r="AG809" s="113"/>
      <c r="AH809" s="113"/>
      <c r="AI809" s="113"/>
      <c r="AJ809" s="113"/>
      <c r="AK809" s="113"/>
      <c r="AL809" s="46">
        <v>0</v>
      </c>
      <c r="AM809" s="113"/>
      <c r="AN809" s="113"/>
      <c r="AO809" s="113"/>
      <c r="AP809" s="113"/>
      <c r="AQ809" s="113"/>
      <c r="AR809" s="46">
        <v>0</v>
      </c>
      <c r="AS809" s="113"/>
      <c r="AT809" s="113"/>
      <c r="AU809" s="113"/>
      <c r="AV809" s="113"/>
      <c r="AW809" s="113"/>
      <c r="AX809" s="46">
        <v>0</v>
      </c>
      <c r="AY809" s="113"/>
      <c r="AZ809" s="113"/>
      <c r="BA809" s="113"/>
      <c r="BB809" s="113"/>
      <c r="BC809" s="113"/>
      <c r="BD809" s="46">
        <v>0</v>
      </c>
      <c r="BE809" s="113"/>
      <c r="BF809" s="113"/>
      <c r="BG809" s="113"/>
      <c r="BH809" s="113"/>
      <c r="BI809" s="113"/>
      <c r="BJ809" s="46">
        <v>0</v>
      </c>
      <c r="BK809" s="113"/>
      <c r="BL809" s="113"/>
      <c r="BM809" s="113"/>
      <c r="BN809" s="113"/>
      <c r="BO809" s="113"/>
      <c r="BP809" s="121"/>
      <c r="BQ809" s="121"/>
      <c r="GA809" t="s">
        <v>114</v>
      </c>
      <c r="GB809" t="s">
        <v>22952</v>
      </c>
      <c r="GC809" s="46">
        <v>0</v>
      </c>
      <c r="GD809" s="113"/>
      <c r="GE809" s="113"/>
      <c r="GF809" s="113"/>
      <c r="GG809" s="113"/>
      <c r="GH809" s="113"/>
      <c r="GI809" s="46">
        <v>0</v>
      </c>
      <c r="GJ809" s="113"/>
      <c r="GK809" s="113"/>
      <c r="GL809" s="113"/>
      <c r="GM809" s="113"/>
      <c r="GN809" s="113"/>
      <c r="GO809" s="46">
        <v>0</v>
      </c>
      <c r="GP809" s="113"/>
      <c r="GQ809" s="113"/>
      <c r="GR809" s="113"/>
      <c r="GS809" s="113"/>
      <c r="GT809" s="113"/>
      <c r="GU809" s="46">
        <v>0</v>
      </c>
      <c r="GV809" s="113"/>
      <c r="GW809" s="113"/>
      <c r="GX809" s="113"/>
      <c r="GY809" s="113"/>
      <c r="GZ809" s="113"/>
      <c r="HA809" s="46">
        <v>0</v>
      </c>
      <c r="HB809" s="113"/>
      <c r="HC809" s="113"/>
      <c r="HD809" s="113"/>
      <c r="HE809" s="113"/>
      <c r="HF809" s="113"/>
      <c r="HG809" s="46">
        <v>0</v>
      </c>
      <c r="HH809" s="113"/>
      <c r="HI809" s="113"/>
      <c r="HJ809" s="113"/>
      <c r="HK809" s="113"/>
      <c r="HL809" s="113"/>
      <c r="HM809" s="121"/>
      <c r="HN809" s="121"/>
      <c r="LM809" t="str">
        <v/>
      </c>
      <c r="LN809" t="str">
        <v/>
      </c>
      <c r="LO809" t="str">
        <v/>
      </c>
    </row>
    <row r="810" spans="30:327">
      <c r="AD810" t="s">
        <v>114</v>
      </c>
      <c r="AE810" t="s">
        <v>22953</v>
      </c>
      <c r="AF810" s="46">
        <v>0</v>
      </c>
      <c r="AG810" s="113"/>
      <c r="AH810" s="113"/>
      <c r="AI810" s="113"/>
      <c r="AJ810" s="113"/>
      <c r="AK810" s="113"/>
      <c r="AL810" s="46">
        <v>0</v>
      </c>
      <c r="AM810" s="113"/>
      <c r="AN810" s="113"/>
      <c r="AO810" s="113"/>
      <c r="AP810" s="113"/>
      <c r="AQ810" s="113"/>
      <c r="AR810" s="46">
        <v>0</v>
      </c>
      <c r="AS810" s="113"/>
      <c r="AT810" s="113"/>
      <c r="AU810" s="113"/>
      <c r="AV810" s="113"/>
      <c r="AW810" s="113"/>
      <c r="AX810" s="46">
        <v>0</v>
      </c>
      <c r="AY810" s="113"/>
      <c r="AZ810" s="113"/>
      <c r="BA810" s="113"/>
      <c r="BB810" s="113"/>
      <c r="BC810" s="113"/>
      <c r="BD810" s="46">
        <v>0</v>
      </c>
      <c r="BE810" s="113"/>
      <c r="BF810" s="113"/>
      <c r="BG810" s="113"/>
      <c r="BH810" s="113"/>
      <c r="BI810" s="113"/>
      <c r="BJ810" s="46">
        <v>0</v>
      </c>
      <c r="BK810" s="113"/>
      <c r="BL810" s="113"/>
      <c r="BM810" s="113"/>
      <c r="BN810" s="113"/>
      <c r="BO810" s="113"/>
      <c r="BP810" s="121"/>
      <c r="BQ810" s="121"/>
      <c r="GA810" t="s">
        <v>114</v>
      </c>
      <c r="GB810" t="s">
        <v>22953</v>
      </c>
      <c r="GC810" s="46">
        <v>0</v>
      </c>
      <c r="GD810" s="113"/>
      <c r="GE810" s="113"/>
      <c r="GF810" s="113"/>
      <c r="GG810" s="113"/>
      <c r="GH810" s="113"/>
      <c r="GI810" s="46">
        <v>0</v>
      </c>
      <c r="GJ810" s="113"/>
      <c r="GK810" s="113"/>
      <c r="GL810" s="113"/>
      <c r="GM810" s="113"/>
      <c r="GN810" s="113"/>
      <c r="GO810" s="46">
        <v>0</v>
      </c>
      <c r="GP810" s="113"/>
      <c r="GQ810" s="113"/>
      <c r="GR810" s="113"/>
      <c r="GS810" s="113"/>
      <c r="GT810" s="113"/>
      <c r="GU810" s="46">
        <v>0</v>
      </c>
      <c r="GV810" s="113"/>
      <c r="GW810" s="113"/>
      <c r="GX810" s="113"/>
      <c r="GY810" s="113"/>
      <c r="GZ810" s="113"/>
      <c r="HA810" s="46">
        <v>0</v>
      </c>
      <c r="HB810" s="113"/>
      <c r="HC810" s="113"/>
      <c r="HD810" s="113"/>
      <c r="HE810" s="113"/>
      <c r="HF810" s="113"/>
      <c r="HG810" s="46">
        <v>0</v>
      </c>
      <c r="HH810" s="113"/>
      <c r="HI810" s="113"/>
      <c r="HJ810" s="113"/>
      <c r="HK810" s="113"/>
      <c r="HL810" s="113"/>
      <c r="HM810" s="121"/>
      <c r="HN810" s="121"/>
      <c r="LM810" t="str">
        <v/>
      </c>
      <c r="LN810" t="str">
        <v/>
      </c>
      <c r="LO810" t="str">
        <v/>
      </c>
    </row>
    <row r="811" spans="30:327">
      <c r="AD811" t="s">
        <v>114</v>
      </c>
      <c r="AE811" t="s">
        <v>22954</v>
      </c>
      <c r="AF811" s="46">
        <v>0</v>
      </c>
      <c r="AG811" s="113"/>
      <c r="AH811" s="113"/>
      <c r="AI811" s="113"/>
      <c r="AJ811" s="113"/>
      <c r="AK811" s="113"/>
      <c r="AL811" s="46">
        <v>0</v>
      </c>
      <c r="AM811" s="113"/>
      <c r="AN811" s="113"/>
      <c r="AO811" s="113"/>
      <c r="AP811" s="113"/>
      <c r="AQ811" s="113"/>
      <c r="AR811" s="46">
        <v>0</v>
      </c>
      <c r="AS811" s="113"/>
      <c r="AT811" s="113"/>
      <c r="AU811" s="113"/>
      <c r="AV811" s="113"/>
      <c r="AW811" s="113"/>
      <c r="AX811" s="46">
        <v>0</v>
      </c>
      <c r="AY811" s="113"/>
      <c r="AZ811" s="113"/>
      <c r="BA811" s="113"/>
      <c r="BB811" s="113"/>
      <c r="BC811" s="113"/>
      <c r="BD811" s="46">
        <v>0</v>
      </c>
      <c r="BE811" s="113"/>
      <c r="BF811" s="113"/>
      <c r="BG811" s="113"/>
      <c r="BH811" s="113"/>
      <c r="BI811" s="113"/>
      <c r="BJ811" s="46">
        <v>0</v>
      </c>
      <c r="BK811" s="113"/>
      <c r="BL811" s="113"/>
      <c r="BM811" s="113"/>
      <c r="BN811" s="113"/>
      <c r="BO811" s="113"/>
      <c r="BP811" s="121"/>
      <c r="BQ811" s="121"/>
      <c r="GA811" t="s">
        <v>114</v>
      </c>
      <c r="GB811" t="s">
        <v>22954</v>
      </c>
      <c r="GC811" s="46">
        <v>0</v>
      </c>
      <c r="GD811" s="113"/>
      <c r="GE811" s="113"/>
      <c r="GF811" s="113"/>
      <c r="GG811" s="113"/>
      <c r="GH811" s="113"/>
      <c r="GI811" s="46">
        <v>0</v>
      </c>
      <c r="GJ811" s="113"/>
      <c r="GK811" s="113"/>
      <c r="GL811" s="113"/>
      <c r="GM811" s="113"/>
      <c r="GN811" s="113"/>
      <c r="GO811" s="46">
        <v>0</v>
      </c>
      <c r="GP811" s="113"/>
      <c r="GQ811" s="113"/>
      <c r="GR811" s="113"/>
      <c r="GS811" s="113"/>
      <c r="GT811" s="113"/>
      <c r="GU811" s="46">
        <v>0</v>
      </c>
      <c r="GV811" s="113"/>
      <c r="GW811" s="113"/>
      <c r="GX811" s="113"/>
      <c r="GY811" s="113"/>
      <c r="GZ811" s="113"/>
      <c r="HA811" s="46">
        <v>0</v>
      </c>
      <c r="HB811" s="113"/>
      <c r="HC811" s="113"/>
      <c r="HD811" s="113"/>
      <c r="HE811" s="113"/>
      <c r="HF811" s="113"/>
      <c r="HG811" s="46">
        <v>0</v>
      </c>
      <c r="HH811" s="113"/>
      <c r="HI811" s="113"/>
      <c r="HJ811" s="113"/>
      <c r="HK811" s="113"/>
      <c r="HL811" s="113"/>
      <c r="HM811" s="121"/>
      <c r="HN811" s="121"/>
      <c r="LM811" t="str">
        <v/>
      </c>
      <c r="LN811" t="str">
        <v/>
      </c>
      <c r="LO811" t="str">
        <v/>
      </c>
    </row>
    <row r="812" spans="30:327">
      <c r="AD812" t="s">
        <v>114</v>
      </c>
      <c r="AE812" t="s">
        <v>22955</v>
      </c>
      <c r="AF812" s="46">
        <v>0</v>
      </c>
      <c r="AG812" s="113"/>
      <c r="AH812" s="113"/>
      <c r="AI812" s="113"/>
      <c r="AJ812" s="113"/>
      <c r="AK812" s="113"/>
      <c r="AL812" s="46">
        <v>0</v>
      </c>
      <c r="AM812" s="113"/>
      <c r="AN812" s="113"/>
      <c r="AO812" s="113"/>
      <c r="AP812" s="113"/>
      <c r="AQ812" s="113"/>
      <c r="AR812" s="46">
        <v>0</v>
      </c>
      <c r="AS812" s="113"/>
      <c r="AT812" s="113"/>
      <c r="AU812" s="113"/>
      <c r="AV812" s="113"/>
      <c r="AW812" s="113"/>
      <c r="AX812" s="46">
        <v>0</v>
      </c>
      <c r="AY812" s="113"/>
      <c r="AZ812" s="113"/>
      <c r="BA812" s="113"/>
      <c r="BB812" s="113"/>
      <c r="BC812" s="113"/>
      <c r="BD812" s="46">
        <v>0</v>
      </c>
      <c r="BE812" s="113"/>
      <c r="BF812" s="113"/>
      <c r="BG812" s="113"/>
      <c r="BH812" s="113"/>
      <c r="BI812" s="113"/>
      <c r="BJ812" s="46">
        <v>0</v>
      </c>
      <c r="BK812" s="113"/>
      <c r="BL812" s="113"/>
      <c r="BM812" s="113"/>
      <c r="BN812" s="113"/>
      <c r="BO812" s="113"/>
      <c r="BP812" s="121"/>
      <c r="BQ812" s="121"/>
      <c r="GA812" t="s">
        <v>114</v>
      </c>
      <c r="GB812" t="s">
        <v>22955</v>
      </c>
      <c r="GC812" s="46">
        <v>0</v>
      </c>
      <c r="GD812" s="113"/>
      <c r="GE812" s="113"/>
      <c r="GF812" s="113"/>
      <c r="GG812" s="113"/>
      <c r="GH812" s="113"/>
      <c r="GI812" s="46">
        <v>0</v>
      </c>
      <c r="GJ812" s="113"/>
      <c r="GK812" s="113"/>
      <c r="GL812" s="113"/>
      <c r="GM812" s="113"/>
      <c r="GN812" s="113"/>
      <c r="GO812" s="46">
        <v>0</v>
      </c>
      <c r="GP812" s="113"/>
      <c r="GQ812" s="113"/>
      <c r="GR812" s="113"/>
      <c r="GS812" s="113"/>
      <c r="GT812" s="113"/>
      <c r="GU812" s="46">
        <v>0</v>
      </c>
      <c r="GV812" s="113"/>
      <c r="GW812" s="113"/>
      <c r="GX812" s="113"/>
      <c r="GY812" s="113"/>
      <c r="GZ812" s="113"/>
      <c r="HA812" s="46">
        <v>0</v>
      </c>
      <c r="HB812" s="113"/>
      <c r="HC812" s="113"/>
      <c r="HD812" s="113"/>
      <c r="HE812" s="113"/>
      <c r="HF812" s="113"/>
      <c r="HG812" s="46">
        <v>0</v>
      </c>
      <c r="HH812" s="113"/>
      <c r="HI812" s="113"/>
      <c r="HJ812" s="113"/>
      <c r="HK812" s="113"/>
      <c r="HL812" s="113"/>
      <c r="HM812" s="121"/>
      <c r="HN812" s="121"/>
      <c r="LM812" t="str">
        <v/>
      </c>
      <c r="LN812" t="str">
        <v/>
      </c>
      <c r="LO812" t="str">
        <v/>
      </c>
    </row>
    <row r="813" spans="30:327">
      <c r="AD813" t="s">
        <v>114</v>
      </c>
      <c r="AE813" t="s">
        <v>22956</v>
      </c>
      <c r="AF813" s="46">
        <v>0</v>
      </c>
      <c r="AG813" s="113"/>
      <c r="AH813" s="113"/>
      <c r="AI813" s="113"/>
      <c r="AJ813" s="113"/>
      <c r="AK813" s="113"/>
      <c r="AL813" s="46">
        <v>0</v>
      </c>
      <c r="AM813" s="113"/>
      <c r="AN813" s="113"/>
      <c r="AO813" s="113"/>
      <c r="AP813" s="113"/>
      <c r="AQ813" s="113"/>
      <c r="AR813" s="46">
        <v>0</v>
      </c>
      <c r="AS813" s="113"/>
      <c r="AT813" s="113"/>
      <c r="AU813" s="113"/>
      <c r="AV813" s="113"/>
      <c r="AW813" s="113"/>
      <c r="AX813" s="46">
        <v>0</v>
      </c>
      <c r="AY813" s="113"/>
      <c r="AZ813" s="113"/>
      <c r="BA813" s="113"/>
      <c r="BB813" s="113"/>
      <c r="BC813" s="113"/>
      <c r="BD813" s="46">
        <v>0</v>
      </c>
      <c r="BE813" s="113"/>
      <c r="BF813" s="113"/>
      <c r="BG813" s="113"/>
      <c r="BH813" s="113"/>
      <c r="BI813" s="113"/>
      <c r="BJ813" s="46">
        <v>0</v>
      </c>
      <c r="BK813" s="113"/>
      <c r="BL813" s="113"/>
      <c r="BM813" s="113"/>
      <c r="BN813" s="113"/>
      <c r="BO813" s="113"/>
      <c r="BP813" s="121"/>
      <c r="BQ813" s="121"/>
      <c r="GA813" t="s">
        <v>114</v>
      </c>
      <c r="GB813" t="s">
        <v>22956</v>
      </c>
      <c r="GC813" s="46">
        <v>0</v>
      </c>
      <c r="GD813" s="113"/>
      <c r="GE813" s="113"/>
      <c r="GF813" s="113"/>
      <c r="GG813" s="113"/>
      <c r="GH813" s="113"/>
      <c r="GI813" s="46">
        <v>0</v>
      </c>
      <c r="GJ813" s="113"/>
      <c r="GK813" s="113"/>
      <c r="GL813" s="113"/>
      <c r="GM813" s="113"/>
      <c r="GN813" s="113"/>
      <c r="GO813" s="46">
        <v>0</v>
      </c>
      <c r="GP813" s="113"/>
      <c r="GQ813" s="113"/>
      <c r="GR813" s="113"/>
      <c r="GS813" s="113"/>
      <c r="GT813" s="113"/>
      <c r="GU813" s="46">
        <v>0</v>
      </c>
      <c r="GV813" s="113"/>
      <c r="GW813" s="113"/>
      <c r="GX813" s="113"/>
      <c r="GY813" s="113"/>
      <c r="GZ813" s="113"/>
      <c r="HA813" s="46">
        <v>0</v>
      </c>
      <c r="HB813" s="113"/>
      <c r="HC813" s="113"/>
      <c r="HD813" s="113"/>
      <c r="HE813" s="113"/>
      <c r="HF813" s="113"/>
      <c r="HG813" s="46">
        <v>0</v>
      </c>
      <c r="HH813" s="113"/>
      <c r="HI813" s="113"/>
      <c r="HJ813" s="113"/>
      <c r="HK813" s="113"/>
      <c r="HL813" s="113"/>
      <c r="HM813" s="121"/>
      <c r="HN813" s="121"/>
      <c r="LM813" t="str">
        <v/>
      </c>
      <c r="LN813" t="str">
        <v/>
      </c>
      <c r="LO813" t="str">
        <v/>
      </c>
    </row>
    <row r="814" spans="30:327">
      <c r="AD814" t="s">
        <v>114</v>
      </c>
      <c r="AE814" t="s">
        <v>22957</v>
      </c>
      <c r="AF814" s="46">
        <v>0</v>
      </c>
      <c r="AG814" s="113"/>
      <c r="AH814" s="113"/>
      <c r="AI814" s="113"/>
      <c r="AJ814" s="113"/>
      <c r="AK814" s="113"/>
      <c r="AL814" s="46">
        <v>0</v>
      </c>
      <c r="AM814" s="113"/>
      <c r="AN814" s="113"/>
      <c r="AO814" s="113"/>
      <c r="AP814" s="113"/>
      <c r="AQ814" s="113"/>
      <c r="AR814" s="46">
        <v>0</v>
      </c>
      <c r="AS814" s="113"/>
      <c r="AT814" s="113"/>
      <c r="AU814" s="113"/>
      <c r="AV814" s="113"/>
      <c r="AW814" s="113"/>
      <c r="AX814" s="46">
        <v>0</v>
      </c>
      <c r="AY814" s="113"/>
      <c r="AZ814" s="113"/>
      <c r="BA814" s="113"/>
      <c r="BB814" s="113"/>
      <c r="BC814" s="113"/>
      <c r="BD814" s="46">
        <v>0</v>
      </c>
      <c r="BE814" s="113"/>
      <c r="BF814" s="113"/>
      <c r="BG814" s="113"/>
      <c r="BH814" s="113"/>
      <c r="BI814" s="113"/>
      <c r="BJ814" s="46">
        <v>0</v>
      </c>
      <c r="BK814" s="113"/>
      <c r="BL814" s="113"/>
      <c r="BM814" s="113"/>
      <c r="BN814" s="113"/>
      <c r="BO814" s="113"/>
      <c r="BP814" s="121"/>
      <c r="BQ814" s="121"/>
      <c r="GA814" t="s">
        <v>114</v>
      </c>
      <c r="GB814" t="s">
        <v>22957</v>
      </c>
      <c r="GC814" s="46">
        <v>0</v>
      </c>
      <c r="GD814" s="113"/>
      <c r="GE814" s="113"/>
      <c r="GF814" s="113"/>
      <c r="GG814" s="113"/>
      <c r="GH814" s="113"/>
      <c r="GI814" s="46">
        <v>0</v>
      </c>
      <c r="GJ814" s="113"/>
      <c r="GK814" s="113"/>
      <c r="GL814" s="113"/>
      <c r="GM814" s="113"/>
      <c r="GN814" s="113"/>
      <c r="GO814" s="46">
        <v>0</v>
      </c>
      <c r="GP814" s="113"/>
      <c r="GQ814" s="113"/>
      <c r="GR814" s="113"/>
      <c r="GS814" s="113"/>
      <c r="GT814" s="113"/>
      <c r="GU814" s="46">
        <v>0</v>
      </c>
      <c r="GV814" s="113"/>
      <c r="GW814" s="113"/>
      <c r="GX814" s="113"/>
      <c r="GY814" s="113"/>
      <c r="GZ814" s="113"/>
      <c r="HA814" s="46">
        <v>0</v>
      </c>
      <c r="HB814" s="113"/>
      <c r="HC814" s="113"/>
      <c r="HD814" s="113"/>
      <c r="HE814" s="113"/>
      <c r="HF814" s="113"/>
      <c r="HG814" s="46">
        <v>0</v>
      </c>
      <c r="HH814" s="113"/>
      <c r="HI814" s="113"/>
      <c r="HJ814" s="113"/>
      <c r="HK814" s="113"/>
      <c r="HL814" s="113"/>
      <c r="HM814" s="121"/>
      <c r="HN814" s="121"/>
      <c r="LM814" t="str">
        <v/>
      </c>
      <c r="LN814" t="str">
        <v/>
      </c>
      <c r="LO814" t="str">
        <v/>
      </c>
    </row>
    <row r="815" spans="30:327">
      <c r="AD815" t="s">
        <v>114</v>
      </c>
      <c r="AE815" t="s">
        <v>22958</v>
      </c>
      <c r="AF815" s="46">
        <v>0</v>
      </c>
      <c r="AG815" s="113"/>
      <c r="AH815" s="113"/>
      <c r="AI815" s="113"/>
      <c r="AJ815" s="113"/>
      <c r="AK815" s="113"/>
      <c r="AL815" s="46">
        <v>0</v>
      </c>
      <c r="AM815" s="113"/>
      <c r="AN815" s="113"/>
      <c r="AO815" s="113"/>
      <c r="AP815" s="113"/>
      <c r="AQ815" s="113"/>
      <c r="AR815" s="46">
        <v>0</v>
      </c>
      <c r="AS815" s="113"/>
      <c r="AT815" s="113"/>
      <c r="AU815" s="113"/>
      <c r="AV815" s="113"/>
      <c r="AW815" s="113"/>
      <c r="AX815" s="46">
        <v>0</v>
      </c>
      <c r="AY815" s="113"/>
      <c r="AZ815" s="113"/>
      <c r="BA815" s="113"/>
      <c r="BB815" s="113"/>
      <c r="BC815" s="113"/>
      <c r="BD815" s="46">
        <v>0</v>
      </c>
      <c r="BE815" s="113"/>
      <c r="BF815" s="113"/>
      <c r="BG815" s="113"/>
      <c r="BH815" s="113"/>
      <c r="BI815" s="113"/>
      <c r="BJ815" s="46">
        <v>0</v>
      </c>
      <c r="BK815" s="113"/>
      <c r="BL815" s="113"/>
      <c r="BM815" s="113"/>
      <c r="BN815" s="113"/>
      <c r="BO815" s="113"/>
      <c r="BP815" s="121"/>
      <c r="BQ815" s="121"/>
      <c r="GA815" t="s">
        <v>114</v>
      </c>
      <c r="GB815" t="s">
        <v>22958</v>
      </c>
      <c r="GC815" s="46">
        <v>0</v>
      </c>
      <c r="GD815" s="113"/>
      <c r="GE815" s="113"/>
      <c r="GF815" s="113"/>
      <c r="GG815" s="113"/>
      <c r="GH815" s="113"/>
      <c r="GI815" s="46">
        <v>0</v>
      </c>
      <c r="GJ815" s="113"/>
      <c r="GK815" s="113"/>
      <c r="GL815" s="113"/>
      <c r="GM815" s="113"/>
      <c r="GN815" s="113"/>
      <c r="GO815" s="46">
        <v>0</v>
      </c>
      <c r="GP815" s="113"/>
      <c r="GQ815" s="113"/>
      <c r="GR815" s="113"/>
      <c r="GS815" s="113"/>
      <c r="GT815" s="113"/>
      <c r="GU815" s="46">
        <v>0</v>
      </c>
      <c r="GV815" s="113"/>
      <c r="GW815" s="113"/>
      <c r="GX815" s="113"/>
      <c r="GY815" s="113"/>
      <c r="GZ815" s="113"/>
      <c r="HA815" s="46">
        <v>0</v>
      </c>
      <c r="HB815" s="113"/>
      <c r="HC815" s="113"/>
      <c r="HD815" s="113"/>
      <c r="HE815" s="113"/>
      <c r="HF815" s="113"/>
      <c r="HG815" s="46">
        <v>0</v>
      </c>
      <c r="HH815" s="113"/>
      <c r="HI815" s="113"/>
      <c r="HJ815" s="113"/>
      <c r="HK815" s="113"/>
      <c r="HL815" s="113"/>
      <c r="HM815" s="121"/>
      <c r="HN815" s="121"/>
      <c r="LM815" t="str">
        <v/>
      </c>
      <c r="LN815" t="str">
        <v/>
      </c>
      <c r="LO815" t="str">
        <v/>
      </c>
    </row>
    <row r="816" spans="30:327">
      <c r="AD816" t="s">
        <v>114</v>
      </c>
      <c r="AE816" t="s">
        <v>22959</v>
      </c>
      <c r="AF816" s="46">
        <v>0</v>
      </c>
      <c r="AG816" s="113"/>
      <c r="AH816" s="113"/>
      <c r="AI816" s="113"/>
      <c r="AJ816" s="113"/>
      <c r="AK816" s="113"/>
      <c r="AL816" s="46">
        <v>0</v>
      </c>
      <c r="AM816" s="113"/>
      <c r="AN816" s="113"/>
      <c r="AO816" s="113"/>
      <c r="AP816" s="113"/>
      <c r="AQ816" s="113"/>
      <c r="AR816" s="46">
        <v>0</v>
      </c>
      <c r="AS816" s="113"/>
      <c r="AT816" s="113"/>
      <c r="AU816" s="113"/>
      <c r="AV816" s="113"/>
      <c r="AW816" s="113"/>
      <c r="AX816" s="46">
        <v>0</v>
      </c>
      <c r="AY816" s="113"/>
      <c r="AZ816" s="113"/>
      <c r="BA816" s="113"/>
      <c r="BB816" s="113"/>
      <c r="BC816" s="113"/>
      <c r="BD816" s="46">
        <v>0</v>
      </c>
      <c r="BE816" s="113"/>
      <c r="BF816" s="113"/>
      <c r="BG816" s="113"/>
      <c r="BH816" s="113"/>
      <c r="BI816" s="113"/>
      <c r="BJ816" s="46">
        <v>0</v>
      </c>
      <c r="BK816" s="113"/>
      <c r="BL816" s="113"/>
      <c r="BM816" s="113"/>
      <c r="BN816" s="113"/>
      <c r="BO816" s="113"/>
      <c r="BP816" s="121"/>
      <c r="BQ816" s="121"/>
      <c r="GA816" t="s">
        <v>114</v>
      </c>
      <c r="GB816" t="s">
        <v>22959</v>
      </c>
      <c r="GC816" s="46">
        <v>0</v>
      </c>
      <c r="GD816" s="113"/>
      <c r="GE816" s="113"/>
      <c r="GF816" s="113"/>
      <c r="GG816" s="113"/>
      <c r="GH816" s="113"/>
      <c r="GI816" s="46">
        <v>0</v>
      </c>
      <c r="GJ816" s="113"/>
      <c r="GK816" s="113"/>
      <c r="GL816" s="113"/>
      <c r="GM816" s="113"/>
      <c r="GN816" s="113"/>
      <c r="GO816" s="46">
        <v>0</v>
      </c>
      <c r="GP816" s="113"/>
      <c r="GQ816" s="113"/>
      <c r="GR816" s="113"/>
      <c r="GS816" s="113"/>
      <c r="GT816" s="113"/>
      <c r="GU816" s="46">
        <v>0</v>
      </c>
      <c r="GV816" s="113"/>
      <c r="GW816" s="113"/>
      <c r="GX816" s="113"/>
      <c r="GY816" s="113"/>
      <c r="GZ816" s="113"/>
      <c r="HA816" s="46">
        <v>0</v>
      </c>
      <c r="HB816" s="113"/>
      <c r="HC816" s="113"/>
      <c r="HD816" s="113"/>
      <c r="HE816" s="113"/>
      <c r="HF816" s="113"/>
      <c r="HG816" s="46">
        <v>0</v>
      </c>
      <c r="HH816" s="113"/>
      <c r="HI816" s="113"/>
      <c r="HJ816" s="113"/>
      <c r="HK816" s="113"/>
      <c r="HL816" s="113"/>
      <c r="HM816" s="121"/>
      <c r="HN816" s="121"/>
      <c r="LM816" t="str">
        <v/>
      </c>
      <c r="LN816" t="str">
        <v/>
      </c>
      <c r="LO816" t="str">
        <v/>
      </c>
    </row>
    <row r="817" spans="30:327">
      <c r="AD817" t="s">
        <v>114</v>
      </c>
      <c r="AE817" t="s">
        <v>22960</v>
      </c>
      <c r="AF817" s="46">
        <v>0</v>
      </c>
      <c r="AG817" s="113"/>
      <c r="AH817" s="113"/>
      <c r="AI817" s="113"/>
      <c r="AJ817" s="113"/>
      <c r="AK817" s="113"/>
      <c r="AL817" s="46">
        <v>0</v>
      </c>
      <c r="AM817" s="113"/>
      <c r="AN817" s="113"/>
      <c r="AO817" s="113"/>
      <c r="AP817" s="113"/>
      <c r="AQ817" s="113"/>
      <c r="AR817" s="46">
        <v>0</v>
      </c>
      <c r="AS817" s="113"/>
      <c r="AT817" s="113"/>
      <c r="AU817" s="113"/>
      <c r="AV817" s="113"/>
      <c r="AW817" s="113"/>
      <c r="AX817" s="46">
        <v>0</v>
      </c>
      <c r="AY817" s="113"/>
      <c r="AZ817" s="113"/>
      <c r="BA817" s="113"/>
      <c r="BB817" s="113"/>
      <c r="BC817" s="113"/>
      <c r="BD817" s="46">
        <v>0</v>
      </c>
      <c r="BE817" s="113"/>
      <c r="BF817" s="113"/>
      <c r="BG817" s="113"/>
      <c r="BH817" s="113"/>
      <c r="BI817" s="113"/>
      <c r="BJ817" s="46">
        <v>0</v>
      </c>
      <c r="BK817" s="113"/>
      <c r="BL817" s="113"/>
      <c r="BM817" s="113"/>
      <c r="BN817" s="113"/>
      <c r="BO817" s="113"/>
      <c r="BP817" s="121"/>
      <c r="BQ817" s="121"/>
      <c r="GA817" t="s">
        <v>114</v>
      </c>
      <c r="GB817" t="s">
        <v>22960</v>
      </c>
      <c r="GC817" s="46">
        <v>0</v>
      </c>
      <c r="GD817" s="113"/>
      <c r="GE817" s="113"/>
      <c r="GF817" s="113"/>
      <c r="GG817" s="113"/>
      <c r="GH817" s="113"/>
      <c r="GI817" s="46">
        <v>0</v>
      </c>
      <c r="GJ817" s="113"/>
      <c r="GK817" s="113"/>
      <c r="GL817" s="113"/>
      <c r="GM817" s="113"/>
      <c r="GN817" s="113"/>
      <c r="GO817" s="46">
        <v>0</v>
      </c>
      <c r="GP817" s="113"/>
      <c r="GQ817" s="113"/>
      <c r="GR817" s="113"/>
      <c r="GS817" s="113"/>
      <c r="GT817" s="113"/>
      <c r="GU817" s="46">
        <v>0</v>
      </c>
      <c r="GV817" s="113"/>
      <c r="GW817" s="113"/>
      <c r="GX817" s="113"/>
      <c r="GY817" s="113"/>
      <c r="GZ817" s="113"/>
      <c r="HA817" s="46">
        <v>0</v>
      </c>
      <c r="HB817" s="113"/>
      <c r="HC817" s="113"/>
      <c r="HD817" s="113"/>
      <c r="HE817" s="113"/>
      <c r="HF817" s="113"/>
      <c r="HG817" s="46">
        <v>0</v>
      </c>
      <c r="HH817" s="113"/>
      <c r="HI817" s="113"/>
      <c r="HJ817" s="113"/>
      <c r="HK817" s="113"/>
      <c r="HL817" s="113"/>
      <c r="HM817" s="121"/>
      <c r="HN817" s="121"/>
      <c r="LM817" t="str">
        <v/>
      </c>
      <c r="LN817" t="str">
        <v/>
      </c>
      <c r="LO817" t="str">
        <v/>
      </c>
    </row>
    <row r="818" spans="30:327">
      <c r="AD818" t="s">
        <v>114</v>
      </c>
      <c r="AE818" t="s">
        <v>22961</v>
      </c>
      <c r="AF818" s="46">
        <v>0</v>
      </c>
      <c r="AG818" s="113"/>
      <c r="AH818" s="113"/>
      <c r="AI818" s="113"/>
      <c r="AJ818" s="113"/>
      <c r="AK818" s="113"/>
      <c r="AL818" s="46">
        <v>0</v>
      </c>
      <c r="AM818" s="113"/>
      <c r="AN818" s="113"/>
      <c r="AO818" s="113"/>
      <c r="AP818" s="113"/>
      <c r="AQ818" s="113"/>
      <c r="AR818" s="46">
        <v>0</v>
      </c>
      <c r="AS818" s="113"/>
      <c r="AT818" s="113"/>
      <c r="AU818" s="113"/>
      <c r="AV818" s="113"/>
      <c r="AW818" s="113"/>
      <c r="AX818" s="46">
        <v>0</v>
      </c>
      <c r="AY818" s="113"/>
      <c r="AZ818" s="113"/>
      <c r="BA818" s="113"/>
      <c r="BB818" s="113"/>
      <c r="BC818" s="113"/>
      <c r="BD818" s="46">
        <v>0</v>
      </c>
      <c r="BE818" s="113"/>
      <c r="BF818" s="113"/>
      <c r="BG818" s="113"/>
      <c r="BH818" s="113"/>
      <c r="BI818" s="113"/>
      <c r="BJ818" s="46">
        <v>0</v>
      </c>
      <c r="BK818" s="113"/>
      <c r="BL818" s="113"/>
      <c r="BM818" s="113"/>
      <c r="BN818" s="113"/>
      <c r="BO818" s="113"/>
      <c r="BP818" s="121"/>
      <c r="BQ818" s="121"/>
      <c r="GA818" t="s">
        <v>114</v>
      </c>
      <c r="GB818" t="s">
        <v>22961</v>
      </c>
      <c r="GC818" s="46">
        <v>0</v>
      </c>
      <c r="GD818" s="113"/>
      <c r="GE818" s="113"/>
      <c r="GF818" s="113"/>
      <c r="GG818" s="113"/>
      <c r="GH818" s="113"/>
      <c r="GI818" s="46">
        <v>0</v>
      </c>
      <c r="GJ818" s="113"/>
      <c r="GK818" s="113"/>
      <c r="GL818" s="113"/>
      <c r="GM818" s="113"/>
      <c r="GN818" s="113"/>
      <c r="GO818" s="46">
        <v>0</v>
      </c>
      <c r="GP818" s="113"/>
      <c r="GQ818" s="113"/>
      <c r="GR818" s="113"/>
      <c r="GS818" s="113"/>
      <c r="GT818" s="113"/>
      <c r="GU818" s="46">
        <v>0</v>
      </c>
      <c r="GV818" s="113"/>
      <c r="GW818" s="113"/>
      <c r="GX818" s="113"/>
      <c r="GY818" s="113"/>
      <c r="GZ818" s="113"/>
      <c r="HA818" s="46">
        <v>0</v>
      </c>
      <c r="HB818" s="113"/>
      <c r="HC818" s="113"/>
      <c r="HD818" s="113"/>
      <c r="HE818" s="113"/>
      <c r="HF818" s="113"/>
      <c r="HG818" s="46">
        <v>0</v>
      </c>
      <c r="HH818" s="113"/>
      <c r="HI818" s="113"/>
      <c r="HJ818" s="113"/>
      <c r="HK818" s="113"/>
      <c r="HL818" s="113"/>
      <c r="HM818" s="121"/>
      <c r="HN818" s="121"/>
      <c r="LM818" t="str">
        <v/>
      </c>
      <c r="LN818" t="str">
        <v/>
      </c>
      <c r="LO818" t="str">
        <v/>
      </c>
    </row>
    <row r="819" spans="30:327">
      <c r="AD819" t="s">
        <v>114</v>
      </c>
      <c r="AE819" t="s">
        <v>22962</v>
      </c>
      <c r="AF819" s="46">
        <v>0</v>
      </c>
      <c r="AG819" s="113"/>
      <c r="AH819" s="113"/>
      <c r="AI819" s="113"/>
      <c r="AJ819" s="113"/>
      <c r="AK819" s="113"/>
      <c r="AL819" s="46">
        <v>0</v>
      </c>
      <c r="AM819" s="113"/>
      <c r="AN819" s="113"/>
      <c r="AO819" s="113"/>
      <c r="AP819" s="113"/>
      <c r="AQ819" s="113"/>
      <c r="AR819" s="46">
        <v>0</v>
      </c>
      <c r="AS819" s="113"/>
      <c r="AT819" s="113"/>
      <c r="AU819" s="113"/>
      <c r="AV819" s="113"/>
      <c r="AW819" s="113"/>
      <c r="AX819" s="46">
        <v>0</v>
      </c>
      <c r="AY819" s="113"/>
      <c r="AZ819" s="113"/>
      <c r="BA819" s="113"/>
      <c r="BB819" s="113"/>
      <c r="BC819" s="113"/>
      <c r="BD819" s="46">
        <v>0</v>
      </c>
      <c r="BE819" s="113"/>
      <c r="BF819" s="113"/>
      <c r="BG819" s="113"/>
      <c r="BH819" s="113"/>
      <c r="BI819" s="113"/>
      <c r="BJ819" s="46">
        <v>0</v>
      </c>
      <c r="BK819" s="113"/>
      <c r="BL819" s="113"/>
      <c r="BM819" s="113"/>
      <c r="BN819" s="113"/>
      <c r="BO819" s="113"/>
      <c r="BP819" s="121"/>
      <c r="BQ819" s="121"/>
      <c r="GA819" t="s">
        <v>114</v>
      </c>
      <c r="GB819" t="s">
        <v>22962</v>
      </c>
      <c r="GC819" s="46">
        <v>0</v>
      </c>
      <c r="GD819" s="113"/>
      <c r="GE819" s="113"/>
      <c r="GF819" s="113"/>
      <c r="GG819" s="113"/>
      <c r="GH819" s="113"/>
      <c r="GI819" s="46">
        <v>0</v>
      </c>
      <c r="GJ819" s="113"/>
      <c r="GK819" s="113"/>
      <c r="GL819" s="113"/>
      <c r="GM819" s="113"/>
      <c r="GN819" s="113"/>
      <c r="GO819" s="46">
        <v>0</v>
      </c>
      <c r="GP819" s="113"/>
      <c r="GQ819" s="113"/>
      <c r="GR819" s="113"/>
      <c r="GS819" s="113"/>
      <c r="GT819" s="113"/>
      <c r="GU819" s="46">
        <v>0</v>
      </c>
      <c r="GV819" s="113"/>
      <c r="GW819" s="113"/>
      <c r="GX819" s="113"/>
      <c r="GY819" s="113"/>
      <c r="GZ819" s="113"/>
      <c r="HA819" s="46">
        <v>0</v>
      </c>
      <c r="HB819" s="113"/>
      <c r="HC819" s="113"/>
      <c r="HD819" s="113"/>
      <c r="HE819" s="113"/>
      <c r="HF819" s="113"/>
      <c r="HG819" s="46">
        <v>0</v>
      </c>
      <c r="HH819" s="113"/>
      <c r="HI819" s="113"/>
      <c r="HJ819" s="113"/>
      <c r="HK819" s="113"/>
      <c r="HL819" s="113"/>
      <c r="HM819" s="121"/>
      <c r="HN819" s="121"/>
      <c r="LM819" t="str">
        <v/>
      </c>
      <c r="LN819" t="str">
        <v/>
      </c>
      <c r="LO819" t="str">
        <v/>
      </c>
    </row>
    <row r="820" spans="30:327">
      <c r="AD820" t="s">
        <v>114</v>
      </c>
      <c r="AE820" t="s">
        <v>22963</v>
      </c>
      <c r="AF820" s="46">
        <v>0</v>
      </c>
      <c r="AG820" s="113"/>
      <c r="AH820" s="113"/>
      <c r="AI820" s="113"/>
      <c r="AJ820" s="113"/>
      <c r="AK820" s="113"/>
      <c r="AL820" s="46">
        <v>0</v>
      </c>
      <c r="AM820" s="113"/>
      <c r="AN820" s="113"/>
      <c r="AO820" s="113"/>
      <c r="AP820" s="113"/>
      <c r="AQ820" s="113"/>
      <c r="AR820" s="46">
        <v>0</v>
      </c>
      <c r="AS820" s="113"/>
      <c r="AT820" s="113"/>
      <c r="AU820" s="113"/>
      <c r="AV820" s="113"/>
      <c r="AW820" s="113"/>
      <c r="AX820" s="46">
        <v>0</v>
      </c>
      <c r="AY820" s="113"/>
      <c r="AZ820" s="113"/>
      <c r="BA820" s="113"/>
      <c r="BB820" s="113"/>
      <c r="BC820" s="113"/>
      <c r="BD820" s="46">
        <v>0</v>
      </c>
      <c r="BE820" s="113"/>
      <c r="BF820" s="113"/>
      <c r="BG820" s="113"/>
      <c r="BH820" s="113"/>
      <c r="BI820" s="113"/>
      <c r="BJ820" s="46">
        <v>0</v>
      </c>
      <c r="BK820" s="113"/>
      <c r="BL820" s="113"/>
      <c r="BM820" s="113"/>
      <c r="BN820" s="113"/>
      <c r="BO820" s="113"/>
      <c r="BP820" s="121"/>
      <c r="BQ820" s="121"/>
      <c r="GA820" t="s">
        <v>114</v>
      </c>
      <c r="GB820" t="s">
        <v>22963</v>
      </c>
      <c r="GC820" s="46">
        <v>0</v>
      </c>
      <c r="GD820" s="113"/>
      <c r="GE820" s="113"/>
      <c r="GF820" s="113"/>
      <c r="GG820" s="113"/>
      <c r="GH820" s="113"/>
      <c r="GI820" s="46">
        <v>0</v>
      </c>
      <c r="GJ820" s="113"/>
      <c r="GK820" s="113"/>
      <c r="GL820" s="113"/>
      <c r="GM820" s="113"/>
      <c r="GN820" s="113"/>
      <c r="GO820" s="46">
        <v>0</v>
      </c>
      <c r="GP820" s="113"/>
      <c r="GQ820" s="113"/>
      <c r="GR820" s="113"/>
      <c r="GS820" s="113"/>
      <c r="GT820" s="113"/>
      <c r="GU820" s="46">
        <v>0</v>
      </c>
      <c r="GV820" s="113"/>
      <c r="GW820" s="113"/>
      <c r="GX820" s="113"/>
      <c r="GY820" s="113"/>
      <c r="GZ820" s="113"/>
      <c r="HA820" s="46">
        <v>0</v>
      </c>
      <c r="HB820" s="113"/>
      <c r="HC820" s="113"/>
      <c r="HD820" s="113"/>
      <c r="HE820" s="113"/>
      <c r="HF820" s="113"/>
      <c r="HG820" s="46">
        <v>0</v>
      </c>
      <c r="HH820" s="113"/>
      <c r="HI820" s="113"/>
      <c r="HJ820" s="113"/>
      <c r="HK820" s="113"/>
      <c r="HL820" s="113"/>
      <c r="HM820" s="121"/>
      <c r="HN820" s="121"/>
      <c r="LM820" t="str">
        <v/>
      </c>
      <c r="LN820" t="str">
        <v/>
      </c>
      <c r="LO820" t="str">
        <v/>
      </c>
    </row>
    <row r="821" spans="30:327">
      <c r="AD821" t="s">
        <v>114</v>
      </c>
      <c r="AE821" t="s">
        <v>22964</v>
      </c>
      <c r="AF821" s="46">
        <v>0</v>
      </c>
      <c r="AG821" s="113"/>
      <c r="AH821" s="113"/>
      <c r="AI821" s="113"/>
      <c r="AJ821" s="113"/>
      <c r="AK821" s="113"/>
      <c r="AL821" s="46">
        <v>0</v>
      </c>
      <c r="AM821" s="113"/>
      <c r="AN821" s="113"/>
      <c r="AO821" s="113"/>
      <c r="AP821" s="113"/>
      <c r="AQ821" s="113"/>
      <c r="AR821" s="46">
        <v>0</v>
      </c>
      <c r="AS821" s="113"/>
      <c r="AT821" s="113"/>
      <c r="AU821" s="113"/>
      <c r="AV821" s="113"/>
      <c r="AW821" s="113"/>
      <c r="AX821" s="46">
        <v>0</v>
      </c>
      <c r="AY821" s="113"/>
      <c r="AZ821" s="113"/>
      <c r="BA821" s="113"/>
      <c r="BB821" s="113"/>
      <c r="BC821" s="113"/>
      <c r="BD821" s="46">
        <v>0</v>
      </c>
      <c r="BE821" s="113"/>
      <c r="BF821" s="113"/>
      <c r="BG821" s="113"/>
      <c r="BH821" s="113"/>
      <c r="BI821" s="113"/>
      <c r="BJ821" s="46">
        <v>0</v>
      </c>
      <c r="BK821" s="113"/>
      <c r="BL821" s="113"/>
      <c r="BM821" s="113"/>
      <c r="BN821" s="113"/>
      <c r="BO821" s="113"/>
      <c r="BP821" s="121"/>
      <c r="BQ821" s="121"/>
      <c r="GA821" t="s">
        <v>114</v>
      </c>
      <c r="GB821" t="s">
        <v>22964</v>
      </c>
      <c r="GC821" s="46">
        <v>0</v>
      </c>
      <c r="GD821" s="113"/>
      <c r="GE821" s="113"/>
      <c r="GF821" s="113"/>
      <c r="GG821" s="113"/>
      <c r="GH821" s="113"/>
      <c r="GI821" s="46">
        <v>0</v>
      </c>
      <c r="GJ821" s="113"/>
      <c r="GK821" s="113"/>
      <c r="GL821" s="113"/>
      <c r="GM821" s="113"/>
      <c r="GN821" s="113"/>
      <c r="GO821" s="46">
        <v>0</v>
      </c>
      <c r="GP821" s="113"/>
      <c r="GQ821" s="113"/>
      <c r="GR821" s="113"/>
      <c r="GS821" s="113"/>
      <c r="GT821" s="113"/>
      <c r="GU821" s="46">
        <v>0</v>
      </c>
      <c r="GV821" s="113"/>
      <c r="GW821" s="113"/>
      <c r="GX821" s="113"/>
      <c r="GY821" s="113"/>
      <c r="GZ821" s="113"/>
      <c r="HA821" s="46">
        <v>0</v>
      </c>
      <c r="HB821" s="113"/>
      <c r="HC821" s="113"/>
      <c r="HD821" s="113"/>
      <c r="HE821" s="113"/>
      <c r="HF821" s="113"/>
      <c r="HG821" s="46">
        <v>0</v>
      </c>
      <c r="HH821" s="113"/>
      <c r="HI821" s="113"/>
      <c r="HJ821" s="113"/>
      <c r="HK821" s="113"/>
      <c r="HL821" s="113"/>
      <c r="HM821" s="121"/>
      <c r="HN821" s="121"/>
      <c r="LM821" t="str">
        <v/>
      </c>
      <c r="LN821" t="str">
        <v/>
      </c>
      <c r="LO821" t="str">
        <v/>
      </c>
    </row>
    <row r="822" spans="30:327">
      <c r="AD822" t="s">
        <v>114</v>
      </c>
      <c r="AE822" t="s">
        <v>22965</v>
      </c>
      <c r="AF822" s="46">
        <v>0</v>
      </c>
      <c r="AG822" s="113"/>
      <c r="AH822" s="113"/>
      <c r="AI822" s="113"/>
      <c r="AJ822" s="113"/>
      <c r="AK822" s="113"/>
      <c r="AL822" s="46">
        <v>0</v>
      </c>
      <c r="AM822" s="113"/>
      <c r="AN822" s="113"/>
      <c r="AO822" s="113"/>
      <c r="AP822" s="113"/>
      <c r="AQ822" s="113"/>
      <c r="AR822" s="46">
        <v>0</v>
      </c>
      <c r="AS822" s="113"/>
      <c r="AT822" s="113"/>
      <c r="AU822" s="113"/>
      <c r="AV822" s="113"/>
      <c r="AW822" s="113"/>
      <c r="AX822" s="46">
        <v>0</v>
      </c>
      <c r="AY822" s="113"/>
      <c r="AZ822" s="113"/>
      <c r="BA822" s="113"/>
      <c r="BB822" s="113"/>
      <c r="BC822" s="113"/>
      <c r="BD822" s="46">
        <v>0</v>
      </c>
      <c r="BE822" s="113"/>
      <c r="BF822" s="113"/>
      <c r="BG822" s="113"/>
      <c r="BH822" s="113"/>
      <c r="BI822" s="113"/>
      <c r="BJ822" s="46">
        <v>0</v>
      </c>
      <c r="BK822" s="113"/>
      <c r="BL822" s="113"/>
      <c r="BM822" s="113"/>
      <c r="BN822" s="113"/>
      <c r="BO822" s="113"/>
      <c r="BP822" s="121"/>
      <c r="BQ822" s="121"/>
      <c r="GA822" t="s">
        <v>114</v>
      </c>
      <c r="GB822" t="s">
        <v>22965</v>
      </c>
      <c r="GC822" s="46">
        <v>0</v>
      </c>
      <c r="GD822" s="113"/>
      <c r="GE822" s="113"/>
      <c r="GF822" s="113"/>
      <c r="GG822" s="113"/>
      <c r="GH822" s="113"/>
      <c r="GI822" s="46">
        <v>0</v>
      </c>
      <c r="GJ822" s="113"/>
      <c r="GK822" s="113"/>
      <c r="GL822" s="113"/>
      <c r="GM822" s="113"/>
      <c r="GN822" s="113"/>
      <c r="GO822" s="46">
        <v>0</v>
      </c>
      <c r="GP822" s="113"/>
      <c r="GQ822" s="113"/>
      <c r="GR822" s="113"/>
      <c r="GS822" s="113"/>
      <c r="GT822" s="113"/>
      <c r="GU822" s="46">
        <v>0</v>
      </c>
      <c r="GV822" s="113"/>
      <c r="GW822" s="113"/>
      <c r="GX822" s="113"/>
      <c r="GY822" s="113"/>
      <c r="GZ822" s="113"/>
      <c r="HA822" s="46">
        <v>0</v>
      </c>
      <c r="HB822" s="113"/>
      <c r="HC822" s="113"/>
      <c r="HD822" s="113"/>
      <c r="HE822" s="113"/>
      <c r="HF822" s="113"/>
      <c r="HG822" s="46">
        <v>0</v>
      </c>
      <c r="HH822" s="113"/>
      <c r="HI822" s="113"/>
      <c r="HJ822" s="113"/>
      <c r="HK822" s="113"/>
      <c r="HL822" s="113"/>
      <c r="HM822" s="121"/>
      <c r="HN822" s="121"/>
      <c r="LM822" t="str">
        <v/>
      </c>
      <c r="LN822" t="str">
        <v/>
      </c>
      <c r="LO822" t="str">
        <v/>
      </c>
    </row>
    <row r="823" spans="30:327">
      <c r="AD823" t="s">
        <v>114</v>
      </c>
      <c r="AE823" t="s">
        <v>22966</v>
      </c>
      <c r="AF823" s="46">
        <v>0</v>
      </c>
      <c r="AG823" s="113"/>
      <c r="AH823" s="113"/>
      <c r="AI823" s="113"/>
      <c r="AJ823" s="113"/>
      <c r="AK823" s="113"/>
      <c r="AL823" s="46">
        <v>0</v>
      </c>
      <c r="AM823" s="113"/>
      <c r="AN823" s="113"/>
      <c r="AO823" s="113"/>
      <c r="AP823" s="113"/>
      <c r="AQ823" s="113"/>
      <c r="AR823" s="46">
        <v>0</v>
      </c>
      <c r="AS823" s="113"/>
      <c r="AT823" s="113"/>
      <c r="AU823" s="113"/>
      <c r="AV823" s="113"/>
      <c r="AW823" s="113"/>
      <c r="AX823" s="46">
        <v>0</v>
      </c>
      <c r="AY823" s="113"/>
      <c r="AZ823" s="113"/>
      <c r="BA823" s="113"/>
      <c r="BB823" s="113"/>
      <c r="BC823" s="113"/>
      <c r="BD823" s="46">
        <v>0</v>
      </c>
      <c r="BE823" s="113"/>
      <c r="BF823" s="113"/>
      <c r="BG823" s="113"/>
      <c r="BH823" s="113"/>
      <c r="BI823" s="113"/>
      <c r="BJ823" s="46">
        <v>0</v>
      </c>
      <c r="BK823" s="113"/>
      <c r="BL823" s="113"/>
      <c r="BM823" s="113"/>
      <c r="BN823" s="113"/>
      <c r="BO823" s="113"/>
      <c r="BP823" s="121"/>
      <c r="BQ823" s="121"/>
      <c r="GA823" t="s">
        <v>114</v>
      </c>
      <c r="GB823" t="s">
        <v>22966</v>
      </c>
      <c r="GC823" s="46">
        <v>0</v>
      </c>
      <c r="GD823" s="113"/>
      <c r="GE823" s="113"/>
      <c r="GF823" s="113"/>
      <c r="GG823" s="113"/>
      <c r="GH823" s="113"/>
      <c r="GI823" s="46">
        <v>0</v>
      </c>
      <c r="GJ823" s="113"/>
      <c r="GK823" s="113"/>
      <c r="GL823" s="113"/>
      <c r="GM823" s="113"/>
      <c r="GN823" s="113"/>
      <c r="GO823" s="46">
        <v>0</v>
      </c>
      <c r="GP823" s="113"/>
      <c r="GQ823" s="113"/>
      <c r="GR823" s="113"/>
      <c r="GS823" s="113"/>
      <c r="GT823" s="113"/>
      <c r="GU823" s="46">
        <v>0</v>
      </c>
      <c r="GV823" s="113"/>
      <c r="GW823" s="113"/>
      <c r="GX823" s="113"/>
      <c r="GY823" s="113"/>
      <c r="GZ823" s="113"/>
      <c r="HA823" s="46">
        <v>0</v>
      </c>
      <c r="HB823" s="113"/>
      <c r="HC823" s="113"/>
      <c r="HD823" s="113"/>
      <c r="HE823" s="113"/>
      <c r="HF823" s="113"/>
      <c r="HG823" s="46">
        <v>0</v>
      </c>
      <c r="HH823" s="113"/>
      <c r="HI823" s="113"/>
      <c r="HJ823" s="113"/>
      <c r="HK823" s="113"/>
      <c r="HL823" s="113"/>
      <c r="HM823" s="121"/>
      <c r="HN823" s="121"/>
      <c r="LM823" t="str">
        <v/>
      </c>
      <c r="LN823" t="str">
        <v/>
      </c>
      <c r="LO823" t="str">
        <v/>
      </c>
    </row>
    <row r="824" spans="30:327">
      <c r="AD824" t="s">
        <v>114</v>
      </c>
      <c r="AE824" t="s">
        <v>22967</v>
      </c>
      <c r="AF824" s="46">
        <v>0</v>
      </c>
      <c r="AG824" s="113"/>
      <c r="AH824" s="113"/>
      <c r="AI824" s="113"/>
      <c r="AJ824" s="113"/>
      <c r="AK824" s="113"/>
      <c r="AL824" s="46">
        <v>0</v>
      </c>
      <c r="AM824" s="113"/>
      <c r="AN824" s="113"/>
      <c r="AO824" s="113"/>
      <c r="AP824" s="113"/>
      <c r="AQ824" s="113"/>
      <c r="AR824" s="46">
        <v>0</v>
      </c>
      <c r="AS824" s="113"/>
      <c r="AT824" s="113"/>
      <c r="AU824" s="113"/>
      <c r="AV824" s="113"/>
      <c r="AW824" s="113"/>
      <c r="AX824" s="46">
        <v>0</v>
      </c>
      <c r="AY824" s="113"/>
      <c r="AZ824" s="113"/>
      <c r="BA824" s="113"/>
      <c r="BB824" s="113"/>
      <c r="BC824" s="113"/>
      <c r="BD824" s="46">
        <v>0</v>
      </c>
      <c r="BE824" s="113"/>
      <c r="BF824" s="113"/>
      <c r="BG824" s="113"/>
      <c r="BH824" s="113"/>
      <c r="BI824" s="113"/>
      <c r="BJ824" s="46">
        <v>0</v>
      </c>
      <c r="BK824" s="113"/>
      <c r="BL824" s="113"/>
      <c r="BM824" s="113"/>
      <c r="BN824" s="113"/>
      <c r="BO824" s="113"/>
      <c r="BP824" s="121"/>
      <c r="BQ824" s="121"/>
      <c r="GA824" t="s">
        <v>114</v>
      </c>
      <c r="GB824" t="s">
        <v>22967</v>
      </c>
      <c r="GC824" s="46">
        <v>0</v>
      </c>
      <c r="GD824" s="113"/>
      <c r="GE824" s="113"/>
      <c r="GF824" s="113"/>
      <c r="GG824" s="113"/>
      <c r="GH824" s="113"/>
      <c r="GI824" s="46">
        <v>0</v>
      </c>
      <c r="GJ824" s="113"/>
      <c r="GK824" s="113"/>
      <c r="GL824" s="113"/>
      <c r="GM824" s="113"/>
      <c r="GN824" s="113"/>
      <c r="GO824" s="46">
        <v>0</v>
      </c>
      <c r="GP824" s="113"/>
      <c r="GQ824" s="113"/>
      <c r="GR824" s="113"/>
      <c r="GS824" s="113"/>
      <c r="GT824" s="113"/>
      <c r="GU824" s="46">
        <v>0</v>
      </c>
      <c r="GV824" s="113"/>
      <c r="GW824" s="113"/>
      <c r="GX824" s="113"/>
      <c r="GY824" s="113"/>
      <c r="GZ824" s="113"/>
      <c r="HA824" s="46">
        <v>0</v>
      </c>
      <c r="HB824" s="113"/>
      <c r="HC824" s="113"/>
      <c r="HD824" s="113"/>
      <c r="HE824" s="113"/>
      <c r="HF824" s="113"/>
      <c r="HG824" s="46">
        <v>0</v>
      </c>
      <c r="HH824" s="113"/>
      <c r="HI824" s="113"/>
      <c r="HJ824" s="113"/>
      <c r="HK824" s="113"/>
      <c r="HL824" s="113"/>
      <c r="HM824" s="121"/>
      <c r="HN824" s="121"/>
      <c r="LM824" t="str">
        <v/>
      </c>
      <c r="LN824" t="str">
        <v/>
      </c>
      <c r="LO824" t="str">
        <v/>
      </c>
    </row>
    <row r="825" spans="30:327">
      <c r="AD825" t="s">
        <v>114</v>
      </c>
      <c r="AE825" t="s">
        <v>22968</v>
      </c>
      <c r="AF825" s="46">
        <v>0</v>
      </c>
      <c r="AG825" s="113"/>
      <c r="AH825" s="113"/>
      <c r="AI825" s="113"/>
      <c r="AJ825" s="113"/>
      <c r="AK825" s="113"/>
      <c r="AL825" s="46">
        <v>0</v>
      </c>
      <c r="AM825" s="113"/>
      <c r="AN825" s="113"/>
      <c r="AO825" s="113"/>
      <c r="AP825" s="113"/>
      <c r="AQ825" s="113"/>
      <c r="AR825" s="46">
        <v>0</v>
      </c>
      <c r="AS825" s="113"/>
      <c r="AT825" s="113"/>
      <c r="AU825" s="113"/>
      <c r="AV825" s="113"/>
      <c r="AW825" s="113"/>
      <c r="AX825" s="46">
        <v>0</v>
      </c>
      <c r="AY825" s="113"/>
      <c r="AZ825" s="113"/>
      <c r="BA825" s="113"/>
      <c r="BB825" s="113"/>
      <c r="BC825" s="113"/>
      <c r="BD825" s="46">
        <v>0</v>
      </c>
      <c r="BE825" s="113"/>
      <c r="BF825" s="113"/>
      <c r="BG825" s="113"/>
      <c r="BH825" s="113"/>
      <c r="BI825" s="113"/>
      <c r="BJ825" s="46">
        <v>0</v>
      </c>
      <c r="BK825" s="113"/>
      <c r="BL825" s="113"/>
      <c r="BM825" s="113"/>
      <c r="BN825" s="113"/>
      <c r="BO825" s="113"/>
      <c r="BP825" s="121"/>
      <c r="BQ825" s="121"/>
      <c r="GA825" t="s">
        <v>114</v>
      </c>
      <c r="GB825" t="s">
        <v>22968</v>
      </c>
      <c r="GC825" s="46">
        <v>0</v>
      </c>
      <c r="GD825" s="113"/>
      <c r="GE825" s="113"/>
      <c r="GF825" s="113"/>
      <c r="GG825" s="113"/>
      <c r="GH825" s="113"/>
      <c r="GI825" s="46">
        <v>0</v>
      </c>
      <c r="GJ825" s="113"/>
      <c r="GK825" s="113"/>
      <c r="GL825" s="113"/>
      <c r="GM825" s="113"/>
      <c r="GN825" s="113"/>
      <c r="GO825" s="46">
        <v>0</v>
      </c>
      <c r="GP825" s="113"/>
      <c r="GQ825" s="113"/>
      <c r="GR825" s="113"/>
      <c r="GS825" s="113"/>
      <c r="GT825" s="113"/>
      <c r="GU825" s="46">
        <v>0</v>
      </c>
      <c r="GV825" s="113"/>
      <c r="GW825" s="113"/>
      <c r="GX825" s="113"/>
      <c r="GY825" s="113"/>
      <c r="GZ825" s="113"/>
      <c r="HA825" s="46">
        <v>0</v>
      </c>
      <c r="HB825" s="113"/>
      <c r="HC825" s="113"/>
      <c r="HD825" s="113"/>
      <c r="HE825" s="113"/>
      <c r="HF825" s="113"/>
      <c r="HG825" s="46">
        <v>0</v>
      </c>
      <c r="HH825" s="113"/>
      <c r="HI825" s="113"/>
      <c r="HJ825" s="113"/>
      <c r="HK825" s="113"/>
      <c r="HL825" s="113"/>
      <c r="HM825" s="121"/>
      <c r="HN825" s="121"/>
      <c r="LM825" t="str">
        <v/>
      </c>
      <c r="LN825" t="str">
        <v/>
      </c>
      <c r="LO825" t="str">
        <v/>
      </c>
    </row>
    <row r="826" spans="30:327">
      <c r="AD826" t="s">
        <v>114</v>
      </c>
      <c r="AE826" t="s">
        <v>22969</v>
      </c>
      <c r="AF826" s="46">
        <v>0</v>
      </c>
      <c r="AG826" s="113"/>
      <c r="AH826" s="113"/>
      <c r="AI826" s="113"/>
      <c r="AJ826" s="113"/>
      <c r="AK826" s="113"/>
      <c r="AL826" s="46">
        <v>0</v>
      </c>
      <c r="AM826" s="113"/>
      <c r="AN826" s="113"/>
      <c r="AO826" s="113"/>
      <c r="AP826" s="113"/>
      <c r="AQ826" s="113"/>
      <c r="AR826" s="46">
        <v>0</v>
      </c>
      <c r="AS826" s="113"/>
      <c r="AT826" s="113"/>
      <c r="AU826" s="113"/>
      <c r="AV826" s="113"/>
      <c r="AW826" s="113"/>
      <c r="AX826" s="46">
        <v>0</v>
      </c>
      <c r="AY826" s="113"/>
      <c r="AZ826" s="113"/>
      <c r="BA826" s="113"/>
      <c r="BB826" s="113"/>
      <c r="BC826" s="113"/>
      <c r="BD826" s="46">
        <v>0</v>
      </c>
      <c r="BE826" s="113"/>
      <c r="BF826" s="113"/>
      <c r="BG826" s="113"/>
      <c r="BH826" s="113"/>
      <c r="BI826" s="113"/>
      <c r="BJ826" s="46">
        <v>0</v>
      </c>
      <c r="BK826" s="113"/>
      <c r="BL826" s="113"/>
      <c r="BM826" s="113"/>
      <c r="BN826" s="113"/>
      <c r="BO826" s="113"/>
      <c r="BP826" s="121"/>
      <c r="BQ826" s="121"/>
      <c r="GA826" t="s">
        <v>114</v>
      </c>
      <c r="GB826" t="s">
        <v>22969</v>
      </c>
      <c r="GC826" s="46">
        <v>0</v>
      </c>
      <c r="GD826" s="113"/>
      <c r="GE826" s="113"/>
      <c r="GF826" s="113"/>
      <c r="GG826" s="113"/>
      <c r="GH826" s="113"/>
      <c r="GI826" s="46">
        <v>0</v>
      </c>
      <c r="GJ826" s="113"/>
      <c r="GK826" s="113"/>
      <c r="GL826" s="113"/>
      <c r="GM826" s="113"/>
      <c r="GN826" s="113"/>
      <c r="GO826" s="46">
        <v>0</v>
      </c>
      <c r="GP826" s="113"/>
      <c r="GQ826" s="113"/>
      <c r="GR826" s="113"/>
      <c r="GS826" s="113"/>
      <c r="GT826" s="113"/>
      <c r="GU826" s="46">
        <v>0</v>
      </c>
      <c r="GV826" s="113"/>
      <c r="GW826" s="113"/>
      <c r="GX826" s="113"/>
      <c r="GY826" s="113"/>
      <c r="GZ826" s="113"/>
      <c r="HA826" s="46">
        <v>0</v>
      </c>
      <c r="HB826" s="113"/>
      <c r="HC826" s="113"/>
      <c r="HD826" s="113"/>
      <c r="HE826" s="113"/>
      <c r="HF826" s="113"/>
      <c r="HG826" s="46">
        <v>0</v>
      </c>
      <c r="HH826" s="113"/>
      <c r="HI826" s="113"/>
      <c r="HJ826" s="113"/>
      <c r="HK826" s="113"/>
      <c r="HL826" s="113"/>
      <c r="HM826" s="121"/>
      <c r="HN826" s="121"/>
      <c r="LM826" t="str">
        <v/>
      </c>
      <c r="LN826" t="str">
        <v/>
      </c>
      <c r="LO826" t="str">
        <v/>
      </c>
    </row>
    <row r="827" spans="30:327">
      <c r="AD827" t="s">
        <v>114</v>
      </c>
      <c r="AE827" t="s">
        <v>22970</v>
      </c>
      <c r="AF827" s="46">
        <v>0</v>
      </c>
      <c r="AG827" s="113"/>
      <c r="AH827" s="113"/>
      <c r="AI827" s="113"/>
      <c r="AJ827" s="113"/>
      <c r="AK827" s="113"/>
      <c r="AL827" s="46">
        <v>0</v>
      </c>
      <c r="AM827" s="113"/>
      <c r="AN827" s="113"/>
      <c r="AO827" s="113"/>
      <c r="AP827" s="113"/>
      <c r="AQ827" s="113"/>
      <c r="AR827" s="46">
        <v>0</v>
      </c>
      <c r="AS827" s="113"/>
      <c r="AT827" s="113"/>
      <c r="AU827" s="113"/>
      <c r="AV827" s="113"/>
      <c r="AW827" s="113"/>
      <c r="AX827" s="46">
        <v>0</v>
      </c>
      <c r="AY827" s="113"/>
      <c r="AZ827" s="113"/>
      <c r="BA827" s="113"/>
      <c r="BB827" s="113"/>
      <c r="BC827" s="113"/>
      <c r="BD827" s="46">
        <v>0</v>
      </c>
      <c r="BE827" s="113"/>
      <c r="BF827" s="113"/>
      <c r="BG827" s="113"/>
      <c r="BH827" s="113"/>
      <c r="BI827" s="113"/>
      <c r="BJ827" s="46">
        <v>0</v>
      </c>
      <c r="BK827" s="113"/>
      <c r="BL827" s="113"/>
      <c r="BM827" s="113"/>
      <c r="BN827" s="113"/>
      <c r="BO827" s="113"/>
      <c r="BP827" s="121"/>
      <c r="BQ827" s="121"/>
      <c r="GA827" t="s">
        <v>114</v>
      </c>
      <c r="GB827" t="s">
        <v>22970</v>
      </c>
      <c r="GC827" s="46">
        <v>0</v>
      </c>
      <c r="GD827" s="113"/>
      <c r="GE827" s="113"/>
      <c r="GF827" s="113"/>
      <c r="GG827" s="113"/>
      <c r="GH827" s="113"/>
      <c r="GI827" s="46">
        <v>0</v>
      </c>
      <c r="GJ827" s="113"/>
      <c r="GK827" s="113"/>
      <c r="GL827" s="113"/>
      <c r="GM827" s="113"/>
      <c r="GN827" s="113"/>
      <c r="GO827" s="46">
        <v>0</v>
      </c>
      <c r="GP827" s="113"/>
      <c r="GQ827" s="113"/>
      <c r="GR827" s="113"/>
      <c r="GS827" s="113"/>
      <c r="GT827" s="113"/>
      <c r="GU827" s="46">
        <v>0</v>
      </c>
      <c r="GV827" s="113"/>
      <c r="GW827" s="113"/>
      <c r="GX827" s="113"/>
      <c r="GY827" s="113"/>
      <c r="GZ827" s="113"/>
      <c r="HA827" s="46">
        <v>0</v>
      </c>
      <c r="HB827" s="113"/>
      <c r="HC827" s="113"/>
      <c r="HD827" s="113"/>
      <c r="HE827" s="113"/>
      <c r="HF827" s="113"/>
      <c r="HG827" s="46">
        <v>0</v>
      </c>
      <c r="HH827" s="113"/>
      <c r="HI827" s="113"/>
      <c r="HJ827" s="113"/>
      <c r="HK827" s="113"/>
      <c r="HL827" s="113"/>
      <c r="HM827" s="121"/>
      <c r="HN827" s="121"/>
      <c r="LM827" t="str">
        <v/>
      </c>
      <c r="LN827" t="str">
        <v/>
      </c>
      <c r="LO827" t="str">
        <v/>
      </c>
    </row>
    <row r="828" spans="30:327">
      <c r="AD828" t="s">
        <v>114</v>
      </c>
      <c r="AE828" t="s">
        <v>22971</v>
      </c>
      <c r="AF828" s="46">
        <v>0</v>
      </c>
      <c r="AG828" s="113"/>
      <c r="AH828" s="113"/>
      <c r="AI828" s="113"/>
      <c r="AJ828" s="113"/>
      <c r="AK828" s="113"/>
      <c r="AL828" s="46">
        <v>0</v>
      </c>
      <c r="AM828" s="113"/>
      <c r="AN828" s="113"/>
      <c r="AO828" s="113"/>
      <c r="AP828" s="113"/>
      <c r="AQ828" s="113"/>
      <c r="AR828" s="46">
        <v>0</v>
      </c>
      <c r="AS828" s="113"/>
      <c r="AT828" s="113"/>
      <c r="AU828" s="113"/>
      <c r="AV828" s="113"/>
      <c r="AW828" s="113"/>
      <c r="AX828" s="46">
        <v>0</v>
      </c>
      <c r="AY828" s="113"/>
      <c r="AZ828" s="113"/>
      <c r="BA828" s="113"/>
      <c r="BB828" s="113"/>
      <c r="BC828" s="113"/>
      <c r="BD828" s="46">
        <v>0</v>
      </c>
      <c r="BE828" s="113"/>
      <c r="BF828" s="113"/>
      <c r="BG828" s="113"/>
      <c r="BH828" s="113"/>
      <c r="BI828" s="113"/>
      <c r="BJ828" s="46">
        <v>0</v>
      </c>
      <c r="BK828" s="113"/>
      <c r="BL828" s="113"/>
      <c r="BM828" s="113"/>
      <c r="BN828" s="113"/>
      <c r="BO828" s="113"/>
      <c r="BP828" s="121"/>
      <c r="BQ828" s="121"/>
      <c r="GA828" t="s">
        <v>114</v>
      </c>
      <c r="GB828" t="s">
        <v>22971</v>
      </c>
      <c r="GC828" s="46">
        <v>0</v>
      </c>
      <c r="GD828" s="113"/>
      <c r="GE828" s="113"/>
      <c r="GF828" s="113"/>
      <c r="GG828" s="113"/>
      <c r="GH828" s="113"/>
      <c r="GI828" s="46">
        <v>0</v>
      </c>
      <c r="GJ828" s="113"/>
      <c r="GK828" s="113"/>
      <c r="GL828" s="113"/>
      <c r="GM828" s="113"/>
      <c r="GN828" s="113"/>
      <c r="GO828" s="46">
        <v>0</v>
      </c>
      <c r="GP828" s="113"/>
      <c r="GQ828" s="113"/>
      <c r="GR828" s="113"/>
      <c r="GS828" s="113"/>
      <c r="GT828" s="113"/>
      <c r="GU828" s="46">
        <v>0</v>
      </c>
      <c r="GV828" s="113"/>
      <c r="GW828" s="113"/>
      <c r="GX828" s="113"/>
      <c r="GY828" s="113"/>
      <c r="GZ828" s="113"/>
      <c r="HA828" s="46">
        <v>0</v>
      </c>
      <c r="HB828" s="113"/>
      <c r="HC828" s="113"/>
      <c r="HD828" s="113"/>
      <c r="HE828" s="113"/>
      <c r="HF828" s="113"/>
      <c r="HG828" s="46">
        <v>0</v>
      </c>
      <c r="HH828" s="113"/>
      <c r="HI828" s="113"/>
      <c r="HJ828" s="113"/>
      <c r="HK828" s="113"/>
      <c r="HL828" s="113"/>
      <c r="HM828" s="121"/>
      <c r="HN828" s="121"/>
      <c r="LM828" t="str">
        <v/>
      </c>
      <c r="LN828" t="str">
        <v/>
      </c>
      <c r="LO828" t="str">
        <v/>
      </c>
    </row>
    <row r="829" spans="30:327">
      <c r="AD829" t="s">
        <v>114</v>
      </c>
      <c r="AE829" t="s">
        <v>22972</v>
      </c>
      <c r="AF829" s="46">
        <v>0</v>
      </c>
      <c r="AG829" s="113"/>
      <c r="AH829" s="113"/>
      <c r="AI829" s="113"/>
      <c r="AJ829" s="113"/>
      <c r="AK829" s="113"/>
      <c r="AL829" s="46">
        <v>0</v>
      </c>
      <c r="AM829" s="113"/>
      <c r="AN829" s="113"/>
      <c r="AO829" s="113"/>
      <c r="AP829" s="113"/>
      <c r="AQ829" s="113"/>
      <c r="AR829" s="46">
        <v>0</v>
      </c>
      <c r="AS829" s="113"/>
      <c r="AT829" s="113"/>
      <c r="AU829" s="113"/>
      <c r="AV829" s="113"/>
      <c r="AW829" s="113"/>
      <c r="AX829" s="46">
        <v>0</v>
      </c>
      <c r="AY829" s="113"/>
      <c r="AZ829" s="113"/>
      <c r="BA829" s="113"/>
      <c r="BB829" s="113"/>
      <c r="BC829" s="113"/>
      <c r="BD829" s="46">
        <v>0</v>
      </c>
      <c r="BE829" s="113"/>
      <c r="BF829" s="113"/>
      <c r="BG829" s="113"/>
      <c r="BH829" s="113"/>
      <c r="BI829" s="113"/>
      <c r="BJ829" s="46">
        <v>0</v>
      </c>
      <c r="BK829" s="113"/>
      <c r="BL829" s="113"/>
      <c r="BM829" s="113"/>
      <c r="BN829" s="113"/>
      <c r="BO829" s="113"/>
      <c r="BP829" s="121"/>
      <c r="BQ829" s="121"/>
      <c r="GA829" t="s">
        <v>114</v>
      </c>
      <c r="GB829" t="s">
        <v>22972</v>
      </c>
      <c r="GC829" s="46">
        <v>0</v>
      </c>
      <c r="GD829" s="113"/>
      <c r="GE829" s="113"/>
      <c r="GF829" s="113"/>
      <c r="GG829" s="113"/>
      <c r="GH829" s="113"/>
      <c r="GI829" s="46">
        <v>0</v>
      </c>
      <c r="GJ829" s="113"/>
      <c r="GK829" s="113"/>
      <c r="GL829" s="113"/>
      <c r="GM829" s="113"/>
      <c r="GN829" s="113"/>
      <c r="GO829" s="46">
        <v>0</v>
      </c>
      <c r="GP829" s="113"/>
      <c r="GQ829" s="113"/>
      <c r="GR829" s="113"/>
      <c r="GS829" s="113"/>
      <c r="GT829" s="113"/>
      <c r="GU829" s="46">
        <v>0</v>
      </c>
      <c r="GV829" s="113"/>
      <c r="GW829" s="113"/>
      <c r="GX829" s="113"/>
      <c r="GY829" s="113"/>
      <c r="GZ829" s="113"/>
      <c r="HA829" s="46">
        <v>0</v>
      </c>
      <c r="HB829" s="113"/>
      <c r="HC829" s="113"/>
      <c r="HD829" s="113"/>
      <c r="HE829" s="113"/>
      <c r="HF829" s="113"/>
      <c r="HG829" s="46">
        <v>0</v>
      </c>
      <c r="HH829" s="113"/>
      <c r="HI829" s="113"/>
      <c r="HJ829" s="113"/>
      <c r="HK829" s="113"/>
      <c r="HL829" s="113"/>
      <c r="HM829" s="121"/>
      <c r="HN829" s="121"/>
      <c r="LM829" t="str">
        <v/>
      </c>
      <c r="LN829" t="str">
        <v/>
      </c>
      <c r="LO829" t="str">
        <v/>
      </c>
    </row>
    <row r="830" spans="30:327">
      <c r="AD830" t="s">
        <v>114</v>
      </c>
      <c r="AE830" t="s">
        <v>22973</v>
      </c>
      <c r="AF830" s="46">
        <v>0</v>
      </c>
      <c r="AG830" s="113"/>
      <c r="AH830" s="113"/>
      <c r="AI830" s="113"/>
      <c r="AJ830" s="113"/>
      <c r="AK830" s="113"/>
      <c r="AL830" s="46">
        <v>0</v>
      </c>
      <c r="AM830" s="113"/>
      <c r="AN830" s="113"/>
      <c r="AO830" s="113"/>
      <c r="AP830" s="113"/>
      <c r="AQ830" s="113"/>
      <c r="AR830" s="46">
        <v>0</v>
      </c>
      <c r="AS830" s="113"/>
      <c r="AT830" s="113"/>
      <c r="AU830" s="113"/>
      <c r="AV830" s="113"/>
      <c r="AW830" s="113"/>
      <c r="AX830" s="46">
        <v>0</v>
      </c>
      <c r="AY830" s="113"/>
      <c r="AZ830" s="113"/>
      <c r="BA830" s="113"/>
      <c r="BB830" s="113"/>
      <c r="BC830" s="113"/>
      <c r="BD830" s="46">
        <v>0</v>
      </c>
      <c r="BE830" s="113"/>
      <c r="BF830" s="113"/>
      <c r="BG830" s="113"/>
      <c r="BH830" s="113"/>
      <c r="BI830" s="113"/>
      <c r="BJ830" s="46">
        <v>0</v>
      </c>
      <c r="BK830" s="113"/>
      <c r="BL830" s="113"/>
      <c r="BM830" s="113"/>
      <c r="BN830" s="113"/>
      <c r="BO830" s="113"/>
      <c r="BP830" s="121"/>
      <c r="BQ830" s="121"/>
      <c r="GA830" t="s">
        <v>114</v>
      </c>
      <c r="GB830" t="s">
        <v>22973</v>
      </c>
      <c r="GC830" s="46">
        <v>0</v>
      </c>
      <c r="GD830" s="113"/>
      <c r="GE830" s="113"/>
      <c r="GF830" s="113"/>
      <c r="GG830" s="113"/>
      <c r="GH830" s="113"/>
      <c r="GI830" s="46">
        <v>0</v>
      </c>
      <c r="GJ830" s="113"/>
      <c r="GK830" s="113"/>
      <c r="GL830" s="113"/>
      <c r="GM830" s="113"/>
      <c r="GN830" s="113"/>
      <c r="GO830" s="46">
        <v>0</v>
      </c>
      <c r="GP830" s="113"/>
      <c r="GQ830" s="113"/>
      <c r="GR830" s="113"/>
      <c r="GS830" s="113"/>
      <c r="GT830" s="113"/>
      <c r="GU830" s="46">
        <v>0</v>
      </c>
      <c r="GV830" s="113"/>
      <c r="GW830" s="113"/>
      <c r="GX830" s="113"/>
      <c r="GY830" s="113"/>
      <c r="GZ830" s="113"/>
      <c r="HA830" s="46">
        <v>0</v>
      </c>
      <c r="HB830" s="113"/>
      <c r="HC830" s="113"/>
      <c r="HD830" s="113"/>
      <c r="HE830" s="113"/>
      <c r="HF830" s="113"/>
      <c r="HG830" s="46">
        <v>0</v>
      </c>
      <c r="HH830" s="113"/>
      <c r="HI830" s="113"/>
      <c r="HJ830" s="113"/>
      <c r="HK830" s="113"/>
      <c r="HL830" s="113"/>
      <c r="HM830" s="121"/>
      <c r="HN830" s="121"/>
      <c r="LM830" t="str">
        <v/>
      </c>
      <c r="LN830" t="str">
        <v/>
      </c>
      <c r="LO830" t="str">
        <v/>
      </c>
    </row>
    <row r="831" spans="30:327">
      <c r="AD831" t="s">
        <v>114</v>
      </c>
      <c r="AE831" t="s">
        <v>22974</v>
      </c>
      <c r="AF831" s="46">
        <v>0</v>
      </c>
      <c r="AG831" s="113"/>
      <c r="AH831" s="113"/>
      <c r="AI831" s="113"/>
      <c r="AJ831" s="113"/>
      <c r="AK831" s="113"/>
      <c r="AL831" s="46">
        <v>0</v>
      </c>
      <c r="AM831" s="113"/>
      <c r="AN831" s="113"/>
      <c r="AO831" s="113"/>
      <c r="AP831" s="113"/>
      <c r="AQ831" s="113"/>
      <c r="AR831" s="46">
        <v>0</v>
      </c>
      <c r="AS831" s="113"/>
      <c r="AT831" s="113"/>
      <c r="AU831" s="113"/>
      <c r="AV831" s="113"/>
      <c r="AW831" s="113"/>
      <c r="AX831" s="46">
        <v>0</v>
      </c>
      <c r="AY831" s="113"/>
      <c r="AZ831" s="113"/>
      <c r="BA831" s="113"/>
      <c r="BB831" s="113"/>
      <c r="BC831" s="113"/>
      <c r="BD831" s="46">
        <v>0</v>
      </c>
      <c r="BE831" s="113"/>
      <c r="BF831" s="113"/>
      <c r="BG831" s="113"/>
      <c r="BH831" s="113"/>
      <c r="BI831" s="113"/>
      <c r="BJ831" s="46">
        <v>0</v>
      </c>
      <c r="BK831" s="113"/>
      <c r="BL831" s="113"/>
      <c r="BM831" s="113"/>
      <c r="BN831" s="113"/>
      <c r="BO831" s="113"/>
      <c r="BP831" s="121"/>
      <c r="BQ831" s="121"/>
      <c r="GA831" t="s">
        <v>114</v>
      </c>
      <c r="GB831" t="s">
        <v>22974</v>
      </c>
      <c r="GC831" s="46">
        <v>0</v>
      </c>
      <c r="GD831" s="113"/>
      <c r="GE831" s="113"/>
      <c r="GF831" s="113"/>
      <c r="GG831" s="113"/>
      <c r="GH831" s="113"/>
      <c r="GI831" s="46">
        <v>0</v>
      </c>
      <c r="GJ831" s="113"/>
      <c r="GK831" s="113"/>
      <c r="GL831" s="113"/>
      <c r="GM831" s="113"/>
      <c r="GN831" s="113"/>
      <c r="GO831" s="46">
        <v>0</v>
      </c>
      <c r="GP831" s="113"/>
      <c r="GQ831" s="113"/>
      <c r="GR831" s="113"/>
      <c r="GS831" s="113"/>
      <c r="GT831" s="113"/>
      <c r="GU831" s="46">
        <v>0</v>
      </c>
      <c r="GV831" s="113"/>
      <c r="GW831" s="113"/>
      <c r="GX831" s="113"/>
      <c r="GY831" s="113"/>
      <c r="GZ831" s="113"/>
      <c r="HA831" s="46">
        <v>0</v>
      </c>
      <c r="HB831" s="113"/>
      <c r="HC831" s="113"/>
      <c r="HD831" s="113"/>
      <c r="HE831" s="113"/>
      <c r="HF831" s="113"/>
      <c r="HG831" s="46">
        <v>0</v>
      </c>
      <c r="HH831" s="113"/>
      <c r="HI831" s="113"/>
      <c r="HJ831" s="113"/>
      <c r="HK831" s="113"/>
      <c r="HL831" s="113"/>
      <c r="HM831" s="121"/>
      <c r="HN831" s="121"/>
      <c r="LM831" t="str">
        <v/>
      </c>
      <c r="LN831" t="str">
        <v/>
      </c>
      <c r="LO831" t="str">
        <v/>
      </c>
    </row>
    <row r="832" spans="30:327">
      <c r="AD832" t="s">
        <v>114</v>
      </c>
      <c r="AE832" t="s">
        <v>22975</v>
      </c>
      <c r="AF832" s="46">
        <v>0</v>
      </c>
      <c r="AG832" s="113"/>
      <c r="AH832" s="113"/>
      <c r="AI832" s="113"/>
      <c r="AJ832" s="113"/>
      <c r="AK832" s="113"/>
      <c r="AL832" s="46">
        <v>0</v>
      </c>
      <c r="AM832" s="113"/>
      <c r="AN832" s="113"/>
      <c r="AO832" s="113"/>
      <c r="AP832" s="113"/>
      <c r="AQ832" s="113"/>
      <c r="AR832" s="46">
        <v>0</v>
      </c>
      <c r="AS832" s="113"/>
      <c r="AT832" s="113"/>
      <c r="AU832" s="113"/>
      <c r="AV832" s="113"/>
      <c r="AW832" s="113"/>
      <c r="AX832" s="46">
        <v>0</v>
      </c>
      <c r="AY832" s="113"/>
      <c r="AZ832" s="113"/>
      <c r="BA832" s="113"/>
      <c r="BB832" s="113"/>
      <c r="BC832" s="113"/>
      <c r="BD832" s="46">
        <v>0</v>
      </c>
      <c r="BE832" s="113"/>
      <c r="BF832" s="113"/>
      <c r="BG832" s="113"/>
      <c r="BH832" s="113"/>
      <c r="BI832" s="113"/>
      <c r="BJ832" s="46">
        <v>0</v>
      </c>
      <c r="BK832" s="113"/>
      <c r="BL832" s="113"/>
      <c r="BM832" s="113"/>
      <c r="BN832" s="113"/>
      <c r="BO832" s="113"/>
      <c r="BP832" s="121"/>
      <c r="BQ832" s="121"/>
      <c r="GA832" t="s">
        <v>114</v>
      </c>
      <c r="GB832" t="s">
        <v>22975</v>
      </c>
      <c r="GC832" s="46">
        <v>0</v>
      </c>
      <c r="GD832" s="113"/>
      <c r="GE832" s="113"/>
      <c r="GF832" s="113"/>
      <c r="GG832" s="113"/>
      <c r="GH832" s="113"/>
      <c r="GI832" s="46">
        <v>0</v>
      </c>
      <c r="GJ832" s="113"/>
      <c r="GK832" s="113"/>
      <c r="GL832" s="113"/>
      <c r="GM832" s="113"/>
      <c r="GN832" s="113"/>
      <c r="GO832" s="46">
        <v>0</v>
      </c>
      <c r="GP832" s="113"/>
      <c r="GQ832" s="113"/>
      <c r="GR832" s="113"/>
      <c r="GS832" s="113"/>
      <c r="GT832" s="113"/>
      <c r="GU832" s="46">
        <v>0</v>
      </c>
      <c r="GV832" s="113"/>
      <c r="GW832" s="113"/>
      <c r="GX832" s="113"/>
      <c r="GY832" s="113"/>
      <c r="GZ832" s="113"/>
      <c r="HA832" s="46">
        <v>0</v>
      </c>
      <c r="HB832" s="113"/>
      <c r="HC832" s="113"/>
      <c r="HD832" s="113"/>
      <c r="HE832" s="113"/>
      <c r="HF832" s="113"/>
      <c r="HG832" s="46">
        <v>0</v>
      </c>
      <c r="HH832" s="113"/>
      <c r="HI832" s="113"/>
      <c r="HJ832" s="113"/>
      <c r="HK832" s="113"/>
      <c r="HL832" s="113"/>
      <c r="HM832" s="121"/>
      <c r="HN832" s="121"/>
      <c r="LM832" t="str">
        <v/>
      </c>
      <c r="LN832" t="str">
        <v/>
      </c>
      <c r="LO832" t="str">
        <v/>
      </c>
    </row>
    <row r="833" spans="30:327">
      <c r="AD833" t="s">
        <v>114</v>
      </c>
      <c r="AE833" t="s">
        <v>22976</v>
      </c>
      <c r="AF833" s="46">
        <v>0</v>
      </c>
      <c r="AG833" s="113"/>
      <c r="AH833" s="113"/>
      <c r="AI833" s="113"/>
      <c r="AJ833" s="113"/>
      <c r="AK833" s="113"/>
      <c r="AL833" s="46">
        <v>0</v>
      </c>
      <c r="AM833" s="113"/>
      <c r="AN833" s="113"/>
      <c r="AO833" s="113"/>
      <c r="AP833" s="113"/>
      <c r="AQ833" s="113"/>
      <c r="AR833" s="46">
        <v>0</v>
      </c>
      <c r="AS833" s="113"/>
      <c r="AT833" s="113"/>
      <c r="AU833" s="113"/>
      <c r="AV833" s="113"/>
      <c r="AW833" s="113"/>
      <c r="AX833" s="46">
        <v>0</v>
      </c>
      <c r="AY833" s="113"/>
      <c r="AZ833" s="113"/>
      <c r="BA833" s="113"/>
      <c r="BB833" s="113"/>
      <c r="BC833" s="113"/>
      <c r="BD833" s="46">
        <v>0</v>
      </c>
      <c r="BE833" s="113"/>
      <c r="BF833" s="113"/>
      <c r="BG833" s="113"/>
      <c r="BH833" s="113"/>
      <c r="BI833" s="113"/>
      <c r="BJ833" s="46">
        <v>0</v>
      </c>
      <c r="BK833" s="113"/>
      <c r="BL833" s="113"/>
      <c r="BM833" s="113"/>
      <c r="BN833" s="113"/>
      <c r="BO833" s="113"/>
      <c r="BP833" s="121"/>
      <c r="BQ833" s="121"/>
      <c r="GA833" t="s">
        <v>114</v>
      </c>
      <c r="GB833" t="s">
        <v>22976</v>
      </c>
      <c r="GC833" s="46">
        <v>0</v>
      </c>
      <c r="GD833" s="113"/>
      <c r="GE833" s="113"/>
      <c r="GF833" s="113"/>
      <c r="GG833" s="113"/>
      <c r="GH833" s="113"/>
      <c r="GI833" s="46">
        <v>0</v>
      </c>
      <c r="GJ833" s="113"/>
      <c r="GK833" s="113"/>
      <c r="GL833" s="113"/>
      <c r="GM833" s="113"/>
      <c r="GN833" s="113"/>
      <c r="GO833" s="46">
        <v>0</v>
      </c>
      <c r="GP833" s="113"/>
      <c r="GQ833" s="113"/>
      <c r="GR833" s="113"/>
      <c r="GS833" s="113"/>
      <c r="GT833" s="113"/>
      <c r="GU833" s="46">
        <v>0</v>
      </c>
      <c r="GV833" s="113"/>
      <c r="GW833" s="113"/>
      <c r="GX833" s="113"/>
      <c r="GY833" s="113"/>
      <c r="GZ833" s="113"/>
      <c r="HA833" s="46">
        <v>0</v>
      </c>
      <c r="HB833" s="113"/>
      <c r="HC833" s="113"/>
      <c r="HD833" s="113"/>
      <c r="HE833" s="113"/>
      <c r="HF833" s="113"/>
      <c r="HG833" s="46">
        <v>0</v>
      </c>
      <c r="HH833" s="113"/>
      <c r="HI833" s="113"/>
      <c r="HJ833" s="113"/>
      <c r="HK833" s="113"/>
      <c r="HL833" s="113"/>
      <c r="HM833" s="121"/>
      <c r="HN833" s="121"/>
      <c r="LM833" t="str">
        <v/>
      </c>
      <c r="LN833" t="str">
        <v/>
      </c>
      <c r="LO833" t="str">
        <v/>
      </c>
    </row>
    <row r="834" spans="30:327">
      <c r="AD834" t="s">
        <v>114</v>
      </c>
      <c r="AE834" t="s">
        <v>22977</v>
      </c>
      <c r="AF834" s="46">
        <v>0</v>
      </c>
      <c r="AG834" s="113"/>
      <c r="AH834" s="113"/>
      <c r="AI834" s="113"/>
      <c r="AJ834" s="113"/>
      <c r="AK834" s="113"/>
      <c r="AL834" s="46">
        <v>0</v>
      </c>
      <c r="AM834" s="113"/>
      <c r="AN834" s="113"/>
      <c r="AO834" s="113"/>
      <c r="AP834" s="113"/>
      <c r="AQ834" s="113"/>
      <c r="AR834" s="46">
        <v>0</v>
      </c>
      <c r="AS834" s="113"/>
      <c r="AT834" s="113"/>
      <c r="AU834" s="113"/>
      <c r="AV834" s="113"/>
      <c r="AW834" s="113"/>
      <c r="AX834" s="46">
        <v>0</v>
      </c>
      <c r="AY834" s="113"/>
      <c r="AZ834" s="113"/>
      <c r="BA834" s="113"/>
      <c r="BB834" s="113"/>
      <c r="BC834" s="113"/>
      <c r="BD834" s="46">
        <v>0</v>
      </c>
      <c r="BE834" s="113"/>
      <c r="BF834" s="113"/>
      <c r="BG834" s="113"/>
      <c r="BH834" s="113"/>
      <c r="BI834" s="113"/>
      <c r="BJ834" s="46">
        <v>0</v>
      </c>
      <c r="BK834" s="113"/>
      <c r="BL834" s="113"/>
      <c r="BM834" s="113"/>
      <c r="BN834" s="113"/>
      <c r="BO834" s="113"/>
      <c r="BP834" s="121"/>
      <c r="BQ834" s="121"/>
      <c r="GA834" t="s">
        <v>114</v>
      </c>
      <c r="GB834" t="s">
        <v>22977</v>
      </c>
      <c r="GC834" s="46">
        <v>0</v>
      </c>
      <c r="GD834" s="113"/>
      <c r="GE834" s="113"/>
      <c r="GF834" s="113"/>
      <c r="GG834" s="113"/>
      <c r="GH834" s="113"/>
      <c r="GI834" s="46">
        <v>0</v>
      </c>
      <c r="GJ834" s="113"/>
      <c r="GK834" s="113"/>
      <c r="GL834" s="113"/>
      <c r="GM834" s="113"/>
      <c r="GN834" s="113"/>
      <c r="GO834" s="46">
        <v>0</v>
      </c>
      <c r="GP834" s="113"/>
      <c r="GQ834" s="113"/>
      <c r="GR834" s="113"/>
      <c r="GS834" s="113"/>
      <c r="GT834" s="113"/>
      <c r="GU834" s="46">
        <v>0</v>
      </c>
      <c r="GV834" s="113"/>
      <c r="GW834" s="113"/>
      <c r="GX834" s="113"/>
      <c r="GY834" s="113"/>
      <c r="GZ834" s="113"/>
      <c r="HA834" s="46">
        <v>0</v>
      </c>
      <c r="HB834" s="113"/>
      <c r="HC834" s="113"/>
      <c r="HD834" s="113"/>
      <c r="HE834" s="113"/>
      <c r="HF834" s="113"/>
      <c r="HG834" s="46">
        <v>0</v>
      </c>
      <c r="HH834" s="113"/>
      <c r="HI834" s="113"/>
      <c r="HJ834" s="113"/>
      <c r="HK834" s="113"/>
      <c r="HL834" s="113"/>
      <c r="HM834" s="121"/>
      <c r="HN834" s="121"/>
      <c r="LM834" t="str">
        <v/>
      </c>
      <c r="LN834" t="str">
        <v/>
      </c>
      <c r="LO834" t="str">
        <v/>
      </c>
    </row>
    <row r="835" spans="30:327">
      <c r="AD835" t="s">
        <v>114</v>
      </c>
      <c r="AE835" t="s">
        <v>22978</v>
      </c>
      <c r="AF835" s="46">
        <v>0</v>
      </c>
      <c r="AG835" s="113"/>
      <c r="AH835" s="113"/>
      <c r="AI835" s="113"/>
      <c r="AJ835" s="113"/>
      <c r="AK835" s="113"/>
      <c r="AL835" s="46">
        <v>0</v>
      </c>
      <c r="AM835" s="113"/>
      <c r="AN835" s="113"/>
      <c r="AO835" s="113"/>
      <c r="AP835" s="113"/>
      <c r="AQ835" s="113"/>
      <c r="AR835" s="46">
        <v>0</v>
      </c>
      <c r="AS835" s="113"/>
      <c r="AT835" s="113"/>
      <c r="AU835" s="113"/>
      <c r="AV835" s="113"/>
      <c r="AW835" s="113"/>
      <c r="AX835" s="46">
        <v>0</v>
      </c>
      <c r="AY835" s="113"/>
      <c r="AZ835" s="113"/>
      <c r="BA835" s="113"/>
      <c r="BB835" s="113"/>
      <c r="BC835" s="113"/>
      <c r="BD835" s="46">
        <v>0</v>
      </c>
      <c r="BE835" s="113"/>
      <c r="BF835" s="113"/>
      <c r="BG835" s="113"/>
      <c r="BH835" s="113"/>
      <c r="BI835" s="113"/>
      <c r="BJ835" s="46">
        <v>0</v>
      </c>
      <c r="BK835" s="113"/>
      <c r="BL835" s="113"/>
      <c r="BM835" s="113"/>
      <c r="BN835" s="113"/>
      <c r="BO835" s="113"/>
      <c r="BP835" s="121"/>
      <c r="BQ835" s="121"/>
      <c r="GA835" t="s">
        <v>114</v>
      </c>
      <c r="GB835" t="s">
        <v>22978</v>
      </c>
      <c r="GC835" s="46">
        <v>0</v>
      </c>
      <c r="GD835" s="113"/>
      <c r="GE835" s="113"/>
      <c r="GF835" s="113"/>
      <c r="GG835" s="113"/>
      <c r="GH835" s="113"/>
      <c r="GI835" s="46">
        <v>0</v>
      </c>
      <c r="GJ835" s="113"/>
      <c r="GK835" s="113"/>
      <c r="GL835" s="113"/>
      <c r="GM835" s="113"/>
      <c r="GN835" s="113"/>
      <c r="GO835" s="46">
        <v>0</v>
      </c>
      <c r="GP835" s="113"/>
      <c r="GQ835" s="113"/>
      <c r="GR835" s="113"/>
      <c r="GS835" s="113"/>
      <c r="GT835" s="113"/>
      <c r="GU835" s="46">
        <v>0</v>
      </c>
      <c r="GV835" s="113"/>
      <c r="GW835" s="113"/>
      <c r="GX835" s="113"/>
      <c r="GY835" s="113"/>
      <c r="GZ835" s="113"/>
      <c r="HA835" s="46">
        <v>0</v>
      </c>
      <c r="HB835" s="113"/>
      <c r="HC835" s="113"/>
      <c r="HD835" s="113"/>
      <c r="HE835" s="113"/>
      <c r="HF835" s="113"/>
      <c r="HG835" s="46">
        <v>0</v>
      </c>
      <c r="HH835" s="113"/>
      <c r="HI835" s="113"/>
      <c r="HJ835" s="113"/>
      <c r="HK835" s="113"/>
      <c r="HL835" s="113"/>
      <c r="HM835" s="121"/>
      <c r="HN835" s="121"/>
      <c r="LM835" t="str">
        <v/>
      </c>
      <c r="LN835" t="str">
        <v/>
      </c>
      <c r="LO835" t="str">
        <v/>
      </c>
    </row>
    <row r="836" spans="30:327">
      <c r="AD836" t="s">
        <v>114</v>
      </c>
      <c r="AE836" t="s">
        <v>22979</v>
      </c>
      <c r="AF836" s="46">
        <v>0</v>
      </c>
      <c r="AG836" s="113"/>
      <c r="AH836" s="113"/>
      <c r="AI836" s="113"/>
      <c r="AJ836" s="113"/>
      <c r="AK836" s="113"/>
      <c r="AL836" s="46">
        <v>0</v>
      </c>
      <c r="AM836" s="113"/>
      <c r="AN836" s="113"/>
      <c r="AO836" s="113"/>
      <c r="AP836" s="113"/>
      <c r="AQ836" s="113"/>
      <c r="AR836" s="46">
        <v>0</v>
      </c>
      <c r="AS836" s="113"/>
      <c r="AT836" s="113"/>
      <c r="AU836" s="113"/>
      <c r="AV836" s="113"/>
      <c r="AW836" s="113"/>
      <c r="AX836" s="46">
        <v>0</v>
      </c>
      <c r="AY836" s="113"/>
      <c r="AZ836" s="113"/>
      <c r="BA836" s="113"/>
      <c r="BB836" s="113"/>
      <c r="BC836" s="113"/>
      <c r="BD836" s="46">
        <v>0</v>
      </c>
      <c r="BE836" s="113"/>
      <c r="BF836" s="113"/>
      <c r="BG836" s="113"/>
      <c r="BH836" s="113"/>
      <c r="BI836" s="113"/>
      <c r="BJ836" s="46">
        <v>0</v>
      </c>
      <c r="BK836" s="113"/>
      <c r="BL836" s="113"/>
      <c r="BM836" s="113"/>
      <c r="BN836" s="113"/>
      <c r="BO836" s="113"/>
      <c r="BP836" s="121"/>
      <c r="BQ836" s="121"/>
      <c r="GA836" t="s">
        <v>114</v>
      </c>
      <c r="GB836" t="s">
        <v>22979</v>
      </c>
      <c r="GC836" s="46">
        <v>0</v>
      </c>
      <c r="GD836" s="113"/>
      <c r="GE836" s="113"/>
      <c r="GF836" s="113"/>
      <c r="GG836" s="113"/>
      <c r="GH836" s="113"/>
      <c r="GI836" s="46">
        <v>0</v>
      </c>
      <c r="GJ836" s="113"/>
      <c r="GK836" s="113"/>
      <c r="GL836" s="113"/>
      <c r="GM836" s="113"/>
      <c r="GN836" s="113"/>
      <c r="GO836" s="46">
        <v>0</v>
      </c>
      <c r="GP836" s="113"/>
      <c r="GQ836" s="113"/>
      <c r="GR836" s="113"/>
      <c r="GS836" s="113"/>
      <c r="GT836" s="113"/>
      <c r="GU836" s="46">
        <v>0</v>
      </c>
      <c r="GV836" s="113"/>
      <c r="GW836" s="113"/>
      <c r="GX836" s="113"/>
      <c r="GY836" s="113"/>
      <c r="GZ836" s="113"/>
      <c r="HA836" s="46">
        <v>0</v>
      </c>
      <c r="HB836" s="113"/>
      <c r="HC836" s="113"/>
      <c r="HD836" s="113"/>
      <c r="HE836" s="113"/>
      <c r="HF836" s="113"/>
      <c r="HG836" s="46">
        <v>0</v>
      </c>
      <c r="HH836" s="113"/>
      <c r="HI836" s="113"/>
      <c r="HJ836" s="113"/>
      <c r="HK836" s="113"/>
      <c r="HL836" s="113"/>
      <c r="HM836" s="121"/>
      <c r="HN836" s="121"/>
      <c r="LM836" t="str">
        <v/>
      </c>
      <c r="LN836" t="str">
        <v/>
      </c>
      <c r="LO836" t="str">
        <v/>
      </c>
    </row>
    <row r="837" spans="30:327">
      <c r="AD837" t="s">
        <v>114</v>
      </c>
      <c r="AE837" t="s">
        <v>22980</v>
      </c>
      <c r="AF837" s="46">
        <v>0</v>
      </c>
      <c r="AG837" s="113"/>
      <c r="AH837" s="113"/>
      <c r="AI837" s="113"/>
      <c r="AJ837" s="113"/>
      <c r="AK837" s="113"/>
      <c r="AL837" s="46">
        <v>0</v>
      </c>
      <c r="AM837" s="113"/>
      <c r="AN837" s="113"/>
      <c r="AO837" s="113"/>
      <c r="AP837" s="113"/>
      <c r="AQ837" s="113"/>
      <c r="AR837" s="46">
        <v>0</v>
      </c>
      <c r="AS837" s="113"/>
      <c r="AT837" s="113"/>
      <c r="AU837" s="113"/>
      <c r="AV837" s="113"/>
      <c r="AW837" s="113"/>
      <c r="AX837" s="46">
        <v>0</v>
      </c>
      <c r="AY837" s="113"/>
      <c r="AZ837" s="113"/>
      <c r="BA837" s="113"/>
      <c r="BB837" s="113"/>
      <c r="BC837" s="113"/>
      <c r="BD837" s="46">
        <v>0</v>
      </c>
      <c r="BE837" s="113"/>
      <c r="BF837" s="113"/>
      <c r="BG837" s="113"/>
      <c r="BH837" s="113"/>
      <c r="BI837" s="113"/>
      <c r="BJ837" s="46">
        <v>0</v>
      </c>
      <c r="BK837" s="113"/>
      <c r="BL837" s="113"/>
      <c r="BM837" s="113"/>
      <c r="BN837" s="113"/>
      <c r="BO837" s="113"/>
      <c r="BP837" s="121"/>
      <c r="BQ837" s="121"/>
      <c r="GA837" t="s">
        <v>114</v>
      </c>
      <c r="GB837" t="s">
        <v>22980</v>
      </c>
      <c r="GC837" s="46">
        <v>0</v>
      </c>
      <c r="GD837" s="113"/>
      <c r="GE837" s="113"/>
      <c r="GF837" s="113"/>
      <c r="GG837" s="113"/>
      <c r="GH837" s="113"/>
      <c r="GI837" s="46">
        <v>0</v>
      </c>
      <c r="GJ837" s="113"/>
      <c r="GK837" s="113"/>
      <c r="GL837" s="113"/>
      <c r="GM837" s="113"/>
      <c r="GN837" s="113"/>
      <c r="GO837" s="46">
        <v>0</v>
      </c>
      <c r="GP837" s="113"/>
      <c r="GQ837" s="113"/>
      <c r="GR837" s="113"/>
      <c r="GS837" s="113"/>
      <c r="GT837" s="113"/>
      <c r="GU837" s="46">
        <v>0</v>
      </c>
      <c r="GV837" s="113"/>
      <c r="GW837" s="113"/>
      <c r="GX837" s="113"/>
      <c r="GY837" s="113"/>
      <c r="GZ837" s="113"/>
      <c r="HA837" s="46">
        <v>0</v>
      </c>
      <c r="HB837" s="113"/>
      <c r="HC837" s="113"/>
      <c r="HD837" s="113"/>
      <c r="HE837" s="113"/>
      <c r="HF837" s="113"/>
      <c r="HG837" s="46">
        <v>0</v>
      </c>
      <c r="HH837" s="113"/>
      <c r="HI837" s="113"/>
      <c r="HJ837" s="113"/>
      <c r="HK837" s="113"/>
      <c r="HL837" s="113"/>
      <c r="HM837" s="121"/>
      <c r="HN837" s="121"/>
      <c r="LM837" t="str">
        <v/>
      </c>
      <c r="LN837" t="str">
        <v/>
      </c>
      <c r="LO837" t="str">
        <v/>
      </c>
    </row>
    <row r="838" spans="30:327">
      <c r="AD838" t="s">
        <v>114</v>
      </c>
      <c r="AE838" t="s">
        <v>22981</v>
      </c>
      <c r="AF838" s="46">
        <v>0</v>
      </c>
      <c r="AG838" s="113"/>
      <c r="AH838" s="113"/>
      <c r="AI838" s="113"/>
      <c r="AJ838" s="113"/>
      <c r="AK838" s="113"/>
      <c r="AL838" s="46">
        <v>0</v>
      </c>
      <c r="AM838" s="113"/>
      <c r="AN838" s="113"/>
      <c r="AO838" s="113"/>
      <c r="AP838" s="113"/>
      <c r="AQ838" s="113"/>
      <c r="AR838" s="46">
        <v>0</v>
      </c>
      <c r="AS838" s="113"/>
      <c r="AT838" s="113"/>
      <c r="AU838" s="113"/>
      <c r="AV838" s="113"/>
      <c r="AW838" s="113"/>
      <c r="AX838" s="46">
        <v>0</v>
      </c>
      <c r="AY838" s="113"/>
      <c r="AZ838" s="113"/>
      <c r="BA838" s="113"/>
      <c r="BB838" s="113"/>
      <c r="BC838" s="113"/>
      <c r="BD838" s="46">
        <v>0</v>
      </c>
      <c r="BE838" s="113"/>
      <c r="BF838" s="113"/>
      <c r="BG838" s="113"/>
      <c r="BH838" s="113"/>
      <c r="BI838" s="113"/>
      <c r="BJ838" s="46">
        <v>0</v>
      </c>
      <c r="BK838" s="113"/>
      <c r="BL838" s="113"/>
      <c r="BM838" s="113"/>
      <c r="BN838" s="113"/>
      <c r="BO838" s="113"/>
      <c r="BP838" s="121"/>
      <c r="BQ838" s="121"/>
      <c r="GA838" t="s">
        <v>114</v>
      </c>
      <c r="GB838" t="s">
        <v>22981</v>
      </c>
      <c r="GC838" s="46">
        <v>0</v>
      </c>
      <c r="GD838" s="113"/>
      <c r="GE838" s="113"/>
      <c r="GF838" s="113"/>
      <c r="GG838" s="113"/>
      <c r="GH838" s="113"/>
      <c r="GI838" s="46">
        <v>0</v>
      </c>
      <c r="GJ838" s="113"/>
      <c r="GK838" s="113"/>
      <c r="GL838" s="113"/>
      <c r="GM838" s="113"/>
      <c r="GN838" s="113"/>
      <c r="GO838" s="46">
        <v>0</v>
      </c>
      <c r="GP838" s="113"/>
      <c r="GQ838" s="113"/>
      <c r="GR838" s="113"/>
      <c r="GS838" s="113"/>
      <c r="GT838" s="113"/>
      <c r="GU838" s="46">
        <v>0</v>
      </c>
      <c r="GV838" s="113"/>
      <c r="GW838" s="113"/>
      <c r="GX838" s="113"/>
      <c r="GY838" s="113"/>
      <c r="GZ838" s="113"/>
      <c r="HA838" s="46">
        <v>0</v>
      </c>
      <c r="HB838" s="113"/>
      <c r="HC838" s="113"/>
      <c r="HD838" s="113"/>
      <c r="HE838" s="113"/>
      <c r="HF838" s="113"/>
      <c r="HG838" s="46">
        <v>0</v>
      </c>
      <c r="HH838" s="113"/>
      <c r="HI838" s="113"/>
      <c r="HJ838" s="113"/>
      <c r="HK838" s="113"/>
      <c r="HL838" s="113"/>
      <c r="HM838" s="121"/>
      <c r="HN838" s="121"/>
      <c r="LM838" t="str">
        <v/>
      </c>
      <c r="LN838" t="str">
        <v/>
      </c>
      <c r="LO838" t="str">
        <v/>
      </c>
    </row>
    <row r="839" spans="30:327">
      <c r="AD839" t="s">
        <v>114</v>
      </c>
      <c r="AE839" t="s">
        <v>22982</v>
      </c>
      <c r="AF839" s="46">
        <v>0</v>
      </c>
      <c r="AG839" s="113"/>
      <c r="AH839" s="113"/>
      <c r="AI839" s="113"/>
      <c r="AJ839" s="113"/>
      <c r="AK839" s="113"/>
      <c r="AL839" s="46">
        <v>0</v>
      </c>
      <c r="AM839" s="113"/>
      <c r="AN839" s="113"/>
      <c r="AO839" s="113"/>
      <c r="AP839" s="113"/>
      <c r="AQ839" s="113"/>
      <c r="AR839" s="46">
        <v>0</v>
      </c>
      <c r="AS839" s="113"/>
      <c r="AT839" s="113"/>
      <c r="AU839" s="113"/>
      <c r="AV839" s="113"/>
      <c r="AW839" s="113"/>
      <c r="AX839" s="46">
        <v>0</v>
      </c>
      <c r="AY839" s="113"/>
      <c r="AZ839" s="113"/>
      <c r="BA839" s="113"/>
      <c r="BB839" s="113"/>
      <c r="BC839" s="113"/>
      <c r="BD839" s="46">
        <v>0</v>
      </c>
      <c r="BE839" s="113"/>
      <c r="BF839" s="113"/>
      <c r="BG839" s="113"/>
      <c r="BH839" s="113"/>
      <c r="BI839" s="113"/>
      <c r="BJ839" s="46">
        <v>0</v>
      </c>
      <c r="BK839" s="113"/>
      <c r="BL839" s="113"/>
      <c r="BM839" s="113"/>
      <c r="BN839" s="113"/>
      <c r="BO839" s="113"/>
      <c r="BP839" s="121"/>
      <c r="BQ839" s="121"/>
      <c r="GA839" t="s">
        <v>114</v>
      </c>
      <c r="GB839" t="s">
        <v>22982</v>
      </c>
      <c r="GC839" s="46">
        <v>0</v>
      </c>
      <c r="GD839" s="113"/>
      <c r="GE839" s="113"/>
      <c r="GF839" s="113"/>
      <c r="GG839" s="113"/>
      <c r="GH839" s="113"/>
      <c r="GI839" s="46">
        <v>0</v>
      </c>
      <c r="GJ839" s="113"/>
      <c r="GK839" s="113"/>
      <c r="GL839" s="113"/>
      <c r="GM839" s="113"/>
      <c r="GN839" s="113"/>
      <c r="GO839" s="46">
        <v>0</v>
      </c>
      <c r="GP839" s="113"/>
      <c r="GQ839" s="113"/>
      <c r="GR839" s="113"/>
      <c r="GS839" s="113"/>
      <c r="GT839" s="113"/>
      <c r="GU839" s="46">
        <v>0</v>
      </c>
      <c r="GV839" s="113"/>
      <c r="GW839" s="113"/>
      <c r="GX839" s="113"/>
      <c r="GY839" s="113"/>
      <c r="GZ839" s="113"/>
      <c r="HA839" s="46">
        <v>0</v>
      </c>
      <c r="HB839" s="113"/>
      <c r="HC839" s="113"/>
      <c r="HD839" s="113"/>
      <c r="HE839" s="113"/>
      <c r="HF839" s="113"/>
      <c r="HG839" s="46">
        <v>0</v>
      </c>
      <c r="HH839" s="113"/>
      <c r="HI839" s="113"/>
      <c r="HJ839" s="113"/>
      <c r="HK839" s="113"/>
      <c r="HL839" s="113"/>
      <c r="HM839" s="121"/>
      <c r="HN839" s="121"/>
      <c r="LM839" t="str">
        <v/>
      </c>
      <c r="LN839" t="str">
        <v/>
      </c>
      <c r="LO839" t="str">
        <v/>
      </c>
    </row>
    <row r="840" spans="30:327">
      <c r="AD840" t="s">
        <v>114</v>
      </c>
      <c r="AE840" t="s">
        <v>22983</v>
      </c>
      <c r="AF840" s="46">
        <v>0</v>
      </c>
      <c r="AG840" s="113"/>
      <c r="AH840" s="113"/>
      <c r="AI840" s="113"/>
      <c r="AJ840" s="113"/>
      <c r="AK840" s="113"/>
      <c r="AL840" s="46">
        <v>0</v>
      </c>
      <c r="AM840" s="113"/>
      <c r="AN840" s="113"/>
      <c r="AO840" s="113"/>
      <c r="AP840" s="113"/>
      <c r="AQ840" s="113"/>
      <c r="AR840" s="46">
        <v>0</v>
      </c>
      <c r="AS840" s="113"/>
      <c r="AT840" s="113"/>
      <c r="AU840" s="113"/>
      <c r="AV840" s="113"/>
      <c r="AW840" s="113"/>
      <c r="AX840" s="46">
        <v>0</v>
      </c>
      <c r="AY840" s="113"/>
      <c r="AZ840" s="113"/>
      <c r="BA840" s="113"/>
      <c r="BB840" s="113"/>
      <c r="BC840" s="113"/>
      <c r="BD840" s="46">
        <v>0</v>
      </c>
      <c r="BE840" s="113"/>
      <c r="BF840" s="113"/>
      <c r="BG840" s="113"/>
      <c r="BH840" s="113"/>
      <c r="BI840" s="113"/>
      <c r="BJ840" s="46">
        <v>0</v>
      </c>
      <c r="BK840" s="113"/>
      <c r="BL840" s="113"/>
      <c r="BM840" s="113"/>
      <c r="BN840" s="113"/>
      <c r="BO840" s="113"/>
      <c r="BP840" s="121"/>
      <c r="BQ840" s="121"/>
      <c r="GA840" t="s">
        <v>114</v>
      </c>
      <c r="GB840" t="s">
        <v>22983</v>
      </c>
      <c r="GC840" s="46">
        <v>0</v>
      </c>
      <c r="GD840" s="113"/>
      <c r="GE840" s="113"/>
      <c r="GF840" s="113"/>
      <c r="GG840" s="113"/>
      <c r="GH840" s="113"/>
      <c r="GI840" s="46">
        <v>0</v>
      </c>
      <c r="GJ840" s="113"/>
      <c r="GK840" s="113"/>
      <c r="GL840" s="113"/>
      <c r="GM840" s="113"/>
      <c r="GN840" s="113"/>
      <c r="GO840" s="46">
        <v>0</v>
      </c>
      <c r="GP840" s="113"/>
      <c r="GQ840" s="113"/>
      <c r="GR840" s="113"/>
      <c r="GS840" s="113"/>
      <c r="GT840" s="113"/>
      <c r="GU840" s="46">
        <v>0</v>
      </c>
      <c r="GV840" s="113"/>
      <c r="GW840" s="113"/>
      <c r="GX840" s="113"/>
      <c r="GY840" s="113"/>
      <c r="GZ840" s="113"/>
      <c r="HA840" s="46">
        <v>0</v>
      </c>
      <c r="HB840" s="113"/>
      <c r="HC840" s="113"/>
      <c r="HD840" s="113"/>
      <c r="HE840" s="113"/>
      <c r="HF840" s="113"/>
      <c r="HG840" s="46">
        <v>0</v>
      </c>
      <c r="HH840" s="113"/>
      <c r="HI840" s="113"/>
      <c r="HJ840" s="113"/>
      <c r="HK840" s="113"/>
      <c r="HL840" s="113"/>
      <c r="HM840" s="121"/>
      <c r="HN840" s="121"/>
      <c r="LM840" t="str">
        <v/>
      </c>
      <c r="LN840" t="str">
        <v/>
      </c>
      <c r="LO840" t="str">
        <v/>
      </c>
    </row>
    <row r="841" spans="30:327">
      <c r="AD841" t="s">
        <v>114</v>
      </c>
      <c r="AE841" t="s">
        <v>22984</v>
      </c>
      <c r="AF841" s="46">
        <v>0</v>
      </c>
      <c r="AG841" s="113"/>
      <c r="AH841" s="113"/>
      <c r="AI841" s="113"/>
      <c r="AJ841" s="113"/>
      <c r="AK841" s="113"/>
      <c r="AL841" s="46">
        <v>0</v>
      </c>
      <c r="AM841" s="113"/>
      <c r="AN841" s="113"/>
      <c r="AO841" s="113"/>
      <c r="AP841" s="113"/>
      <c r="AQ841" s="113"/>
      <c r="AR841" s="46">
        <v>0</v>
      </c>
      <c r="AS841" s="113"/>
      <c r="AT841" s="113"/>
      <c r="AU841" s="113"/>
      <c r="AV841" s="113"/>
      <c r="AW841" s="113"/>
      <c r="AX841" s="46">
        <v>0</v>
      </c>
      <c r="AY841" s="113"/>
      <c r="AZ841" s="113"/>
      <c r="BA841" s="113"/>
      <c r="BB841" s="113"/>
      <c r="BC841" s="113"/>
      <c r="BD841" s="46">
        <v>0</v>
      </c>
      <c r="BE841" s="113"/>
      <c r="BF841" s="113"/>
      <c r="BG841" s="113"/>
      <c r="BH841" s="113"/>
      <c r="BI841" s="113"/>
      <c r="BJ841" s="46">
        <v>0</v>
      </c>
      <c r="BK841" s="113"/>
      <c r="BL841" s="113"/>
      <c r="BM841" s="113"/>
      <c r="BN841" s="113"/>
      <c r="BO841" s="113"/>
      <c r="BP841" s="121"/>
      <c r="BQ841" s="121"/>
      <c r="GA841" t="s">
        <v>114</v>
      </c>
      <c r="GB841" t="s">
        <v>22984</v>
      </c>
      <c r="GC841" s="46">
        <v>0</v>
      </c>
      <c r="GD841" s="113"/>
      <c r="GE841" s="113"/>
      <c r="GF841" s="113"/>
      <c r="GG841" s="113"/>
      <c r="GH841" s="113"/>
      <c r="GI841" s="46">
        <v>0</v>
      </c>
      <c r="GJ841" s="113"/>
      <c r="GK841" s="113"/>
      <c r="GL841" s="113"/>
      <c r="GM841" s="113"/>
      <c r="GN841" s="113"/>
      <c r="GO841" s="46">
        <v>0</v>
      </c>
      <c r="GP841" s="113"/>
      <c r="GQ841" s="113"/>
      <c r="GR841" s="113"/>
      <c r="GS841" s="113"/>
      <c r="GT841" s="113"/>
      <c r="GU841" s="46">
        <v>0</v>
      </c>
      <c r="GV841" s="113"/>
      <c r="GW841" s="113"/>
      <c r="GX841" s="113"/>
      <c r="GY841" s="113"/>
      <c r="GZ841" s="113"/>
      <c r="HA841" s="46">
        <v>0</v>
      </c>
      <c r="HB841" s="113"/>
      <c r="HC841" s="113"/>
      <c r="HD841" s="113"/>
      <c r="HE841" s="113"/>
      <c r="HF841" s="113"/>
      <c r="HG841" s="46">
        <v>0</v>
      </c>
      <c r="HH841" s="113"/>
      <c r="HI841" s="113"/>
      <c r="HJ841" s="113"/>
      <c r="HK841" s="113"/>
      <c r="HL841" s="113"/>
      <c r="HM841" s="121"/>
      <c r="HN841" s="121"/>
      <c r="LM841" t="str">
        <v/>
      </c>
      <c r="LN841" t="str">
        <v/>
      </c>
      <c r="LO841" t="str">
        <v/>
      </c>
    </row>
    <row r="842" spans="30:327">
      <c r="AD842" t="s">
        <v>114</v>
      </c>
      <c r="AE842" t="s">
        <v>22985</v>
      </c>
      <c r="AF842" s="46">
        <v>0</v>
      </c>
      <c r="AG842" s="113"/>
      <c r="AH842" s="113"/>
      <c r="AI842" s="113"/>
      <c r="AJ842" s="113"/>
      <c r="AK842" s="113"/>
      <c r="AL842" s="46">
        <v>0</v>
      </c>
      <c r="AM842" s="113"/>
      <c r="AN842" s="113"/>
      <c r="AO842" s="113"/>
      <c r="AP842" s="113"/>
      <c r="AQ842" s="113"/>
      <c r="AR842" s="46">
        <v>0</v>
      </c>
      <c r="AS842" s="113"/>
      <c r="AT842" s="113"/>
      <c r="AU842" s="113"/>
      <c r="AV842" s="113"/>
      <c r="AW842" s="113"/>
      <c r="AX842" s="46">
        <v>0</v>
      </c>
      <c r="AY842" s="113"/>
      <c r="AZ842" s="113"/>
      <c r="BA842" s="113"/>
      <c r="BB842" s="113"/>
      <c r="BC842" s="113"/>
      <c r="BD842" s="46">
        <v>0</v>
      </c>
      <c r="BE842" s="113"/>
      <c r="BF842" s="113"/>
      <c r="BG842" s="113"/>
      <c r="BH842" s="113"/>
      <c r="BI842" s="113"/>
      <c r="BJ842" s="46">
        <v>0</v>
      </c>
      <c r="BK842" s="113"/>
      <c r="BL842" s="113"/>
      <c r="BM842" s="113"/>
      <c r="BN842" s="113"/>
      <c r="BO842" s="113"/>
      <c r="BP842" s="121"/>
      <c r="BQ842" s="121"/>
      <c r="GA842" t="s">
        <v>114</v>
      </c>
      <c r="GB842" t="s">
        <v>22985</v>
      </c>
      <c r="GC842" s="46">
        <v>0</v>
      </c>
      <c r="GD842" s="113"/>
      <c r="GE842" s="113"/>
      <c r="GF842" s="113"/>
      <c r="GG842" s="113"/>
      <c r="GH842" s="113"/>
      <c r="GI842" s="46">
        <v>0</v>
      </c>
      <c r="GJ842" s="113"/>
      <c r="GK842" s="113"/>
      <c r="GL842" s="113"/>
      <c r="GM842" s="113"/>
      <c r="GN842" s="113"/>
      <c r="GO842" s="46">
        <v>0</v>
      </c>
      <c r="GP842" s="113"/>
      <c r="GQ842" s="113"/>
      <c r="GR842" s="113"/>
      <c r="GS842" s="113"/>
      <c r="GT842" s="113"/>
      <c r="GU842" s="46">
        <v>0</v>
      </c>
      <c r="GV842" s="113"/>
      <c r="GW842" s="113"/>
      <c r="GX842" s="113"/>
      <c r="GY842" s="113"/>
      <c r="GZ842" s="113"/>
      <c r="HA842" s="46">
        <v>0</v>
      </c>
      <c r="HB842" s="113"/>
      <c r="HC842" s="113"/>
      <c r="HD842" s="113"/>
      <c r="HE842" s="113"/>
      <c r="HF842" s="113"/>
      <c r="HG842" s="46">
        <v>0</v>
      </c>
      <c r="HH842" s="113"/>
      <c r="HI842" s="113"/>
      <c r="HJ842" s="113"/>
      <c r="HK842" s="113"/>
      <c r="HL842" s="113"/>
      <c r="HM842" s="121"/>
      <c r="HN842" s="121"/>
      <c r="LM842" t="str">
        <v/>
      </c>
      <c r="LN842" t="str">
        <v/>
      </c>
      <c r="LO842" t="str">
        <v/>
      </c>
    </row>
    <row r="843" spans="30:327">
      <c r="AD843" t="s">
        <v>114</v>
      </c>
      <c r="AE843" t="s">
        <v>22986</v>
      </c>
      <c r="AF843" s="46">
        <v>0</v>
      </c>
      <c r="AG843" s="113"/>
      <c r="AH843" s="113"/>
      <c r="AI843" s="113"/>
      <c r="AJ843" s="113"/>
      <c r="AK843" s="113"/>
      <c r="AL843" s="46">
        <v>0</v>
      </c>
      <c r="AM843" s="113"/>
      <c r="AN843" s="113"/>
      <c r="AO843" s="113"/>
      <c r="AP843" s="113"/>
      <c r="AQ843" s="113"/>
      <c r="AR843" s="46">
        <v>0</v>
      </c>
      <c r="AS843" s="113"/>
      <c r="AT843" s="113"/>
      <c r="AU843" s="113"/>
      <c r="AV843" s="113"/>
      <c r="AW843" s="113"/>
      <c r="AX843" s="46">
        <v>0</v>
      </c>
      <c r="AY843" s="113"/>
      <c r="AZ843" s="113"/>
      <c r="BA843" s="113"/>
      <c r="BB843" s="113"/>
      <c r="BC843" s="113"/>
      <c r="BD843" s="46">
        <v>0</v>
      </c>
      <c r="BE843" s="113"/>
      <c r="BF843" s="113"/>
      <c r="BG843" s="113"/>
      <c r="BH843" s="113"/>
      <c r="BI843" s="113"/>
      <c r="BJ843" s="46">
        <v>0</v>
      </c>
      <c r="BK843" s="113"/>
      <c r="BL843" s="113"/>
      <c r="BM843" s="113"/>
      <c r="BN843" s="113"/>
      <c r="BO843" s="113"/>
      <c r="BP843" s="121"/>
      <c r="BQ843" s="121"/>
      <c r="GA843" t="s">
        <v>114</v>
      </c>
      <c r="GB843" t="s">
        <v>22986</v>
      </c>
      <c r="GC843" s="46">
        <v>0</v>
      </c>
      <c r="GD843" s="113"/>
      <c r="GE843" s="113"/>
      <c r="GF843" s="113"/>
      <c r="GG843" s="113"/>
      <c r="GH843" s="113"/>
      <c r="GI843" s="46">
        <v>0</v>
      </c>
      <c r="GJ843" s="113"/>
      <c r="GK843" s="113"/>
      <c r="GL843" s="113"/>
      <c r="GM843" s="113"/>
      <c r="GN843" s="113"/>
      <c r="GO843" s="46">
        <v>0</v>
      </c>
      <c r="GP843" s="113"/>
      <c r="GQ843" s="113"/>
      <c r="GR843" s="113"/>
      <c r="GS843" s="113"/>
      <c r="GT843" s="113"/>
      <c r="GU843" s="46">
        <v>0</v>
      </c>
      <c r="GV843" s="113"/>
      <c r="GW843" s="113"/>
      <c r="GX843" s="113"/>
      <c r="GY843" s="113"/>
      <c r="GZ843" s="113"/>
      <c r="HA843" s="46">
        <v>0</v>
      </c>
      <c r="HB843" s="113"/>
      <c r="HC843" s="113"/>
      <c r="HD843" s="113"/>
      <c r="HE843" s="113"/>
      <c r="HF843" s="113"/>
      <c r="HG843" s="46">
        <v>0</v>
      </c>
      <c r="HH843" s="113"/>
      <c r="HI843" s="113"/>
      <c r="HJ843" s="113"/>
      <c r="HK843" s="113"/>
      <c r="HL843" s="113"/>
      <c r="HM843" s="121"/>
      <c r="HN843" s="121"/>
      <c r="LM843" t="str">
        <v/>
      </c>
      <c r="LN843" t="str">
        <v/>
      </c>
      <c r="LO843" t="str">
        <v/>
      </c>
    </row>
    <row r="844" spans="30:327">
      <c r="AD844" t="s">
        <v>114</v>
      </c>
      <c r="AE844" t="s">
        <v>22987</v>
      </c>
      <c r="AF844" s="46">
        <v>0</v>
      </c>
      <c r="AG844" s="113"/>
      <c r="AH844" s="113"/>
      <c r="AI844" s="113"/>
      <c r="AJ844" s="113"/>
      <c r="AK844" s="113"/>
      <c r="AL844" s="46">
        <v>0</v>
      </c>
      <c r="AM844" s="113"/>
      <c r="AN844" s="113"/>
      <c r="AO844" s="113"/>
      <c r="AP844" s="113"/>
      <c r="AQ844" s="113"/>
      <c r="AR844" s="46">
        <v>0</v>
      </c>
      <c r="AS844" s="113"/>
      <c r="AT844" s="113"/>
      <c r="AU844" s="113"/>
      <c r="AV844" s="113"/>
      <c r="AW844" s="113"/>
      <c r="AX844" s="46">
        <v>0</v>
      </c>
      <c r="AY844" s="113"/>
      <c r="AZ844" s="113"/>
      <c r="BA844" s="113"/>
      <c r="BB844" s="113"/>
      <c r="BC844" s="113"/>
      <c r="BD844" s="46">
        <v>0</v>
      </c>
      <c r="BE844" s="113"/>
      <c r="BF844" s="113"/>
      <c r="BG844" s="113"/>
      <c r="BH844" s="113"/>
      <c r="BI844" s="113"/>
      <c r="BJ844" s="46">
        <v>0</v>
      </c>
      <c r="BK844" s="113"/>
      <c r="BL844" s="113"/>
      <c r="BM844" s="113"/>
      <c r="BN844" s="113"/>
      <c r="BO844" s="113"/>
      <c r="BP844" s="121"/>
      <c r="BQ844" s="121"/>
      <c r="GA844" t="s">
        <v>114</v>
      </c>
      <c r="GB844" t="s">
        <v>22987</v>
      </c>
      <c r="GC844" s="46">
        <v>0</v>
      </c>
      <c r="GD844" s="113"/>
      <c r="GE844" s="113"/>
      <c r="GF844" s="113"/>
      <c r="GG844" s="113"/>
      <c r="GH844" s="113"/>
      <c r="GI844" s="46">
        <v>0</v>
      </c>
      <c r="GJ844" s="113"/>
      <c r="GK844" s="113"/>
      <c r="GL844" s="113"/>
      <c r="GM844" s="113"/>
      <c r="GN844" s="113"/>
      <c r="GO844" s="46">
        <v>0</v>
      </c>
      <c r="GP844" s="113"/>
      <c r="GQ844" s="113"/>
      <c r="GR844" s="113"/>
      <c r="GS844" s="113"/>
      <c r="GT844" s="113"/>
      <c r="GU844" s="46">
        <v>0</v>
      </c>
      <c r="GV844" s="113"/>
      <c r="GW844" s="113"/>
      <c r="GX844" s="113"/>
      <c r="GY844" s="113"/>
      <c r="GZ844" s="113"/>
      <c r="HA844" s="46">
        <v>0</v>
      </c>
      <c r="HB844" s="113"/>
      <c r="HC844" s="113"/>
      <c r="HD844" s="113"/>
      <c r="HE844" s="113"/>
      <c r="HF844" s="113"/>
      <c r="HG844" s="46">
        <v>0</v>
      </c>
      <c r="HH844" s="113"/>
      <c r="HI844" s="113"/>
      <c r="HJ844" s="113"/>
      <c r="HK844" s="113"/>
      <c r="HL844" s="113"/>
      <c r="HM844" s="121"/>
      <c r="HN844" s="121"/>
      <c r="LM844" t="str">
        <v/>
      </c>
      <c r="LN844" t="str">
        <v/>
      </c>
      <c r="LO844" t="str">
        <v/>
      </c>
    </row>
    <row r="845" spans="30:327">
      <c r="AD845" t="s">
        <v>114</v>
      </c>
      <c r="AE845" t="s">
        <v>22988</v>
      </c>
      <c r="AF845" s="46">
        <v>0</v>
      </c>
      <c r="AG845" s="113"/>
      <c r="AH845" s="113"/>
      <c r="AI845" s="113"/>
      <c r="AJ845" s="113"/>
      <c r="AK845" s="113"/>
      <c r="AL845" s="46">
        <v>0</v>
      </c>
      <c r="AM845" s="113"/>
      <c r="AN845" s="113"/>
      <c r="AO845" s="113"/>
      <c r="AP845" s="113"/>
      <c r="AQ845" s="113"/>
      <c r="AR845" s="46">
        <v>0</v>
      </c>
      <c r="AS845" s="113"/>
      <c r="AT845" s="113"/>
      <c r="AU845" s="113"/>
      <c r="AV845" s="113"/>
      <c r="AW845" s="113"/>
      <c r="AX845" s="46">
        <v>0</v>
      </c>
      <c r="AY845" s="113"/>
      <c r="AZ845" s="113"/>
      <c r="BA845" s="113"/>
      <c r="BB845" s="113"/>
      <c r="BC845" s="113"/>
      <c r="BD845" s="46">
        <v>0</v>
      </c>
      <c r="BE845" s="113"/>
      <c r="BF845" s="113"/>
      <c r="BG845" s="113"/>
      <c r="BH845" s="113"/>
      <c r="BI845" s="113"/>
      <c r="BJ845" s="46">
        <v>0</v>
      </c>
      <c r="BK845" s="113"/>
      <c r="BL845" s="113"/>
      <c r="BM845" s="113"/>
      <c r="BN845" s="113"/>
      <c r="BO845" s="113"/>
      <c r="BP845" s="121"/>
      <c r="BQ845" s="121"/>
      <c r="GA845" t="s">
        <v>114</v>
      </c>
      <c r="GB845" t="s">
        <v>22988</v>
      </c>
      <c r="GC845" s="46">
        <v>0</v>
      </c>
      <c r="GD845" s="113"/>
      <c r="GE845" s="113"/>
      <c r="GF845" s="113"/>
      <c r="GG845" s="113"/>
      <c r="GH845" s="113"/>
      <c r="GI845" s="46">
        <v>0</v>
      </c>
      <c r="GJ845" s="113"/>
      <c r="GK845" s="113"/>
      <c r="GL845" s="113"/>
      <c r="GM845" s="113"/>
      <c r="GN845" s="113"/>
      <c r="GO845" s="46">
        <v>0</v>
      </c>
      <c r="GP845" s="113"/>
      <c r="GQ845" s="113"/>
      <c r="GR845" s="113"/>
      <c r="GS845" s="113"/>
      <c r="GT845" s="113"/>
      <c r="GU845" s="46">
        <v>0</v>
      </c>
      <c r="GV845" s="113"/>
      <c r="GW845" s="113"/>
      <c r="GX845" s="113"/>
      <c r="GY845" s="113"/>
      <c r="GZ845" s="113"/>
      <c r="HA845" s="46">
        <v>0</v>
      </c>
      <c r="HB845" s="113"/>
      <c r="HC845" s="113"/>
      <c r="HD845" s="113"/>
      <c r="HE845" s="113"/>
      <c r="HF845" s="113"/>
      <c r="HG845" s="46">
        <v>0</v>
      </c>
      <c r="HH845" s="113"/>
      <c r="HI845" s="113"/>
      <c r="HJ845" s="113"/>
      <c r="HK845" s="113"/>
      <c r="HL845" s="113"/>
      <c r="HM845" s="121"/>
      <c r="HN845" s="121"/>
      <c r="LM845" t="str">
        <v/>
      </c>
      <c r="LN845" t="str">
        <v/>
      </c>
      <c r="LO845" t="str">
        <v/>
      </c>
    </row>
    <row r="846" spans="30:327">
      <c r="AD846" t="s">
        <v>114</v>
      </c>
      <c r="AE846" t="s">
        <v>22989</v>
      </c>
      <c r="AF846" s="46">
        <v>0</v>
      </c>
      <c r="AG846" s="113"/>
      <c r="AH846" s="113"/>
      <c r="AI846" s="113"/>
      <c r="AJ846" s="113"/>
      <c r="AK846" s="113"/>
      <c r="AL846" s="46">
        <v>0</v>
      </c>
      <c r="AM846" s="113"/>
      <c r="AN846" s="113"/>
      <c r="AO846" s="113"/>
      <c r="AP846" s="113"/>
      <c r="AQ846" s="113"/>
      <c r="AR846" s="46">
        <v>0</v>
      </c>
      <c r="AS846" s="113"/>
      <c r="AT846" s="113"/>
      <c r="AU846" s="113"/>
      <c r="AV846" s="113"/>
      <c r="AW846" s="113"/>
      <c r="AX846" s="46">
        <v>0</v>
      </c>
      <c r="AY846" s="113"/>
      <c r="AZ846" s="113"/>
      <c r="BA846" s="113"/>
      <c r="BB846" s="113"/>
      <c r="BC846" s="113"/>
      <c r="BD846" s="46">
        <v>0</v>
      </c>
      <c r="BE846" s="113"/>
      <c r="BF846" s="113"/>
      <c r="BG846" s="113"/>
      <c r="BH846" s="113"/>
      <c r="BI846" s="113"/>
      <c r="BJ846" s="46">
        <v>0</v>
      </c>
      <c r="BK846" s="113"/>
      <c r="BL846" s="113"/>
      <c r="BM846" s="113"/>
      <c r="BN846" s="113"/>
      <c r="BO846" s="113"/>
      <c r="BP846" s="121"/>
      <c r="BQ846" s="121"/>
      <c r="GA846" t="s">
        <v>114</v>
      </c>
      <c r="GB846" t="s">
        <v>22989</v>
      </c>
      <c r="GC846" s="46">
        <v>0</v>
      </c>
      <c r="GD846" s="113"/>
      <c r="GE846" s="113"/>
      <c r="GF846" s="113"/>
      <c r="GG846" s="113"/>
      <c r="GH846" s="113"/>
      <c r="GI846" s="46">
        <v>0</v>
      </c>
      <c r="GJ846" s="113"/>
      <c r="GK846" s="113"/>
      <c r="GL846" s="113"/>
      <c r="GM846" s="113"/>
      <c r="GN846" s="113"/>
      <c r="GO846" s="46">
        <v>0</v>
      </c>
      <c r="GP846" s="113"/>
      <c r="GQ846" s="113"/>
      <c r="GR846" s="113"/>
      <c r="GS846" s="113"/>
      <c r="GT846" s="113"/>
      <c r="GU846" s="46">
        <v>0</v>
      </c>
      <c r="GV846" s="113"/>
      <c r="GW846" s="113"/>
      <c r="GX846" s="113"/>
      <c r="GY846" s="113"/>
      <c r="GZ846" s="113"/>
      <c r="HA846" s="46">
        <v>0</v>
      </c>
      <c r="HB846" s="113"/>
      <c r="HC846" s="113"/>
      <c r="HD846" s="113"/>
      <c r="HE846" s="113"/>
      <c r="HF846" s="113"/>
      <c r="HG846" s="46">
        <v>0</v>
      </c>
      <c r="HH846" s="113"/>
      <c r="HI846" s="113"/>
      <c r="HJ846" s="113"/>
      <c r="HK846" s="113"/>
      <c r="HL846" s="113"/>
      <c r="HM846" s="121"/>
      <c r="HN846" s="121"/>
      <c r="LM846" t="str">
        <v/>
      </c>
      <c r="LN846" t="str">
        <v/>
      </c>
      <c r="LO846" t="str">
        <v/>
      </c>
    </row>
    <row r="847" spans="30:327">
      <c r="AD847" t="s">
        <v>114</v>
      </c>
      <c r="AE847" t="s">
        <v>22990</v>
      </c>
      <c r="AF847" s="46">
        <v>0</v>
      </c>
      <c r="AG847" s="113"/>
      <c r="AH847" s="113"/>
      <c r="AI847" s="113"/>
      <c r="AJ847" s="113"/>
      <c r="AK847" s="113"/>
      <c r="AL847" s="46">
        <v>0</v>
      </c>
      <c r="AM847" s="113"/>
      <c r="AN847" s="113"/>
      <c r="AO847" s="113"/>
      <c r="AP847" s="113"/>
      <c r="AQ847" s="113"/>
      <c r="AR847" s="46">
        <v>0</v>
      </c>
      <c r="AS847" s="113"/>
      <c r="AT847" s="113"/>
      <c r="AU847" s="113"/>
      <c r="AV847" s="113"/>
      <c r="AW847" s="113"/>
      <c r="AX847" s="46">
        <v>0</v>
      </c>
      <c r="AY847" s="113"/>
      <c r="AZ847" s="113"/>
      <c r="BA847" s="113"/>
      <c r="BB847" s="113"/>
      <c r="BC847" s="113"/>
      <c r="BD847" s="46">
        <v>0</v>
      </c>
      <c r="BE847" s="113"/>
      <c r="BF847" s="113"/>
      <c r="BG847" s="113"/>
      <c r="BH847" s="113"/>
      <c r="BI847" s="113"/>
      <c r="BJ847" s="46">
        <v>0</v>
      </c>
      <c r="BK847" s="113"/>
      <c r="BL847" s="113"/>
      <c r="BM847" s="113"/>
      <c r="BN847" s="113"/>
      <c r="BO847" s="113"/>
      <c r="BP847" s="121"/>
      <c r="BQ847" s="121"/>
      <c r="GA847" t="s">
        <v>114</v>
      </c>
      <c r="GB847" t="s">
        <v>22990</v>
      </c>
      <c r="GC847" s="46">
        <v>0</v>
      </c>
      <c r="GD847" s="113"/>
      <c r="GE847" s="113"/>
      <c r="GF847" s="113"/>
      <c r="GG847" s="113"/>
      <c r="GH847" s="113"/>
      <c r="GI847" s="46">
        <v>0</v>
      </c>
      <c r="GJ847" s="113"/>
      <c r="GK847" s="113"/>
      <c r="GL847" s="113"/>
      <c r="GM847" s="113"/>
      <c r="GN847" s="113"/>
      <c r="GO847" s="46">
        <v>0</v>
      </c>
      <c r="GP847" s="113"/>
      <c r="GQ847" s="113"/>
      <c r="GR847" s="113"/>
      <c r="GS847" s="113"/>
      <c r="GT847" s="113"/>
      <c r="GU847" s="46">
        <v>0</v>
      </c>
      <c r="GV847" s="113"/>
      <c r="GW847" s="113"/>
      <c r="GX847" s="113"/>
      <c r="GY847" s="113"/>
      <c r="GZ847" s="113"/>
      <c r="HA847" s="46">
        <v>0</v>
      </c>
      <c r="HB847" s="113"/>
      <c r="HC847" s="113"/>
      <c r="HD847" s="113"/>
      <c r="HE847" s="113"/>
      <c r="HF847" s="113"/>
      <c r="HG847" s="46">
        <v>0</v>
      </c>
      <c r="HH847" s="113"/>
      <c r="HI847" s="113"/>
      <c r="HJ847" s="113"/>
      <c r="HK847" s="113"/>
      <c r="HL847" s="113"/>
      <c r="HM847" s="121"/>
      <c r="HN847" s="121"/>
      <c r="LM847" t="str">
        <v/>
      </c>
      <c r="LN847" t="str">
        <v/>
      </c>
      <c r="LO847" t="str">
        <v/>
      </c>
    </row>
    <row r="848" spans="30:327">
      <c r="AD848" t="s">
        <v>114</v>
      </c>
      <c r="AE848" t="s">
        <v>22991</v>
      </c>
      <c r="AF848" s="46">
        <v>0</v>
      </c>
      <c r="AG848" s="113"/>
      <c r="AH848" s="113"/>
      <c r="AI848" s="113"/>
      <c r="AJ848" s="113"/>
      <c r="AK848" s="113"/>
      <c r="AL848" s="46">
        <v>0</v>
      </c>
      <c r="AM848" s="113"/>
      <c r="AN848" s="113"/>
      <c r="AO848" s="113"/>
      <c r="AP848" s="113"/>
      <c r="AQ848" s="113"/>
      <c r="AR848" s="46">
        <v>0</v>
      </c>
      <c r="AS848" s="113"/>
      <c r="AT848" s="113"/>
      <c r="AU848" s="113"/>
      <c r="AV848" s="113"/>
      <c r="AW848" s="113"/>
      <c r="AX848" s="46">
        <v>0</v>
      </c>
      <c r="AY848" s="113"/>
      <c r="AZ848" s="113"/>
      <c r="BA848" s="113"/>
      <c r="BB848" s="113"/>
      <c r="BC848" s="113"/>
      <c r="BD848" s="46">
        <v>0</v>
      </c>
      <c r="BE848" s="113"/>
      <c r="BF848" s="113"/>
      <c r="BG848" s="113"/>
      <c r="BH848" s="113"/>
      <c r="BI848" s="113"/>
      <c r="BJ848" s="46">
        <v>0</v>
      </c>
      <c r="BK848" s="113"/>
      <c r="BL848" s="113"/>
      <c r="BM848" s="113"/>
      <c r="BN848" s="113"/>
      <c r="BO848" s="113"/>
      <c r="BP848" s="121"/>
      <c r="BQ848" s="121"/>
      <c r="GA848" t="s">
        <v>114</v>
      </c>
      <c r="GB848" t="s">
        <v>22991</v>
      </c>
      <c r="GC848" s="46">
        <v>0</v>
      </c>
      <c r="GD848" s="113"/>
      <c r="GE848" s="113"/>
      <c r="GF848" s="113"/>
      <c r="GG848" s="113"/>
      <c r="GH848" s="113"/>
      <c r="GI848" s="46">
        <v>0</v>
      </c>
      <c r="GJ848" s="113"/>
      <c r="GK848" s="113"/>
      <c r="GL848" s="113"/>
      <c r="GM848" s="113"/>
      <c r="GN848" s="113"/>
      <c r="GO848" s="46">
        <v>0</v>
      </c>
      <c r="GP848" s="113"/>
      <c r="GQ848" s="113"/>
      <c r="GR848" s="113"/>
      <c r="GS848" s="113"/>
      <c r="GT848" s="113"/>
      <c r="GU848" s="46">
        <v>0</v>
      </c>
      <c r="GV848" s="113"/>
      <c r="GW848" s="113"/>
      <c r="GX848" s="113"/>
      <c r="GY848" s="113"/>
      <c r="GZ848" s="113"/>
      <c r="HA848" s="46">
        <v>0</v>
      </c>
      <c r="HB848" s="113"/>
      <c r="HC848" s="113"/>
      <c r="HD848" s="113"/>
      <c r="HE848" s="113"/>
      <c r="HF848" s="113"/>
      <c r="HG848" s="46">
        <v>0</v>
      </c>
      <c r="HH848" s="113"/>
      <c r="HI848" s="113"/>
      <c r="HJ848" s="113"/>
      <c r="HK848" s="113"/>
      <c r="HL848" s="113"/>
      <c r="HM848" s="121"/>
      <c r="HN848" s="121"/>
      <c r="LM848" t="str">
        <v/>
      </c>
      <c r="LN848" t="str">
        <v/>
      </c>
      <c r="LO848" t="str">
        <v/>
      </c>
    </row>
    <row r="849" spans="30:327">
      <c r="AD849" t="s">
        <v>114</v>
      </c>
      <c r="AE849" t="s">
        <v>22992</v>
      </c>
      <c r="AF849" s="46">
        <v>0</v>
      </c>
      <c r="AG849" s="113"/>
      <c r="AH849" s="113"/>
      <c r="AI849" s="113"/>
      <c r="AJ849" s="113"/>
      <c r="AK849" s="113"/>
      <c r="AL849" s="46">
        <v>0</v>
      </c>
      <c r="AM849" s="113"/>
      <c r="AN849" s="113"/>
      <c r="AO849" s="113"/>
      <c r="AP849" s="113"/>
      <c r="AQ849" s="113"/>
      <c r="AR849" s="46">
        <v>0</v>
      </c>
      <c r="AS849" s="113"/>
      <c r="AT849" s="113"/>
      <c r="AU849" s="113"/>
      <c r="AV849" s="113"/>
      <c r="AW849" s="113"/>
      <c r="AX849" s="46">
        <v>0</v>
      </c>
      <c r="AY849" s="113"/>
      <c r="AZ849" s="113"/>
      <c r="BA849" s="113"/>
      <c r="BB849" s="113"/>
      <c r="BC849" s="113"/>
      <c r="BD849" s="46">
        <v>0</v>
      </c>
      <c r="BE849" s="113"/>
      <c r="BF849" s="113"/>
      <c r="BG849" s="113"/>
      <c r="BH849" s="113"/>
      <c r="BI849" s="113"/>
      <c r="BJ849" s="46">
        <v>0</v>
      </c>
      <c r="BK849" s="113"/>
      <c r="BL849" s="113"/>
      <c r="BM849" s="113"/>
      <c r="BN849" s="113"/>
      <c r="BO849" s="113"/>
      <c r="BP849" s="121"/>
      <c r="BQ849" s="121"/>
      <c r="GA849" t="s">
        <v>114</v>
      </c>
      <c r="GB849" t="s">
        <v>22992</v>
      </c>
      <c r="GC849" s="46">
        <v>0</v>
      </c>
      <c r="GD849" s="113"/>
      <c r="GE849" s="113"/>
      <c r="GF849" s="113"/>
      <c r="GG849" s="113"/>
      <c r="GH849" s="113"/>
      <c r="GI849" s="46">
        <v>0</v>
      </c>
      <c r="GJ849" s="113"/>
      <c r="GK849" s="113"/>
      <c r="GL849" s="113"/>
      <c r="GM849" s="113"/>
      <c r="GN849" s="113"/>
      <c r="GO849" s="46">
        <v>0</v>
      </c>
      <c r="GP849" s="113"/>
      <c r="GQ849" s="113"/>
      <c r="GR849" s="113"/>
      <c r="GS849" s="113"/>
      <c r="GT849" s="113"/>
      <c r="GU849" s="46">
        <v>0</v>
      </c>
      <c r="GV849" s="113"/>
      <c r="GW849" s="113"/>
      <c r="GX849" s="113"/>
      <c r="GY849" s="113"/>
      <c r="GZ849" s="113"/>
      <c r="HA849" s="46">
        <v>0</v>
      </c>
      <c r="HB849" s="113"/>
      <c r="HC849" s="113"/>
      <c r="HD849" s="113"/>
      <c r="HE849" s="113"/>
      <c r="HF849" s="113"/>
      <c r="HG849" s="46">
        <v>0</v>
      </c>
      <c r="HH849" s="113"/>
      <c r="HI849" s="113"/>
      <c r="HJ849" s="113"/>
      <c r="HK849" s="113"/>
      <c r="HL849" s="113"/>
      <c r="HM849" s="121"/>
      <c r="HN849" s="121"/>
      <c r="LM849" t="str">
        <v/>
      </c>
      <c r="LN849" t="str">
        <v/>
      </c>
      <c r="LO849" t="str">
        <v/>
      </c>
    </row>
    <row r="850" spans="30:327">
      <c r="AD850" t="s">
        <v>114</v>
      </c>
      <c r="AE850" t="s">
        <v>22993</v>
      </c>
      <c r="AF850" s="46">
        <v>0</v>
      </c>
      <c r="AG850" s="113"/>
      <c r="AH850" s="113"/>
      <c r="AI850" s="113"/>
      <c r="AJ850" s="113"/>
      <c r="AK850" s="113"/>
      <c r="AL850" s="46">
        <v>0</v>
      </c>
      <c r="AM850" s="113"/>
      <c r="AN850" s="113"/>
      <c r="AO850" s="113"/>
      <c r="AP850" s="113"/>
      <c r="AQ850" s="113"/>
      <c r="AR850" s="46">
        <v>0</v>
      </c>
      <c r="AS850" s="113"/>
      <c r="AT850" s="113"/>
      <c r="AU850" s="113"/>
      <c r="AV850" s="113"/>
      <c r="AW850" s="113"/>
      <c r="AX850" s="46">
        <v>0</v>
      </c>
      <c r="AY850" s="113"/>
      <c r="AZ850" s="113"/>
      <c r="BA850" s="113"/>
      <c r="BB850" s="113"/>
      <c r="BC850" s="113"/>
      <c r="BD850" s="46">
        <v>0</v>
      </c>
      <c r="BE850" s="113"/>
      <c r="BF850" s="113"/>
      <c r="BG850" s="113"/>
      <c r="BH850" s="113"/>
      <c r="BI850" s="113"/>
      <c r="BJ850" s="46">
        <v>0</v>
      </c>
      <c r="BK850" s="113"/>
      <c r="BL850" s="113"/>
      <c r="BM850" s="113"/>
      <c r="BN850" s="113"/>
      <c r="BO850" s="113"/>
      <c r="BP850" s="121"/>
      <c r="BQ850" s="121"/>
      <c r="GA850" t="s">
        <v>114</v>
      </c>
      <c r="GB850" t="s">
        <v>22993</v>
      </c>
      <c r="GC850" s="46">
        <v>0</v>
      </c>
      <c r="GD850" s="113"/>
      <c r="GE850" s="113"/>
      <c r="GF850" s="113"/>
      <c r="GG850" s="113"/>
      <c r="GH850" s="113"/>
      <c r="GI850" s="46">
        <v>0</v>
      </c>
      <c r="GJ850" s="113"/>
      <c r="GK850" s="113"/>
      <c r="GL850" s="113"/>
      <c r="GM850" s="113"/>
      <c r="GN850" s="113"/>
      <c r="GO850" s="46">
        <v>0</v>
      </c>
      <c r="GP850" s="113"/>
      <c r="GQ850" s="113"/>
      <c r="GR850" s="113"/>
      <c r="GS850" s="113"/>
      <c r="GT850" s="113"/>
      <c r="GU850" s="46">
        <v>0</v>
      </c>
      <c r="GV850" s="113"/>
      <c r="GW850" s="113"/>
      <c r="GX850" s="113"/>
      <c r="GY850" s="113"/>
      <c r="GZ850" s="113"/>
      <c r="HA850" s="46">
        <v>0</v>
      </c>
      <c r="HB850" s="113"/>
      <c r="HC850" s="113"/>
      <c r="HD850" s="113"/>
      <c r="HE850" s="113"/>
      <c r="HF850" s="113"/>
      <c r="HG850" s="46">
        <v>0</v>
      </c>
      <c r="HH850" s="113"/>
      <c r="HI850" s="113"/>
      <c r="HJ850" s="113"/>
      <c r="HK850" s="113"/>
      <c r="HL850" s="113"/>
      <c r="HM850" s="121"/>
      <c r="HN850" s="121"/>
      <c r="LM850" t="str">
        <v/>
      </c>
      <c r="LN850" t="str">
        <v/>
      </c>
      <c r="LO850" t="str">
        <v/>
      </c>
    </row>
    <row r="851" spans="30:327">
      <c r="AD851" t="s">
        <v>114</v>
      </c>
      <c r="AE851" t="s">
        <v>22994</v>
      </c>
      <c r="AF851" s="46">
        <v>0</v>
      </c>
      <c r="AG851" s="113"/>
      <c r="AH851" s="113"/>
      <c r="AI851" s="113"/>
      <c r="AJ851" s="113"/>
      <c r="AK851" s="113"/>
      <c r="AL851" s="46">
        <v>0</v>
      </c>
      <c r="AM851" s="113"/>
      <c r="AN851" s="113"/>
      <c r="AO851" s="113"/>
      <c r="AP851" s="113"/>
      <c r="AQ851" s="113"/>
      <c r="AR851" s="46">
        <v>0</v>
      </c>
      <c r="AS851" s="113"/>
      <c r="AT851" s="113"/>
      <c r="AU851" s="113"/>
      <c r="AV851" s="113"/>
      <c r="AW851" s="113"/>
      <c r="AX851" s="46">
        <v>0</v>
      </c>
      <c r="AY851" s="113"/>
      <c r="AZ851" s="113"/>
      <c r="BA851" s="113"/>
      <c r="BB851" s="113"/>
      <c r="BC851" s="113"/>
      <c r="BD851" s="46">
        <v>0</v>
      </c>
      <c r="BE851" s="113"/>
      <c r="BF851" s="113"/>
      <c r="BG851" s="113"/>
      <c r="BH851" s="113"/>
      <c r="BI851" s="113"/>
      <c r="BJ851" s="46">
        <v>0</v>
      </c>
      <c r="BK851" s="113"/>
      <c r="BL851" s="113"/>
      <c r="BM851" s="113"/>
      <c r="BN851" s="113"/>
      <c r="BO851" s="113"/>
      <c r="BP851" s="121"/>
      <c r="BQ851" s="121"/>
      <c r="GA851" t="s">
        <v>114</v>
      </c>
      <c r="GB851" t="s">
        <v>22994</v>
      </c>
      <c r="GC851" s="46">
        <v>0</v>
      </c>
      <c r="GD851" s="113"/>
      <c r="GE851" s="113"/>
      <c r="GF851" s="113"/>
      <c r="GG851" s="113"/>
      <c r="GH851" s="113"/>
      <c r="GI851" s="46">
        <v>0</v>
      </c>
      <c r="GJ851" s="113"/>
      <c r="GK851" s="113"/>
      <c r="GL851" s="113"/>
      <c r="GM851" s="113"/>
      <c r="GN851" s="113"/>
      <c r="GO851" s="46">
        <v>0</v>
      </c>
      <c r="GP851" s="113"/>
      <c r="GQ851" s="113"/>
      <c r="GR851" s="113"/>
      <c r="GS851" s="113"/>
      <c r="GT851" s="113"/>
      <c r="GU851" s="46">
        <v>0</v>
      </c>
      <c r="GV851" s="113"/>
      <c r="GW851" s="113"/>
      <c r="GX851" s="113"/>
      <c r="GY851" s="113"/>
      <c r="GZ851" s="113"/>
      <c r="HA851" s="46">
        <v>0</v>
      </c>
      <c r="HB851" s="113"/>
      <c r="HC851" s="113"/>
      <c r="HD851" s="113"/>
      <c r="HE851" s="113"/>
      <c r="HF851" s="113"/>
      <c r="HG851" s="46">
        <v>0</v>
      </c>
      <c r="HH851" s="113"/>
      <c r="HI851" s="113"/>
      <c r="HJ851" s="113"/>
      <c r="HK851" s="113"/>
      <c r="HL851" s="113"/>
      <c r="HM851" s="121"/>
      <c r="HN851" s="121"/>
      <c r="LM851" t="str">
        <v/>
      </c>
      <c r="LN851" t="str">
        <v/>
      </c>
      <c r="LO851" t="str">
        <v/>
      </c>
    </row>
    <row r="852" spans="30:327">
      <c r="AD852" t="s">
        <v>114</v>
      </c>
      <c r="AE852" t="s">
        <v>22995</v>
      </c>
      <c r="AF852" s="46">
        <v>0</v>
      </c>
      <c r="AG852" s="113"/>
      <c r="AH852" s="113"/>
      <c r="AI852" s="113"/>
      <c r="AJ852" s="113"/>
      <c r="AK852" s="113"/>
      <c r="AL852" s="46">
        <v>0</v>
      </c>
      <c r="AM852" s="113"/>
      <c r="AN852" s="113"/>
      <c r="AO852" s="113"/>
      <c r="AP852" s="113"/>
      <c r="AQ852" s="113"/>
      <c r="AR852" s="46">
        <v>0</v>
      </c>
      <c r="AS852" s="113"/>
      <c r="AT852" s="113"/>
      <c r="AU852" s="113"/>
      <c r="AV852" s="113"/>
      <c r="AW852" s="113"/>
      <c r="AX852" s="46">
        <v>0</v>
      </c>
      <c r="AY852" s="113"/>
      <c r="AZ852" s="113"/>
      <c r="BA852" s="113"/>
      <c r="BB852" s="113"/>
      <c r="BC852" s="113"/>
      <c r="BD852" s="46">
        <v>0</v>
      </c>
      <c r="BE852" s="113"/>
      <c r="BF852" s="113"/>
      <c r="BG852" s="113"/>
      <c r="BH852" s="113"/>
      <c r="BI852" s="113"/>
      <c r="BJ852" s="46">
        <v>0</v>
      </c>
      <c r="BK852" s="113"/>
      <c r="BL852" s="113"/>
      <c r="BM852" s="113"/>
      <c r="BN852" s="113"/>
      <c r="BO852" s="113"/>
      <c r="BP852" s="121"/>
      <c r="BQ852" s="121"/>
      <c r="GA852" t="s">
        <v>114</v>
      </c>
      <c r="GB852" t="s">
        <v>22995</v>
      </c>
      <c r="GC852" s="46">
        <v>0</v>
      </c>
      <c r="GD852" s="113"/>
      <c r="GE852" s="113"/>
      <c r="GF852" s="113"/>
      <c r="GG852" s="113"/>
      <c r="GH852" s="113"/>
      <c r="GI852" s="46">
        <v>0</v>
      </c>
      <c r="GJ852" s="113"/>
      <c r="GK852" s="113"/>
      <c r="GL852" s="113"/>
      <c r="GM852" s="113"/>
      <c r="GN852" s="113"/>
      <c r="GO852" s="46">
        <v>0</v>
      </c>
      <c r="GP852" s="113"/>
      <c r="GQ852" s="113"/>
      <c r="GR852" s="113"/>
      <c r="GS852" s="113"/>
      <c r="GT852" s="113"/>
      <c r="GU852" s="46">
        <v>0</v>
      </c>
      <c r="GV852" s="113"/>
      <c r="GW852" s="113"/>
      <c r="GX852" s="113"/>
      <c r="GY852" s="113"/>
      <c r="GZ852" s="113"/>
      <c r="HA852" s="46">
        <v>0</v>
      </c>
      <c r="HB852" s="113"/>
      <c r="HC852" s="113"/>
      <c r="HD852" s="113"/>
      <c r="HE852" s="113"/>
      <c r="HF852" s="113"/>
      <c r="HG852" s="46">
        <v>0</v>
      </c>
      <c r="HH852" s="113"/>
      <c r="HI852" s="113"/>
      <c r="HJ852" s="113"/>
      <c r="HK852" s="113"/>
      <c r="HL852" s="113"/>
      <c r="HM852" s="121"/>
      <c r="HN852" s="121"/>
      <c r="LM852" t="str">
        <v/>
      </c>
      <c r="LN852" t="str">
        <v/>
      </c>
      <c r="LO852" t="str">
        <v/>
      </c>
    </row>
    <row r="853" spans="30:327">
      <c r="AD853" t="s">
        <v>114</v>
      </c>
      <c r="AE853" t="s">
        <v>22996</v>
      </c>
      <c r="AF853" s="46">
        <v>0</v>
      </c>
      <c r="AG853" s="113"/>
      <c r="AH853" s="113"/>
      <c r="AI853" s="113"/>
      <c r="AJ853" s="113"/>
      <c r="AK853" s="113"/>
      <c r="AL853" s="46">
        <v>0</v>
      </c>
      <c r="AM853" s="113"/>
      <c r="AN853" s="113"/>
      <c r="AO853" s="113"/>
      <c r="AP853" s="113"/>
      <c r="AQ853" s="113"/>
      <c r="AR853" s="46">
        <v>0</v>
      </c>
      <c r="AS853" s="113"/>
      <c r="AT853" s="113"/>
      <c r="AU853" s="113"/>
      <c r="AV853" s="113"/>
      <c r="AW853" s="113"/>
      <c r="AX853" s="46">
        <v>0</v>
      </c>
      <c r="AY853" s="113"/>
      <c r="AZ853" s="113"/>
      <c r="BA853" s="113"/>
      <c r="BB853" s="113"/>
      <c r="BC853" s="113"/>
      <c r="BD853" s="46">
        <v>0</v>
      </c>
      <c r="BE853" s="113"/>
      <c r="BF853" s="113"/>
      <c r="BG853" s="113"/>
      <c r="BH853" s="113"/>
      <c r="BI853" s="113"/>
      <c r="BJ853" s="46">
        <v>0</v>
      </c>
      <c r="BK853" s="113"/>
      <c r="BL853" s="113"/>
      <c r="BM853" s="113"/>
      <c r="BN853" s="113"/>
      <c r="BO853" s="113"/>
      <c r="BP853" s="121"/>
      <c r="BQ853" s="121"/>
      <c r="GA853" t="s">
        <v>114</v>
      </c>
      <c r="GB853" t="s">
        <v>22996</v>
      </c>
      <c r="GC853" s="46">
        <v>0</v>
      </c>
      <c r="GD853" s="113"/>
      <c r="GE853" s="113"/>
      <c r="GF853" s="113"/>
      <c r="GG853" s="113"/>
      <c r="GH853" s="113"/>
      <c r="GI853" s="46">
        <v>0</v>
      </c>
      <c r="GJ853" s="113"/>
      <c r="GK853" s="113"/>
      <c r="GL853" s="113"/>
      <c r="GM853" s="113"/>
      <c r="GN853" s="113"/>
      <c r="GO853" s="46">
        <v>0</v>
      </c>
      <c r="GP853" s="113"/>
      <c r="GQ853" s="113"/>
      <c r="GR853" s="113"/>
      <c r="GS853" s="113"/>
      <c r="GT853" s="113"/>
      <c r="GU853" s="46">
        <v>0</v>
      </c>
      <c r="GV853" s="113"/>
      <c r="GW853" s="113"/>
      <c r="GX853" s="113"/>
      <c r="GY853" s="113"/>
      <c r="GZ853" s="113"/>
      <c r="HA853" s="46">
        <v>0</v>
      </c>
      <c r="HB853" s="113"/>
      <c r="HC853" s="113"/>
      <c r="HD853" s="113"/>
      <c r="HE853" s="113"/>
      <c r="HF853" s="113"/>
      <c r="HG853" s="46">
        <v>0</v>
      </c>
      <c r="HH853" s="113"/>
      <c r="HI853" s="113"/>
      <c r="HJ853" s="113"/>
      <c r="HK853" s="113"/>
      <c r="HL853" s="113"/>
      <c r="HM853" s="121"/>
      <c r="HN853" s="121"/>
      <c r="LM853" t="str">
        <v/>
      </c>
      <c r="LN853" t="str">
        <v/>
      </c>
      <c r="LO853" t="str">
        <v/>
      </c>
    </row>
    <row r="854" spans="30:327">
      <c r="AD854" t="s">
        <v>114</v>
      </c>
      <c r="AE854" t="s">
        <v>22997</v>
      </c>
      <c r="AF854" s="46">
        <v>0</v>
      </c>
      <c r="AG854" s="113"/>
      <c r="AH854" s="113"/>
      <c r="AI854" s="113"/>
      <c r="AJ854" s="113"/>
      <c r="AK854" s="113"/>
      <c r="AL854" s="46">
        <v>0</v>
      </c>
      <c r="AM854" s="113"/>
      <c r="AN854" s="113"/>
      <c r="AO854" s="113"/>
      <c r="AP854" s="113"/>
      <c r="AQ854" s="113"/>
      <c r="AR854" s="46">
        <v>0</v>
      </c>
      <c r="AS854" s="113"/>
      <c r="AT854" s="113"/>
      <c r="AU854" s="113"/>
      <c r="AV854" s="113"/>
      <c r="AW854" s="113"/>
      <c r="AX854" s="46">
        <v>0</v>
      </c>
      <c r="AY854" s="113"/>
      <c r="AZ854" s="113"/>
      <c r="BA854" s="113"/>
      <c r="BB854" s="113"/>
      <c r="BC854" s="113"/>
      <c r="BD854" s="46">
        <v>0</v>
      </c>
      <c r="BE854" s="113"/>
      <c r="BF854" s="113"/>
      <c r="BG854" s="113"/>
      <c r="BH854" s="113"/>
      <c r="BI854" s="113"/>
      <c r="BJ854" s="46">
        <v>0</v>
      </c>
      <c r="BK854" s="113"/>
      <c r="BL854" s="113"/>
      <c r="BM854" s="113"/>
      <c r="BN854" s="113"/>
      <c r="BO854" s="113"/>
      <c r="BP854" s="121"/>
      <c r="BQ854" s="121"/>
      <c r="GA854" t="s">
        <v>114</v>
      </c>
      <c r="GB854" t="s">
        <v>22997</v>
      </c>
      <c r="GC854" s="46">
        <v>0</v>
      </c>
      <c r="GD854" s="113"/>
      <c r="GE854" s="113"/>
      <c r="GF854" s="113"/>
      <c r="GG854" s="113"/>
      <c r="GH854" s="113"/>
      <c r="GI854" s="46">
        <v>0</v>
      </c>
      <c r="GJ854" s="113"/>
      <c r="GK854" s="113"/>
      <c r="GL854" s="113"/>
      <c r="GM854" s="113"/>
      <c r="GN854" s="113"/>
      <c r="GO854" s="46">
        <v>0</v>
      </c>
      <c r="GP854" s="113"/>
      <c r="GQ854" s="113"/>
      <c r="GR854" s="113"/>
      <c r="GS854" s="113"/>
      <c r="GT854" s="113"/>
      <c r="GU854" s="46">
        <v>0</v>
      </c>
      <c r="GV854" s="113"/>
      <c r="GW854" s="113"/>
      <c r="GX854" s="113"/>
      <c r="GY854" s="113"/>
      <c r="GZ854" s="113"/>
      <c r="HA854" s="46">
        <v>0</v>
      </c>
      <c r="HB854" s="113"/>
      <c r="HC854" s="113"/>
      <c r="HD854" s="113"/>
      <c r="HE854" s="113"/>
      <c r="HF854" s="113"/>
      <c r="HG854" s="46">
        <v>0</v>
      </c>
      <c r="HH854" s="113"/>
      <c r="HI854" s="113"/>
      <c r="HJ854" s="113"/>
      <c r="HK854" s="113"/>
      <c r="HL854" s="113"/>
      <c r="HM854" s="121"/>
      <c r="HN854" s="121"/>
      <c r="LM854" t="str">
        <v/>
      </c>
      <c r="LN854" t="str">
        <v/>
      </c>
      <c r="LO854" t="str">
        <v/>
      </c>
    </row>
    <row r="855" spans="30:327">
      <c r="AD855" t="s">
        <v>114</v>
      </c>
      <c r="AE855" t="s">
        <v>22998</v>
      </c>
      <c r="AF855" s="46">
        <v>0</v>
      </c>
      <c r="AG855" s="113"/>
      <c r="AH855" s="113"/>
      <c r="AI855" s="113"/>
      <c r="AJ855" s="113"/>
      <c r="AK855" s="113"/>
      <c r="AL855" s="46">
        <v>0</v>
      </c>
      <c r="AM855" s="113"/>
      <c r="AN855" s="113"/>
      <c r="AO855" s="113"/>
      <c r="AP855" s="113"/>
      <c r="AQ855" s="113"/>
      <c r="AR855" s="46">
        <v>0</v>
      </c>
      <c r="AS855" s="113"/>
      <c r="AT855" s="113"/>
      <c r="AU855" s="113"/>
      <c r="AV855" s="113"/>
      <c r="AW855" s="113"/>
      <c r="AX855" s="46">
        <v>0</v>
      </c>
      <c r="AY855" s="113"/>
      <c r="AZ855" s="113"/>
      <c r="BA855" s="113"/>
      <c r="BB855" s="113"/>
      <c r="BC855" s="113"/>
      <c r="BD855" s="46">
        <v>0</v>
      </c>
      <c r="BE855" s="113"/>
      <c r="BF855" s="113"/>
      <c r="BG855" s="113"/>
      <c r="BH855" s="113"/>
      <c r="BI855" s="113"/>
      <c r="BJ855" s="46">
        <v>0</v>
      </c>
      <c r="BK855" s="113"/>
      <c r="BL855" s="113"/>
      <c r="BM855" s="113"/>
      <c r="BN855" s="113"/>
      <c r="BO855" s="113"/>
      <c r="BP855" s="121"/>
      <c r="BQ855" s="121"/>
      <c r="GA855" t="s">
        <v>114</v>
      </c>
      <c r="GB855" t="s">
        <v>22998</v>
      </c>
      <c r="GC855" s="46">
        <v>0</v>
      </c>
      <c r="GD855" s="113"/>
      <c r="GE855" s="113"/>
      <c r="GF855" s="113"/>
      <c r="GG855" s="113"/>
      <c r="GH855" s="113"/>
      <c r="GI855" s="46">
        <v>0</v>
      </c>
      <c r="GJ855" s="113"/>
      <c r="GK855" s="113"/>
      <c r="GL855" s="113"/>
      <c r="GM855" s="113"/>
      <c r="GN855" s="113"/>
      <c r="GO855" s="46">
        <v>0</v>
      </c>
      <c r="GP855" s="113"/>
      <c r="GQ855" s="113"/>
      <c r="GR855" s="113"/>
      <c r="GS855" s="113"/>
      <c r="GT855" s="113"/>
      <c r="GU855" s="46">
        <v>0</v>
      </c>
      <c r="GV855" s="113"/>
      <c r="GW855" s="113"/>
      <c r="GX855" s="113"/>
      <c r="GY855" s="113"/>
      <c r="GZ855" s="113"/>
      <c r="HA855" s="46">
        <v>0</v>
      </c>
      <c r="HB855" s="113"/>
      <c r="HC855" s="113"/>
      <c r="HD855" s="113"/>
      <c r="HE855" s="113"/>
      <c r="HF855" s="113"/>
      <c r="HG855" s="46">
        <v>0</v>
      </c>
      <c r="HH855" s="113"/>
      <c r="HI855" s="113"/>
      <c r="HJ855" s="113"/>
      <c r="HK855" s="113"/>
      <c r="HL855" s="113"/>
      <c r="HM855" s="121"/>
      <c r="HN855" s="121"/>
      <c r="LM855" t="str">
        <v/>
      </c>
      <c r="LN855" t="str">
        <v/>
      </c>
      <c r="LO855" t="str">
        <v/>
      </c>
    </row>
    <row r="856" spans="30:327">
      <c r="AD856" t="s">
        <v>114</v>
      </c>
      <c r="AE856" t="s">
        <v>22999</v>
      </c>
      <c r="AF856" s="46">
        <v>0</v>
      </c>
      <c r="AG856" s="113"/>
      <c r="AH856" s="113"/>
      <c r="AI856" s="113"/>
      <c r="AJ856" s="113"/>
      <c r="AK856" s="113"/>
      <c r="AL856" s="46">
        <v>0</v>
      </c>
      <c r="AM856" s="113"/>
      <c r="AN856" s="113"/>
      <c r="AO856" s="113"/>
      <c r="AP856" s="113"/>
      <c r="AQ856" s="113"/>
      <c r="AR856" s="46">
        <v>0</v>
      </c>
      <c r="AS856" s="113"/>
      <c r="AT856" s="113"/>
      <c r="AU856" s="113"/>
      <c r="AV856" s="113"/>
      <c r="AW856" s="113"/>
      <c r="AX856" s="46">
        <v>0</v>
      </c>
      <c r="AY856" s="113"/>
      <c r="AZ856" s="113"/>
      <c r="BA856" s="113"/>
      <c r="BB856" s="113"/>
      <c r="BC856" s="113"/>
      <c r="BD856" s="46">
        <v>0</v>
      </c>
      <c r="BE856" s="113"/>
      <c r="BF856" s="113"/>
      <c r="BG856" s="113"/>
      <c r="BH856" s="113"/>
      <c r="BI856" s="113"/>
      <c r="BJ856" s="46">
        <v>0</v>
      </c>
      <c r="BK856" s="113"/>
      <c r="BL856" s="113"/>
      <c r="BM856" s="113"/>
      <c r="BN856" s="113"/>
      <c r="BO856" s="113"/>
      <c r="BP856" s="121"/>
      <c r="BQ856" s="121"/>
      <c r="GA856" t="s">
        <v>114</v>
      </c>
      <c r="GB856" t="s">
        <v>22999</v>
      </c>
      <c r="GC856" s="46">
        <v>0</v>
      </c>
      <c r="GD856" s="113"/>
      <c r="GE856" s="113"/>
      <c r="GF856" s="113"/>
      <c r="GG856" s="113"/>
      <c r="GH856" s="113"/>
      <c r="GI856" s="46">
        <v>0</v>
      </c>
      <c r="GJ856" s="113"/>
      <c r="GK856" s="113"/>
      <c r="GL856" s="113"/>
      <c r="GM856" s="113"/>
      <c r="GN856" s="113"/>
      <c r="GO856" s="46">
        <v>0</v>
      </c>
      <c r="GP856" s="113"/>
      <c r="GQ856" s="113"/>
      <c r="GR856" s="113"/>
      <c r="GS856" s="113"/>
      <c r="GT856" s="113"/>
      <c r="GU856" s="46">
        <v>0</v>
      </c>
      <c r="GV856" s="113"/>
      <c r="GW856" s="113"/>
      <c r="GX856" s="113"/>
      <c r="GY856" s="113"/>
      <c r="GZ856" s="113"/>
      <c r="HA856" s="46">
        <v>0</v>
      </c>
      <c r="HB856" s="113"/>
      <c r="HC856" s="113"/>
      <c r="HD856" s="113"/>
      <c r="HE856" s="113"/>
      <c r="HF856" s="113"/>
      <c r="HG856" s="46">
        <v>0</v>
      </c>
      <c r="HH856" s="113"/>
      <c r="HI856" s="113"/>
      <c r="HJ856" s="113"/>
      <c r="HK856" s="113"/>
      <c r="HL856" s="113"/>
      <c r="HM856" s="121"/>
      <c r="HN856" s="121"/>
      <c r="LM856" t="str">
        <v/>
      </c>
      <c r="LN856" t="str">
        <v/>
      </c>
      <c r="LO856" t="str">
        <v/>
      </c>
    </row>
    <row r="857" spans="30:327">
      <c r="AD857" t="s">
        <v>114</v>
      </c>
      <c r="AE857" t="s">
        <v>23000</v>
      </c>
      <c r="AF857" s="46">
        <v>0</v>
      </c>
      <c r="AG857" s="113"/>
      <c r="AH857" s="113"/>
      <c r="AI857" s="113"/>
      <c r="AJ857" s="113"/>
      <c r="AK857" s="113"/>
      <c r="AL857" s="46">
        <v>0</v>
      </c>
      <c r="AM857" s="113"/>
      <c r="AN857" s="113"/>
      <c r="AO857" s="113"/>
      <c r="AP857" s="113"/>
      <c r="AQ857" s="113"/>
      <c r="AR857" s="46">
        <v>0</v>
      </c>
      <c r="AS857" s="113"/>
      <c r="AT857" s="113"/>
      <c r="AU857" s="113"/>
      <c r="AV857" s="113"/>
      <c r="AW857" s="113"/>
      <c r="AX857" s="46">
        <v>0</v>
      </c>
      <c r="AY857" s="113"/>
      <c r="AZ857" s="113"/>
      <c r="BA857" s="113"/>
      <c r="BB857" s="113"/>
      <c r="BC857" s="113"/>
      <c r="BD857" s="46">
        <v>0</v>
      </c>
      <c r="BE857" s="113"/>
      <c r="BF857" s="113"/>
      <c r="BG857" s="113"/>
      <c r="BH857" s="113"/>
      <c r="BI857" s="113"/>
      <c r="BJ857" s="46">
        <v>0</v>
      </c>
      <c r="BK857" s="113"/>
      <c r="BL857" s="113"/>
      <c r="BM857" s="113"/>
      <c r="BN857" s="113"/>
      <c r="BO857" s="113"/>
      <c r="BP857" s="121"/>
      <c r="BQ857" s="121"/>
      <c r="GA857" t="s">
        <v>114</v>
      </c>
      <c r="GB857" t="s">
        <v>23000</v>
      </c>
      <c r="GC857" s="46">
        <v>0</v>
      </c>
      <c r="GD857" s="113"/>
      <c r="GE857" s="113"/>
      <c r="GF857" s="113"/>
      <c r="GG857" s="113"/>
      <c r="GH857" s="113"/>
      <c r="GI857" s="46">
        <v>0</v>
      </c>
      <c r="GJ857" s="113"/>
      <c r="GK857" s="113"/>
      <c r="GL857" s="113"/>
      <c r="GM857" s="113"/>
      <c r="GN857" s="113"/>
      <c r="GO857" s="46">
        <v>0</v>
      </c>
      <c r="GP857" s="113"/>
      <c r="GQ857" s="113"/>
      <c r="GR857" s="113"/>
      <c r="GS857" s="113"/>
      <c r="GT857" s="113"/>
      <c r="GU857" s="46">
        <v>0</v>
      </c>
      <c r="GV857" s="113"/>
      <c r="GW857" s="113"/>
      <c r="GX857" s="113"/>
      <c r="GY857" s="113"/>
      <c r="GZ857" s="113"/>
      <c r="HA857" s="46">
        <v>0</v>
      </c>
      <c r="HB857" s="113"/>
      <c r="HC857" s="113"/>
      <c r="HD857" s="113"/>
      <c r="HE857" s="113"/>
      <c r="HF857" s="113"/>
      <c r="HG857" s="46">
        <v>0</v>
      </c>
      <c r="HH857" s="113"/>
      <c r="HI857" s="113"/>
      <c r="HJ857" s="113"/>
      <c r="HK857" s="113"/>
      <c r="HL857" s="113"/>
      <c r="HM857" s="121"/>
      <c r="HN857" s="121"/>
      <c r="LM857" t="str">
        <v/>
      </c>
      <c r="LN857" t="str">
        <v/>
      </c>
      <c r="LO857" t="str">
        <v/>
      </c>
    </row>
    <row r="858" spans="30:327">
      <c r="AD858" t="s">
        <v>114</v>
      </c>
      <c r="AE858" t="s">
        <v>23001</v>
      </c>
      <c r="AF858" s="46">
        <v>0</v>
      </c>
      <c r="AG858" s="113"/>
      <c r="AH858" s="113"/>
      <c r="AI858" s="113"/>
      <c r="AJ858" s="113"/>
      <c r="AK858" s="113"/>
      <c r="AL858" s="46">
        <v>0</v>
      </c>
      <c r="AM858" s="113"/>
      <c r="AN858" s="113"/>
      <c r="AO858" s="113"/>
      <c r="AP858" s="113"/>
      <c r="AQ858" s="113"/>
      <c r="AR858" s="46">
        <v>0</v>
      </c>
      <c r="AS858" s="113"/>
      <c r="AT858" s="113"/>
      <c r="AU858" s="113"/>
      <c r="AV858" s="113"/>
      <c r="AW858" s="113"/>
      <c r="AX858" s="46">
        <v>0</v>
      </c>
      <c r="AY858" s="113"/>
      <c r="AZ858" s="113"/>
      <c r="BA858" s="113"/>
      <c r="BB858" s="113"/>
      <c r="BC858" s="113"/>
      <c r="BD858" s="46">
        <v>0</v>
      </c>
      <c r="BE858" s="113"/>
      <c r="BF858" s="113"/>
      <c r="BG858" s="113"/>
      <c r="BH858" s="113"/>
      <c r="BI858" s="113"/>
      <c r="BJ858" s="46">
        <v>0</v>
      </c>
      <c r="BK858" s="113"/>
      <c r="BL858" s="113"/>
      <c r="BM858" s="113"/>
      <c r="BN858" s="113"/>
      <c r="BO858" s="113"/>
      <c r="BP858" s="121"/>
      <c r="BQ858" s="121"/>
      <c r="GA858" t="s">
        <v>114</v>
      </c>
      <c r="GB858" t="s">
        <v>23001</v>
      </c>
      <c r="GC858" s="46">
        <v>0</v>
      </c>
      <c r="GD858" s="113"/>
      <c r="GE858" s="113"/>
      <c r="GF858" s="113"/>
      <c r="GG858" s="113"/>
      <c r="GH858" s="113"/>
      <c r="GI858" s="46">
        <v>0</v>
      </c>
      <c r="GJ858" s="113"/>
      <c r="GK858" s="113"/>
      <c r="GL858" s="113"/>
      <c r="GM858" s="113"/>
      <c r="GN858" s="113"/>
      <c r="GO858" s="46">
        <v>0</v>
      </c>
      <c r="GP858" s="113"/>
      <c r="GQ858" s="113"/>
      <c r="GR858" s="113"/>
      <c r="GS858" s="113"/>
      <c r="GT858" s="113"/>
      <c r="GU858" s="46">
        <v>0</v>
      </c>
      <c r="GV858" s="113"/>
      <c r="GW858" s="113"/>
      <c r="GX858" s="113"/>
      <c r="GY858" s="113"/>
      <c r="GZ858" s="113"/>
      <c r="HA858" s="46">
        <v>0</v>
      </c>
      <c r="HB858" s="113"/>
      <c r="HC858" s="113"/>
      <c r="HD858" s="113"/>
      <c r="HE858" s="113"/>
      <c r="HF858" s="113"/>
      <c r="HG858" s="46">
        <v>0</v>
      </c>
      <c r="HH858" s="113"/>
      <c r="HI858" s="113"/>
      <c r="HJ858" s="113"/>
      <c r="HK858" s="113"/>
      <c r="HL858" s="113"/>
      <c r="HM858" s="121"/>
      <c r="HN858" s="121"/>
      <c r="LM858" t="str">
        <v/>
      </c>
      <c r="LN858" t="str">
        <v/>
      </c>
      <c r="LO858" t="str">
        <v/>
      </c>
    </row>
    <row r="859" spans="30:327">
      <c r="AD859" t="s">
        <v>114</v>
      </c>
      <c r="AE859" t="s">
        <v>23002</v>
      </c>
      <c r="AF859" s="46">
        <v>0</v>
      </c>
      <c r="AG859" s="113"/>
      <c r="AH859" s="113"/>
      <c r="AI859" s="113"/>
      <c r="AJ859" s="113"/>
      <c r="AK859" s="113"/>
      <c r="AL859" s="46">
        <v>0</v>
      </c>
      <c r="AM859" s="113"/>
      <c r="AN859" s="113"/>
      <c r="AO859" s="113"/>
      <c r="AP859" s="113"/>
      <c r="AQ859" s="113"/>
      <c r="AR859" s="46">
        <v>0</v>
      </c>
      <c r="AS859" s="113"/>
      <c r="AT859" s="113"/>
      <c r="AU859" s="113"/>
      <c r="AV859" s="113"/>
      <c r="AW859" s="113"/>
      <c r="AX859" s="46">
        <v>0</v>
      </c>
      <c r="AY859" s="113"/>
      <c r="AZ859" s="113"/>
      <c r="BA859" s="113"/>
      <c r="BB859" s="113"/>
      <c r="BC859" s="113"/>
      <c r="BD859" s="46">
        <v>0</v>
      </c>
      <c r="BE859" s="113"/>
      <c r="BF859" s="113"/>
      <c r="BG859" s="113"/>
      <c r="BH859" s="113"/>
      <c r="BI859" s="113"/>
      <c r="BJ859" s="46">
        <v>0</v>
      </c>
      <c r="BK859" s="113"/>
      <c r="BL859" s="113"/>
      <c r="BM859" s="113"/>
      <c r="BN859" s="113"/>
      <c r="BO859" s="113"/>
      <c r="BP859" s="121"/>
      <c r="BQ859" s="121"/>
      <c r="GA859" t="s">
        <v>114</v>
      </c>
      <c r="GB859" t="s">
        <v>23002</v>
      </c>
      <c r="GC859" s="46">
        <v>0</v>
      </c>
      <c r="GD859" s="113"/>
      <c r="GE859" s="113"/>
      <c r="GF859" s="113"/>
      <c r="GG859" s="113"/>
      <c r="GH859" s="113"/>
      <c r="GI859" s="46">
        <v>0</v>
      </c>
      <c r="GJ859" s="113"/>
      <c r="GK859" s="113"/>
      <c r="GL859" s="113"/>
      <c r="GM859" s="113"/>
      <c r="GN859" s="113"/>
      <c r="GO859" s="46">
        <v>0</v>
      </c>
      <c r="GP859" s="113"/>
      <c r="GQ859" s="113"/>
      <c r="GR859" s="113"/>
      <c r="GS859" s="113"/>
      <c r="GT859" s="113"/>
      <c r="GU859" s="46">
        <v>0</v>
      </c>
      <c r="GV859" s="113"/>
      <c r="GW859" s="113"/>
      <c r="GX859" s="113"/>
      <c r="GY859" s="113"/>
      <c r="GZ859" s="113"/>
      <c r="HA859" s="46">
        <v>0</v>
      </c>
      <c r="HB859" s="113"/>
      <c r="HC859" s="113"/>
      <c r="HD859" s="113"/>
      <c r="HE859" s="113"/>
      <c r="HF859" s="113"/>
      <c r="HG859" s="46">
        <v>0</v>
      </c>
      <c r="HH859" s="113"/>
      <c r="HI859" s="113"/>
      <c r="HJ859" s="113"/>
      <c r="HK859" s="113"/>
      <c r="HL859" s="113"/>
      <c r="HM859" s="121"/>
      <c r="HN859" s="121"/>
      <c r="LM859" t="str">
        <v/>
      </c>
      <c r="LN859" t="str">
        <v/>
      </c>
      <c r="LO859" t="str">
        <v/>
      </c>
    </row>
    <row r="860" spans="30:327">
      <c r="AD860" t="s">
        <v>114</v>
      </c>
      <c r="AE860" t="s">
        <v>23003</v>
      </c>
      <c r="AF860" s="46">
        <v>0</v>
      </c>
      <c r="AG860" s="113"/>
      <c r="AH860" s="113"/>
      <c r="AI860" s="113"/>
      <c r="AJ860" s="113"/>
      <c r="AK860" s="113"/>
      <c r="AL860" s="46">
        <v>0</v>
      </c>
      <c r="AM860" s="113"/>
      <c r="AN860" s="113"/>
      <c r="AO860" s="113"/>
      <c r="AP860" s="113"/>
      <c r="AQ860" s="113"/>
      <c r="AR860" s="46">
        <v>0</v>
      </c>
      <c r="AS860" s="113"/>
      <c r="AT860" s="113"/>
      <c r="AU860" s="113"/>
      <c r="AV860" s="113"/>
      <c r="AW860" s="113"/>
      <c r="AX860" s="46">
        <v>0</v>
      </c>
      <c r="AY860" s="113"/>
      <c r="AZ860" s="113"/>
      <c r="BA860" s="113"/>
      <c r="BB860" s="113"/>
      <c r="BC860" s="113"/>
      <c r="BD860" s="46">
        <v>0</v>
      </c>
      <c r="BE860" s="113"/>
      <c r="BF860" s="113"/>
      <c r="BG860" s="113"/>
      <c r="BH860" s="113"/>
      <c r="BI860" s="113"/>
      <c r="BJ860" s="46">
        <v>0</v>
      </c>
      <c r="BK860" s="113"/>
      <c r="BL860" s="113"/>
      <c r="BM860" s="113"/>
      <c r="BN860" s="113"/>
      <c r="BO860" s="113"/>
      <c r="BP860" s="121"/>
      <c r="BQ860" s="121"/>
      <c r="GA860" t="s">
        <v>114</v>
      </c>
      <c r="GB860" t="s">
        <v>23003</v>
      </c>
      <c r="GC860" s="46">
        <v>0</v>
      </c>
      <c r="GD860" s="113"/>
      <c r="GE860" s="113"/>
      <c r="GF860" s="113"/>
      <c r="GG860" s="113"/>
      <c r="GH860" s="113"/>
      <c r="GI860" s="46">
        <v>0</v>
      </c>
      <c r="GJ860" s="113"/>
      <c r="GK860" s="113"/>
      <c r="GL860" s="113"/>
      <c r="GM860" s="113"/>
      <c r="GN860" s="113"/>
      <c r="GO860" s="46">
        <v>0</v>
      </c>
      <c r="GP860" s="113"/>
      <c r="GQ860" s="113"/>
      <c r="GR860" s="113"/>
      <c r="GS860" s="113"/>
      <c r="GT860" s="113"/>
      <c r="GU860" s="46">
        <v>0</v>
      </c>
      <c r="GV860" s="113"/>
      <c r="GW860" s="113"/>
      <c r="GX860" s="113"/>
      <c r="GY860" s="113"/>
      <c r="GZ860" s="113"/>
      <c r="HA860" s="46">
        <v>0</v>
      </c>
      <c r="HB860" s="113"/>
      <c r="HC860" s="113"/>
      <c r="HD860" s="113"/>
      <c r="HE860" s="113"/>
      <c r="HF860" s="113"/>
      <c r="HG860" s="46">
        <v>0</v>
      </c>
      <c r="HH860" s="113"/>
      <c r="HI860" s="113"/>
      <c r="HJ860" s="113"/>
      <c r="HK860" s="113"/>
      <c r="HL860" s="113"/>
      <c r="HM860" s="121"/>
      <c r="HN860" s="121"/>
      <c r="LM860" t="str">
        <v/>
      </c>
      <c r="LN860" t="str">
        <v/>
      </c>
      <c r="LO860" t="str">
        <v/>
      </c>
    </row>
    <row r="861" spans="30:327">
      <c r="AD861" t="s">
        <v>114</v>
      </c>
      <c r="AE861" t="s">
        <v>23004</v>
      </c>
      <c r="AF861" s="46">
        <v>0</v>
      </c>
      <c r="AG861" s="113"/>
      <c r="AH861" s="113"/>
      <c r="AI861" s="113"/>
      <c r="AJ861" s="113"/>
      <c r="AK861" s="113"/>
      <c r="AL861" s="46">
        <v>0</v>
      </c>
      <c r="AM861" s="113"/>
      <c r="AN861" s="113"/>
      <c r="AO861" s="113"/>
      <c r="AP861" s="113"/>
      <c r="AQ861" s="113"/>
      <c r="AR861" s="46">
        <v>0</v>
      </c>
      <c r="AS861" s="113"/>
      <c r="AT861" s="113"/>
      <c r="AU861" s="113"/>
      <c r="AV861" s="113"/>
      <c r="AW861" s="113"/>
      <c r="AX861" s="46">
        <v>0</v>
      </c>
      <c r="AY861" s="113"/>
      <c r="AZ861" s="113"/>
      <c r="BA861" s="113"/>
      <c r="BB861" s="113"/>
      <c r="BC861" s="113"/>
      <c r="BD861" s="46">
        <v>0</v>
      </c>
      <c r="BE861" s="113"/>
      <c r="BF861" s="113"/>
      <c r="BG861" s="113"/>
      <c r="BH861" s="113"/>
      <c r="BI861" s="113"/>
      <c r="BJ861" s="46">
        <v>0</v>
      </c>
      <c r="BK861" s="113"/>
      <c r="BL861" s="113"/>
      <c r="BM861" s="113"/>
      <c r="BN861" s="113"/>
      <c r="BO861" s="113"/>
      <c r="BP861" s="121"/>
      <c r="BQ861" s="121"/>
      <c r="GA861" t="s">
        <v>114</v>
      </c>
      <c r="GB861" t="s">
        <v>23004</v>
      </c>
      <c r="GC861" s="46">
        <v>0</v>
      </c>
      <c r="GD861" s="113"/>
      <c r="GE861" s="113"/>
      <c r="GF861" s="113"/>
      <c r="GG861" s="113"/>
      <c r="GH861" s="113"/>
      <c r="GI861" s="46">
        <v>0</v>
      </c>
      <c r="GJ861" s="113"/>
      <c r="GK861" s="113"/>
      <c r="GL861" s="113"/>
      <c r="GM861" s="113"/>
      <c r="GN861" s="113"/>
      <c r="GO861" s="46">
        <v>0</v>
      </c>
      <c r="GP861" s="113"/>
      <c r="GQ861" s="113"/>
      <c r="GR861" s="113"/>
      <c r="GS861" s="113"/>
      <c r="GT861" s="113"/>
      <c r="GU861" s="46">
        <v>0</v>
      </c>
      <c r="GV861" s="113"/>
      <c r="GW861" s="113"/>
      <c r="GX861" s="113"/>
      <c r="GY861" s="113"/>
      <c r="GZ861" s="113"/>
      <c r="HA861" s="46">
        <v>0</v>
      </c>
      <c r="HB861" s="113"/>
      <c r="HC861" s="113"/>
      <c r="HD861" s="113"/>
      <c r="HE861" s="113"/>
      <c r="HF861" s="113"/>
      <c r="HG861" s="46">
        <v>0</v>
      </c>
      <c r="HH861" s="113"/>
      <c r="HI861" s="113"/>
      <c r="HJ861" s="113"/>
      <c r="HK861" s="113"/>
      <c r="HL861" s="113"/>
      <c r="HM861" s="121"/>
      <c r="HN861" s="121"/>
      <c r="LM861" t="str">
        <v/>
      </c>
      <c r="LN861" t="str">
        <v/>
      </c>
      <c r="LO861" t="str">
        <v/>
      </c>
    </row>
    <row r="862" spans="30:327">
      <c r="AD862" t="s">
        <v>114</v>
      </c>
      <c r="AE862" t="s">
        <v>23005</v>
      </c>
      <c r="AF862" s="46">
        <v>0</v>
      </c>
      <c r="AG862" s="113"/>
      <c r="AH862" s="113"/>
      <c r="AI862" s="113"/>
      <c r="AJ862" s="113"/>
      <c r="AK862" s="113"/>
      <c r="AL862" s="46">
        <v>0</v>
      </c>
      <c r="AM862" s="113"/>
      <c r="AN862" s="113"/>
      <c r="AO862" s="113"/>
      <c r="AP862" s="113"/>
      <c r="AQ862" s="113"/>
      <c r="AR862" s="46">
        <v>0</v>
      </c>
      <c r="AS862" s="113"/>
      <c r="AT862" s="113"/>
      <c r="AU862" s="113"/>
      <c r="AV862" s="113"/>
      <c r="AW862" s="113"/>
      <c r="AX862" s="46">
        <v>0</v>
      </c>
      <c r="AY862" s="113"/>
      <c r="AZ862" s="113"/>
      <c r="BA862" s="113"/>
      <c r="BB862" s="113"/>
      <c r="BC862" s="113"/>
      <c r="BD862" s="46">
        <v>0</v>
      </c>
      <c r="BE862" s="113"/>
      <c r="BF862" s="113"/>
      <c r="BG862" s="113"/>
      <c r="BH862" s="113"/>
      <c r="BI862" s="113"/>
      <c r="BJ862" s="46">
        <v>0</v>
      </c>
      <c r="BK862" s="113"/>
      <c r="BL862" s="113"/>
      <c r="BM862" s="113"/>
      <c r="BN862" s="113"/>
      <c r="BO862" s="113"/>
      <c r="BP862" s="121"/>
      <c r="BQ862" s="121"/>
      <c r="GA862" t="s">
        <v>114</v>
      </c>
      <c r="GB862" t="s">
        <v>23005</v>
      </c>
      <c r="GC862" s="46">
        <v>0</v>
      </c>
      <c r="GD862" s="113"/>
      <c r="GE862" s="113"/>
      <c r="GF862" s="113"/>
      <c r="GG862" s="113"/>
      <c r="GH862" s="113"/>
      <c r="GI862" s="46">
        <v>0</v>
      </c>
      <c r="GJ862" s="113"/>
      <c r="GK862" s="113"/>
      <c r="GL862" s="113"/>
      <c r="GM862" s="113"/>
      <c r="GN862" s="113"/>
      <c r="GO862" s="46">
        <v>0</v>
      </c>
      <c r="GP862" s="113"/>
      <c r="GQ862" s="113"/>
      <c r="GR862" s="113"/>
      <c r="GS862" s="113"/>
      <c r="GT862" s="113"/>
      <c r="GU862" s="46">
        <v>0</v>
      </c>
      <c r="GV862" s="113"/>
      <c r="GW862" s="113"/>
      <c r="GX862" s="113"/>
      <c r="GY862" s="113"/>
      <c r="GZ862" s="113"/>
      <c r="HA862" s="46">
        <v>0</v>
      </c>
      <c r="HB862" s="113"/>
      <c r="HC862" s="113"/>
      <c r="HD862" s="113"/>
      <c r="HE862" s="113"/>
      <c r="HF862" s="113"/>
      <c r="HG862" s="46">
        <v>0</v>
      </c>
      <c r="HH862" s="113"/>
      <c r="HI862" s="113"/>
      <c r="HJ862" s="113"/>
      <c r="HK862" s="113"/>
      <c r="HL862" s="113"/>
      <c r="HM862" s="121"/>
      <c r="HN862" s="121"/>
      <c r="LM862" t="str">
        <v/>
      </c>
      <c r="LN862" t="str">
        <v/>
      </c>
      <c r="LO862" t="str">
        <v/>
      </c>
    </row>
    <row r="863" spans="30:327">
      <c r="AD863" t="s">
        <v>114</v>
      </c>
      <c r="AE863" t="s">
        <v>23006</v>
      </c>
      <c r="AF863" s="46">
        <v>0</v>
      </c>
      <c r="AG863" s="113"/>
      <c r="AH863" s="113"/>
      <c r="AI863" s="113"/>
      <c r="AJ863" s="113"/>
      <c r="AK863" s="113"/>
      <c r="AL863" s="46">
        <v>0</v>
      </c>
      <c r="AM863" s="113"/>
      <c r="AN863" s="113"/>
      <c r="AO863" s="113"/>
      <c r="AP863" s="113"/>
      <c r="AQ863" s="113"/>
      <c r="AR863" s="46">
        <v>0</v>
      </c>
      <c r="AS863" s="113"/>
      <c r="AT863" s="113"/>
      <c r="AU863" s="113"/>
      <c r="AV863" s="113"/>
      <c r="AW863" s="113"/>
      <c r="AX863" s="46">
        <v>0</v>
      </c>
      <c r="AY863" s="113"/>
      <c r="AZ863" s="113"/>
      <c r="BA863" s="113"/>
      <c r="BB863" s="113"/>
      <c r="BC863" s="113"/>
      <c r="BD863" s="46">
        <v>0</v>
      </c>
      <c r="BE863" s="113"/>
      <c r="BF863" s="113"/>
      <c r="BG863" s="113"/>
      <c r="BH863" s="113"/>
      <c r="BI863" s="113"/>
      <c r="BJ863" s="46">
        <v>0</v>
      </c>
      <c r="BK863" s="113"/>
      <c r="BL863" s="113"/>
      <c r="BM863" s="113"/>
      <c r="BN863" s="113"/>
      <c r="BO863" s="113"/>
      <c r="BP863" s="121"/>
      <c r="BQ863" s="121"/>
      <c r="GA863" t="s">
        <v>114</v>
      </c>
      <c r="GB863" t="s">
        <v>23006</v>
      </c>
      <c r="GC863" s="46">
        <v>0</v>
      </c>
      <c r="GD863" s="113"/>
      <c r="GE863" s="113"/>
      <c r="GF863" s="113"/>
      <c r="GG863" s="113"/>
      <c r="GH863" s="113"/>
      <c r="GI863" s="46">
        <v>0</v>
      </c>
      <c r="GJ863" s="113"/>
      <c r="GK863" s="113"/>
      <c r="GL863" s="113"/>
      <c r="GM863" s="113"/>
      <c r="GN863" s="113"/>
      <c r="GO863" s="46">
        <v>0</v>
      </c>
      <c r="GP863" s="113"/>
      <c r="GQ863" s="113"/>
      <c r="GR863" s="113"/>
      <c r="GS863" s="113"/>
      <c r="GT863" s="113"/>
      <c r="GU863" s="46">
        <v>0</v>
      </c>
      <c r="GV863" s="113"/>
      <c r="GW863" s="113"/>
      <c r="GX863" s="113"/>
      <c r="GY863" s="113"/>
      <c r="GZ863" s="113"/>
      <c r="HA863" s="46">
        <v>0</v>
      </c>
      <c r="HB863" s="113"/>
      <c r="HC863" s="113"/>
      <c r="HD863" s="113"/>
      <c r="HE863" s="113"/>
      <c r="HF863" s="113"/>
      <c r="HG863" s="46">
        <v>0</v>
      </c>
      <c r="HH863" s="113"/>
      <c r="HI863" s="113"/>
      <c r="HJ863" s="113"/>
      <c r="HK863" s="113"/>
      <c r="HL863" s="113"/>
      <c r="HM863" s="121"/>
      <c r="HN863" s="121"/>
      <c r="LM863" t="str">
        <v/>
      </c>
      <c r="LN863" t="str">
        <v/>
      </c>
      <c r="LO863" t="str">
        <v/>
      </c>
    </row>
    <row r="864" spans="30:327">
      <c r="AD864" t="s">
        <v>114</v>
      </c>
      <c r="AE864" t="s">
        <v>23007</v>
      </c>
      <c r="AF864" s="46">
        <v>0</v>
      </c>
      <c r="AG864" s="113"/>
      <c r="AH864" s="113"/>
      <c r="AI864" s="113"/>
      <c r="AJ864" s="113"/>
      <c r="AK864" s="113"/>
      <c r="AL864" s="46">
        <v>0</v>
      </c>
      <c r="AM864" s="113"/>
      <c r="AN864" s="113"/>
      <c r="AO864" s="113"/>
      <c r="AP864" s="113"/>
      <c r="AQ864" s="113"/>
      <c r="AR864" s="46">
        <v>0</v>
      </c>
      <c r="AS864" s="113"/>
      <c r="AT864" s="113"/>
      <c r="AU864" s="113"/>
      <c r="AV864" s="113"/>
      <c r="AW864" s="113"/>
      <c r="AX864" s="46">
        <v>0</v>
      </c>
      <c r="AY864" s="113"/>
      <c r="AZ864" s="113"/>
      <c r="BA864" s="113"/>
      <c r="BB864" s="113"/>
      <c r="BC864" s="113"/>
      <c r="BD864" s="46">
        <v>0</v>
      </c>
      <c r="BE864" s="113"/>
      <c r="BF864" s="113"/>
      <c r="BG864" s="113"/>
      <c r="BH864" s="113"/>
      <c r="BI864" s="113"/>
      <c r="BJ864" s="46">
        <v>0</v>
      </c>
      <c r="BK864" s="113"/>
      <c r="BL864" s="113"/>
      <c r="BM864" s="113"/>
      <c r="BN864" s="113"/>
      <c r="BO864" s="113"/>
      <c r="BP864" s="121"/>
      <c r="BQ864" s="121"/>
      <c r="GA864" t="s">
        <v>114</v>
      </c>
      <c r="GB864" t="s">
        <v>23007</v>
      </c>
      <c r="GC864" s="46">
        <v>0</v>
      </c>
      <c r="GD864" s="113"/>
      <c r="GE864" s="113"/>
      <c r="GF864" s="113"/>
      <c r="GG864" s="113"/>
      <c r="GH864" s="113"/>
      <c r="GI864" s="46">
        <v>0</v>
      </c>
      <c r="GJ864" s="113"/>
      <c r="GK864" s="113"/>
      <c r="GL864" s="113"/>
      <c r="GM864" s="113"/>
      <c r="GN864" s="113"/>
      <c r="GO864" s="46">
        <v>0</v>
      </c>
      <c r="GP864" s="113"/>
      <c r="GQ864" s="113"/>
      <c r="GR864" s="113"/>
      <c r="GS864" s="113"/>
      <c r="GT864" s="113"/>
      <c r="GU864" s="46">
        <v>0</v>
      </c>
      <c r="GV864" s="113"/>
      <c r="GW864" s="113"/>
      <c r="GX864" s="113"/>
      <c r="GY864" s="113"/>
      <c r="GZ864" s="113"/>
      <c r="HA864" s="46">
        <v>0</v>
      </c>
      <c r="HB864" s="113"/>
      <c r="HC864" s="113"/>
      <c r="HD864" s="113"/>
      <c r="HE864" s="113"/>
      <c r="HF864" s="113"/>
      <c r="HG864" s="46">
        <v>0</v>
      </c>
      <c r="HH864" s="113"/>
      <c r="HI864" s="113"/>
      <c r="HJ864" s="113"/>
      <c r="HK864" s="113"/>
      <c r="HL864" s="113"/>
      <c r="HM864" s="121"/>
      <c r="HN864" s="121"/>
      <c r="LM864" t="str">
        <v/>
      </c>
      <c r="LN864" t="str">
        <v/>
      </c>
      <c r="LO864" t="str">
        <v/>
      </c>
    </row>
    <row r="865" spans="30:327">
      <c r="AD865" t="s">
        <v>114</v>
      </c>
      <c r="AE865" t="s">
        <v>23008</v>
      </c>
      <c r="AF865" s="46">
        <v>0</v>
      </c>
      <c r="AG865" s="113"/>
      <c r="AH865" s="113"/>
      <c r="AI865" s="113"/>
      <c r="AJ865" s="113"/>
      <c r="AK865" s="113"/>
      <c r="AL865" s="46">
        <v>0</v>
      </c>
      <c r="AM865" s="113"/>
      <c r="AN865" s="113"/>
      <c r="AO865" s="113"/>
      <c r="AP865" s="113"/>
      <c r="AQ865" s="113"/>
      <c r="AR865" s="46">
        <v>0</v>
      </c>
      <c r="AS865" s="113"/>
      <c r="AT865" s="113"/>
      <c r="AU865" s="113"/>
      <c r="AV865" s="113"/>
      <c r="AW865" s="113"/>
      <c r="AX865" s="46">
        <v>0</v>
      </c>
      <c r="AY865" s="113"/>
      <c r="AZ865" s="113"/>
      <c r="BA865" s="113"/>
      <c r="BB865" s="113"/>
      <c r="BC865" s="113"/>
      <c r="BD865" s="46">
        <v>0</v>
      </c>
      <c r="BE865" s="113"/>
      <c r="BF865" s="113"/>
      <c r="BG865" s="113"/>
      <c r="BH865" s="113"/>
      <c r="BI865" s="113"/>
      <c r="BJ865" s="46">
        <v>0</v>
      </c>
      <c r="BK865" s="113"/>
      <c r="BL865" s="113"/>
      <c r="BM865" s="113"/>
      <c r="BN865" s="113"/>
      <c r="BO865" s="113"/>
      <c r="BP865" s="121"/>
      <c r="BQ865" s="121"/>
      <c r="GA865" t="s">
        <v>114</v>
      </c>
      <c r="GB865" t="s">
        <v>23008</v>
      </c>
      <c r="GC865" s="46">
        <v>0</v>
      </c>
      <c r="GD865" s="113"/>
      <c r="GE865" s="113"/>
      <c r="GF865" s="113"/>
      <c r="GG865" s="113"/>
      <c r="GH865" s="113"/>
      <c r="GI865" s="46">
        <v>0</v>
      </c>
      <c r="GJ865" s="113"/>
      <c r="GK865" s="113"/>
      <c r="GL865" s="113"/>
      <c r="GM865" s="113"/>
      <c r="GN865" s="113"/>
      <c r="GO865" s="46">
        <v>0</v>
      </c>
      <c r="GP865" s="113"/>
      <c r="GQ865" s="113"/>
      <c r="GR865" s="113"/>
      <c r="GS865" s="113"/>
      <c r="GT865" s="113"/>
      <c r="GU865" s="46">
        <v>0</v>
      </c>
      <c r="GV865" s="113"/>
      <c r="GW865" s="113"/>
      <c r="GX865" s="113"/>
      <c r="GY865" s="113"/>
      <c r="GZ865" s="113"/>
      <c r="HA865" s="46">
        <v>0</v>
      </c>
      <c r="HB865" s="113"/>
      <c r="HC865" s="113"/>
      <c r="HD865" s="113"/>
      <c r="HE865" s="113"/>
      <c r="HF865" s="113"/>
      <c r="HG865" s="46">
        <v>0</v>
      </c>
      <c r="HH865" s="113"/>
      <c r="HI865" s="113"/>
      <c r="HJ865" s="113"/>
      <c r="HK865" s="113"/>
      <c r="HL865" s="113"/>
      <c r="HM865" s="121"/>
      <c r="HN865" s="121"/>
      <c r="LM865" t="str">
        <v/>
      </c>
      <c r="LN865" t="str">
        <v/>
      </c>
      <c r="LO865" t="str">
        <v/>
      </c>
    </row>
    <row r="866" spans="30:327">
      <c r="AD866" t="s">
        <v>114</v>
      </c>
      <c r="AE866" t="s">
        <v>23009</v>
      </c>
      <c r="AF866" s="46">
        <v>0</v>
      </c>
      <c r="AG866" s="113"/>
      <c r="AH866" s="113"/>
      <c r="AI866" s="113"/>
      <c r="AJ866" s="113"/>
      <c r="AK866" s="113"/>
      <c r="AL866" s="46">
        <v>0</v>
      </c>
      <c r="AM866" s="113"/>
      <c r="AN866" s="113"/>
      <c r="AO866" s="113"/>
      <c r="AP866" s="113"/>
      <c r="AQ866" s="113"/>
      <c r="AR866" s="46">
        <v>0</v>
      </c>
      <c r="AS866" s="113"/>
      <c r="AT866" s="113"/>
      <c r="AU866" s="113"/>
      <c r="AV866" s="113"/>
      <c r="AW866" s="113"/>
      <c r="AX866" s="46">
        <v>0</v>
      </c>
      <c r="AY866" s="113"/>
      <c r="AZ866" s="113"/>
      <c r="BA866" s="113"/>
      <c r="BB866" s="113"/>
      <c r="BC866" s="113"/>
      <c r="BD866" s="46">
        <v>0</v>
      </c>
      <c r="BE866" s="113"/>
      <c r="BF866" s="113"/>
      <c r="BG866" s="113"/>
      <c r="BH866" s="113"/>
      <c r="BI866" s="113"/>
      <c r="BJ866" s="46">
        <v>0</v>
      </c>
      <c r="BK866" s="113"/>
      <c r="BL866" s="113"/>
      <c r="BM866" s="113"/>
      <c r="BN866" s="113"/>
      <c r="BO866" s="113"/>
      <c r="BP866" s="121"/>
      <c r="BQ866" s="121"/>
      <c r="GA866" t="s">
        <v>114</v>
      </c>
      <c r="GB866" t="s">
        <v>23009</v>
      </c>
      <c r="GC866" s="46">
        <v>0</v>
      </c>
      <c r="GD866" s="113"/>
      <c r="GE866" s="113"/>
      <c r="GF866" s="113"/>
      <c r="GG866" s="113"/>
      <c r="GH866" s="113"/>
      <c r="GI866" s="46">
        <v>0</v>
      </c>
      <c r="GJ866" s="113"/>
      <c r="GK866" s="113"/>
      <c r="GL866" s="113"/>
      <c r="GM866" s="113"/>
      <c r="GN866" s="113"/>
      <c r="GO866" s="46">
        <v>0</v>
      </c>
      <c r="GP866" s="113"/>
      <c r="GQ866" s="113"/>
      <c r="GR866" s="113"/>
      <c r="GS866" s="113"/>
      <c r="GT866" s="113"/>
      <c r="GU866" s="46">
        <v>0</v>
      </c>
      <c r="GV866" s="113"/>
      <c r="GW866" s="113"/>
      <c r="GX866" s="113"/>
      <c r="GY866" s="113"/>
      <c r="GZ866" s="113"/>
      <c r="HA866" s="46">
        <v>0</v>
      </c>
      <c r="HB866" s="113"/>
      <c r="HC866" s="113"/>
      <c r="HD866" s="113"/>
      <c r="HE866" s="113"/>
      <c r="HF866" s="113"/>
      <c r="HG866" s="46">
        <v>0</v>
      </c>
      <c r="HH866" s="113"/>
      <c r="HI866" s="113"/>
      <c r="HJ866" s="113"/>
      <c r="HK866" s="113"/>
      <c r="HL866" s="113"/>
      <c r="HM866" s="121"/>
      <c r="HN866" s="121"/>
      <c r="LM866" t="str">
        <v/>
      </c>
      <c r="LN866" t="str">
        <v/>
      </c>
      <c r="LO866" t="str">
        <v/>
      </c>
    </row>
    <row r="867" spans="30:327">
      <c r="AD867" t="s">
        <v>114</v>
      </c>
      <c r="AE867" t="s">
        <v>23010</v>
      </c>
      <c r="AF867" s="46">
        <v>0</v>
      </c>
      <c r="AG867" s="113"/>
      <c r="AH867" s="113"/>
      <c r="AI867" s="113"/>
      <c r="AJ867" s="113"/>
      <c r="AK867" s="113"/>
      <c r="AL867" s="46">
        <v>0</v>
      </c>
      <c r="AM867" s="113"/>
      <c r="AN867" s="113"/>
      <c r="AO867" s="113"/>
      <c r="AP867" s="113"/>
      <c r="AQ867" s="113"/>
      <c r="AR867" s="46">
        <v>0</v>
      </c>
      <c r="AS867" s="113"/>
      <c r="AT867" s="113"/>
      <c r="AU867" s="113"/>
      <c r="AV867" s="113"/>
      <c r="AW867" s="113"/>
      <c r="AX867" s="46">
        <v>0</v>
      </c>
      <c r="AY867" s="113"/>
      <c r="AZ867" s="113"/>
      <c r="BA867" s="113"/>
      <c r="BB867" s="113"/>
      <c r="BC867" s="113"/>
      <c r="BD867" s="46">
        <v>0</v>
      </c>
      <c r="BE867" s="113"/>
      <c r="BF867" s="113"/>
      <c r="BG867" s="113"/>
      <c r="BH867" s="113"/>
      <c r="BI867" s="113"/>
      <c r="BJ867" s="46">
        <v>0</v>
      </c>
      <c r="BK867" s="113"/>
      <c r="BL867" s="113"/>
      <c r="BM867" s="113"/>
      <c r="BN867" s="113"/>
      <c r="BO867" s="113"/>
      <c r="BP867" s="121"/>
      <c r="BQ867" s="121"/>
      <c r="GA867" t="s">
        <v>114</v>
      </c>
      <c r="GB867" t="s">
        <v>23010</v>
      </c>
      <c r="GC867" s="46">
        <v>0</v>
      </c>
      <c r="GD867" s="113"/>
      <c r="GE867" s="113"/>
      <c r="GF867" s="113"/>
      <c r="GG867" s="113"/>
      <c r="GH867" s="113"/>
      <c r="GI867" s="46">
        <v>0</v>
      </c>
      <c r="GJ867" s="113"/>
      <c r="GK867" s="113"/>
      <c r="GL867" s="113"/>
      <c r="GM867" s="113"/>
      <c r="GN867" s="113"/>
      <c r="GO867" s="46">
        <v>0</v>
      </c>
      <c r="GP867" s="113"/>
      <c r="GQ867" s="113"/>
      <c r="GR867" s="113"/>
      <c r="GS867" s="113"/>
      <c r="GT867" s="113"/>
      <c r="GU867" s="46">
        <v>0</v>
      </c>
      <c r="GV867" s="113"/>
      <c r="GW867" s="113"/>
      <c r="GX867" s="113"/>
      <c r="GY867" s="113"/>
      <c r="GZ867" s="113"/>
      <c r="HA867" s="46">
        <v>0</v>
      </c>
      <c r="HB867" s="113"/>
      <c r="HC867" s="113"/>
      <c r="HD867" s="113"/>
      <c r="HE867" s="113"/>
      <c r="HF867" s="113"/>
      <c r="HG867" s="46">
        <v>0</v>
      </c>
      <c r="HH867" s="113"/>
      <c r="HI867" s="113"/>
      <c r="HJ867" s="113"/>
      <c r="HK867" s="113"/>
      <c r="HL867" s="113"/>
      <c r="HM867" s="121"/>
      <c r="HN867" s="121"/>
      <c r="LM867" t="str">
        <v/>
      </c>
      <c r="LN867" t="str">
        <v/>
      </c>
      <c r="LO867" t="str">
        <v/>
      </c>
    </row>
    <row r="868" spans="30:327">
      <c r="AD868" t="s">
        <v>114</v>
      </c>
      <c r="AE868" t="s">
        <v>23011</v>
      </c>
      <c r="AF868" s="46">
        <v>0</v>
      </c>
      <c r="AG868" s="113"/>
      <c r="AH868" s="113"/>
      <c r="AI868" s="113"/>
      <c r="AJ868" s="113"/>
      <c r="AK868" s="113"/>
      <c r="AL868" s="46">
        <v>0</v>
      </c>
      <c r="AM868" s="113"/>
      <c r="AN868" s="113"/>
      <c r="AO868" s="113"/>
      <c r="AP868" s="113"/>
      <c r="AQ868" s="113"/>
      <c r="AR868" s="46">
        <v>0</v>
      </c>
      <c r="AS868" s="113"/>
      <c r="AT868" s="113"/>
      <c r="AU868" s="113"/>
      <c r="AV868" s="113"/>
      <c r="AW868" s="113"/>
      <c r="AX868" s="46">
        <v>0</v>
      </c>
      <c r="AY868" s="113"/>
      <c r="AZ868" s="113"/>
      <c r="BA868" s="113"/>
      <c r="BB868" s="113"/>
      <c r="BC868" s="113"/>
      <c r="BD868" s="46">
        <v>0</v>
      </c>
      <c r="BE868" s="113"/>
      <c r="BF868" s="113"/>
      <c r="BG868" s="113"/>
      <c r="BH868" s="113"/>
      <c r="BI868" s="113"/>
      <c r="BJ868" s="46">
        <v>0</v>
      </c>
      <c r="BK868" s="113"/>
      <c r="BL868" s="113"/>
      <c r="BM868" s="113"/>
      <c r="BN868" s="113"/>
      <c r="BO868" s="113"/>
      <c r="BP868" s="121"/>
      <c r="BQ868" s="121"/>
      <c r="GA868" t="s">
        <v>114</v>
      </c>
      <c r="GB868" t="s">
        <v>23011</v>
      </c>
      <c r="GC868" s="46">
        <v>0</v>
      </c>
      <c r="GD868" s="113"/>
      <c r="GE868" s="113"/>
      <c r="GF868" s="113"/>
      <c r="GG868" s="113"/>
      <c r="GH868" s="113"/>
      <c r="GI868" s="46">
        <v>0</v>
      </c>
      <c r="GJ868" s="113"/>
      <c r="GK868" s="113"/>
      <c r="GL868" s="113"/>
      <c r="GM868" s="113"/>
      <c r="GN868" s="113"/>
      <c r="GO868" s="46">
        <v>0</v>
      </c>
      <c r="GP868" s="113"/>
      <c r="GQ868" s="113"/>
      <c r="GR868" s="113"/>
      <c r="GS868" s="113"/>
      <c r="GT868" s="113"/>
      <c r="GU868" s="46">
        <v>0</v>
      </c>
      <c r="GV868" s="113"/>
      <c r="GW868" s="113"/>
      <c r="GX868" s="113"/>
      <c r="GY868" s="113"/>
      <c r="GZ868" s="113"/>
      <c r="HA868" s="46">
        <v>0</v>
      </c>
      <c r="HB868" s="113"/>
      <c r="HC868" s="113"/>
      <c r="HD868" s="113"/>
      <c r="HE868" s="113"/>
      <c r="HF868" s="113"/>
      <c r="HG868" s="46">
        <v>0</v>
      </c>
      <c r="HH868" s="113"/>
      <c r="HI868" s="113"/>
      <c r="HJ868" s="113"/>
      <c r="HK868" s="113"/>
      <c r="HL868" s="113"/>
      <c r="HM868" s="121"/>
      <c r="HN868" s="121"/>
      <c r="LM868" t="str">
        <v/>
      </c>
      <c r="LN868" t="str">
        <v/>
      </c>
      <c r="LO868" t="str">
        <v/>
      </c>
    </row>
    <row r="869" spans="30:327">
      <c r="AD869" t="s">
        <v>114</v>
      </c>
      <c r="AE869" t="s">
        <v>23012</v>
      </c>
      <c r="AF869" s="46">
        <v>0</v>
      </c>
      <c r="AG869" s="113"/>
      <c r="AH869" s="113"/>
      <c r="AI869" s="113"/>
      <c r="AJ869" s="113"/>
      <c r="AK869" s="113"/>
      <c r="AL869" s="46">
        <v>0</v>
      </c>
      <c r="AM869" s="113"/>
      <c r="AN869" s="113"/>
      <c r="AO869" s="113"/>
      <c r="AP869" s="113"/>
      <c r="AQ869" s="113"/>
      <c r="AR869" s="46">
        <v>0</v>
      </c>
      <c r="AS869" s="113"/>
      <c r="AT869" s="113"/>
      <c r="AU869" s="113"/>
      <c r="AV869" s="113"/>
      <c r="AW869" s="113"/>
      <c r="AX869" s="46">
        <v>0</v>
      </c>
      <c r="AY869" s="113"/>
      <c r="AZ869" s="113"/>
      <c r="BA869" s="113"/>
      <c r="BB869" s="113"/>
      <c r="BC869" s="113"/>
      <c r="BD869" s="46">
        <v>0</v>
      </c>
      <c r="BE869" s="113"/>
      <c r="BF869" s="113"/>
      <c r="BG869" s="113"/>
      <c r="BH869" s="113"/>
      <c r="BI869" s="113"/>
      <c r="BJ869" s="46">
        <v>0</v>
      </c>
      <c r="BK869" s="113"/>
      <c r="BL869" s="113"/>
      <c r="BM869" s="113"/>
      <c r="BN869" s="113"/>
      <c r="BO869" s="113"/>
      <c r="BP869" s="121"/>
      <c r="BQ869" s="121"/>
      <c r="GA869" t="s">
        <v>114</v>
      </c>
      <c r="GB869" t="s">
        <v>23012</v>
      </c>
      <c r="GC869" s="46">
        <v>0</v>
      </c>
      <c r="GD869" s="113"/>
      <c r="GE869" s="113"/>
      <c r="GF869" s="113"/>
      <c r="GG869" s="113"/>
      <c r="GH869" s="113"/>
      <c r="GI869" s="46">
        <v>0</v>
      </c>
      <c r="GJ869" s="113"/>
      <c r="GK869" s="113"/>
      <c r="GL869" s="113"/>
      <c r="GM869" s="113"/>
      <c r="GN869" s="113"/>
      <c r="GO869" s="46">
        <v>0</v>
      </c>
      <c r="GP869" s="113"/>
      <c r="GQ869" s="113"/>
      <c r="GR869" s="113"/>
      <c r="GS869" s="113"/>
      <c r="GT869" s="113"/>
      <c r="GU869" s="46">
        <v>0</v>
      </c>
      <c r="GV869" s="113"/>
      <c r="GW869" s="113"/>
      <c r="GX869" s="113"/>
      <c r="GY869" s="113"/>
      <c r="GZ869" s="113"/>
      <c r="HA869" s="46">
        <v>0</v>
      </c>
      <c r="HB869" s="113"/>
      <c r="HC869" s="113"/>
      <c r="HD869" s="113"/>
      <c r="HE869" s="113"/>
      <c r="HF869" s="113"/>
      <c r="HG869" s="46">
        <v>0</v>
      </c>
      <c r="HH869" s="113"/>
      <c r="HI869" s="113"/>
      <c r="HJ869" s="113"/>
      <c r="HK869" s="113"/>
      <c r="HL869" s="113"/>
      <c r="HM869" s="121"/>
      <c r="HN869" s="121"/>
      <c r="LM869" t="str">
        <v/>
      </c>
      <c r="LN869" t="str">
        <v/>
      </c>
      <c r="LO869" t="str">
        <v/>
      </c>
    </row>
    <row r="870" spans="30:327">
      <c r="AD870" t="s">
        <v>114</v>
      </c>
      <c r="AE870" t="s">
        <v>23013</v>
      </c>
      <c r="AF870" s="46">
        <v>0</v>
      </c>
      <c r="AG870" s="113"/>
      <c r="AH870" s="113"/>
      <c r="AI870" s="113"/>
      <c r="AJ870" s="113"/>
      <c r="AK870" s="113"/>
      <c r="AL870" s="46">
        <v>0</v>
      </c>
      <c r="AM870" s="113"/>
      <c r="AN870" s="113"/>
      <c r="AO870" s="113"/>
      <c r="AP870" s="113"/>
      <c r="AQ870" s="113"/>
      <c r="AR870" s="46">
        <v>0</v>
      </c>
      <c r="AS870" s="113"/>
      <c r="AT870" s="113"/>
      <c r="AU870" s="113"/>
      <c r="AV870" s="113"/>
      <c r="AW870" s="113"/>
      <c r="AX870" s="46">
        <v>0</v>
      </c>
      <c r="AY870" s="113"/>
      <c r="AZ870" s="113"/>
      <c r="BA870" s="113"/>
      <c r="BB870" s="113"/>
      <c r="BC870" s="113"/>
      <c r="BD870" s="46">
        <v>0</v>
      </c>
      <c r="BE870" s="113"/>
      <c r="BF870" s="113"/>
      <c r="BG870" s="113"/>
      <c r="BH870" s="113"/>
      <c r="BI870" s="113"/>
      <c r="BJ870" s="46">
        <v>0</v>
      </c>
      <c r="BK870" s="113"/>
      <c r="BL870" s="113"/>
      <c r="BM870" s="113"/>
      <c r="BN870" s="113"/>
      <c r="BO870" s="113"/>
      <c r="BP870" s="121"/>
      <c r="BQ870" s="121"/>
      <c r="GA870" t="s">
        <v>114</v>
      </c>
      <c r="GB870" t="s">
        <v>23013</v>
      </c>
      <c r="GC870" s="46">
        <v>0</v>
      </c>
      <c r="GD870" s="113"/>
      <c r="GE870" s="113"/>
      <c r="GF870" s="113"/>
      <c r="GG870" s="113"/>
      <c r="GH870" s="113"/>
      <c r="GI870" s="46">
        <v>0</v>
      </c>
      <c r="GJ870" s="113"/>
      <c r="GK870" s="113"/>
      <c r="GL870" s="113"/>
      <c r="GM870" s="113"/>
      <c r="GN870" s="113"/>
      <c r="GO870" s="46">
        <v>0</v>
      </c>
      <c r="GP870" s="113"/>
      <c r="GQ870" s="113"/>
      <c r="GR870" s="113"/>
      <c r="GS870" s="113"/>
      <c r="GT870" s="113"/>
      <c r="GU870" s="46">
        <v>0</v>
      </c>
      <c r="GV870" s="113"/>
      <c r="GW870" s="113"/>
      <c r="GX870" s="113"/>
      <c r="GY870" s="113"/>
      <c r="GZ870" s="113"/>
      <c r="HA870" s="46">
        <v>0</v>
      </c>
      <c r="HB870" s="113"/>
      <c r="HC870" s="113"/>
      <c r="HD870" s="113"/>
      <c r="HE870" s="113"/>
      <c r="HF870" s="113"/>
      <c r="HG870" s="46">
        <v>0</v>
      </c>
      <c r="HH870" s="113"/>
      <c r="HI870" s="113"/>
      <c r="HJ870" s="113"/>
      <c r="HK870" s="113"/>
      <c r="HL870" s="113"/>
      <c r="HM870" s="121"/>
      <c r="HN870" s="121"/>
      <c r="LM870" t="str">
        <v/>
      </c>
      <c r="LN870" t="str">
        <v/>
      </c>
      <c r="LO870" t="str">
        <v/>
      </c>
    </row>
    <row r="871" spans="30:327">
      <c r="AD871" t="s">
        <v>114</v>
      </c>
      <c r="AE871" t="s">
        <v>23014</v>
      </c>
      <c r="AF871" s="46">
        <v>0</v>
      </c>
      <c r="AG871" s="113"/>
      <c r="AH871" s="113"/>
      <c r="AI871" s="113"/>
      <c r="AJ871" s="113"/>
      <c r="AK871" s="113"/>
      <c r="AL871" s="46">
        <v>0</v>
      </c>
      <c r="AM871" s="113"/>
      <c r="AN871" s="113"/>
      <c r="AO871" s="113"/>
      <c r="AP871" s="113"/>
      <c r="AQ871" s="113"/>
      <c r="AR871" s="46">
        <v>0</v>
      </c>
      <c r="AS871" s="113"/>
      <c r="AT871" s="113"/>
      <c r="AU871" s="113"/>
      <c r="AV871" s="113"/>
      <c r="AW871" s="113"/>
      <c r="AX871" s="46">
        <v>0</v>
      </c>
      <c r="AY871" s="113"/>
      <c r="AZ871" s="113"/>
      <c r="BA871" s="113"/>
      <c r="BB871" s="113"/>
      <c r="BC871" s="113"/>
      <c r="BD871" s="46">
        <v>0</v>
      </c>
      <c r="BE871" s="113"/>
      <c r="BF871" s="113"/>
      <c r="BG871" s="113"/>
      <c r="BH871" s="113"/>
      <c r="BI871" s="113"/>
      <c r="BJ871" s="46">
        <v>0</v>
      </c>
      <c r="BK871" s="113"/>
      <c r="BL871" s="113"/>
      <c r="BM871" s="113"/>
      <c r="BN871" s="113"/>
      <c r="BO871" s="113"/>
      <c r="BP871" s="121"/>
      <c r="BQ871" s="121"/>
      <c r="GA871" t="s">
        <v>114</v>
      </c>
      <c r="GB871" t="s">
        <v>23014</v>
      </c>
      <c r="GC871" s="46">
        <v>0</v>
      </c>
      <c r="GD871" s="113"/>
      <c r="GE871" s="113"/>
      <c r="GF871" s="113"/>
      <c r="GG871" s="113"/>
      <c r="GH871" s="113"/>
      <c r="GI871" s="46">
        <v>0</v>
      </c>
      <c r="GJ871" s="113"/>
      <c r="GK871" s="113"/>
      <c r="GL871" s="113"/>
      <c r="GM871" s="113"/>
      <c r="GN871" s="113"/>
      <c r="GO871" s="46">
        <v>0</v>
      </c>
      <c r="GP871" s="113"/>
      <c r="GQ871" s="113"/>
      <c r="GR871" s="113"/>
      <c r="GS871" s="113"/>
      <c r="GT871" s="113"/>
      <c r="GU871" s="46">
        <v>0</v>
      </c>
      <c r="GV871" s="113"/>
      <c r="GW871" s="113"/>
      <c r="GX871" s="113"/>
      <c r="GY871" s="113"/>
      <c r="GZ871" s="113"/>
      <c r="HA871" s="46">
        <v>0</v>
      </c>
      <c r="HB871" s="113"/>
      <c r="HC871" s="113"/>
      <c r="HD871" s="113"/>
      <c r="HE871" s="113"/>
      <c r="HF871" s="113"/>
      <c r="HG871" s="46">
        <v>0</v>
      </c>
      <c r="HH871" s="113"/>
      <c r="HI871" s="113"/>
      <c r="HJ871" s="113"/>
      <c r="HK871" s="113"/>
      <c r="HL871" s="113"/>
      <c r="HM871" s="121"/>
      <c r="HN871" s="121"/>
      <c r="LM871" t="str">
        <v/>
      </c>
      <c r="LN871" t="str">
        <v/>
      </c>
      <c r="LO871" t="str">
        <v/>
      </c>
    </row>
    <row r="872" spans="30:327">
      <c r="AD872" t="s">
        <v>114</v>
      </c>
      <c r="AE872" t="s">
        <v>23015</v>
      </c>
      <c r="AF872" s="46">
        <v>0</v>
      </c>
      <c r="AG872" s="113"/>
      <c r="AH872" s="113"/>
      <c r="AI872" s="113"/>
      <c r="AJ872" s="113"/>
      <c r="AK872" s="113"/>
      <c r="AL872" s="46">
        <v>0</v>
      </c>
      <c r="AM872" s="113"/>
      <c r="AN872" s="113"/>
      <c r="AO872" s="113"/>
      <c r="AP872" s="113"/>
      <c r="AQ872" s="113"/>
      <c r="AR872" s="46">
        <v>0</v>
      </c>
      <c r="AS872" s="113"/>
      <c r="AT872" s="113"/>
      <c r="AU872" s="113"/>
      <c r="AV872" s="113"/>
      <c r="AW872" s="113"/>
      <c r="AX872" s="46">
        <v>0</v>
      </c>
      <c r="AY872" s="113"/>
      <c r="AZ872" s="113"/>
      <c r="BA872" s="113"/>
      <c r="BB872" s="113"/>
      <c r="BC872" s="113"/>
      <c r="BD872" s="46">
        <v>0</v>
      </c>
      <c r="BE872" s="113"/>
      <c r="BF872" s="113"/>
      <c r="BG872" s="113"/>
      <c r="BH872" s="113"/>
      <c r="BI872" s="113"/>
      <c r="BJ872" s="46">
        <v>0</v>
      </c>
      <c r="BK872" s="113"/>
      <c r="BL872" s="113"/>
      <c r="BM872" s="113"/>
      <c r="BN872" s="113"/>
      <c r="BO872" s="113"/>
      <c r="BP872" s="121"/>
      <c r="BQ872" s="121"/>
      <c r="GA872" t="s">
        <v>114</v>
      </c>
      <c r="GB872" t="s">
        <v>23015</v>
      </c>
      <c r="GC872" s="46">
        <v>0</v>
      </c>
      <c r="GD872" s="113"/>
      <c r="GE872" s="113"/>
      <c r="GF872" s="113"/>
      <c r="GG872" s="113"/>
      <c r="GH872" s="113"/>
      <c r="GI872" s="46">
        <v>0</v>
      </c>
      <c r="GJ872" s="113"/>
      <c r="GK872" s="113"/>
      <c r="GL872" s="113"/>
      <c r="GM872" s="113"/>
      <c r="GN872" s="113"/>
      <c r="GO872" s="46">
        <v>0</v>
      </c>
      <c r="GP872" s="113"/>
      <c r="GQ872" s="113"/>
      <c r="GR872" s="113"/>
      <c r="GS872" s="113"/>
      <c r="GT872" s="113"/>
      <c r="GU872" s="46">
        <v>0</v>
      </c>
      <c r="GV872" s="113"/>
      <c r="GW872" s="113"/>
      <c r="GX872" s="113"/>
      <c r="GY872" s="113"/>
      <c r="GZ872" s="113"/>
      <c r="HA872" s="46">
        <v>0</v>
      </c>
      <c r="HB872" s="113"/>
      <c r="HC872" s="113"/>
      <c r="HD872" s="113"/>
      <c r="HE872" s="113"/>
      <c r="HF872" s="113"/>
      <c r="HG872" s="46">
        <v>0</v>
      </c>
      <c r="HH872" s="113"/>
      <c r="HI872" s="113"/>
      <c r="HJ872" s="113"/>
      <c r="HK872" s="113"/>
      <c r="HL872" s="113"/>
      <c r="HM872" s="121"/>
      <c r="HN872" s="121"/>
      <c r="LM872" t="str">
        <v/>
      </c>
      <c r="LN872" t="str">
        <v/>
      </c>
      <c r="LO872" t="str">
        <v/>
      </c>
    </row>
    <row r="873" spans="30:327">
      <c r="AD873" t="s">
        <v>114</v>
      </c>
      <c r="AE873" t="s">
        <v>23016</v>
      </c>
      <c r="AF873" s="46">
        <v>0</v>
      </c>
      <c r="AG873" s="113"/>
      <c r="AH873" s="113"/>
      <c r="AI873" s="113"/>
      <c r="AJ873" s="113"/>
      <c r="AK873" s="113"/>
      <c r="AL873" s="46">
        <v>0</v>
      </c>
      <c r="AM873" s="113"/>
      <c r="AN873" s="113"/>
      <c r="AO873" s="113"/>
      <c r="AP873" s="113"/>
      <c r="AQ873" s="113"/>
      <c r="AR873" s="46">
        <v>0</v>
      </c>
      <c r="AS873" s="113"/>
      <c r="AT873" s="113"/>
      <c r="AU873" s="113"/>
      <c r="AV873" s="113"/>
      <c r="AW873" s="113"/>
      <c r="AX873" s="46">
        <v>0</v>
      </c>
      <c r="AY873" s="113"/>
      <c r="AZ873" s="113"/>
      <c r="BA873" s="113"/>
      <c r="BB873" s="113"/>
      <c r="BC873" s="113"/>
      <c r="BD873" s="46">
        <v>0</v>
      </c>
      <c r="BE873" s="113"/>
      <c r="BF873" s="113"/>
      <c r="BG873" s="113"/>
      <c r="BH873" s="113"/>
      <c r="BI873" s="113"/>
      <c r="BJ873" s="46">
        <v>0</v>
      </c>
      <c r="BK873" s="113"/>
      <c r="BL873" s="113"/>
      <c r="BM873" s="113"/>
      <c r="BN873" s="113"/>
      <c r="BO873" s="113"/>
      <c r="BP873" s="121"/>
      <c r="BQ873" s="121"/>
      <c r="GA873" t="s">
        <v>114</v>
      </c>
      <c r="GB873" t="s">
        <v>23016</v>
      </c>
      <c r="GC873" s="46">
        <v>0</v>
      </c>
      <c r="GD873" s="113"/>
      <c r="GE873" s="113"/>
      <c r="GF873" s="113"/>
      <c r="GG873" s="113"/>
      <c r="GH873" s="113"/>
      <c r="GI873" s="46">
        <v>0</v>
      </c>
      <c r="GJ873" s="113"/>
      <c r="GK873" s="113"/>
      <c r="GL873" s="113"/>
      <c r="GM873" s="113"/>
      <c r="GN873" s="113"/>
      <c r="GO873" s="46">
        <v>0</v>
      </c>
      <c r="GP873" s="113"/>
      <c r="GQ873" s="113"/>
      <c r="GR873" s="113"/>
      <c r="GS873" s="113"/>
      <c r="GT873" s="113"/>
      <c r="GU873" s="46">
        <v>0</v>
      </c>
      <c r="GV873" s="113"/>
      <c r="GW873" s="113"/>
      <c r="GX873" s="113"/>
      <c r="GY873" s="113"/>
      <c r="GZ873" s="113"/>
      <c r="HA873" s="46">
        <v>0</v>
      </c>
      <c r="HB873" s="113"/>
      <c r="HC873" s="113"/>
      <c r="HD873" s="113"/>
      <c r="HE873" s="113"/>
      <c r="HF873" s="113"/>
      <c r="HG873" s="46">
        <v>0</v>
      </c>
      <c r="HH873" s="113"/>
      <c r="HI873" s="113"/>
      <c r="HJ873" s="113"/>
      <c r="HK873" s="113"/>
      <c r="HL873" s="113"/>
      <c r="HM873" s="121"/>
      <c r="HN873" s="121"/>
      <c r="LM873" t="str">
        <v/>
      </c>
      <c r="LN873" t="str">
        <v/>
      </c>
      <c r="LO873" t="str">
        <v/>
      </c>
    </row>
    <row r="874" spans="30:327">
      <c r="AD874" t="s">
        <v>114</v>
      </c>
      <c r="AE874" t="s">
        <v>23017</v>
      </c>
      <c r="AF874" s="46">
        <v>0</v>
      </c>
      <c r="AG874" s="113"/>
      <c r="AH874" s="113"/>
      <c r="AI874" s="113"/>
      <c r="AJ874" s="113"/>
      <c r="AK874" s="113"/>
      <c r="AL874" s="46">
        <v>0</v>
      </c>
      <c r="AM874" s="113"/>
      <c r="AN874" s="113"/>
      <c r="AO874" s="113"/>
      <c r="AP874" s="113"/>
      <c r="AQ874" s="113"/>
      <c r="AR874" s="46">
        <v>0</v>
      </c>
      <c r="AS874" s="113"/>
      <c r="AT874" s="113"/>
      <c r="AU874" s="113"/>
      <c r="AV874" s="113"/>
      <c r="AW874" s="113"/>
      <c r="AX874" s="46">
        <v>0</v>
      </c>
      <c r="AY874" s="113"/>
      <c r="AZ874" s="113"/>
      <c r="BA874" s="113"/>
      <c r="BB874" s="113"/>
      <c r="BC874" s="113"/>
      <c r="BD874" s="46">
        <v>0</v>
      </c>
      <c r="BE874" s="113"/>
      <c r="BF874" s="113"/>
      <c r="BG874" s="113"/>
      <c r="BH874" s="113"/>
      <c r="BI874" s="113"/>
      <c r="BJ874" s="46">
        <v>0</v>
      </c>
      <c r="BK874" s="113"/>
      <c r="BL874" s="113"/>
      <c r="BM874" s="113"/>
      <c r="BN874" s="113"/>
      <c r="BO874" s="113"/>
      <c r="BP874" s="121"/>
      <c r="BQ874" s="121"/>
      <c r="GA874" t="s">
        <v>114</v>
      </c>
      <c r="GB874" t="s">
        <v>23017</v>
      </c>
      <c r="GC874" s="46">
        <v>0</v>
      </c>
      <c r="GD874" s="113"/>
      <c r="GE874" s="113"/>
      <c r="GF874" s="113"/>
      <c r="GG874" s="113"/>
      <c r="GH874" s="113"/>
      <c r="GI874" s="46">
        <v>0</v>
      </c>
      <c r="GJ874" s="113"/>
      <c r="GK874" s="113"/>
      <c r="GL874" s="113"/>
      <c r="GM874" s="113"/>
      <c r="GN874" s="113"/>
      <c r="GO874" s="46">
        <v>0</v>
      </c>
      <c r="GP874" s="113"/>
      <c r="GQ874" s="113"/>
      <c r="GR874" s="113"/>
      <c r="GS874" s="113"/>
      <c r="GT874" s="113"/>
      <c r="GU874" s="46">
        <v>0</v>
      </c>
      <c r="GV874" s="113"/>
      <c r="GW874" s="113"/>
      <c r="GX874" s="113"/>
      <c r="GY874" s="113"/>
      <c r="GZ874" s="113"/>
      <c r="HA874" s="46">
        <v>0</v>
      </c>
      <c r="HB874" s="113"/>
      <c r="HC874" s="113"/>
      <c r="HD874" s="113"/>
      <c r="HE874" s="113"/>
      <c r="HF874" s="113"/>
      <c r="HG874" s="46">
        <v>0</v>
      </c>
      <c r="HH874" s="113"/>
      <c r="HI874" s="113"/>
      <c r="HJ874" s="113"/>
      <c r="HK874" s="113"/>
      <c r="HL874" s="113"/>
      <c r="HM874" s="121"/>
      <c r="HN874" s="121"/>
      <c r="LM874" t="str">
        <v/>
      </c>
      <c r="LN874" t="str">
        <v/>
      </c>
      <c r="LO874" t="str">
        <v/>
      </c>
    </row>
    <row r="875" spans="30:327">
      <c r="AD875" t="s">
        <v>114</v>
      </c>
      <c r="AE875" t="s">
        <v>23018</v>
      </c>
      <c r="AF875" s="46">
        <v>0</v>
      </c>
      <c r="AG875" s="113"/>
      <c r="AH875" s="113"/>
      <c r="AI875" s="113"/>
      <c r="AJ875" s="113"/>
      <c r="AK875" s="113"/>
      <c r="AL875" s="46">
        <v>0</v>
      </c>
      <c r="AM875" s="113"/>
      <c r="AN875" s="113"/>
      <c r="AO875" s="113"/>
      <c r="AP875" s="113"/>
      <c r="AQ875" s="113"/>
      <c r="AR875" s="46">
        <v>0</v>
      </c>
      <c r="AS875" s="113"/>
      <c r="AT875" s="113"/>
      <c r="AU875" s="113"/>
      <c r="AV875" s="113"/>
      <c r="AW875" s="113"/>
      <c r="AX875" s="46">
        <v>0</v>
      </c>
      <c r="AY875" s="113"/>
      <c r="AZ875" s="113"/>
      <c r="BA875" s="113"/>
      <c r="BB875" s="113"/>
      <c r="BC875" s="113"/>
      <c r="BD875" s="46">
        <v>0</v>
      </c>
      <c r="BE875" s="113"/>
      <c r="BF875" s="113"/>
      <c r="BG875" s="113"/>
      <c r="BH875" s="113"/>
      <c r="BI875" s="113"/>
      <c r="BJ875" s="46">
        <v>0</v>
      </c>
      <c r="BK875" s="113"/>
      <c r="BL875" s="113"/>
      <c r="BM875" s="113"/>
      <c r="BN875" s="113"/>
      <c r="BO875" s="113"/>
      <c r="BP875" s="121"/>
      <c r="BQ875" s="121"/>
      <c r="GA875" t="s">
        <v>114</v>
      </c>
      <c r="GB875" t="s">
        <v>23018</v>
      </c>
      <c r="GC875" s="46">
        <v>0</v>
      </c>
      <c r="GD875" s="113"/>
      <c r="GE875" s="113"/>
      <c r="GF875" s="113"/>
      <c r="GG875" s="113"/>
      <c r="GH875" s="113"/>
      <c r="GI875" s="46">
        <v>0</v>
      </c>
      <c r="GJ875" s="113"/>
      <c r="GK875" s="113"/>
      <c r="GL875" s="113"/>
      <c r="GM875" s="113"/>
      <c r="GN875" s="113"/>
      <c r="GO875" s="46">
        <v>0</v>
      </c>
      <c r="GP875" s="113"/>
      <c r="GQ875" s="113"/>
      <c r="GR875" s="113"/>
      <c r="GS875" s="113"/>
      <c r="GT875" s="113"/>
      <c r="GU875" s="46">
        <v>0</v>
      </c>
      <c r="GV875" s="113"/>
      <c r="GW875" s="113"/>
      <c r="GX875" s="113"/>
      <c r="GY875" s="113"/>
      <c r="GZ875" s="113"/>
      <c r="HA875" s="46">
        <v>0</v>
      </c>
      <c r="HB875" s="113"/>
      <c r="HC875" s="113"/>
      <c r="HD875" s="113"/>
      <c r="HE875" s="113"/>
      <c r="HF875" s="113"/>
      <c r="HG875" s="46">
        <v>0</v>
      </c>
      <c r="HH875" s="113"/>
      <c r="HI875" s="113"/>
      <c r="HJ875" s="113"/>
      <c r="HK875" s="113"/>
      <c r="HL875" s="113"/>
      <c r="HM875" s="121"/>
      <c r="HN875" s="121"/>
      <c r="LM875" t="str">
        <v/>
      </c>
      <c r="LN875" t="str">
        <v/>
      </c>
      <c r="LO875" t="str">
        <v/>
      </c>
    </row>
    <row r="876" spans="30:327">
      <c r="AD876" t="s">
        <v>114</v>
      </c>
      <c r="AE876" t="s">
        <v>23019</v>
      </c>
      <c r="AF876" s="46">
        <v>0</v>
      </c>
      <c r="AG876" s="113"/>
      <c r="AH876" s="113"/>
      <c r="AI876" s="113"/>
      <c r="AJ876" s="113"/>
      <c r="AK876" s="113"/>
      <c r="AL876" s="46">
        <v>0</v>
      </c>
      <c r="AM876" s="113"/>
      <c r="AN876" s="113"/>
      <c r="AO876" s="113"/>
      <c r="AP876" s="113"/>
      <c r="AQ876" s="113"/>
      <c r="AR876" s="46">
        <v>0</v>
      </c>
      <c r="AS876" s="113"/>
      <c r="AT876" s="113"/>
      <c r="AU876" s="113"/>
      <c r="AV876" s="113"/>
      <c r="AW876" s="113"/>
      <c r="AX876" s="46">
        <v>0</v>
      </c>
      <c r="AY876" s="113"/>
      <c r="AZ876" s="113"/>
      <c r="BA876" s="113"/>
      <c r="BB876" s="113"/>
      <c r="BC876" s="113"/>
      <c r="BD876" s="46">
        <v>0</v>
      </c>
      <c r="BE876" s="113"/>
      <c r="BF876" s="113"/>
      <c r="BG876" s="113"/>
      <c r="BH876" s="113"/>
      <c r="BI876" s="113"/>
      <c r="BJ876" s="46">
        <v>0</v>
      </c>
      <c r="BK876" s="113"/>
      <c r="BL876" s="113"/>
      <c r="BM876" s="113"/>
      <c r="BN876" s="113"/>
      <c r="BO876" s="113"/>
      <c r="BP876" s="121"/>
      <c r="BQ876" s="121"/>
      <c r="GA876" t="s">
        <v>114</v>
      </c>
      <c r="GB876" t="s">
        <v>23019</v>
      </c>
      <c r="GC876" s="46">
        <v>0</v>
      </c>
      <c r="GD876" s="113"/>
      <c r="GE876" s="113"/>
      <c r="GF876" s="113"/>
      <c r="GG876" s="113"/>
      <c r="GH876" s="113"/>
      <c r="GI876" s="46">
        <v>0</v>
      </c>
      <c r="GJ876" s="113"/>
      <c r="GK876" s="113"/>
      <c r="GL876" s="113"/>
      <c r="GM876" s="113"/>
      <c r="GN876" s="113"/>
      <c r="GO876" s="46">
        <v>0</v>
      </c>
      <c r="GP876" s="113"/>
      <c r="GQ876" s="113"/>
      <c r="GR876" s="113"/>
      <c r="GS876" s="113"/>
      <c r="GT876" s="113"/>
      <c r="GU876" s="46">
        <v>0</v>
      </c>
      <c r="GV876" s="113"/>
      <c r="GW876" s="113"/>
      <c r="GX876" s="113"/>
      <c r="GY876" s="113"/>
      <c r="GZ876" s="113"/>
      <c r="HA876" s="46">
        <v>0</v>
      </c>
      <c r="HB876" s="113"/>
      <c r="HC876" s="113"/>
      <c r="HD876" s="113"/>
      <c r="HE876" s="113"/>
      <c r="HF876" s="113"/>
      <c r="HG876" s="46">
        <v>0</v>
      </c>
      <c r="HH876" s="113"/>
      <c r="HI876" s="113"/>
      <c r="HJ876" s="113"/>
      <c r="HK876" s="113"/>
      <c r="HL876" s="113"/>
      <c r="HM876" s="121"/>
      <c r="HN876" s="121"/>
      <c r="LM876" t="str">
        <v/>
      </c>
      <c r="LN876" t="str">
        <v/>
      </c>
      <c r="LO876" t="str">
        <v/>
      </c>
    </row>
    <row r="877" spans="30:327">
      <c r="AD877" t="s">
        <v>114</v>
      </c>
      <c r="AE877" t="s">
        <v>23020</v>
      </c>
      <c r="AF877" s="46">
        <v>0</v>
      </c>
      <c r="AG877" s="113"/>
      <c r="AH877" s="113"/>
      <c r="AI877" s="113"/>
      <c r="AJ877" s="113"/>
      <c r="AK877" s="113"/>
      <c r="AL877" s="46">
        <v>0</v>
      </c>
      <c r="AM877" s="113"/>
      <c r="AN877" s="113"/>
      <c r="AO877" s="113"/>
      <c r="AP877" s="113"/>
      <c r="AQ877" s="113"/>
      <c r="AR877" s="46">
        <v>0</v>
      </c>
      <c r="AS877" s="113"/>
      <c r="AT877" s="113"/>
      <c r="AU877" s="113"/>
      <c r="AV877" s="113"/>
      <c r="AW877" s="113"/>
      <c r="AX877" s="46">
        <v>0</v>
      </c>
      <c r="AY877" s="113"/>
      <c r="AZ877" s="113"/>
      <c r="BA877" s="113"/>
      <c r="BB877" s="113"/>
      <c r="BC877" s="113"/>
      <c r="BD877" s="46">
        <v>0</v>
      </c>
      <c r="BE877" s="113"/>
      <c r="BF877" s="113"/>
      <c r="BG877" s="113"/>
      <c r="BH877" s="113"/>
      <c r="BI877" s="113"/>
      <c r="BJ877" s="46">
        <v>0</v>
      </c>
      <c r="BK877" s="113"/>
      <c r="BL877" s="113"/>
      <c r="BM877" s="113"/>
      <c r="BN877" s="113"/>
      <c r="BO877" s="113"/>
      <c r="BP877" s="121"/>
      <c r="BQ877" s="121"/>
      <c r="GA877" t="s">
        <v>114</v>
      </c>
      <c r="GB877" t="s">
        <v>23020</v>
      </c>
      <c r="GC877" s="46">
        <v>0</v>
      </c>
      <c r="GD877" s="113"/>
      <c r="GE877" s="113"/>
      <c r="GF877" s="113"/>
      <c r="GG877" s="113"/>
      <c r="GH877" s="113"/>
      <c r="GI877" s="46">
        <v>0</v>
      </c>
      <c r="GJ877" s="113"/>
      <c r="GK877" s="113"/>
      <c r="GL877" s="113"/>
      <c r="GM877" s="113"/>
      <c r="GN877" s="113"/>
      <c r="GO877" s="46">
        <v>0</v>
      </c>
      <c r="GP877" s="113"/>
      <c r="GQ877" s="113"/>
      <c r="GR877" s="113"/>
      <c r="GS877" s="113"/>
      <c r="GT877" s="113"/>
      <c r="GU877" s="46">
        <v>0</v>
      </c>
      <c r="GV877" s="113"/>
      <c r="GW877" s="113"/>
      <c r="GX877" s="113"/>
      <c r="GY877" s="113"/>
      <c r="GZ877" s="113"/>
      <c r="HA877" s="46">
        <v>0</v>
      </c>
      <c r="HB877" s="113"/>
      <c r="HC877" s="113"/>
      <c r="HD877" s="113"/>
      <c r="HE877" s="113"/>
      <c r="HF877" s="113"/>
      <c r="HG877" s="46">
        <v>0</v>
      </c>
      <c r="HH877" s="113"/>
      <c r="HI877" s="113"/>
      <c r="HJ877" s="113"/>
      <c r="HK877" s="113"/>
      <c r="HL877" s="113"/>
      <c r="HM877" s="121"/>
      <c r="HN877" s="121"/>
      <c r="LM877" t="str">
        <v/>
      </c>
      <c r="LN877" t="str">
        <v/>
      </c>
      <c r="LO877" t="str">
        <v/>
      </c>
    </row>
    <row r="878" spans="30:327">
      <c r="AD878" t="s">
        <v>114</v>
      </c>
      <c r="AE878" t="s">
        <v>23021</v>
      </c>
      <c r="AF878" s="46">
        <v>0</v>
      </c>
      <c r="AG878" s="113"/>
      <c r="AH878" s="113"/>
      <c r="AI878" s="113"/>
      <c r="AJ878" s="113"/>
      <c r="AK878" s="113"/>
      <c r="AL878" s="46">
        <v>0</v>
      </c>
      <c r="AM878" s="113"/>
      <c r="AN878" s="113"/>
      <c r="AO878" s="113"/>
      <c r="AP878" s="113"/>
      <c r="AQ878" s="113"/>
      <c r="AR878" s="46">
        <v>0</v>
      </c>
      <c r="AS878" s="113"/>
      <c r="AT878" s="113"/>
      <c r="AU878" s="113"/>
      <c r="AV878" s="113"/>
      <c r="AW878" s="113"/>
      <c r="AX878" s="46">
        <v>0</v>
      </c>
      <c r="AY878" s="113"/>
      <c r="AZ878" s="113"/>
      <c r="BA878" s="113"/>
      <c r="BB878" s="113"/>
      <c r="BC878" s="113"/>
      <c r="BD878" s="46">
        <v>0</v>
      </c>
      <c r="BE878" s="113"/>
      <c r="BF878" s="113"/>
      <c r="BG878" s="113"/>
      <c r="BH878" s="113"/>
      <c r="BI878" s="113"/>
      <c r="BJ878" s="46">
        <v>0</v>
      </c>
      <c r="BK878" s="113"/>
      <c r="BL878" s="113"/>
      <c r="BM878" s="113"/>
      <c r="BN878" s="113"/>
      <c r="BO878" s="113"/>
      <c r="BP878" s="121"/>
      <c r="BQ878" s="121"/>
      <c r="GA878" t="s">
        <v>114</v>
      </c>
      <c r="GB878" t="s">
        <v>23021</v>
      </c>
      <c r="GC878" s="46">
        <v>0</v>
      </c>
      <c r="GD878" s="113"/>
      <c r="GE878" s="113"/>
      <c r="GF878" s="113"/>
      <c r="GG878" s="113"/>
      <c r="GH878" s="113"/>
      <c r="GI878" s="46">
        <v>0</v>
      </c>
      <c r="GJ878" s="113"/>
      <c r="GK878" s="113"/>
      <c r="GL878" s="113"/>
      <c r="GM878" s="113"/>
      <c r="GN878" s="113"/>
      <c r="GO878" s="46">
        <v>0</v>
      </c>
      <c r="GP878" s="113"/>
      <c r="GQ878" s="113"/>
      <c r="GR878" s="113"/>
      <c r="GS878" s="113"/>
      <c r="GT878" s="113"/>
      <c r="GU878" s="46">
        <v>0</v>
      </c>
      <c r="GV878" s="113"/>
      <c r="GW878" s="113"/>
      <c r="GX878" s="113"/>
      <c r="GY878" s="113"/>
      <c r="GZ878" s="113"/>
      <c r="HA878" s="46">
        <v>0</v>
      </c>
      <c r="HB878" s="113"/>
      <c r="HC878" s="113"/>
      <c r="HD878" s="113"/>
      <c r="HE878" s="113"/>
      <c r="HF878" s="113"/>
      <c r="HG878" s="46">
        <v>0</v>
      </c>
      <c r="HH878" s="113"/>
      <c r="HI878" s="113"/>
      <c r="HJ878" s="113"/>
      <c r="HK878" s="113"/>
      <c r="HL878" s="113"/>
      <c r="HM878" s="121"/>
      <c r="HN878" s="121"/>
      <c r="LM878" t="str">
        <v/>
      </c>
      <c r="LN878" t="str">
        <v/>
      </c>
      <c r="LO878" t="str">
        <v/>
      </c>
    </row>
    <row r="879" spans="30:327">
      <c r="AD879" t="s">
        <v>114</v>
      </c>
      <c r="AE879" t="s">
        <v>23022</v>
      </c>
      <c r="AF879" s="46">
        <v>0</v>
      </c>
      <c r="AG879" s="113"/>
      <c r="AH879" s="113"/>
      <c r="AI879" s="113"/>
      <c r="AJ879" s="113"/>
      <c r="AK879" s="113"/>
      <c r="AL879" s="46">
        <v>0</v>
      </c>
      <c r="AM879" s="113"/>
      <c r="AN879" s="113"/>
      <c r="AO879" s="113"/>
      <c r="AP879" s="113"/>
      <c r="AQ879" s="113"/>
      <c r="AR879" s="46">
        <v>0</v>
      </c>
      <c r="AS879" s="113"/>
      <c r="AT879" s="113"/>
      <c r="AU879" s="113"/>
      <c r="AV879" s="113"/>
      <c r="AW879" s="113"/>
      <c r="AX879" s="46">
        <v>0</v>
      </c>
      <c r="AY879" s="113"/>
      <c r="AZ879" s="113"/>
      <c r="BA879" s="113"/>
      <c r="BB879" s="113"/>
      <c r="BC879" s="113"/>
      <c r="BD879" s="46">
        <v>0</v>
      </c>
      <c r="BE879" s="113"/>
      <c r="BF879" s="113"/>
      <c r="BG879" s="113"/>
      <c r="BH879" s="113"/>
      <c r="BI879" s="113"/>
      <c r="BJ879" s="46">
        <v>0</v>
      </c>
      <c r="BK879" s="113"/>
      <c r="BL879" s="113"/>
      <c r="BM879" s="113"/>
      <c r="BN879" s="113"/>
      <c r="BO879" s="113"/>
      <c r="BP879" s="121"/>
      <c r="BQ879" s="121"/>
      <c r="GA879" t="s">
        <v>114</v>
      </c>
      <c r="GB879" t="s">
        <v>23022</v>
      </c>
      <c r="GC879" s="46">
        <v>0</v>
      </c>
      <c r="GD879" s="113"/>
      <c r="GE879" s="113"/>
      <c r="GF879" s="113"/>
      <c r="GG879" s="113"/>
      <c r="GH879" s="113"/>
      <c r="GI879" s="46">
        <v>0</v>
      </c>
      <c r="GJ879" s="113"/>
      <c r="GK879" s="113"/>
      <c r="GL879" s="113"/>
      <c r="GM879" s="113"/>
      <c r="GN879" s="113"/>
      <c r="GO879" s="46">
        <v>0</v>
      </c>
      <c r="GP879" s="113"/>
      <c r="GQ879" s="113"/>
      <c r="GR879" s="113"/>
      <c r="GS879" s="113"/>
      <c r="GT879" s="113"/>
      <c r="GU879" s="46">
        <v>0</v>
      </c>
      <c r="GV879" s="113"/>
      <c r="GW879" s="113"/>
      <c r="GX879" s="113"/>
      <c r="GY879" s="113"/>
      <c r="GZ879" s="113"/>
      <c r="HA879" s="46">
        <v>0</v>
      </c>
      <c r="HB879" s="113"/>
      <c r="HC879" s="113"/>
      <c r="HD879" s="113"/>
      <c r="HE879" s="113"/>
      <c r="HF879" s="113"/>
      <c r="HG879" s="46">
        <v>0</v>
      </c>
      <c r="HH879" s="113"/>
      <c r="HI879" s="113"/>
      <c r="HJ879" s="113"/>
      <c r="HK879" s="113"/>
      <c r="HL879" s="113"/>
      <c r="HM879" s="121"/>
      <c r="HN879" s="121"/>
      <c r="LM879" t="str">
        <v/>
      </c>
      <c r="LN879" t="str">
        <v/>
      </c>
      <c r="LO879" t="str">
        <v/>
      </c>
    </row>
    <row r="880" spans="30:327">
      <c r="AD880" t="s">
        <v>114</v>
      </c>
      <c r="AE880" t="s">
        <v>23023</v>
      </c>
      <c r="AF880" s="46">
        <v>0</v>
      </c>
      <c r="AG880" s="113"/>
      <c r="AH880" s="113"/>
      <c r="AI880" s="113"/>
      <c r="AJ880" s="113"/>
      <c r="AK880" s="113"/>
      <c r="AL880" s="46">
        <v>0</v>
      </c>
      <c r="AM880" s="113"/>
      <c r="AN880" s="113"/>
      <c r="AO880" s="113"/>
      <c r="AP880" s="113"/>
      <c r="AQ880" s="113"/>
      <c r="AR880" s="46">
        <v>0</v>
      </c>
      <c r="AS880" s="113"/>
      <c r="AT880" s="113"/>
      <c r="AU880" s="113"/>
      <c r="AV880" s="113"/>
      <c r="AW880" s="113"/>
      <c r="AX880" s="46">
        <v>0</v>
      </c>
      <c r="AY880" s="113"/>
      <c r="AZ880" s="113"/>
      <c r="BA880" s="113"/>
      <c r="BB880" s="113"/>
      <c r="BC880" s="113"/>
      <c r="BD880" s="46">
        <v>0</v>
      </c>
      <c r="BE880" s="113"/>
      <c r="BF880" s="113"/>
      <c r="BG880" s="113"/>
      <c r="BH880" s="113"/>
      <c r="BI880" s="113"/>
      <c r="BJ880" s="46">
        <v>0</v>
      </c>
      <c r="BK880" s="113"/>
      <c r="BL880" s="113"/>
      <c r="BM880" s="113"/>
      <c r="BN880" s="113"/>
      <c r="BO880" s="113"/>
      <c r="BP880" s="121"/>
      <c r="BQ880" s="121"/>
      <c r="GA880" t="s">
        <v>114</v>
      </c>
      <c r="GB880" t="s">
        <v>23023</v>
      </c>
      <c r="GC880" s="46">
        <v>0</v>
      </c>
      <c r="GD880" s="113"/>
      <c r="GE880" s="113"/>
      <c r="GF880" s="113"/>
      <c r="GG880" s="113"/>
      <c r="GH880" s="113"/>
      <c r="GI880" s="46">
        <v>0</v>
      </c>
      <c r="GJ880" s="113"/>
      <c r="GK880" s="113"/>
      <c r="GL880" s="113"/>
      <c r="GM880" s="113"/>
      <c r="GN880" s="113"/>
      <c r="GO880" s="46">
        <v>0</v>
      </c>
      <c r="GP880" s="113"/>
      <c r="GQ880" s="113"/>
      <c r="GR880" s="113"/>
      <c r="GS880" s="113"/>
      <c r="GT880" s="113"/>
      <c r="GU880" s="46">
        <v>0</v>
      </c>
      <c r="GV880" s="113"/>
      <c r="GW880" s="113"/>
      <c r="GX880" s="113"/>
      <c r="GY880" s="113"/>
      <c r="GZ880" s="113"/>
      <c r="HA880" s="46">
        <v>0</v>
      </c>
      <c r="HB880" s="113"/>
      <c r="HC880" s="113"/>
      <c r="HD880" s="113"/>
      <c r="HE880" s="113"/>
      <c r="HF880" s="113"/>
      <c r="HG880" s="46">
        <v>0</v>
      </c>
      <c r="HH880" s="113"/>
      <c r="HI880" s="113"/>
      <c r="HJ880" s="113"/>
      <c r="HK880" s="113"/>
      <c r="HL880" s="113"/>
      <c r="HM880" s="121"/>
      <c r="HN880" s="121"/>
      <c r="LM880" t="str">
        <v/>
      </c>
      <c r="LN880" t="str">
        <v/>
      </c>
      <c r="LO880" t="str">
        <v/>
      </c>
    </row>
    <row r="881" spans="30:327">
      <c r="AD881" t="s">
        <v>114</v>
      </c>
      <c r="AE881" t="s">
        <v>23024</v>
      </c>
      <c r="AF881" s="46">
        <v>0</v>
      </c>
      <c r="AG881" s="113"/>
      <c r="AH881" s="113"/>
      <c r="AI881" s="113"/>
      <c r="AJ881" s="113"/>
      <c r="AK881" s="113"/>
      <c r="AL881" s="46">
        <v>0</v>
      </c>
      <c r="AM881" s="113"/>
      <c r="AN881" s="113"/>
      <c r="AO881" s="113"/>
      <c r="AP881" s="113"/>
      <c r="AQ881" s="113"/>
      <c r="AR881" s="46">
        <v>0</v>
      </c>
      <c r="AS881" s="113"/>
      <c r="AT881" s="113"/>
      <c r="AU881" s="113"/>
      <c r="AV881" s="113"/>
      <c r="AW881" s="113"/>
      <c r="AX881" s="46">
        <v>0</v>
      </c>
      <c r="AY881" s="113"/>
      <c r="AZ881" s="113"/>
      <c r="BA881" s="113"/>
      <c r="BB881" s="113"/>
      <c r="BC881" s="113"/>
      <c r="BD881" s="46">
        <v>0</v>
      </c>
      <c r="BE881" s="113"/>
      <c r="BF881" s="113"/>
      <c r="BG881" s="113"/>
      <c r="BH881" s="113"/>
      <c r="BI881" s="113"/>
      <c r="BJ881" s="46">
        <v>0</v>
      </c>
      <c r="BK881" s="113"/>
      <c r="BL881" s="113"/>
      <c r="BM881" s="113"/>
      <c r="BN881" s="113"/>
      <c r="BO881" s="113"/>
      <c r="BP881" s="121"/>
      <c r="BQ881" s="121"/>
      <c r="GA881" t="s">
        <v>114</v>
      </c>
      <c r="GB881" t="s">
        <v>23024</v>
      </c>
      <c r="GC881" s="46">
        <v>0</v>
      </c>
      <c r="GD881" s="113"/>
      <c r="GE881" s="113"/>
      <c r="GF881" s="113"/>
      <c r="GG881" s="113"/>
      <c r="GH881" s="113"/>
      <c r="GI881" s="46">
        <v>0</v>
      </c>
      <c r="GJ881" s="113"/>
      <c r="GK881" s="113"/>
      <c r="GL881" s="113"/>
      <c r="GM881" s="113"/>
      <c r="GN881" s="113"/>
      <c r="GO881" s="46">
        <v>0</v>
      </c>
      <c r="GP881" s="113"/>
      <c r="GQ881" s="113"/>
      <c r="GR881" s="113"/>
      <c r="GS881" s="113"/>
      <c r="GT881" s="113"/>
      <c r="GU881" s="46">
        <v>0</v>
      </c>
      <c r="GV881" s="113"/>
      <c r="GW881" s="113"/>
      <c r="GX881" s="113"/>
      <c r="GY881" s="113"/>
      <c r="GZ881" s="113"/>
      <c r="HA881" s="46">
        <v>0</v>
      </c>
      <c r="HB881" s="113"/>
      <c r="HC881" s="113"/>
      <c r="HD881" s="113"/>
      <c r="HE881" s="113"/>
      <c r="HF881" s="113"/>
      <c r="HG881" s="46">
        <v>0</v>
      </c>
      <c r="HH881" s="113"/>
      <c r="HI881" s="113"/>
      <c r="HJ881" s="113"/>
      <c r="HK881" s="113"/>
      <c r="HL881" s="113"/>
      <c r="HM881" s="121"/>
      <c r="HN881" s="121"/>
      <c r="LM881" t="str">
        <v/>
      </c>
      <c r="LN881" t="str">
        <v/>
      </c>
      <c r="LO881" t="str">
        <v/>
      </c>
    </row>
    <row r="882" spans="30:327">
      <c r="AD882" t="s">
        <v>114</v>
      </c>
      <c r="AE882" t="s">
        <v>23025</v>
      </c>
      <c r="AF882" s="46">
        <v>0</v>
      </c>
      <c r="AG882" s="113"/>
      <c r="AH882" s="113"/>
      <c r="AI882" s="113"/>
      <c r="AJ882" s="113"/>
      <c r="AK882" s="113"/>
      <c r="AL882" s="46">
        <v>0</v>
      </c>
      <c r="AM882" s="113"/>
      <c r="AN882" s="113"/>
      <c r="AO882" s="113"/>
      <c r="AP882" s="113"/>
      <c r="AQ882" s="113"/>
      <c r="AR882" s="46">
        <v>0</v>
      </c>
      <c r="AS882" s="113"/>
      <c r="AT882" s="113"/>
      <c r="AU882" s="113"/>
      <c r="AV882" s="113"/>
      <c r="AW882" s="113"/>
      <c r="AX882" s="46">
        <v>0</v>
      </c>
      <c r="AY882" s="113"/>
      <c r="AZ882" s="113"/>
      <c r="BA882" s="113"/>
      <c r="BB882" s="113"/>
      <c r="BC882" s="113"/>
      <c r="BD882" s="46">
        <v>0</v>
      </c>
      <c r="BE882" s="113"/>
      <c r="BF882" s="113"/>
      <c r="BG882" s="113"/>
      <c r="BH882" s="113"/>
      <c r="BI882" s="113"/>
      <c r="BJ882" s="46">
        <v>0</v>
      </c>
      <c r="BK882" s="113"/>
      <c r="BL882" s="113"/>
      <c r="BM882" s="113"/>
      <c r="BN882" s="113"/>
      <c r="BO882" s="113"/>
      <c r="BP882" s="121"/>
      <c r="BQ882" s="121"/>
      <c r="GA882" t="s">
        <v>114</v>
      </c>
      <c r="GB882" t="s">
        <v>23025</v>
      </c>
      <c r="GC882" s="46">
        <v>0</v>
      </c>
      <c r="GD882" s="113"/>
      <c r="GE882" s="113"/>
      <c r="GF882" s="113"/>
      <c r="GG882" s="113"/>
      <c r="GH882" s="113"/>
      <c r="GI882" s="46">
        <v>0</v>
      </c>
      <c r="GJ882" s="113"/>
      <c r="GK882" s="113"/>
      <c r="GL882" s="113"/>
      <c r="GM882" s="113"/>
      <c r="GN882" s="113"/>
      <c r="GO882" s="46">
        <v>0</v>
      </c>
      <c r="GP882" s="113"/>
      <c r="GQ882" s="113"/>
      <c r="GR882" s="113"/>
      <c r="GS882" s="113"/>
      <c r="GT882" s="113"/>
      <c r="GU882" s="46">
        <v>0</v>
      </c>
      <c r="GV882" s="113"/>
      <c r="GW882" s="113"/>
      <c r="GX882" s="113"/>
      <c r="GY882" s="113"/>
      <c r="GZ882" s="113"/>
      <c r="HA882" s="46">
        <v>0</v>
      </c>
      <c r="HB882" s="113"/>
      <c r="HC882" s="113"/>
      <c r="HD882" s="113"/>
      <c r="HE882" s="113"/>
      <c r="HF882" s="113"/>
      <c r="HG882" s="46">
        <v>0</v>
      </c>
      <c r="HH882" s="113"/>
      <c r="HI882" s="113"/>
      <c r="HJ882" s="113"/>
      <c r="HK882" s="113"/>
      <c r="HL882" s="113"/>
      <c r="HM882" s="121"/>
      <c r="HN882" s="121"/>
      <c r="LM882" t="str">
        <v/>
      </c>
      <c r="LN882" t="str">
        <v/>
      </c>
      <c r="LO882" t="str">
        <v/>
      </c>
    </row>
    <row r="883" spans="30:327">
      <c r="AD883" t="s">
        <v>114</v>
      </c>
      <c r="AE883" t="s">
        <v>23026</v>
      </c>
      <c r="AF883" s="46">
        <v>0</v>
      </c>
      <c r="AG883" s="113"/>
      <c r="AH883" s="113"/>
      <c r="AI883" s="113"/>
      <c r="AJ883" s="113"/>
      <c r="AK883" s="113"/>
      <c r="AL883" s="46">
        <v>0</v>
      </c>
      <c r="AM883" s="113"/>
      <c r="AN883" s="113"/>
      <c r="AO883" s="113"/>
      <c r="AP883" s="113"/>
      <c r="AQ883" s="113"/>
      <c r="AR883" s="46">
        <v>0</v>
      </c>
      <c r="AS883" s="113"/>
      <c r="AT883" s="113"/>
      <c r="AU883" s="113"/>
      <c r="AV883" s="113"/>
      <c r="AW883" s="113"/>
      <c r="AX883" s="46">
        <v>0</v>
      </c>
      <c r="AY883" s="113"/>
      <c r="AZ883" s="113"/>
      <c r="BA883" s="113"/>
      <c r="BB883" s="113"/>
      <c r="BC883" s="113"/>
      <c r="BD883" s="46">
        <v>0</v>
      </c>
      <c r="BE883" s="113"/>
      <c r="BF883" s="113"/>
      <c r="BG883" s="113"/>
      <c r="BH883" s="113"/>
      <c r="BI883" s="113"/>
      <c r="BJ883" s="46">
        <v>0</v>
      </c>
      <c r="BK883" s="113"/>
      <c r="BL883" s="113"/>
      <c r="BM883" s="113"/>
      <c r="BN883" s="113"/>
      <c r="BO883" s="113"/>
      <c r="BP883" s="121"/>
      <c r="BQ883" s="121"/>
      <c r="GA883" t="s">
        <v>114</v>
      </c>
      <c r="GB883" t="s">
        <v>23026</v>
      </c>
      <c r="GC883" s="46">
        <v>0</v>
      </c>
      <c r="GD883" s="113"/>
      <c r="GE883" s="113"/>
      <c r="GF883" s="113"/>
      <c r="GG883" s="113"/>
      <c r="GH883" s="113"/>
      <c r="GI883" s="46">
        <v>0</v>
      </c>
      <c r="GJ883" s="113"/>
      <c r="GK883" s="113"/>
      <c r="GL883" s="113"/>
      <c r="GM883" s="113"/>
      <c r="GN883" s="113"/>
      <c r="GO883" s="46">
        <v>0</v>
      </c>
      <c r="GP883" s="113"/>
      <c r="GQ883" s="113"/>
      <c r="GR883" s="113"/>
      <c r="GS883" s="113"/>
      <c r="GT883" s="113"/>
      <c r="GU883" s="46">
        <v>0</v>
      </c>
      <c r="GV883" s="113"/>
      <c r="GW883" s="113"/>
      <c r="GX883" s="113"/>
      <c r="GY883" s="113"/>
      <c r="GZ883" s="113"/>
      <c r="HA883" s="46">
        <v>0</v>
      </c>
      <c r="HB883" s="113"/>
      <c r="HC883" s="113"/>
      <c r="HD883" s="113"/>
      <c r="HE883" s="113"/>
      <c r="HF883" s="113"/>
      <c r="HG883" s="46">
        <v>0</v>
      </c>
      <c r="HH883" s="113"/>
      <c r="HI883" s="113"/>
      <c r="HJ883" s="113"/>
      <c r="HK883" s="113"/>
      <c r="HL883" s="113"/>
      <c r="HM883" s="121"/>
      <c r="HN883" s="121"/>
      <c r="LM883" t="str">
        <v/>
      </c>
      <c r="LN883" t="str">
        <v/>
      </c>
      <c r="LO883" t="str">
        <v/>
      </c>
    </row>
    <row r="884" spans="30:327">
      <c r="AD884" t="s">
        <v>114</v>
      </c>
      <c r="AE884" t="s">
        <v>23027</v>
      </c>
      <c r="AF884" s="46">
        <v>0</v>
      </c>
      <c r="AG884" s="113"/>
      <c r="AH884" s="113"/>
      <c r="AI884" s="113"/>
      <c r="AJ884" s="113"/>
      <c r="AK884" s="113"/>
      <c r="AL884" s="46">
        <v>0</v>
      </c>
      <c r="AM884" s="113"/>
      <c r="AN884" s="113"/>
      <c r="AO884" s="113"/>
      <c r="AP884" s="113"/>
      <c r="AQ884" s="113"/>
      <c r="AR884" s="46">
        <v>0</v>
      </c>
      <c r="AS884" s="113"/>
      <c r="AT884" s="113"/>
      <c r="AU884" s="113"/>
      <c r="AV884" s="113"/>
      <c r="AW884" s="113"/>
      <c r="AX884" s="46">
        <v>0</v>
      </c>
      <c r="AY884" s="113"/>
      <c r="AZ884" s="113"/>
      <c r="BA884" s="113"/>
      <c r="BB884" s="113"/>
      <c r="BC884" s="113"/>
      <c r="BD884" s="46">
        <v>0</v>
      </c>
      <c r="BE884" s="113"/>
      <c r="BF884" s="113"/>
      <c r="BG884" s="113"/>
      <c r="BH884" s="113"/>
      <c r="BI884" s="113"/>
      <c r="BJ884" s="46">
        <v>0</v>
      </c>
      <c r="BK884" s="113"/>
      <c r="BL884" s="113"/>
      <c r="BM884" s="113"/>
      <c r="BN884" s="113"/>
      <c r="BO884" s="113"/>
      <c r="BP884" s="121"/>
      <c r="BQ884" s="121"/>
      <c r="GA884" t="s">
        <v>114</v>
      </c>
      <c r="GB884" t="s">
        <v>23027</v>
      </c>
      <c r="GC884" s="46">
        <v>0</v>
      </c>
      <c r="GD884" s="113"/>
      <c r="GE884" s="113"/>
      <c r="GF884" s="113"/>
      <c r="GG884" s="113"/>
      <c r="GH884" s="113"/>
      <c r="GI884" s="46">
        <v>0</v>
      </c>
      <c r="GJ884" s="113"/>
      <c r="GK884" s="113"/>
      <c r="GL884" s="113"/>
      <c r="GM884" s="113"/>
      <c r="GN884" s="113"/>
      <c r="GO884" s="46">
        <v>0</v>
      </c>
      <c r="GP884" s="113"/>
      <c r="GQ884" s="113"/>
      <c r="GR884" s="113"/>
      <c r="GS884" s="113"/>
      <c r="GT884" s="113"/>
      <c r="GU884" s="46">
        <v>0</v>
      </c>
      <c r="GV884" s="113"/>
      <c r="GW884" s="113"/>
      <c r="GX884" s="113"/>
      <c r="GY884" s="113"/>
      <c r="GZ884" s="113"/>
      <c r="HA884" s="46">
        <v>0</v>
      </c>
      <c r="HB884" s="113"/>
      <c r="HC884" s="113"/>
      <c r="HD884" s="113"/>
      <c r="HE884" s="113"/>
      <c r="HF884" s="113"/>
      <c r="HG884" s="46">
        <v>0</v>
      </c>
      <c r="HH884" s="113"/>
      <c r="HI884" s="113"/>
      <c r="HJ884" s="113"/>
      <c r="HK884" s="113"/>
      <c r="HL884" s="113"/>
      <c r="HM884" s="121"/>
      <c r="HN884" s="121"/>
      <c r="LM884" t="str">
        <v/>
      </c>
      <c r="LN884" t="str">
        <v/>
      </c>
      <c r="LO884" t="str">
        <v/>
      </c>
    </row>
    <row r="885" spans="30:327">
      <c r="AD885" t="s">
        <v>114</v>
      </c>
      <c r="AE885" t="s">
        <v>23028</v>
      </c>
      <c r="AF885" s="46">
        <v>0</v>
      </c>
      <c r="AG885" s="113"/>
      <c r="AH885" s="113"/>
      <c r="AI885" s="113"/>
      <c r="AJ885" s="113"/>
      <c r="AK885" s="113"/>
      <c r="AL885" s="46">
        <v>0</v>
      </c>
      <c r="AM885" s="113"/>
      <c r="AN885" s="113"/>
      <c r="AO885" s="113"/>
      <c r="AP885" s="113"/>
      <c r="AQ885" s="113"/>
      <c r="AR885" s="46">
        <v>0</v>
      </c>
      <c r="AS885" s="113"/>
      <c r="AT885" s="113"/>
      <c r="AU885" s="113"/>
      <c r="AV885" s="113"/>
      <c r="AW885" s="113"/>
      <c r="AX885" s="46">
        <v>0</v>
      </c>
      <c r="AY885" s="113"/>
      <c r="AZ885" s="113"/>
      <c r="BA885" s="113"/>
      <c r="BB885" s="113"/>
      <c r="BC885" s="113"/>
      <c r="BD885" s="46">
        <v>0</v>
      </c>
      <c r="BE885" s="113"/>
      <c r="BF885" s="113"/>
      <c r="BG885" s="113"/>
      <c r="BH885" s="113"/>
      <c r="BI885" s="113"/>
      <c r="BJ885" s="46">
        <v>0</v>
      </c>
      <c r="BK885" s="113"/>
      <c r="BL885" s="113"/>
      <c r="BM885" s="113"/>
      <c r="BN885" s="113"/>
      <c r="BO885" s="113"/>
      <c r="BP885" s="121"/>
      <c r="BQ885" s="121"/>
      <c r="GA885" t="s">
        <v>114</v>
      </c>
      <c r="GB885" t="s">
        <v>23028</v>
      </c>
      <c r="GC885" s="46">
        <v>0</v>
      </c>
      <c r="GD885" s="113"/>
      <c r="GE885" s="113"/>
      <c r="GF885" s="113"/>
      <c r="GG885" s="113"/>
      <c r="GH885" s="113"/>
      <c r="GI885" s="46">
        <v>0</v>
      </c>
      <c r="GJ885" s="113"/>
      <c r="GK885" s="113"/>
      <c r="GL885" s="113"/>
      <c r="GM885" s="113"/>
      <c r="GN885" s="113"/>
      <c r="GO885" s="46">
        <v>0</v>
      </c>
      <c r="GP885" s="113"/>
      <c r="GQ885" s="113"/>
      <c r="GR885" s="113"/>
      <c r="GS885" s="113"/>
      <c r="GT885" s="113"/>
      <c r="GU885" s="46">
        <v>0</v>
      </c>
      <c r="GV885" s="113"/>
      <c r="GW885" s="113"/>
      <c r="GX885" s="113"/>
      <c r="GY885" s="113"/>
      <c r="GZ885" s="113"/>
      <c r="HA885" s="46">
        <v>0</v>
      </c>
      <c r="HB885" s="113"/>
      <c r="HC885" s="113"/>
      <c r="HD885" s="113"/>
      <c r="HE885" s="113"/>
      <c r="HF885" s="113"/>
      <c r="HG885" s="46">
        <v>0</v>
      </c>
      <c r="HH885" s="113"/>
      <c r="HI885" s="113"/>
      <c r="HJ885" s="113"/>
      <c r="HK885" s="113"/>
      <c r="HL885" s="113"/>
      <c r="HM885" s="121"/>
      <c r="HN885" s="121"/>
      <c r="LM885" t="str">
        <v/>
      </c>
      <c r="LN885" t="str">
        <v/>
      </c>
      <c r="LO885" t="str">
        <v/>
      </c>
    </row>
    <row r="886" spans="30:327">
      <c r="AD886" t="s">
        <v>114</v>
      </c>
      <c r="AE886" t="s">
        <v>23029</v>
      </c>
      <c r="AF886" s="46">
        <v>0</v>
      </c>
      <c r="AG886" s="113"/>
      <c r="AH886" s="113"/>
      <c r="AI886" s="113"/>
      <c r="AJ886" s="113"/>
      <c r="AK886" s="113"/>
      <c r="AL886" s="46">
        <v>0</v>
      </c>
      <c r="AM886" s="113"/>
      <c r="AN886" s="113"/>
      <c r="AO886" s="113"/>
      <c r="AP886" s="113"/>
      <c r="AQ886" s="113"/>
      <c r="AR886" s="46">
        <v>0</v>
      </c>
      <c r="AS886" s="113"/>
      <c r="AT886" s="113"/>
      <c r="AU886" s="113"/>
      <c r="AV886" s="113"/>
      <c r="AW886" s="113"/>
      <c r="AX886" s="46">
        <v>0</v>
      </c>
      <c r="AY886" s="113"/>
      <c r="AZ886" s="113"/>
      <c r="BA886" s="113"/>
      <c r="BB886" s="113"/>
      <c r="BC886" s="113"/>
      <c r="BD886" s="46">
        <v>0</v>
      </c>
      <c r="BE886" s="113"/>
      <c r="BF886" s="113"/>
      <c r="BG886" s="113"/>
      <c r="BH886" s="113"/>
      <c r="BI886" s="113"/>
      <c r="BJ886" s="46">
        <v>0</v>
      </c>
      <c r="BK886" s="113"/>
      <c r="BL886" s="113"/>
      <c r="BM886" s="113"/>
      <c r="BN886" s="113"/>
      <c r="BO886" s="113"/>
      <c r="BP886" s="121"/>
      <c r="BQ886" s="121"/>
      <c r="GA886" t="s">
        <v>114</v>
      </c>
      <c r="GB886" t="s">
        <v>23029</v>
      </c>
      <c r="GC886" s="46">
        <v>0</v>
      </c>
      <c r="GD886" s="113"/>
      <c r="GE886" s="113"/>
      <c r="GF886" s="113"/>
      <c r="GG886" s="113"/>
      <c r="GH886" s="113"/>
      <c r="GI886" s="46">
        <v>0</v>
      </c>
      <c r="GJ886" s="113"/>
      <c r="GK886" s="113"/>
      <c r="GL886" s="113"/>
      <c r="GM886" s="113"/>
      <c r="GN886" s="113"/>
      <c r="GO886" s="46">
        <v>0</v>
      </c>
      <c r="GP886" s="113"/>
      <c r="GQ886" s="113"/>
      <c r="GR886" s="113"/>
      <c r="GS886" s="113"/>
      <c r="GT886" s="113"/>
      <c r="GU886" s="46">
        <v>0</v>
      </c>
      <c r="GV886" s="113"/>
      <c r="GW886" s="113"/>
      <c r="GX886" s="113"/>
      <c r="GY886" s="113"/>
      <c r="GZ886" s="113"/>
      <c r="HA886" s="46">
        <v>0</v>
      </c>
      <c r="HB886" s="113"/>
      <c r="HC886" s="113"/>
      <c r="HD886" s="113"/>
      <c r="HE886" s="113"/>
      <c r="HF886" s="113"/>
      <c r="HG886" s="46">
        <v>0</v>
      </c>
      <c r="HH886" s="113"/>
      <c r="HI886" s="113"/>
      <c r="HJ886" s="113"/>
      <c r="HK886" s="113"/>
      <c r="HL886" s="113"/>
      <c r="HM886" s="121"/>
      <c r="HN886" s="121"/>
      <c r="LM886" t="str">
        <v/>
      </c>
      <c r="LN886" t="str">
        <v/>
      </c>
      <c r="LO886" t="str">
        <v/>
      </c>
    </row>
    <row r="887" spans="30:327">
      <c r="AD887" t="s">
        <v>114</v>
      </c>
      <c r="AE887" t="s">
        <v>23030</v>
      </c>
      <c r="AF887" s="46">
        <v>0</v>
      </c>
      <c r="AG887" s="113"/>
      <c r="AH887" s="113"/>
      <c r="AI887" s="113"/>
      <c r="AJ887" s="113"/>
      <c r="AK887" s="113"/>
      <c r="AL887" s="46">
        <v>0</v>
      </c>
      <c r="AM887" s="113"/>
      <c r="AN887" s="113"/>
      <c r="AO887" s="113"/>
      <c r="AP887" s="113"/>
      <c r="AQ887" s="113"/>
      <c r="AR887" s="46">
        <v>0</v>
      </c>
      <c r="AS887" s="113"/>
      <c r="AT887" s="113"/>
      <c r="AU887" s="113"/>
      <c r="AV887" s="113"/>
      <c r="AW887" s="113"/>
      <c r="AX887" s="46">
        <v>0</v>
      </c>
      <c r="AY887" s="113"/>
      <c r="AZ887" s="113"/>
      <c r="BA887" s="113"/>
      <c r="BB887" s="113"/>
      <c r="BC887" s="113"/>
      <c r="BD887" s="46">
        <v>0</v>
      </c>
      <c r="BE887" s="113"/>
      <c r="BF887" s="113"/>
      <c r="BG887" s="113"/>
      <c r="BH887" s="113"/>
      <c r="BI887" s="113"/>
      <c r="BJ887" s="46">
        <v>0</v>
      </c>
      <c r="BK887" s="113"/>
      <c r="BL887" s="113"/>
      <c r="BM887" s="113"/>
      <c r="BN887" s="113"/>
      <c r="BO887" s="113"/>
      <c r="BP887" s="121"/>
      <c r="BQ887" s="121"/>
      <c r="GA887" t="s">
        <v>114</v>
      </c>
      <c r="GB887" t="s">
        <v>23030</v>
      </c>
      <c r="GC887" s="46">
        <v>0</v>
      </c>
      <c r="GD887" s="113"/>
      <c r="GE887" s="113"/>
      <c r="GF887" s="113"/>
      <c r="GG887" s="113"/>
      <c r="GH887" s="113"/>
      <c r="GI887" s="46">
        <v>0</v>
      </c>
      <c r="GJ887" s="113"/>
      <c r="GK887" s="113"/>
      <c r="GL887" s="113"/>
      <c r="GM887" s="113"/>
      <c r="GN887" s="113"/>
      <c r="GO887" s="46">
        <v>0</v>
      </c>
      <c r="GP887" s="113"/>
      <c r="GQ887" s="113"/>
      <c r="GR887" s="113"/>
      <c r="GS887" s="113"/>
      <c r="GT887" s="113"/>
      <c r="GU887" s="46">
        <v>0</v>
      </c>
      <c r="GV887" s="113"/>
      <c r="GW887" s="113"/>
      <c r="GX887" s="113"/>
      <c r="GY887" s="113"/>
      <c r="GZ887" s="113"/>
      <c r="HA887" s="46">
        <v>0</v>
      </c>
      <c r="HB887" s="113"/>
      <c r="HC887" s="113"/>
      <c r="HD887" s="113"/>
      <c r="HE887" s="113"/>
      <c r="HF887" s="113"/>
      <c r="HG887" s="46">
        <v>0</v>
      </c>
      <c r="HH887" s="113"/>
      <c r="HI887" s="113"/>
      <c r="HJ887" s="113"/>
      <c r="HK887" s="113"/>
      <c r="HL887" s="113"/>
      <c r="HM887" s="121"/>
      <c r="HN887" s="121"/>
      <c r="LM887" t="str">
        <v/>
      </c>
      <c r="LN887" t="str">
        <v/>
      </c>
      <c r="LO887" t="str">
        <v/>
      </c>
    </row>
    <row r="888" spans="30:327">
      <c r="AD888" t="s">
        <v>114</v>
      </c>
      <c r="AE888" t="s">
        <v>23031</v>
      </c>
      <c r="AF888" s="46">
        <v>0</v>
      </c>
      <c r="AG888" s="113"/>
      <c r="AH888" s="113"/>
      <c r="AI888" s="113"/>
      <c r="AJ888" s="113"/>
      <c r="AK888" s="113"/>
      <c r="AL888" s="46">
        <v>0</v>
      </c>
      <c r="AM888" s="113"/>
      <c r="AN888" s="113"/>
      <c r="AO888" s="113"/>
      <c r="AP888" s="113"/>
      <c r="AQ888" s="113"/>
      <c r="AR888" s="46">
        <v>0</v>
      </c>
      <c r="AS888" s="113"/>
      <c r="AT888" s="113"/>
      <c r="AU888" s="113"/>
      <c r="AV888" s="113"/>
      <c r="AW888" s="113"/>
      <c r="AX888" s="46">
        <v>0</v>
      </c>
      <c r="AY888" s="113"/>
      <c r="AZ888" s="113"/>
      <c r="BA888" s="113"/>
      <c r="BB888" s="113"/>
      <c r="BC888" s="113"/>
      <c r="BD888" s="46">
        <v>0</v>
      </c>
      <c r="BE888" s="113"/>
      <c r="BF888" s="113"/>
      <c r="BG888" s="113"/>
      <c r="BH888" s="113"/>
      <c r="BI888" s="113"/>
      <c r="BJ888" s="46">
        <v>0</v>
      </c>
      <c r="BK888" s="113"/>
      <c r="BL888" s="113"/>
      <c r="BM888" s="113"/>
      <c r="BN888" s="113"/>
      <c r="BO888" s="113"/>
      <c r="BP888" s="121"/>
      <c r="BQ888" s="121"/>
      <c r="GA888" t="s">
        <v>114</v>
      </c>
      <c r="GB888" t="s">
        <v>23031</v>
      </c>
      <c r="GC888" s="46">
        <v>0</v>
      </c>
      <c r="GD888" s="113"/>
      <c r="GE888" s="113"/>
      <c r="GF888" s="113"/>
      <c r="GG888" s="113"/>
      <c r="GH888" s="113"/>
      <c r="GI888" s="46">
        <v>0</v>
      </c>
      <c r="GJ888" s="113"/>
      <c r="GK888" s="113"/>
      <c r="GL888" s="113"/>
      <c r="GM888" s="113"/>
      <c r="GN888" s="113"/>
      <c r="GO888" s="46">
        <v>0</v>
      </c>
      <c r="GP888" s="113"/>
      <c r="GQ888" s="113"/>
      <c r="GR888" s="113"/>
      <c r="GS888" s="113"/>
      <c r="GT888" s="113"/>
      <c r="GU888" s="46">
        <v>0</v>
      </c>
      <c r="GV888" s="113"/>
      <c r="GW888" s="113"/>
      <c r="GX888" s="113"/>
      <c r="GY888" s="113"/>
      <c r="GZ888" s="113"/>
      <c r="HA888" s="46">
        <v>0</v>
      </c>
      <c r="HB888" s="113"/>
      <c r="HC888" s="113"/>
      <c r="HD888" s="113"/>
      <c r="HE888" s="113"/>
      <c r="HF888" s="113"/>
      <c r="HG888" s="46">
        <v>0</v>
      </c>
      <c r="HH888" s="113"/>
      <c r="HI888" s="113"/>
      <c r="HJ888" s="113"/>
      <c r="HK888" s="113"/>
      <c r="HL888" s="113"/>
      <c r="HM888" s="121"/>
      <c r="HN888" s="121"/>
      <c r="LM888" t="str">
        <v/>
      </c>
      <c r="LN888" t="str">
        <v/>
      </c>
      <c r="LO888" t="str">
        <v/>
      </c>
    </row>
    <row r="889" spans="30:327">
      <c r="AD889" t="s">
        <v>114</v>
      </c>
      <c r="AE889" t="s">
        <v>23032</v>
      </c>
      <c r="AF889" s="46">
        <v>0</v>
      </c>
      <c r="AG889" s="113"/>
      <c r="AH889" s="113"/>
      <c r="AI889" s="113"/>
      <c r="AJ889" s="113"/>
      <c r="AK889" s="113"/>
      <c r="AL889" s="46">
        <v>0</v>
      </c>
      <c r="AM889" s="113"/>
      <c r="AN889" s="113"/>
      <c r="AO889" s="113"/>
      <c r="AP889" s="113"/>
      <c r="AQ889" s="113"/>
      <c r="AR889" s="46">
        <v>0</v>
      </c>
      <c r="AS889" s="113"/>
      <c r="AT889" s="113"/>
      <c r="AU889" s="113"/>
      <c r="AV889" s="113"/>
      <c r="AW889" s="113"/>
      <c r="AX889" s="46">
        <v>0</v>
      </c>
      <c r="AY889" s="113"/>
      <c r="AZ889" s="113"/>
      <c r="BA889" s="113"/>
      <c r="BB889" s="113"/>
      <c r="BC889" s="113"/>
      <c r="BD889" s="46">
        <v>0</v>
      </c>
      <c r="BE889" s="113"/>
      <c r="BF889" s="113"/>
      <c r="BG889" s="113"/>
      <c r="BH889" s="113"/>
      <c r="BI889" s="113"/>
      <c r="BJ889" s="46">
        <v>0</v>
      </c>
      <c r="BK889" s="113"/>
      <c r="BL889" s="113"/>
      <c r="BM889" s="113"/>
      <c r="BN889" s="113"/>
      <c r="BO889" s="113"/>
      <c r="BP889" s="121"/>
      <c r="BQ889" s="121"/>
      <c r="GA889" t="s">
        <v>114</v>
      </c>
      <c r="GB889" t="s">
        <v>23032</v>
      </c>
      <c r="GC889" s="46">
        <v>0</v>
      </c>
      <c r="GD889" s="113"/>
      <c r="GE889" s="113"/>
      <c r="GF889" s="113"/>
      <c r="GG889" s="113"/>
      <c r="GH889" s="113"/>
      <c r="GI889" s="46">
        <v>0</v>
      </c>
      <c r="GJ889" s="113"/>
      <c r="GK889" s="113"/>
      <c r="GL889" s="113"/>
      <c r="GM889" s="113"/>
      <c r="GN889" s="113"/>
      <c r="GO889" s="46">
        <v>0</v>
      </c>
      <c r="GP889" s="113"/>
      <c r="GQ889" s="113"/>
      <c r="GR889" s="113"/>
      <c r="GS889" s="113"/>
      <c r="GT889" s="113"/>
      <c r="GU889" s="46">
        <v>0</v>
      </c>
      <c r="GV889" s="113"/>
      <c r="GW889" s="113"/>
      <c r="GX889" s="113"/>
      <c r="GY889" s="113"/>
      <c r="GZ889" s="113"/>
      <c r="HA889" s="46">
        <v>0</v>
      </c>
      <c r="HB889" s="113"/>
      <c r="HC889" s="113"/>
      <c r="HD889" s="113"/>
      <c r="HE889" s="113"/>
      <c r="HF889" s="113"/>
      <c r="HG889" s="46">
        <v>0</v>
      </c>
      <c r="HH889" s="113"/>
      <c r="HI889" s="113"/>
      <c r="HJ889" s="113"/>
      <c r="HK889" s="113"/>
      <c r="HL889" s="113"/>
      <c r="HM889" s="121"/>
      <c r="HN889" s="121"/>
      <c r="LM889" t="str">
        <v/>
      </c>
      <c r="LN889" t="str">
        <v/>
      </c>
      <c r="LO889" t="str">
        <v/>
      </c>
    </row>
    <row r="890" spans="30:327">
      <c r="AD890" t="s">
        <v>114</v>
      </c>
      <c r="AE890" t="s">
        <v>23033</v>
      </c>
      <c r="AF890" s="46">
        <v>0</v>
      </c>
      <c r="AG890" s="113"/>
      <c r="AH890" s="113"/>
      <c r="AI890" s="113"/>
      <c r="AJ890" s="113"/>
      <c r="AK890" s="113"/>
      <c r="AL890" s="46">
        <v>0</v>
      </c>
      <c r="AM890" s="113"/>
      <c r="AN890" s="113"/>
      <c r="AO890" s="113"/>
      <c r="AP890" s="113"/>
      <c r="AQ890" s="113"/>
      <c r="AR890" s="46">
        <v>0</v>
      </c>
      <c r="AS890" s="113"/>
      <c r="AT890" s="113"/>
      <c r="AU890" s="113"/>
      <c r="AV890" s="113"/>
      <c r="AW890" s="113"/>
      <c r="AX890" s="46">
        <v>0</v>
      </c>
      <c r="AY890" s="113"/>
      <c r="AZ890" s="113"/>
      <c r="BA890" s="113"/>
      <c r="BB890" s="113"/>
      <c r="BC890" s="113"/>
      <c r="BD890" s="46">
        <v>0</v>
      </c>
      <c r="BE890" s="113"/>
      <c r="BF890" s="113"/>
      <c r="BG890" s="113"/>
      <c r="BH890" s="113"/>
      <c r="BI890" s="113"/>
      <c r="BJ890" s="46">
        <v>0</v>
      </c>
      <c r="BK890" s="113"/>
      <c r="BL890" s="113"/>
      <c r="BM890" s="113"/>
      <c r="BN890" s="113"/>
      <c r="BO890" s="113"/>
      <c r="BP890" s="121"/>
      <c r="BQ890" s="121"/>
      <c r="GA890" t="s">
        <v>114</v>
      </c>
      <c r="GB890" t="s">
        <v>23033</v>
      </c>
      <c r="GC890" s="46">
        <v>0</v>
      </c>
      <c r="GD890" s="113"/>
      <c r="GE890" s="113"/>
      <c r="GF890" s="113"/>
      <c r="GG890" s="113"/>
      <c r="GH890" s="113"/>
      <c r="GI890" s="46">
        <v>0</v>
      </c>
      <c r="GJ890" s="113"/>
      <c r="GK890" s="113"/>
      <c r="GL890" s="113"/>
      <c r="GM890" s="113"/>
      <c r="GN890" s="113"/>
      <c r="GO890" s="46">
        <v>0</v>
      </c>
      <c r="GP890" s="113"/>
      <c r="GQ890" s="113"/>
      <c r="GR890" s="113"/>
      <c r="GS890" s="113"/>
      <c r="GT890" s="113"/>
      <c r="GU890" s="46">
        <v>0</v>
      </c>
      <c r="GV890" s="113"/>
      <c r="GW890" s="113"/>
      <c r="GX890" s="113"/>
      <c r="GY890" s="113"/>
      <c r="GZ890" s="113"/>
      <c r="HA890" s="46">
        <v>0</v>
      </c>
      <c r="HB890" s="113"/>
      <c r="HC890" s="113"/>
      <c r="HD890" s="113"/>
      <c r="HE890" s="113"/>
      <c r="HF890" s="113"/>
      <c r="HG890" s="46">
        <v>0</v>
      </c>
      <c r="HH890" s="113"/>
      <c r="HI890" s="113"/>
      <c r="HJ890" s="113"/>
      <c r="HK890" s="113"/>
      <c r="HL890" s="113"/>
      <c r="HM890" s="121"/>
      <c r="HN890" s="121"/>
      <c r="LM890" t="str">
        <v/>
      </c>
      <c r="LN890" t="str">
        <v/>
      </c>
      <c r="LO890" t="str">
        <v/>
      </c>
    </row>
    <row r="891" spans="30:327">
      <c r="AD891" t="s">
        <v>114</v>
      </c>
      <c r="AE891" t="s">
        <v>23034</v>
      </c>
      <c r="AF891" s="46">
        <v>0</v>
      </c>
      <c r="AG891" s="113"/>
      <c r="AH891" s="113"/>
      <c r="AI891" s="113"/>
      <c r="AJ891" s="113"/>
      <c r="AK891" s="113"/>
      <c r="AL891" s="46">
        <v>0</v>
      </c>
      <c r="AM891" s="113"/>
      <c r="AN891" s="113"/>
      <c r="AO891" s="113"/>
      <c r="AP891" s="113"/>
      <c r="AQ891" s="113"/>
      <c r="AR891" s="46">
        <v>0</v>
      </c>
      <c r="AS891" s="113"/>
      <c r="AT891" s="113"/>
      <c r="AU891" s="113"/>
      <c r="AV891" s="113"/>
      <c r="AW891" s="113"/>
      <c r="AX891" s="46">
        <v>0</v>
      </c>
      <c r="AY891" s="113"/>
      <c r="AZ891" s="113"/>
      <c r="BA891" s="113"/>
      <c r="BB891" s="113"/>
      <c r="BC891" s="113"/>
      <c r="BD891" s="46">
        <v>0</v>
      </c>
      <c r="BE891" s="113"/>
      <c r="BF891" s="113"/>
      <c r="BG891" s="113"/>
      <c r="BH891" s="113"/>
      <c r="BI891" s="113"/>
      <c r="BJ891" s="46">
        <v>0</v>
      </c>
      <c r="BK891" s="113"/>
      <c r="BL891" s="113"/>
      <c r="BM891" s="113"/>
      <c r="BN891" s="113"/>
      <c r="BO891" s="113"/>
      <c r="BP891" s="121"/>
      <c r="BQ891" s="121"/>
      <c r="GA891" t="s">
        <v>114</v>
      </c>
      <c r="GB891" t="s">
        <v>23034</v>
      </c>
      <c r="GC891" s="46">
        <v>0</v>
      </c>
      <c r="GD891" s="113"/>
      <c r="GE891" s="113"/>
      <c r="GF891" s="113"/>
      <c r="GG891" s="113"/>
      <c r="GH891" s="113"/>
      <c r="GI891" s="46">
        <v>0</v>
      </c>
      <c r="GJ891" s="113"/>
      <c r="GK891" s="113"/>
      <c r="GL891" s="113"/>
      <c r="GM891" s="113"/>
      <c r="GN891" s="113"/>
      <c r="GO891" s="46">
        <v>0</v>
      </c>
      <c r="GP891" s="113"/>
      <c r="GQ891" s="113"/>
      <c r="GR891" s="113"/>
      <c r="GS891" s="113"/>
      <c r="GT891" s="113"/>
      <c r="GU891" s="46">
        <v>0</v>
      </c>
      <c r="GV891" s="113"/>
      <c r="GW891" s="113"/>
      <c r="GX891" s="113"/>
      <c r="GY891" s="113"/>
      <c r="GZ891" s="113"/>
      <c r="HA891" s="46">
        <v>0</v>
      </c>
      <c r="HB891" s="113"/>
      <c r="HC891" s="113"/>
      <c r="HD891" s="113"/>
      <c r="HE891" s="113"/>
      <c r="HF891" s="113"/>
      <c r="HG891" s="46">
        <v>0</v>
      </c>
      <c r="HH891" s="113"/>
      <c r="HI891" s="113"/>
      <c r="HJ891" s="113"/>
      <c r="HK891" s="113"/>
      <c r="HL891" s="113"/>
      <c r="HM891" s="121"/>
      <c r="HN891" s="121"/>
      <c r="LM891" t="str">
        <v/>
      </c>
      <c r="LN891" t="str">
        <v/>
      </c>
      <c r="LO891" t="str">
        <v/>
      </c>
    </row>
    <row r="892" spans="30:327">
      <c r="AD892" t="s">
        <v>114</v>
      </c>
      <c r="AE892" t="s">
        <v>23035</v>
      </c>
      <c r="AF892" s="46">
        <v>0</v>
      </c>
      <c r="AG892" s="113"/>
      <c r="AH892" s="113"/>
      <c r="AI892" s="113"/>
      <c r="AJ892" s="113"/>
      <c r="AK892" s="113"/>
      <c r="AL892" s="46">
        <v>0</v>
      </c>
      <c r="AM892" s="113"/>
      <c r="AN892" s="113"/>
      <c r="AO892" s="113"/>
      <c r="AP892" s="113"/>
      <c r="AQ892" s="113"/>
      <c r="AR892" s="46">
        <v>0</v>
      </c>
      <c r="AS892" s="113"/>
      <c r="AT892" s="113"/>
      <c r="AU892" s="113"/>
      <c r="AV892" s="113"/>
      <c r="AW892" s="113"/>
      <c r="AX892" s="46">
        <v>0</v>
      </c>
      <c r="AY892" s="113"/>
      <c r="AZ892" s="113"/>
      <c r="BA892" s="113"/>
      <c r="BB892" s="113"/>
      <c r="BC892" s="113"/>
      <c r="BD892" s="46">
        <v>0</v>
      </c>
      <c r="BE892" s="113"/>
      <c r="BF892" s="113"/>
      <c r="BG892" s="113"/>
      <c r="BH892" s="113"/>
      <c r="BI892" s="113"/>
      <c r="BJ892" s="46">
        <v>0</v>
      </c>
      <c r="BK892" s="113"/>
      <c r="BL892" s="113"/>
      <c r="BM892" s="113"/>
      <c r="BN892" s="113"/>
      <c r="BO892" s="113"/>
      <c r="BP892" s="121"/>
      <c r="BQ892" s="121"/>
      <c r="GA892" t="s">
        <v>114</v>
      </c>
      <c r="GB892" t="s">
        <v>23035</v>
      </c>
      <c r="GC892" s="46">
        <v>0</v>
      </c>
      <c r="GD892" s="113"/>
      <c r="GE892" s="113"/>
      <c r="GF892" s="113"/>
      <c r="GG892" s="113"/>
      <c r="GH892" s="113"/>
      <c r="GI892" s="46">
        <v>0</v>
      </c>
      <c r="GJ892" s="113"/>
      <c r="GK892" s="113"/>
      <c r="GL892" s="113"/>
      <c r="GM892" s="113"/>
      <c r="GN892" s="113"/>
      <c r="GO892" s="46">
        <v>0</v>
      </c>
      <c r="GP892" s="113"/>
      <c r="GQ892" s="113"/>
      <c r="GR892" s="113"/>
      <c r="GS892" s="113"/>
      <c r="GT892" s="113"/>
      <c r="GU892" s="46">
        <v>0</v>
      </c>
      <c r="GV892" s="113"/>
      <c r="GW892" s="113"/>
      <c r="GX892" s="113"/>
      <c r="GY892" s="113"/>
      <c r="GZ892" s="113"/>
      <c r="HA892" s="46">
        <v>0</v>
      </c>
      <c r="HB892" s="113"/>
      <c r="HC892" s="113"/>
      <c r="HD892" s="113"/>
      <c r="HE892" s="113"/>
      <c r="HF892" s="113"/>
      <c r="HG892" s="46">
        <v>0</v>
      </c>
      <c r="HH892" s="113"/>
      <c r="HI892" s="113"/>
      <c r="HJ892" s="113"/>
      <c r="HK892" s="113"/>
      <c r="HL892" s="113"/>
      <c r="HM892" s="121"/>
      <c r="HN892" s="121"/>
      <c r="LM892" t="str">
        <v/>
      </c>
      <c r="LN892" t="str">
        <v/>
      </c>
      <c r="LO892" t="str">
        <v/>
      </c>
    </row>
    <row r="893" spans="30:327">
      <c r="AD893" t="s">
        <v>114</v>
      </c>
      <c r="AE893" t="s">
        <v>23036</v>
      </c>
      <c r="AF893" s="46">
        <v>0</v>
      </c>
      <c r="AG893" s="113"/>
      <c r="AH893" s="113"/>
      <c r="AI893" s="113"/>
      <c r="AJ893" s="113"/>
      <c r="AK893" s="113"/>
      <c r="AL893" s="46">
        <v>0</v>
      </c>
      <c r="AM893" s="113"/>
      <c r="AN893" s="113"/>
      <c r="AO893" s="113"/>
      <c r="AP893" s="113"/>
      <c r="AQ893" s="113"/>
      <c r="AR893" s="46">
        <v>0</v>
      </c>
      <c r="AS893" s="113"/>
      <c r="AT893" s="113"/>
      <c r="AU893" s="113"/>
      <c r="AV893" s="113"/>
      <c r="AW893" s="113"/>
      <c r="AX893" s="46">
        <v>0</v>
      </c>
      <c r="AY893" s="113"/>
      <c r="AZ893" s="113"/>
      <c r="BA893" s="113"/>
      <c r="BB893" s="113"/>
      <c r="BC893" s="113"/>
      <c r="BD893" s="46">
        <v>0</v>
      </c>
      <c r="BE893" s="113"/>
      <c r="BF893" s="113"/>
      <c r="BG893" s="113"/>
      <c r="BH893" s="113"/>
      <c r="BI893" s="113"/>
      <c r="BJ893" s="46">
        <v>0</v>
      </c>
      <c r="BK893" s="113"/>
      <c r="BL893" s="113"/>
      <c r="BM893" s="113"/>
      <c r="BN893" s="113"/>
      <c r="BO893" s="113"/>
      <c r="BP893" s="121"/>
      <c r="BQ893" s="121"/>
      <c r="GA893" t="s">
        <v>114</v>
      </c>
      <c r="GB893" t="s">
        <v>23036</v>
      </c>
      <c r="GC893" s="46">
        <v>0</v>
      </c>
      <c r="GD893" s="113"/>
      <c r="GE893" s="113"/>
      <c r="GF893" s="113"/>
      <c r="GG893" s="113"/>
      <c r="GH893" s="113"/>
      <c r="GI893" s="46">
        <v>0</v>
      </c>
      <c r="GJ893" s="113"/>
      <c r="GK893" s="113"/>
      <c r="GL893" s="113"/>
      <c r="GM893" s="113"/>
      <c r="GN893" s="113"/>
      <c r="GO893" s="46">
        <v>0</v>
      </c>
      <c r="GP893" s="113"/>
      <c r="GQ893" s="113"/>
      <c r="GR893" s="113"/>
      <c r="GS893" s="113"/>
      <c r="GT893" s="113"/>
      <c r="GU893" s="46">
        <v>0</v>
      </c>
      <c r="GV893" s="113"/>
      <c r="GW893" s="113"/>
      <c r="GX893" s="113"/>
      <c r="GY893" s="113"/>
      <c r="GZ893" s="113"/>
      <c r="HA893" s="46">
        <v>0</v>
      </c>
      <c r="HB893" s="113"/>
      <c r="HC893" s="113"/>
      <c r="HD893" s="113"/>
      <c r="HE893" s="113"/>
      <c r="HF893" s="113"/>
      <c r="HG893" s="46">
        <v>0</v>
      </c>
      <c r="HH893" s="113"/>
      <c r="HI893" s="113"/>
      <c r="HJ893" s="113"/>
      <c r="HK893" s="113"/>
      <c r="HL893" s="113"/>
      <c r="HM893" s="121"/>
      <c r="HN893" s="121"/>
      <c r="LM893" t="str">
        <v/>
      </c>
      <c r="LN893" t="str">
        <v/>
      </c>
      <c r="LO893" t="str">
        <v/>
      </c>
    </row>
    <row r="894" spans="30:327">
      <c r="AD894" t="s">
        <v>114</v>
      </c>
      <c r="AE894" t="s">
        <v>23037</v>
      </c>
      <c r="AF894" s="46">
        <v>0</v>
      </c>
      <c r="AG894" s="113"/>
      <c r="AH894" s="113"/>
      <c r="AI894" s="113"/>
      <c r="AJ894" s="113"/>
      <c r="AK894" s="113"/>
      <c r="AL894" s="46">
        <v>0</v>
      </c>
      <c r="AM894" s="113"/>
      <c r="AN894" s="113"/>
      <c r="AO894" s="113"/>
      <c r="AP894" s="113"/>
      <c r="AQ894" s="113"/>
      <c r="AR894" s="46">
        <v>0</v>
      </c>
      <c r="AS894" s="113"/>
      <c r="AT894" s="113"/>
      <c r="AU894" s="113"/>
      <c r="AV894" s="113"/>
      <c r="AW894" s="113"/>
      <c r="AX894" s="46">
        <v>0</v>
      </c>
      <c r="AY894" s="113"/>
      <c r="AZ894" s="113"/>
      <c r="BA894" s="113"/>
      <c r="BB894" s="113"/>
      <c r="BC894" s="113"/>
      <c r="BD894" s="46">
        <v>0</v>
      </c>
      <c r="BE894" s="113"/>
      <c r="BF894" s="113"/>
      <c r="BG894" s="113"/>
      <c r="BH894" s="113"/>
      <c r="BI894" s="113"/>
      <c r="BJ894" s="46">
        <v>0</v>
      </c>
      <c r="BK894" s="113"/>
      <c r="BL894" s="113"/>
      <c r="BM894" s="113"/>
      <c r="BN894" s="113"/>
      <c r="BO894" s="113"/>
      <c r="BP894" s="121"/>
      <c r="BQ894" s="121"/>
      <c r="GA894" t="s">
        <v>114</v>
      </c>
      <c r="GB894" t="s">
        <v>23037</v>
      </c>
      <c r="GC894" s="46">
        <v>0</v>
      </c>
      <c r="GD894" s="113"/>
      <c r="GE894" s="113"/>
      <c r="GF894" s="113"/>
      <c r="GG894" s="113"/>
      <c r="GH894" s="113"/>
      <c r="GI894" s="46">
        <v>0</v>
      </c>
      <c r="GJ894" s="113"/>
      <c r="GK894" s="113"/>
      <c r="GL894" s="113"/>
      <c r="GM894" s="113"/>
      <c r="GN894" s="113"/>
      <c r="GO894" s="46">
        <v>0</v>
      </c>
      <c r="GP894" s="113"/>
      <c r="GQ894" s="113"/>
      <c r="GR894" s="113"/>
      <c r="GS894" s="113"/>
      <c r="GT894" s="113"/>
      <c r="GU894" s="46">
        <v>0</v>
      </c>
      <c r="GV894" s="113"/>
      <c r="GW894" s="113"/>
      <c r="GX894" s="113"/>
      <c r="GY894" s="113"/>
      <c r="GZ894" s="113"/>
      <c r="HA894" s="46">
        <v>0</v>
      </c>
      <c r="HB894" s="113"/>
      <c r="HC894" s="113"/>
      <c r="HD894" s="113"/>
      <c r="HE894" s="113"/>
      <c r="HF894" s="113"/>
      <c r="HG894" s="46">
        <v>0</v>
      </c>
      <c r="HH894" s="113"/>
      <c r="HI894" s="113"/>
      <c r="HJ894" s="113"/>
      <c r="HK894" s="113"/>
      <c r="HL894" s="113"/>
      <c r="HM894" s="121"/>
      <c r="HN894" s="121"/>
      <c r="LM894" t="str">
        <v/>
      </c>
      <c r="LN894" t="str">
        <v/>
      </c>
      <c r="LO894" t="str">
        <v/>
      </c>
    </row>
    <row r="895" spans="30:327">
      <c r="AD895" t="s">
        <v>114</v>
      </c>
      <c r="AE895" t="s">
        <v>23038</v>
      </c>
      <c r="AF895" s="46">
        <v>0</v>
      </c>
      <c r="AG895" s="113"/>
      <c r="AH895" s="113"/>
      <c r="AI895" s="113"/>
      <c r="AJ895" s="113"/>
      <c r="AK895" s="113"/>
      <c r="AL895" s="46">
        <v>0</v>
      </c>
      <c r="AM895" s="113"/>
      <c r="AN895" s="113"/>
      <c r="AO895" s="113"/>
      <c r="AP895" s="113"/>
      <c r="AQ895" s="113"/>
      <c r="AR895" s="46">
        <v>0</v>
      </c>
      <c r="AS895" s="113"/>
      <c r="AT895" s="113"/>
      <c r="AU895" s="113"/>
      <c r="AV895" s="113"/>
      <c r="AW895" s="113"/>
      <c r="AX895" s="46">
        <v>0</v>
      </c>
      <c r="AY895" s="113"/>
      <c r="AZ895" s="113"/>
      <c r="BA895" s="113"/>
      <c r="BB895" s="113"/>
      <c r="BC895" s="113"/>
      <c r="BD895" s="46">
        <v>0</v>
      </c>
      <c r="BE895" s="113"/>
      <c r="BF895" s="113"/>
      <c r="BG895" s="113"/>
      <c r="BH895" s="113"/>
      <c r="BI895" s="113"/>
      <c r="BJ895" s="46">
        <v>0</v>
      </c>
      <c r="BK895" s="113"/>
      <c r="BL895" s="113"/>
      <c r="BM895" s="113"/>
      <c r="BN895" s="113"/>
      <c r="BO895" s="113"/>
      <c r="BP895" s="121"/>
      <c r="BQ895" s="121"/>
      <c r="GA895" t="s">
        <v>114</v>
      </c>
      <c r="GB895" t="s">
        <v>23038</v>
      </c>
      <c r="GC895" s="46">
        <v>0</v>
      </c>
      <c r="GD895" s="113"/>
      <c r="GE895" s="113"/>
      <c r="GF895" s="113"/>
      <c r="GG895" s="113"/>
      <c r="GH895" s="113"/>
      <c r="GI895" s="46">
        <v>0</v>
      </c>
      <c r="GJ895" s="113"/>
      <c r="GK895" s="113"/>
      <c r="GL895" s="113"/>
      <c r="GM895" s="113"/>
      <c r="GN895" s="113"/>
      <c r="GO895" s="46">
        <v>0</v>
      </c>
      <c r="GP895" s="113"/>
      <c r="GQ895" s="113"/>
      <c r="GR895" s="113"/>
      <c r="GS895" s="113"/>
      <c r="GT895" s="113"/>
      <c r="GU895" s="46">
        <v>0</v>
      </c>
      <c r="GV895" s="113"/>
      <c r="GW895" s="113"/>
      <c r="GX895" s="113"/>
      <c r="GY895" s="113"/>
      <c r="GZ895" s="113"/>
      <c r="HA895" s="46">
        <v>0</v>
      </c>
      <c r="HB895" s="113"/>
      <c r="HC895" s="113"/>
      <c r="HD895" s="113"/>
      <c r="HE895" s="113"/>
      <c r="HF895" s="113"/>
      <c r="HG895" s="46">
        <v>0</v>
      </c>
      <c r="HH895" s="113"/>
      <c r="HI895" s="113"/>
      <c r="HJ895" s="113"/>
      <c r="HK895" s="113"/>
      <c r="HL895" s="113"/>
      <c r="HM895" s="121"/>
      <c r="HN895" s="121"/>
      <c r="LM895" t="str">
        <v/>
      </c>
      <c r="LN895" t="str">
        <v/>
      </c>
      <c r="LO895" t="str">
        <v/>
      </c>
    </row>
    <row r="896" spans="30:327">
      <c r="AD896" t="s">
        <v>114</v>
      </c>
      <c r="AE896" t="s">
        <v>23039</v>
      </c>
      <c r="AF896" s="46">
        <v>0</v>
      </c>
      <c r="AG896" s="113"/>
      <c r="AH896" s="113"/>
      <c r="AI896" s="113"/>
      <c r="AJ896" s="113"/>
      <c r="AK896" s="113"/>
      <c r="AL896" s="46">
        <v>0</v>
      </c>
      <c r="AM896" s="113"/>
      <c r="AN896" s="113"/>
      <c r="AO896" s="113"/>
      <c r="AP896" s="113"/>
      <c r="AQ896" s="113"/>
      <c r="AR896" s="46">
        <v>0</v>
      </c>
      <c r="AS896" s="113"/>
      <c r="AT896" s="113"/>
      <c r="AU896" s="113"/>
      <c r="AV896" s="113"/>
      <c r="AW896" s="113"/>
      <c r="AX896" s="46">
        <v>0</v>
      </c>
      <c r="AY896" s="113"/>
      <c r="AZ896" s="113"/>
      <c r="BA896" s="113"/>
      <c r="BB896" s="113"/>
      <c r="BC896" s="113"/>
      <c r="BD896" s="46">
        <v>0</v>
      </c>
      <c r="BE896" s="113"/>
      <c r="BF896" s="113"/>
      <c r="BG896" s="113"/>
      <c r="BH896" s="113"/>
      <c r="BI896" s="113"/>
      <c r="BJ896" s="46">
        <v>0</v>
      </c>
      <c r="BK896" s="113"/>
      <c r="BL896" s="113"/>
      <c r="BM896" s="113"/>
      <c r="BN896" s="113"/>
      <c r="BO896" s="113"/>
      <c r="BP896" s="121"/>
      <c r="BQ896" s="121"/>
      <c r="GA896" t="s">
        <v>114</v>
      </c>
      <c r="GB896" t="s">
        <v>23039</v>
      </c>
      <c r="GC896" s="46">
        <v>0</v>
      </c>
      <c r="GD896" s="113"/>
      <c r="GE896" s="113"/>
      <c r="GF896" s="113"/>
      <c r="GG896" s="113"/>
      <c r="GH896" s="113"/>
      <c r="GI896" s="46">
        <v>0</v>
      </c>
      <c r="GJ896" s="113"/>
      <c r="GK896" s="113"/>
      <c r="GL896" s="113"/>
      <c r="GM896" s="113"/>
      <c r="GN896" s="113"/>
      <c r="GO896" s="46">
        <v>0</v>
      </c>
      <c r="GP896" s="113"/>
      <c r="GQ896" s="113"/>
      <c r="GR896" s="113"/>
      <c r="GS896" s="113"/>
      <c r="GT896" s="113"/>
      <c r="GU896" s="46">
        <v>0</v>
      </c>
      <c r="GV896" s="113"/>
      <c r="GW896" s="113"/>
      <c r="GX896" s="113"/>
      <c r="GY896" s="113"/>
      <c r="GZ896" s="113"/>
      <c r="HA896" s="46">
        <v>0</v>
      </c>
      <c r="HB896" s="113"/>
      <c r="HC896" s="113"/>
      <c r="HD896" s="113"/>
      <c r="HE896" s="113"/>
      <c r="HF896" s="113"/>
      <c r="HG896" s="46">
        <v>0</v>
      </c>
      <c r="HH896" s="113"/>
      <c r="HI896" s="113"/>
      <c r="HJ896" s="113"/>
      <c r="HK896" s="113"/>
      <c r="HL896" s="113"/>
      <c r="HM896" s="121"/>
      <c r="HN896" s="121"/>
      <c r="LM896" t="str">
        <v/>
      </c>
      <c r="LN896" t="str">
        <v/>
      </c>
      <c r="LO896" t="str">
        <v/>
      </c>
    </row>
    <row r="897" spans="30:327">
      <c r="AD897" t="s">
        <v>114</v>
      </c>
      <c r="AE897" t="s">
        <v>23040</v>
      </c>
      <c r="AF897" s="46">
        <v>0</v>
      </c>
      <c r="AG897" s="113"/>
      <c r="AH897" s="113"/>
      <c r="AI897" s="113"/>
      <c r="AJ897" s="113"/>
      <c r="AK897" s="113"/>
      <c r="AL897" s="46">
        <v>0</v>
      </c>
      <c r="AM897" s="113"/>
      <c r="AN897" s="113"/>
      <c r="AO897" s="113"/>
      <c r="AP897" s="113"/>
      <c r="AQ897" s="113"/>
      <c r="AR897" s="46">
        <v>0</v>
      </c>
      <c r="AS897" s="113"/>
      <c r="AT897" s="113"/>
      <c r="AU897" s="113"/>
      <c r="AV897" s="113"/>
      <c r="AW897" s="113"/>
      <c r="AX897" s="46">
        <v>0</v>
      </c>
      <c r="AY897" s="113"/>
      <c r="AZ897" s="113"/>
      <c r="BA897" s="113"/>
      <c r="BB897" s="113"/>
      <c r="BC897" s="113"/>
      <c r="BD897" s="46">
        <v>0</v>
      </c>
      <c r="BE897" s="113"/>
      <c r="BF897" s="113"/>
      <c r="BG897" s="113"/>
      <c r="BH897" s="113"/>
      <c r="BI897" s="113"/>
      <c r="BJ897" s="46">
        <v>0</v>
      </c>
      <c r="BK897" s="113"/>
      <c r="BL897" s="113"/>
      <c r="BM897" s="113"/>
      <c r="BN897" s="113"/>
      <c r="BO897" s="113"/>
      <c r="BP897" s="121"/>
      <c r="BQ897" s="121"/>
      <c r="GA897" t="s">
        <v>114</v>
      </c>
      <c r="GB897" t="s">
        <v>23040</v>
      </c>
      <c r="GC897" s="46">
        <v>0</v>
      </c>
      <c r="GD897" s="113"/>
      <c r="GE897" s="113"/>
      <c r="GF897" s="113"/>
      <c r="GG897" s="113"/>
      <c r="GH897" s="113"/>
      <c r="GI897" s="46">
        <v>0</v>
      </c>
      <c r="GJ897" s="113"/>
      <c r="GK897" s="113"/>
      <c r="GL897" s="113"/>
      <c r="GM897" s="113"/>
      <c r="GN897" s="113"/>
      <c r="GO897" s="46">
        <v>0</v>
      </c>
      <c r="GP897" s="113"/>
      <c r="GQ897" s="113"/>
      <c r="GR897" s="113"/>
      <c r="GS897" s="113"/>
      <c r="GT897" s="113"/>
      <c r="GU897" s="46">
        <v>0</v>
      </c>
      <c r="GV897" s="113"/>
      <c r="GW897" s="113"/>
      <c r="GX897" s="113"/>
      <c r="GY897" s="113"/>
      <c r="GZ897" s="113"/>
      <c r="HA897" s="46">
        <v>0</v>
      </c>
      <c r="HB897" s="113"/>
      <c r="HC897" s="113"/>
      <c r="HD897" s="113"/>
      <c r="HE897" s="113"/>
      <c r="HF897" s="113"/>
      <c r="HG897" s="46">
        <v>0</v>
      </c>
      <c r="HH897" s="113"/>
      <c r="HI897" s="113"/>
      <c r="HJ897" s="113"/>
      <c r="HK897" s="113"/>
      <c r="HL897" s="113"/>
      <c r="HM897" s="121"/>
      <c r="HN897" s="121"/>
      <c r="LM897" t="str">
        <v/>
      </c>
      <c r="LN897" t="str">
        <v/>
      </c>
      <c r="LO897" t="str">
        <v/>
      </c>
    </row>
    <row r="898" spans="30:327">
      <c r="AD898" t="s">
        <v>114</v>
      </c>
      <c r="AE898" t="s">
        <v>23041</v>
      </c>
      <c r="AF898" s="46">
        <v>0</v>
      </c>
      <c r="AG898" s="113"/>
      <c r="AH898" s="113"/>
      <c r="AI898" s="113"/>
      <c r="AJ898" s="113"/>
      <c r="AK898" s="113"/>
      <c r="AL898" s="46">
        <v>0</v>
      </c>
      <c r="AM898" s="113"/>
      <c r="AN898" s="113"/>
      <c r="AO898" s="113"/>
      <c r="AP898" s="113"/>
      <c r="AQ898" s="113"/>
      <c r="AR898" s="46">
        <v>0</v>
      </c>
      <c r="AS898" s="113"/>
      <c r="AT898" s="113"/>
      <c r="AU898" s="113"/>
      <c r="AV898" s="113"/>
      <c r="AW898" s="113"/>
      <c r="AX898" s="46">
        <v>0</v>
      </c>
      <c r="AY898" s="113"/>
      <c r="AZ898" s="113"/>
      <c r="BA898" s="113"/>
      <c r="BB898" s="113"/>
      <c r="BC898" s="113"/>
      <c r="BD898" s="46">
        <v>0</v>
      </c>
      <c r="BE898" s="113"/>
      <c r="BF898" s="113"/>
      <c r="BG898" s="113"/>
      <c r="BH898" s="113"/>
      <c r="BI898" s="113"/>
      <c r="BJ898" s="46">
        <v>0</v>
      </c>
      <c r="BK898" s="113"/>
      <c r="BL898" s="113"/>
      <c r="BM898" s="113"/>
      <c r="BN898" s="113"/>
      <c r="BO898" s="113"/>
      <c r="BP898" s="121"/>
      <c r="BQ898" s="121"/>
      <c r="GA898" t="s">
        <v>114</v>
      </c>
      <c r="GB898" t="s">
        <v>23041</v>
      </c>
      <c r="GC898" s="46">
        <v>0</v>
      </c>
      <c r="GD898" s="113"/>
      <c r="GE898" s="113"/>
      <c r="GF898" s="113"/>
      <c r="GG898" s="113"/>
      <c r="GH898" s="113"/>
      <c r="GI898" s="46">
        <v>0</v>
      </c>
      <c r="GJ898" s="113"/>
      <c r="GK898" s="113"/>
      <c r="GL898" s="113"/>
      <c r="GM898" s="113"/>
      <c r="GN898" s="113"/>
      <c r="GO898" s="46">
        <v>0</v>
      </c>
      <c r="GP898" s="113"/>
      <c r="GQ898" s="113"/>
      <c r="GR898" s="113"/>
      <c r="GS898" s="113"/>
      <c r="GT898" s="113"/>
      <c r="GU898" s="46">
        <v>0</v>
      </c>
      <c r="GV898" s="113"/>
      <c r="GW898" s="113"/>
      <c r="GX898" s="113"/>
      <c r="GY898" s="113"/>
      <c r="GZ898" s="113"/>
      <c r="HA898" s="46">
        <v>0</v>
      </c>
      <c r="HB898" s="113"/>
      <c r="HC898" s="113"/>
      <c r="HD898" s="113"/>
      <c r="HE898" s="113"/>
      <c r="HF898" s="113"/>
      <c r="HG898" s="46">
        <v>0</v>
      </c>
      <c r="HH898" s="113"/>
      <c r="HI898" s="113"/>
      <c r="HJ898" s="113"/>
      <c r="HK898" s="113"/>
      <c r="HL898" s="113"/>
      <c r="HM898" s="121"/>
      <c r="HN898" s="121"/>
      <c r="LM898" t="str">
        <v/>
      </c>
      <c r="LN898" t="str">
        <v/>
      </c>
      <c r="LO898" t="str">
        <v/>
      </c>
    </row>
    <row r="899" spans="30:327">
      <c r="AD899" t="s">
        <v>114</v>
      </c>
      <c r="AE899" t="s">
        <v>23042</v>
      </c>
      <c r="AF899" s="46">
        <v>0</v>
      </c>
      <c r="AG899" s="113"/>
      <c r="AH899" s="113"/>
      <c r="AI899" s="113"/>
      <c r="AJ899" s="113"/>
      <c r="AK899" s="113"/>
      <c r="AL899" s="46">
        <v>0</v>
      </c>
      <c r="AM899" s="113"/>
      <c r="AN899" s="113"/>
      <c r="AO899" s="113"/>
      <c r="AP899" s="113"/>
      <c r="AQ899" s="113"/>
      <c r="AR899" s="46">
        <v>0</v>
      </c>
      <c r="AS899" s="113"/>
      <c r="AT899" s="113"/>
      <c r="AU899" s="113"/>
      <c r="AV899" s="113"/>
      <c r="AW899" s="113"/>
      <c r="AX899" s="46">
        <v>0</v>
      </c>
      <c r="AY899" s="113"/>
      <c r="AZ899" s="113"/>
      <c r="BA899" s="113"/>
      <c r="BB899" s="113"/>
      <c r="BC899" s="113"/>
      <c r="BD899" s="46">
        <v>0</v>
      </c>
      <c r="BE899" s="113"/>
      <c r="BF899" s="113"/>
      <c r="BG899" s="113"/>
      <c r="BH899" s="113"/>
      <c r="BI899" s="113"/>
      <c r="BJ899" s="46">
        <v>0</v>
      </c>
      <c r="BK899" s="113"/>
      <c r="BL899" s="113"/>
      <c r="BM899" s="113"/>
      <c r="BN899" s="113"/>
      <c r="BO899" s="113"/>
      <c r="BP899" s="121"/>
      <c r="BQ899" s="121"/>
      <c r="GA899" t="s">
        <v>114</v>
      </c>
      <c r="GB899" t="s">
        <v>23042</v>
      </c>
      <c r="GC899" s="46">
        <v>0</v>
      </c>
      <c r="GD899" s="113"/>
      <c r="GE899" s="113"/>
      <c r="GF899" s="113"/>
      <c r="GG899" s="113"/>
      <c r="GH899" s="113"/>
      <c r="GI899" s="46">
        <v>0</v>
      </c>
      <c r="GJ899" s="113"/>
      <c r="GK899" s="113"/>
      <c r="GL899" s="113"/>
      <c r="GM899" s="113"/>
      <c r="GN899" s="113"/>
      <c r="GO899" s="46">
        <v>0</v>
      </c>
      <c r="GP899" s="113"/>
      <c r="GQ899" s="113"/>
      <c r="GR899" s="113"/>
      <c r="GS899" s="113"/>
      <c r="GT899" s="113"/>
      <c r="GU899" s="46">
        <v>0</v>
      </c>
      <c r="GV899" s="113"/>
      <c r="GW899" s="113"/>
      <c r="GX899" s="113"/>
      <c r="GY899" s="113"/>
      <c r="GZ899" s="113"/>
      <c r="HA899" s="46">
        <v>0</v>
      </c>
      <c r="HB899" s="113"/>
      <c r="HC899" s="113"/>
      <c r="HD899" s="113"/>
      <c r="HE899" s="113"/>
      <c r="HF899" s="113"/>
      <c r="HG899" s="46">
        <v>0</v>
      </c>
      <c r="HH899" s="113"/>
      <c r="HI899" s="113"/>
      <c r="HJ899" s="113"/>
      <c r="HK899" s="113"/>
      <c r="HL899" s="113"/>
      <c r="HM899" s="121"/>
      <c r="HN899" s="121"/>
      <c r="LM899" t="str">
        <v/>
      </c>
      <c r="LN899" t="str">
        <v/>
      </c>
      <c r="LO899" t="str">
        <v/>
      </c>
    </row>
    <row r="900" spans="30:327">
      <c r="AD900" t="s">
        <v>114</v>
      </c>
      <c r="AE900" t="s">
        <v>23043</v>
      </c>
      <c r="AF900" s="46">
        <v>0</v>
      </c>
      <c r="AG900" s="113"/>
      <c r="AH900" s="113"/>
      <c r="AI900" s="113"/>
      <c r="AJ900" s="113"/>
      <c r="AK900" s="113"/>
      <c r="AL900" s="46">
        <v>0</v>
      </c>
      <c r="AM900" s="113"/>
      <c r="AN900" s="113"/>
      <c r="AO900" s="113"/>
      <c r="AP900" s="113"/>
      <c r="AQ900" s="113"/>
      <c r="AR900" s="46">
        <v>0</v>
      </c>
      <c r="AS900" s="113"/>
      <c r="AT900" s="113"/>
      <c r="AU900" s="113"/>
      <c r="AV900" s="113"/>
      <c r="AW900" s="113"/>
      <c r="AX900" s="46">
        <v>0</v>
      </c>
      <c r="AY900" s="113"/>
      <c r="AZ900" s="113"/>
      <c r="BA900" s="113"/>
      <c r="BB900" s="113"/>
      <c r="BC900" s="113"/>
      <c r="BD900" s="46">
        <v>0</v>
      </c>
      <c r="BE900" s="113"/>
      <c r="BF900" s="113"/>
      <c r="BG900" s="113"/>
      <c r="BH900" s="113"/>
      <c r="BI900" s="113"/>
      <c r="BJ900" s="46">
        <v>0</v>
      </c>
      <c r="BK900" s="113"/>
      <c r="BL900" s="113"/>
      <c r="BM900" s="113"/>
      <c r="BN900" s="113"/>
      <c r="BO900" s="113"/>
      <c r="BP900" s="121"/>
      <c r="BQ900" s="121"/>
      <c r="GA900" t="s">
        <v>114</v>
      </c>
      <c r="GB900" t="s">
        <v>23043</v>
      </c>
      <c r="GC900" s="46">
        <v>0</v>
      </c>
      <c r="GD900" s="113"/>
      <c r="GE900" s="113"/>
      <c r="GF900" s="113"/>
      <c r="GG900" s="113"/>
      <c r="GH900" s="113"/>
      <c r="GI900" s="46">
        <v>0</v>
      </c>
      <c r="GJ900" s="113"/>
      <c r="GK900" s="113"/>
      <c r="GL900" s="113"/>
      <c r="GM900" s="113"/>
      <c r="GN900" s="113"/>
      <c r="GO900" s="46">
        <v>0</v>
      </c>
      <c r="GP900" s="113"/>
      <c r="GQ900" s="113"/>
      <c r="GR900" s="113"/>
      <c r="GS900" s="113"/>
      <c r="GT900" s="113"/>
      <c r="GU900" s="46">
        <v>0</v>
      </c>
      <c r="GV900" s="113"/>
      <c r="GW900" s="113"/>
      <c r="GX900" s="113"/>
      <c r="GY900" s="113"/>
      <c r="GZ900" s="113"/>
      <c r="HA900" s="46">
        <v>0</v>
      </c>
      <c r="HB900" s="113"/>
      <c r="HC900" s="113"/>
      <c r="HD900" s="113"/>
      <c r="HE900" s="113"/>
      <c r="HF900" s="113"/>
      <c r="HG900" s="46">
        <v>0</v>
      </c>
      <c r="HH900" s="113"/>
      <c r="HI900" s="113"/>
      <c r="HJ900" s="113"/>
      <c r="HK900" s="113"/>
      <c r="HL900" s="113"/>
      <c r="HM900" s="121"/>
      <c r="HN900" s="121"/>
      <c r="LM900" t="str">
        <v/>
      </c>
      <c r="LN900" t="str">
        <v/>
      </c>
      <c r="LO900" t="str">
        <v/>
      </c>
    </row>
    <row r="901" spans="30:327">
      <c r="AD901" t="s">
        <v>114</v>
      </c>
      <c r="AE901" t="s">
        <v>23044</v>
      </c>
      <c r="AF901" s="46">
        <v>0</v>
      </c>
      <c r="AG901" s="113"/>
      <c r="AH901" s="113"/>
      <c r="AI901" s="113"/>
      <c r="AJ901" s="113"/>
      <c r="AK901" s="113"/>
      <c r="AL901" s="46">
        <v>0</v>
      </c>
      <c r="AM901" s="113"/>
      <c r="AN901" s="113"/>
      <c r="AO901" s="113"/>
      <c r="AP901" s="113"/>
      <c r="AQ901" s="113"/>
      <c r="AR901" s="46">
        <v>0</v>
      </c>
      <c r="AS901" s="113"/>
      <c r="AT901" s="113"/>
      <c r="AU901" s="113"/>
      <c r="AV901" s="113"/>
      <c r="AW901" s="113"/>
      <c r="AX901" s="46">
        <v>0</v>
      </c>
      <c r="AY901" s="113"/>
      <c r="AZ901" s="113"/>
      <c r="BA901" s="113"/>
      <c r="BB901" s="113"/>
      <c r="BC901" s="113"/>
      <c r="BD901" s="46">
        <v>0</v>
      </c>
      <c r="BE901" s="113"/>
      <c r="BF901" s="113"/>
      <c r="BG901" s="113"/>
      <c r="BH901" s="113"/>
      <c r="BI901" s="113"/>
      <c r="BJ901" s="46">
        <v>0</v>
      </c>
      <c r="BK901" s="113"/>
      <c r="BL901" s="113"/>
      <c r="BM901" s="113"/>
      <c r="BN901" s="113"/>
      <c r="BO901" s="113"/>
      <c r="BP901" s="121"/>
      <c r="BQ901" s="121"/>
      <c r="GA901" t="s">
        <v>114</v>
      </c>
      <c r="GB901" t="s">
        <v>23044</v>
      </c>
      <c r="GC901" s="46">
        <v>0</v>
      </c>
      <c r="GD901" s="113"/>
      <c r="GE901" s="113"/>
      <c r="GF901" s="113"/>
      <c r="GG901" s="113"/>
      <c r="GH901" s="113"/>
      <c r="GI901" s="46">
        <v>0</v>
      </c>
      <c r="GJ901" s="113"/>
      <c r="GK901" s="113"/>
      <c r="GL901" s="113"/>
      <c r="GM901" s="113"/>
      <c r="GN901" s="113"/>
      <c r="GO901" s="46">
        <v>0</v>
      </c>
      <c r="GP901" s="113"/>
      <c r="GQ901" s="113"/>
      <c r="GR901" s="113"/>
      <c r="GS901" s="113"/>
      <c r="GT901" s="113"/>
      <c r="GU901" s="46">
        <v>0</v>
      </c>
      <c r="GV901" s="113"/>
      <c r="GW901" s="113"/>
      <c r="GX901" s="113"/>
      <c r="GY901" s="113"/>
      <c r="GZ901" s="113"/>
      <c r="HA901" s="46">
        <v>0</v>
      </c>
      <c r="HB901" s="113"/>
      <c r="HC901" s="113"/>
      <c r="HD901" s="113"/>
      <c r="HE901" s="113"/>
      <c r="HF901" s="113"/>
      <c r="HG901" s="46">
        <v>0</v>
      </c>
      <c r="HH901" s="113"/>
      <c r="HI901" s="113"/>
      <c r="HJ901" s="113"/>
      <c r="HK901" s="113"/>
      <c r="HL901" s="113"/>
      <c r="HM901" s="121"/>
      <c r="HN901" s="121"/>
      <c r="LM901" t="str">
        <v/>
      </c>
      <c r="LN901" t="str">
        <v/>
      </c>
      <c r="LO901" t="str">
        <v/>
      </c>
    </row>
    <row r="902" spans="30:327">
      <c r="AD902" t="s">
        <v>114</v>
      </c>
      <c r="AE902" t="s">
        <v>23045</v>
      </c>
      <c r="AF902" s="46">
        <v>0</v>
      </c>
      <c r="AG902" s="113"/>
      <c r="AH902" s="113"/>
      <c r="AI902" s="113"/>
      <c r="AJ902" s="113"/>
      <c r="AK902" s="113"/>
      <c r="AL902" s="46">
        <v>0</v>
      </c>
      <c r="AM902" s="113"/>
      <c r="AN902" s="113"/>
      <c r="AO902" s="113"/>
      <c r="AP902" s="113"/>
      <c r="AQ902" s="113"/>
      <c r="AR902" s="46">
        <v>0</v>
      </c>
      <c r="AS902" s="113"/>
      <c r="AT902" s="113"/>
      <c r="AU902" s="113"/>
      <c r="AV902" s="113"/>
      <c r="AW902" s="113"/>
      <c r="AX902" s="46">
        <v>0</v>
      </c>
      <c r="AY902" s="113"/>
      <c r="AZ902" s="113"/>
      <c r="BA902" s="113"/>
      <c r="BB902" s="113"/>
      <c r="BC902" s="113"/>
      <c r="BD902" s="46">
        <v>0</v>
      </c>
      <c r="BE902" s="113"/>
      <c r="BF902" s="113"/>
      <c r="BG902" s="113"/>
      <c r="BH902" s="113"/>
      <c r="BI902" s="113"/>
      <c r="BJ902" s="46">
        <v>0</v>
      </c>
      <c r="BK902" s="113"/>
      <c r="BL902" s="113"/>
      <c r="BM902" s="113"/>
      <c r="BN902" s="113"/>
      <c r="BO902" s="113"/>
      <c r="BP902" s="121"/>
      <c r="BQ902" s="121"/>
      <c r="GA902" t="s">
        <v>114</v>
      </c>
      <c r="GB902" t="s">
        <v>23045</v>
      </c>
      <c r="GC902" s="46">
        <v>0</v>
      </c>
      <c r="GD902" s="113"/>
      <c r="GE902" s="113"/>
      <c r="GF902" s="113"/>
      <c r="GG902" s="113"/>
      <c r="GH902" s="113"/>
      <c r="GI902" s="46">
        <v>0</v>
      </c>
      <c r="GJ902" s="113"/>
      <c r="GK902" s="113"/>
      <c r="GL902" s="113"/>
      <c r="GM902" s="113"/>
      <c r="GN902" s="113"/>
      <c r="GO902" s="46">
        <v>0</v>
      </c>
      <c r="GP902" s="113"/>
      <c r="GQ902" s="113"/>
      <c r="GR902" s="113"/>
      <c r="GS902" s="113"/>
      <c r="GT902" s="113"/>
      <c r="GU902" s="46">
        <v>0</v>
      </c>
      <c r="GV902" s="113"/>
      <c r="GW902" s="113"/>
      <c r="GX902" s="113"/>
      <c r="GY902" s="113"/>
      <c r="GZ902" s="113"/>
      <c r="HA902" s="46">
        <v>0</v>
      </c>
      <c r="HB902" s="113"/>
      <c r="HC902" s="113"/>
      <c r="HD902" s="113"/>
      <c r="HE902" s="113"/>
      <c r="HF902" s="113"/>
      <c r="HG902" s="46">
        <v>0</v>
      </c>
      <c r="HH902" s="113"/>
      <c r="HI902" s="113"/>
      <c r="HJ902" s="113"/>
      <c r="HK902" s="113"/>
      <c r="HL902" s="113"/>
      <c r="HM902" s="121"/>
      <c r="HN902" s="121"/>
      <c r="LM902" t="str">
        <v/>
      </c>
      <c r="LN902" t="str">
        <v/>
      </c>
      <c r="LO902" t="str">
        <v/>
      </c>
    </row>
    <row r="903" spans="30:327">
      <c r="AD903" t="s">
        <v>114</v>
      </c>
      <c r="AE903" t="s">
        <v>23046</v>
      </c>
      <c r="AF903" s="46">
        <v>0</v>
      </c>
      <c r="AG903" s="113"/>
      <c r="AH903" s="113"/>
      <c r="AI903" s="113"/>
      <c r="AJ903" s="113"/>
      <c r="AK903" s="113"/>
      <c r="AL903" s="46">
        <v>0</v>
      </c>
      <c r="AM903" s="113"/>
      <c r="AN903" s="113"/>
      <c r="AO903" s="113"/>
      <c r="AP903" s="113"/>
      <c r="AQ903" s="113"/>
      <c r="AR903" s="46">
        <v>0</v>
      </c>
      <c r="AS903" s="113"/>
      <c r="AT903" s="113"/>
      <c r="AU903" s="113"/>
      <c r="AV903" s="113"/>
      <c r="AW903" s="113"/>
      <c r="AX903" s="46">
        <v>0</v>
      </c>
      <c r="AY903" s="113"/>
      <c r="AZ903" s="113"/>
      <c r="BA903" s="113"/>
      <c r="BB903" s="113"/>
      <c r="BC903" s="113"/>
      <c r="BD903" s="46">
        <v>0</v>
      </c>
      <c r="BE903" s="113"/>
      <c r="BF903" s="113"/>
      <c r="BG903" s="113"/>
      <c r="BH903" s="113"/>
      <c r="BI903" s="113"/>
      <c r="BJ903" s="46">
        <v>0</v>
      </c>
      <c r="BK903" s="113"/>
      <c r="BL903" s="113"/>
      <c r="BM903" s="113"/>
      <c r="BN903" s="113"/>
      <c r="BO903" s="113"/>
      <c r="BP903" s="121"/>
      <c r="BQ903" s="121"/>
      <c r="GA903" t="s">
        <v>114</v>
      </c>
      <c r="GB903" t="s">
        <v>23046</v>
      </c>
      <c r="GC903" s="46">
        <v>0</v>
      </c>
      <c r="GD903" s="113"/>
      <c r="GE903" s="113"/>
      <c r="GF903" s="113"/>
      <c r="GG903" s="113"/>
      <c r="GH903" s="113"/>
      <c r="GI903" s="46">
        <v>0</v>
      </c>
      <c r="GJ903" s="113"/>
      <c r="GK903" s="113"/>
      <c r="GL903" s="113"/>
      <c r="GM903" s="113"/>
      <c r="GN903" s="113"/>
      <c r="GO903" s="46">
        <v>0</v>
      </c>
      <c r="GP903" s="113"/>
      <c r="GQ903" s="113"/>
      <c r="GR903" s="113"/>
      <c r="GS903" s="113"/>
      <c r="GT903" s="113"/>
      <c r="GU903" s="46">
        <v>0</v>
      </c>
      <c r="GV903" s="113"/>
      <c r="GW903" s="113"/>
      <c r="GX903" s="113"/>
      <c r="GY903" s="113"/>
      <c r="GZ903" s="113"/>
      <c r="HA903" s="46">
        <v>0</v>
      </c>
      <c r="HB903" s="113"/>
      <c r="HC903" s="113"/>
      <c r="HD903" s="113"/>
      <c r="HE903" s="113"/>
      <c r="HF903" s="113"/>
      <c r="HG903" s="46">
        <v>0</v>
      </c>
      <c r="HH903" s="113"/>
      <c r="HI903" s="113"/>
      <c r="HJ903" s="113"/>
      <c r="HK903" s="113"/>
      <c r="HL903" s="113"/>
      <c r="HM903" s="121"/>
      <c r="HN903" s="121"/>
      <c r="LM903" t="str">
        <v/>
      </c>
      <c r="LN903" t="str">
        <v/>
      </c>
      <c r="LO903" t="str">
        <v/>
      </c>
    </row>
    <row r="904" spans="30:327">
      <c r="AD904" t="s">
        <v>114</v>
      </c>
      <c r="AE904" t="s">
        <v>23047</v>
      </c>
      <c r="AF904" s="46">
        <v>0</v>
      </c>
      <c r="AG904" s="113"/>
      <c r="AH904" s="113"/>
      <c r="AI904" s="113"/>
      <c r="AJ904" s="113"/>
      <c r="AK904" s="113"/>
      <c r="AL904" s="46">
        <v>0</v>
      </c>
      <c r="AM904" s="113"/>
      <c r="AN904" s="113"/>
      <c r="AO904" s="113"/>
      <c r="AP904" s="113"/>
      <c r="AQ904" s="113"/>
      <c r="AR904" s="46">
        <v>0</v>
      </c>
      <c r="AS904" s="113"/>
      <c r="AT904" s="113"/>
      <c r="AU904" s="113"/>
      <c r="AV904" s="113"/>
      <c r="AW904" s="113"/>
      <c r="AX904" s="46">
        <v>0</v>
      </c>
      <c r="AY904" s="113"/>
      <c r="AZ904" s="113"/>
      <c r="BA904" s="113"/>
      <c r="BB904" s="113"/>
      <c r="BC904" s="113"/>
      <c r="BD904" s="46">
        <v>0</v>
      </c>
      <c r="BE904" s="113"/>
      <c r="BF904" s="113"/>
      <c r="BG904" s="113"/>
      <c r="BH904" s="113"/>
      <c r="BI904" s="113"/>
      <c r="BJ904" s="46">
        <v>0</v>
      </c>
      <c r="BK904" s="113"/>
      <c r="BL904" s="113"/>
      <c r="BM904" s="113"/>
      <c r="BN904" s="113"/>
      <c r="BO904" s="113"/>
      <c r="BP904" s="121"/>
      <c r="BQ904" s="121"/>
      <c r="GA904" t="s">
        <v>114</v>
      </c>
      <c r="GB904" t="s">
        <v>23047</v>
      </c>
      <c r="GC904" s="46">
        <v>0</v>
      </c>
      <c r="GD904" s="113"/>
      <c r="GE904" s="113"/>
      <c r="GF904" s="113"/>
      <c r="GG904" s="113"/>
      <c r="GH904" s="113"/>
      <c r="GI904" s="46">
        <v>0</v>
      </c>
      <c r="GJ904" s="113"/>
      <c r="GK904" s="113"/>
      <c r="GL904" s="113"/>
      <c r="GM904" s="113"/>
      <c r="GN904" s="113"/>
      <c r="GO904" s="46">
        <v>0</v>
      </c>
      <c r="GP904" s="113"/>
      <c r="GQ904" s="113"/>
      <c r="GR904" s="113"/>
      <c r="GS904" s="113"/>
      <c r="GT904" s="113"/>
      <c r="GU904" s="46">
        <v>0</v>
      </c>
      <c r="GV904" s="113"/>
      <c r="GW904" s="113"/>
      <c r="GX904" s="113"/>
      <c r="GY904" s="113"/>
      <c r="GZ904" s="113"/>
      <c r="HA904" s="46">
        <v>0</v>
      </c>
      <c r="HB904" s="113"/>
      <c r="HC904" s="113"/>
      <c r="HD904" s="113"/>
      <c r="HE904" s="113"/>
      <c r="HF904" s="113"/>
      <c r="HG904" s="46">
        <v>0</v>
      </c>
      <c r="HH904" s="113"/>
      <c r="HI904" s="113"/>
      <c r="HJ904" s="113"/>
      <c r="HK904" s="113"/>
      <c r="HL904" s="113"/>
      <c r="HM904" s="121"/>
      <c r="HN904" s="121"/>
      <c r="LM904" t="str">
        <v/>
      </c>
      <c r="LN904" t="str">
        <v/>
      </c>
      <c r="LO904" t="str">
        <v/>
      </c>
    </row>
    <row r="905" spans="30:327">
      <c r="AD905" t="s">
        <v>114</v>
      </c>
      <c r="AE905" t="s">
        <v>23048</v>
      </c>
      <c r="AF905" s="46">
        <v>0</v>
      </c>
      <c r="AG905" s="113"/>
      <c r="AH905" s="113"/>
      <c r="AI905" s="113"/>
      <c r="AJ905" s="113"/>
      <c r="AK905" s="113"/>
      <c r="AL905" s="46">
        <v>0</v>
      </c>
      <c r="AM905" s="113"/>
      <c r="AN905" s="113"/>
      <c r="AO905" s="113"/>
      <c r="AP905" s="113"/>
      <c r="AQ905" s="113"/>
      <c r="AR905" s="46">
        <v>0</v>
      </c>
      <c r="AS905" s="113"/>
      <c r="AT905" s="113"/>
      <c r="AU905" s="113"/>
      <c r="AV905" s="113"/>
      <c r="AW905" s="113"/>
      <c r="AX905" s="46">
        <v>0</v>
      </c>
      <c r="AY905" s="113"/>
      <c r="AZ905" s="113"/>
      <c r="BA905" s="113"/>
      <c r="BB905" s="113"/>
      <c r="BC905" s="113"/>
      <c r="BD905" s="46">
        <v>0</v>
      </c>
      <c r="BE905" s="113"/>
      <c r="BF905" s="113"/>
      <c r="BG905" s="113"/>
      <c r="BH905" s="113"/>
      <c r="BI905" s="113"/>
      <c r="BJ905" s="46">
        <v>0</v>
      </c>
      <c r="BK905" s="113"/>
      <c r="BL905" s="113"/>
      <c r="BM905" s="113"/>
      <c r="BN905" s="113"/>
      <c r="BO905" s="113"/>
      <c r="BP905" s="121"/>
      <c r="BQ905" s="121"/>
      <c r="GA905" t="s">
        <v>114</v>
      </c>
      <c r="GB905" t="s">
        <v>23048</v>
      </c>
      <c r="GC905" s="46">
        <v>0</v>
      </c>
      <c r="GD905" s="113"/>
      <c r="GE905" s="113"/>
      <c r="GF905" s="113"/>
      <c r="GG905" s="113"/>
      <c r="GH905" s="113"/>
      <c r="GI905" s="46">
        <v>0</v>
      </c>
      <c r="GJ905" s="113"/>
      <c r="GK905" s="113"/>
      <c r="GL905" s="113"/>
      <c r="GM905" s="113"/>
      <c r="GN905" s="113"/>
      <c r="GO905" s="46">
        <v>0</v>
      </c>
      <c r="GP905" s="113"/>
      <c r="GQ905" s="113"/>
      <c r="GR905" s="113"/>
      <c r="GS905" s="113"/>
      <c r="GT905" s="113"/>
      <c r="GU905" s="46">
        <v>0</v>
      </c>
      <c r="GV905" s="113"/>
      <c r="GW905" s="113"/>
      <c r="GX905" s="113"/>
      <c r="GY905" s="113"/>
      <c r="GZ905" s="113"/>
      <c r="HA905" s="46">
        <v>0</v>
      </c>
      <c r="HB905" s="113"/>
      <c r="HC905" s="113"/>
      <c r="HD905" s="113"/>
      <c r="HE905" s="113"/>
      <c r="HF905" s="113"/>
      <c r="HG905" s="46">
        <v>0</v>
      </c>
      <c r="HH905" s="113"/>
      <c r="HI905" s="113"/>
      <c r="HJ905" s="113"/>
      <c r="HK905" s="113"/>
      <c r="HL905" s="113"/>
      <c r="HM905" s="121"/>
      <c r="HN905" s="121"/>
      <c r="LM905" t="str">
        <v/>
      </c>
      <c r="LN905" t="str">
        <v/>
      </c>
      <c r="LO905" t="str">
        <v/>
      </c>
    </row>
    <row r="906" spans="30:327">
      <c r="AD906" t="s">
        <v>114</v>
      </c>
      <c r="AE906" t="s">
        <v>23049</v>
      </c>
      <c r="AF906" s="46">
        <v>0</v>
      </c>
      <c r="AG906" s="113"/>
      <c r="AH906" s="113"/>
      <c r="AI906" s="113"/>
      <c r="AJ906" s="113"/>
      <c r="AK906" s="113"/>
      <c r="AL906" s="46">
        <v>0</v>
      </c>
      <c r="AM906" s="113"/>
      <c r="AN906" s="113"/>
      <c r="AO906" s="113"/>
      <c r="AP906" s="113"/>
      <c r="AQ906" s="113"/>
      <c r="AR906" s="46">
        <v>0</v>
      </c>
      <c r="AS906" s="113"/>
      <c r="AT906" s="113"/>
      <c r="AU906" s="113"/>
      <c r="AV906" s="113"/>
      <c r="AW906" s="113"/>
      <c r="AX906" s="46">
        <v>0</v>
      </c>
      <c r="AY906" s="113"/>
      <c r="AZ906" s="113"/>
      <c r="BA906" s="113"/>
      <c r="BB906" s="113"/>
      <c r="BC906" s="113"/>
      <c r="BD906" s="46">
        <v>0</v>
      </c>
      <c r="BE906" s="113"/>
      <c r="BF906" s="113"/>
      <c r="BG906" s="113"/>
      <c r="BH906" s="113"/>
      <c r="BI906" s="113"/>
      <c r="BJ906" s="46">
        <v>0</v>
      </c>
      <c r="BK906" s="113"/>
      <c r="BL906" s="113"/>
      <c r="BM906" s="113"/>
      <c r="BN906" s="113"/>
      <c r="BO906" s="113"/>
      <c r="BP906" s="121"/>
      <c r="BQ906" s="121"/>
      <c r="GA906" t="s">
        <v>114</v>
      </c>
      <c r="GB906" t="s">
        <v>23049</v>
      </c>
      <c r="GC906" s="46">
        <v>0</v>
      </c>
      <c r="GD906" s="113"/>
      <c r="GE906" s="113"/>
      <c r="GF906" s="113"/>
      <c r="GG906" s="113"/>
      <c r="GH906" s="113"/>
      <c r="GI906" s="46">
        <v>0</v>
      </c>
      <c r="GJ906" s="113"/>
      <c r="GK906" s="113"/>
      <c r="GL906" s="113"/>
      <c r="GM906" s="113"/>
      <c r="GN906" s="113"/>
      <c r="GO906" s="46">
        <v>0</v>
      </c>
      <c r="GP906" s="113"/>
      <c r="GQ906" s="113"/>
      <c r="GR906" s="113"/>
      <c r="GS906" s="113"/>
      <c r="GT906" s="113"/>
      <c r="GU906" s="46">
        <v>0</v>
      </c>
      <c r="GV906" s="113"/>
      <c r="GW906" s="113"/>
      <c r="GX906" s="113"/>
      <c r="GY906" s="113"/>
      <c r="GZ906" s="113"/>
      <c r="HA906" s="46">
        <v>0</v>
      </c>
      <c r="HB906" s="113"/>
      <c r="HC906" s="113"/>
      <c r="HD906" s="113"/>
      <c r="HE906" s="113"/>
      <c r="HF906" s="113"/>
      <c r="HG906" s="46">
        <v>0</v>
      </c>
      <c r="HH906" s="113"/>
      <c r="HI906" s="113"/>
      <c r="HJ906" s="113"/>
      <c r="HK906" s="113"/>
      <c r="HL906" s="113"/>
      <c r="HM906" s="121"/>
      <c r="HN906" s="121"/>
      <c r="LM906" t="str">
        <v/>
      </c>
      <c r="LN906" t="str">
        <v/>
      </c>
      <c r="LO906" t="str">
        <v/>
      </c>
    </row>
    <row r="907" spans="30:327">
      <c r="AD907" t="s">
        <v>114</v>
      </c>
      <c r="AE907" t="s">
        <v>23050</v>
      </c>
      <c r="AF907" s="46">
        <v>0</v>
      </c>
      <c r="AG907" s="113"/>
      <c r="AH907" s="113"/>
      <c r="AI907" s="113"/>
      <c r="AJ907" s="113"/>
      <c r="AK907" s="113"/>
      <c r="AL907" s="46">
        <v>0</v>
      </c>
      <c r="AM907" s="113"/>
      <c r="AN907" s="113"/>
      <c r="AO907" s="113"/>
      <c r="AP907" s="113"/>
      <c r="AQ907" s="113"/>
      <c r="AR907" s="46">
        <v>0</v>
      </c>
      <c r="AS907" s="113"/>
      <c r="AT907" s="113"/>
      <c r="AU907" s="113"/>
      <c r="AV907" s="113"/>
      <c r="AW907" s="113"/>
      <c r="AX907" s="46">
        <v>0</v>
      </c>
      <c r="AY907" s="113"/>
      <c r="AZ907" s="113"/>
      <c r="BA907" s="113"/>
      <c r="BB907" s="113"/>
      <c r="BC907" s="113"/>
      <c r="BD907" s="46">
        <v>0</v>
      </c>
      <c r="BE907" s="113"/>
      <c r="BF907" s="113"/>
      <c r="BG907" s="113"/>
      <c r="BH907" s="113"/>
      <c r="BI907" s="113"/>
      <c r="BJ907" s="46">
        <v>0</v>
      </c>
      <c r="BK907" s="113"/>
      <c r="BL907" s="113"/>
      <c r="BM907" s="113"/>
      <c r="BN907" s="113"/>
      <c r="BO907" s="113"/>
      <c r="BP907" s="121"/>
      <c r="BQ907" s="121"/>
      <c r="GA907" t="s">
        <v>114</v>
      </c>
      <c r="GB907" t="s">
        <v>23050</v>
      </c>
      <c r="GC907" s="46">
        <v>0</v>
      </c>
      <c r="GD907" s="113"/>
      <c r="GE907" s="113"/>
      <c r="GF907" s="113"/>
      <c r="GG907" s="113"/>
      <c r="GH907" s="113"/>
      <c r="GI907" s="46">
        <v>0</v>
      </c>
      <c r="GJ907" s="113"/>
      <c r="GK907" s="113"/>
      <c r="GL907" s="113"/>
      <c r="GM907" s="113"/>
      <c r="GN907" s="113"/>
      <c r="GO907" s="46">
        <v>0</v>
      </c>
      <c r="GP907" s="113"/>
      <c r="GQ907" s="113"/>
      <c r="GR907" s="113"/>
      <c r="GS907" s="113"/>
      <c r="GT907" s="113"/>
      <c r="GU907" s="46">
        <v>0</v>
      </c>
      <c r="GV907" s="113"/>
      <c r="GW907" s="113"/>
      <c r="GX907" s="113"/>
      <c r="GY907" s="113"/>
      <c r="GZ907" s="113"/>
      <c r="HA907" s="46">
        <v>0</v>
      </c>
      <c r="HB907" s="113"/>
      <c r="HC907" s="113"/>
      <c r="HD907" s="113"/>
      <c r="HE907" s="113"/>
      <c r="HF907" s="113"/>
      <c r="HG907" s="46">
        <v>0</v>
      </c>
      <c r="HH907" s="113"/>
      <c r="HI907" s="113"/>
      <c r="HJ907" s="113"/>
      <c r="HK907" s="113"/>
      <c r="HL907" s="113"/>
      <c r="HM907" s="121"/>
      <c r="HN907" s="121"/>
      <c r="LM907" t="str">
        <v/>
      </c>
      <c r="LN907" t="str">
        <v/>
      </c>
      <c r="LO907" t="str">
        <v/>
      </c>
    </row>
    <row r="908" spans="30:327">
      <c r="AD908" t="s">
        <v>114</v>
      </c>
      <c r="AE908" t="s">
        <v>23051</v>
      </c>
      <c r="AF908" s="46">
        <v>0</v>
      </c>
      <c r="AG908" s="113"/>
      <c r="AH908" s="113"/>
      <c r="AI908" s="113"/>
      <c r="AJ908" s="113"/>
      <c r="AK908" s="113"/>
      <c r="AL908" s="46">
        <v>0</v>
      </c>
      <c r="AM908" s="113"/>
      <c r="AN908" s="113"/>
      <c r="AO908" s="113"/>
      <c r="AP908" s="113"/>
      <c r="AQ908" s="113"/>
      <c r="AR908" s="46">
        <v>0</v>
      </c>
      <c r="AS908" s="113"/>
      <c r="AT908" s="113"/>
      <c r="AU908" s="113"/>
      <c r="AV908" s="113"/>
      <c r="AW908" s="113"/>
      <c r="AX908" s="46">
        <v>0</v>
      </c>
      <c r="AY908" s="113"/>
      <c r="AZ908" s="113"/>
      <c r="BA908" s="113"/>
      <c r="BB908" s="113"/>
      <c r="BC908" s="113"/>
      <c r="BD908" s="46">
        <v>0</v>
      </c>
      <c r="BE908" s="113"/>
      <c r="BF908" s="113"/>
      <c r="BG908" s="113"/>
      <c r="BH908" s="113"/>
      <c r="BI908" s="113"/>
      <c r="BJ908" s="46">
        <v>0</v>
      </c>
      <c r="BK908" s="113"/>
      <c r="BL908" s="113"/>
      <c r="BM908" s="113"/>
      <c r="BN908" s="113"/>
      <c r="BO908" s="113"/>
      <c r="BP908" s="121"/>
      <c r="BQ908" s="121"/>
      <c r="GA908" t="s">
        <v>114</v>
      </c>
      <c r="GB908" t="s">
        <v>23051</v>
      </c>
      <c r="GC908" s="46">
        <v>0</v>
      </c>
      <c r="GD908" s="113"/>
      <c r="GE908" s="113"/>
      <c r="GF908" s="113"/>
      <c r="GG908" s="113"/>
      <c r="GH908" s="113"/>
      <c r="GI908" s="46">
        <v>0</v>
      </c>
      <c r="GJ908" s="113"/>
      <c r="GK908" s="113"/>
      <c r="GL908" s="113"/>
      <c r="GM908" s="113"/>
      <c r="GN908" s="113"/>
      <c r="GO908" s="46">
        <v>0</v>
      </c>
      <c r="GP908" s="113"/>
      <c r="GQ908" s="113"/>
      <c r="GR908" s="113"/>
      <c r="GS908" s="113"/>
      <c r="GT908" s="113"/>
      <c r="GU908" s="46">
        <v>0</v>
      </c>
      <c r="GV908" s="113"/>
      <c r="GW908" s="113"/>
      <c r="GX908" s="113"/>
      <c r="GY908" s="113"/>
      <c r="GZ908" s="113"/>
      <c r="HA908" s="46">
        <v>0</v>
      </c>
      <c r="HB908" s="113"/>
      <c r="HC908" s="113"/>
      <c r="HD908" s="113"/>
      <c r="HE908" s="113"/>
      <c r="HF908" s="113"/>
      <c r="HG908" s="46">
        <v>0</v>
      </c>
      <c r="HH908" s="113"/>
      <c r="HI908" s="113"/>
      <c r="HJ908" s="113"/>
      <c r="HK908" s="113"/>
      <c r="HL908" s="113"/>
      <c r="HM908" s="121"/>
      <c r="HN908" s="121"/>
      <c r="LM908" t="str">
        <v/>
      </c>
      <c r="LN908" t="str">
        <v/>
      </c>
      <c r="LO908" t="str">
        <v/>
      </c>
    </row>
    <row r="909" spans="30:327">
      <c r="AD909" t="s">
        <v>114</v>
      </c>
      <c r="AE909" t="s">
        <v>23052</v>
      </c>
      <c r="AF909" s="46">
        <v>0</v>
      </c>
      <c r="AG909" s="113"/>
      <c r="AH909" s="113"/>
      <c r="AI909" s="113"/>
      <c r="AJ909" s="113"/>
      <c r="AK909" s="113"/>
      <c r="AL909" s="46">
        <v>0</v>
      </c>
      <c r="AM909" s="113"/>
      <c r="AN909" s="113"/>
      <c r="AO909" s="113"/>
      <c r="AP909" s="113"/>
      <c r="AQ909" s="113"/>
      <c r="AR909" s="46">
        <v>0</v>
      </c>
      <c r="AS909" s="113"/>
      <c r="AT909" s="113"/>
      <c r="AU909" s="113"/>
      <c r="AV909" s="113"/>
      <c r="AW909" s="113"/>
      <c r="AX909" s="46">
        <v>0</v>
      </c>
      <c r="AY909" s="113"/>
      <c r="AZ909" s="113"/>
      <c r="BA909" s="113"/>
      <c r="BB909" s="113"/>
      <c r="BC909" s="113"/>
      <c r="BD909" s="46">
        <v>0</v>
      </c>
      <c r="BE909" s="113"/>
      <c r="BF909" s="113"/>
      <c r="BG909" s="113"/>
      <c r="BH909" s="113"/>
      <c r="BI909" s="113"/>
      <c r="BJ909" s="46">
        <v>0</v>
      </c>
      <c r="BK909" s="113"/>
      <c r="BL909" s="113"/>
      <c r="BM909" s="113"/>
      <c r="BN909" s="113"/>
      <c r="BO909" s="113"/>
      <c r="BP909" s="121"/>
      <c r="BQ909" s="121"/>
      <c r="GA909" t="s">
        <v>114</v>
      </c>
      <c r="GB909" t="s">
        <v>23052</v>
      </c>
      <c r="GC909" s="46">
        <v>0</v>
      </c>
      <c r="GD909" s="113"/>
      <c r="GE909" s="113"/>
      <c r="GF909" s="113"/>
      <c r="GG909" s="113"/>
      <c r="GH909" s="113"/>
      <c r="GI909" s="46">
        <v>0</v>
      </c>
      <c r="GJ909" s="113"/>
      <c r="GK909" s="113"/>
      <c r="GL909" s="113"/>
      <c r="GM909" s="113"/>
      <c r="GN909" s="113"/>
      <c r="GO909" s="46">
        <v>0</v>
      </c>
      <c r="GP909" s="113"/>
      <c r="GQ909" s="113"/>
      <c r="GR909" s="113"/>
      <c r="GS909" s="113"/>
      <c r="GT909" s="113"/>
      <c r="GU909" s="46">
        <v>0</v>
      </c>
      <c r="GV909" s="113"/>
      <c r="GW909" s="113"/>
      <c r="GX909" s="113"/>
      <c r="GY909" s="113"/>
      <c r="GZ909" s="113"/>
      <c r="HA909" s="46">
        <v>0</v>
      </c>
      <c r="HB909" s="113"/>
      <c r="HC909" s="113"/>
      <c r="HD909" s="113"/>
      <c r="HE909" s="113"/>
      <c r="HF909" s="113"/>
      <c r="HG909" s="46">
        <v>0</v>
      </c>
      <c r="HH909" s="113"/>
      <c r="HI909" s="113"/>
      <c r="HJ909" s="113"/>
      <c r="HK909" s="113"/>
      <c r="HL909" s="113"/>
      <c r="HM909" s="121"/>
      <c r="HN909" s="121"/>
      <c r="LM909" t="str">
        <v/>
      </c>
      <c r="LN909" t="str">
        <v/>
      </c>
      <c r="LO909" t="str">
        <v/>
      </c>
    </row>
    <row r="910" spans="30:327">
      <c r="AD910" t="s">
        <v>114</v>
      </c>
      <c r="AE910" t="s">
        <v>23053</v>
      </c>
      <c r="AF910" s="46">
        <v>0</v>
      </c>
      <c r="AG910" s="113"/>
      <c r="AH910" s="113"/>
      <c r="AI910" s="113"/>
      <c r="AJ910" s="113"/>
      <c r="AK910" s="113"/>
      <c r="AL910" s="46">
        <v>0</v>
      </c>
      <c r="AM910" s="113"/>
      <c r="AN910" s="113"/>
      <c r="AO910" s="113"/>
      <c r="AP910" s="113"/>
      <c r="AQ910" s="113"/>
      <c r="AR910" s="46">
        <v>0</v>
      </c>
      <c r="AS910" s="113"/>
      <c r="AT910" s="113"/>
      <c r="AU910" s="113"/>
      <c r="AV910" s="113"/>
      <c r="AW910" s="113"/>
      <c r="AX910" s="46">
        <v>0</v>
      </c>
      <c r="AY910" s="113"/>
      <c r="AZ910" s="113"/>
      <c r="BA910" s="113"/>
      <c r="BB910" s="113"/>
      <c r="BC910" s="113"/>
      <c r="BD910" s="46">
        <v>0</v>
      </c>
      <c r="BE910" s="113"/>
      <c r="BF910" s="113"/>
      <c r="BG910" s="113"/>
      <c r="BH910" s="113"/>
      <c r="BI910" s="113"/>
      <c r="BJ910" s="46">
        <v>0</v>
      </c>
      <c r="BK910" s="113"/>
      <c r="BL910" s="113"/>
      <c r="BM910" s="113"/>
      <c r="BN910" s="113"/>
      <c r="BO910" s="113"/>
      <c r="BP910" s="121"/>
      <c r="BQ910" s="121"/>
      <c r="GA910" t="s">
        <v>114</v>
      </c>
      <c r="GB910" t="s">
        <v>23053</v>
      </c>
      <c r="GC910" s="46">
        <v>0</v>
      </c>
      <c r="GD910" s="113"/>
      <c r="GE910" s="113"/>
      <c r="GF910" s="113"/>
      <c r="GG910" s="113"/>
      <c r="GH910" s="113"/>
      <c r="GI910" s="46">
        <v>0</v>
      </c>
      <c r="GJ910" s="113"/>
      <c r="GK910" s="113"/>
      <c r="GL910" s="113"/>
      <c r="GM910" s="113"/>
      <c r="GN910" s="113"/>
      <c r="GO910" s="46">
        <v>0</v>
      </c>
      <c r="GP910" s="113"/>
      <c r="GQ910" s="113"/>
      <c r="GR910" s="113"/>
      <c r="GS910" s="113"/>
      <c r="GT910" s="113"/>
      <c r="GU910" s="46">
        <v>0</v>
      </c>
      <c r="GV910" s="113"/>
      <c r="GW910" s="113"/>
      <c r="GX910" s="113"/>
      <c r="GY910" s="113"/>
      <c r="GZ910" s="113"/>
      <c r="HA910" s="46">
        <v>0</v>
      </c>
      <c r="HB910" s="113"/>
      <c r="HC910" s="113"/>
      <c r="HD910" s="113"/>
      <c r="HE910" s="113"/>
      <c r="HF910" s="113"/>
      <c r="HG910" s="46">
        <v>0</v>
      </c>
      <c r="HH910" s="113"/>
      <c r="HI910" s="113"/>
      <c r="HJ910" s="113"/>
      <c r="HK910" s="113"/>
      <c r="HL910" s="113"/>
      <c r="HM910" s="121"/>
      <c r="HN910" s="121"/>
      <c r="LM910" t="str">
        <v/>
      </c>
      <c r="LN910" t="str">
        <v/>
      </c>
      <c r="LO910" t="str">
        <v/>
      </c>
    </row>
    <row r="911" spans="30:327">
      <c r="AD911" t="s">
        <v>114</v>
      </c>
      <c r="AE911" t="s">
        <v>23054</v>
      </c>
      <c r="AF911" s="46">
        <v>0</v>
      </c>
      <c r="AG911" s="113"/>
      <c r="AH911" s="113"/>
      <c r="AI911" s="113"/>
      <c r="AJ911" s="113"/>
      <c r="AK911" s="113"/>
      <c r="AL911" s="46">
        <v>0</v>
      </c>
      <c r="AM911" s="113"/>
      <c r="AN911" s="113"/>
      <c r="AO911" s="113"/>
      <c r="AP911" s="113"/>
      <c r="AQ911" s="113"/>
      <c r="AR911" s="46">
        <v>0</v>
      </c>
      <c r="AS911" s="113"/>
      <c r="AT911" s="113"/>
      <c r="AU911" s="113"/>
      <c r="AV911" s="113"/>
      <c r="AW911" s="113"/>
      <c r="AX911" s="46">
        <v>0</v>
      </c>
      <c r="AY911" s="113"/>
      <c r="AZ911" s="113"/>
      <c r="BA911" s="113"/>
      <c r="BB911" s="113"/>
      <c r="BC911" s="113"/>
      <c r="BD911" s="46">
        <v>0</v>
      </c>
      <c r="BE911" s="113"/>
      <c r="BF911" s="113"/>
      <c r="BG911" s="113"/>
      <c r="BH911" s="113"/>
      <c r="BI911" s="113"/>
      <c r="BJ911" s="46">
        <v>0</v>
      </c>
      <c r="BK911" s="113"/>
      <c r="BL911" s="113"/>
      <c r="BM911" s="113"/>
      <c r="BN911" s="113"/>
      <c r="BO911" s="113"/>
      <c r="BP911" s="121"/>
      <c r="BQ911" s="121"/>
      <c r="GA911" t="s">
        <v>114</v>
      </c>
      <c r="GB911" t="s">
        <v>23054</v>
      </c>
      <c r="GC911" s="46">
        <v>0</v>
      </c>
      <c r="GD911" s="113"/>
      <c r="GE911" s="113"/>
      <c r="GF911" s="113"/>
      <c r="GG911" s="113"/>
      <c r="GH911" s="113"/>
      <c r="GI911" s="46">
        <v>0</v>
      </c>
      <c r="GJ911" s="113"/>
      <c r="GK911" s="113"/>
      <c r="GL911" s="113"/>
      <c r="GM911" s="113"/>
      <c r="GN911" s="113"/>
      <c r="GO911" s="46">
        <v>0</v>
      </c>
      <c r="GP911" s="113"/>
      <c r="GQ911" s="113"/>
      <c r="GR911" s="113"/>
      <c r="GS911" s="113"/>
      <c r="GT911" s="113"/>
      <c r="GU911" s="46">
        <v>0</v>
      </c>
      <c r="GV911" s="113"/>
      <c r="GW911" s="113"/>
      <c r="GX911" s="113"/>
      <c r="GY911" s="113"/>
      <c r="GZ911" s="113"/>
      <c r="HA911" s="46">
        <v>0</v>
      </c>
      <c r="HB911" s="113"/>
      <c r="HC911" s="113"/>
      <c r="HD911" s="113"/>
      <c r="HE911" s="113"/>
      <c r="HF911" s="113"/>
      <c r="HG911" s="46">
        <v>0</v>
      </c>
      <c r="HH911" s="113"/>
      <c r="HI911" s="113"/>
      <c r="HJ911" s="113"/>
      <c r="HK911" s="113"/>
      <c r="HL911" s="113"/>
      <c r="HM911" s="121"/>
      <c r="HN911" s="121"/>
      <c r="LM911" t="str">
        <v/>
      </c>
      <c r="LN911" t="str">
        <v/>
      </c>
      <c r="LO911" t="str">
        <v/>
      </c>
    </row>
    <row r="912" spans="30:327">
      <c r="AD912" t="s">
        <v>114</v>
      </c>
      <c r="AE912" t="s">
        <v>23055</v>
      </c>
      <c r="AF912" s="46">
        <v>0</v>
      </c>
      <c r="AG912" s="113"/>
      <c r="AH912" s="113"/>
      <c r="AI912" s="113"/>
      <c r="AJ912" s="113"/>
      <c r="AK912" s="113"/>
      <c r="AL912" s="46">
        <v>0</v>
      </c>
      <c r="AM912" s="113"/>
      <c r="AN912" s="113"/>
      <c r="AO912" s="113"/>
      <c r="AP912" s="113"/>
      <c r="AQ912" s="113"/>
      <c r="AR912" s="46">
        <v>0</v>
      </c>
      <c r="AS912" s="113"/>
      <c r="AT912" s="113"/>
      <c r="AU912" s="113"/>
      <c r="AV912" s="113"/>
      <c r="AW912" s="113"/>
      <c r="AX912" s="46">
        <v>0</v>
      </c>
      <c r="AY912" s="113"/>
      <c r="AZ912" s="113"/>
      <c r="BA912" s="113"/>
      <c r="BB912" s="113"/>
      <c r="BC912" s="113"/>
      <c r="BD912" s="46">
        <v>0</v>
      </c>
      <c r="BE912" s="113"/>
      <c r="BF912" s="113"/>
      <c r="BG912" s="113"/>
      <c r="BH912" s="113"/>
      <c r="BI912" s="113"/>
      <c r="BJ912" s="46">
        <v>0</v>
      </c>
      <c r="BK912" s="113"/>
      <c r="BL912" s="113"/>
      <c r="BM912" s="113"/>
      <c r="BN912" s="113"/>
      <c r="BO912" s="113"/>
      <c r="BP912" s="121"/>
      <c r="BQ912" s="121"/>
      <c r="GA912" t="s">
        <v>114</v>
      </c>
      <c r="GB912" t="s">
        <v>23055</v>
      </c>
      <c r="GC912" s="46">
        <v>0</v>
      </c>
      <c r="GD912" s="113"/>
      <c r="GE912" s="113"/>
      <c r="GF912" s="113"/>
      <c r="GG912" s="113"/>
      <c r="GH912" s="113"/>
      <c r="GI912" s="46">
        <v>0</v>
      </c>
      <c r="GJ912" s="113"/>
      <c r="GK912" s="113"/>
      <c r="GL912" s="113"/>
      <c r="GM912" s="113"/>
      <c r="GN912" s="113"/>
      <c r="GO912" s="46">
        <v>0</v>
      </c>
      <c r="GP912" s="113"/>
      <c r="GQ912" s="113"/>
      <c r="GR912" s="113"/>
      <c r="GS912" s="113"/>
      <c r="GT912" s="113"/>
      <c r="GU912" s="46">
        <v>0</v>
      </c>
      <c r="GV912" s="113"/>
      <c r="GW912" s="113"/>
      <c r="GX912" s="113"/>
      <c r="GY912" s="113"/>
      <c r="GZ912" s="113"/>
      <c r="HA912" s="46">
        <v>0</v>
      </c>
      <c r="HB912" s="113"/>
      <c r="HC912" s="113"/>
      <c r="HD912" s="113"/>
      <c r="HE912" s="113"/>
      <c r="HF912" s="113"/>
      <c r="HG912" s="46">
        <v>0</v>
      </c>
      <c r="HH912" s="113"/>
      <c r="HI912" s="113"/>
      <c r="HJ912" s="113"/>
      <c r="HK912" s="113"/>
      <c r="HL912" s="113"/>
      <c r="HM912" s="121"/>
      <c r="HN912" s="121"/>
      <c r="LM912" t="str">
        <v/>
      </c>
      <c r="LN912" t="str">
        <v/>
      </c>
      <c r="LO912" t="str">
        <v/>
      </c>
    </row>
    <row r="913" spans="30:327">
      <c r="AD913" t="s">
        <v>114</v>
      </c>
      <c r="AE913" t="s">
        <v>23056</v>
      </c>
      <c r="AF913" s="46">
        <v>0</v>
      </c>
      <c r="AG913" s="113"/>
      <c r="AH913" s="113"/>
      <c r="AI913" s="113"/>
      <c r="AJ913" s="113"/>
      <c r="AK913" s="113"/>
      <c r="AL913" s="46">
        <v>0</v>
      </c>
      <c r="AM913" s="113"/>
      <c r="AN913" s="113"/>
      <c r="AO913" s="113"/>
      <c r="AP913" s="113"/>
      <c r="AQ913" s="113"/>
      <c r="AR913" s="46">
        <v>0</v>
      </c>
      <c r="AS913" s="113"/>
      <c r="AT913" s="113"/>
      <c r="AU913" s="113"/>
      <c r="AV913" s="113"/>
      <c r="AW913" s="113"/>
      <c r="AX913" s="46">
        <v>0</v>
      </c>
      <c r="AY913" s="113"/>
      <c r="AZ913" s="113"/>
      <c r="BA913" s="113"/>
      <c r="BB913" s="113"/>
      <c r="BC913" s="113"/>
      <c r="BD913" s="46">
        <v>0</v>
      </c>
      <c r="BE913" s="113"/>
      <c r="BF913" s="113"/>
      <c r="BG913" s="113"/>
      <c r="BH913" s="113"/>
      <c r="BI913" s="113"/>
      <c r="BJ913" s="46">
        <v>0</v>
      </c>
      <c r="BK913" s="113"/>
      <c r="BL913" s="113"/>
      <c r="BM913" s="113"/>
      <c r="BN913" s="113"/>
      <c r="BO913" s="113"/>
      <c r="BP913" s="121"/>
      <c r="BQ913" s="121"/>
      <c r="GA913" t="s">
        <v>114</v>
      </c>
      <c r="GB913" t="s">
        <v>23056</v>
      </c>
      <c r="GC913" s="46">
        <v>0</v>
      </c>
      <c r="GD913" s="113"/>
      <c r="GE913" s="113"/>
      <c r="GF913" s="113"/>
      <c r="GG913" s="113"/>
      <c r="GH913" s="113"/>
      <c r="GI913" s="46">
        <v>0</v>
      </c>
      <c r="GJ913" s="113"/>
      <c r="GK913" s="113"/>
      <c r="GL913" s="113"/>
      <c r="GM913" s="113"/>
      <c r="GN913" s="113"/>
      <c r="GO913" s="46">
        <v>0</v>
      </c>
      <c r="GP913" s="113"/>
      <c r="GQ913" s="113"/>
      <c r="GR913" s="113"/>
      <c r="GS913" s="113"/>
      <c r="GT913" s="113"/>
      <c r="GU913" s="46">
        <v>0</v>
      </c>
      <c r="GV913" s="113"/>
      <c r="GW913" s="113"/>
      <c r="GX913" s="113"/>
      <c r="GY913" s="113"/>
      <c r="GZ913" s="113"/>
      <c r="HA913" s="46">
        <v>0</v>
      </c>
      <c r="HB913" s="113"/>
      <c r="HC913" s="113"/>
      <c r="HD913" s="113"/>
      <c r="HE913" s="113"/>
      <c r="HF913" s="113"/>
      <c r="HG913" s="46">
        <v>0</v>
      </c>
      <c r="HH913" s="113"/>
      <c r="HI913" s="113"/>
      <c r="HJ913" s="113"/>
      <c r="HK913" s="113"/>
      <c r="HL913" s="113"/>
      <c r="HM913" s="121"/>
      <c r="HN913" s="121"/>
      <c r="LM913" t="str">
        <v/>
      </c>
      <c r="LN913" t="str">
        <v/>
      </c>
      <c r="LO913" t="str">
        <v/>
      </c>
    </row>
    <row r="914" spans="30:327">
      <c r="AD914" t="s">
        <v>114</v>
      </c>
      <c r="AE914" t="s">
        <v>23057</v>
      </c>
      <c r="AF914" s="46">
        <v>0</v>
      </c>
      <c r="AG914" s="113"/>
      <c r="AH914" s="113"/>
      <c r="AI914" s="113"/>
      <c r="AJ914" s="113"/>
      <c r="AK914" s="113"/>
      <c r="AL914" s="46">
        <v>0</v>
      </c>
      <c r="AM914" s="113"/>
      <c r="AN914" s="113"/>
      <c r="AO914" s="113"/>
      <c r="AP914" s="113"/>
      <c r="AQ914" s="113"/>
      <c r="AR914" s="46">
        <v>0</v>
      </c>
      <c r="AS914" s="113"/>
      <c r="AT914" s="113"/>
      <c r="AU914" s="113"/>
      <c r="AV914" s="113"/>
      <c r="AW914" s="113"/>
      <c r="AX914" s="46">
        <v>0</v>
      </c>
      <c r="AY914" s="113"/>
      <c r="AZ914" s="113"/>
      <c r="BA914" s="113"/>
      <c r="BB914" s="113"/>
      <c r="BC914" s="113"/>
      <c r="BD914" s="46">
        <v>0</v>
      </c>
      <c r="BE914" s="113"/>
      <c r="BF914" s="113"/>
      <c r="BG914" s="113"/>
      <c r="BH914" s="113"/>
      <c r="BI914" s="113"/>
      <c r="BJ914" s="46">
        <v>0</v>
      </c>
      <c r="BK914" s="113"/>
      <c r="BL914" s="113"/>
      <c r="BM914" s="113"/>
      <c r="BN914" s="113"/>
      <c r="BO914" s="113"/>
      <c r="BP914" s="121"/>
      <c r="BQ914" s="121"/>
      <c r="GA914" t="s">
        <v>114</v>
      </c>
      <c r="GB914" t="s">
        <v>23057</v>
      </c>
      <c r="GC914" s="46">
        <v>0</v>
      </c>
      <c r="GD914" s="113"/>
      <c r="GE914" s="113"/>
      <c r="GF914" s="113"/>
      <c r="GG914" s="113"/>
      <c r="GH914" s="113"/>
      <c r="GI914" s="46">
        <v>0</v>
      </c>
      <c r="GJ914" s="113"/>
      <c r="GK914" s="113"/>
      <c r="GL914" s="113"/>
      <c r="GM914" s="113"/>
      <c r="GN914" s="113"/>
      <c r="GO914" s="46">
        <v>0</v>
      </c>
      <c r="GP914" s="113"/>
      <c r="GQ914" s="113"/>
      <c r="GR914" s="113"/>
      <c r="GS914" s="113"/>
      <c r="GT914" s="113"/>
      <c r="GU914" s="46">
        <v>0</v>
      </c>
      <c r="GV914" s="113"/>
      <c r="GW914" s="113"/>
      <c r="GX914" s="113"/>
      <c r="GY914" s="113"/>
      <c r="GZ914" s="113"/>
      <c r="HA914" s="46">
        <v>0</v>
      </c>
      <c r="HB914" s="113"/>
      <c r="HC914" s="113"/>
      <c r="HD914" s="113"/>
      <c r="HE914" s="113"/>
      <c r="HF914" s="113"/>
      <c r="HG914" s="46">
        <v>0</v>
      </c>
      <c r="HH914" s="113"/>
      <c r="HI914" s="113"/>
      <c r="HJ914" s="113"/>
      <c r="HK914" s="113"/>
      <c r="HL914" s="113"/>
      <c r="HM914" s="121"/>
      <c r="HN914" s="121"/>
      <c r="LM914" t="str">
        <v/>
      </c>
      <c r="LN914" t="str">
        <v/>
      </c>
      <c r="LO914" t="str">
        <v/>
      </c>
    </row>
    <row r="915" spans="30:327">
      <c r="AD915" t="s">
        <v>114</v>
      </c>
      <c r="AE915" t="s">
        <v>23058</v>
      </c>
      <c r="AF915" s="46">
        <v>0</v>
      </c>
      <c r="AG915" s="113"/>
      <c r="AH915" s="113"/>
      <c r="AI915" s="113"/>
      <c r="AJ915" s="113"/>
      <c r="AK915" s="113"/>
      <c r="AL915" s="46">
        <v>0</v>
      </c>
      <c r="AM915" s="113"/>
      <c r="AN915" s="113"/>
      <c r="AO915" s="113"/>
      <c r="AP915" s="113"/>
      <c r="AQ915" s="113"/>
      <c r="AR915" s="46">
        <v>0</v>
      </c>
      <c r="AS915" s="113"/>
      <c r="AT915" s="113"/>
      <c r="AU915" s="113"/>
      <c r="AV915" s="113"/>
      <c r="AW915" s="113"/>
      <c r="AX915" s="46">
        <v>0</v>
      </c>
      <c r="AY915" s="113"/>
      <c r="AZ915" s="113"/>
      <c r="BA915" s="113"/>
      <c r="BB915" s="113"/>
      <c r="BC915" s="113"/>
      <c r="BD915" s="46">
        <v>0</v>
      </c>
      <c r="BE915" s="113"/>
      <c r="BF915" s="113"/>
      <c r="BG915" s="113"/>
      <c r="BH915" s="113"/>
      <c r="BI915" s="113"/>
      <c r="BJ915" s="46">
        <v>0</v>
      </c>
      <c r="BK915" s="113"/>
      <c r="BL915" s="113"/>
      <c r="BM915" s="113"/>
      <c r="BN915" s="113"/>
      <c r="BO915" s="113"/>
      <c r="BP915" s="121"/>
      <c r="BQ915" s="121"/>
      <c r="GA915" t="s">
        <v>114</v>
      </c>
      <c r="GB915" t="s">
        <v>23058</v>
      </c>
      <c r="GC915" s="46">
        <v>0</v>
      </c>
      <c r="GD915" s="113"/>
      <c r="GE915" s="113"/>
      <c r="GF915" s="113"/>
      <c r="GG915" s="113"/>
      <c r="GH915" s="113"/>
      <c r="GI915" s="46">
        <v>0</v>
      </c>
      <c r="GJ915" s="113"/>
      <c r="GK915" s="113"/>
      <c r="GL915" s="113"/>
      <c r="GM915" s="113"/>
      <c r="GN915" s="113"/>
      <c r="GO915" s="46">
        <v>0</v>
      </c>
      <c r="GP915" s="113"/>
      <c r="GQ915" s="113"/>
      <c r="GR915" s="113"/>
      <c r="GS915" s="113"/>
      <c r="GT915" s="113"/>
      <c r="GU915" s="46">
        <v>0</v>
      </c>
      <c r="GV915" s="113"/>
      <c r="GW915" s="113"/>
      <c r="GX915" s="113"/>
      <c r="GY915" s="113"/>
      <c r="GZ915" s="113"/>
      <c r="HA915" s="46">
        <v>0</v>
      </c>
      <c r="HB915" s="113"/>
      <c r="HC915" s="113"/>
      <c r="HD915" s="113"/>
      <c r="HE915" s="113"/>
      <c r="HF915" s="113"/>
      <c r="HG915" s="46">
        <v>0</v>
      </c>
      <c r="HH915" s="113"/>
      <c r="HI915" s="113"/>
      <c r="HJ915" s="113"/>
      <c r="HK915" s="113"/>
      <c r="HL915" s="113"/>
      <c r="HM915" s="121"/>
      <c r="HN915" s="121"/>
      <c r="LM915" t="str">
        <v/>
      </c>
      <c r="LN915" t="str">
        <v/>
      </c>
      <c r="LO915" t="str">
        <v/>
      </c>
    </row>
    <row r="916" spans="30:327">
      <c r="AD916" t="s">
        <v>114</v>
      </c>
      <c r="AE916" t="s">
        <v>23059</v>
      </c>
      <c r="AF916" s="46">
        <v>0</v>
      </c>
      <c r="AG916" s="113"/>
      <c r="AH916" s="113"/>
      <c r="AI916" s="113"/>
      <c r="AJ916" s="113"/>
      <c r="AK916" s="113"/>
      <c r="AL916" s="46">
        <v>0</v>
      </c>
      <c r="AM916" s="113"/>
      <c r="AN916" s="113"/>
      <c r="AO916" s="113"/>
      <c r="AP916" s="113"/>
      <c r="AQ916" s="113"/>
      <c r="AR916" s="46">
        <v>0</v>
      </c>
      <c r="AS916" s="113"/>
      <c r="AT916" s="113"/>
      <c r="AU916" s="113"/>
      <c r="AV916" s="113"/>
      <c r="AW916" s="113"/>
      <c r="AX916" s="46">
        <v>0</v>
      </c>
      <c r="AY916" s="113"/>
      <c r="AZ916" s="113"/>
      <c r="BA916" s="113"/>
      <c r="BB916" s="113"/>
      <c r="BC916" s="113"/>
      <c r="BD916" s="46">
        <v>0</v>
      </c>
      <c r="BE916" s="113"/>
      <c r="BF916" s="113"/>
      <c r="BG916" s="113"/>
      <c r="BH916" s="113"/>
      <c r="BI916" s="113"/>
      <c r="BJ916" s="46">
        <v>0</v>
      </c>
      <c r="BK916" s="113"/>
      <c r="BL916" s="113"/>
      <c r="BM916" s="113"/>
      <c r="BN916" s="113"/>
      <c r="BO916" s="113"/>
      <c r="BP916" s="121"/>
      <c r="BQ916" s="121"/>
      <c r="GA916" t="s">
        <v>114</v>
      </c>
      <c r="GB916" t="s">
        <v>23059</v>
      </c>
      <c r="GC916" s="46">
        <v>0</v>
      </c>
      <c r="GD916" s="113"/>
      <c r="GE916" s="113"/>
      <c r="GF916" s="113"/>
      <c r="GG916" s="113"/>
      <c r="GH916" s="113"/>
      <c r="GI916" s="46">
        <v>0</v>
      </c>
      <c r="GJ916" s="113"/>
      <c r="GK916" s="113"/>
      <c r="GL916" s="113"/>
      <c r="GM916" s="113"/>
      <c r="GN916" s="113"/>
      <c r="GO916" s="46">
        <v>0</v>
      </c>
      <c r="GP916" s="113"/>
      <c r="GQ916" s="113"/>
      <c r="GR916" s="113"/>
      <c r="GS916" s="113"/>
      <c r="GT916" s="113"/>
      <c r="GU916" s="46">
        <v>0</v>
      </c>
      <c r="GV916" s="113"/>
      <c r="GW916" s="113"/>
      <c r="GX916" s="113"/>
      <c r="GY916" s="113"/>
      <c r="GZ916" s="113"/>
      <c r="HA916" s="46">
        <v>0</v>
      </c>
      <c r="HB916" s="113"/>
      <c r="HC916" s="113"/>
      <c r="HD916" s="113"/>
      <c r="HE916" s="113"/>
      <c r="HF916" s="113"/>
      <c r="HG916" s="46">
        <v>0</v>
      </c>
      <c r="HH916" s="113"/>
      <c r="HI916" s="113"/>
      <c r="HJ916" s="113"/>
      <c r="HK916" s="113"/>
      <c r="HL916" s="113"/>
      <c r="HM916" s="121"/>
      <c r="HN916" s="121"/>
      <c r="LM916" t="str">
        <v/>
      </c>
      <c r="LN916" t="str">
        <v/>
      </c>
      <c r="LO916" t="str">
        <v/>
      </c>
    </row>
    <row r="917" spans="30:327">
      <c r="AD917" t="s">
        <v>114</v>
      </c>
      <c r="AE917" t="s">
        <v>23060</v>
      </c>
      <c r="AF917" s="46">
        <v>0</v>
      </c>
      <c r="AG917" s="113"/>
      <c r="AH917" s="113"/>
      <c r="AI917" s="113"/>
      <c r="AJ917" s="113"/>
      <c r="AK917" s="113"/>
      <c r="AL917" s="46">
        <v>0</v>
      </c>
      <c r="AM917" s="113"/>
      <c r="AN917" s="113"/>
      <c r="AO917" s="113"/>
      <c r="AP917" s="113"/>
      <c r="AQ917" s="113"/>
      <c r="AR917" s="46">
        <v>0</v>
      </c>
      <c r="AS917" s="113"/>
      <c r="AT917" s="113"/>
      <c r="AU917" s="113"/>
      <c r="AV917" s="113"/>
      <c r="AW917" s="113"/>
      <c r="AX917" s="46">
        <v>0</v>
      </c>
      <c r="AY917" s="113"/>
      <c r="AZ917" s="113"/>
      <c r="BA917" s="113"/>
      <c r="BB917" s="113"/>
      <c r="BC917" s="113"/>
      <c r="BD917" s="46">
        <v>0</v>
      </c>
      <c r="BE917" s="113"/>
      <c r="BF917" s="113"/>
      <c r="BG917" s="113"/>
      <c r="BH917" s="113"/>
      <c r="BI917" s="113"/>
      <c r="BJ917" s="46">
        <v>0</v>
      </c>
      <c r="BK917" s="113"/>
      <c r="BL917" s="113"/>
      <c r="BM917" s="113"/>
      <c r="BN917" s="113"/>
      <c r="BO917" s="113"/>
      <c r="BP917" s="121"/>
      <c r="BQ917" s="121"/>
      <c r="GA917" t="s">
        <v>114</v>
      </c>
      <c r="GB917" t="s">
        <v>23060</v>
      </c>
      <c r="GC917" s="46">
        <v>0</v>
      </c>
      <c r="GD917" s="113"/>
      <c r="GE917" s="113"/>
      <c r="GF917" s="113"/>
      <c r="GG917" s="113"/>
      <c r="GH917" s="113"/>
      <c r="GI917" s="46">
        <v>0</v>
      </c>
      <c r="GJ917" s="113"/>
      <c r="GK917" s="113"/>
      <c r="GL917" s="113"/>
      <c r="GM917" s="113"/>
      <c r="GN917" s="113"/>
      <c r="GO917" s="46">
        <v>0</v>
      </c>
      <c r="GP917" s="113"/>
      <c r="GQ917" s="113"/>
      <c r="GR917" s="113"/>
      <c r="GS917" s="113"/>
      <c r="GT917" s="113"/>
      <c r="GU917" s="46">
        <v>0</v>
      </c>
      <c r="GV917" s="113"/>
      <c r="GW917" s="113"/>
      <c r="GX917" s="113"/>
      <c r="GY917" s="113"/>
      <c r="GZ917" s="113"/>
      <c r="HA917" s="46">
        <v>0</v>
      </c>
      <c r="HB917" s="113"/>
      <c r="HC917" s="113"/>
      <c r="HD917" s="113"/>
      <c r="HE917" s="113"/>
      <c r="HF917" s="113"/>
      <c r="HG917" s="46">
        <v>0</v>
      </c>
      <c r="HH917" s="113"/>
      <c r="HI917" s="113"/>
      <c r="HJ917" s="113"/>
      <c r="HK917" s="113"/>
      <c r="HL917" s="113"/>
      <c r="HM917" s="121"/>
      <c r="HN917" s="121"/>
      <c r="LM917" t="str">
        <v/>
      </c>
      <c r="LN917" t="str">
        <v/>
      </c>
      <c r="LO917" t="str">
        <v/>
      </c>
    </row>
    <row r="918" spans="30:327">
      <c r="AD918" t="s">
        <v>114</v>
      </c>
      <c r="AE918" t="s">
        <v>23061</v>
      </c>
      <c r="AF918" s="46">
        <v>0</v>
      </c>
      <c r="AG918" s="113"/>
      <c r="AH918" s="113"/>
      <c r="AI918" s="113"/>
      <c r="AJ918" s="113"/>
      <c r="AK918" s="113"/>
      <c r="AL918" s="46">
        <v>0</v>
      </c>
      <c r="AM918" s="113"/>
      <c r="AN918" s="113"/>
      <c r="AO918" s="113"/>
      <c r="AP918" s="113"/>
      <c r="AQ918" s="113"/>
      <c r="AR918" s="46">
        <v>0</v>
      </c>
      <c r="AS918" s="113"/>
      <c r="AT918" s="113"/>
      <c r="AU918" s="113"/>
      <c r="AV918" s="113"/>
      <c r="AW918" s="113"/>
      <c r="AX918" s="46">
        <v>0</v>
      </c>
      <c r="AY918" s="113"/>
      <c r="AZ918" s="113"/>
      <c r="BA918" s="113"/>
      <c r="BB918" s="113"/>
      <c r="BC918" s="113"/>
      <c r="BD918" s="46">
        <v>0</v>
      </c>
      <c r="BE918" s="113"/>
      <c r="BF918" s="113"/>
      <c r="BG918" s="113"/>
      <c r="BH918" s="113"/>
      <c r="BI918" s="113"/>
      <c r="BJ918" s="46">
        <v>0</v>
      </c>
      <c r="BK918" s="113"/>
      <c r="BL918" s="113"/>
      <c r="BM918" s="113"/>
      <c r="BN918" s="113"/>
      <c r="BO918" s="113"/>
      <c r="BP918" s="121"/>
      <c r="BQ918" s="121"/>
      <c r="GA918" t="s">
        <v>114</v>
      </c>
      <c r="GB918" t="s">
        <v>23061</v>
      </c>
      <c r="GC918" s="46">
        <v>0</v>
      </c>
      <c r="GD918" s="113"/>
      <c r="GE918" s="113"/>
      <c r="GF918" s="113"/>
      <c r="GG918" s="113"/>
      <c r="GH918" s="113"/>
      <c r="GI918" s="46">
        <v>0</v>
      </c>
      <c r="GJ918" s="113"/>
      <c r="GK918" s="113"/>
      <c r="GL918" s="113"/>
      <c r="GM918" s="113"/>
      <c r="GN918" s="113"/>
      <c r="GO918" s="46">
        <v>0</v>
      </c>
      <c r="GP918" s="113"/>
      <c r="GQ918" s="113"/>
      <c r="GR918" s="113"/>
      <c r="GS918" s="113"/>
      <c r="GT918" s="113"/>
      <c r="GU918" s="46">
        <v>0</v>
      </c>
      <c r="GV918" s="113"/>
      <c r="GW918" s="113"/>
      <c r="GX918" s="113"/>
      <c r="GY918" s="113"/>
      <c r="GZ918" s="113"/>
      <c r="HA918" s="46">
        <v>0</v>
      </c>
      <c r="HB918" s="113"/>
      <c r="HC918" s="113"/>
      <c r="HD918" s="113"/>
      <c r="HE918" s="113"/>
      <c r="HF918" s="113"/>
      <c r="HG918" s="46">
        <v>0</v>
      </c>
      <c r="HH918" s="113"/>
      <c r="HI918" s="113"/>
      <c r="HJ918" s="113"/>
      <c r="HK918" s="113"/>
      <c r="HL918" s="113"/>
      <c r="HM918" s="121"/>
      <c r="HN918" s="121"/>
      <c r="LM918" t="str">
        <v/>
      </c>
      <c r="LN918" t="str">
        <v/>
      </c>
      <c r="LO918" t="str">
        <v/>
      </c>
    </row>
    <row r="919" spans="30:327">
      <c r="AD919" t="s">
        <v>114</v>
      </c>
      <c r="AE919" t="s">
        <v>23062</v>
      </c>
      <c r="AF919" s="46">
        <v>0</v>
      </c>
      <c r="AG919" s="113"/>
      <c r="AH919" s="113"/>
      <c r="AI919" s="113"/>
      <c r="AJ919" s="113"/>
      <c r="AK919" s="113"/>
      <c r="AL919" s="46">
        <v>0</v>
      </c>
      <c r="AM919" s="113"/>
      <c r="AN919" s="113"/>
      <c r="AO919" s="113"/>
      <c r="AP919" s="113"/>
      <c r="AQ919" s="113"/>
      <c r="AR919" s="46">
        <v>0</v>
      </c>
      <c r="AS919" s="113"/>
      <c r="AT919" s="113"/>
      <c r="AU919" s="113"/>
      <c r="AV919" s="113"/>
      <c r="AW919" s="113"/>
      <c r="AX919" s="46">
        <v>0</v>
      </c>
      <c r="AY919" s="113"/>
      <c r="AZ919" s="113"/>
      <c r="BA919" s="113"/>
      <c r="BB919" s="113"/>
      <c r="BC919" s="113"/>
      <c r="BD919" s="46">
        <v>0</v>
      </c>
      <c r="BE919" s="113"/>
      <c r="BF919" s="113"/>
      <c r="BG919" s="113"/>
      <c r="BH919" s="113"/>
      <c r="BI919" s="113"/>
      <c r="BJ919" s="46">
        <v>0</v>
      </c>
      <c r="BK919" s="113"/>
      <c r="BL919" s="113"/>
      <c r="BM919" s="113"/>
      <c r="BN919" s="113"/>
      <c r="BO919" s="113"/>
      <c r="BP919" s="121"/>
      <c r="BQ919" s="121"/>
      <c r="GA919" t="s">
        <v>114</v>
      </c>
      <c r="GB919" t="s">
        <v>23062</v>
      </c>
      <c r="GC919" s="46">
        <v>0</v>
      </c>
      <c r="GD919" s="113"/>
      <c r="GE919" s="113"/>
      <c r="GF919" s="113"/>
      <c r="GG919" s="113"/>
      <c r="GH919" s="113"/>
      <c r="GI919" s="46">
        <v>0</v>
      </c>
      <c r="GJ919" s="113"/>
      <c r="GK919" s="113"/>
      <c r="GL919" s="113"/>
      <c r="GM919" s="113"/>
      <c r="GN919" s="113"/>
      <c r="GO919" s="46">
        <v>0</v>
      </c>
      <c r="GP919" s="113"/>
      <c r="GQ919" s="113"/>
      <c r="GR919" s="113"/>
      <c r="GS919" s="113"/>
      <c r="GT919" s="113"/>
      <c r="GU919" s="46">
        <v>0</v>
      </c>
      <c r="GV919" s="113"/>
      <c r="GW919" s="113"/>
      <c r="GX919" s="113"/>
      <c r="GY919" s="113"/>
      <c r="GZ919" s="113"/>
      <c r="HA919" s="46">
        <v>0</v>
      </c>
      <c r="HB919" s="113"/>
      <c r="HC919" s="113"/>
      <c r="HD919" s="113"/>
      <c r="HE919" s="113"/>
      <c r="HF919" s="113"/>
      <c r="HG919" s="46">
        <v>0</v>
      </c>
      <c r="HH919" s="113"/>
      <c r="HI919" s="113"/>
      <c r="HJ919" s="113"/>
      <c r="HK919" s="113"/>
      <c r="HL919" s="113"/>
      <c r="HM919" s="121"/>
      <c r="HN919" s="121"/>
      <c r="LM919" t="str">
        <v/>
      </c>
      <c r="LN919" t="str">
        <v/>
      </c>
      <c r="LO919" t="str">
        <v/>
      </c>
    </row>
    <row r="920" spans="30:327">
      <c r="AD920" t="s">
        <v>114</v>
      </c>
      <c r="AE920" t="s">
        <v>23063</v>
      </c>
      <c r="AF920" s="46">
        <v>0</v>
      </c>
      <c r="AG920" s="113"/>
      <c r="AH920" s="113"/>
      <c r="AI920" s="113"/>
      <c r="AJ920" s="113"/>
      <c r="AK920" s="113"/>
      <c r="AL920" s="46">
        <v>0</v>
      </c>
      <c r="AM920" s="113"/>
      <c r="AN920" s="113"/>
      <c r="AO920" s="113"/>
      <c r="AP920" s="113"/>
      <c r="AQ920" s="113"/>
      <c r="AR920" s="46">
        <v>0</v>
      </c>
      <c r="AS920" s="113"/>
      <c r="AT920" s="113"/>
      <c r="AU920" s="113"/>
      <c r="AV920" s="113"/>
      <c r="AW920" s="113"/>
      <c r="AX920" s="46">
        <v>0</v>
      </c>
      <c r="AY920" s="113"/>
      <c r="AZ920" s="113"/>
      <c r="BA920" s="113"/>
      <c r="BB920" s="113"/>
      <c r="BC920" s="113"/>
      <c r="BD920" s="46">
        <v>0</v>
      </c>
      <c r="BE920" s="113"/>
      <c r="BF920" s="113"/>
      <c r="BG920" s="113"/>
      <c r="BH920" s="113"/>
      <c r="BI920" s="113"/>
      <c r="BJ920" s="46">
        <v>0</v>
      </c>
      <c r="BK920" s="113"/>
      <c r="BL920" s="113"/>
      <c r="BM920" s="113"/>
      <c r="BN920" s="113"/>
      <c r="BO920" s="113"/>
      <c r="BP920" s="121"/>
      <c r="BQ920" s="121"/>
      <c r="GA920" t="s">
        <v>114</v>
      </c>
      <c r="GB920" t="s">
        <v>23063</v>
      </c>
      <c r="GC920" s="46">
        <v>0</v>
      </c>
      <c r="GD920" s="113"/>
      <c r="GE920" s="113"/>
      <c r="GF920" s="113"/>
      <c r="GG920" s="113"/>
      <c r="GH920" s="113"/>
      <c r="GI920" s="46">
        <v>0</v>
      </c>
      <c r="GJ920" s="113"/>
      <c r="GK920" s="113"/>
      <c r="GL920" s="113"/>
      <c r="GM920" s="113"/>
      <c r="GN920" s="113"/>
      <c r="GO920" s="46">
        <v>0</v>
      </c>
      <c r="GP920" s="113"/>
      <c r="GQ920" s="113"/>
      <c r="GR920" s="113"/>
      <c r="GS920" s="113"/>
      <c r="GT920" s="113"/>
      <c r="GU920" s="46">
        <v>0</v>
      </c>
      <c r="GV920" s="113"/>
      <c r="GW920" s="113"/>
      <c r="GX920" s="113"/>
      <c r="GY920" s="113"/>
      <c r="GZ920" s="113"/>
      <c r="HA920" s="46">
        <v>0</v>
      </c>
      <c r="HB920" s="113"/>
      <c r="HC920" s="113"/>
      <c r="HD920" s="113"/>
      <c r="HE920" s="113"/>
      <c r="HF920" s="113"/>
      <c r="HG920" s="46">
        <v>0</v>
      </c>
      <c r="HH920" s="113"/>
      <c r="HI920" s="113"/>
      <c r="HJ920" s="113"/>
      <c r="HK920" s="113"/>
      <c r="HL920" s="113"/>
      <c r="HM920" s="121"/>
      <c r="HN920" s="121"/>
      <c r="LM920" t="str">
        <v/>
      </c>
      <c r="LN920" t="str">
        <v/>
      </c>
      <c r="LO920" t="str">
        <v/>
      </c>
    </row>
    <row r="921" spans="30:327">
      <c r="AD921" t="s">
        <v>114</v>
      </c>
      <c r="AE921" t="s">
        <v>23064</v>
      </c>
      <c r="AF921" s="46">
        <v>0</v>
      </c>
      <c r="AG921" s="113"/>
      <c r="AH921" s="113"/>
      <c r="AI921" s="113"/>
      <c r="AJ921" s="113"/>
      <c r="AK921" s="113"/>
      <c r="AL921" s="46">
        <v>0</v>
      </c>
      <c r="AM921" s="113"/>
      <c r="AN921" s="113"/>
      <c r="AO921" s="113"/>
      <c r="AP921" s="113"/>
      <c r="AQ921" s="113"/>
      <c r="AR921" s="46">
        <v>0</v>
      </c>
      <c r="AS921" s="113"/>
      <c r="AT921" s="113"/>
      <c r="AU921" s="113"/>
      <c r="AV921" s="113"/>
      <c r="AW921" s="113"/>
      <c r="AX921" s="46">
        <v>0</v>
      </c>
      <c r="AY921" s="113"/>
      <c r="AZ921" s="113"/>
      <c r="BA921" s="113"/>
      <c r="BB921" s="113"/>
      <c r="BC921" s="113"/>
      <c r="BD921" s="46">
        <v>0</v>
      </c>
      <c r="BE921" s="113"/>
      <c r="BF921" s="113"/>
      <c r="BG921" s="113"/>
      <c r="BH921" s="113"/>
      <c r="BI921" s="113"/>
      <c r="BJ921" s="46">
        <v>0</v>
      </c>
      <c r="BK921" s="113"/>
      <c r="BL921" s="113"/>
      <c r="BM921" s="113"/>
      <c r="BN921" s="113"/>
      <c r="BO921" s="113"/>
      <c r="BP921" s="121"/>
      <c r="BQ921" s="121"/>
      <c r="GA921" t="s">
        <v>114</v>
      </c>
      <c r="GB921" t="s">
        <v>23064</v>
      </c>
      <c r="GC921" s="46">
        <v>0</v>
      </c>
      <c r="GD921" s="113"/>
      <c r="GE921" s="113"/>
      <c r="GF921" s="113"/>
      <c r="GG921" s="113"/>
      <c r="GH921" s="113"/>
      <c r="GI921" s="46">
        <v>0</v>
      </c>
      <c r="GJ921" s="113"/>
      <c r="GK921" s="113"/>
      <c r="GL921" s="113"/>
      <c r="GM921" s="113"/>
      <c r="GN921" s="113"/>
      <c r="GO921" s="46">
        <v>0</v>
      </c>
      <c r="GP921" s="113"/>
      <c r="GQ921" s="113"/>
      <c r="GR921" s="113"/>
      <c r="GS921" s="113"/>
      <c r="GT921" s="113"/>
      <c r="GU921" s="46">
        <v>0</v>
      </c>
      <c r="GV921" s="113"/>
      <c r="GW921" s="113"/>
      <c r="GX921" s="113"/>
      <c r="GY921" s="113"/>
      <c r="GZ921" s="113"/>
      <c r="HA921" s="46">
        <v>0</v>
      </c>
      <c r="HB921" s="113"/>
      <c r="HC921" s="113"/>
      <c r="HD921" s="113"/>
      <c r="HE921" s="113"/>
      <c r="HF921" s="113"/>
      <c r="HG921" s="46">
        <v>0</v>
      </c>
      <c r="HH921" s="113"/>
      <c r="HI921" s="113"/>
      <c r="HJ921" s="113"/>
      <c r="HK921" s="113"/>
      <c r="HL921" s="113"/>
      <c r="HM921" s="121"/>
      <c r="HN921" s="121"/>
      <c r="LM921" t="str">
        <v/>
      </c>
      <c r="LN921" t="str">
        <v/>
      </c>
      <c r="LO921" t="str">
        <v/>
      </c>
    </row>
    <row r="922" spans="30:327">
      <c r="AD922" t="s">
        <v>114</v>
      </c>
      <c r="AE922" t="s">
        <v>23065</v>
      </c>
      <c r="AF922" s="46">
        <v>0</v>
      </c>
      <c r="AG922" s="113"/>
      <c r="AH922" s="113"/>
      <c r="AI922" s="113"/>
      <c r="AJ922" s="113"/>
      <c r="AK922" s="113"/>
      <c r="AL922" s="46">
        <v>0</v>
      </c>
      <c r="AM922" s="113"/>
      <c r="AN922" s="113"/>
      <c r="AO922" s="113"/>
      <c r="AP922" s="113"/>
      <c r="AQ922" s="113"/>
      <c r="AR922" s="46">
        <v>0</v>
      </c>
      <c r="AS922" s="113"/>
      <c r="AT922" s="113"/>
      <c r="AU922" s="113"/>
      <c r="AV922" s="113"/>
      <c r="AW922" s="113"/>
      <c r="AX922" s="46">
        <v>0</v>
      </c>
      <c r="AY922" s="113"/>
      <c r="AZ922" s="113"/>
      <c r="BA922" s="113"/>
      <c r="BB922" s="113"/>
      <c r="BC922" s="113"/>
      <c r="BD922" s="46">
        <v>0</v>
      </c>
      <c r="BE922" s="113"/>
      <c r="BF922" s="113"/>
      <c r="BG922" s="113"/>
      <c r="BH922" s="113"/>
      <c r="BI922" s="113"/>
      <c r="BJ922" s="46">
        <v>0</v>
      </c>
      <c r="BK922" s="113"/>
      <c r="BL922" s="113"/>
      <c r="BM922" s="113"/>
      <c r="BN922" s="113"/>
      <c r="BO922" s="113"/>
      <c r="BP922" s="121"/>
      <c r="BQ922" s="121"/>
      <c r="GA922" t="s">
        <v>114</v>
      </c>
      <c r="GB922" t="s">
        <v>23065</v>
      </c>
      <c r="GC922" s="46">
        <v>0</v>
      </c>
      <c r="GD922" s="113"/>
      <c r="GE922" s="113"/>
      <c r="GF922" s="113"/>
      <c r="GG922" s="113"/>
      <c r="GH922" s="113"/>
      <c r="GI922" s="46">
        <v>0</v>
      </c>
      <c r="GJ922" s="113"/>
      <c r="GK922" s="113"/>
      <c r="GL922" s="113"/>
      <c r="GM922" s="113"/>
      <c r="GN922" s="113"/>
      <c r="GO922" s="46">
        <v>0</v>
      </c>
      <c r="GP922" s="113"/>
      <c r="GQ922" s="113"/>
      <c r="GR922" s="113"/>
      <c r="GS922" s="113"/>
      <c r="GT922" s="113"/>
      <c r="GU922" s="46">
        <v>0</v>
      </c>
      <c r="GV922" s="113"/>
      <c r="GW922" s="113"/>
      <c r="GX922" s="113"/>
      <c r="GY922" s="113"/>
      <c r="GZ922" s="113"/>
      <c r="HA922" s="46">
        <v>0</v>
      </c>
      <c r="HB922" s="113"/>
      <c r="HC922" s="113"/>
      <c r="HD922" s="113"/>
      <c r="HE922" s="113"/>
      <c r="HF922" s="113"/>
      <c r="HG922" s="46">
        <v>0</v>
      </c>
      <c r="HH922" s="113"/>
      <c r="HI922" s="113"/>
      <c r="HJ922" s="113"/>
      <c r="HK922" s="113"/>
      <c r="HL922" s="113"/>
      <c r="HM922" s="121"/>
      <c r="HN922" s="121"/>
      <c r="LM922" t="str">
        <v/>
      </c>
      <c r="LN922" t="str">
        <v/>
      </c>
      <c r="LO922" t="str">
        <v/>
      </c>
    </row>
    <row r="923" spans="30:327">
      <c r="AD923" t="s">
        <v>114</v>
      </c>
      <c r="AE923" t="s">
        <v>23066</v>
      </c>
      <c r="AF923" s="46">
        <v>0</v>
      </c>
      <c r="AG923" s="113"/>
      <c r="AH923" s="113"/>
      <c r="AI923" s="113"/>
      <c r="AJ923" s="113"/>
      <c r="AK923" s="113"/>
      <c r="AL923" s="46">
        <v>0</v>
      </c>
      <c r="AM923" s="113"/>
      <c r="AN923" s="113"/>
      <c r="AO923" s="113"/>
      <c r="AP923" s="113"/>
      <c r="AQ923" s="113"/>
      <c r="AR923" s="46">
        <v>0</v>
      </c>
      <c r="AS923" s="113"/>
      <c r="AT923" s="113"/>
      <c r="AU923" s="113"/>
      <c r="AV923" s="113"/>
      <c r="AW923" s="113"/>
      <c r="AX923" s="46">
        <v>0</v>
      </c>
      <c r="AY923" s="113"/>
      <c r="AZ923" s="113"/>
      <c r="BA923" s="113"/>
      <c r="BB923" s="113"/>
      <c r="BC923" s="113"/>
      <c r="BD923" s="46">
        <v>0</v>
      </c>
      <c r="BE923" s="113"/>
      <c r="BF923" s="113"/>
      <c r="BG923" s="113"/>
      <c r="BH923" s="113"/>
      <c r="BI923" s="113"/>
      <c r="BJ923" s="46">
        <v>0</v>
      </c>
      <c r="BK923" s="113"/>
      <c r="BL923" s="113"/>
      <c r="BM923" s="113"/>
      <c r="BN923" s="113"/>
      <c r="BO923" s="113"/>
      <c r="BP923" s="121"/>
      <c r="BQ923" s="121"/>
      <c r="GA923" t="s">
        <v>114</v>
      </c>
      <c r="GB923" t="s">
        <v>23066</v>
      </c>
      <c r="GC923" s="46">
        <v>0</v>
      </c>
      <c r="GD923" s="113"/>
      <c r="GE923" s="113"/>
      <c r="GF923" s="113"/>
      <c r="GG923" s="113"/>
      <c r="GH923" s="113"/>
      <c r="GI923" s="46">
        <v>0</v>
      </c>
      <c r="GJ923" s="113"/>
      <c r="GK923" s="113"/>
      <c r="GL923" s="113"/>
      <c r="GM923" s="113"/>
      <c r="GN923" s="113"/>
      <c r="GO923" s="46">
        <v>0</v>
      </c>
      <c r="GP923" s="113"/>
      <c r="GQ923" s="113"/>
      <c r="GR923" s="113"/>
      <c r="GS923" s="113"/>
      <c r="GT923" s="113"/>
      <c r="GU923" s="46">
        <v>0</v>
      </c>
      <c r="GV923" s="113"/>
      <c r="GW923" s="113"/>
      <c r="GX923" s="113"/>
      <c r="GY923" s="113"/>
      <c r="GZ923" s="113"/>
      <c r="HA923" s="46">
        <v>0</v>
      </c>
      <c r="HB923" s="113"/>
      <c r="HC923" s="113"/>
      <c r="HD923" s="113"/>
      <c r="HE923" s="113"/>
      <c r="HF923" s="113"/>
      <c r="HG923" s="46">
        <v>0</v>
      </c>
      <c r="HH923" s="113"/>
      <c r="HI923" s="113"/>
      <c r="HJ923" s="113"/>
      <c r="HK923" s="113"/>
      <c r="HL923" s="113"/>
      <c r="HM923" s="121"/>
      <c r="HN923" s="121"/>
      <c r="LM923" t="str">
        <v/>
      </c>
      <c r="LN923" t="str">
        <v/>
      </c>
      <c r="LO923" t="str">
        <v/>
      </c>
    </row>
    <row r="924" spans="30:327">
      <c r="AD924" t="s">
        <v>114</v>
      </c>
      <c r="AE924" t="s">
        <v>23067</v>
      </c>
      <c r="AF924" s="46">
        <v>0</v>
      </c>
      <c r="AG924" s="113"/>
      <c r="AH924" s="113"/>
      <c r="AI924" s="113"/>
      <c r="AJ924" s="113"/>
      <c r="AK924" s="113"/>
      <c r="AL924" s="46">
        <v>0</v>
      </c>
      <c r="AM924" s="113"/>
      <c r="AN924" s="113"/>
      <c r="AO924" s="113"/>
      <c r="AP924" s="113"/>
      <c r="AQ924" s="113"/>
      <c r="AR924" s="46">
        <v>0</v>
      </c>
      <c r="AS924" s="113"/>
      <c r="AT924" s="113"/>
      <c r="AU924" s="113"/>
      <c r="AV924" s="113"/>
      <c r="AW924" s="113"/>
      <c r="AX924" s="46">
        <v>0</v>
      </c>
      <c r="AY924" s="113"/>
      <c r="AZ924" s="113"/>
      <c r="BA924" s="113"/>
      <c r="BB924" s="113"/>
      <c r="BC924" s="113"/>
      <c r="BD924" s="46">
        <v>0</v>
      </c>
      <c r="BE924" s="113"/>
      <c r="BF924" s="113"/>
      <c r="BG924" s="113"/>
      <c r="BH924" s="113"/>
      <c r="BI924" s="113"/>
      <c r="BJ924" s="46">
        <v>0</v>
      </c>
      <c r="BK924" s="113"/>
      <c r="BL924" s="113"/>
      <c r="BM924" s="113"/>
      <c r="BN924" s="113"/>
      <c r="BO924" s="113"/>
      <c r="BP924" s="121"/>
      <c r="BQ924" s="121"/>
      <c r="GA924" t="s">
        <v>114</v>
      </c>
      <c r="GB924" t="s">
        <v>23067</v>
      </c>
      <c r="GC924" s="46">
        <v>0</v>
      </c>
      <c r="GD924" s="113"/>
      <c r="GE924" s="113"/>
      <c r="GF924" s="113"/>
      <c r="GG924" s="113"/>
      <c r="GH924" s="113"/>
      <c r="GI924" s="46">
        <v>0</v>
      </c>
      <c r="GJ924" s="113"/>
      <c r="GK924" s="113"/>
      <c r="GL924" s="113"/>
      <c r="GM924" s="113"/>
      <c r="GN924" s="113"/>
      <c r="GO924" s="46">
        <v>0</v>
      </c>
      <c r="GP924" s="113"/>
      <c r="GQ924" s="113"/>
      <c r="GR924" s="113"/>
      <c r="GS924" s="113"/>
      <c r="GT924" s="113"/>
      <c r="GU924" s="46">
        <v>0</v>
      </c>
      <c r="GV924" s="113"/>
      <c r="GW924" s="113"/>
      <c r="GX924" s="113"/>
      <c r="GY924" s="113"/>
      <c r="GZ924" s="113"/>
      <c r="HA924" s="46">
        <v>0</v>
      </c>
      <c r="HB924" s="113"/>
      <c r="HC924" s="113"/>
      <c r="HD924" s="113"/>
      <c r="HE924" s="113"/>
      <c r="HF924" s="113"/>
      <c r="HG924" s="46">
        <v>0</v>
      </c>
      <c r="HH924" s="113"/>
      <c r="HI924" s="113"/>
      <c r="HJ924" s="113"/>
      <c r="HK924" s="113"/>
      <c r="HL924" s="113"/>
      <c r="HM924" s="121"/>
      <c r="HN924" s="121"/>
      <c r="LM924" t="str">
        <v/>
      </c>
      <c r="LN924" t="str">
        <v/>
      </c>
      <c r="LO924" t="str">
        <v/>
      </c>
    </row>
    <row r="925" spans="30:327">
      <c r="AD925" t="s">
        <v>114</v>
      </c>
      <c r="AE925" t="s">
        <v>23068</v>
      </c>
      <c r="AF925" s="46">
        <v>0</v>
      </c>
      <c r="AG925" s="113"/>
      <c r="AH925" s="113"/>
      <c r="AI925" s="113"/>
      <c r="AJ925" s="113"/>
      <c r="AK925" s="113"/>
      <c r="AL925" s="46">
        <v>0</v>
      </c>
      <c r="AM925" s="113"/>
      <c r="AN925" s="113"/>
      <c r="AO925" s="113"/>
      <c r="AP925" s="113"/>
      <c r="AQ925" s="113"/>
      <c r="AR925" s="46">
        <v>0</v>
      </c>
      <c r="AS925" s="113"/>
      <c r="AT925" s="113"/>
      <c r="AU925" s="113"/>
      <c r="AV925" s="113"/>
      <c r="AW925" s="113"/>
      <c r="AX925" s="46">
        <v>0</v>
      </c>
      <c r="AY925" s="113"/>
      <c r="AZ925" s="113"/>
      <c r="BA925" s="113"/>
      <c r="BB925" s="113"/>
      <c r="BC925" s="113"/>
      <c r="BD925" s="46">
        <v>0</v>
      </c>
      <c r="BE925" s="113"/>
      <c r="BF925" s="113"/>
      <c r="BG925" s="113"/>
      <c r="BH925" s="113"/>
      <c r="BI925" s="113"/>
      <c r="BJ925" s="46">
        <v>0</v>
      </c>
      <c r="BK925" s="113"/>
      <c r="BL925" s="113"/>
      <c r="BM925" s="113"/>
      <c r="BN925" s="113"/>
      <c r="BO925" s="113"/>
      <c r="BP925" s="121"/>
      <c r="BQ925" s="121"/>
      <c r="GA925" t="s">
        <v>114</v>
      </c>
      <c r="GB925" t="s">
        <v>23068</v>
      </c>
      <c r="GC925" s="46">
        <v>0</v>
      </c>
      <c r="GD925" s="113"/>
      <c r="GE925" s="113"/>
      <c r="GF925" s="113"/>
      <c r="GG925" s="113"/>
      <c r="GH925" s="113"/>
      <c r="GI925" s="46">
        <v>0</v>
      </c>
      <c r="GJ925" s="113"/>
      <c r="GK925" s="113"/>
      <c r="GL925" s="113"/>
      <c r="GM925" s="113"/>
      <c r="GN925" s="113"/>
      <c r="GO925" s="46">
        <v>0</v>
      </c>
      <c r="GP925" s="113"/>
      <c r="GQ925" s="113"/>
      <c r="GR925" s="113"/>
      <c r="GS925" s="113"/>
      <c r="GT925" s="113"/>
      <c r="GU925" s="46">
        <v>0</v>
      </c>
      <c r="GV925" s="113"/>
      <c r="GW925" s="113"/>
      <c r="GX925" s="113"/>
      <c r="GY925" s="113"/>
      <c r="GZ925" s="113"/>
      <c r="HA925" s="46">
        <v>0</v>
      </c>
      <c r="HB925" s="113"/>
      <c r="HC925" s="113"/>
      <c r="HD925" s="113"/>
      <c r="HE925" s="113"/>
      <c r="HF925" s="113"/>
      <c r="HG925" s="46">
        <v>0</v>
      </c>
      <c r="HH925" s="113"/>
      <c r="HI925" s="113"/>
      <c r="HJ925" s="113"/>
      <c r="HK925" s="113"/>
      <c r="HL925" s="113"/>
      <c r="HM925" s="121"/>
      <c r="HN925" s="121"/>
      <c r="LM925" t="str">
        <v/>
      </c>
      <c r="LN925" t="str">
        <v/>
      </c>
      <c r="LO925" t="str">
        <v/>
      </c>
    </row>
    <row r="926" spans="30:327">
      <c r="AD926" t="s">
        <v>114</v>
      </c>
      <c r="AE926" t="s">
        <v>23069</v>
      </c>
      <c r="AF926" s="46">
        <v>0</v>
      </c>
      <c r="AG926" s="113"/>
      <c r="AH926" s="113"/>
      <c r="AI926" s="113"/>
      <c r="AJ926" s="113"/>
      <c r="AK926" s="113"/>
      <c r="AL926" s="46">
        <v>0</v>
      </c>
      <c r="AM926" s="113"/>
      <c r="AN926" s="113"/>
      <c r="AO926" s="113"/>
      <c r="AP926" s="113"/>
      <c r="AQ926" s="113"/>
      <c r="AR926" s="46">
        <v>0</v>
      </c>
      <c r="AS926" s="113"/>
      <c r="AT926" s="113"/>
      <c r="AU926" s="113"/>
      <c r="AV926" s="113"/>
      <c r="AW926" s="113"/>
      <c r="AX926" s="46">
        <v>0</v>
      </c>
      <c r="AY926" s="113"/>
      <c r="AZ926" s="113"/>
      <c r="BA926" s="113"/>
      <c r="BB926" s="113"/>
      <c r="BC926" s="113"/>
      <c r="BD926" s="46">
        <v>0</v>
      </c>
      <c r="BE926" s="113"/>
      <c r="BF926" s="113"/>
      <c r="BG926" s="113"/>
      <c r="BH926" s="113"/>
      <c r="BI926" s="113"/>
      <c r="BJ926" s="46">
        <v>0</v>
      </c>
      <c r="BK926" s="113"/>
      <c r="BL926" s="113"/>
      <c r="BM926" s="113"/>
      <c r="BN926" s="113"/>
      <c r="BO926" s="113"/>
      <c r="BP926" s="121"/>
      <c r="BQ926" s="121"/>
      <c r="GA926" t="s">
        <v>114</v>
      </c>
      <c r="GB926" t="s">
        <v>23069</v>
      </c>
      <c r="GC926" s="46">
        <v>0</v>
      </c>
      <c r="GD926" s="113"/>
      <c r="GE926" s="113"/>
      <c r="GF926" s="113"/>
      <c r="GG926" s="113"/>
      <c r="GH926" s="113"/>
      <c r="GI926" s="46">
        <v>0</v>
      </c>
      <c r="GJ926" s="113"/>
      <c r="GK926" s="113"/>
      <c r="GL926" s="113"/>
      <c r="GM926" s="113"/>
      <c r="GN926" s="113"/>
      <c r="GO926" s="46">
        <v>0</v>
      </c>
      <c r="GP926" s="113"/>
      <c r="GQ926" s="113"/>
      <c r="GR926" s="113"/>
      <c r="GS926" s="113"/>
      <c r="GT926" s="113"/>
      <c r="GU926" s="46">
        <v>0</v>
      </c>
      <c r="GV926" s="113"/>
      <c r="GW926" s="113"/>
      <c r="GX926" s="113"/>
      <c r="GY926" s="113"/>
      <c r="GZ926" s="113"/>
      <c r="HA926" s="46">
        <v>0</v>
      </c>
      <c r="HB926" s="113"/>
      <c r="HC926" s="113"/>
      <c r="HD926" s="113"/>
      <c r="HE926" s="113"/>
      <c r="HF926" s="113"/>
      <c r="HG926" s="46">
        <v>0</v>
      </c>
      <c r="HH926" s="113"/>
      <c r="HI926" s="113"/>
      <c r="HJ926" s="113"/>
      <c r="HK926" s="113"/>
      <c r="HL926" s="113"/>
      <c r="HM926" s="121"/>
      <c r="HN926" s="121"/>
      <c r="LM926" t="str">
        <v/>
      </c>
      <c r="LN926" t="str">
        <v/>
      </c>
      <c r="LO926" t="str">
        <v/>
      </c>
    </row>
    <row r="927" spans="30:327">
      <c r="AD927" t="s">
        <v>114</v>
      </c>
      <c r="AE927" t="s">
        <v>23070</v>
      </c>
      <c r="AF927" s="46">
        <v>0</v>
      </c>
      <c r="AG927" s="113"/>
      <c r="AH927" s="113"/>
      <c r="AI927" s="113"/>
      <c r="AJ927" s="113"/>
      <c r="AK927" s="113"/>
      <c r="AL927" s="46">
        <v>0</v>
      </c>
      <c r="AM927" s="113"/>
      <c r="AN927" s="113"/>
      <c r="AO927" s="113"/>
      <c r="AP927" s="113"/>
      <c r="AQ927" s="113"/>
      <c r="AR927" s="46">
        <v>0</v>
      </c>
      <c r="AS927" s="113"/>
      <c r="AT927" s="113"/>
      <c r="AU927" s="113"/>
      <c r="AV927" s="113"/>
      <c r="AW927" s="113"/>
      <c r="AX927" s="46">
        <v>0</v>
      </c>
      <c r="AY927" s="113"/>
      <c r="AZ927" s="113"/>
      <c r="BA927" s="113"/>
      <c r="BB927" s="113"/>
      <c r="BC927" s="113"/>
      <c r="BD927" s="46">
        <v>0</v>
      </c>
      <c r="BE927" s="113"/>
      <c r="BF927" s="113"/>
      <c r="BG927" s="113"/>
      <c r="BH927" s="113"/>
      <c r="BI927" s="113"/>
      <c r="BJ927" s="46">
        <v>0</v>
      </c>
      <c r="BK927" s="113"/>
      <c r="BL927" s="113"/>
      <c r="BM927" s="113"/>
      <c r="BN927" s="113"/>
      <c r="BO927" s="113"/>
      <c r="BP927" s="121"/>
      <c r="BQ927" s="121"/>
      <c r="GA927" t="s">
        <v>114</v>
      </c>
      <c r="GB927" t="s">
        <v>23070</v>
      </c>
      <c r="GC927" s="46">
        <v>0</v>
      </c>
      <c r="GD927" s="113"/>
      <c r="GE927" s="113"/>
      <c r="GF927" s="113"/>
      <c r="GG927" s="113"/>
      <c r="GH927" s="113"/>
      <c r="GI927" s="46">
        <v>0</v>
      </c>
      <c r="GJ927" s="113"/>
      <c r="GK927" s="113"/>
      <c r="GL927" s="113"/>
      <c r="GM927" s="113"/>
      <c r="GN927" s="113"/>
      <c r="GO927" s="46">
        <v>0</v>
      </c>
      <c r="GP927" s="113"/>
      <c r="GQ927" s="113"/>
      <c r="GR927" s="113"/>
      <c r="GS927" s="113"/>
      <c r="GT927" s="113"/>
      <c r="GU927" s="46">
        <v>0</v>
      </c>
      <c r="GV927" s="113"/>
      <c r="GW927" s="113"/>
      <c r="GX927" s="113"/>
      <c r="GY927" s="113"/>
      <c r="GZ927" s="113"/>
      <c r="HA927" s="46">
        <v>0</v>
      </c>
      <c r="HB927" s="113"/>
      <c r="HC927" s="113"/>
      <c r="HD927" s="113"/>
      <c r="HE927" s="113"/>
      <c r="HF927" s="113"/>
      <c r="HG927" s="46">
        <v>0</v>
      </c>
      <c r="HH927" s="113"/>
      <c r="HI927" s="113"/>
      <c r="HJ927" s="113"/>
      <c r="HK927" s="113"/>
      <c r="HL927" s="113"/>
      <c r="HM927" s="121"/>
      <c r="HN927" s="121"/>
      <c r="LM927" t="str">
        <v/>
      </c>
      <c r="LN927" t="str">
        <v/>
      </c>
      <c r="LO927" t="str">
        <v/>
      </c>
    </row>
    <row r="928" spans="30:327">
      <c r="AD928" t="s">
        <v>114</v>
      </c>
      <c r="AE928" t="s">
        <v>23071</v>
      </c>
      <c r="AF928" s="46">
        <v>0</v>
      </c>
      <c r="AG928" s="113"/>
      <c r="AH928" s="113"/>
      <c r="AI928" s="113"/>
      <c r="AJ928" s="113"/>
      <c r="AK928" s="113"/>
      <c r="AL928" s="46">
        <v>0</v>
      </c>
      <c r="AM928" s="113"/>
      <c r="AN928" s="113"/>
      <c r="AO928" s="113"/>
      <c r="AP928" s="113"/>
      <c r="AQ928" s="113"/>
      <c r="AR928" s="46">
        <v>0</v>
      </c>
      <c r="AS928" s="113"/>
      <c r="AT928" s="113"/>
      <c r="AU928" s="113"/>
      <c r="AV928" s="113"/>
      <c r="AW928" s="113"/>
      <c r="AX928" s="46">
        <v>0</v>
      </c>
      <c r="AY928" s="113"/>
      <c r="AZ928" s="113"/>
      <c r="BA928" s="113"/>
      <c r="BB928" s="113"/>
      <c r="BC928" s="113"/>
      <c r="BD928" s="46">
        <v>0</v>
      </c>
      <c r="BE928" s="113"/>
      <c r="BF928" s="113"/>
      <c r="BG928" s="113"/>
      <c r="BH928" s="113"/>
      <c r="BI928" s="113"/>
      <c r="BJ928" s="46">
        <v>0</v>
      </c>
      <c r="BK928" s="113"/>
      <c r="BL928" s="113"/>
      <c r="BM928" s="113"/>
      <c r="BN928" s="113"/>
      <c r="BO928" s="113"/>
      <c r="BP928" s="121"/>
      <c r="BQ928" s="121"/>
      <c r="GA928" t="s">
        <v>114</v>
      </c>
      <c r="GB928" t="s">
        <v>23071</v>
      </c>
      <c r="GC928" s="46">
        <v>0</v>
      </c>
      <c r="GD928" s="113"/>
      <c r="GE928" s="113"/>
      <c r="GF928" s="113"/>
      <c r="GG928" s="113"/>
      <c r="GH928" s="113"/>
      <c r="GI928" s="46">
        <v>0</v>
      </c>
      <c r="GJ928" s="113"/>
      <c r="GK928" s="113"/>
      <c r="GL928" s="113"/>
      <c r="GM928" s="113"/>
      <c r="GN928" s="113"/>
      <c r="GO928" s="46">
        <v>0</v>
      </c>
      <c r="GP928" s="113"/>
      <c r="GQ928" s="113"/>
      <c r="GR928" s="113"/>
      <c r="GS928" s="113"/>
      <c r="GT928" s="113"/>
      <c r="GU928" s="46">
        <v>0</v>
      </c>
      <c r="GV928" s="113"/>
      <c r="GW928" s="113"/>
      <c r="GX928" s="113"/>
      <c r="GY928" s="113"/>
      <c r="GZ928" s="113"/>
      <c r="HA928" s="46">
        <v>0</v>
      </c>
      <c r="HB928" s="113"/>
      <c r="HC928" s="113"/>
      <c r="HD928" s="113"/>
      <c r="HE928" s="113"/>
      <c r="HF928" s="113"/>
      <c r="HG928" s="46">
        <v>0</v>
      </c>
      <c r="HH928" s="113"/>
      <c r="HI928" s="113"/>
      <c r="HJ928" s="113"/>
      <c r="HK928" s="113"/>
      <c r="HL928" s="113"/>
      <c r="HM928" s="121"/>
      <c r="HN928" s="121"/>
      <c r="LM928" t="str">
        <v/>
      </c>
      <c r="LN928" t="str">
        <v/>
      </c>
      <c r="LO928" t="str">
        <v/>
      </c>
    </row>
    <row r="929" spans="30:327">
      <c r="AD929" t="s">
        <v>114</v>
      </c>
      <c r="AE929" t="s">
        <v>23072</v>
      </c>
      <c r="AF929" s="46">
        <v>0</v>
      </c>
      <c r="AG929" s="113"/>
      <c r="AH929" s="113"/>
      <c r="AI929" s="113"/>
      <c r="AJ929" s="113"/>
      <c r="AK929" s="113"/>
      <c r="AL929" s="46">
        <v>0</v>
      </c>
      <c r="AM929" s="113"/>
      <c r="AN929" s="113"/>
      <c r="AO929" s="113"/>
      <c r="AP929" s="113"/>
      <c r="AQ929" s="113"/>
      <c r="AR929" s="46">
        <v>0</v>
      </c>
      <c r="AS929" s="113"/>
      <c r="AT929" s="113"/>
      <c r="AU929" s="113"/>
      <c r="AV929" s="113"/>
      <c r="AW929" s="113"/>
      <c r="AX929" s="46">
        <v>0</v>
      </c>
      <c r="AY929" s="113"/>
      <c r="AZ929" s="113"/>
      <c r="BA929" s="113"/>
      <c r="BB929" s="113"/>
      <c r="BC929" s="113"/>
      <c r="BD929" s="46">
        <v>0</v>
      </c>
      <c r="BE929" s="113"/>
      <c r="BF929" s="113"/>
      <c r="BG929" s="113"/>
      <c r="BH929" s="113"/>
      <c r="BI929" s="113"/>
      <c r="BJ929" s="46">
        <v>0</v>
      </c>
      <c r="BK929" s="113"/>
      <c r="BL929" s="113"/>
      <c r="BM929" s="113"/>
      <c r="BN929" s="113"/>
      <c r="BO929" s="113"/>
      <c r="BP929" s="121"/>
      <c r="BQ929" s="121"/>
      <c r="GA929" t="s">
        <v>114</v>
      </c>
      <c r="GB929" t="s">
        <v>23072</v>
      </c>
      <c r="GC929" s="46">
        <v>0</v>
      </c>
      <c r="GD929" s="113"/>
      <c r="GE929" s="113"/>
      <c r="GF929" s="113"/>
      <c r="GG929" s="113"/>
      <c r="GH929" s="113"/>
      <c r="GI929" s="46">
        <v>0</v>
      </c>
      <c r="GJ929" s="113"/>
      <c r="GK929" s="113"/>
      <c r="GL929" s="113"/>
      <c r="GM929" s="113"/>
      <c r="GN929" s="113"/>
      <c r="GO929" s="46">
        <v>0</v>
      </c>
      <c r="GP929" s="113"/>
      <c r="GQ929" s="113"/>
      <c r="GR929" s="113"/>
      <c r="GS929" s="113"/>
      <c r="GT929" s="113"/>
      <c r="GU929" s="46">
        <v>0</v>
      </c>
      <c r="GV929" s="113"/>
      <c r="GW929" s="113"/>
      <c r="GX929" s="113"/>
      <c r="GY929" s="113"/>
      <c r="GZ929" s="113"/>
      <c r="HA929" s="46">
        <v>0</v>
      </c>
      <c r="HB929" s="113"/>
      <c r="HC929" s="113"/>
      <c r="HD929" s="113"/>
      <c r="HE929" s="113"/>
      <c r="HF929" s="113"/>
      <c r="HG929" s="46">
        <v>0</v>
      </c>
      <c r="HH929" s="113"/>
      <c r="HI929" s="113"/>
      <c r="HJ929" s="113"/>
      <c r="HK929" s="113"/>
      <c r="HL929" s="113"/>
      <c r="HM929" s="121"/>
      <c r="HN929" s="121"/>
      <c r="LM929" t="str">
        <v/>
      </c>
      <c r="LN929" t="str">
        <v/>
      </c>
      <c r="LO929" t="str">
        <v/>
      </c>
    </row>
    <row r="930" spans="30:327">
      <c r="AD930" t="s">
        <v>114</v>
      </c>
      <c r="AE930" t="s">
        <v>23073</v>
      </c>
      <c r="AF930" s="46">
        <v>0</v>
      </c>
      <c r="AG930" s="113"/>
      <c r="AH930" s="113"/>
      <c r="AI930" s="113"/>
      <c r="AJ930" s="113"/>
      <c r="AK930" s="113"/>
      <c r="AL930" s="46">
        <v>0</v>
      </c>
      <c r="AM930" s="113"/>
      <c r="AN930" s="113"/>
      <c r="AO930" s="113"/>
      <c r="AP930" s="113"/>
      <c r="AQ930" s="113"/>
      <c r="AR930" s="46">
        <v>0</v>
      </c>
      <c r="AS930" s="113"/>
      <c r="AT930" s="113"/>
      <c r="AU930" s="113"/>
      <c r="AV930" s="113"/>
      <c r="AW930" s="113"/>
      <c r="AX930" s="46">
        <v>0</v>
      </c>
      <c r="AY930" s="113"/>
      <c r="AZ930" s="113"/>
      <c r="BA930" s="113"/>
      <c r="BB930" s="113"/>
      <c r="BC930" s="113"/>
      <c r="BD930" s="46">
        <v>0</v>
      </c>
      <c r="BE930" s="113"/>
      <c r="BF930" s="113"/>
      <c r="BG930" s="113"/>
      <c r="BH930" s="113"/>
      <c r="BI930" s="113"/>
      <c r="BJ930" s="46">
        <v>0</v>
      </c>
      <c r="BK930" s="113"/>
      <c r="BL930" s="113"/>
      <c r="BM930" s="113"/>
      <c r="BN930" s="113"/>
      <c r="BO930" s="113"/>
      <c r="BP930" s="121"/>
      <c r="BQ930" s="121"/>
      <c r="GA930" t="s">
        <v>114</v>
      </c>
      <c r="GB930" t="s">
        <v>23073</v>
      </c>
      <c r="GC930" s="46">
        <v>0</v>
      </c>
      <c r="GD930" s="113"/>
      <c r="GE930" s="113"/>
      <c r="GF930" s="113"/>
      <c r="GG930" s="113"/>
      <c r="GH930" s="113"/>
      <c r="GI930" s="46">
        <v>0</v>
      </c>
      <c r="GJ930" s="113"/>
      <c r="GK930" s="113"/>
      <c r="GL930" s="113"/>
      <c r="GM930" s="113"/>
      <c r="GN930" s="113"/>
      <c r="GO930" s="46">
        <v>0</v>
      </c>
      <c r="GP930" s="113"/>
      <c r="GQ930" s="113"/>
      <c r="GR930" s="113"/>
      <c r="GS930" s="113"/>
      <c r="GT930" s="113"/>
      <c r="GU930" s="46">
        <v>0</v>
      </c>
      <c r="GV930" s="113"/>
      <c r="GW930" s="113"/>
      <c r="GX930" s="113"/>
      <c r="GY930" s="113"/>
      <c r="GZ930" s="113"/>
      <c r="HA930" s="46">
        <v>0</v>
      </c>
      <c r="HB930" s="113"/>
      <c r="HC930" s="113"/>
      <c r="HD930" s="113"/>
      <c r="HE930" s="113"/>
      <c r="HF930" s="113"/>
      <c r="HG930" s="46">
        <v>0</v>
      </c>
      <c r="HH930" s="113"/>
      <c r="HI930" s="113"/>
      <c r="HJ930" s="113"/>
      <c r="HK930" s="113"/>
      <c r="HL930" s="113"/>
      <c r="HM930" s="121"/>
      <c r="HN930" s="121"/>
      <c r="LM930" t="str">
        <v/>
      </c>
      <c r="LN930" t="str">
        <v/>
      </c>
      <c r="LO930" t="str">
        <v/>
      </c>
    </row>
    <row r="931" spans="30:327">
      <c r="AD931" t="s">
        <v>114</v>
      </c>
      <c r="AE931" t="s">
        <v>23074</v>
      </c>
      <c r="AF931" s="46">
        <v>0</v>
      </c>
      <c r="AG931" s="113"/>
      <c r="AH931" s="113"/>
      <c r="AI931" s="113"/>
      <c r="AJ931" s="113"/>
      <c r="AK931" s="113"/>
      <c r="AL931" s="46">
        <v>0</v>
      </c>
      <c r="AM931" s="113"/>
      <c r="AN931" s="113"/>
      <c r="AO931" s="113"/>
      <c r="AP931" s="113"/>
      <c r="AQ931" s="113"/>
      <c r="AR931" s="46">
        <v>0</v>
      </c>
      <c r="AS931" s="113"/>
      <c r="AT931" s="113"/>
      <c r="AU931" s="113"/>
      <c r="AV931" s="113"/>
      <c r="AW931" s="113"/>
      <c r="AX931" s="46">
        <v>0</v>
      </c>
      <c r="AY931" s="113"/>
      <c r="AZ931" s="113"/>
      <c r="BA931" s="113"/>
      <c r="BB931" s="113"/>
      <c r="BC931" s="113"/>
      <c r="BD931" s="46">
        <v>0</v>
      </c>
      <c r="BE931" s="113"/>
      <c r="BF931" s="113"/>
      <c r="BG931" s="113"/>
      <c r="BH931" s="113"/>
      <c r="BI931" s="113"/>
      <c r="BJ931" s="46">
        <v>0</v>
      </c>
      <c r="BK931" s="113"/>
      <c r="BL931" s="113"/>
      <c r="BM931" s="113"/>
      <c r="BN931" s="113"/>
      <c r="BO931" s="113"/>
      <c r="BP931" s="121"/>
      <c r="BQ931" s="121"/>
      <c r="GA931" t="s">
        <v>114</v>
      </c>
      <c r="GB931" t="s">
        <v>23074</v>
      </c>
      <c r="GC931" s="46">
        <v>0</v>
      </c>
      <c r="GD931" s="113"/>
      <c r="GE931" s="113"/>
      <c r="GF931" s="113"/>
      <c r="GG931" s="113"/>
      <c r="GH931" s="113"/>
      <c r="GI931" s="46">
        <v>0</v>
      </c>
      <c r="GJ931" s="113"/>
      <c r="GK931" s="113"/>
      <c r="GL931" s="113"/>
      <c r="GM931" s="113"/>
      <c r="GN931" s="113"/>
      <c r="GO931" s="46">
        <v>0</v>
      </c>
      <c r="GP931" s="113"/>
      <c r="GQ931" s="113"/>
      <c r="GR931" s="113"/>
      <c r="GS931" s="113"/>
      <c r="GT931" s="113"/>
      <c r="GU931" s="46">
        <v>0</v>
      </c>
      <c r="GV931" s="113"/>
      <c r="GW931" s="113"/>
      <c r="GX931" s="113"/>
      <c r="GY931" s="113"/>
      <c r="GZ931" s="113"/>
      <c r="HA931" s="46">
        <v>0</v>
      </c>
      <c r="HB931" s="113"/>
      <c r="HC931" s="113"/>
      <c r="HD931" s="113"/>
      <c r="HE931" s="113"/>
      <c r="HF931" s="113"/>
      <c r="HG931" s="46">
        <v>0</v>
      </c>
      <c r="HH931" s="113"/>
      <c r="HI931" s="113"/>
      <c r="HJ931" s="113"/>
      <c r="HK931" s="113"/>
      <c r="HL931" s="113"/>
      <c r="HM931" s="121"/>
      <c r="HN931" s="121"/>
      <c r="LM931" t="str">
        <v/>
      </c>
      <c r="LN931" t="str">
        <v/>
      </c>
      <c r="LO931" t="str">
        <v/>
      </c>
    </row>
    <row r="932" spans="30:327">
      <c r="AD932" t="s">
        <v>114</v>
      </c>
      <c r="AE932" t="s">
        <v>23075</v>
      </c>
      <c r="AF932" s="46">
        <v>0</v>
      </c>
      <c r="AG932" s="113"/>
      <c r="AH932" s="113"/>
      <c r="AI932" s="113"/>
      <c r="AJ932" s="113"/>
      <c r="AK932" s="113"/>
      <c r="AL932" s="46">
        <v>0</v>
      </c>
      <c r="AM932" s="113"/>
      <c r="AN932" s="113"/>
      <c r="AO932" s="113"/>
      <c r="AP932" s="113"/>
      <c r="AQ932" s="113"/>
      <c r="AR932" s="46">
        <v>0</v>
      </c>
      <c r="AS932" s="113"/>
      <c r="AT932" s="113"/>
      <c r="AU932" s="113"/>
      <c r="AV932" s="113"/>
      <c r="AW932" s="113"/>
      <c r="AX932" s="46">
        <v>0</v>
      </c>
      <c r="AY932" s="113"/>
      <c r="AZ932" s="113"/>
      <c r="BA932" s="113"/>
      <c r="BB932" s="113"/>
      <c r="BC932" s="113"/>
      <c r="BD932" s="46">
        <v>0</v>
      </c>
      <c r="BE932" s="113"/>
      <c r="BF932" s="113"/>
      <c r="BG932" s="113"/>
      <c r="BH932" s="113"/>
      <c r="BI932" s="113"/>
      <c r="BJ932" s="46">
        <v>0</v>
      </c>
      <c r="BK932" s="113"/>
      <c r="BL932" s="113"/>
      <c r="BM932" s="113"/>
      <c r="BN932" s="113"/>
      <c r="BO932" s="113"/>
      <c r="BP932" s="121"/>
      <c r="BQ932" s="121"/>
      <c r="GA932" t="s">
        <v>114</v>
      </c>
      <c r="GB932" t="s">
        <v>23075</v>
      </c>
      <c r="GC932" s="46">
        <v>0</v>
      </c>
      <c r="GD932" s="113"/>
      <c r="GE932" s="113"/>
      <c r="GF932" s="113"/>
      <c r="GG932" s="113"/>
      <c r="GH932" s="113"/>
      <c r="GI932" s="46">
        <v>0</v>
      </c>
      <c r="GJ932" s="113"/>
      <c r="GK932" s="113"/>
      <c r="GL932" s="113"/>
      <c r="GM932" s="113"/>
      <c r="GN932" s="113"/>
      <c r="GO932" s="46">
        <v>0</v>
      </c>
      <c r="GP932" s="113"/>
      <c r="GQ932" s="113"/>
      <c r="GR932" s="113"/>
      <c r="GS932" s="113"/>
      <c r="GT932" s="113"/>
      <c r="GU932" s="46">
        <v>0</v>
      </c>
      <c r="GV932" s="113"/>
      <c r="GW932" s="113"/>
      <c r="GX932" s="113"/>
      <c r="GY932" s="113"/>
      <c r="GZ932" s="113"/>
      <c r="HA932" s="46">
        <v>0</v>
      </c>
      <c r="HB932" s="113"/>
      <c r="HC932" s="113"/>
      <c r="HD932" s="113"/>
      <c r="HE932" s="113"/>
      <c r="HF932" s="113"/>
      <c r="HG932" s="46">
        <v>0</v>
      </c>
      <c r="HH932" s="113"/>
      <c r="HI932" s="113"/>
      <c r="HJ932" s="113"/>
      <c r="HK932" s="113"/>
      <c r="HL932" s="113"/>
      <c r="HM932" s="121"/>
      <c r="HN932" s="121"/>
      <c r="LM932" t="str">
        <v/>
      </c>
      <c r="LN932" t="str">
        <v/>
      </c>
      <c r="LO932" t="str">
        <v/>
      </c>
    </row>
    <row r="933" spans="30:327">
      <c r="AD933" t="s">
        <v>114</v>
      </c>
      <c r="AE933" t="s">
        <v>23076</v>
      </c>
      <c r="AF933" s="46">
        <v>0</v>
      </c>
      <c r="AG933" s="113"/>
      <c r="AH933" s="113"/>
      <c r="AI933" s="113"/>
      <c r="AJ933" s="113"/>
      <c r="AK933" s="113"/>
      <c r="AL933" s="46">
        <v>0</v>
      </c>
      <c r="AM933" s="113"/>
      <c r="AN933" s="113"/>
      <c r="AO933" s="113"/>
      <c r="AP933" s="113"/>
      <c r="AQ933" s="113"/>
      <c r="AR933" s="46">
        <v>0</v>
      </c>
      <c r="AS933" s="113"/>
      <c r="AT933" s="113"/>
      <c r="AU933" s="113"/>
      <c r="AV933" s="113"/>
      <c r="AW933" s="113"/>
      <c r="AX933" s="46">
        <v>0</v>
      </c>
      <c r="AY933" s="113"/>
      <c r="AZ933" s="113"/>
      <c r="BA933" s="113"/>
      <c r="BB933" s="113"/>
      <c r="BC933" s="113"/>
      <c r="BD933" s="46">
        <v>0</v>
      </c>
      <c r="BE933" s="113"/>
      <c r="BF933" s="113"/>
      <c r="BG933" s="113"/>
      <c r="BH933" s="113"/>
      <c r="BI933" s="113"/>
      <c r="BJ933" s="46">
        <v>0</v>
      </c>
      <c r="BK933" s="113"/>
      <c r="BL933" s="113"/>
      <c r="BM933" s="113"/>
      <c r="BN933" s="113"/>
      <c r="BO933" s="113"/>
      <c r="BP933" s="121"/>
      <c r="BQ933" s="121"/>
      <c r="GA933" t="s">
        <v>114</v>
      </c>
      <c r="GB933" t="s">
        <v>23076</v>
      </c>
      <c r="GC933" s="46">
        <v>0</v>
      </c>
      <c r="GD933" s="113"/>
      <c r="GE933" s="113"/>
      <c r="GF933" s="113"/>
      <c r="GG933" s="113"/>
      <c r="GH933" s="113"/>
      <c r="GI933" s="46">
        <v>0</v>
      </c>
      <c r="GJ933" s="113"/>
      <c r="GK933" s="113"/>
      <c r="GL933" s="113"/>
      <c r="GM933" s="113"/>
      <c r="GN933" s="113"/>
      <c r="GO933" s="46">
        <v>0</v>
      </c>
      <c r="GP933" s="113"/>
      <c r="GQ933" s="113"/>
      <c r="GR933" s="113"/>
      <c r="GS933" s="113"/>
      <c r="GT933" s="113"/>
      <c r="GU933" s="46">
        <v>0</v>
      </c>
      <c r="GV933" s="113"/>
      <c r="GW933" s="113"/>
      <c r="GX933" s="113"/>
      <c r="GY933" s="113"/>
      <c r="GZ933" s="113"/>
      <c r="HA933" s="46">
        <v>0</v>
      </c>
      <c r="HB933" s="113"/>
      <c r="HC933" s="113"/>
      <c r="HD933" s="113"/>
      <c r="HE933" s="113"/>
      <c r="HF933" s="113"/>
      <c r="HG933" s="46">
        <v>0</v>
      </c>
      <c r="HH933" s="113"/>
      <c r="HI933" s="113"/>
      <c r="HJ933" s="113"/>
      <c r="HK933" s="113"/>
      <c r="HL933" s="113"/>
      <c r="HM933" s="121"/>
      <c r="HN933" s="121"/>
      <c r="LM933" t="str">
        <v/>
      </c>
      <c r="LN933" t="str">
        <v/>
      </c>
      <c r="LO933" t="str">
        <v/>
      </c>
    </row>
    <row r="934" spans="30:327">
      <c r="AD934" t="s">
        <v>114</v>
      </c>
      <c r="AE934" t="s">
        <v>23077</v>
      </c>
      <c r="AF934" s="46">
        <v>0</v>
      </c>
      <c r="AG934" s="113"/>
      <c r="AH934" s="113"/>
      <c r="AI934" s="113"/>
      <c r="AJ934" s="113"/>
      <c r="AK934" s="113"/>
      <c r="AL934" s="46">
        <v>0</v>
      </c>
      <c r="AM934" s="113"/>
      <c r="AN934" s="113"/>
      <c r="AO934" s="113"/>
      <c r="AP934" s="113"/>
      <c r="AQ934" s="113"/>
      <c r="AR934" s="46">
        <v>0</v>
      </c>
      <c r="AS934" s="113"/>
      <c r="AT934" s="113"/>
      <c r="AU934" s="113"/>
      <c r="AV934" s="113"/>
      <c r="AW934" s="113"/>
      <c r="AX934" s="46">
        <v>0</v>
      </c>
      <c r="AY934" s="113"/>
      <c r="AZ934" s="113"/>
      <c r="BA934" s="113"/>
      <c r="BB934" s="113"/>
      <c r="BC934" s="113"/>
      <c r="BD934" s="46">
        <v>0</v>
      </c>
      <c r="BE934" s="113"/>
      <c r="BF934" s="113"/>
      <c r="BG934" s="113"/>
      <c r="BH934" s="113"/>
      <c r="BI934" s="113"/>
      <c r="BJ934" s="46">
        <v>0</v>
      </c>
      <c r="BK934" s="113"/>
      <c r="BL934" s="113"/>
      <c r="BM934" s="113"/>
      <c r="BN934" s="113"/>
      <c r="BO934" s="113"/>
      <c r="BP934" s="121"/>
      <c r="BQ934" s="121"/>
      <c r="GA934" t="s">
        <v>114</v>
      </c>
      <c r="GB934" t="s">
        <v>23077</v>
      </c>
      <c r="GC934" s="46">
        <v>0</v>
      </c>
      <c r="GD934" s="113"/>
      <c r="GE934" s="113"/>
      <c r="GF934" s="113"/>
      <c r="GG934" s="113"/>
      <c r="GH934" s="113"/>
      <c r="GI934" s="46">
        <v>0</v>
      </c>
      <c r="GJ934" s="113"/>
      <c r="GK934" s="113"/>
      <c r="GL934" s="113"/>
      <c r="GM934" s="113"/>
      <c r="GN934" s="113"/>
      <c r="GO934" s="46">
        <v>0</v>
      </c>
      <c r="GP934" s="113"/>
      <c r="GQ934" s="113"/>
      <c r="GR934" s="113"/>
      <c r="GS934" s="113"/>
      <c r="GT934" s="113"/>
      <c r="GU934" s="46">
        <v>0</v>
      </c>
      <c r="GV934" s="113"/>
      <c r="GW934" s="113"/>
      <c r="GX934" s="113"/>
      <c r="GY934" s="113"/>
      <c r="GZ934" s="113"/>
      <c r="HA934" s="46">
        <v>0</v>
      </c>
      <c r="HB934" s="113"/>
      <c r="HC934" s="113"/>
      <c r="HD934" s="113"/>
      <c r="HE934" s="113"/>
      <c r="HF934" s="113"/>
      <c r="HG934" s="46">
        <v>0</v>
      </c>
      <c r="HH934" s="113"/>
      <c r="HI934" s="113"/>
      <c r="HJ934" s="113"/>
      <c r="HK934" s="113"/>
      <c r="HL934" s="113"/>
      <c r="HM934" s="121"/>
      <c r="HN934" s="121"/>
      <c r="LM934" t="str">
        <v/>
      </c>
      <c r="LN934" t="str">
        <v/>
      </c>
      <c r="LO934" t="str">
        <v/>
      </c>
    </row>
    <row r="935" spans="30:327">
      <c r="AD935" t="s">
        <v>114</v>
      </c>
      <c r="AE935" t="s">
        <v>23078</v>
      </c>
      <c r="AF935" s="46">
        <v>0</v>
      </c>
      <c r="AG935" s="113"/>
      <c r="AH935" s="113"/>
      <c r="AI935" s="113"/>
      <c r="AJ935" s="113"/>
      <c r="AK935" s="113"/>
      <c r="AL935" s="46">
        <v>0</v>
      </c>
      <c r="AM935" s="113"/>
      <c r="AN935" s="113"/>
      <c r="AO935" s="113"/>
      <c r="AP935" s="113"/>
      <c r="AQ935" s="113"/>
      <c r="AR935" s="46">
        <v>0</v>
      </c>
      <c r="AS935" s="113"/>
      <c r="AT935" s="113"/>
      <c r="AU935" s="113"/>
      <c r="AV935" s="113"/>
      <c r="AW935" s="113"/>
      <c r="AX935" s="46">
        <v>0</v>
      </c>
      <c r="AY935" s="113"/>
      <c r="AZ935" s="113"/>
      <c r="BA935" s="113"/>
      <c r="BB935" s="113"/>
      <c r="BC935" s="113"/>
      <c r="BD935" s="46">
        <v>0</v>
      </c>
      <c r="BE935" s="113"/>
      <c r="BF935" s="113"/>
      <c r="BG935" s="113"/>
      <c r="BH935" s="113"/>
      <c r="BI935" s="113"/>
      <c r="BJ935" s="46">
        <v>0</v>
      </c>
      <c r="BK935" s="113"/>
      <c r="BL935" s="113"/>
      <c r="BM935" s="113"/>
      <c r="BN935" s="113"/>
      <c r="BO935" s="113"/>
      <c r="BP935" s="121"/>
      <c r="BQ935" s="121"/>
      <c r="GA935" t="s">
        <v>114</v>
      </c>
      <c r="GB935" t="s">
        <v>23078</v>
      </c>
      <c r="GC935" s="46">
        <v>0</v>
      </c>
      <c r="GD935" s="113"/>
      <c r="GE935" s="113"/>
      <c r="GF935" s="113"/>
      <c r="GG935" s="113"/>
      <c r="GH935" s="113"/>
      <c r="GI935" s="46">
        <v>0</v>
      </c>
      <c r="GJ935" s="113"/>
      <c r="GK935" s="113"/>
      <c r="GL935" s="113"/>
      <c r="GM935" s="113"/>
      <c r="GN935" s="113"/>
      <c r="GO935" s="46">
        <v>0</v>
      </c>
      <c r="GP935" s="113"/>
      <c r="GQ935" s="113"/>
      <c r="GR935" s="113"/>
      <c r="GS935" s="113"/>
      <c r="GT935" s="113"/>
      <c r="GU935" s="46">
        <v>0</v>
      </c>
      <c r="GV935" s="113"/>
      <c r="GW935" s="113"/>
      <c r="GX935" s="113"/>
      <c r="GY935" s="113"/>
      <c r="GZ935" s="113"/>
      <c r="HA935" s="46">
        <v>0</v>
      </c>
      <c r="HB935" s="113"/>
      <c r="HC935" s="113"/>
      <c r="HD935" s="113"/>
      <c r="HE935" s="113"/>
      <c r="HF935" s="113"/>
      <c r="HG935" s="46">
        <v>0</v>
      </c>
      <c r="HH935" s="113"/>
      <c r="HI935" s="113"/>
      <c r="HJ935" s="113"/>
      <c r="HK935" s="113"/>
      <c r="HL935" s="113"/>
      <c r="HM935" s="121"/>
      <c r="HN935" s="121"/>
      <c r="LM935" t="str">
        <v/>
      </c>
      <c r="LN935" t="str">
        <v/>
      </c>
      <c r="LO935" t="str">
        <v/>
      </c>
    </row>
    <row r="936" spans="30:327">
      <c r="AD936" t="s">
        <v>114</v>
      </c>
      <c r="AE936" t="s">
        <v>23079</v>
      </c>
      <c r="AF936" s="46">
        <v>0</v>
      </c>
      <c r="AG936" s="113"/>
      <c r="AH936" s="113"/>
      <c r="AI936" s="113"/>
      <c r="AJ936" s="113"/>
      <c r="AK936" s="113"/>
      <c r="AL936" s="46">
        <v>0</v>
      </c>
      <c r="AM936" s="113"/>
      <c r="AN936" s="113"/>
      <c r="AO936" s="113"/>
      <c r="AP936" s="113"/>
      <c r="AQ936" s="113"/>
      <c r="AR936" s="46">
        <v>0</v>
      </c>
      <c r="AS936" s="113"/>
      <c r="AT936" s="113"/>
      <c r="AU936" s="113"/>
      <c r="AV936" s="113"/>
      <c r="AW936" s="113"/>
      <c r="AX936" s="46">
        <v>0</v>
      </c>
      <c r="AY936" s="113"/>
      <c r="AZ936" s="113"/>
      <c r="BA936" s="113"/>
      <c r="BB936" s="113"/>
      <c r="BC936" s="113"/>
      <c r="BD936" s="46">
        <v>0</v>
      </c>
      <c r="BE936" s="113"/>
      <c r="BF936" s="113"/>
      <c r="BG936" s="113"/>
      <c r="BH936" s="113"/>
      <c r="BI936" s="113"/>
      <c r="BJ936" s="46">
        <v>0</v>
      </c>
      <c r="BK936" s="113"/>
      <c r="BL936" s="113"/>
      <c r="BM936" s="113"/>
      <c r="BN936" s="113"/>
      <c r="BO936" s="113"/>
      <c r="BP936" s="121"/>
      <c r="BQ936" s="121"/>
      <c r="GA936" t="s">
        <v>114</v>
      </c>
      <c r="GB936" t="s">
        <v>23079</v>
      </c>
      <c r="GC936" s="46">
        <v>0</v>
      </c>
      <c r="GD936" s="113"/>
      <c r="GE936" s="113"/>
      <c r="GF936" s="113"/>
      <c r="GG936" s="113"/>
      <c r="GH936" s="113"/>
      <c r="GI936" s="46">
        <v>0</v>
      </c>
      <c r="GJ936" s="113"/>
      <c r="GK936" s="113"/>
      <c r="GL936" s="113"/>
      <c r="GM936" s="113"/>
      <c r="GN936" s="113"/>
      <c r="GO936" s="46">
        <v>0</v>
      </c>
      <c r="GP936" s="113"/>
      <c r="GQ936" s="113"/>
      <c r="GR936" s="113"/>
      <c r="GS936" s="113"/>
      <c r="GT936" s="113"/>
      <c r="GU936" s="46">
        <v>0</v>
      </c>
      <c r="GV936" s="113"/>
      <c r="GW936" s="113"/>
      <c r="GX936" s="113"/>
      <c r="GY936" s="113"/>
      <c r="GZ936" s="113"/>
      <c r="HA936" s="46">
        <v>0</v>
      </c>
      <c r="HB936" s="113"/>
      <c r="HC936" s="113"/>
      <c r="HD936" s="113"/>
      <c r="HE936" s="113"/>
      <c r="HF936" s="113"/>
      <c r="HG936" s="46">
        <v>0</v>
      </c>
      <c r="HH936" s="113"/>
      <c r="HI936" s="113"/>
      <c r="HJ936" s="113"/>
      <c r="HK936" s="113"/>
      <c r="HL936" s="113"/>
      <c r="HM936" s="121"/>
      <c r="HN936" s="121"/>
      <c r="LM936" t="str">
        <v/>
      </c>
      <c r="LN936" t="str">
        <v/>
      </c>
      <c r="LO936" t="str">
        <v/>
      </c>
    </row>
    <row r="937" spans="30:327">
      <c r="AD937" t="s">
        <v>114</v>
      </c>
      <c r="AE937" t="s">
        <v>23080</v>
      </c>
      <c r="AF937" s="46">
        <v>0</v>
      </c>
      <c r="AG937" s="113"/>
      <c r="AH937" s="113"/>
      <c r="AI937" s="113"/>
      <c r="AJ937" s="113"/>
      <c r="AK937" s="113"/>
      <c r="AL937" s="46">
        <v>0</v>
      </c>
      <c r="AM937" s="113"/>
      <c r="AN937" s="113"/>
      <c r="AO937" s="113"/>
      <c r="AP937" s="113"/>
      <c r="AQ937" s="113"/>
      <c r="AR937" s="46">
        <v>0</v>
      </c>
      <c r="AS937" s="113"/>
      <c r="AT937" s="113"/>
      <c r="AU937" s="113"/>
      <c r="AV937" s="113"/>
      <c r="AW937" s="113"/>
      <c r="AX937" s="46">
        <v>0</v>
      </c>
      <c r="AY937" s="113"/>
      <c r="AZ937" s="113"/>
      <c r="BA937" s="113"/>
      <c r="BB937" s="113"/>
      <c r="BC937" s="113"/>
      <c r="BD937" s="46">
        <v>0</v>
      </c>
      <c r="BE937" s="113"/>
      <c r="BF937" s="113"/>
      <c r="BG937" s="113"/>
      <c r="BH937" s="113"/>
      <c r="BI937" s="113"/>
      <c r="BJ937" s="46">
        <v>0</v>
      </c>
      <c r="BK937" s="113"/>
      <c r="BL937" s="113"/>
      <c r="BM937" s="113"/>
      <c r="BN937" s="113"/>
      <c r="BO937" s="113"/>
      <c r="BP937" s="121"/>
      <c r="BQ937" s="121"/>
      <c r="GA937" t="s">
        <v>114</v>
      </c>
      <c r="GB937" t="s">
        <v>23080</v>
      </c>
      <c r="GC937" s="46">
        <v>0</v>
      </c>
      <c r="GD937" s="113"/>
      <c r="GE937" s="113"/>
      <c r="GF937" s="113"/>
      <c r="GG937" s="113"/>
      <c r="GH937" s="113"/>
      <c r="GI937" s="46">
        <v>0</v>
      </c>
      <c r="GJ937" s="113"/>
      <c r="GK937" s="113"/>
      <c r="GL937" s="113"/>
      <c r="GM937" s="113"/>
      <c r="GN937" s="113"/>
      <c r="GO937" s="46">
        <v>0</v>
      </c>
      <c r="GP937" s="113"/>
      <c r="GQ937" s="113"/>
      <c r="GR937" s="113"/>
      <c r="GS937" s="113"/>
      <c r="GT937" s="113"/>
      <c r="GU937" s="46">
        <v>0</v>
      </c>
      <c r="GV937" s="113"/>
      <c r="GW937" s="113"/>
      <c r="GX937" s="113"/>
      <c r="GY937" s="113"/>
      <c r="GZ937" s="113"/>
      <c r="HA937" s="46">
        <v>0</v>
      </c>
      <c r="HB937" s="113"/>
      <c r="HC937" s="113"/>
      <c r="HD937" s="113"/>
      <c r="HE937" s="113"/>
      <c r="HF937" s="113"/>
      <c r="HG937" s="46">
        <v>0</v>
      </c>
      <c r="HH937" s="113"/>
      <c r="HI937" s="113"/>
      <c r="HJ937" s="113"/>
      <c r="HK937" s="113"/>
      <c r="HL937" s="113"/>
      <c r="HM937" s="121"/>
      <c r="HN937" s="121"/>
      <c r="LM937" t="str">
        <v/>
      </c>
      <c r="LN937" t="str">
        <v/>
      </c>
      <c r="LO937" t="str">
        <v/>
      </c>
    </row>
    <row r="938" spans="30:327">
      <c r="AD938" t="s">
        <v>114</v>
      </c>
      <c r="AE938" t="s">
        <v>23081</v>
      </c>
      <c r="AF938" s="46">
        <v>0</v>
      </c>
      <c r="AG938" s="113"/>
      <c r="AH938" s="113"/>
      <c r="AI938" s="113"/>
      <c r="AJ938" s="113"/>
      <c r="AK938" s="113"/>
      <c r="AL938" s="46">
        <v>0</v>
      </c>
      <c r="AM938" s="113"/>
      <c r="AN938" s="113"/>
      <c r="AO938" s="113"/>
      <c r="AP938" s="113"/>
      <c r="AQ938" s="113"/>
      <c r="AR938" s="46">
        <v>0</v>
      </c>
      <c r="AS938" s="113"/>
      <c r="AT938" s="113"/>
      <c r="AU938" s="113"/>
      <c r="AV938" s="113"/>
      <c r="AW938" s="113"/>
      <c r="AX938" s="46">
        <v>0</v>
      </c>
      <c r="AY938" s="113"/>
      <c r="AZ938" s="113"/>
      <c r="BA938" s="113"/>
      <c r="BB938" s="113"/>
      <c r="BC938" s="113"/>
      <c r="BD938" s="46">
        <v>0</v>
      </c>
      <c r="BE938" s="113"/>
      <c r="BF938" s="113"/>
      <c r="BG938" s="113"/>
      <c r="BH938" s="113"/>
      <c r="BI938" s="113"/>
      <c r="BJ938" s="46">
        <v>0</v>
      </c>
      <c r="BK938" s="113"/>
      <c r="BL938" s="113"/>
      <c r="BM938" s="113"/>
      <c r="BN938" s="113"/>
      <c r="BO938" s="113"/>
      <c r="BP938" s="121"/>
      <c r="BQ938" s="121"/>
      <c r="GA938" t="s">
        <v>114</v>
      </c>
      <c r="GB938" t="s">
        <v>23081</v>
      </c>
      <c r="GC938" s="46">
        <v>0</v>
      </c>
      <c r="GD938" s="113"/>
      <c r="GE938" s="113"/>
      <c r="GF938" s="113"/>
      <c r="GG938" s="113"/>
      <c r="GH938" s="113"/>
      <c r="GI938" s="46">
        <v>0</v>
      </c>
      <c r="GJ938" s="113"/>
      <c r="GK938" s="113"/>
      <c r="GL938" s="113"/>
      <c r="GM938" s="113"/>
      <c r="GN938" s="113"/>
      <c r="GO938" s="46">
        <v>0</v>
      </c>
      <c r="GP938" s="113"/>
      <c r="GQ938" s="113"/>
      <c r="GR938" s="113"/>
      <c r="GS938" s="113"/>
      <c r="GT938" s="113"/>
      <c r="GU938" s="46">
        <v>0</v>
      </c>
      <c r="GV938" s="113"/>
      <c r="GW938" s="113"/>
      <c r="GX938" s="113"/>
      <c r="GY938" s="113"/>
      <c r="GZ938" s="113"/>
      <c r="HA938" s="46">
        <v>0</v>
      </c>
      <c r="HB938" s="113"/>
      <c r="HC938" s="113"/>
      <c r="HD938" s="113"/>
      <c r="HE938" s="113"/>
      <c r="HF938" s="113"/>
      <c r="HG938" s="46">
        <v>0</v>
      </c>
      <c r="HH938" s="113"/>
      <c r="HI938" s="113"/>
      <c r="HJ938" s="113"/>
      <c r="HK938" s="113"/>
      <c r="HL938" s="113"/>
      <c r="HM938" s="121"/>
      <c r="HN938" s="121"/>
      <c r="LM938" t="str">
        <v/>
      </c>
      <c r="LN938" t="str">
        <v/>
      </c>
      <c r="LO938" t="str">
        <v/>
      </c>
    </row>
    <row r="939" spans="30:327">
      <c r="AD939" t="s">
        <v>114</v>
      </c>
      <c r="AE939" t="s">
        <v>23082</v>
      </c>
      <c r="AF939" s="46">
        <v>0</v>
      </c>
      <c r="AG939" s="113"/>
      <c r="AH939" s="113"/>
      <c r="AI939" s="113"/>
      <c r="AJ939" s="113"/>
      <c r="AK939" s="113"/>
      <c r="AL939" s="46">
        <v>0</v>
      </c>
      <c r="AM939" s="113"/>
      <c r="AN939" s="113"/>
      <c r="AO939" s="113"/>
      <c r="AP939" s="113"/>
      <c r="AQ939" s="113"/>
      <c r="AR939" s="46">
        <v>0</v>
      </c>
      <c r="AS939" s="113"/>
      <c r="AT939" s="113"/>
      <c r="AU939" s="113"/>
      <c r="AV939" s="113"/>
      <c r="AW939" s="113"/>
      <c r="AX939" s="46">
        <v>0</v>
      </c>
      <c r="AY939" s="113"/>
      <c r="AZ939" s="113"/>
      <c r="BA939" s="113"/>
      <c r="BB939" s="113"/>
      <c r="BC939" s="113"/>
      <c r="BD939" s="46">
        <v>0</v>
      </c>
      <c r="BE939" s="113"/>
      <c r="BF939" s="113"/>
      <c r="BG939" s="113"/>
      <c r="BH939" s="113"/>
      <c r="BI939" s="113"/>
      <c r="BJ939" s="46">
        <v>0</v>
      </c>
      <c r="BK939" s="113"/>
      <c r="BL939" s="113"/>
      <c r="BM939" s="113"/>
      <c r="BN939" s="113"/>
      <c r="BO939" s="113"/>
      <c r="BP939" s="121"/>
      <c r="BQ939" s="121"/>
      <c r="GA939" t="s">
        <v>114</v>
      </c>
      <c r="GB939" t="s">
        <v>23082</v>
      </c>
      <c r="GC939" s="46">
        <v>0</v>
      </c>
      <c r="GD939" s="113"/>
      <c r="GE939" s="113"/>
      <c r="GF939" s="113"/>
      <c r="GG939" s="113"/>
      <c r="GH939" s="113"/>
      <c r="GI939" s="46">
        <v>0</v>
      </c>
      <c r="GJ939" s="113"/>
      <c r="GK939" s="113"/>
      <c r="GL939" s="113"/>
      <c r="GM939" s="113"/>
      <c r="GN939" s="113"/>
      <c r="GO939" s="46">
        <v>0</v>
      </c>
      <c r="GP939" s="113"/>
      <c r="GQ939" s="113"/>
      <c r="GR939" s="113"/>
      <c r="GS939" s="113"/>
      <c r="GT939" s="113"/>
      <c r="GU939" s="46">
        <v>0</v>
      </c>
      <c r="GV939" s="113"/>
      <c r="GW939" s="113"/>
      <c r="GX939" s="113"/>
      <c r="GY939" s="113"/>
      <c r="GZ939" s="113"/>
      <c r="HA939" s="46">
        <v>0</v>
      </c>
      <c r="HB939" s="113"/>
      <c r="HC939" s="113"/>
      <c r="HD939" s="113"/>
      <c r="HE939" s="113"/>
      <c r="HF939" s="113"/>
      <c r="HG939" s="46">
        <v>0</v>
      </c>
      <c r="HH939" s="113"/>
      <c r="HI939" s="113"/>
      <c r="HJ939" s="113"/>
      <c r="HK939" s="113"/>
      <c r="HL939" s="113"/>
      <c r="HM939" s="121"/>
      <c r="HN939" s="121"/>
      <c r="LM939" t="str">
        <v/>
      </c>
      <c r="LN939" t="str">
        <v/>
      </c>
      <c r="LO939" t="str">
        <v/>
      </c>
    </row>
    <row r="940" spans="30:327">
      <c r="AD940" t="s">
        <v>114</v>
      </c>
      <c r="AE940" t="s">
        <v>23083</v>
      </c>
      <c r="AF940" s="46">
        <v>0</v>
      </c>
      <c r="AG940" s="113"/>
      <c r="AH940" s="113"/>
      <c r="AI940" s="113"/>
      <c r="AJ940" s="113"/>
      <c r="AK940" s="113"/>
      <c r="AL940" s="46">
        <v>0</v>
      </c>
      <c r="AM940" s="113"/>
      <c r="AN940" s="113"/>
      <c r="AO940" s="113"/>
      <c r="AP940" s="113"/>
      <c r="AQ940" s="113"/>
      <c r="AR940" s="46">
        <v>0</v>
      </c>
      <c r="AS940" s="113"/>
      <c r="AT940" s="113"/>
      <c r="AU940" s="113"/>
      <c r="AV940" s="113"/>
      <c r="AW940" s="113"/>
      <c r="AX940" s="46">
        <v>0</v>
      </c>
      <c r="AY940" s="113"/>
      <c r="AZ940" s="113"/>
      <c r="BA940" s="113"/>
      <c r="BB940" s="113"/>
      <c r="BC940" s="113"/>
      <c r="BD940" s="46">
        <v>0</v>
      </c>
      <c r="BE940" s="113"/>
      <c r="BF940" s="113"/>
      <c r="BG940" s="113"/>
      <c r="BH940" s="113"/>
      <c r="BI940" s="113"/>
      <c r="BJ940" s="46">
        <v>0</v>
      </c>
      <c r="BK940" s="113"/>
      <c r="BL940" s="113"/>
      <c r="BM940" s="113"/>
      <c r="BN940" s="113"/>
      <c r="BO940" s="113"/>
      <c r="BP940" s="121"/>
      <c r="BQ940" s="121"/>
      <c r="GA940" t="s">
        <v>114</v>
      </c>
      <c r="GB940" t="s">
        <v>23083</v>
      </c>
      <c r="GC940" s="46">
        <v>0</v>
      </c>
      <c r="GD940" s="113"/>
      <c r="GE940" s="113"/>
      <c r="GF940" s="113"/>
      <c r="GG940" s="113"/>
      <c r="GH940" s="113"/>
      <c r="GI940" s="46">
        <v>0</v>
      </c>
      <c r="GJ940" s="113"/>
      <c r="GK940" s="113"/>
      <c r="GL940" s="113"/>
      <c r="GM940" s="113"/>
      <c r="GN940" s="113"/>
      <c r="GO940" s="46">
        <v>0</v>
      </c>
      <c r="GP940" s="113"/>
      <c r="GQ940" s="113"/>
      <c r="GR940" s="113"/>
      <c r="GS940" s="113"/>
      <c r="GT940" s="113"/>
      <c r="GU940" s="46">
        <v>0</v>
      </c>
      <c r="GV940" s="113"/>
      <c r="GW940" s="113"/>
      <c r="GX940" s="113"/>
      <c r="GY940" s="113"/>
      <c r="GZ940" s="113"/>
      <c r="HA940" s="46">
        <v>0</v>
      </c>
      <c r="HB940" s="113"/>
      <c r="HC940" s="113"/>
      <c r="HD940" s="113"/>
      <c r="HE940" s="113"/>
      <c r="HF940" s="113"/>
      <c r="HG940" s="46">
        <v>0</v>
      </c>
      <c r="HH940" s="113"/>
      <c r="HI940" s="113"/>
      <c r="HJ940" s="113"/>
      <c r="HK940" s="113"/>
      <c r="HL940" s="113"/>
      <c r="HM940" s="121"/>
      <c r="HN940" s="121"/>
      <c r="LM940" t="str">
        <v/>
      </c>
      <c r="LN940" t="str">
        <v/>
      </c>
      <c r="LO940" t="str">
        <v/>
      </c>
    </row>
    <row r="941" spans="30:327">
      <c r="AD941" t="s">
        <v>114</v>
      </c>
      <c r="AE941" t="s">
        <v>23084</v>
      </c>
      <c r="AF941" s="46">
        <v>0</v>
      </c>
      <c r="AG941" s="113"/>
      <c r="AH941" s="113"/>
      <c r="AI941" s="113"/>
      <c r="AJ941" s="113"/>
      <c r="AK941" s="113"/>
      <c r="AL941" s="46">
        <v>0</v>
      </c>
      <c r="AM941" s="113"/>
      <c r="AN941" s="113"/>
      <c r="AO941" s="113"/>
      <c r="AP941" s="113"/>
      <c r="AQ941" s="113"/>
      <c r="AR941" s="46">
        <v>0</v>
      </c>
      <c r="AS941" s="113"/>
      <c r="AT941" s="113"/>
      <c r="AU941" s="113"/>
      <c r="AV941" s="113"/>
      <c r="AW941" s="113"/>
      <c r="AX941" s="46">
        <v>0</v>
      </c>
      <c r="AY941" s="113"/>
      <c r="AZ941" s="113"/>
      <c r="BA941" s="113"/>
      <c r="BB941" s="113"/>
      <c r="BC941" s="113"/>
      <c r="BD941" s="46">
        <v>0</v>
      </c>
      <c r="BE941" s="113"/>
      <c r="BF941" s="113"/>
      <c r="BG941" s="113"/>
      <c r="BH941" s="113"/>
      <c r="BI941" s="113"/>
      <c r="BJ941" s="46">
        <v>0</v>
      </c>
      <c r="BK941" s="113"/>
      <c r="BL941" s="113"/>
      <c r="BM941" s="113"/>
      <c r="BN941" s="113"/>
      <c r="BO941" s="113"/>
      <c r="BP941" s="121"/>
      <c r="BQ941" s="121"/>
      <c r="GA941" t="s">
        <v>114</v>
      </c>
      <c r="GB941" t="s">
        <v>23084</v>
      </c>
      <c r="GC941" s="46">
        <v>0</v>
      </c>
      <c r="GD941" s="113"/>
      <c r="GE941" s="113"/>
      <c r="GF941" s="113"/>
      <c r="GG941" s="113"/>
      <c r="GH941" s="113"/>
      <c r="GI941" s="46">
        <v>0</v>
      </c>
      <c r="GJ941" s="113"/>
      <c r="GK941" s="113"/>
      <c r="GL941" s="113"/>
      <c r="GM941" s="113"/>
      <c r="GN941" s="113"/>
      <c r="GO941" s="46">
        <v>0</v>
      </c>
      <c r="GP941" s="113"/>
      <c r="GQ941" s="113"/>
      <c r="GR941" s="113"/>
      <c r="GS941" s="113"/>
      <c r="GT941" s="113"/>
      <c r="GU941" s="46">
        <v>0</v>
      </c>
      <c r="GV941" s="113"/>
      <c r="GW941" s="113"/>
      <c r="GX941" s="113"/>
      <c r="GY941" s="113"/>
      <c r="GZ941" s="113"/>
      <c r="HA941" s="46">
        <v>0</v>
      </c>
      <c r="HB941" s="113"/>
      <c r="HC941" s="113"/>
      <c r="HD941" s="113"/>
      <c r="HE941" s="113"/>
      <c r="HF941" s="113"/>
      <c r="HG941" s="46">
        <v>0</v>
      </c>
      <c r="HH941" s="113"/>
      <c r="HI941" s="113"/>
      <c r="HJ941" s="113"/>
      <c r="HK941" s="113"/>
      <c r="HL941" s="113"/>
      <c r="HM941" s="121"/>
      <c r="HN941" s="121"/>
      <c r="LM941" t="str">
        <v/>
      </c>
      <c r="LN941" t="str">
        <v/>
      </c>
      <c r="LO941" t="str">
        <v/>
      </c>
    </row>
    <row r="942" spans="30:327">
      <c r="AD942" t="s">
        <v>114</v>
      </c>
      <c r="AE942" t="s">
        <v>23085</v>
      </c>
      <c r="AF942" s="46">
        <v>0</v>
      </c>
      <c r="AG942" s="113"/>
      <c r="AH942" s="113"/>
      <c r="AI942" s="113"/>
      <c r="AJ942" s="113"/>
      <c r="AK942" s="113"/>
      <c r="AL942" s="46">
        <v>0</v>
      </c>
      <c r="AM942" s="113"/>
      <c r="AN942" s="113"/>
      <c r="AO942" s="113"/>
      <c r="AP942" s="113"/>
      <c r="AQ942" s="113"/>
      <c r="AR942" s="46">
        <v>0</v>
      </c>
      <c r="AS942" s="113"/>
      <c r="AT942" s="113"/>
      <c r="AU942" s="113"/>
      <c r="AV942" s="113"/>
      <c r="AW942" s="113"/>
      <c r="AX942" s="46">
        <v>0</v>
      </c>
      <c r="AY942" s="113"/>
      <c r="AZ942" s="113"/>
      <c r="BA942" s="113"/>
      <c r="BB942" s="113"/>
      <c r="BC942" s="113"/>
      <c r="BD942" s="46">
        <v>0</v>
      </c>
      <c r="BE942" s="113"/>
      <c r="BF942" s="113"/>
      <c r="BG942" s="113"/>
      <c r="BH942" s="113"/>
      <c r="BI942" s="113"/>
      <c r="BJ942" s="46">
        <v>0</v>
      </c>
      <c r="BK942" s="113"/>
      <c r="BL942" s="113"/>
      <c r="BM942" s="113"/>
      <c r="BN942" s="113"/>
      <c r="BO942" s="113"/>
      <c r="BP942" s="121"/>
      <c r="BQ942" s="121"/>
      <c r="GA942" t="s">
        <v>114</v>
      </c>
      <c r="GB942" t="s">
        <v>23085</v>
      </c>
      <c r="GC942" s="46">
        <v>0</v>
      </c>
      <c r="GD942" s="113"/>
      <c r="GE942" s="113"/>
      <c r="GF942" s="113"/>
      <c r="GG942" s="113"/>
      <c r="GH942" s="113"/>
      <c r="GI942" s="46">
        <v>0</v>
      </c>
      <c r="GJ942" s="113"/>
      <c r="GK942" s="113"/>
      <c r="GL942" s="113"/>
      <c r="GM942" s="113"/>
      <c r="GN942" s="113"/>
      <c r="GO942" s="46">
        <v>0</v>
      </c>
      <c r="GP942" s="113"/>
      <c r="GQ942" s="113"/>
      <c r="GR942" s="113"/>
      <c r="GS942" s="113"/>
      <c r="GT942" s="113"/>
      <c r="GU942" s="46">
        <v>0</v>
      </c>
      <c r="GV942" s="113"/>
      <c r="GW942" s="113"/>
      <c r="GX942" s="113"/>
      <c r="GY942" s="113"/>
      <c r="GZ942" s="113"/>
      <c r="HA942" s="46">
        <v>0</v>
      </c>
      <c r="HB942" s="113"/>
      <c r="HC942" s="113"/>
      <c r="HD942" s="113"/>
      <c r="HE942" s="113"/>
      <c r="HF942" s="113"/>
      <c r="HG942" s="46">
        <v>0</v>
      </c>
      <c r="HH942" s="113"/>
      <c r="HI942" s="113"/>
      <c r="HJ942" s="113"/>
      <c r="HK942" s="113"/>
      <c r="HL942" s="113"/>
      <c r="HM942" s="121"/>
      <c r="HN942" s="121"/>
      <c r="LM942" t="str">
        <v/>
      </c>
      <c r="LN942" t="str">
        <v/>
      </c>
      <c r="LO942" t="str">
        <v/>
      </c>
    </row>
    <row r="943" spans="30:327">
      <c r="AD943" t="s">
        <v>114</v>
      </c>
      <c r="AE943" t="s">
        <v>23086</v>
      </c>
      <c r="AF943" s="46">
        <v>0</v>
      </c>
      <c r="AG943" s="113"/>
      <c r="AH943" s="113"/>
      <c r="AI943" s="113"/>
      <c r="AJ943" s="113"/>
      <c r="AK943" s="113"/>
      <c r="AL943" s="46">
        <v>0</v>
      </c>
      <c r="AM943" s="113"/>
      <c r="AN943" s="113"/>
      <c r="AO943" s="113"/>
      <c r="AP943" s="113"/>
      <c r="AQ943" s="113"/>
      <c r="AR943" s="46">
        <v>0</v>
      </c>
      <c r="AS943" s="113"/>
      <c r="AT943" s="113"/>
      <c r="AU943" s="113"/>
      <c r="AV943" s="113"/>
      <c r="AW943" s="113"/>
      <c r="AX943" s="46">
        <v>0</v>
      </c>
      <c r="AY943" s="113"/>
      <c r="AZ943" s="113"/>
      <c r="BA943" s="113"/>
      <c r="BB943" s="113"/>
      <c r="BC943" s="113"/>
      <c r="BD943" s="46">
        <v>0</v>
      </c>
      <c r="BE943" s="113"/>
      <c r="BF943" s="113"/>
      <c r="BG943" s="113"/>
      <c r="BH943" s="113"/>
      <c r="BI943" s="113"/>
      <c r="BJ943" s="46">
        <v>0</v>
      </c>
      <c r="BK943" s="113"/>
      <c r="BL943" s="113"/>
      <c r="BM943" s="113"/>
      <c r="BN943" s="113"/>
      <c r="BO943" s="113"/>
      <c r="BP943" s="121"/>
      <c r="BQ943" s="121"/>
      <c r="GA943" t="s">
        <v>114</v>
      </c>
      <c r="GB943" t="s">
        <v>23086</v>
      </c>
      <c r="GC943" s="46">
        <v>0</v>
      </c>
      <c r="GD943" s="113"/>
      <c r="GE943" s="113"/>
      <c r="GF943" s="113"/>
      <c r="GG943" s="113"/>
      <c r="GH943" s="113"/>
      <c r="GI943" s="46">
        <v>0</v>
      </c>
      <c r="GJ943" s="113"/>
      <c r="GK943" s="113"/>
      <c r="GL943" s="113"/>
      <c r="GM943" s="113"/>
      <c r="GN943" s="113"/>
      <c r="GO943" s="46">
        <v>0</v>
      </c>
      <c r="GP943" s="113"/>
      <c r="GQ943" s="113"/>
      <c r="GR943" s="113"/>
      <c r="GS943" s="113"/>
      <c r="GT943" s="113"/>
      <c r="GU943" s="46">
        <v>0</v>
      </c>
      <c r="GV943" s="113"/>
      <c r="GW943" s="113"/>
      <c r="GX943" s="113"/>
      <c r="GY943" s="113"/>
      <c r="GZ943" s="113"/>
      <c r="HA943" s="46">
        <v>0</v>
      </c>
      <c r="HB943" s="113"/>
      <c r="HC943" s="113"/>
      <c r="HD943" s="113"/>
      <c r="HE943" s="113"/>
      <c r="HF943" s="113"/>
      <c r="HG943" s="46">
        <v>0</v>
      </c>
      <c r="HH943" s="113"/>
      <c r="HI943" s="113"/>
      <c r="HJ943" s="113"/>
      <c r="HK943" s="113"/>
      <c r="HL943" s="113"/>
      <c r="HM943" s="121"/>
      <c r="HN943" s="121"/>
      <c r="LM943" t="str">
        <v/>
      </c>
      <c r="LN943" t="str">
        <v/>
      </c>
      <c r="LO943" t="str">
        <v/>
      </c>
    </row>
    <row r="944" spans="30:327">
      <c r="AD944" t="s">
        <v>114</v>
      </c>
      <c r="AE944" t="s">
        <v>23087</v>
      </c>
      <c r="AF944" s="46">
        <v>0</v>
      </c>
      <c r="AG944" s="113"/>
      <c r="AH944" s="113"/>
      <c r="AI944" s="113"/>
      <c r="AJ944" s="113"/>
      <c r="AK944" s="113"/>
      <c r="AL944" s="46">
        <v>0</v>
      </c>
      <c r="AM944" s="113"/>
      <c r="AN944" s="113"/>
      <c r="AO944" s="113"/>
      <c r="AP944" s="113"/>
      <c r="AQ944" s="113"/>
      <c r="AR944" s="46">
        <v>0</v>
      </c>
      <c r="AS944" s="113"/>
      <c r="AT944" s="113"/>
      <c r="AU944" s="113"/>
      <c r="AV944" s="113"/>
      <c r="AW944" s="113"/>
      <c r="AX944" s="46">
        <v>0</v>
      </c>
      <c r="AY944" s="113"/>
      <c r="AZ944" s="113"/>
      <c r="BA944" s="113"/>
      <c r="BB944" s="113"/>
      <c r="BC944" s="113"/>
      <c r="BD944" s="46">
        <v>0</v>
      </c>
      <c r="BE944" s="113"/>
      <c r="BF944" s="113"/>
      <c r="BG944" s="113"/>
      <c r="BH944" s="113"/>
      <c r="BI944" s="113"/>
      <c r="BJ944" s="46">
        <v>0</v>
      </c>
      <c r="BK944" s="113"/>
      <c r="BL944" s="113"/>
      <c r="BM944" s="113"/>
      <c r="BN944" s="113"/>
      <c r="BO944" s="113"/>
      <c r="BP944" s="121"/>
      <c r="BQ944" s="121"/>
      <c r="GA944" t="s">
        <v>114</v>
      </c>
      <c r="GB944" t="s">
        <v>23087</v>
      </c>
      <c r="GC944" s="46">
        <v>0</v>
      </c>
      <c r="GD944" s="113"/>
      <c r="GE944" s="113"/>
      <c r="GF944" s="113"/>
      <c r="GG944" s="113"/>
      <c r="GH944" s="113"/>
      <c r="GI944" s="46">
        <v>0</v>
      </c>
      <c r="GJ944" s="113"/>
      <c r="GK944" s="113"/>
      <c r="GL944" s="113"/>
      <c r="GM944" s="113"/>
      <c r="GN944" s="113"/>
      <c r="GO944" s="46">
        <v>0</v>
      </c>
      <c r="GP944" s="113"/>
      <c r="GQ944" s="113"/>
      <c r="GR944" s="113"/>
      <c r="GS944" s="113"/>
      <c r="GT944" s="113"/>
      <c r="GU944" s="46">
        <v>0</v>
      </c>
      <c r="GV944" s="113"/>
      <c r="GW944" s="113"/>
      <c r="GX944" s="113"/>
      <c r="GY944" s="113"/>
      <c r="GZ944" s="113"/>
      <c r="HA944" s="46">
        <v>0</v>
      </c>
      <c r="HB944" s="113"/>
      <c r="HC944" s="113"/>
      <c r="HD944" s="113"/>
      <c r="HE944" s="113"/>
      <c r="HF944" s="113"/>
      <c r="HG944" s="46">
        <v>0</v>
      </c>
      <c r="HH944" s="113"/>
      <c r="HI944" s="113"/>
      <c r="HJ944" s="113"/>
      <c r="HK944" s="113"/>
      <c r="HL944" s="113"/>
      <c r="HM944" s="121"/>
      <c r="HN944" s="121"/>
      <c r="LM944" t="str">
        <v/>
      </c>
      <c r="LN944" t="str">
        <v/>
      </c>
      <c r="LO944" t="str">
        <v/>
      </c>
    </row>
    <row r="945" spans="30:327">
      <c r="AD945" t="s">
        <v>114</v>
      </c>
      <c r="AE945" t="s">
        <v>23088</v>
      </c>
      <c r="AF945" s="46">
        <v>0</v>
      </c>
      <c r="AG945" s="113"/>
      <c r="AH945" s="113"/>
      <c r="AI945" s="113"/>
      <c r="AJ945" s="113"/>
      <c r="AK945" s="113"/>
      <c r="AL945" s="46">
        <v>0</v>
      </c>
      <c r="AM945" s="113"/>
      <c r="AN945" s="113"/>
      <c r="AO945" s="113"/>
      <c r="AP945" s="113"/>
      <c r="AQ945" s="113"/>
      <c r="AR945" s="46">
        <v>0</v>
      </c>
      <c r="AS945" s="113"/>
      <c r="AT945" s="113"/>
      <c r="AU945" s="113"/>
      <c r="AV945" s="113"/>
      <c r="AW945" s="113"/>
      <c r="AX945" s="46">
        <v>0</v>
      </c>
      <c r="AY945" s="113"/>
      <c r="AZ945" s="113"/>
      <c r="BA945" s="113"/>
      <c r="BB945" s="113"/>
      <c r="BC945" s="113"/>
      <c r="BD945" s="46">
        <v>0</v>
      </c>
      <c r="BE945" s="113"/>
      <c r="BF945" s="113"/>
      <c r="BG945" s="113"/>
      <c r="BH945" s="113"/>
      <c r="BI945" s="113"/>
      <c r="BJ945" s="46">
        <v>0</v>
      </c>
      <c r="BK945" s="113"/>
      <c r="BL945" s="113"/>
      <c r="BM945" s="113"/>
      <c r="BN945" s="113"/>
      <c r="BO945" s="113"/>
      <c r="BP945" s="121"/>
      <c r="BQ945" s="121"/>
      <c r="GA945" t="s">
        <v>114</v>
      </c>
      <c r="GB945" t="s">
        <v>23088</v>
      </c>
      <c r="GC945" s="46">
        <v>0</v>
      </c>
      <c r="GD945" s="113"/>
      <c r="GE945" s="113"/>
      <c r="GF945" s="113"/>
      <c r="GG945" s="113"/>
      <c r="GH945" s="113"/>
      <c r="GI945" s="46">
        <v>0</v>
      </c>
      <c r="GJ945" s="113"/>
      <c r="GK945" s="113"/>
      <c r="GL945" s="113"/>
      <c r="GM945" s="113"/>
      <c r="GN945" s="113"/>
      <c r="GO945" s="46">
        <v>0</v>
      </c>
      <c r="GP945" s="113"/>
      <c r="GQ945" s="113"/>
      <c r="GR945" s="113"/>
      <c r="GS945" s="113"/>
      <c r="GT945" s="113"/>
      <c r="GU945" s="46">
        <v>0</v>
      </c>
      <c r="GV945" s="113"/>
      <c r="GW945" s="113"/>
      <c r="GX945" s="113"/>
      <c r="GY945" s="113"/>
      <c r="GZ945" s="113"/>
      <c r="HA945" s="46">
        <v>0</v>
      </c>
      <c r="HB945" s="113"/>
      <c r="HC945" s="113"/>
      <c r="HD945" s="113"/>
      <c r="HE945" s="113"/>
      <c r="HF945" s="113"/>
      <c r="HG945" s="46">
        <v>0</v>
      </c>
      <c r="HH945" s="113"/>
      <c r="HI945" s="113"/>
      <c r="HJ945" s="113"/>
      <c r="HK945" s="113"/>
      <c r="HL945" s="113"/>
      <c r="HM945" s="121"/>
      <c r="HN945" s="121"/>
      <c r="LM945" t="str">
        <v/>
      </c>
      <c r="LN945" t="str">
        <v/>
      </c>
      <c r="LO945" t="str">
        <v/>
      </c>
    </row>
    <row r="946" spans="30:327">
      <c r="AD946" t="s">
        <v>114</v>
      </c>
      <c r="AE946" t="s">
        <v>23089</v>
      </c>
      <c r="AF946" s="46">
        <v>0</v>
      </c>
      <c r="AG946" s="113"/>
      <c r="AH946" s="113"/>
      <c r="AI946" s="113"/>
      <c r="AJ946" s="113"/>
      <c r="AK946" s="113"/>
      <c r="AL946" s="46">
        <v>0</v>
      </c>
      <c r="AM946" s="113"/>
      <c r="AN946" s="113"/>
      <c r="AO946" s="113"/>
      <c r="AP946" s="113"/>
      <c r="AQ946" s="113"/>
      <c r="AR946" s="46">
        <v>0</v>
      </c>
      <c r="AS946" s="113"/>
      <c r="AT946" s="113"/>
      <c r="AU946" s="113"/>
      <c r="AV946" s="113"/>
      <c r="AW946" s="113"/>
      <c r="AX946" s="46">
        <v>0</v>
      </c>
      <c r="AY946" s="113"/>
      <c r="AZ946" s="113"/>
      <c r="BA946" s="113"/>
      <c r="BB946" s="113"/>
      <c r="BC946" s="113"/>
      <c r="BD946" s="46">
        <v>0</v>
      </c>
      <c r="BE946" s="113"/>
      <c r="BF946" s="113"/>
      <c r="BG946" s="113"/>
      <c r="BH946" s="113"/>
      <c r="BI946" s="113"/>
      <c r="BJ946" s="46">
        <v>0</v>
      </c>
      <c r="BK946" s="113"/>
      <c r="BL946" s="113"/>
      <c r="BM946" s="113"/>
      <c r="BN946" s="113"/>
      <c r="BO946" s="113"/>
      <c r="BP946" s="121"/>
      <c r="BQ946" s="121"/>
      <c r="GA946" t="s">
        <v>114</v>
      </c>
      <c r="GB946" t="s">
        <v>23089</v>
      </c>
      <c r="GC946" s="46">
        <v>0</v>
      </c>
      <c r="GD946" s="113"/>
      <c r="GE946" s="113"/>
      <c r="GF946" s="113"/>
      <c r="GG946" s="113"/>
      <c r="GH946" s="113"/>
      <c r="GI946" s="46">
        <v>0</v>
      </c>
      <c r="GJ946" s="113"/>
      <c r="GK946" s="113"/>
      <c r="GL946" s="113"/>
      <c r="GM946" s="113"/>
      <c r="GN946" s="113"/>
      <c r="GO946" s="46">
        <v>0</v>
      </c>
      <c r="GP946" s="113"/>
      <c r="GQ946" s="113"/>
      <c r="GR946" s="113"/>
      <c r="GS946" s="113"/>
      <c r="GT946" s="113"/>
      <c r="GU946" s="46">
        <v>0</v>
      </c>
      <c r="GV946" s="113"/>
      <c r="GW946" s="113"/>
      <c r="GX946" s="113"/>
      <c r="GY946" s="113"/>
      <c r="GZ946" s="113"/>
      <c r="HA946" s="46">
        <v>0</v>
      </c>
      <c r="HB946" s="113"/>
      <c r="HC946" s="113"/>
      <c r="HD946" s="113"/>
      <c r="HE946" s="113"/>
      <c r="HF946" s="113"/>
      <c r="HG946" s="46">
        <v>0</v>
      </c>
      <c r="HH946" s="113"/>
      <c r="HI946" s="113"/>
      <c r="HJ946" s="113"/>
      <c r="HK946" s="113"/>
      <c r="HL946" s="113"/>
      <c r="HM946" s="121"/>
      <c r="HN946" s="121"/>
      <c r="LM946" t="str">
        <v/>
      </c>
      <c r="LN946" t="str">
        <v/>
      </c>
      <c r="LO946" t="str">
        <v/>
      </c>
    </row>
    <row r="947" spans="30:327">
      <c r="AD947" t="s">
        <v>114</v>
      </c>
      <c r="AE947" t="s">
        <v>23090</v>
      </c>
      <c r="AF947" s="46">
        <v>0</v>
      </c>
      <c r="AG947" s="113"/>
      <c r="AH947" s="113"/>
      <c r="AI947" s="113"/>
      <c r="AJ947" s="113"/>
      <c r="AK947" s="113"/>
      <c r="AL947" s="46">
        <v>0</v>
      </c>
      <c r="AM947" s="113"/>
      <c r="AN947" s="113"/>
      <c r="AO947" s="113"/>
      <c r="AP947" s="113"/>
      <c r="AQ947" s="113"/>
      <c r="AR947" s="46">
        <v>0</v>
      </c>
      <c r="AS947" s="113"/>
      <c r="AT947" s="113"/>
      <c r="AU947" s="113"/>
      <c r="AV947" s="113"/>
      <c r="AW947" s="113"/>
      <c r="AX947" s="46">
        <v>0</v>
      </c>
      <c r="AY947" s="113"/>
      <c r="AZ947" s="113"/>
      <c r="BA947" s="113"/>
      <c r="BB947" s="113"/>
      <c r="BC947" s="113"/>
      <c r="BD947" s="46">
        <v>0</v>
      </c>
      <c r="BE947" s="113"/>
      <c r="BF947" s="113"/>
      <c r="BG947" s="113"/>
      <c r="BH947" s="113"/>
      <c r="BI947" s="113"/>
      <c r="BJ947" s="46">
        <v>0</v>
      </c>
      <c r="BK947" s="113"/>
      <c r="BL947" s="113"/>
      <c r="BM947" s="113"/>
      <c r="BN947" s="113"/>
      <c r="BO947" s="113"/>
      <c r="BP947" s="121"/>
      <c r="BQ947" s="121"/>
      <c r="GA947" t="s">
        <v>114</v>
      </c>
      <c r="GB947" t="s">
        <v>23090</v>
      </c>
      <c r="GC947" s="46">
        <v>0</v>
      </c>
      <c r="GD947" s="113"/>
      <c r="GE947" s="113"/>
      <c r="GF947" s="113"/>
      <c r="GG947" s="113"/>
      <c r="GH947" s="113"/>
      <c r="GI947" s="46">
        <v>0</v>
      </c>
      <c r="GJ947" s="113"/>
      <c r="GK947" s="113"/>
      <c r="GL947" s="113"/>
      <c r="GM947" s="113"/>
      <c r="GN947" s="113"/>
      <c r="GO947" s="46">
        <v>0</v>
      </c>
      <c r="GP947" s="113"/>
      <c r="GQ947" s="113"/>
      <c r="GR947" s="113"/>
      <c r="GS947" s="113"/>
      <c r="GT947" s="113"/>
      <c r="GU947" s="46">
        <v>0</v>
      </c>
      <c r="GV947" s="113"/>
      <c r="GW947" s="113"/>
      <c r="GX947" s="113"/>
      <c r="GY947" s="113"/>
      <c r="GZ947" s="113"/>
      <c r="HA947" s="46">
        <v>0</v>
      </c>
      <c r="HB947" s="113"/>
      <c r="HC947" s="113"/>
      <c r="HD947" s="113"/>
      <c r="HE947" s="113"/>
      <c r="HF947" s="113"/>
      <c r="HG947" s="46">
        <v>0</v>
      </c>
      <c r="HH947" s="113"/>
      <c r="HI947" s="113"/>
      <c r="HJ947" s="113"/>
      <c r="HK947" s="113"/>
      <c r="HL947" s="113"/>
      <c r="HM947" s="121"/>
      <c r="HN947" s="121"/>
      <c r="LM947" t="str">
        <v/>
      </c>
      <c r="LN947" t="str">
        <v/>
      </c>
      <c r="LO947" t="str">
        <v/>
      </c>
    </row>
    <row r="948" spans="30:327">
      <c r="AD948" t="s">
        <v>114</v>
      </c>
      <c r="AE948" t="s">
        <v>23091</v>
      </c>
      <c r="AF948" s="46">
        <v>0</v>
      </c>
      <c r="AG948" s="113"/>
      <c r="AH948" s="113"/>
      <c r="AI948" s="113"/>
      <c r="AJ948" s="113"/>
      <c r="AK948" s="113"/>
      <c r="AL948" s="46">
        <v>0</v>
      </c>
      <c r="AM948" s="113"/>
      <c r="AN948" s="113"/>
      <c r="AO948" s="113"/>
      <c r="AP948" s="113"/>
      <c r="AQ948" s="113"/>
      <c r="AR948" s="46">
        <v>0</v>
      </c>
      <c r="AS948" s="113"/>
      <c r="AT948" s="113"/>
      <c r="AU948" s="113"/>
      <c r="AV948" s="113"/>
      <c r="AW948" s="113"/>
      <c r="AX948" s="46">
        <v>0</v>
      </c>
      <c r="AY948" s="113"/>
      <c r="AZ948" s="113"/>
      <c r="BA948" s="113"/>
      <c r="BB948" s="113"/>
      <c r="BC948" s="113"/>
      <c r="BD948" s="46">
        <v>0</v>
      </c>
      <c r="BE948" s="113"/>
      <c r="BF948" s="113"/>
      <c r="BG948" s="113"/>
      <c r="BH948" s="113"/>
      <c r="BI948" s="113"/>
      <c r="BJ948" s="46">
        <v>0</v>
      </c>
      <c r="BK948" s="113"/>
      <c r="BL948" s="113"/>
      <c r="BM948" s="113"/>
      <c r="BN948" s="113"/>
      <c r="BO948" s="113"/>
      <c r="BP948" s="121"/>
      <c r="BQ948" s="121"/>
      <c r="GA948" t="s">
        <v>114</v>
      </c>
      <c r="GB948" t="s">
        <v>23091</v>
      </c>
      <c r="GC948" s="46">
        <v>0</v>
      </c>
      <c r="GD948" s="113"/>
      <c r="GE948" s="113"/>
      <c r="GF948" s="113"/>
      <c r="GG948" s="113"/>
      <c r="GH948" s="113"/>
      <c r="GI948" s="46">
        <v>0</v>
      </c>
      <c r="GJ948" s="113"/>
      <c r="GK948" s="113"/>
      <c r="GL948" s="113"/>
      <c r="GM948" s="113"/>
      <c r="GN948" s="113"/>
      <c r="GO948" s="46">
        <v>0</v>
      </c>
      <c r="GP948" s="113"/>
      <c r="GQ948" s="113"/>
      <c r="GR948" s="113"/>
      <c r="GS948" s="113"/>
      <c r="GT948" s="113"/>
      <c r="GU948" s="46">
        <v>0</v>
      </c>
      <c r="GV948" s="113"/>
      <c r="GW948" s="113"/>
      <c r="GX948" s="113"/>
      <c r="GY948" s="113"/>
      <c r="GZ948" s="113"/>
      <c r="HA948" s="46">
        <v>0</v>
      </c>
      <c r="HB948" s="113"/>
      <c r="HC948" s="113"/>
      <c r="HD948" s="113"/>
      <c r="HE948" s="113"/>
      <c r="HF948" s="113"/>
      <c r="HG948" s="46">
        <v>0</v>
      </c>
      <c r="HH948" s="113"/>
      <c r="HI948" s="113"/>
      <c r="HJ948" s="113"/>
      <c r="HK948" s="113"/>
      <c r="HL948" s="113"/>
      <c r="HM948" s="121"/>
      <c r="HN948" s="121"/>
      <c r="LM948" t="str">
        <v/>
      </c>
      <c r="LN948" t="str">
        <v/>
      </c>
      <c r="LO948" t="str">
        <v/>
      </c>
    </row>
    <row r="949" spans="30:327">
      <c r="AD949" t="s">
        <v>114</v>
      </c>
      <c r="AE949" t="s">
        <v>23092</v>
      </c>
      <c r="AF949" s="46">
        <v>0</v>
      </c>
      <c r="AG949" s="113"/>
      <c r="AH949" s="113"/>
      <c r="AI949" s="113"/>
      <c r="AJ949" s="113"/>
      <c r="AK949" s="113"/>
      <c r="AL949" s="46">
        <v>0</v>
      </c>
      <c r="AM949" s="113"/>
      <c r="AN949" s="113"/>
      <c r="AO949" s="113"/>
      <c r="AP949" s="113"/>
      <c r="AQ949" s="113"/>
      <c r="AR949" s="46">
        <v>0</v>
      </c>
      <c r="AS949" s="113"/>
      <c r="AT949" s="113"/>
      <c r="AU949" s="113"/>
      <c r="AV949" s="113"/>
      <c r="AW949" s="113"/>
      <c r="AX949" s="46">
        <v>0</v>
      </c>
      <c r="AY949" s="113"/>
      <c r="AZ949" s="113"/>
      <c r="BA949" s="113"/>
      <c r="BB949" s="113"/>
      <c r="BC949" s="113"/>
      <c r="BD949" s="46">
        <v>0</v>
      </c>
      <c r="BE949" s="113"/>
      <c r="BF949" s="113"/>
      <c r="BG949" s="113"/>
      <c r="BH949" s="113"/>
      <c r="BI949" s="113"/>
      <c r="BJ949" s="46">
        <v>0</v>
      </c>
      <c r="BK949" s="113"/>
      <c r="BL949" s="113"/>
      <c r="BM949" s="113"/>
      <c r="BN949" s="113"/>
      <c r="BO949" s="113"/>
      <c r="BP949" s="121"/>
      <c r="BQ949" s="121"/>
      <c r="GA949" t="s">
        <v>114</v>
      </c>
      <c r="GB949" t="s">
        <v>23092</v>
      </c>
      <c r="GC949" s="46">
        <v>0</v>
      </c>
      <c r="GD949" s="113"/>
      <c r="GE949" s="113"/>
      <c r="GF949" s="113"/>
      <c r="GG949" s="113"/>
      <c r="GH949" s="113"/>
      <c r="GI949" s="46">
        <v>0</v>
      </c>
      <c r="GJ949" s="113"/>
      <c r="GK949" s="113"/>
      <c r="GL949" s="113"/>
      <c r="GM949" s="113"/>
      <c r="GN949" s="113"/>
      <c r="GO949" s="46">
        <v>0</v>
      </c>
      <c r="GP949" s="113"/>
      <c r="GQ949" s="113"/>
      <c r="GR949" s="113"/>
      <c r="GS949" s="113"/>
      <c r="GT949" s="113"/>
      <c r="GU949" s="46">
        <v>0</v>
      </c>
      <c r="GV949" s="113"/>
      <c r="GW949" s="113"/>
      <c r="GX949" s="113"/>
      <c r="GY949" s="113"/>
      <c r="GZ949" s="113"/>
      <c r="HA949" s="46">
        <v>0</v>
      </c>
      <c r="HB949" s="113"/>
      <c r="HC949" s="113"/>
      <c r="HD949" s="113"/>
      <c r="HE949" s="113"/>
      <c r="HF949" s="113"/>
      <c r="HG949" s="46">
        <v>0</v>
      </c>
      <c r="HH949" s="113"/>
      <c r="HI949" s="113"/>
      <c r="HJ949" s="113"/>
      <c r="HK949" s="113"/>
      <c r="HL949" s="113"/>
      <c r="HM949" s="121"/>
      <c r="HN949" s="121"/>
      <c r="LM949" t="str">
        <v/>
      </c>
      <c r="LN949" t="str">
        <v/>
      </c>
      <c r="LO949" t="str">
        <v/>
      </c>
    </row>
    <row r="950" spans="30:327">
      <c r="AD950" t="s">
        <v>114</v>
      </c>
      <c r="AE950" t="s">
        <v>23093</v>
      </c>
      <c r="AF950" s="46">
        <v>0</v>
      </c>
      <c r="AG950" s="113"/>
      <c r="AH950" s="113"/>
      <c r="AI950" s="113"/>
      <c r="AJ950" s="113"/>
      <c r="AK950" s="113"/>
      <c r="AL950" s="46">
        <v>0</v>
      </c>
      <c r="AM950" s="113"/>
      <c r="AN950" s="113"/>
      <c r="AO950" s="113"/>
      <c r="AP950" s="113"/>
      <c r="AQ950" s="113"/>
      <c r="AR950" s="46">
        <v>0</v>
      </c>
      <c r="AS950" s="113"/>
      <c r="AT950" s="113"/>
      <c r="AU950" s="113"/>
      <c r="AV950" s="113"/>
      <c r="AW950" s="113"/>
      <c r="AX950" s="46">
        <v>0</v>
      </c>
      <c r="AY950" s="113"/>
      <c r="AZ950" s="113"/>
      <c r="BA950" s="113"/>
      <c r="BB950" s="113"/>
      <c r="BC950" s="113"/>
      <c r="BD950" s="46">
        <v>0</v>
      </c>
      <c r="BE950" s="113"/>
      <c r="BF950" s="113"/>
      <c r="BG950" s="113"/>
      <c r="BH950" s="113"/>
      <c r="BI950" s="113"/>
      <c r="BJ950" s="46">
        <v>0</v>
      </c>
      <c r="BK950" s="113"/>
      <c r="BL950" s="113"/>
      <c r="BM950" s="113"/>
      <c r="BN950" s="113"/>
      <c r="BO950" s="113"/>
      <c r="BP950" s="121"/>
      <c r="BQ950" s="121"/>
      <c r="GA950" t="s">
        <v>114</v>
      </c>
      <c r="GB950" t="s">
        <v>23093</v>
      </c>
      <c r="GC950" s="46">
        <v>0</v>
      </c>
      <c r="GD950" s="113"/>
      <c r="GE950" s="113"/>
      <c r="GF950" s="113"/>
      <c r="GG950" s="113"/>
      <c r="GH950" s="113"/>
      <c r="GI950" s="46">
        <v>0</v>
      </c>
      <c r="GJ950" s="113"/>
      <c r="GK950" s="113"/>
      <c r="GL950" s="113"/>
      <c r="GM950" s="113"/>
      <c r="GN950" s="113"/>
      <c r="GO950" s="46">
        <v>0</v>
      </c>
      <c r="GP950" s="113"/>
      <c r="GQ950" s="113"/>
      <c r="GR950" s="113"/>
      <c r="GS950" s="113"/>
      <c r="GT950" s="113"/>
      <c r="GU950" s="46">
        <v>0</v>
      </c>
      <c r="GV950" s="113"/>
      <c r="GW950" s="113"/>
      <c r="GX950" s="113"/>
      <c r="GY950" s="113"/>
      <c r="GZ950" s="113"/>
      <c r="HA950" s="46">
        <v>0</v>
      </c>
      <c r="HB950" s="113"/>
      <c r="HC950" s="113"/>
      <c r="HD950" s="113"/>
      <c r="HE950" s="113"/>
      <c r="HF950" s="113"/>
      <c r="HG950" s="46">
        <v>0</v>
      </c>
      <c r="HH950" s="113"/>
      <c r="HI950" s="113"/>
      <c r="HJ950" s="113"/>
      <c r="HK950" s="113"/>
      <c r="HL950" s="113"/>
      <c r="HM950" s="121"/>
      <c r="HN950" s="121"/>
      <c r="LM950" t="str">
        <v/>
      </c>
      <c r="LN950" t="str">
        <v/>
      </c>
      <c r="LO950" t="str">
        <v/>
      </c>
    </row>
    <row r="951" spans="30:327">
      <c r="AD951" t="s">
        <v>114</v>
      </c>
      <c r="AE951" t="s">
        <v>23094</v>
      </c>
      <c r="AF951" s="46">
        <v>0</v>
      </c>
      <c r="AG951" s="113"/>
      <c r="AH951" s="113"/>
      <c r="AI951" s="113"/>
      <c r="AJ951" s="113"/>
      <c r="AK951" s="113"/>
      <c r="AL951" s="46">
        <v>0</v>
      </c>
      <c r="AM951" s="113"/>
      <c r="AN951" s="113"/>
      <c r="AO951" s="113"/>
      <c r="AP951" s="113"/>
      <c r="AQ951" s="113"/>
      <c r="AR951" s="46">
        <v>0</v>
      </c>
      <c r="AS951" s="113"/>
      <c r="AT951" s="113"/>
      <c r="AU951" s="113"/>
      <c r="AV951" s="113"/>
      <c r="AW951" s="113"/>
      <c r="AX951" s="46">
        <v>0</v>
      </c>
      <c r="AY951" s="113"/>
      <c r="AZ951" s="113"/>
      <c r="BA951" s="113"/>
      <c r="BB951" s="113"/>
      <c r="BC951" s="113"/>
      <c r="BD951" s="46">
        <v>0</v>
      </c>
      <c r="BE951" s="113"/>
      <c r="BF951" s="113"/>
      <c r="BG951" s="113"/>
      <c r="BH951" s="113"/>
      <c r="BI951" s="113"/>
      <c r="BJ951" s="46">
        <v>0</v>
      </c>
      <c r="BK951" s="113"/>
      <c r="BL951" s="113"/>
      <c r="BM951" s="113"/>
      <c r="BN951" s="113"/>
      <c r="BO951" s="113"/>
      <c r="BP951" s="121"/>
      <c r="BQ951" s="121"/>
      <c r="GA951" t="s">
        <v>114</v>
      </c>
      <c r="GB951" t="s">
        <v>23094</v>
      </c>
      <c r="GC951" s="46">
        <v>0</v>
      </c>
      <c r="GD951" s="113"/>
      <c r="GE951" s="113"/>
      <c r="GF951" s="113"/>
      <c r="GG951" s="113"/>
      <c r="GH951" s="113"/>
      <c r="GI951" s="46">
        <v>0</v>
      </c>
      <c r="GJ951" s="113"/>
      <c r="GK951" s="113"/>
      <c r="GL951" s="113"/>
      <c r="GM951" s="113"/>
      <c r="GN951" s="113"/>
      <c r="GO951" s="46">
        <v>0</v>
      </c>
      <c r="GP951" s="113"/>
      <c r="GQ951" s="113"/>
      <c r="GR951" s="113"/>
      <c r="GS951" s="113"/>
      <c r="GT951" s="113"/>
      <c r="GU951" s="46">
        <v>0</v>
      </c>
      <c r="GV951" s="113"/>
      <c r="GW951" s="113"/>
      <c r="GX951" s="113"/>
      <c r="GY951" s="113"/>
      <c r="GZ951" s="113"/>
      <c r="HA951" s="46">
        <v>0</v>
      </c>
      <c r="HB951" s="113"/>
      <c r="HC951" s="113"/>
      <c r="HD951" s="113"/>
      <c r="HE951" s="113"/>
      <c r="HF951" s="113"/>
      <c r="HG951" s="46">
        <v>0</v>
      </c>
      <c r="HH951" s="113"/>
      <c r="HI951" s="113"/>
      <c r="HJ951" s="113"/>
      <c r="HK951" s="113"/>
      <c r="HL951" s="113"/>
      <c r="HM951" s="121"/>
      <c r="HN951" s="121"/>
      <c r="LM951" t="str">
        <v/>
      </c>
      <c r="LN951" t="str">
        <v/>
      </c>
      <c r="LO951" t="str">
        <v/>
      </c>
    </row>
    <row r="952" spans="30:327">
      <c r="AD952" t="s">
        <v>114</v>
      </c>
      <c r="AE952" t="s">
        <v>23095</v>
      </c>
      <c r="AF952" s="46">
        <v>0</v>
      </c>
      <c r="AG952" s="113"/>
      <c r="AH952" s="113"/>
      <c r="AI952" s="113"/>
      <c r="AJ952" s="113"/>
      <c r="AK952" s="113"/>
      <c r="AL952" s="46">
        <v>0</v>
      </c>
      <c r="AM952" s="113"/>
      <c r="AN952" s="113"/>
      <c r="AO952" s="113"/>
      <c r="AP952" s="113"/>
      <c r="AQ952" s="113"/>
      <c r="AR952" s="46">
        <v>0</v>
      </c>
      <c r="AS952" s="113"/>
      <c r="AT952" s="113"/>
      <c r="AU952" s="113"/>
      <c r="AV952" s="113"/>
      <c r="AW952" s="113"/>
      <c r="AX952" s="46">
        <v>0</v>
      </c>
      <c r="AY952" s="113"/>
      <c r="AZ952" s="113"/>
      <c r="BA952" s="113"/>
      <c r="BB952" s="113"/>
      <c r="BC952" s="113"/>
      <c r="BD952" s="46">
        <v>0</v>
      </c>
      <c r="BE952" s="113"/>
      <c r="BF952" s="113"/>
      <c r="BG952" s="113"/>
      <c r="BH952" s="113"/>
      <c r="BI952" s="113"/>
      <c r="BJ952" s="46">
        <v>0</v>
      </c>
      <c r="BK952" s="113"/>
      <c r="BL952" s="113"/>
      <c r="BM952" s="113"/>
      <c r="BN952" s="113"/>
      <c r="BO952" s="113"/>
      <c r="BP952" s="121"/>
      <c r="BQ952" s="121"/>
      <c r="GA952" t="s">
        <v>114</v>
      </c>
      <c r="GB952" t="s">
        <v>23095</v>
      </c>
      <c r="GC952" s="46">
        <v>0</v>
      </c>
      <c r="GD952" s="113"/>
      <c r="GE952" s="113"/>
      <c r="GF952" s="113"/>
      <c r="GG952" s="113"/>
      <c r="GH952" s="113"/>
      <c r="GI952" s="46">
        <v>0</v>
      </c>
      <c r="GJ952" s="113"/>
      <c r="GK952" s="113"/>
      <c r="GL952" s="113"/>
      <c r="GM952" s="113"/>
      <c r="GN952" s="113"/>
      <c r="GO952" s="46">
        <v>0</v>
      </c>
      <c r="GP952" s="113"/>
      <c r="GQ952" s="113"/>
      <c r="GR952" s="113"/>
      <c r="GS952" s="113"/>
      <c r="GT952" s="113"/>
      <c r="GU952" s="46">
        <v>0</v>
      </c>
      <c r="GV952" s="113"/>
      <c r="GW952" s="113"/>
      <c r="GX952" s="113"/>
      <c r="GY952" s="113"/>
      <c r="GZ952" s="113"/>
      <c r="HA952" s="46">
        <v>0</v>
      </c>
      <c r="HB952" s="113"/>
      <c r="HC952" s="113"/>
      <c r="HD952" s="113"/>
      <c r="HE952" s="113"/>
      <c r="HF952" s="113"/>
      <c r="HG952" s="46">
        <v>0</v>
      </c>
      <c r="HH952" s="113"/>
      <c r="HI952" s="113"/>
      <c r="HJ952" s="113"/>
      <c r="HK952" s="113"/>
      <c r="HL952" s="113"/>
      <c r="HM952" s="121"/>
      <c r="HN952" s="121"/>
      <c r="LM952" t="str">
        <v/>
      </c>
      <c r="LN952" t="str">
        <v/>
      </c>
      <c r="LO952" t="str">
        <v/>
      </c>
    </row>
    <row r="953" spans="30:327">
      <c r="AD953" t="s">
        <v>114</v>
      </c>
      <c r="AE953" t="s">
        <v>23096</v>
      </c>
      <c r="AF953" s="46">
        <v>0</v>
      </c>
      <c r="AG953" s="113"/>
      <c r="AH953" s="113"/>
      <c r="AI953" s="113"/>
      <c r="AJ953" s="113"/>
      <c r="AK953" s="113"/>
      <c r="AL953" s="46">
        <v>0</v>
      </c>
      <c r="AM953" s="113"/>
      <c r="AN953" s="113"/>
      <c r="AO953" s="113"/>
      <c r="AP953" s="113"/>
      <c r="AQ953" s="113"/>
      <c r="AR953" s="46">
        <v>0</v>
      </c>
      <c r="AS953" s="113"/>
      <c r="AT953" s="113"/>
      <c r="AU953" s="113"/>
      <c r="AV953" s="113"/>
      <c r="AW953" s="113"/>
      <c r="AX953" s="46">
        <v>0</v>
      </c>
      <c r="AY953" s="113"/>
      <c r="AZ953" s="113"/>
      <c r="BA953" s="113"/>
      <c r="BB953" s="113"/>
      <c r="BC953" s="113"/>
      <c r="BD953" s="46">
        <v>0</v>
      </c>
      <c r="BE953" s="113"/>
      <c r="BF953" s="113"/>
      <c r="BG953" s="113"/>
      <c r="BH953" s="113"/>
      <c r="BI953" s="113"/>
      <c r="BJ953" s="46">
        <v>0</v>
      </c>
      <c r="BK953" s="113"/>
      <c r="BL953" s="113"/>
      <c r="BM953" s="113"/>
      <c r="BN953" s="113"/>
      <c r="BO953" s="113"/>
      <c r="BP953" s="121"/>
      <c r="BQ953" s="121"/>
      <c r="GA953" t="s">
        <v>114</v>
      </c>
      <c r="GB953" t="s">
        <v>23096</v>
      </c>
      <c r="GC953" s="46">
        <v>0</v>
      </c>
      <c r="GD953" s="113"/>
      <c r="GE953" s="113"/>
      <c r="GF953" s="113"/>
      <c r="GG953" s="113"/>
      <c r="GH953" s="113"/>
      <c r="GI953" s="46">
        <v>0</v>
      </c>
      <c r="GJ953" s="113"/>
      <c r="GK953" s="113"/>
      <c r="GL953" s="113"/>
      <c r="GM953" s="113"/>
      <c r="GN953" s="113"/>
      <c r="GO953" s="46">
        <v>0</v>
      </c>
      <c r="GP953" s="113"/>
      <c r="GQ953" s="113"/>
      <c r="GR953" s="113"/>
      <c r="GS953" s="113"/>
      <c r="GT953" s="113"/>
      <c r="GU953" s="46">
        <v>0</v>
      </c>
      <c r="GV953" s="113"/>
      <c r="GW953" s="113"/>
      <c r="GX953" s="113"/>
      <c r="GY953" s="113"/>
      <c r="GZ953" s="113"/>
      <c r="HA953" s="46">
        <v>0</v>
      </c>
      <c r="HB953" s="113"/>
      <c r="HC953" s="113"/>
      <c r="HD953" s="113"/>
      <c r="HE953" s="113"/>
      <c r="HF953" s="113"/>
      <c r="HG953" s="46">
        <v>0</v>
      </c>
      <c r="HH953" s="113"/>
      <c r="HI953" s="113"/>
      <c r="HJ953" s="113"/>
      <c r="HK953" s="113"/>
      <c r="HL953" s="113"/>
      <c r="HM953" s="121"/>
      <c r="HN953" s="121"/>
      <c r="LM953" t="str">
        <v/>
      </c>
      <c r="LN953" t="str">
        <v/>
      </c>
      <c r="LO953" t="str">
        <v/>
      </c>
    </row>
    <row r="954" spans="30:327">
      <c r="AD954" t="s">
        <v>114</v>
      </c>
      <c r="AE954" t="s">
        <v>23097</v>
      </c>
      <c r="AF954" s="46">
        <v>0</v>
      </c>
      <c r="AG954" s="113"/>
      <c r="AH954" s="113"/>
      <c r="AI954" s="113"/>
      <c r="AJ954" s="113"/>
      <c r="AK954" s="113"/>
      <c r="AL954" s="46">
        <v>0</v>
      </c>
      <c r="AM954" s="113"/>
      <c r="AN954" s="113"/>
      <c r="AO954" s="113"/>
      <c r="AP954" s="113"/>
      <c r="AQ954" s="113"/>
      <c r="AR954" s="46">
        <v>0</v>
      </c>
      <c r="AS954" s="113"/>
      <c r="AT954" s="113"/>
      <c r="AU954" s="113"/>
      <c r="AV954" s="113"/>
      <c r="AW954" s="113"/>
      <c r="AX954" s="46">
        <v>0</v>
      </c>
      <c r="AY954" s="113"/>
      <c r="AZ954" s="113"/>
      <c r="BA954" s="113"/>
      <c r="BB954" s="113"/>
      <c r="BC954" s="113"/>
      <c r="BD954" s="46">
        <v>0</v>
      </c>
      <c r="BE954" s="113"/>
      <c r="BF954" s="113"/>
      <c r="BG954" s="113"/>
      <c r="BH954" s="113"/>
      <c r="BI954" s="113"/>
      <c r="BJ954" s="46">
        <v>0</v>
      </c>
      <c r="BK954" s="113"/>
      <c r="BL954" s="113"/>
      <c r="BM954" s="113"/>
      <c r="BN954" s="113"/>
      <c r="BO954" s="113"/>
      <c r="BP954" s="121"/>
      <c r="BQ954" s="121"/>
      <c r="GA954" t="s">
        <v>114</v>
      </c>
      <c r="GB954" t="s">
        <v>23097</v>
      </c>
      <c r="GC954" s="46">
        <v>0</v>
      </c>
      <c r="GD954" s="113"/>
      <c r="GE954" s="113"/>
      <c r="GF954" s="113"/>
      <c r="GG954" s="113"/>
      <c r="GH954" s="113"/>
      <c r="GI954" s="46">
        <v>0</v>
      </c>
      <c r="GJ954" s="113"/>
      <c r="GK954" s="113"/>
      <c r="GL954" s="113"/>
      <c r="GM954" s="113"/>
      <c r="GN954" s="113"/>
      <c r="GO954" s="46">
        <v>0</v>
      </c>
      <c r="GP954" s="113"/>
      <c r="GQ954" s="113"/>
      <c r="GR954" s="113"/>
      <c r="GS954" s="113"/>
      <c r="GT954" s="113"/>
      <c r="GU954" s="46">
        <v>0</v>
      </c>
      <c r="GV954" s="113"/>
      <c r="GW954" s="113"/>
      <c r="GX954" s="113"/>
      <c r="GY954" s="113"/>
      <c r="GZ954" s="113"/>
      <c r="HA954" s="46">
        <v>0</v>
      </c>
      <c r="HB954" s="113"/>
      <c r="HC954" s="113"/>
      <c r="HD954" s="113"/>
      <c r="HE954" s="113"/>
      <c r="HF954" s="113"/>
      <c r="HG954" s="46">
        <v>0</v>
      </c>
      <c r="HH954" s="113"/>
      <c r="HI954" s="113"/>
      <c r="HJ954" s="113"/>
      <c r="HK954" s="113"/>
      <c r="HL954" s="113"/>
      <c r="HM954" s="121"/>
      <c r="HN954" s="121"/>
      <c r="LM954" t="str">
        <v/>
      </c>
      <c r="LN954" t="str">
        <v/>
      </c>
      <c r="LO954" t="str">
        <v/>
      </c>
    </row>
    <row r="955" spans="30:327">
      <c r="AD955" t="s">
        <v>114</v>
      </c>
      <c r="AE955" t="s">
        <v>23098</v>
      </c>
      <c r="AF955" s="46">
        <v>0</v>
      </c>
      <c r="AG955" s="113"/>
      <c r="AH955" s="113"/>
      <c r="AI955" s="113"/>
      <c r="AJ955" s="113"/>
      <c r="AK955" s="113"/>
      <c r="AL955" s="46">
        <v>0</v>
      </c>
      <c r="AM955" s="113"/>
      <c r="AN955" s="113"/>
      <c r="AO955" s="113"/>
      <c r="AP955" s="113"/>
      <c r="AQ955" s="113"/>
      <c r="AR955" s="46">
        <v>0</v>
      </c>
      <c r="AS955" s="113"/>
      <c r="AT955" s="113"/>
      <c r="AU955" s="113"/>
      <c r="AV955" s="113"/>
      <c r="AW955" s="113"/>
      <c r="AX955" s="46">
        <v>0</v>
      </c>
      <c r="AY955" s="113"/>
      <c r="AZ955" s="113"/>
      <c r="BA955" s="113"/>
      <c r="BB955" s="113"/>
      <c r="BC955" s="113"/>
      <c r="BD955" s="46">
        <v>0</v>
      </c>
      <c r="BE955" s="113"/>
      <c r="BF955" s="113"/>
      <c r="BG955" s="113"/>
      <c r="BH955" s="113"/>
      <c r="BI955" s="113"/>
      <c r="BJ955" s="46">
        <v>0</v>
      </c>
      <c r="BK955" s="113"/>
      <c r="BL955" s="113"/>
      <c r="BM955" s="113"/>
      <c r="BN955" s="113"/>
      <c r="BO955" s="113"/>
      <c r="BP955" s="121"/>
      <c r="BQ955" s="121"/>
      <c r="GA955" t="s">
        <v>114</v>
      </c>
      <c r="GB955" t="s">
        <v>23098</v>
      </c>
      <c r="GC955" s="46">
        <v>0</v>
      </c>
      <c r="GD955" s="113"/>
      <c r="GE955" s="113"/>
      <c r="GF955" s="113"/>
      <c r="GG955" s="113"/>
      <c r="GH955" s="113"/>
      <c r="GI955" s="46">
        <v>0</v>
      </c>
      <c r="GJ955" s="113"/>
      <c r="GK955" s="113"/>
      <c r="GL955" s="113"/>
      <c r="GM955" s="113"/>
      <c r="GN955" s="113"/>
      <c r="GO955" s="46">
        <v>0</v>
      </c>
      <c r="GP955" s="113"/>
      <c r="GQ955" s="113"/>
      <c r="GR955" s="113"/>
      <c r="GS955" s="113"/>
      <c r="GT955" s="113"/>
      <c r="GU955" s="46">
        <v>0</v>
      </c>
      <c r="GV955" s="113"/>
      <c r="GW955" s="113"/>
      <c r="GX955" s="113"/>
      <c r="GY955" s="113"/>
      <c r="GZ955" s="113"/>
      <c r="HA955" s="46">
        <v>0</v>
      </c>
      <c r="HB955" s="113"/>
      <c r="HC955" s="113"/>
      <c r="HD955" s="113"/>
      <c r="HE955" s="113"/>
      <c r="HF955" s="113"/>
      <c r="HG955" s="46">
        <v>0</v>
      </c>
      <c r="HH955" s="113"/>
      <c r="HI955" s="113"/>
      <c r="HJ955" s="113"/>
      <c r="HK955" s="113"/>
      <c r="HL955" s="113"/>
      <c r="HM955" s="121"/>
      <c r="HN955" s="121"/>
      <c r="LM955" t="str">
        <v/>
      </c>
      <c r="LN955" t="str">
        <v/>
      </c>
      <c r="LO955" t="str">
        <v/>
      </c>
    </row>
    <row r="956" spans="30:327">
      <c r="AD956" t="s">
        <v>114</v>
      </c>
      <c r="AE956" t="s">
        <v>23099</v>
      </c>
      <c r="AF956" s="46">
        <v>0</v>
      </c>
      <c r="AG956" s="113"/>
      <c r="AH956" s="113"/>
      <c r="AI956" s="113"/>
      <c r="AJ956" s="113"/>
      <c r="AK956" s="113"/>
      <c r="AL956" s="46">
        <v>0</v>
      </c>
      <c r="AM956" s="113"/>
      <c r="AN956" s="113"/>
      <c r="AO956" s="113"/>
      <c r="AP956" s="113"/>
      <c r="AQ956" s="113"/>
      <c r="AR956" s="46">
        <v>0</v>
      </c>
      <c r="AS956" s="113"/>
      <c r="AT956" s="113"/>
      <c r="AU956" s="113"/>
      <c r="AV956" s="113"/>
      <c r="AW956" s="113"/>
      <c r="AX956" s="46">
        <v>0</v>
      </c>
      <c r="AY956" s="113"/>
      <c r="AZ956" s="113"/>
      <c r="BA956" s="113"/>
      <c r="BB956" s="113"/>
      <c r="BC956" s="113"/>
      <c r="BD956" s="46">
        <v>0</v>
      </c>
      <c r="BE956" s="113"/>
      <c r="BF956" s="113"/>
      <c r="BG956" s="113"/>
      <c r="BH956" s="113"/>
      <c r="BI956" s="113"/>
      <c r="BJ956" s="46">
        <v>0</v>
      </c>
      <c r="BK956" s="113"/>
      <c r="BL956" s="113"/>
      <c r="BM956" s="113"/>
      <c r="BN956" s="113"/>
      <c r="BO956" s="113"/>
      <c r="BP956" s="121"/>
      <c r="BQ956" s="121"/>
      <c r="GA956" t="s">
        <v>114</v>
      </c>
      <c r="GB956" t="s">
        <v>23099</v>
      </c>
      <c r="GC956" s="46">
        <v>0</v>
      </c>
      <c r="GD956" s="113"/>
      <c r="GE956" s="113"/>
      <c r="GF956" s="113"/>
      <c r="GG956" s="113"/>
      <c r="GH956" s="113"/>
      <c r="GI956" s="46">
        <v>0</v>
      </c>
      <c r="GJ956" s="113"/>
      <c r="GK956" s="113"/>
      <c r="GL956" s="113"/>
      <c r="GM956" s="113"/>
      <c r="GN956" s="113"/>
      <c r="GO956" s="46">
        <v>0</v>
      </c>
      <c r="GP956" s="113"/>
      <c r="GQ956" s="113"/>
      <c r="GR956" s="113"/>
      <c r="GS956" s="113"/>
      <c r="GT956" s="113"/>
      <c r="GU956" s="46">
        <v>0</v>
      </c>
      <c r="GV956" s="113"/>
      <c r="GW956" s="113"/>
      <c r="GX956" s="113"/>
      <c r="GY956" s="113"/>
      <c r="GZ956" s="113"/>
      <c r="HA956" s="46">
        <v>0</v>
      </c>
      <c r="HB956" s="113"/>
      <c r="HC956" s="113"/>
      <c r="HD956" s="113"/>
      <c r="HE956" s="113"/>
      <c r="HF956" s="113"/>
      <c r="HG956" s="46">
        <v>0</v>
      </c>
      <c r="HH956" s="113"/>
      <c r="HI956" s="113"/>
      <c r="HJ956" s="113"/>
      <c r="HK956" s="113"/>
      <c r="HL956" s="113"/>
      <c r="HM956" s="121"/>
      <c r="HN956" s="121"/>
      <c r="LM956" t="str">
        <v/>
      </c>
      <c r="LN956" t="str">
        <v/>
      </c>
      <c r="LO956" t="str">
        <v/>
      </c>
    </row>
    <row r="957" spans="30:327">
      <c r="AD957" t="s">
        <v>114</v>
      </c>
      <c r="AE957" t="s">
        <v>23100</v>
      </c>
      <c r="AF957" s="46">
        <v>0</v>
      </c>
      <c r="AG957" s="113"/>
      <c r="AH957" s="113"/>
      <c r="AI957" s="113"/>
      <c r="AJ957" s="113"/>
      <c r="AK957" s="113"/>
      <c r="AL957" s="46">
        <v>0</v>
      </c>
      <c r="AM957" s="113"/>
      <c r="AN957" s="113"/>
      <c r="AO957" s="113"/>
      <c r="AP957" s="113"/>
      <c r="AQ957" s="113"/>
      <c r="AR957" s="46">
        <v>0</v>
      </c>
      <c r="AS957" s="113"/>
      <c r="AT957" s="113"/>
      <c r="AU957" s="113"/>
      <c r="AV957" s="113"/>
      <c r="AW957" s="113"/>
      <c r="AX957" s="46">
        <v>0</v>
      </c>
      <c r="AY957" s="113"/>
      <c r="AZ957" s="113"/>
      <c r="BA957" s="113"/>
      <c r="BB957" s="113"/>
      <c r="BC957" s="113"/>
      <c r="BD957" s="46">
        <v>0</v>
      </c>
      <c r="BE957" s="113"/>
      <c r="BF957" s="113"/>
      <c r="BG957" s="113"/>
      <c r="BH957" s="113"/>
      <c r="BI957" s="113"/>
      <c r="BJ957" s="46">
        <v>0</v>
      </c>
      <c r="BK957" s="113"/>
      <c r="BL957" s="113"/>
      <c r="BM957" s="113"/>
      <c r="BN957" s="113"/>
      <c r="BO957" s="113"/>
      <c r="BP957" s="121"/>
      <c r="BQ957" s="121"/>
      <c r="GA957" t="s">
        <v>114</v>
      </c>
      <c r="GB957" t="s">
        <v>23100</v>
      </c>
      <c r="GC957" s="46">
        <v>0</v>
      </c>
      <c r="GD957" s="113"/>
      <c r="GE957" s="113"/>
      <c r="GF957" s="113"/>
      <c r="GG957" s="113"/>
      <c r="GH957" s="113"/>
      <c r="GI957" s="46">
        <v>0</v>
      </c>
      <c r="GJ957" s="113"/>
      <c r="GK957" s="113"/>
      <c r="GL957" s="113"/>
      <c r="GM957" s="113"/>
      <c r="GN957" s="113"/>
      <c r="GO957" s="46">
        <v>0</v>
      </c>
      <c r="GP957" s="113"/>
      <c r="GQ957" s="113"/>
      <c r="GR957" s="113"/>
      <c r="GS957" s="113"/>
      <c r="GT957" s="113"/>
      <c r="GU957" s="46">
        <v>0</v>
      </c>
      <c r="GV957" s="113"/>
      <c r="GW957" s="113"/>
      <c r="GX957" s="113"/>
      <c r="GY957" s="113"/>
      <c r="GZ957" s="113"/>
      <c r="HA957" s="46">
        <v>0</v>
      </c>
      <c r="HB957" s="113"/>
      <c r="HC957" s="113"/>
      <c r="HD957" s="113"/>
      <c r="HE957" s="113"/>
      <c r="HF957" s="113"/>
      <c r="HG957" s="46">
        <v>0</v>
      </c>
      <c r="HH957" s="113"/>
      <c r="HI957" s="113"/>
      <c r="HJ957" s="113"/>
      <c r="HK957" s="113"/>
      <c r="HL957" s="113"/>
      <c r="HM957" s="121"/>
      <c r="HN957" s="121"/>
      <c r="LM957" t="str">
        <v/>
      </c>
      <c r="LN957" t="str">
        <v/>
      </c>
      <c r="LO957" t="str">
        <v/>
      </c>
    </row>
    <row r="958" spans="30:327">
      <c r="AD958" t="s">
        <v>114</v>
      </c>
      <c r="AE958" t="s">
        <v>23101</v>
      </c>
      <c r="AF958" s="46">
        <v>0</v>
      </c>
      <c r="AG958" s="113"/>
      <c r="AH958" s="113"/>
      <c r="AI958" s="113"/>
      <c r="AJ958" s="113"/>
      <c r="AK958" s="113"/>
      <c r="AL958" s="46">
        <v>0</v>
      </c>
      <c r="AM958" s="113"/>
      <c r="AN958" s="113"/>
      <c r="AO958" s="113"/>
      <c r="AP958" s="113"/>
      <c r="AQ958" s="113"/>
      <c r="AR958" s="46">
        <v>0</v>
      </c>
      <c r="AS958" s="113"/>
      <c r="AT958" s="113"/>
      <c r="AU958" s="113"/>
      <c r="AV958" s="113"/>
      <c r="AW958" s="113"/>
      <c r="AX958" s="46">
        <v>0</v>
      </c>
      <c r="AY958" s="113"/>
      <c r="AZ958" s="113"/>
      <c r="BA958" s="113"/>
      <c r="BB958" s="113"/>
      <c r="BC958" s="113"/>
      <c r="BD958" s="46">
        <v>0</v>
      </c>
      <c r="BE958" s="113"/>
      <c r="BF958" s="113"/>
      <c r="BG958" s="113"/>
      <c r="BH958" s="113"/>
      <c r="BI958" s="113"/>
      <c r="BJ958" s="46">
        <v>0</v>
      </c>
      <c r="BK958" s="113"/>
      <c r="BL958" s="113"/>
      <c r="BM958" s="113"/>
      <c r="BN958" s="113"/>
      <c r="BO958" s="113"/>
      <c r="BP958" s="121"/>
      <c r="BQ958" s="121"/>
      <c r="GA958" t="s">
        <v>114</v>
      </c>
      <c r="GB958" t="s">
        <v>23101</v>
      </c>
      <c r="GC958" s="46">
        <v>0</v>
      </c>
      <c r="GD958" s="113"/>
      <c r="GE958" s="113"/>
      <c r="GF958" s="113"/>
      <c r="GG958" s="113"/>
      <c r="GH958" s="113"/>
      <c r="GI958" s="46">
        <v>0</v>
      </c>
      <c r="GJ958" s="113"/>
      <c r="GK958" s="113"/>
      <c r="GL958" s="113"/>
      <c r="GM958" s="113"/>
      <c r="GN958" s="113"/>
      <c r="GO958" s="46">
        <v>0</v>
      </c>
      <c r="GP958" s="113"/>
      <c r="GQ958" s="113"/>
      <c r="GR958" s="113"/>
      <c r="GS958" s="113"/>
      <c r="GT958" s="113"/>
      <c r="GU958" s="46">
        <v>0</v>
      </c>
      <c r="GV958" s="113"/>
      <c r="GW958" s="113"/>
      <c r="GX958" s="113"/>
      <c r="GY958" s="113"/>
      <c r="GZ958" s="113"/>
      <c r="HA958" s="46">
        <v>0</v>
      </c>
      <c r="HB958" s="113"/>
      <c r="HC958" s="113"/>
      <c r="HD958" s="113"/>
      <c r="HE958" s="113"/>
      <c r="HF958" s="113"/>
      <c r="HG958" s="46">
        <v>0</v>
      </c>
      <c r="HH958" s="113"/>
      <c r="HI958" s="113"/>
      <c r="HJ958" s="113"/>
      <c r="HK958" s="113"/>
      <c r="HL958" s="113"/>
      <c r="HM958" s="121"/>
      <c r="HN958" s="121"/>
      <c r="LM958" t="str">
        <v/>
      </c>
      <c r="LN958" t="str">
        <v/>
      </c>
      <c r="LO958" t="str">
        <v/>
      </c>
    </row>
    <row r="959" spans="30:327">
      <c r="AD959" t="s">
        <v>114</v>
      </c>
      <c r="AE959" t="s">
        <v>23102</v>
      </c>
      <c r="AF959" s="46">
        <v>0</v>
      </c>
      <c r="AG959" s="113"/>
      <c r="AH959" s="113"/>
      <c r="AI959" s="113"/>
      <c r="AJ959" s="113"/>
      <c r="AK959" s="113"/>
      <c r="AL959" s="46">
        <v>0</v>
      </c>
      <c r="AM959" s="113"/>
      <c r="AN959" s="113"/>
      <c r="AO959" s="113"/>
      <c r="AP959" s="113"/>
      <c r="AQ959" s="113"/>
      <c r="AR959" s="46">
        <v>0</v>
      </c>
      <c r="AS959" s="113"/>
      <c r="AT959" s="113"/>
      <c r="AU959" s="113"/>
      <c r="AV959" s="113"/>
      <c r="AW959" s="113"/>
      <c r="AX959" s="46">
        <v>0</v>
      </c>
      <c r="AY959" s="113"/>
      <c r="AZ959" s="113"/>
      <c r="BA959" s="113"/>
      <c r="BB959" s="113"/>
      <c r="BC959" s="113"/>
      <c r="BD959" s="46">
        <v>0</v>
      </c>
      <c r="BE959" s="113"/>
      <c r="BF959" s="113"/>
      <c r="BG959" s="113"/>
      <c r="BH959" s="113"/>
      <c r="BI959" s="113"/>
      <c r="BJ959" s="46">
        <v>0</v>
      </c>
      <c r="BK959" s="113"/>
      <c r="BL959" s="113"/>
      <c r="BM959" s="113"/>
      <c r="BN959" s="113"/>
      <c r="BO959" s="113"/>
      <c r="BP959" s="121"/>
      <c r="BQ959" s="121"/>
      <c r="GA959" t="s">
        <v>114</v>
      </c>
      <c r="GB959" t="s">
        <v>23102</v>
      </c>
      <c r="GC959" s="46">
        <v>0</v>
      </c>
      <c r="GD959" s="113"/>
      <c r="GE959" s="113"/>
      <c r="GF959" s="113"/>
      <c r="GG959" s="113"/>
      <c r="GH959" s="113"/>
      <c r="GI959" s="46">
        <v>0</v>
      </c>
      <c r="GJ959" s="113"/>
      <c r="GK959" s="113"/>
      <c r="GL959" s="113"/>
      <c r="GM959" s="113"/>
      <c r="GN959" s="113"/>
      <c r="GO959" s="46">
        <v>0</v>
      </c>
      <c r="GP959" s="113"/>
      <c r="GQ959" s="113"/>
      <c r="GR959" s="113"/>
      <c r="GS959" s="113"/>
      <c r="GT959" s="113"/>
      <c r="GU959" s="46">
        <v>0</v>
      </c>
      <c r="GV959" s="113"/>
      <c r="GW959" s="113"/>
      <c r="GX959" s="113"/>
      <c r="GY959" s="113"/>
      <c r="GZ959" s="113"/>
      <c r="HA959" s="46">
        <v>0</v>
      </c>
      <c r="HB959" s="113"/>
      <c r="HC959" s="113"/>
      <c r="HD959" s="113"/>
      <c r="HE959" s="113"/>
      <c r="HF959" s="113"/>
      <c r="HG959" s="46">
        <v>0</v>
      </c>
      <c r="HH959" s="113"/>
      <c r="HI959" s="113"/>
      <c r="HJ959" s="113"/>
      <c r="HK959" s="113"/>
      <c r="HL959" s="113"/>
      <c r="HM959" s="121"/>
      <c r="HN959" s="121"/>
      <c r="LM959" t="str">
        <v/>
      </c>
      <c r="LN959" t="str">
        <v/>
      </c>
      <c r="LO959" t="str">
        <v/>
      </c>
    </row>
    <row r="960" spans="30:327">
      <c r="AD960" t="s">
        <v>114</v>
      </c>
      <c r="AE960" t="s">
        <v>23103</v>
      </c>
      <c r="AF960" s="46">
        <v>0</v>
      </c>
      <c r="AG960" s="113"/>
      <c r="AH960" s="113"/>
      <c r="AI960" s="113"/>
      <c r="AJ960" s="113"/>
      <c r="AK960" s="113"/>
      <c r="AL960" s="46">
        <v>0</v>
      </c>
      <c r="AM960" s="113"/>
      <c r="AN960" s="113"/>
      <c r="AO960" s="113"/>
      <c r="AP960" s="113"/>
      <c r="AQ960" s="113"/>
      <c r="AR960" s="46">
        <v>0</v>
      </c>
      <c r="AS960" s="113"/>
      <c r="AT960" s="113"/>
      <c r="AU960" s="113"/>
      <c r="AV960" s="113"/>
      <c r="AW960" s="113"/>
      <c r="AX960" s="46">
        <v>0</v>
      </c>
      <c r="AY960" s="113"/>
      <c r="AZ960" s="113"/>
      <c r="BA960" s="113"/>
      <c r="BB960" s="113"/>
      <c r="BC960" s="113"/>
      <c r="BD960" s="46">
        <v>0</v>
      </c>
      <c r="BE960" s="113"/>
      <c r="BF960" s="113"/>
      <c r="BG960" s="113"/>
      <c r="BH960" s="113"/>
      <c r="BI960" s="113"/>
      <c r="BJ960" s="46">
        <v>0</v>
      </c>
      <c r="BK960" s="113"/>
      <c r="BL960" s="113"/>
      <c r="BM960" s="113"/>
      <c r="BN960" s="113"/>
      <c r="BO960" s="113"/>
      <c r="BP960" s="121"/>
      <c r="BQ960" s="121"/>
      <c r="GA960" t="s">
        <v>114</v>
      </c>
      <c r="GB960" t="s">
        <v>23103</v>
      </c>
      <c r="GC960" s="46">
        <v>0</v>
      </c>
      <c r="GD960" s="113"/>
      <c r="GE960" s="113"/>
      <c r="GF960" s="113"/>
      <c r="GG960" s="113"/>
      <c r="GH960" s="113"/>
      <c r="GI960" s="46">
        <v>0</v>
      </c>
      <c r="GJ960" s="113"/>
      <c r="GK960" s="113"/>
      <c r="GL960" s="113"/>
      <c r="GM960" s="113"/>
      <c r="GN960" s="113"/>
      <c r="GO960" s="46">
        <v>0</v>
      </c>
      <c r="GP960" s="113"/>
      <c r="GQ960" s="113"/>
      <c r="GR960" s="113"/>
      <c r="GS960" s="113"/>
      <c r="GT960" s="113"/>
      <c r="GU960" s="46">
        <v>0</v>
      </c>
      <c r="GV960" s="113"/>
      <c r="GW960" s="113"/>
      <c r="GX960" s="113"/>
      <c r="GY960" s="113"/>
      <c r="GZ960" s="113"/>
      <c r="HA960" s="46">
        <v>0</v>
      </c>
      <c r="HB960" s="113"/>
      <c r="HC960" s="113"/>
      <c r="HD960" s="113"/>
      <c r="HE960" s="113"/>
      <c r="HF960" s="113"/>
      <c r="HG960" s="46">
        <v>0</v>
      </c>
      <c r="HH960" s="113"/>
      <c r="HI960" s="113"/>
      <c r="HJ960" s="113"/>
      <c r="HK960" s="113"/>
      <c r="HL960" s="113"/>
      <c r="HM960" s="121"/>
      <c r="HN960" s="121"/>
      <c r="LM960" t="str">
        <v/>
      </c>
      <c r="LN960" t="str">
        <v/>
      </c>
      <c r="LO960" t="str">
        <v/>
      </c>
    </row>
    <row r="961" spans="30:327">
      <c r="AD961" t="s">
        <v>114</v>
      </c>
      <c r="AE961" t="s">
        <v>23104</v>
      </c>
      <c r="AF961" s="46">
        <v>0</v>
      </c>
      <c r="AG961" s="113"/>
      <c r="AH961" s="113"/>
      <c r="AI961" s="113"/>
      <c r="AJ961" s="113"/>
      <c r="AK961" s="113"/>
      <c r="AL961" s="46">
        <v>0</v>
      </c>
      <c r="AM961" s="113"/>
      <c r="AN961" s="113"/>
      <c r="AO961" s="113"/>
      <c r="AP961" s="113"/>
      <c r="AQ961" s="113"/>
      <c r="AR961" s="46">
        <v>0</v>
      </c>
      <c r="AS961" s="113"/>
      <c r="AT961" s="113"/>
      <c r="AU961" s="113"/>
      <c r="AV961" s="113"/>
      <c r="AW961" s="113"/>
      <c r="AX961" s="46">
        <v>0</v>
      </c>
      <c r="AY961" s="113"/>
      <c r="AZ961" s="113"/>
      <c r="BA961" s="113"/>
      <c r="BB961" s="113"/>
      <c r="BC961" s="113"/>
      <c r="BD961" s="46">
        <v>0</v>
      </c>
      <c r="BE961" s="113"/>
      <c r="BF961" s="113"/>
      <c r="BG961" s="113"/>
      <c r="BH961" s="113"/>
      <c r="BI961" s="113"/>
      <c r="BJ961" s="46">
        <v>0</v>
      </c>
      <c r="BK961" s="113"/>
      <c r="BL961" s="113"/>
      <c r="BM961" s="113"/>
      <c r="BN961" s="113"/>
      <c r="BO961" s="113"/>
      <c r="BP961" s="121"/>
      <c r="BQ961" s="121"/>
      <c r="GA961" t="s">
        <v>114</v>
      </c>
      <c r="GB961" t="s">
        <v>23104</v>
      </c>
      <c r="GC961" s="46">
        <v>0</v>
      </c>
      <c r="GD961" s="113"/>
      <c r="GE961" s="113"/>
      <c r="GF961" s="113"/>
      <c r="GG961" s="113"/>
      <c r="GH961" s="113"/>
      <c r="GI961" s="46">
        <v>0</v>
      </c>
      <c r="GJ961" s="113"/>
      <c r="GK961" s="113"/>
      <c r="GL961" s="113"/>
      <c r="GM961" s="113"/>
      <c r="GN961" s="113"/>
      <c r="GO961" s="46">
        <v>0</v>
      </c>
      <c r="GP961" s="113"/>
      <c r="GQ961" s="113"/>
      <c r="GR961" s="113"/>
      <c r="GS961" s="113"/>
      <c r="GT961" s="113"/>
      <c r="GU961" s="46">
        <v>0</v>
      </c>
      <c r="GV961" s="113"/>
      <c r="GW961" s="113"/>
      <c r="GX961" s="113"/>
      <c r="GY961" s="113"/>
      <c r="GZ961" s="113"/>
      <c r="HA961" s="46">
        <v>0</v>
      </c>
      <c r="HB961" s="113"/>
      <c r="HC961" s="113"/>
      <c r="HD961" s="113"/>
      <c r="HE961" s="113"/>
      <c r="HF961" s="113"/>
      <c r="HG961" s="46">
        <v>0</v>
      </c>
      <c r="HH961" s="113"/>
      <c r="HI961" s="113"/>
      <c r="HJ961" s="113"/>
      <c r="HK961" s="113"/>
      <c r="HL961" s="113"/>
      <c r="HM961" s="121"/>
      <c r="HN961" s="121"/>
      <c r="LM961" t="str">
        <v/>
      </c>
      <c r="LN961" t="str">
        <v/>
      </c>
      <c r="LO961" t="str">
        <v/>
      </c>
    </row>
    <row r="962" spans="30:327">
      <c r="AD962" t="s">
        <v>114</v>
      </c>
      <c r="AE962" t="s">
        <v>23105</v>
      </c>
      <c r="AF962" s="46">
        <v>0</v>
      </c>
      <c r="AG962" s="113"/>
      <c r="AH962" s="113"/>
      <c r="AI962" s="113"/>
      <c r="AJ962" s="113"/>
      <c r="AK962" s="113"/>
      <c r="AL962" s="46">
        <v>0</v>
      </c>
      <c r="AM962" s="113"/>
      <c r="AN962" s="113"/>
      <c r="AO962" s="113"/>
      <c r="AP962" s="113"/>
      <c r="AQ962" s="113"/>
      <c r="AR962" s="46">
        <v>0</v>
      </c>
      <c r="AS962" s="113"/>
      <c r="AT962" s="113"/>
      <c r="AU962" s="113"/>
      <c r="AV962" s="113"/>
      <c r="AW962" s="113"/>
      <c r="AX962" s="46">
        <v>0</v>
      </c>
      <c r="AY962" s="113"/>
      <c r="AZ962" s="113"/>
      <c r="BA962" s="113"/>
      <c r="BB962" s="113"/>
      <c r="BC962" s="113"/>
      <c r="BD962" s="46">
        <v>0</v>
      </c>
      <c r="BE962" s="113"/>
      <c r="BF962" s="113"/>
      <c r="BG962" s="113"/>
      <c r="BH962" s="113"/>
      <c r="BI962" s="113"/>
      <c r="BJ962" s="46">
        <v>0</v>
      </c>
      <c r="BK962" s="113"/>
      <c r="BL962" s="113"/>
      <c r="BM962" s="113"/>
      <c r="BN962" s="113"/>
      <c r="BO962" s="113"/>
      <c r="BP962" s="121"/>
      <c r="BQ962" s="121"/>
      <c r="GA962" t="s">
        <v>114</v>
      </c>
      <c r="GB962" t="s">
        <v>23105</v>
      </c>
      <c r="GC962" s="46">
        <v>0</v>
      </c>
      <c r="GD962" s="113"/>
      <c r="GE962" s="113"/>
      <c r="GF962" s="113"/>
      <c r="GG962" s="113"/>
      <c r="GH962" s="113"/>
      <c r="GI962" s="46">
        <v>0</v>
      </c>
      <c r="GJ962" s="113"/>
      <c r="GK962" s="113"/>
      <c r="GL962" s="113"/>
      <c r="GM962" s="113"/>
      <c r="GN962" s="113"/>
      <c r="GO962" s="46">
        <v>0</v>
      </c>
      <c r="GP962" s="113"/>
      <c r="GQ962" s="113"/>
      <c r="GR962" s="113"/>
      <c r="GS962" s="113"/>
      <c r="GT962" s="113"/>
      <c r="GU962" s="46">
        <v>0</v>
      </c>
      <c r="GV962" s="113"/>
      <c r="GW962" s="113"/>
      <c r="GX962" s="113"/>
      <c r="GY962" s="113"/>
      <c r="GZ962" s="113"/>
      <c r="HA962" s="46">
        <v>0</v>
      </c>
      <c r="HB962" s="113"/>
      <c r="HC962" s="113"/>
      <c r="HD962" s="113"/>
      <c r="HE962" s="113"/>
      <c r="HF962" s="113"/>
      <c r="HG962" s="46">
        <v>0</v>
      </c>
      <c r="HH962" s="113"/>
      <c r="HI962" s="113"/>
      <c r="HJ962" s="113"/>
      <c r="HK962" s="113"/>
      <c r="HL962" s="113"/>
      <c r="HM962" s="121"/>
      <c r="HN962" s="121"/>
      <c r="LM962" t="str">
        <v/>
      </c>
      <c r="LN962" t="str">
        <v/>
      </c>
      <c r="LO962" t="str">
        <v/>
      </c>
    </row>
    <row r="963" spans="30:327">
      <c r="AD963" t="s">
        <v>114</v>
      </c>
      <c r="AE963" t="s">
        <v>23106</v>
      </c>
      <c r="AF963" s="46">
        <v>0</v>
      </c>
      <c r="AG963" s="113"/>
      <c r="AH963" s="113"/>
      <c r="AI963" s="113"/>
      <c r="AJ963" s="113"/>
      <c r="AK963" s="113"/>
      <c r="AL963" s="46">
        <v>0</v>
      </c>
      <c r="AM963" s="113"/>
      <c r="AN963" s="113"/>
      <c r="AO963" s="113"/>
      <c r="AP963" s="113"/>
      <c r="AQ963" s="113"/>
      <c r="AR963" s="46">
        <v>0</v>
      </c>
      <c r="AS963" s="113"/>
      <c r="AT963" s="113"/>
      <c r="AU963" s="113"/>
      <c r="AV963" s="113"/>
      <c r="AW963" s="113"/>
      <c r="AX963" s="46">
        <v>0</v>
      </c>
      <c r="AY963" s="113"/>
      <c r="AZ963" s="113"/>
      <c r="BA963" s="113"/>
      <c r="BB963" s="113"/>
      <c r="BC963" s="113"/>
      <c r="BD963" s="46">
        <v>0</v>
      </c>
      <c r="BE963" s="113"/>
      <c r="BF963" s="113"/>
      <c r="BG963" s="113"/>
      <c r="BH963" s="113"/>
      <c r="BI963" s="113"/>
      <c r="BJ963" s="46">
        <v>0</v>
      </c>
      <c r="BK963" s="113"/>
      <c r="BL963" s="113"/>
      <c r="BM963" s="113"/>
      <c r="BN963" s="113"/>
      <c r="BO963" s="113"/>
      <c r="BP963" s="121"/>
      <c r="BQ963" s="121"/>
      <c r="GA963" t="s">
        <v>114</v>
      </c>
      <c r="GB963" t="s">
        <v>23106</v>
      </c>
      <c r="GC963" s="46">
        <v>0</v>
      </c>
      <c r="GD963" s="113"/>
      <c r="GE963" s="113"/>
      <c r="GF963" s="113"/>
      <c r="GG963" s="113"/>
      <c r="GH963" s="113"/>
      <c r="GI963" s="46">
        <v>0</v>
      </c>
      <c r="GJ963" s="113"/>
      <c r="GK963" s="113"/>
      <c r="GL963" s="113"/>
      <c r="GM963" s="113"/>
      <c r="GN963" s="113"/>
      <c r="GO963" s="46">
        <v>0</v>
      </c>
      <c r="GP963" s="113"/>
      <c r="GQ963" s="113"/>
      <c r="GR963" s="113"/>
      <c r="GS963" s="113"/>
      <c r="GT963" s="113"/>
      <c r="GU963" s="46">
        <v>0</v>
      </c>
      <c r="GV963" s="113"/>
      <c r="GW963" s="113"/>
      <c r="GX963" s="113"/>
      <c r="GY963" s="113"/>
      <c r="GZ963" s="113"/>
      <c r="HA963" s="46">
        <v>0</v>
      </c>
      <c r="HB963" s="113"/>
      <c r="HC963" s="113"/>
      <c r="HD963" s="113"/>
      <c r="HE963" s="113"/>
      <c r="HF963" s="113"/>
      <c r="HG963" s="46">
        <v>0</v>
      </c>
      <c r="HH963" s="113"/>
      <c r="HI963" s="113"/>
      <c r="HJ963" s="113"/>
      <c r="HK963" s="113"/>
      <c r="HL963" s="113"/>
      <c r="HM963" s="121"/>
      <c r="HN963" s="121"/>
      <c r="LM963" t="str">
        <v/>
      </c>
      <c r="LN963" t="str">
        <v/>
      </c>
      <c r="LO963" t="str">
        <v/>
      </c>
    </row>
    <row r="964" spans="30:327">
      <c r="AD964" t="s">
        <v>114</v>
      </c>
      <c r="AE964" t="s">
        <v>23107</v>
      </c>
      <c r="AF964" s="46">
        <v>0</v>
      </c>
      <c r="AG964" s="113"/>
      <c r="AH964" s="113"/>
      <c r="AI964" s="113"/>
      <c r="AJ964" s="113"/>
      <c r="AK964" s="113"/>
      <c r="AL964" s="46">
        <v>0</v>
      </c>
      <c r="AM964" s="113"/>
      <c r="AN964" s="113"/>
      <c r="AO964" s="113"/>
      <c r="AP964" s="113"/>
      <c r="AQ964" s="113"/>
      <c r="AR964" s="46">
        <v>0</v>
      </c>
      <c r="AS964" s="113"/>
      <c r="AT964" s="113"/>
      <c r="AU964" s="113"/>
      <c r="AV964" s="113"/>
      <c r="AW964" s="113"/>
      <c r="AX964" s="46">
        <v>0</v>
      </c>
      <c r="AY964" s="113"/>
      <c r="AZ964" s="113"/>
      <c r="BA964" s="113"/>
      <c r="BB964" s="113"/>
      <c r="BC964" s="113"/>
      <c r="BD964" s="46">
        <v>0</v>
      </c>
      <c r="BE964" s="113"/>
      <c r="BF964" s="113"/>
      <c r="BG964" s="113"/>
      <c r="BH964" s="113"/>
      <c r="BI964" s="113"/>
      <c r="BJ964" s="46">
        <v>0</v>
      </c>
      <c r="BK964" s="113"/>
      <c r="BL964" s="113"/>
      <c r="BM964" s="113"/>
      <c r="BN964" s="113"/>
      <c r="BO964" s="113"/>
      <c r="BP964" s="121"/>
      <c r="BQ964" s="121"/>
      <c r="GA964" t="s">
        <v>114</v>
      </c>
      <c r="GB964" t="s">
        <v>23107</v>
      </c>
      <c r="GC964" s="46">
        <v>0</v>
      </c>
      <c r="GD964" s="113"/>
      <c r="GE964" s="113"/>
      <c r="GF964" s="113"/>
      <c r="GG964" s="113"/>
      <c r="GH964" s="113"/>
      <c r="GI964" s="46">
        <v>0</v>
      </c>
      <c r="GJ964" s="113"/>
      <c r="GK964" s="113"/>
      <c r="GL964" s="113"/>
      <c r="GM964" s="113"/>
      <c r="GN964" s="113"/>
      <c r="GO964" s="46">
        <v>0</v>
      </c>
      <c r="GP964" s="113"/>
      <c r="GQ964" s="113"/>
      <c r="GR964" s="113"/>
      <c r="GS964" s="113"/>
      <c r="GT964" s="113"/>
      <c r="GU964" s="46">
        <v>0</v>
      </c>
      <c r="GV964" s="113"/>
      <c r="GW964" s="113"/>
      <c r="GX964" s="113"/>
      <c r="GY964" s="113"/>
      <c r="GZ964" s="113"/>
      <c r="HA964" s="46">
        <v>0</v>
      </c>
      <c r="HB964" s="113"/>
      <c r="HC964" s="113"/>
      <c r="HD964" s="113"/>
      <c r="HE964" s="113"/>
      <c r="HF964" s="113"/>
      <c r="HG964" s="46">
        <v>0</v>
      </c>
      <c r="HH964" s="113"/>
      <c r="HI964" s="113"/>
      <c r="HJ964" s="113"/>
      <c r="HK964" s="113"/>
      <c r="HL964" s="113"/>
      <c r="HM964" s="121"/>
      <c r="HN964" s="121"/>
      <c r="LM964" t="str">
        <v/>
      </c>
      <c r="LN964" t="str">
        <v/>
      </c>
      <c r="LO964" t="str">
        <v/>
      </c>
    </row>
    <row r="965" spans="30:327">
      <c r="AD965" t="s">
        <v>114</v>
      </c>
      <c r="AE965" t="s">
        <v>23108</v>
      </c>
      <c r="AF965" s="46">
        <v>0</v>
      </c>
      <c r="AG965" s="113"/>
      <c r="AH965" s="113"/>
      <c r="AI965" s="113"/>
      <c r="AJ965" s="113"/>
      <c r="AK965" s="113"/>
      <c r="AL965" s="46">
        <v>0</v>
      </c>
      <c r="AM965" s="113"/>
      <c r="AN965" s="113"/>
      <c r="AO965" s="113"/>
      <c r="AP965" s="113"/>
      <c r="AQ965" s="113"/>
      <c r="AR965" s="46">
        <v>0</v>
      </c>
      <c r="AS965" s="113"/>
      <c r="AT965" s="113"/>
      <c r="AU965" s="113"/>
      <c r="AV965" s="113"/>
      <c r="AW965" s="113"/>
      <c r="AX965" s="46">
        <v>0</v>
      </c>
      <c r="AY965" s="113"/>
      <c r="AZ965" s="113"/>
      <c r="BA965" s="113"/>
      <c r="BB965" s="113"/>
      <c r="BC965" s="113"/>
      <c r="BD965" s="46">
        <v>0</v>
      </c>
      <c r="BE965" s="113"/>
      <c r="BF965" s="113"/>
      <c r="BG965" s="113"/>
      <c r="BH965" s="113"/>
      <c r="BI965" s="113"/>
      <c r="BJ965" s="46">
        <v>0</v>
      </c>
      <c r="BK965" s="113"/>
      <c r="BL965" s="113"/>
      <c r="BM965" s="113"/>
      <c r="BN965" s="113"/>
      <c r="BO965" s="113"/>
      <c r="BP965" s="121"/>
      <c r="BQ965" s="121"/>
      <c r="GA965" t="s">
        <v>114</v>
      </c>
      <c r="GB965" t="s">
        <v>23108</v>
      </c>
      <c r="GC965" s="46">
        <v>0</v>
      </c>
      <c r="GD965" s="113"/>
      <c r="GE965" s="113"/>
      <c r="GF965" s="113"/>
      <c r="GG965" s="113"/>
      <c r="GH965" s="113"/>
      <c r="GI965" s="46">
        <v>0</v>
      </c>
      <c r="GJ965" s="113"/>
      <c r="GK965" s="113"/>
      <c r="GL965" s="113"/>
      <c r="GM965" s="113"/>
      <c r="GN965" s="113"/>
      <c r="GO965" s="46">
        <v>0</v>
      </c>
      <c r="GP965" s="113"/>
      <c r="GQ965" s="113"/>
      <c r="GR965" s="113"/>
      <c r="GS965" s="113"/>
      <c r="GT965" s="113"/>
      <c r="GU965" s="46">
        <v>0</v>
      </c>
      <c r="GV965" s="113"/>
      <c r="GW965" s="113"/>
      <c r="GX965" s="113"/>
      <c r="GY965" s="113"/>
      <c r="GZ965" s="113"/>
      <c r="HA965" s="46">
        <v>0</v>
      </c>
      <c r="HB965" s="113"/>
      <c r="HC965" s="113"/>
      <c r="HD965" s="113"/>
      <c r="HE965" s="113"/>
      <c r="HF965" s="113"/>
      <c r="HG965" s="46">
        <v>0</v>
      </c>
      <c r="HH965" s="113"/>
      <c r="HI965" s="113"/>
      <c r="HJ965" s="113"/>
      <c r="HK965" s="113"/>
      <c r="HL965" s="113"/>
      <c r="HM965" s="121"/>
      <c r="HN965" s="121"/>
      <c r="LM965" t="str">
        <v/>
      </c>
      <c r="LN965" t="str">
        <v/>
      </c>
      <c r="LO965" t="str">
        <v/>
      </c>
    </row>
    <row r="966" spans="30:327">
      <c r="AD966" t="s">
        <v>114</v>
      </c>
      <c r="AE966" t="s">
        <v>23109</v>
      </c>
      <c r="AF966" s="46">
        <v>0</v>
      </c>
      <c r="AG966" s="113"/>
      <c r="AH966" s="113"/>
      <c r="AI966" s="113"/>
      <c r="AJ966" s="113"/>
      <c r="AK966" s="113"/>
      <c r="AL966" s="46">
        <v>0</v>
      </c>
      <c r="AM966" s="113"/>
      <c r="AN966" s="113"/>
      <c r="AO966" s="113"/>
      <c r="AP966" s="113"/>
      <c r="AQ966" s="113"/>
      <c r="AR966" s="46">
        <v>0</v>
      </c>
      <c r="AS966" s="113"/>
      <c r="AT966" s="113"/>
      <c r="AU966" s="113"/>
      <c r="AV966" s="113"/>
      <c r="AW966" s="113"/>
      <c r="AX966" s="46">
        <v>0</v>
      </c>
      <c r="AY966" s="113"/>
      <c r="AZ966" s="113"/>
      <c r="BA966" s="113"/>
      <c r="BB966" s="113"/>
      <c r="BC966" s="113"/>
      <c r="BD966" s="46">
        <v>0</v>
      </c>
      <c r="BE966" s="113"/>
      <c r="BF966" s="113"/>
      <c r="BG966" s="113"/>
      <c r="BH966" s="113"/>
      <c r="BI966" s="113"/>
      <c r="BJ966" s="46">
        <v>0</v>
      </c>
      <c r="BK966" s="113"/>
      <c r="BL966" s="113"/>
      <c r="BM966" s="113"/>
      <c r="BN966" s="113"/>
      <c r="BO966" s="113"/>
      <c r="BP966" s="121"/>
      <c r="BQ966" s="121"/>
      <c r="GA966" t="s">
        <v>114</v>
      </c>
      <c r="GB966" t="s">
        <v>23109</v>
      </c>
      <c r="GC966" s="46">
        <v>0</v>
      </c>
      <c r="GD966" s="113"/>
      <c r="GE966" s="113"/>
      <c r="GF966" s="113"/>
      <c r="GG966" s="113"/>
      <c r="GH966" s="113"/>
      <c r="GI966" s="46">
        <v>0</v>
      </c>
      <c r="GJ966" s="113"/>
      <c r="GK966" s="113"/>
      <c r="GL966" s="113"/>
      <c r="GM966" s="113"/>
      <c r="GN966" s="113"/>
      <c r="GO966" s="46">
        <v>0</v>
      </c>
      <c r="GP966" s="113"/>
      <c r="GQ966" s="113"/>
      <c r="GR966" s="113"/>
      <c r="GS966" s="113"/>
      <c r="GT966" s="113"/>
      <c r="GU966" s="46">
        <v>0</v>
      </c>
      <c r="GV966" s="113"/>
      <c r="GW966" s="113"/>
      <c r="GX966" s="113"/>
      <c r="GY966" s="113"/>
      <c r="GZ966" s="113"/>
      <c r="HA966" s="46">
        <v>0</v>
      </c>
      <c r="HB966" s="113"/>
      <c r="HC966" s="113"/>
      <c r="HD966" s="113"/>
      <c r="HE966" s="113"/>
      <c r="HF966" s="113"/>
      <c r="HG966" s="46">
        <v>0</v>
      </c>
      <c r="HH966" s="113"/>
      <c r="HI966" s="113"/>
      <c r="HJ966" s="113"/>
      <c r="HK966" s="113"/>
      <c r="HL966" s="113"/>
      <c r="HM966" s="121"/>
      <c r="HN966" s="121"/>
      <c r="LM966" t="str">
        <v/>
      </c>
      <c r="LN966" t="str">
        <v/>
      </c>
      <c r="LO966" t="str">
        <v/>
      </c>
    </row>
    <row r="967" spans="30:327">
      <c r="AD967" t="s">
        <v>114</v>
      </c>
      <c r="AE967" t="s">
        <v>23110</v>
      </c>
      <c r="AF967" s="46">
        <v>0</v>
      </c>
      <c r="AG967" s="113"/>
      <c r="AH967" s="113"/>
      <c r="AI967" s="113"/>
      <c r="AJ967" s="113"/>
      <c r="AK967" s="113"/>
      <c r="AL967" s="46">
        <v>0</v>
      </c>
      <c r="AM967" s="113"/>
      <c r="AN967" s="113"/>
      <c r="AO967" s="113"/>
      <c r="AP967" s="113"/>
      <c r="AQ967" s="113"/>
      <c r="AR967" s="46">
        <v>0</v>
      </c>
      <c r="AS967" s="113"/>
      <c r="AT967" s="113"/>
      <c r="AU967" s="113"/>
      <c r="AV967" s="113"/>
      <c r="AW967" s="113"/>
      <c r="AX967" s="46">
        <v>0</v>
      </c>
      <c r="AY967" s="113"/>
      <c r="AZ967" s="113"/>
      <c r="BA967" s="113"/>
      <c r="BB967" s="113"/>
      <c r="BC967" s="113"/>
      <c r="BD967" s="46">
        <v>0</v>
      </c>
      <c r="BE967" s="113"/>
      <c r="BF967" s="113"/>
      <c r="BG967" s="113"/>
      <c r="BH967" s="113"/>
      <c r="BI967" s="113"/>
      <c r="BJ967" s="46">
        <v>0</v>
      </c>
      <c r="BK967" s="113"/>
      <c r="BL967" s="113"/>
      <c r="BM967" s="113"/>
      <c r="BN967" s="113"/>
      <c r="BO967" s="113"/>
      <c r="BP967" s="121"/>
      <c r="BQ967" s="121"/>
      <c r="GA967" t="s">
        <v>114</v>
      </c>
      <c r="GB967" t="s">
        <v>23110</v>
      </c>
      <c r="GC967" s="46">
        <v>0</v>
      </c>
      <c r="GD967" s="113"/>
      <c r="GE967" s="113"/>
      <c r="GF967" s="113"/>
      <c r="GG967" s="113"/>
      <c r="GH967" s="113"/>
      <c r="GI967" s="46">
        <v>0</v>
      </c>
      <c r="GJ967" s="113"/>
      <c r="GK967" s="113"/>
      <c r="GL967" s="113"/>
      <c r="GM967" s="113"/>
      <c r="GN967" s="113"/>
      <c r="GO967" s="46">
        <v>0</v>
      </c>
      <c r="GP967" s="113"/>
      <c r="GQ967" s="113"/>
      <c r="GR967" s="113"/>
      <c r="GS967" s="113"/>
      <c r="GT967" s="113"/>
      <c r="GU967" s="46">
        <v>0</v>
      </c>
      <c r="GV967" s="113"/>
      <c r="GW967" s="113"/>
      <c r="GX967" s="113"/>
      <c r="GY967" s="113"/>
      <c r="GZ967" s="113"/>
      <c r="HA967" s="46">
        <v>0</v>
      </c>
      <c r="HB967" s="113"/>
      <c r="HC967" s="113"/>
      <c r="HD967" s="113"/>
      <c r="HE967" s="113"/>
      <c r="HF967" s="113"/>
      <c r="HG967" s="46">
        <v>0</v>
      </c>
      <c r="HH967" s="113"/>
      <c r="HI967" s="113"/>
      <c r="HJ967" s="113"/>
      <c r="HK967" s="113"/>
      <c r="HL967" s="113"/>
      <c r="HM967" s="121"/>
      <c r="HN967" s="121"/>
      <c r="LM967" t="str">
        <v/>
      </c>
      <c r="LN967" t="str">
        <v/>
      </c>
      <c r="LO967" t="str">
        <v/>
      </c>
    </row>
    <row r="968" spans="30:327">
      <c r="AD968" t="s">
        <v>114</v>
      </c>
      <c r="AE968" t="s">
        <v>23111</v>
      </c>
      <c r="AF968" s="46">
        <v>0</v>
      </c>
      <c r="AG968" s="113"/>
      <c r="AH968" s="113"/>
      <c r="AI968" s="113"/>
      <c r="AJ968" s="113"/>
      <c r="AK968" s="113"/>
      <c r="AL968" s="46">
        <v>0</v>
      </c>
      <c r="AM968" s="113"/>
      <c r="AN968" s="113"/>
      <c r="AO968" s="113"/>
      <c r="AP968" s="113"/>
      <c r="AQ968" s="113"/>
      <c r="AR968" s="46">
        <v>0</v>
      </c>
      <c r="AS968" s="113"/>
      <c r="AT968" s="113"/>
      <c r="AU968" s="113"/>
      <c r="AV968" s="113"/>
      <c r="AW968" s="113"/>
      <c r="AX968" s="46">
        <v>0</v>
      </c>
      <c r="AY968" s="113"/>
      <c r="AZ968" s="113"/>
      <c r="BA968" s="113"/>
      <c r="BB968" s="113"/>
      <c r="BC968" s="113"/>
      <c r="BD968" s="46">
        <v>0</v>
      </c>
      <c r="BE968" s="113"/>
      <c r="BF968" s="113"/>
      <c r="BG968" s="113"/>
      <c r="BH968" s="113"/>
      <c r="BI968" s="113"/>
      <c r="BJ968" s="46">
        <v>0</v>
      </c>
      <c r="BK968" s="113"/>
      <c r="BL968" s="113"/>
      <c r="BM968" s="113"/>
      <c r="BN968" s="113"/>
      <c r="BO968" s="113"/>
      <c r="BP968" s="121"/>
      <c r="BQ968" s="121"/>
      <c r="GA968" t="s">
        <v>114</v>
      </c>
      <c r="GB968" t="s">
        <v>23111</v>
      </c>
      <c r="GC968" s="46">
        <v>0</v>
      </c>
      <c r="GD968" s="113"/>
      <c r="GE968" s="113"/>
      <c r="GF968" s="113"/>
      <c r="GG968" s="113"/>
      <c r="GH968" s="113"/>
      <c r="GI968" s="46">
        <v>0</v>
      </c>
      <c r="GJ968" s="113"/>
      <c r="GK968" s="113"/>
      <c r="GL968" s="113"/>
      <c r="GM968" s="113"/>
      <c r="GN968" s="113"/>
      <c r="GO968" s="46">
        <v>0</v>
      </c>
      <c r="GP968" s="113"/>
      <c r="GQ968" s="113"/>
      <c r="GR968" s="113"/>
      <c r="GS968" s="113"/>
      <c r="GT968" s="113"/>
      <c r="GU968" s="46">
        <v>0</v>
      </c>
      <c r="GV968" s="113"/>
      <c r="GW968" s="113"/>
      <c r="GX968" s="113"/>
      <c r="GY968" s="113"/>
      <c r="GZ968" s="113"/>
      <c r="HA968" s="46">
        <v>0</v>
      </c>
      <c r="HB968" s="113"/>
      <c r="HC968" s="113"/>
      <c r="HD968" s="113"/>
      <c r="HE968" s="113"/>
      <c r="HF968" s="113"/>
      <c r="HG968" s="46">
        <v>0</v>
      </c>
      <c r="HH968" s="113"/>
      <c r="HI968" s="113"/>
      <c r="HJ968" s="113"/>
      <c r="HK968" s="113"/>
      <c r="HL968" s="113"/>
      <c r="HM968" s="121"/>
      <c r="HN968" s="121"/>
      <c r="LM968" t="str">
        <v/>
      </c>
      <c r="LN968" t="str">
        <v/>
      </c>
      <c r="LO968" t="str">
        <v/>
      </c>
    </row>
    <row r="969" spans="30:327">
      <c r="AD969" t="s">
        <v>114</v>
      </c>
      <c r="AE969" t="s">
        <v>23112</v>
      </c>
      <c r="AF969" s="46">
        <v>0</v>
      </c>
      <c r="AG969" s="113"/>
      <c r="AH969" s="113"/>
      <c r="AI969" s="113"/>
      <c r="AJ969" s="113"/>
      <c r="AK969" s="113"/>
      <c r="AL969" s="46">
        <v>0</v>
      </c>
      <c r="AM969" s="113"/>
      <c r="AN969" s="113"/>
      <c r="AO969" s="113"/>
      <c r="AP969" s="113"/>
      <c r="AQ969" s="113"/>
      <c r="AR969" s="46">
        <v>0</v>
      </c>
      <c r="AS969" s="113"/>
      <c r="AT969" s="113"/>
      <c r="AU969" s="113"/>
      <c r="AV969" s="113"/>
      <c r="AW969" s="113"/>
      <c r="AX969" s="46">
        <v>0</v>
      </c>
      <c r="AY969" s="113"/>
      <c r="AZ969" s="113"/>
      <c r="BA969" s="113"/>
      <c r="BB969" s="113"/>
      <c r="BC969" s="113"/>
      <c r="BD969" s="46">
        <v>0</v>
      </c>
      <c r="BE969" s="113"/>
      <c r="BF969" s="113"/>
      <c r="BG969" s="113"/>
      <c r="BH969" s="113"/>
      <c r="BI969" s="113"/>
      <c r="BJ969" s="46">
        <v>0</v>
      </c>
      <c r="BK969" s="113"/>
      <c r="BL969" s="113"/>
      <c r="BM969" s="113"/>
      <c r="BN969" s="113"/>
      <c r="BO969" s="113"/>
      <c r="BP969" s="121"/>
      <c r="BQ969" s="121"/>
      <c r="GA969" t="s">
        <v>114</v>
      </c>
      <c r="GB969" t="s">
        <v>23112</v>
      </c>
      <c r="GC969" s="46">
        <v>0</v>
      </c>
      <c r="GD969" s="113"/>
      <c r="GE969" s="113"/>
      <c r="GF969" s="113"/>
      <c r="GG969" s="113"/>
      <c r="GH969" s="113"/>
      <c r="GI969" s="46">
        <v>0</v>
      </c>
      <c r="GJ969" s="113"/>
      <c r="GK969" s="113"/>
      <c r="GL969" s="113"/>
      <c r="GM969" s="113"/>
      <c r="GN969" s="113"/>
      <c r="GO969" s="46">
        <v>0</v>
      </c>
      <c r="GP969" s="113"/>
      <c r="GQ969" s="113"/>
      <c r="GR969" s="113"/>
      <c r="GS969" s="113"/>
      <c r="GT969" s="113"/>
      <c r="GU969" s="46">
        <v>0</v>
      </c>
      <c r="GV969" s="113"/>
      <c r="GW969" s="113"/>
      <c r="GX969" s="113"/>
      <c r="GY969" s="113"/>
      <c r="GZ969" s="113"/>
      <c r="HA969" s="46">
        <v>0</v>
      </c>
      <c r="HB969" s="113"/>
      <c r="HC969" s="113"/>
      <c r="HD969" s="113"/>
      <c r="HE969" s="113"/>
      <c r="HF969" s="113"/>
      <c r="HG969" s="46">
        <v>0</v>
      </c>
      <c r="HH969" s="113"/>
      <c r="HI969" s="113"/>
      <c r="HJ969" s="113"/>
      <c r="HK969" s="113"/>
      <c r="HL969" s="113"/>
      <c r="HM969" s="121"/>
      <c r="HN969" s="121"/>
      <c r="LM969" t="str">
        <v/>
      </c>
      <c r="LN969" t="str">
        <v/>
      </c>
      <c r="LO969" t="str">
        <v/>
      </c>
    </row>
    <row r="970" spans="30:327">
      <c r="AD970" t="s">
        <v>114</v>
      </c>
      <c r="AE970" t="s">
        <v>23113</v>
      </c>
      <c r="AF970" s="46">
        <v>0</v>
      </c>
      <c r="AG970" s="113"/>
      <c r="AH970" s="113"/>
      <c r="AI970" s="113"/>
      <c r="AJ970" s="113"/>
      <c r="AK970" s="113"/>
      <c r="AL970" s="46">
        <v>0</v>
      </c>
      <c r="AM970" s="113"/>
      <c r="AN970" s="113"/>
      <c r="AO970" s="113"/>
      <c r="AP970" s="113"/>
      <c r="AQ970" s="113"/>
      <c r="AR970" s="46">
        <v>0</v>
      </c>
      <c r="AS970" s="113"/>
      <c r="AT970" s="113"/>
      <c r="AU970" s="113"/>
      <c r="AV970" s="113"/>
      <c r="AW970" s="113"/>
      <c r="AX970" s="46">
        <v>0</v>
      </c>
      <c r="AY970" s="113"/>
      <c r="AZ970" s="113"/>
      <c r="BA970" s="113"/>
      <c r="BB970" s="113"/>
      <c r="BC970" s="113"/>
      <c r="BD970" s="46">
        <v>0</v>
      </c>
      <c r="BE970" s="113"/>
      <c r="BF970" s="113"/>
      <c r="BG970" s="113"/>
      <c r="BH970" s="113"/>
      <c r="BI970" s="113"/>
      <c r="BJ970" s="46">
        <v>0</v>
      </c>
      <c r="BK970" s="113"/>
      <c r="BL970" s="113"/>
      <c r="BM970" s="113"/>
      <c r="BN970" s="113"/>
      <c r="BO970" s="113"/>
      <c r="BP970" s="121"/>
      <c r="BQ970" s="121"/>
      <c r="GA970" t="s">
        <v>114</v>
      </c>
      <c r="GB970" t="s">
        <v>23113</v>
      </c>
      <c r="GC970" s="46">
        <v>0</v>
      </c>
      <c r="GD970" s="113"/>
      <c r="GE970" s="113"/>
      <c r="GF970" s="113"/>
      <c r="GG970" s="113"/>
      <c r="GH970" s="113"/>
      <c r="GI970" s="46">
        <v>0</v>
      </c>
      <c r="GJ970" s="113"/>
      <c r="GK970" s="113"/>
      <c r="GL970" s="113"/>
      <c r="GM970" s="113"/>
      <c r="GN970" s="113"/>
      <c r="GO970" s="46">
        <v>0</v>
      </c>
      <c r="GP970" s="113"/>
      <c r="GQ970" s="113"/>
      <c r="GR970" s="113"/>
      <c r="GS970" s="113"/>
      <c r="GT970" s="113"/>
      <c r="GU970" s="46">
        <v>0</v>
      </c>
      <c r="GV970" s="113"/>
      <c r="GW970" s="113"/>
      <c r="GX970" s="113"/>
      <c r="GY970" s="113"/>
      <c r="GZ970" s="113"/>
      <c r="HA970" s="46">
        <v>0</v>
      </c>
      <c r="HB970" s="113"/>
      <c r="HC970" s="113"/>
      <c r="HD970" s="113"/>
      <c r="HE970" s="113"/>
      <c r="HF970" s="113"/>
      <c r="HG970" s="46">
        <v>0</v>
      </c>
      <c r="HH970" s="113"/>
      <c r="HI970" s="113"/>
      <c r="HJ970" s="113"/>
      <c r="HK970" s="113"/>
      <c r="HL970" s="113"/>
      <c r="HM970" s="121"/>
      <c r="HN970" s="121"/>
      <c r="LM970" t="str">
        <v/>
      </c>
      <c r="LN970" t="str">
        <v/>
      </c>
      <c r="LO970" t="str">
        <v/>
      </c>
    </row>
    <row r="971" spans="30:327">
      <c r="AD971" t="s">
        <v>114</v>
      </c>
      <c r="AE971" t="s">
        <v>23114</v>
      </c>
      <c r="AF971" s="46">
        <v>0</v>
      </c>
      <c r="AG971" s="113"/>
      <c r="AH971" s="113"/>
      <c r="AI971" s="113"/>
      <c r="AJ971" s="113"/>
      <c r="AK971" s="113"/>
      <c r="AL971" s="46">
        <v>0</v>
      </c>
      <c r="AM971" s="113"/>
      <c r="AN971" s="113"/>
      <c r="AO971" s="113"/>
      <c r="AP971" s="113"/>
      <c r="AQ971" s="113"/>
      <c r="AR971" s="46">
        <v>0</v>
      </c>
      <c r="AS971" s="113"/>
      <c r="AT971" s="113"/>
      <c r="AU971" s="113"/>
      <c r="AV971" s="113"/>
      <c r="AW971" s="113"/>
      <c r="AX971" s="46">
        <v>0</v>
      </c>
      <c r="AY971" s="113"/>
      <c r="AZ971" s="113"/>
      <c r="BA971" s="113"/>
      <c r="BB971" s="113"/>
      <c r="BC971" s="113"/>
      <c r="BD971" s="46">
        <v>0</v>
      </c>
      <c r="BE971" s="113"/>
      <c r="BF971" s="113"/>
      <c r="BG971" s="113"/>
      <c r="BH971" s="113"/>
      <c r="BI971" s="113"/>
      <c r="BJ971" s="46">
        <v>0</v>
      </c>
      <c r="BK971" s="113"/>
      <c r="BL971" s="113"/>
      <c r="BM971" s="113"/>
      <c r="BN971" s="113"/>
      <c r="BO971" s="113"/>
      <c r="BP971" s="121"/>
      <c r="BQ971" s="121"/>
      <c r="GA971" t="s">
        <v>114</v>
      </c>
      <c r="GB971" t="s">
        <v>23114</v>
      </c>
      <c r="GC971" s="46">
        <v>0</v>
      </c>
      <c r="GD971" s="113"/>
      <c r="GE971" s="113"/>
      <c r="GF971" s="113"/>
      <c r="GG971" s="113"/>
      <c r="GH971" s="113"/>
      <c r="GI971" s="46">
        <v>0</v>
      </c>
      <c r="GJ971" s="113"/>
      <c r="GK971" s="113"/>
      <c r="GL971" s="113"/>
      <c r="GM971" s="113"/>
      <c r="GN971" s="113"/>
      <c r="GO971" s="46">
        <v>0</v>
      </c>
      <c r="GP971" s="113"/>
      <c r="GQ971" s="113"/>
      <c r="GR971" s="113"/>
      <c r="GS971" s="113"/>
      <c r="GT971" s="113"/>
      <c r="GU971" s="46">
        <v>0</v>
      </c>
      <c r="GV971" s="113"/>
      <c r="GW971" s="113"/>
      <c r="GX971" s="113"/>
      <c r="GY971" s="113"/>
      <c r="GZ971" s="113"/>
      <c r="HA971" s="46">
        <v>0</v>
      </c>
      <c r="HB971" s="113"/>
      <c r="HC971" s="113"/>
      <c r="HD971" s="113"/>
      <c r="HE971" s="113"/>
      <c r="HF971" s="113"/>
      <c r="HG971" s="46">
        <v>0</v>
      </c>
      <c r="HH971" s="113"/>
      <c r="HI971" s="113"/>
      <c r="HJ971" s="113"/>
      <c r="HK971" s="113"/>
      <c r="HL971" s="113"/>
      <c r="HM971" s="121"/>
      <c r="HN971" s="121"/>
      <c r="LM971" t="str">
        <v/>
      </c>
      <c r="LN971" t="str">
        <v/>
      </c>
      <c r="LO971" t="str">
        <v/>
      </c>
    </row>
    <row r="972" spans="30:327">
      <c r="AD972" t="s">
        <v>114</v>
      </c>
      <c r="AE972" t="s">
        <v>23115</v>
      </c>
      <c r="AF972" s="46">
        <v>0</v>
      </c>
      <c r="AG972" s="113"/>
      <c r="AH972" s="113"/>
      <c r="AI972" s="113"/>
      <c r="AJ972" s="113"/>
      <c r="AK972" s="113"/>
      <c r="AL972" s="46">
        <v>0</v>
      </c>
      <c r="AM972" s="113"/>
      <c r="AN972" s="113"/>
      <c r="AO972" s="113"/>
      <c r="AP972" s="113"/>
      <c r="AQ972" s="113"/>
      <c r="AR972" s="46">
        <v>0</v>
      </c>
      <c r="AS972" s="113"/>
      <c r="AT972" s="113"/>
      <c r="AU972" s="113"/>
      <c r="AV972" s="113"/>
      <c r="AW972" s="113"/>
      <c r="AX972" s="46">
        <v>0</v>
      </c>
      <c r="AY972" s="113"/>
      <c r="AZ972" s="113"/>
      <c r="BA972" s="113"/>
      <c r="BB972" s="113"/>
      <c r="BC972" s="113"/>
      <c r="BD972" s="46">
        <v>0</v>
      </c>
      <c r="BE972" s="113"/>
      <c r="BF972" s="113"/>
      <c r="BG972" s="113"/>
      <c r="BH972" s="113"/>
      <c r="BI972" s="113"/>
      <c r="BJ972" s="46">
        <v>0</v>
      </c>
      <c r="BK972" s="113"/>
      <c r="BL972" s="113"/>
      <c r="BM972" s="113"/>
      <c r="BN972" s="113"/>
      <c r="BO972" s="113"/>
      <c r="BP972" s="121"/>
      <c r="BQ972" s="121"/>
      <c r="GA972" t="s">
        <v>114</v>
      </c>
      <c r="GB972" t="s">
        <v>23115</v>
      </c>
      <c r="GC972" s="46">
        <v>0</v>
      </c>
      <c r="GD972" s="113"/>
      <c r="GE972" s="113"/>
      <c r="GF972" s="113"/>
      <c r="GG972" s="113"/>
      <c r="GH972" s="113"/>
      <c r="GI972" s="46">
        <v>0</v>
      </c>
      <c r="GJ972" s="113"/>
      <c r="GK972" s="113"/>
      <c r="GL972" s="113"/>
      <c r="GM972" s="113"/>
      <c r="GN972" s="113"/>
      <c r="GO972" s="46">
        <v>0</v>
      </c>
      <c r="GP972" s="113"/>
      <c r="GQ972" s="113"/>
      <c r="GR972" s="113"/>
      <c r="GS972" s="113"/>
      <c r="GT972" s="113"/>
      <c r="GU972" s="46">
        <v>0</v>
      </c>
      <c r="GV972" s="113"/>
      <c r="GW972" s="113"/>
      <c r="GX972" s="113"/>
      <c r="GY972" s="113"/>
      <c r="GZ972" s="113"/>
      <c r="HA972" s="46">
        <v>0</v>
      </c>
      <c r="HB972" s="113"/>
      <c r="HC972" s="113"/>
      <c r="HD972" s="113"/>
      <c r="HE972" s="113"/>
      <c r="HF972" s="113"/>
      <c r="HG972" s="46">
        <v>0</v>
      </c>
      <c r="HH972" s="113"/>
      <c r="HI972" s="113"/>
      <c r="HJ972" s="113"/>
      <c r="HK972" s="113"/>
      <c r="HL972" s="113"/>
      <c r="HM972" s="121"/>
      <c r="HN972" s="121"/>
      <c r="LM972" t="str">
        <v/>
      </c>
      <c r="LN972" t="str">
        <v/>
      </c>
      <c r="LO972" t="str">
        <v/>
      </c>
    </row>
    <row r="973" spans="30:327">
      <c r="AD973" t="s">
        <v>114</v>
      </c>
      <c r="AE973" t="s">
        <v>23116</v>
      </c>
      <c r="AF973" s="46">
        <v>0</v>
      </c>
      <c r="AG973" s="113"/>
      <c r="AH973" s="113"/>
      <c r="AI973" s="113"/>
      <c r="AJ973" s="113"/>
      <c r="AK973" s="113"/>
      <c r="AL973" s="46">
        <v>0</v>
      </c>
      <c r="AM973" s="113"/>
      <c r="AN973" s="113"/>
      <c r="AO973" s="113"/>
      <c r="AP973" s="113"/>
      <c r="AQ973" s="113"/>
      <c r="AR973" s="46">
        <v>0</v>
      </c>
      <c r="AS973" s="113"/>
      <c r="AT973" s="113"/>
      <c r="AU973" s="113"/>
      <c r="AV973" s="113"/>
      <c r="AW973" s="113"/>
      <c r="AX973" s="46">
        <v>0</v>
      </c>
      <c r="AY973" s="113"/>
      <c r="AZ973" s="113"/>
      <c r="BA973" s="113"/>
      <c r="BB973" s="113"/>
      <c r="BC973" s="113"/>
      <c r="BD973" s="46">
        <v>0</v>
      </c>
      <c r="BE973" s="113"/>
      <c r="BF973" s="113"/>
      <c r="BG973" s="113"/>
      <c r="BH973" s="113"/>
      <c r="BI973" s="113"/>
      <c r="BJ973" s="46">
        <v>0</v>
      </c>
      <c r="BK973" s="113"/>
      <c r="BL973" s="113"/>
      <c r="BM973" s="113"/>
      <c r="BN973" s="113"/>
      <c r="BO973" s="113"/>
      <c r="BP973" s="121"/>
      <c r="BQ973" s="121"/>
      <c r="GA973" t="s">
        <v>114</v>
      </c>
      <c r="GB973" t="s">
        <v>23116</v>
      </c>
      <c r="GC973" s="46">
        <v>0</v>
      </c>
      <c r="GD973" s="113"/>
      <c r="GE973" s="113"/>
      <c r="GF973" s="113"/>
      <c r="GG973" s="113"/>
      <c r="GH973" s="113"/>
      <c r="GI973" s="46">
        <v>0</v>
      </c>
      <c r="GJ973" s="113"/>
      <c r="GK973" s="113"/>
      <c r="GL973" s="113"/>
      <c r="GM973" s="113"/>
      <c r="GN973" s="113"/>
      <c r="GO973" s="46">
        <v>0</v>
      </c>
      <c r="GP973" s="113"/>
      <c r="GQ973" s="113"/>
      <c r="GR973" s="113"/>
      <c r="GS973" s="113"/>
      <c r="GT973" s="113"/>
      <c r="GU973" s="46">
        <v>0</v>
      </c>
      <c r="GV973" s="113"/>
      <c r="GW973" s="113"/>
      <c r="GX973" s="113"/>
      <c r="GY973" s="113"/>
      <c r="GZ973" s="113"/>
      <c r="HA973" s="46">
        <v>0</v>
      </c>
      <c r="HB973" s="113"/>
      <c r="HC973" s="113"/>
      <c r="HD973" s="113"/>
      <c r="HE973" s="113"/>
      <c r="HF973" s="113"/>
      <c r="HG973" s="46">
        <v>0</v>
      </c>
      <c r="HH973" s="113"/>
      <c r="HI973" s="113"/>
      <c r="HJ973" s="113"/>
      <c r="HK973" s="113"/>
      <c r="HL973" s="113"/>
      <c r="HM973" s="121"/>
      <c r="HN973" s="121"/>
      <c r="LM973" t="str">
        <v/>
      </c>
      <c r="LN973" t="str">
        <v/>
      </c>
      <c r="LO973" t="str">
        <v/>
      </c>
    </row>
    <row r="974" spans="30:327">
      <c r="AD974" t="s">
        <v>114</v>
      </c>
      <c r="AE974" t="s">
        <v>23117</v>
      </c>
      <c r="AF974" s="46">
        <v>0</v>
      </c>
      <c r="AG974" s="113"/>
      <c r="AH974" s="113"/>
      <c r="AI974" s="113"/>
      <c r="AJ974" s="113"/>
      <c r="AK974" s="113"/>
      <c r="AL974" s="46">
        <v>0</v>
      </c>
      <c r="AM974" s="113"/>
      <c r="AN974" s="113"/>
      <c r="AO974" s="113"/>
      <c r="AP974" s="113"/>
      <c r="AQ974" s="113"/>
      <c r="AR974" s="46">
        <v>0</v>
      </c>
      <c r="AS974" s="113"/>
      <c r="AT974" s="113"/>
      <c r="AU974" s="113"/>
      <c r="AV974" s="113"/>
      <c r="AW974" s="113"/>
      <c r="AX974" s="46">
        <v>0</v>
      </c>
      <c r="AY974" s="113"/>
      <c r="AZ974" s="113"/>
      <c r="BA974" s="113"/>
      <c r="BB974" s="113"/>
      <c r="BC974" s="113"/>
      <c r="BD974" s="46">
        <v>0</v>
      </c>
      <c r="BE974" s="113"/>
      <c r="BF974" s="113"/>
      <c r="BG974" s="113"/>
      <c r="BH974" s="113"/>
      <c r="BI974" s="113"/>
      <c r="BJ974" s="46">
        <v>0</v>
      </c>
      <c r="BK974" s="113"/>
      <c r="BL974" s="113"/>
      <c r="BM974" s="113"/>
      <c r="BN974" s="113"/>
      <c r="BO974" s="113"/>
      <c r="BP974" s="121"/>
      <c r="BQ974" s="121"/>
      <c r="GA974" t="s">
        <v>114</v>
      </c>
      <c r="GB974" t="s">
        <v>23117</v>
      </c>
      <c r="GC974" s="46">
        <v>0</v>
      </c>
      <c r="GD974" s="113"/>
      <c r="GE974" s="113"/>
      <c r="GF974" s="113"/>
      <c r="GG974" s="113"/>
      <c r="GH974" s="113"/>
      <c r="GI974" s="46">
        <v>0</v>
      </c>
      <c r="GJ974" s="113"/>
      <c r="GK974" s="113"/>
      <c r="GL974" s="113"/>
      <c r="GM974" s="113"/>
      <c r="GN974" s="113"/>
      <c r="GO974" s="46">
        <v>0</v>
      </c>
      <c r="GP974" s="113"/>
      <c r="GQ974" s="113"/>
      <c r="GR974" s="113"/>
      <c r="GS974" s="113"/>
      <c r="GT974" s="113"/>
      <c r="GU974" s="46">
        <v>0</v>
      </c>
      <c r="GV974" s="113"/>
      <c r="GW974" s="113"/>
      <c r="GX974" s="113"/>
      <c r="GY974" s="113"/>
      <c r="GZ974" s="113"/>
      <c r="HA974" s="46">
        <v>0</v>
      </c>
      <c r="HB974" s="113"/>
      <c r="HC974" s="113"/>
      <c r="HD974" s="113"/>
      <c r="HE974" s="113"/>
      <c r="HF974" s="113"/>
      <c r="HG974" s="46">
        <v>0</v>
      </c>
      <c r="HH974" s="113"/>
      <c r="HI974" s="113"/>
      <c r="HJ974" s="113"/>
      <c r="HK974" s="113"/>
      <c r="HL974" s="113"/>
      <c r="HM974" s="121"/>
      <c r="HN974" s="121"/>
      <c r="LM974" t="str">
        <v/>
      </c>
      <c r="LN974" t="str">
        <v/>
      </c>
      <c r="LO974" t="str">
        <v/>
      </c>
    </row>
    <row r="975" spans="30:327">
      <c r="AD975" t="s">
        <v>114</v>
      </c>
      <c r="AE975" t="s">
        <v>23118</v>
      </c>
      <c r="AF975" s="46">
        <v>0</v>
      </c>
      <c r="AG975" s="113"/>
      <c r="AH975" s="113"/>
      <c r="AI975" s="113"/>
      <c r="AJ975" s="113"/>
      <c r="AK975" s="113"/>
      <c r="AL975" s="46">
        <v>0</v>
      </c>
      <c r="AM975" s="113"/>
      <c r="AN975" s="113"/>
      <c r="AO975" s="113"/>
      <c r="AP975" s="113"/>
      <c r="AQ975" s="113"/>
      <c r="AR975" s="46">
        <v>0</v>
      </c>
      <c r="AS975" s="113"/>
      <c r="AT975" s="113"/>
      <c r="AU975" s="113"/>
      <c r="AV975" s="113"/>
      <c r="AW975" s="113"/>
      <c r="AX975" s="46">
        <v>0</v>
      </c>
      <c r="AY975" s="113"/>
      <c r="AZ975" s="113"/>
      <c r="BA975" s="113"/>
      <c r="BB975" s="113"/>
      <c r="BC975" s="113"/>
      <c r="BD975" s="46">
        <v>0</v>
      </c>
      <c r="BE975" s="113"/>
      <c r="BF975" s="113"/>
      <c r="BG975" s="113"/>
      <c r="BH975" s="113"/>
      <c r="BI975" s="113"/>
      <c r="BJ975" s="46">
        <v>0</v>
      </c>
      <c r="BK975" s="113"/>
      <c r="BL975" s="113"/>
      <c r="BM975" s="113"/>
      <c r="BN975" s="113"/>
      <c r="BO975" s="113"/>
      <c r="BP975" s="121"/>
      <c r="BQ975" s="121"/>
      <c r="GA975" t="s">
        <v>114</v>
      </c>
      <c r="GB975" t="s">
        <v>23118</v>
      </c>
      <c r="GC975" s="46">
        <v>0</v>
      </c>
      <c r="GD975" s="113"/>
      <c r="GE975" s="113"/>
      <c r="GF975" s="113"/>
      <c r="GG975" s="113"/>
      <c r="GH975" s="113"/>
      <c r="GI975" s="46">
        <v>0</v>
      </c>
      <c r="GJ975" s="113"/>
      <c r="GK975" s="113"/>
      <c r="GL975" s="113"/>
      <c r="GM975" s="113"/>
      <c r="GN975" s="113"/>
      <c r="GO975" s="46">
        <v>0</v>
      </c>
      <c r="GP975" s="113"/>
      <c r="GQ975" s="113"/>
      <c r="GR975" s="113"/>
      <c r="GS975" s="113"/>
      <c r="GT975" s="113"/>
      <c r="GU975" s="46">
        <v>0</v>
      </c>
      <c r="GV975" s="113"/>
      <c r="GW975" s="113"/>
      <c r="GX975" s="113"/>
      <c r="GY975" s="113"/>
      <c r="GZ975" s="113"/>
      <c r="HA975" s="46">
        <v>0</v>
      </c>
      <c r="HB975" s="113"/>
      <c r="HC975" s="113"/>
      <c r="HD975" s="113"/>
      <c r="HE975" s="113"/>
      <c r="HF975" s="113"/>
      <c r="HG975" s="46">
        <v>0</v>
      </c>
      <c r="HH975" s="113"/>
      <c r="HI975" s="113"/>
      <c r="HJ975" s="113"/>
      <c r="HK975" s="113"/>
      <c r="HL975" s="113"/>
      <c r="HM975" s="121"/>
      <c r="HN975" s="121"/>
      <c r="LM975" t="str">
        <v/>
      </c>
      <c r="LN975" t="str">
        <v/>
      </c>
      <c r="LO975" t="str">
        <v/>
      </c>
    </row>
    <row r="976" spans="30:327">
      <c r="AD976" t="s">
        <v>114</v>
      </c>
      <c r="AE976" t="s">
        <v>23119</v>
      </c>
      <c r="AF976" s="46">
        <v>0</v>
      </c>
      <c r="AG976" s="113"/>
      <c r="AH976" s="113"/>
      <c r="AI976" s="113"/>
      <c r="AJ976" s="113"/>
      <c r="AK976" s="113"/>
      <c r="AL976" s="46">
        <v>0</v>
      </c>
      <c r="AM976" s="113"/>
      <c r="AN976" s="113"/>
      <c r="AO976" s="113"/>
      <c r="AP976" s="113"/>
      <c r="AQ976" s="113"/>
      <c r="AR976" s="46">
        <v>0</v>
      </c>
      <c r="AS976" s="113"/>
      <c r="AT976" s="113"/>
      <c r="AU976" s="113"/>
      <c r="AV976" s="113"/>
      <c r="AW976" s="113"/>
      <c r="AX976" s="46">
        <v>0</v>
      </c>
      <c r="AY976" s="113"/>
      <c r="AZ976" s="113"/>
      <c r="BA976" s="113"/>
      <c r="BB976" s="113"/>
      <c r="BC976" s="113"/>
      <c r="BD976" s="46">
        <v>0</v>
      </c>
      <c r="BE976" s="113"/>
      <c r="BF976" s="113"/>
      <c r="BG976" s="113"/>
      <c r="BH976" s="113"/>
      <c r="BI976" s="113"/>
      <c r="BJ976" s="46">
        <v>0</v>
      </c>
      <c r="BK976" s="113"/>
      <c r="BL976" s="113"/>
      <c r="BM976" s="113"/>
      <c r="BN976" s="113"/>
      <c r="BO976" s="113"/>
      <c r="BP976" s="121"/>
      <c r="BQ976" s="121"/>
      <c r="GA976" t="s">
        <v>114</v>
      </c>
      <c r="GB976" t="s">
        <v>23119</v>
      </c>
      <c r="GC976" s="46">
        <v>0</v>
      </c>
      <c r="GD976" s="113"/>
      <c r="GE976" s="113"/>
      <c r="GF976" s="113"/>
      <c r="GG976" s="113"/>
      <c r="GH976" s="113"/>
      <c r="GI976" s="46">
        <v>0</v>
      </c>
      <c r="GJ976" s="113"/>
      <c r="GK976" s="113"/>
      <c r="GL976" s="113"/>
      <c r="GM976" s="113"/>
      <c r="GN976" s="113"/>
      <c r="GO976" s="46">
        <v>0</v>
      </c>
      <c r="GP976" s="113"/>
      <c r="GQ976" s="113"/>
      <c r="GR976" s="113"/>
      <c r="GS976" s="113"/>
      <c r="GT976" s="113"/>
      <c r="GU976" s="46">
        <v>0</v>
      </c>
      <c r="GV976" s="113"/>
      <c r="GW976" s="113"/>
      <c r="GX976" s="113"/>
      <c r="GY976" s="113"/>
      <c r="GZ976" s="113"/>
      <c r="HA976" s="46">
        <v>0</v>
      </c>
      <c r="HB976" s="113"/>
      <c r="HC976" s="113"/>
      <c r="HD976" s="113"/>
      <c r="HE976" s="113"/>
      <c r="HF976" s="113"/>
      <c r="HG976" s="46">
        <v>0</v>
      </c>
      <c r="HH976" s="113"/>
      <c r="HI976" s="113"/>
      <c r="HJ976" s="113"/>
      <c r="HK976" s="113"/>
      <c r="HL976" s="113"/>
      <c r="HM976" s="121"/>
      <c r="HN976" s="121"/>
      <c r="LM976" t="str">
        <v/>
      </c>
      <c r="LN976" t="str">
        <v/>
      </c>
      <c r="LO976" t="str">
        <v/>
      </c>
    </row>
    <row r="977" spans="30:327">
      <c r="AD977" t="s">
        <v>114</v>
      </c>
      <c r="AE977" t="s">
        <v>23120</v>
      </c>
      <c r="AF977" s="46">
        <v>0</v>
      </c>
      <c r="AG977" s="113"/>
      <c r="AH977" s="113"/>
      <c r="AI977" s="113"/>
      <c r="AJ977" s="113"/>
      <c r="AK977" s="113"/>
      <c r="AL977" s="46">
        <v>0</v>
      </c>
      <c r="AM977" s="113"/>
      <c r="AN977" s="113"/>
      <c r="AO977" s="113"/>
      <c r="AP977" s="113"/>
      <c r="AQ977" s="113"/>
      <c r="AR977" s="46">
        <v>0</v>
      </c>
      <c r="AS977" s="113"/>
      <c r="AT977" s="113"/>
      <c r="AU977" s="113"/>
      <c r="AV977" s="113"/>
      <c r="AW977" s="113"/>
      <c r="AX977" s="46">
        <v>0</v>
      </c>
      <c r="AY977" s="113"/>
      <c r="AZ977" s="113"/>
      <c r="BA977" s="113"/>
      <c r="BB977" s="113"/>
      <c r="BC977" s="113"/>
      <c r="BD977" s="46">
        <v>0</v>
      </c>
      <c r="BE977" s="113"/>
      <c r="BF977" s="113"/>
      <c r="BG977" s="113"/>
      <c r="BH977" s="113"/>
      <c r="BI977" s="113"/>
      <c r="BJ977" s="46">
        <v>0</v>
      </c>
      <c r="BK977" s="113"/>
      <c r="BL977" s="113"/>
      <c r="BM977" s="113"/>
      <c r="BN977" s="113"/>
      <c r="BO977" s="113"/>
      <c r="BP977" s="121"/>
      <c r="BQ977" s="121"/>
      <c r="GA977" t="s">
        <v>114</v>
      </c>
      <c r="GB977" t="s">
        <v>23120</v>
      </c>
      <c r="GC977" s="46">
        <v>0</v>
      </c>
      <c r="GD977" s="113"/>
      <c r="GE977" s="113"/>
      <c r="GF977" s="113"/>
      <c r="GG977" s="113"/>
      <c r="GH977" s="113"/>
      <c r="GI977" s="46">
        <v>0</v>
      </c>
      <c r="GJ977" s="113"/>
      <c r="GK977" s="113"/>
      <c r="GL977" s="113"/>
      <c r="GM977" s="113"/>
      <c r="GN977" s="113"/>
      <c r="GO977" s="46">
        <v>0</v>
      </c>
      <c r="GP977" s="113"/>
      <c r="GQ977" s="113"/>
      <c r="GR977" s="113"/>
      <c r="GS977" s="113"/>
      <c r="GT977" s="113"/>
      <c r="GU977" s="46">
        <v>0</v>
      </c>
      <c r="GV977" s="113"/>
      <c r="GW977" s="113"/>
      <c r="GX977" s="113"/>
      <c r="GY977" s="113"/>
      <c r="GZ977" s="113"/>
      <c r="HA977" s="46">
        <v>0</v>
      </c>
      <c r="HB977" s="113"/>
      <c r="HC977" s="113"/>
      <c r="HD977" s="113"/>
      <c r="HE977" s="113"/>
      <c r="HF977" s="113"/>
      <c r="HG977" s="46">
        <v>0</v>
      </c>
      <c r="HH977" s="113"/>
      <c r="HI977" s="113"/>
      <c r="HJ977" s="113"/>
      <c r="HK977" s="113"/>
      <c r="HL977" s="113"/>
      <c r="HM977" s="121"/>
      <c r="HN977" s="121"/>
      <c r="LM977" t="str">
        <v/>
      </c>
      <c r="LN977" t="str">
        <v/>
      </c>
      <c r="LO977" t="str">
        <v/>
      </c>
    </row>
    <row r="978" spans="30:327">
      <c r="AD978" t="s">
        <v>114</v>
      </c>
      <c r="AE978" t="s">
        <v>23121</v>
      </c>
      <c r="AF978" s="46">
        <v>0</v>
      </c>
      <c r="AG978" s="113"/>
      <c r="AH978" s="113"/>
      <c r="AI978" s="113"/>
      <c r="AJ978" s="113"/>
      <c r="AK978" s="113"/>
      <c r="AL978" s="46">
        <v>0</v>
      </c>
      <c r="AM978" s="113"/>
      <c r="AN978" s="113"/>
      <c r="AO978" s="113"/>
      <c r="AP978" s="113"/>
      <c r="AQ978" s="113"/>
      <c r="AR978" s="46">
        <v>0</v>
      </c>
      <c r="AS978" s="113"/>
      <c r="AT978" s="113"/>
      <c r="AU978" s="113"/>
      <c r="AV978" s="113"/>
      <c r="AW978" s="113"/>
      <c r="AX978" s="46">
        <v>0</v>
      </c>
      <c r="AY978" s="113"/>
      <c r="AZ978" s="113"/>
      <c r="BA978" s="113"/>
      <c r="BB978" s="113"/>
      <c r="BC978" s="113"/>
      <c r="BD978" s="46">
        <v>0</v>
      </c>
      <c r="BE978" s="113"/>
      <c r="BF978" s="113"/>
      <c r="BG978" s="113"/>
      <c r="BH978" s="113"/>
      <c r="BI978" s="113"/>
      <c r="BJ978" s="46">
        <v>0</v>
      </c>
      <c r="BK978" s="113"/>
      <c r="BL978" s="113"/>
      <c r="BM978" s="113"/>
      <c r="BN978" s="113"/>
      <c r="BO978" s="113"/>
      <c r="BP978" s="121"/>
      <c r="BQ978" s="121"/>
      <c r="GA978" t="s">
        <v>114</v>
      </c>
      <c r="GB978" t="s">
        <v>23121</v>
      </c>
      <c r="GC978" s="46">
        <v>0</v>
      </c>
      <c r="GD978" s="113"/>
      <c r="GE978" s="113"/>
      <c r="GF978" s="113"/>
      <c r="GG978" s="113"/>
      <c r="GH978" s="113"/>
      <c r="GI978" s="46">
        <v>0</v>
      </c>
      <c r="GJ978" s="113"/>
      <c r="GK978" s="113"/>
      <c r="GL978" s="113"/>
      <c r="GM978" s="113"/>
      <c r="GN978" s="113"/>
      <c r="GO978" s="46">
        <v>0</v>
      </c>
      <c r="GP978" s="113"/>
      <c r="GQ978" s="113"/>
      <c r="GR978" s="113"/>
      <c r="GS978" s="113"/>
      <c r="GT978" s="113"/>
      <c r="GU978" s="46">
        <v>0</v>
      </c>
      <c r="GV978" s="113"/>
      <c r="GW978" s="113"/>
      <c r="GX978" s="113"/>
      <c r="GY978" s="113"/>
      <c r="GZ978" s="113"/>
      <c r="HA978" s="46">
        <v>0</v>
      </c>
      <c r="HB978" s="113"/>
      <c r="HC978" s="113"/>
      <c r="HD978" s="113"/>
      <c r="HE978" s="113"/>
      <c r="HF978" s="113"/>
      <c r="HG978" s="46">
        <v>0</v>
      </c>
      <c r="HH978" s="113"/>
      <c r="HI978" s="113"/>
      <c r="HJ978" s="113"/>
      <c r="HK978" s="113"/>
      <c r="HL978" s="113"/>
      <c r="HM978" s="121"/>
      <c r="HN978" s="121"/>
      <c r="LM978" t="str">
        <v/>
      </c>
      <c r="LN978" t="str">
        <v/>
      </c>
      <c r="LO978" t="str">
        <v/>
      </c>
    </row>
    <row r="979" spans="30:327">
      <c r="AD979" t="s">
        <v>114</v>
      </c>
      <c r="AE979" t="s">
        <v>23122</v>
      </c>
      <c r="AF979" s="46">
        <v>0</v>
      </c>
      <c r="AG979" s="113"/>
      <c r="AH979" s="113"/>
      <c r="AI979" s="113"/>
      <c r="AJ979" s="113"/>
      <c r="AK979" s="113"/>
      <c r="AL979" s="46">
        <v>0</v>
      </c>
      <c r="AM979" s="113"/>
      <c r="AN979" s="113"/>
      <c r="AO979" s="113"/>
      <c r="AP979" s="113"/>
      <c r="AQ979" s="113"/>
      <c r="AR979" s="46">
        <v>0</v>
      </c>
      <c r="AS979" s="113"/>
      <c r="AT979" s="113"/>
      <c r="AU979" s="113"/>
      <c r="AV979" s="113"/>
      <c r="AW979" s="113"/>
      <c r="AX979" s="46">
        <v>0</v>
      </c>
      <c r="AY979" s="113"/>
      <c r="AZ979" s="113"/>
      <c r="BA979" s="113"/>
      <c r="BB979" s="113"/>
      <c r="BC979" s="113"/>
      <c r="BD979" s="46">
        <v>0</v>
      </c>
      <c r="BE979" s="113"/>
      <c r="BF979" s="113"/>
      <c r="BG979" s="113"/>
      <c r="BH979" s="113"/>
      <c r="BI979" s="113"/>
      <c r="BJ979" s="46">
        <v>0</v>
      </c>
      <c r="BK979" s="113"/>
      <c r="BL979" s="113"/>
      <c r="BM979" s="113"/>
      <c r="BN979" s="113"/>
      <c r="BO979" s="113"/>
      <c r="BP979" s="121"/>
      <c r="BQ979" s="121"/>
      <c r="GA979" t="s">
        <v>114</v>
      </c>
      <c r="GB979" t="s">
        <v>23122</v>
      </c>
      <c r="GC979" s="46">
        <v>0</v>
      </c>
      <c r="GD979" s="113"/>
      <c r="GE979" s="113"/>
      <c r="GF979" s="113"/>
      <c r="GG979" s="113"/>
      <c r="GH979" s="113"/>
      <c r="GI979" s="46">
        <v>0</v>
      </c>
      <c r="GJ979" s="113"/>
      <c r="GK979" s="113"/>
      <c r="GL979" s="113"/>
      <c r="GM979" s="113"/>
      <c r="GN979" s="113"/>
      <c r="GO979" s="46">
        <v>0</v>
      </c>
      <c r="GP979" s="113"/>
      <c r="GQ979" s="113"/>
      <c r="GR979" s="113"/>
      <c r="GS979" s="113"/>
      <c r="GT979" s="113"/>
      <c r="GU979" s="46">
        <v>0</v>
      </c>
      <c r="GV979" s="113"/>
      <c r="GW979" s="113"/>
      <c r="GX979" s="113"/>
      <c r="GY979" s="113"/>
      <c r="GZ979" s="113"/>
      <c r="HA979" s="46">
        <v>0</v>
      </c>
      <c r="HB979" s="113"/>
      <c r="HC979" s="113"/>
      <c r="HD979" s="113"/>
      <c r="HE979" s="113"/>
      <c r="HF979" s="113"/>
      <c r="HG979" s="46">
        <v>0</v>
      </c>
      <c r="HH979" s="113"/>
      <c r="HI979" s="113"/>
      <c r="HJ979" s="113"/>
      <c r="HK979" s="113"/>
      <c r="HL979" s="113"/>
      <c r="HM979" s="121"/>
      <c r="HN979" s="121"/>
      <c r="LM979" t="str">
        <v/>
      </c>
      <c r="LN979" t="str">
        <v/>
      </c>
      <c r="LO979" t="str">
        <v/>
      </c>
    </row>
    <row r="980" spans="30:327">
      <c r="AD980" t="s">
        <v>114</v>
      </c>
      <c r="AE980" t="s">
        <v>23123</v>
      </c>
      <c r="AF980" s="46">
        <v>0</v>
      </c>
      <c r="AG980" s="113"/>
      <c r="AH980" s="113"/>
      <c r="AI980" s="113"/>
      <c r="AJ980" s="113"/>
      <c r="AK980" s="113"/>
      <c r="AL980" s="46">
        <v>0</v>
      </c>
      <c r="AM980" s="113"/>
      <c r="AN980" s="113"/>
      <c r="AO980" s="113"/>
      <c r="AP980" s="113"/>
      <c r="AQ980" s="113"/>
      <c r="AR980" s="46">
        <v>0</v>
      </c>
      <c r="AS980" s="113"/>
      <c r="AT980" s="113"/>
      <c r="AU980" s="113"/>
      <c r="AV980" s="113"/>
      <c r="AW980" s="113"/>
      <c r="AX980" s="46">
        <v>0</v>
      </c>
      <c r="AY980" s="113"/>
      <c r="AZ980" s="113"/>
      <c r="BA980" s="113"/>
      <c r="BB980" s="113"/>
      <c r="BC980" s="113"/>
      <c r="BD980" s="46">
        <v>0</v>
      </c>
      <c r="BE980" s="113"/>
      <c r="BF980" s="113"/>
      <c r="BG980" s="113"/>
      <c r="BH980" s="113"/>
      <c r="BI980" s="113"/>
      <c r="BJ980" s="46">
        <v>0</v>
      </c>
      <c r="BK980" s="113"/>
      <c r="BL980" s="113"/>
      <c r="BM980" s="113"/>
      <c r="BN980" s="113"/>
      <c r="BO980" s="113"/>
      <c r="BP980" s="121"/>
      <c r="BQ980" s="121"/>
      <c r="GA980" t="s">
        <v>114</v>
      </c>
      <c r="GB980" t="s">
        <v>23123</v>
      </c>
      <c r="GC980" s="46">
        <v>0</v>
      </c>
      <c r="GD980" s="113"/>
      <c r="GE980" s="113"/>
      <c r="GF980" s="113"/>
      <c r="GG980" s="113"/>
      <c r="GH980" s="113"/>
      <c r="GI980" s="46">
        <v>0</v>
      </c>
      <c r="GJ980" s="113"/>
      <c r="GK980" s="113"/>
      <c r="GL980" s="113"/>
      <c r="GM980" s="113"/>
      <c r="GN980" s="113"/>
      <c r="GO980" s="46">
        <v>0</v>
      </c>
      <c r="GP980" s="113"/>
      <c r="GQ980" s="113"/>
      <c r="GR980" s="113"/>
      <c r="GS980" s="113"/>
      <c r="GT980" s="113"/>
      <c r="GU980" s="46">
        <v>0</v>
      </c>
      <c r="GV980" s="113"/>
      <c r="GW980" s="113"/>
      <c r="GX980" s="113"/>
      <c r="GY980" s="113"/>
      <c r="GZ980" s="113"/>
      <c r="HA980" s="46">
        <v>0</v>
      </c>
      <c r="HB980" s="113"/>
      <c r="HC980" s="113"/>
      <c r="HD980" s="113"/>
      <c r="HE980" s="113"/>
      <c r="HF980" s="113"/>
      <c r="HG980" s="46">
        <v>0</v>
      </c>
      <c r="HH980" s="113"/>
      <c r="HI980" s="113"/>
      <c r="HJ980" s="113"/>
      <c r="HK980" s="113"/>
      <c r="HL980" s="113"/>
      <c r="HM980" s="121"/>
      <c r="HN980" s="121"/>
      <c r="LM980" t="str">
        <v/>
      </c>
      <c r="LN980" t="str">
        <v/>
      </c>
      <c r="LO980" t="str">
        <v/>
      </c>
    </row>
    <row r="981" spans="30:327">
      <c r="AD981" t="s">
        <v>114</v>
      </c>
      <c r="AE981" t="s">
        <v>23124</v>
      </c>
      <c r="AF981" s="46">
        <v>0</v>
      </c>
      <c r="AG981" s="113"/>
      <c r="AH981" s="113"/>
      <c r="AI981" s="113"/>
      <c r="AJ981" s="113"/>
      <c r="AK981" s="113"/>
      <c r="AL981" s="46">
        <v>0</v>
      </c>
      <c r="AM981" s="113"/>
      <c r="AN981" s="113"/>
      <c r="AO981" s="113"/>
      <c r="AP981" s="113"/>
      <c r="AQ981" s="113"/>
      <c r="AR981" s="46">
        <v>0</v>
      </c>
      <c r="AS981" s="113"/>
      <c r="AT981" s="113"/>
      <c r="AU981" s="113"/>
      <c r="AV981" s="113"/>
      <c r="AW981" s="113"/>
      <c r="AX981" s="46">
        <v>0</v>
      </c>
      <c r="AY981" s="113"/>
      <c r="AZ981" s="113"/>
      <c r="BA981" s="113"/>
      <c r="BB981" s="113"/>
      <c r="BC981" s="113"/>
      <c r="BD981" s="46">
        <v>0</v>
      </c>
      <c r="BE981" s="113"/>
      <c r="BF981" s="113"/>
      <c r="BG981" s="113"/>
      <c r="BH981" s="113"/>
      <c r="BI981" s="113"/>
      <c r="BJ981" s="46">
        <v>0</v>
      </c>
      <c r="BK981" s="113"/>
      <c r="BL981" s="113"/>
      <c r="BM981" s="113"/>
      <c r="BN981" s="113"/>
      <c r="BO981" s="113"/>
      <c r="BP981" s="121"/>
      <c r="BQ981" s="121"/>
      <c r="GA981" t="s">
        <v>114</v>
      </c>
      <c r="GB981" t="s">
        <v>23124</v>
      </c>
      <c r="GC981" s="46">
        <v>0</v>
      </c>
      <c r="GD981" s="113"/>
      <c r="GE981" s="113"/>
      <c r="GF981" s="113"/>
      <c r="GG981" s="113"/>
      <c r="GH981" s="113"/>
      <c r="GI981" s="46">
        <v>0</v>
      </c>
      <c r="GJ981" s="113"/>
      <c r="GK981" s="113"/>
      <c r="GL981" s="113"/>
      <c r="GM981" s="113"/>
      <c r="GN981" s="113"/>
      <c r="GO981" s="46">
        <v>0</v>
      </c>
      <c r="GP981" s="113"/>
      <c r="GQ981" s="113"/>
      <c r="GR981" s="113"/>
      <c r="GS981" s="113"/>
      <c r="GT981" s="113"/>
      <c r="GU981" s="46">
        <v>0</v>
      </c>
      <c r="GV981" s="113"/>
      <c r="GW981" s="113"/>
      <c r="GX981" s="113"/>
      <c r="GY981" s="113"/>
      <c r="GZ981" s="113"/>
      <c r="HA981" s="46">
        <v>0</v>
      </c>
      <c r="HB981" s="113"/>
      <c r="HC981" s="113"/>
      <c r="HD981" s="113"/>
      <c r="HE981" s="113"/>
      <c r="HF981" s="113"/>
      <c r="HG981" s="46">
        <v>0</v>
      </c>
      <c r="HH981" s="113"/>
      <c r="HI981" s="113"/>
      <c r="HJ981" s="113"/>
      <c r="HK981" s="113"/>
      <c r="HL981" s="113"/>
      <c r="HM981" s="121"/>
      <c r="HN981" s="121"/>
      <c r="LM981" t="str">
        <v/>
      </c>
      <c r="LN981" t="str">
        <v/>
      </c>
      <c r="LO981" t="str">
        <v/>
      </c>
    </row>
    <row r="982" spans="30:327">
      <c r="AD982" t="s">
        <v>114</v>
      </c>
      <c r="AE982" t="s">
        <v>23125</v>
      </c>
      <c r="AF982" s="46">
        <v>0</v>
      </c>
      <c r="AG982" s="113"/>
      <c r="AH982" s="113"/>
      <c r="AI982" s="113"/>
      <c r="AJ982" s="113"/>
      <c r="AK982" s="113"/>
      <c r="AL982" s="46">
        <v>0</v>
      </c>
      <c r="AM982" s="113"/>
      <c r="AN982" s="113"/>
      <c r="AO982" s="113"/>
      <c r="AP982" s="113"/>
      <c r="AQ982" s="113"/>
      <c r="AR982" s="46">
        <v>0</v>
      </c>
      <c r="AS982" s="113"/>
      <c r="AT982" s="113"/>
      <c r="AU982" s="113"/>
      <c r="AV982" s="113"/>
      <c r="AW982" s="113"/>
      <c r="AX982" s="46">
        <v>0</v>
      </c>
      <c r="AY982" s="113"/>
      <c r="AZ982" s="113"/>
      <c r="BA982" s="113"/>
      <c r="BB982" s="113"/>
      <c r="BC982" s="113"/>
      <c r="BD982" s="46">
        <v>0</v>
      </c>
      <c r="BE982" s="113"/>
      <c r="BF982" s="113"/>
      <c r="BG982" s="113"/>
      <c r="BH982" s="113"/>
      <c r="BI982" s="113"/>
      <c r="BJ982" s="46">
        <v>0</v>
      </c>
      <c r="BK982" s="113"/>
      <c r="BL982" s="113"/>
      <c r="BM982" s="113"/>
      <c r="BN982" s="113"/>
      <c r="BO982" s="113"/>
      <c r="BP982" s="121"/>
      <c r="BQ982" s="121"/>
      <c r="GA982" t="s">
        <v>114</v>
      </c>
      <c r="GB982" t="s">
        <v>23125</v>
      </c>
      <c r="GC982" s="46">
        <v>0</v>
      </c>
      <c r="GD982" s="113"/>
      <c r="GE982" s="113"/>
      <c r="GF982" s="113"/>
      <c r="GG982" s="113"/>
      <c r="GH982" s="113"/>
      <c r="GI982" s="46">
        <v>0</v>
      </c>
      <c r="GJ982" s="113"/>
      <c r="GK982" s="113"/>
      <c r="GL982" s="113"/>
      <c r="GM982" s="113"/>
      <c r="GN982" s="113"/>
      <c r="GO982" s="46">
        <v>0</v>
      </c>
      <c r="GP982" s="113"/>
      <c r="GQ982" s="113"/>
      <c r="GR982" s="113"/>
      <c r="GS982" s="113"/>
      <c r="GT982" s="113"/>
      <c r="GU982" s="46">
        <v>0</v>
      </c>
      <c r="GV982" s="113"/>
      <c r="GW982" s="113"/>
      <c r="GX982" s="113"/>
      <c r="GY982" s="113"/>
      <c r="GZ982" s="113"/>
      <c r="HA982" s="46">
        <v>0</v>
      </c>
      <c r="HB982" s="113"/>
      <c r="HC982" s="113"/>
      <c r="HD982" s="113"/>
      <c r="HE982" s="113"/>
      <c r="HF982" s="113"/>
      <c r="HG982" s="46">
        <v>0</v>
      </c>
      <c r="HH982" s="113"/>
      <c r="HI982" s="113"/>
      <c r="HJ982" s="113"/>
      <c r="HK982" s="113"/>
      <c r="HL982" s="113"/>
      <c r="HM982" s="121"/>
      <c r="HN982" s="121"/>
      <c r="LM982" t="str">
        <v/>
      </c>
      <c r="LN982" t="str">
        <v/>
      </c>
      <c r="LO982" t="str">
        <v/>
      </c>
    </row>
    <row r="983" spans="30:327">
      <c r="AD983" t="s">
        <v>114</v>
      </c>
      <c r="AE983" t="s">
        <v>23126</v>
      </c>
      <c r="AF983" s="46">
        <v>0</v>
      </c>
      <c r="AG983" s="113"/>
      <c r="AH983" s="113"/>
      <c r="AI983" s="113"/>
      <c r="AJ983" s="113"/>
      <c r="AK983" s="113"/>
      <c r="AL983" s="46">
        <v>0</v>
      </c>
      <c r="AM983" s="113"/>
      <c r="AN983" s="113"/>
      <c r="AO983" s="113"/>
      <c r="AP983" s="113"/>
      <c r="AQ983" s="113"/>
      <c r="AR983" s="46">
        <v>0</v>
      </c>
      <c r="AS983" s="113"/>
      <c r="AT983" s="113"/>
      <c r="AU983" s="113"/>
      <c r="AV983" s="113"/>
      <c r="AW983" s="113"/>
      <c r="AX983" s="46">
        <v>0</v>
      </c>
      <c r="AY983" s="113"/>
      <c r="AZ983" s="113"/>
      <c r="BA983" s="113"/>
      <c r="BB983" s="113"/>
      <c r="BC983" s="113"/>
      <c r="BD983" s="46">
        <v>0</v>
      </c>
      <c r="BE983" s="113"/>
      <c r="BF983" s="113"/>
      <c r="BG983" s="113"/>
      <c r="BH983" s="113"/>
      <c r="BI983" s="113"/>
      <c r="BJ983" s="46">
        <v>0</v>
      </c>
      <c r="BK983" s="113"/>
      <c r="BL983" s="113"/>
      <c r="BM983" s="113"/>
      <c r="BN983" s="113"/>
      <c r="BO983" s="113"/>
      <c r="BP983" s="121"/>
      <c r="BQ983" s="121"/>
      <c r="GA983" t="s">
        <v>114</v>
      </c>
      <c r="GB983" t="s">
        <v>23126</v>
      </c>
      <c r="GC983" s="46">
        <v>0</v>
      </c>
      <c r="GD983" s="113"/>
      <c r="GE983" s="113"/>
      <c r="GF983" s="113"/>
      <c r="GG983" s="113"/>
      <c r="GH983" s="113"/>
      <c r="GI983" s="46">
        <v>0</v>
      </c>
      <c r="GJ983" s="113"/>
      <c r="GK983" s="113"/>
      <c r="GL983" s="113"/>
      <c r="GM983" s="113"/>
      <c r="GN983" s="113"/>
      <c r="GO983" s="46">
        <v>0</v>
      </c>
      <c r="GP983" s="113"/>
      <c r="GQ983" s="113"/>
      <c r="GR983" s="113"/>
      <c r="GS983" s="113"/>
      <c r="GT983" s="113"/>
      <c r="GU983" s="46">
        <v>0</v>
      </c>
      <c r="GV983" s="113"/>
      <c r="GW983" s="113"/>
      <c r="GX983" s="113"/>
      <c r="GY983" s="113"/>
      <c r="GZ983" s="113"/>
      <c r="HA983" s="46">
        <v>0</v>
      </c>
      <c r="HB983" s="113"/>
      <c r="HC983" s="113"/>
      <c r="HD983" s="113"/>
      <c r="HE983" s="113"/>
      <c r="HF983" s="113"/>
      <c r="HG983" s="46">
        <v>0</v>
      </c>
      <c r="HH983" s="113"/>
      <c r="HI983" s="113"/>
      <c r="HJ983" s="113"/>
      <c r="HK983" s="113"/>
      <c r="HL983" s="113"/>
      <c r="HM983" s="121"/>
      <c r="HN983" s="121"/>
      <c r="LM983" t="str">
        <v/>
      </c>
      <c r="LN983" t="str">
        <v/>
      </c>
      <c r="LO983" t="str">
        <v/>
      </c>
    </row>
    <row r="984" spans="30:327">
      <c r="AD984" t="s">
        <v>114</v>
      </c>
      <c r="AE984" t="s">
        <v>23127</v>
      </c>
      <c r="AF984" s="46">
        <v>0</v>
      </c>
      <c r="AG984" s="113"/>
      <c r="AH984" s="113"/>
      <c r="AI984" s="113"/>
      <c r="AJ984" s="113"/>
      <c r="AK984" s="113"/>
      <c r="AL984" s="46">
        <v>0</v>
      </c>
      <c r="AM984" s="113"/>
      <c r="AN984" s="113"/>
      <c r="AO984" s="113"/>
      <c r="AP984" s="113"/>
      <c r="AQ984" s="113"/>
      <c r="AR984" s="46">
        <v>0</v>
      </c>
      <c r="AS984" s="113"/>
      <c r="AT984" s="113"/>
      <c r="AU984" s="113"/>
      <c r="AV984" s="113"/>
      <c r="AW984" s="113"/>
      <c r="AX984" s="46">
        <v>0</v>
      </c>
      <c r="AY984" s="113"/>
      <c r="AZ984" s="113"/>
      <c r="BA984" s="113"/>
      <c r="BB984" s="113"/>
      <c r="BC984" s="113"/>
      <c r="BD984" s="46">
        <v>0</v>
      </c>
      <c r="BE984" s="113"/>
      <c r="BF984" s="113"/>
      <c r="BG984" s="113"/>
      <c r="BH984" s="113"/>
      <c r="BI984" s="113"/>
      <c r="BJ984" s="46">
        <v>0</v>
      </c>
      <c r="BK984" s="113"/>
      <c r="BL984" s="113"/>
      <c r="BM984" s="113"/>
      <c r="BN984" s="113"/>
      <c r="BO984" s="113"/>
      <c r="BP984" s="121"/>
      <c r="BQ984" s="121"/>
      <c r="GA984" t="s">
        <v>114</v>
      </c>
      <c r="GB984" t="s">
        <v>23127</v>
      </c>
      <c r="GC984" s="46">
        <v>0</v>
      </c>
      <c r="GD984" s="113"/>
      <c r="GE984" s="113"/>
      <c r="GF984" s="113"/>
      <c r="GG984" s="113"/>
      <c r="GH984" s="113"/>
      <c r="GI984" s="46">
        <v>0</v>
      </c>
      <c r="GJ984" s="113"/>
      <c r="GK984" s="113"/>
      <c r="GL984" s="113"/>
      <c r="GM984" s="113"/>
      <c r="GN984" s="113"/>
      <c r="GO984" s="46">
        <v>0</v>
      </c>
      <c r="GP984" s="113"/>
      <c r="GQ984" s="113"/>
      <c r="GR984" s="113"/>
      <c r="GS984" s="113"/>
      <c r="GT984" s="113"/>
      <c r="GU984" s="46">
        <v>0</v>
      </c>
      <c r="GV984" s="113"/>
      <c r="GW984" s="113"/>
      <c r="GX984" s="113"/>
      <c r="GY984" s="113"/>
      <c r="GZ984" s="113"/>
      <c r="HA984" s="46">
        <v>0</v>
      </c>
      <c r="HB984" s="113"/>
      <c r="HC984" s="113"/>
      <c r="HD984" s="113"/>
      <c r="HE984" s="113"/>
      <c r="HF984" s="113"/>
      <c r="HG984" s="46">
        <v>0</v>
      </c>
      <c r="HH984" s="113"/>
      <c r="HI984" s="113"/>
      <c r="HJ984" s="113"/>
      <c r="HK984" s="113"/>
      <c r="HL984" s="113"/>
      <c r="HM984" s="121"/>
      <c r="HN984" s="121"/>
      <c r="LM984" t="str">
        <v/>
      </c>
      <c r="LN984" t="str">
        <v/>
      </c>
      <c r="LO984" t="str">
        <v/>
      </c>
    </row>
    <row r="985" spans="30:327">
      <c r="AD985" t="s">
        <v>114</v>
      </c>
      <c r="AE985" t="s">
        <v>23128</v>
      </c>
      <c r="AF985" s="46">
        <v>0</v>
      </c>
      <c r="AG985" s="113"/>
      <c r="AH985" s="113"/>
      <c r="AI985" s="113"/>
      <c r="AJ985" s="113"/>
      <c r="AK985" s="113"/>
      <c r="AL985" s="46">
        <v>0</v>
      </c>
      <c r="AM985" s="113"/>
      <c r="AN985" s="113"/>
      <c r="AO985" s="113"/>
      <c r="AP985" s="113"/>
      <c r="AQ985" s="113"/>
      <c r="AR985" s="46">
        <v>0</v>
      </c>
      <c r="AS985" s="113"/>
      <c r="AT985" s="113"/>
      <c r="AU985" s="113"/>
      <c r="AV985" s="113"/>
      <c r="AW985" s="113"/>
      <c r="AX985" s="46">
        <v>0</v>
      </c>
      <c r="AY985" s="113"/>
      <c r="AZ985" s="113"/>
      <c r="BA985" s="113"/>
      <c r="BB985" s="113"/>
      <c r="BC985" s="113"/>
      <c r="BD985" s="46">
        <v>0</v>
      </c>
      <c r="BE985" s="113"/>
      <c r="BF985" s="113"/>
      <c r="BG985" s="113"/>
      <c r="BH985" s="113"/>
      <c r="BI985" s="113"/>
      <c r="BJ985" s="46">
        <v>0</v>
      </c>
      <c r="BK985" s="113"/>
      <c r="BL985" s="113"/>
      <c r="BM985" s="113"/>
      <c r="BN985" s="113"/>
      <c r="BO985" s="113"/>
      <c r="BP985" s="121"/>
      <c r="BQ985" s="121"/>
      <c r="GA985" t="s">
        <v>114</v>
      </c>
      <c r="GB985" t="s">
        <v>23128</v>
      </c>
      <c r="GC985" s="46">
        <v>0</v>
      </c>
      <c r="GD985" s="113"/>
      <c r="GE985" s="113"/>
      <c r="GF985" s="113"/>
      <c r="GG985" s="113"/>
      <c r="GH985" s="113"/>
      <c r="GI985" s="46">
        <v>0</v>
      </c>
      <c r="GJ985" s="113"/>
      <c r="GK985" s="113"/>
      <c r="GL985" s="113"/>
      <c r="GM985" s="113"/>
      <c r="GN985" s="113"/>
      <c r="GO985" s="46">
        <v>0</v>
      </c>
      <c r="GP985" s="113"/>
      <c r="GQ985" s="113"/>
      <c r="GR985" s="113"/>
      <c r="GS985" s="113"/>
      <c r="GT985" s="113"/>
      <c r="GU985" s="46">
        <v>0</v>
      </c>
      <c r="GV985" s="113"/>
      <c r="GW985" s="113"/>
      <c r="GX985" s="113"/>
      <c r="GY985" s="113"/>
      <c r="GZ985" s="113"/>
      <c r="HA985" s="46">
        <v>0</v>
      </c>
      <c r="HB985" s="113"/>
      <c r="HC985" s="113"/>
      <c r="HD985" s="113"/>
      <c r="HE985" s="113"/>
      <c r="HF985" s="113"/>
      <c r="HG985" s="46">
        <v>0</v>
      </c>
      <c r="HH985" s="113"/>
      <c r="HI985" s="113"/>
      <c r="HJ985" s="113"/>
      <c r="HK985" s="113"/>
      <c r="HL985" s="113"/>
      <c r="HM985" s="121"/>
      <c r="HN985" s="121"/>
      <c r="LM985" t="str">
        <v/>
      </c>
      <c r="LN985" t="str">
        <v/>
      </c>
      <c r="LO985" t="str">
        <v/>
      </c>
    </row>
    <row r="986" spans="30:327">
      <c r="AD986" t="s">
        <v>114</v>
      </c>
      <c r="AE986" t="s">
        <v>23129</v>
      </c>
      <c r="AF986" s="46">
        <v>0</v>
      </c>
      <c r="AG986" s="113"/>
      <c r="AH986" s="113"/>
      <c r="AI986" s="113"/>
      <c r="AJ986" s="113"/>
      <c r="AK986" s="113"/>
      <c r="AL986" s="46">
        <v>0</v>
      </c>
      <c r="AM986" s="113"/>
      <c r="AN986" s="113"/>
      <c r="AO986" s="113"/>
      <c r="AP986" s="113"/>
      <c r="AQ986" s="113"/>
      <c r="AR986" s="46">
        <v>0</v>
      </c>
      <c r="AS986" s="113"/>
      <c r="AT986" s="113"/>
      <c r="AU986" s="113"/>
      <c r="AV986" s="113"/>
      <c r="AW986" s="113"/>
      <c r="AX986" s="46">
        <v>0</v>
      </c>
      <c r="AY986" s="113"/>
      <c r="AZ986" s="113"/>
      <c r="BA986" s="113"/>
      <c r="BB986" s="113"/>
      <c r="BC986" s="113"/>
      <c r="BD986" s="46">
        <v>0</v>
      </c>
      <c r="BE986" s="113"/>
      <c r="BF986" s="113"/>
      <c r="BG986" s="113"/>
      <c r="BH986" s="113"/>
      <c r="BI986" s="113"/>
      <c r="BJ986" s="46">
        <v>0</v>
      </c>
      <c r="BK986" s="113"/>
      <c r="BL986" s="113"/>
      <c r="BM986" s="113"/>
      <c r="BN986" s="113"/>
      <c r="BO986" s="113"/>
      <c r="BP986" s="121"/>
      <c r="BQ986" s="121"/>
      <c r="GA986" t="s">
        <v>114</v>
      </c>
      <c r="GB986" t="s">
        <v>23129</v>
      </c>
      <c r="GC986" s="46">
        <v>0</v>
      </c>
      <c r="GD986" s="113"/>
      <c r="GE986" s="113"/>
      <c r="GF986" s="113"/>
      <c r="GG986" s="113"/>
      <c r="GH986" s="113"/>
      <c r="GI986" s="46">
        <v>0</v>
      </c>
      <c r="GJ986" s="113"/>
      <c r="GK986" s="113"/>
      <c r="GL986" s="113"/>
      <c r="GM986" s="113"/>
      <c r="GN986" s="113"/>
      <c r="GO986" s="46">
        <v>0</v>
      </c>
      <c r="GP986" s="113"/>
      <c r="GQ986" s="113"/>
      <c r="GR986" s="113"/>
      <c r="GS986" s="113"/>
      <c r="GT986" s="113"/>
      <c r="GU986" s="46">
        <v>0</v>
      </c>
      <c r="GV986" s="113"/>
      <c r="GW986" s="113"/>
      <c r="GX986" s="113"/>
      <c r="GY986" s="113"/>
      <c r="GZ986" s="113"/>
      <c r="HA986" s="46">
        <v>0</v>
      </c>
      <c r="HB986" s="113"/>
      <c r="HC986" s="113"/>
      <c r="HD986" s="113"/>
      <c r="HE986" s="113"/>
      <c r="HF986" s="113"/>
      <c r="HG986" s="46">
        <v>0</v>
      </c>
      <c r="HH986" s="113"/>
      <c r="HI986" s="113"/>
      <c r="HJ986" s="113"/>
      <c r="HK986" s="113"/>
      <c r="HL986" s="113"/>
      <c r="HM986" s="121"/>
      <c r="HN986" s="121"/>
      <c r="LM986" t="str">
        <v/>
      </c>
      <c r="LN986" t="str">
        <v/>
      </c>
      <c r="LO986" t="str">
        <v/>
      </c>
    </row>
    <row r="987" spans="30:327">
      <c r="AD987" t="s">
        <v>114</v>
      </c>
      <c r="AE987" t="s">
        <v>23130</v>
      </c>
      <c r="AF987" s="46">
        <v>0</v>
      </c>
      <c r="AG987" s="113"/>
      <c r="AH987" s="113"/>
      <c r="AI987" s="113"/>
      <c r="AJ987" s="113"/>
      <c r="AK987" s="113"/>
      <c r="AL987" s="46">
        <v>0</v>
      </c>
      <c r="AM987" s="113"/>
      <c r="AN987" s="113"/>
      <c r="AO987" s="113"/>
      <c r="AP987" s="113"/>
      <c r="AQ987" s="113"/>
      <c r="AR987" s="46">
        <v>0</v>
      </c>
      <c r="AS987" s="113"/>
      <c r="AT987" s="113"/>
      <c r="AU987" s="113"/>
      <c r="AV987" s="113"/>
      <c r="AW987" s="113"/>
      <c r="AX987" s="46">
        <v>0</v>
      </c>
      <c r="AY987" s="113"/>
      <c r="AZ987" s="113"/>
      <c r="BA987" s="113"/>
      <c r="BB987" s="113"/>
      <c r="BC987" s="113"/>
      <c r="BD987" s="46">
        <v>0</v>
      </c>
      <c r="BE987" s="113"/>
      <c r="BF987" s="113"/>
      <c r="BG987" s="113"/>
      <c r="BH987" s="113"/>
      <c r="BI987" s="113"/>
      <c r="BJ987" s="46">
        <v>0</v>
      </c>
      <c r="BK987" s="113"/>
      <c r="BL987" s="113"/>
      <c r="BM987" s="113"/>
      <c r="BN987" s="113"/>
      <c r="BO987" s="113"/>
      <c r="BP987" s="121"/>
      <c r="BQ987" s="121"/>
      <c r="GA987" t="s">
        <v>114</v>
      </c>
      <c r="GB987" t="s">
        <v>23130</v>
      </c>
      <c r="GC987" s="46">
        <v>0</v>
      </c>
      <c r="GD987" s="113"/>
      <c r="GE987" s="113"/>
      <c r="GF987" s="113"/>
      <c r="GG987" s="113"/>
      <c r="GH987" s="113"/>
      <c r="GI987" s="46">
        <v>0</v>
      </c>
      <c r="GJ987" s="113"/>
      <c r="GK987" s="113"/>
      <c r="GL987" s="113"/>
      <c r="GM987" s="113"/>
      <c r="GN987" s="113"/>
      <c r="GO987" s="46">
        <v>0</v>
      </c>
      <c r="GP987" s="113"/>
      <c r="GQ987" s="113"/>
      <c r="GR987" s="113"/>
      <c r="GS987" s="113"/>
      <c r="GT987" s="113"/>
      <c r="GU987" s="46">
        <v>0</v>
      </c>
      <c r="GV987" s="113"/>
      <c r="GW987" s="113"/>
      <c r="GX987" s="113"/>
      <c r="GY987" s="113"/>
      <c r="GZ987" s="113"/>
      <c r="HA987" s="46">
        <v>0</v>
      </c>
      <c r="HB987" s="113"/>
      <c r="HC987" s="113"/>
      <c r="HD987" s="113"/>
      <c r="HE987" s="113"/>
      <c r="HF987" s="113"/>
      <c r="HG987" s="46">
        <v>0</v>
      </c>
      <c r="HH987" s="113"/>
      <c r="HI987" s="113"/>
      <c r="HJ987" s="113"/>
      <c r="HK987" s="113"/>
      <c r="HL987" s="113"/>
      <c r="HM987" s="121"/>
      <c r="HN987" s="121"/>
      <c r="LM987" t="str">
        <v/>
      </c>
      <c r="LN987" t="str">
        <v/>
      </c>
      <c r="LO987" t="str">
        <v/>
      </c>
    </row>
    <row r="988" spans="30:327">
      <c r="AD988" t="s">
        <v>114</v>
      </c>
      <c r="AE988" t="s">
        <v>23131</v>
      </c>
      <c r="AF988" s="46">
        <v>0</v>
      </c>
      <c r="AG988" s="113"/>
      <c r="AH988" s="113"/>
      <c r="AI988" s="113"/>
      <c r="AJ988" s="113"/>
      <c r="AK988" s="113"/>
      <c r="AL988" s="46">
        <v>0</v>
      </c>
      <c r="AM988" s="113"/>
      <c r="AN988" s="113"/>
      <c r="AO988" s="113"/>
      <c r="AP988" s="113"/>
      <c r="AQ988" s="113"/>
      <c r="AR988" s="46">
        <v>0</v>
      </c>
      <c r="AS988" s="113"/>
      <c r="AT988" s="113"/>
      <c r="AU988" s="113"/>
      <c r="AV988" s="113"/>
      <c r="AW988" s="113"/>
      <c r="AX988" s="46">
        <v>0</v>
      </c>
      <c r="AY988" s="113"/>
      <c r="AZ988" s="113"/>
      <c r="BA988" s="113"/>
      <c r="BB988" s="113"/>
      <c r="BC988" s="113"/>
      <c r="BD988" s="46">
        <v>0</v>
      </c>
      <c r="BE988" s="113"/>
      <c r="BF988" s="113"/>
      <c r="BG988" s="113"/>
      <c r="BH988" s="113"/>
      <c r="BI988" s="113"/>
      <c r="BJ988" s="46">
        <v>0</v>
      </c>
      <c r="BK988" s="113"/>
      <c r="BL988" s="113"/>
      <c r="BM988" s="113"/>
      <c r="BN988" s="113"/>
      <c r="BO988" s="113"/>
      <c r="BP988" s="121"/>
      <c r="BQ988" s="121"/>
      <c r="GA988" t="s">
        <v>114</v>
      </c>
      <c r="GB988" t="s">
        <v>23131</v>
      </c>
      <c r="GC988" s="46">
        <v>0</v>
      </c>
      <c r="GD988" s="113"/>
      <c r="GE988" s="113"/>
      <c r="GF988" s="113"/>
      <c r="GG988" s="113"/>
      <c r="GH988" s="113"/>
      <c r="GI988" s="46">
        <v>0</v>
      </c>
      <c r="GJ988" s="113"/>
      <c r="GK988" s="113"/>
      <c r="GL988" s="113"/>
      <c r="GM988" s="113"/>
      <c r="GN988" s="113"/>
      <c r="GO988" s="46">
        <v>0</v>
      </c>
      <c r="GP988" s="113"/>
      <c r="GQ988" s="113"/>
      <c r="GR988" s="113"/>
      <c r="GS988" s="113"/>
      <c r="GT988" s="113"/>
      <c r="GU988" s="46">
        <v>0</v>
      </c>
      <c r="GV988" s="113"/>
      <c r="GW988" s="113"/>
      <c r="GX988" s="113"/>
      <c r="GY988" s="113"/>
      <c r="GZ988" s="113"/>
      <c r="HA988" s="46">
        <v>0</v>
      </c>
      <c r="HB988" s="113"/>
      <c r="HC988" s="113"/>
      <c r="HD988" s="113"/>
      <c r="HE988" s="113"/>
      <c r="HF988" s="113"/>
      <c r="HG988" s="46">
        <v>0</v>
      </c>
      <c r="HH988" s="113"/>
      <c r="HI988" s="113"/>
      <c r="HJ988" s="113"/>
      <c r="HK988" s="113"/>
      <c r="HL988" s="113"/>
      <c r="HM988" s="121"/>
      <c r="HN988" s="121"/>
      <c r="LM988" t="str">
        <v/>
      </c>
      <c r="LN988" t="str">
        <v/>
      </c>
      <c r="LO988" t="str">
        <v/>
      </c>
    </row>
    <row r="989" spans="30:327">
      <c r="AD989" t="s">
        <v>114</v>
      </c>
      <c r="AE989" t="s">
        <v>23132</v>
      </c>
      <c r="AF989" s="46">
        <v>0</v>
      </c>
      <c r="AG989" s="113"/>
      <c r="AH989" s="113"/>
      <c r="AI989" s="113"/>
      <c r="AJ989" s="113"/>
      <c r="AK989" s="113"/>
      <c r="AL989" s="46">
        <v>0</v>
      </c>
      <c r="AM989" s="113"/>
      <c r="AN989" s="113"/>
      <c r="AO989" s="113"/>
      <c r="AP989" s="113"/>
      <c r="AQ989" s="113"/>
      <c r="AR989" s="46">
        <v>0</v>
      </c>
      <c r="AS989" s="113"/>
      <c r="AT989" s="113"/>
      <c r="AU989" s="113"/>
      <c r="AV989" s="113"/>
      <c r="AW989" s="113"/>
      <c r="AX989" s="46">
        <v>0</v>
      </c>
      <c r="AY989" s="113"/>
      <c r="AZ989" s="113"/>
      <c r="BA989" s="113"/>
      <c r="BB989" s="113"/>
      <c r="BC989" s="113"/>
      <c r="BD989" s="46">
        <v>0</v>
      </c>
      <c r="BE989" s="113"/>
      <c r="BF989" s="113"/>
      <c r="BG989" s="113"/>
      <c r="BH989" s="113"/>
      <c r="BI989" s="113"/>
      <c r="BJ989" s="46">
        <v>0</v>
      </c>
      <c r="BK989" s="113"/>
      <c r="BL989" s="113"/>
      <c r="BM989" s="113"/>
      <c r="BN989" s="113"/>
      <c r="BO989" s="113"/>
      <c r="BP989" s="121"/>
      <c r="BQ989" s="121"/>
      <c r="GA989" t="s">
        <v>114</v>
      </c>
      <c r="GB989" t="s">
        <v>23132</v>
      </c>
      <c r="GC989" s="46">
        <v>0</v>
      </c>
      <c r="GD989" s="113"/>
      <c r="GE989" s="113"/>
      <c r="GF989" s="113"/>
      <c r="GG989" s="113"/>
      <c r="GH989" s="113"/>
      <c r="GI989" s="46">
        <v>0</v>
      </c>
      <c r="GJ989" s="113"/>
      <c r="GK989" s="113"/>
      <c r="GL989" s="113"/>
      <c r="GM989" s="113"/>
      <c r="GN989" s="113"/>
      <c r="GO989" s="46">
        <v>0</v>
      </c>
      <c r="GP989" s="113"/>
      <c r="GQ989" s="113"/>
      <c r="GR989" s="113"/>
      <c r="GS989" s="113"/>
      <c r="GT989" s="113"/>
      <c r="GU989" s="46">
        <v>0</v>
      </c>
      <c r="GV989" s="113"/>
      <c r="GW989" s="113"/>
      <c r="GX989" s="113"/>
      <c r="GY989" s="113"/>
      <c r="GZ989" s="113"/>
      <c r="HA989" s="46">
        <v>0</v>
      </c>
      <c r="HB989" s="113"/>
      <c r="HC989" s="113"/>
      <c r="HD989" s="113"/>
      <c r="HE989" s="113"/>
      <c r="HF989" s="113"/>
      <c r="HG989" s="46">
        <v>0</v>
      </c>
      <c r="HH989" s="113"/>
      <c r="HI989" s="113"/>
      <c r="HJ989" s="113"/>
      <c r="HK989" s="113"/>
      <c r="HL989" s="113"/>
      <c r="HM989" s="121"/>
      <c r="HN989" s="121"/>
      <c r="LM989" t="str">
        <v/>
      </c>
      <c r="LN989" t="str">
        <v/>
      </c>
      <c r="LO989" t="str">
        <v/>
      </c>
    </row>
    <row r="990" spans="30:327">
      <c r="AD990" t="s">
        <v>114</v>
      </c>
      <c r="AE990" t="s">
        <v>23133</v>
      </c>
      <c r="AF990" s="46">
        <v>0</v>
      </c>
      <c r="AG990" s="113"/>
      <c r="AH990" s="113"/>
      <c r="AI990" s="113"/>
      <c r="AJ990" s="113"/>
      <c r="AK990" s="113"/>
      <c r="AL990" s="46">
        <v>0</v>
      </c>
      <c r="AM990" s="113"/>
      <c r="AN990" s="113"/>
      <c r="AO990" s="113"/>
      <c r="AP990" s="113"/>
      <c r="AQ990" s="113"/>
      <c r="AR990" s="46">
        <v>0</v>
      </c>
      <c r="AS990" s="113"/>
      <c r="AT990" s="113"/>
      <c r="AU990" s="113"/>
      <c r="AV990" s="113"/>
      <c r="AW990" s="113"/>
      <c r="AX990" s="46">
        <v>0</v>
      </c>
      <c r="AY990" s="113"/>
      <c r="AZ990" s="113"/>
      <c r="BA990" s="113"/>
      <c r="BB990" s="113"/>
      <c r="BC990" s="113"/>
      <c r="BD990" s="46">
        <v>0</v>
      </c>
      <c r="BE990" s="113"/>
      <c r="BF990" s="113"/>
      <c r="BG990" s="113"/>
      <c r="BH990" s="113"/>
      <c r="BI990" s="113"/>
      <c r="BJ990" s="46">
        <v>0</v>
      </c>
      <c r="BK990" s="113"/>
      <c r="BL990" s="113"/>
      <c r="BM990" s="113"/>
      <c r="BN990" s="113"/>
      <c r="BO990" s="113"/>
      <c r="BP990" s="121"/>
      <c r="BQ990" s="121"/>
      <c r="GA990" t="s">
        <v>114</v>
      </c>
      <c r="GB990" t="s">
        <v>23133</v>
      </c>
      <c r="GC990" s="46">
        <v>0</v>
      </c>
      <c r="GD990" s="113"/>
      <c r="GE990" s="113"/>
      <c r="GF990" s="113"/>
      <c r="GG990" s="113"/>
      <c r="GH990" s="113"/>
      <c r="GI990" s="46">
        <v>0</v>
      </c>
      <c r="GJ990" s="113"/>
      <c r="GK990" s="113"/>
      <c r="GL990" s="113"/>
      <c r="GM990" s="113"/>
      <c r="GN990" s="113"/>
      <c r="GO990" s="46">
        <v>0</v>
      </c>
      <c r="GP990" s="113"/>
      <c r="GQ990" s="113"/>
      <c r="GR990" s="113"/>
      <c r="GS990" s="113"/>
      <c r="GT990" s="113"/>
      <c r="GU990" s="46">
        <v>0</v>
      </c>
      <c r="GV990" s="113"/>
      <c r="GW990" s="113"/>
      <c r="GX990" s="113"/>
      <c r="GY990" s="113"/>
      <c r="GZ990" s="113"/>
      <c r="HA990" s="46">
        <v>0</v>
      </c>
      <c r="HB990" s="113"/>
      <c r="HC990" s="113"/>
      <c r="HD990" s="113"/>
      <c r="HE990" s="113"/>
      <c r="HF990" s="113"/>
      <c r="HG990" s="46">
        <v>0</v>
      </c>
      <c r="HH990" s="113"/>
      <c r="HI990" s="113"/>
      <c r="HJ990" s="113"/>
      <c r="HK990" s="113"/>
      <c r="HL990" s="113"/>
      <c r="HM990" s="121"/>
      <c r="HN990" s="121"/>
      <c r="LM990" t="str">
        <v/>
      </c>
      <c r="LN990" t="str">
        <v/>
      </c>
      <c r="LO990" t="str">
        <v/>
      </c>
    </row>
    <row r="991" spans="30:327">
      <c r="AD991" t="s">
        <v>114</v>
      </c>
      <c r="AE991" t="s">
        <v>23134</v>
      </c>
      <c r="AF991" s="46">
        <v>0</v>
      </c>
      <c r="AG991" s="113"/>
      <c r="AH991" s="113"/>
      <c r="AI991" s="113"/>
      <c r="AJ991" s="113"/>
      <c r="AK991" s="113"/>
      <c r="AL991" s="46">
        <v>0</v>
      </c>
      <c r="AM991" s="113"/>
      <c r="AN991" s="113"/>
      <c r="AO991" s="113"/>
      <c r="AP991" s="113"/>
      <c r="AQ991" s="113"/>
      <c r="AR991" s="46">
        <v>0</v>
      </c>
      <c r="AS991" s="113"/>
      <c r="AT991" s="113"/>
      <c r="AU991" s="113"/>
      <c r="AV991" s="113"/>
      <c r="AW991" s="113"/>
      <c r="AX991" s="46">
        <v>0</v>
      </c>
      <c r="AY991" s="113"/>
      <c r="AZ991" s="113"/>
      <c r="BA991" s="113"/>
      <c r="BB991" s="113"/>
      <c r="BC991" s="113"/>
      <c r="BD991" s="46">
        <v>0</v>
      </c>
      <c r="BE991" s="113"/>
      <c r="BF991" s="113"/>
      <c r="BG991" s="113"/>
      <c r="BH991" s="113"/>
      <c r="BI991" s="113"/>
      <c r="BJ991" s="46">
        <v>0</v>
      </c>
      <c r="BK991" s="113"/>
      <c r="BL991" s="113"/>
      <c r="BM991" s="113"/>
      <c r="BN991" s="113"/>
      <c r="BO991" s="113"/>
      <c r="BP991" s="121"/>
      <c r="BQ991" s="121"/>
      <c r="GA991" t="s">
        <v>114</v>
      </c>
      <c r="GB991" t="s">
        <v>23134</v>
      </c>
      <c r="GC991" s="46">
        <v>0</v>
      </c>
      <c r="GD991" s="113"/>
      <c r="GE991" s="113"/>
      <c r="GF991" s="113"/>
      <c r="GG991" s="113"/>
      <c r="GH991" s="113"/>
      <c r="GI991" s="46">
        <v>0</v>
      </c>
      <c r="GJ991" s="113"/>
      <c r="GK991" s="113"/>
      <c r="GL991" s="113"/>
      <c r="GM991" s="113"/>
      <c r="GN991" s="113"/>
      <c r="GO991" s="46">
        <v>0</v>
      </c>
      <c r="GP991" s="113"/>
      <c r="GQ991" s="113"/>
      <c r="GR991" s="113"/>
      <c r="GS991" s="113"/>
      <c r="GT991" s="113"/>
      <c r="GU991" s="46">
        <v>0</v>
      </c>
      <c r="GV991" s="113"/>
      <c r="GW991" s="113"/>
      <c r="GX991" s="113"/>
      <c r="GY991" s="113"/>
      <c r="GZ991" s="113"/>
      <c r="HA991" s="46">
        <v>0</v>
      </c>
      <c r="HB991" s="113"/>
      <c r="HC991" s="113"/>
      <c r="HD991" s="113"/>
      <c r="HE991" s="113"/>
      <c r="HF991" s="113"/>
      <c r="HG991" s="46">
        <v>0</v>
      </c>
      <c r="HH991" s="113"/>
      <c r="HI991" s="113"/>
      <c r="HJ991" s="113"/>
      <c r="HK991" s="113"/>
      <c r="HL991" s="113"/>
      <c r="HM991" s="121"/>
      <c r="HN991" s="121"/>
      <c r="LM991" t="str">
        <v/>
      </c>
      <c r="LN991" t="str">
        <v/>
      </c>
      <c r="LO991" t="str">
        <v/>
      </c>
    </row>
    <row r="992" spans="30:327">
      <c r="AD992" t="s">
        <v>114</v>
      </c>
      <c r="AE992" t="s">
        <v>23135</v>
      </c>
      <c r="AF992" s="46">
        <v>0</v>
      </c>
      <c r="AG992" s="113"/>
      <c r="AH992" s="113"/>
      <c r="AI992" s="113"/>
      <c r="AJ992" s="113"/>
      <c r="AK992" s="113"/>
      <c r="AL992" s="46">
        <v>0</v>
      </c>
      <c r="AM992" s="113"/>
      <c r="AN992" s="113"/>
      <c r="AO992" s="113"/>
      <c r="AP992" s="113"/>
      <c r="AQ992" s="113"/>
      <c r="AR992" s="46">
        <v>0</v>
      </c>
      <c r="AS992" s="113"/>
      <c r="AT992" s="113"/>
      <c r="AU992" s="113"/>
      <c r="AV992" s="113"/>
      <c r="AW992" s="113"/>
      <c r="AX992" s="46">
        <v>0</v>
      </c>
      <c r="AY992" s="113"/>
      <c r="AZ992" s="113"/>
      <c r="BA992" s="113"/>
      <c r="BB992" s="113"/>
      <c r="BC992" s="113"/>
      <c r="BD992" s="46">
        <v>0</v>
      </c>
      <c r="BE992" s="113"/>
      <c r="BF992" s="113"/>
      <c r="BG992" s="113"/>
      <c r="BH992" s="113"/>
      <c r="BI992" s="113"/>
      <c r="BJ992" s="46">
        <v>0</v>
      </c>
      <c r="BK992" s="113"/>
      <c r="BL992" s="113"/>
      <c r="BM992" s="113"/>
      <c r="BN992" s="113"/>
      <c r="BO992" s="113"/>
      <c r="BP992" s="121"/>
      <c r="BQ992" s="121"/>
      <c r="GA992" t="s">
        <v>114</v>
      </c>
      <c r="GB992" t="s">
        <v>23135</v>
      </c>
      <c r="GC992" s="46">
        <v>0</v>
      </c>
      <c r="GD992" s="113"/>
      <c r="GE992" s="113"/>
      <c r="GF992" s="113"/>
      <c r="GG992" s="113"/>
      <c r="GH992" s="113"/>
      <c r="GI992" s="46">
        <v>0</v>
      </c>
      <c r="GJ992" s="113"/>
      <c r="GK992" s="113"/>
      <c r="GL992" s="113"/>
      <c r="GM992" s="113"/>
      <c r="GN992" s="113"/>
      <c r="GO992" s="46">
        <v>0</v>
      </c>
      <c r="GP992" s="113"/>
      <c r="GQ992" s="113"/>
      <c r="GR992" s="113"/>
      <c r="GS992" s="113"/>
      <c r="GT992" s="113"/>
      <c r="GU992" s="46">
        <v>0</v>
      </c>
      <c r="GV992" s="113"/>
      <c r="GW992" s="113"/>
      <c r="GX992" s="113"/>
      <c r="GY992" s="113"/>
      <c r="GZ992" s="113"/>
      <c r="HA992" s="46">
        <v>0</v>
      </c>
      <c r="HB992" s="113"/>
      <c r="HC992" s="113"/>
      <c r="HD992" s="113"/>
      <c r="HE992" s="113"/>
      <c r="HF992" s="113"/>
      <c r="HG992" s="46">
        <v>0</v>
      </c>
      <c r="HH992" s="113"/>
      <c r="HI992" s="113"/>
      <c r="HJ992" s="113"/>
      <c r="HK992" s="113"/>
      <c r="HL992" s="113"/>
      <c r="HM992" s="121"/>
      <c r="HN992" s="121"/>
      <c r="LM992" t="str">
        <v/>
      </c>
      <c r="LN992" t="str">
        <v/>
      </c>
      <c r="LO992" t="str">
        <v/>
      </c>
    </row>
    <row r="993" spans="30:327">
      <c r="AD993" t="s">
        <v>114</v>
      </c>
      <c r="AE993" t="s">
        <v>23136</v>
      </c>
      <c r="AF993" s="46">
        <v>0</v>
      </c>
      <c r="AG993" s="113"/>
      <c r="AH993" s="113"/>
      <c r="AI993" s="113"/>
      <c r="AJ993" s="113"/>
      <c r="AK993" s="113"/>
      <c r="AL993" s="46">
        <v>0</v>
      </c>
      <c r="AM993" s="113"/>
      <c r="AN993" s="113"/>
      <c r="AO993" s="113"/>
      <c r="AP993" s="113"/>
      <c r="AQ993" s="113"/>
      <c r="AR993" s="46">
        <v>0</v>
      </c>
      <c r="AS993" s="113"/>
      <c r="AT993" s="113"/>
      <c r="AU993" s="113"/>
      <c r="AV993" s="113"/>
      <c r="AW993" s="113"/>
      <c r="AX993" s="46">
        <v>0</v>
      </c>
      <c r="AY993" s="113"/>
      <c r="AZ993" s="113"/>
      <c r="BA993" s="113"/>
      <c r="BB993" s="113"/>
      <c r="BC993" s="113"/>
      <c r="BD993" s="46">
        <v>0</v>
      </c>
      <c r="BE993" s="113"/>
      <c r="BF993" s="113"/>
      <c r="BG993" s="113"/>
      <c r="BH993" s="113"/>
      <c r="BI993" s="113"/>
      <c r="BJ993" s="46">
        <v>0</v>
      </c>
      <c r="BK993" s="113"/>
      <c r="BL993" s="113"/>
      <c r="BM993" s="113"/>
      <c r="BN993" s="113"/>
      <c r="BO993" s="113"/>
      <c r="BP993" s="121"/>
      <c r="BQ993" s="121"/>
      <c r="GA993" t="s">
        <v>114</v>
      </c>
      <c r="GB993" t="s">
        <v>23136</v>
      </c>
      <c r="GC993" s="46">
        <v>0</v>
      </c>
      <c r="GD993" s="113"/>
      <c r="GE993" s="113"/>
      <c r="GF993" s="113"/>
      <c r="GG993" s="113"/>
      <c r="GH993" s="113"/>
      <c r="GI993" s="46">
        <v>0</v>
      </c>
      <c r="GJ993" s="113"/>
      <c r="GK993" s="113"/>
      <c r="GL993" s="113"/>
      <c r="GM993" s="113"/>
      <c r="GN993" s="113"/>
      <c r="GO993" s="46">
        <v>0</v>
      </c>
      <c r="GP993" s="113"/>
      <c r="GQ993" s="113"/>
      <c r="GR993" s="113"/>
      <c r="GS993" s="113"/>
      <c r="GT993" s="113"/>
      <c r="GU993" s="46">
        <v>0</v>
      </c>
      <c r="GV993" s="113"/>
      <c r="GW993" s="113"/>
      <c r="GX993" s="113"/>
      <c r="GY993" s="113"/>
      <c r="GZ993" s="113"/>
      <c r="HA993" s="46">
        <v>0</v>
      </c>
      <c r="HB993" s="113"/>
      <c r="HC993" s="113"/>
      <c r="HD993" s="113"/>
      <c r="HE993" s="113"/>
      <c r="HF993" s="113"/>
      <c r="HG993" s="46">
        <v>0</v>
      </c>
      <c r="HH993" s="113"/>
      <c r="HI993" s="113"/>
      <c r="HJ993" s="113"/>
      <c r="HK993" s="113"/>
      <c r="HL993" s="113"/>
      <c r="HM993" s="121"/>
      <c r="HN993" s="121"/>
      <c r="LM993" t="str">
        <v/>
      </c>
      <c r="LN993" t="str">
        <v/>
      </c>
      <c r="LO993" t="str">
        <v/>
      </c>
    </row>
    <row r="994" spans="30:327">
      <c r="AD994" t="s">
        <v>114</v>
      </c>
      <c r="AE994" t="s">
        <v>23137</v>
      </c>
      <c r="AF994" s="46">
        <v>0</v>
      </c>
      <c r="AG994" s="113"/>
      <c r="AH994" s="113"/>
      <c r="AI994" s="113"/>
      <c r="AJ994" s="113"/>
      <c r="AK994" s="113"/>
      <c r="AL994" s="46">
        <v>0</v>
      </c>
      <c r="AM994" s="113"/>
      <c r="AN994" s="113"/>
      <c r="AO994" s="113"/>
      <c r="AP994" s="113"/>
      <c r="AQ994" s="113"/>
      <c r="AR994" s="46">
        <v>0</v>
      </c>
      <c r="AS994" s="113"/>
      <c r="AT994" s="113"/>
      <c r="AU994" s="113"/>
      <c r="AV994" s="113"/>
      <c r="AW994" s="113"/>
      <c r="AX994" s="46">
        <v>0</v>
      </c>
      <c r="AY994" s="113"/>
      <c r="AZ994" s="113"/>
      <c r="BA994" s="113"/>
      <c r="BB994" s="113"/>
      <c r="BC994" s="113"/>
      <c r="BD994" s="46">
        <v>0</v>
      </c>
      <c r="BE994" s="113"/>
      <c r="BF994" s="113"/>
      <c r="BG994" s="113"/>
      <c r="BH994" s="113"/>
      <c r="BI994" s="113"/>
      <c r="BJ994" s="46">
        <v>0</v>
      </c>
      <c r="BK994" s="113"/>
      <c r="BL994" s="113"/>
      <c r="BM994" s="113"/>
      <c r="BN994" s="113"/>
      <c r="BO994" s="113"/>
      <c r="BP994" s="121"/>
      <c r="BQ994" s="121"/>
      <c r="GA994" t="s">
        <v>114</v>
      </c>
      <c r="GB994" t="s">
        <v>23137</v>
      </c>
      <c r="GC994" s="46">
        <v>0</v>
      </c>
      <c r="GD994" s="113"/>
      <c r="GE994" s="113"/>
      <c r="GF994" s="113"/>
      <c r="GG994" s="113"/>
      <c r="GH994" s="113"/>
      <c r="GI994" s="46">
        <v>0</v>
      </c>
      <c r="GJ994" s="113"/>
      <c r="GK994" s="113"/>
      <c r="GL994" s="113"/>
      <c r="GM994" s="113"/>
      <c r="GN994" s="113"/>
      <c r="GO994" s="46">
        <v>0</v>
      </c>
      <c r="GP994" s="113"/>
      <c r="GQ994" s="113"/>
      <c r="GR994" s="113"/>
      <c r="GS994" s="113"/>
      <c r="GT994" s="113"/>
      <c r="GU994" s="46">
        <v>0</v>
      </c>
      <c r="GV994" s="113"/>
      <c r="GW994" s="113"/>
      <c r="GX994" s="113"/>
      <c r="GY994" s="113"/>
      <c r="GZ994" s="113"/>
      <c r="HA994" s="46">
        <v>0</v>
      </c>
      <c r="HB994" s="113"/>
      <c r="HC994" s="113"/>
      <c r="HD994" s="113"/>
      <c r="HE994" s="113"/>
      <c r="HF994" s="113"/>
      <c r="HG994" s="46">
        <v>0</v>
      </c>
      <c r="HH994" s="113"/>
      <c r="HI994" s="113"/>
      <c r="HJ994" s="113"/>
      <c r="HK994" s="113"/>
      <c r="HL994" s="113"/>
      <c r="HM994" s="121"/>
      <c r="HN994" s="121"/>
      <c r="LM994" t="str">
        <v/>
      </c>
      <c r="LN994" t="str">
        <v/>
      </c>
      <c r="LO994" t="str">
        <v/>
      </c>
    </row>
    <row r="995" spans="30:327">
      <c r="AD995" t="s">
        <v>114</v>
      </c>
      <c r="AE995" t="s">
        <v>23138</v>
      </c>
      <c r="AF995" s="46">
        <v>0</v>
      </c>
      <c r="AG995" s="113"/>
      <c r="AH995" s="113"/>
      <c r="AI995" s="113"/>
      <c r="AJ995" s="113"/>
      <c r="AK995" s="113"/>
      <c r="AL995" s="46">
        <v>0</v>
      </c>
      <c r="AM995" s="113"/>
      <c r="AN995" s="113"/>
      <c r="AO995" s="113"/>
      <c r="AP995" s="113"/>
      <c r="AQ995" s="113"/>
      <c r="AR995" s="46">
        <v>0</v>
      </c>
      <c r="AS995" s="113"/>
      <c r="AT995" s="113"/>
      <c r="AU995" s="113"/>
      <c r="AV995" s="113"/>
      <c r="AW995" s="113"/>
      <c r="AX995" s="46">
        <v>0</v>
      </c>
      <c r="AY995" s="113"/>
      <c r="AZ995" s="113"/>
      <c r="BA995" s="113"/>
      <c r="BB995" s="113"/>
      <c r="BC995" s="113"/>
      <c r="BD995" s="46">
        <v>0</v>
      </c>
      <c r="BE995" s="113"/>
      <c r="BF995" s="113"/>
      <c r="BG995" s="113"/>
      <c r="BH995" s="113"/>
      <c r="BI995" s="113"/>
      <c r="BJ995" s="46">
        <v>0</v>
      </c>
      <c r="BK995" s="113"/>
      <c r="BL995" s="113"/>
      <c r="BM995" s="113"/>
      <c r="BN995" s="113"/>
      <c r="BO995" s="113"/>
      <c r="BP995" s="121"/>
      <c r="BQ995" s="121"/>
      <c r="GA995" t="s">
        <v>114</v>
      </c>
      <c r="GB995" t="s">
        <v>23138</v>
      </c>
      <c r="GC995" s="46">
        <v>0</v>
      </c>
      <c r="GD995" s="113"/>
      <c r="GE995" s="113"/>
      <c r="GF995" s="113"/>
      <c r="GG995" s="113"/>
      <c r="GH995" s="113"/>
      <c r="GI995" s="46">
        <v>0</v>
      </c>
      <c r="GJ995" s="113"/>
      <c r="GK995" s="113"/>
      <c r="GL995" s="113"/>
      <c r="GM995" s="113"/>
      <c r="GN995" s="113"/>
      <c r="GO995" s="46">
        <v>0</v>
      </c>
      <c r="GP995" s="113"/>
      <c r="GQ995" s="113"/>
      <c r="GR995" s="113"/>
      <c r="GS995" s="113"/>
      <c r="GT995" s="113"/>
      <c r="GU995" s="46">
        <v>0</v>
      </c>
      <c r="GV995" s="113"/>
      <c r="GW995" s="113"/>
      <c r="GX995" s="113"/>
      <c r="GY995" s="113"/>
      <c r="GZ995" s="113"/>
      <c r="HA995" s="46">
        <v>0</v>
      </c>
      <c r="HB995" s="113"/>
      <c r="HC995" s="113"/>
      <c r="HD995" s="113"/>
      <c r="HE995" s="113"/>
      <c r="HF995" s="113"/>
      <c r="HG995" s="46">
        <v>0</v>
      </c>
      <c r="HH995" s="113"/>
      <c r="HI995" s="113"/>
      <c r="HJ995" s="113"/>
      <c r="HK995" s="113"/>
      <c r="HL995" s="113"/>
      <c r="HM995" s="121"/>
      <c r="HN995" s="121"/>
      <c r="LM995" t="str">
        <v/>
      </c>
      <c r="LN995" t="str">
        <v/>
      </c>
      <c r="LO995" t="str">
        <v/>
      </c>
    </row>
    <row r="996" spans="30:327">
      <c r="AD996" t="s">
        <v>114</v>
      </c>
      <c r="AE996" t="s">
        <v>23139</v>
      </c>
      <c r="AF996" s="46">
        <v>0</v>
      </c>
      <c r="AG996" s="113"/>
      <c r="AH996" s="113"/>
      <c r="AI996" s="113"/>
      <c r="AJ996" s="113"/>
      <c r="AK996" s="113"/>
      <c r="AL996" s="46">
        <v>0</v>
      </c>
      <c r="AM996" s="113"/>
      <c r="AN996" s="113"/>
      <c r="AO996" s="113"/>
      <c r="AP996" s="113"/>
      <c r="AQ996" s="113"/>
      <c r="AR996" s="46">
        <v>0</v>
      </c>
      <c r="AS996" s="113"/>
      <c r="AT996" s="113"/>
      <c r="AU996" s="113"/>
      <c r="AV996" s="113"/>
      <c r="AW996" s="113"/>
      <c r="AX996" s="46">
        <v>0</v>
      </c>
      <c r="AY996" s="113"/>
      <c r="AZ996" s="113"/>
      <c r="BA996" s="113"/>
      <c r="BB996" s="113"/>
      <c r="BC996" s="113"/>
      <c r="BD996" s="46">
        <v>0</v>
      </c>
      <c r="BE996" s="113"/>
      <c r="BF996" s="113"/>
      <c r="BG996" s="113"/>
      <c r="BH996" s="113"/>
      <c r="BI996" s="113"/>
      <c r="BJ996" s="46">
        <v>0</v>
      </c>
      <c r="BK996" s="113"/>
      <c r="BL996" s="113"/>
      <c r="BM996" s="113"/>
      <c r="BN996" s="113"/>
      <c r="BO996" s="113"/>
      <c r="BP996" s="121"/>
      <c r="BQ996" s="121"/>
      <c r="GA996" t="s">
        <v>114</v>
      </c>
      <c r="GB996" t="s">
        <v>23139</v>
      </c>
      <c r="GC996" s="46">
        <v>0</v>
      </c>
      <c r="GD996" s="113"/>
      <c r="GE996" s="113"/>
      <c r="GF996" s="113"/>
      <c r="GG996" s="113"/>
      <c r="GH996" s="113"/>
      <c r="GI996" s="46">
        <v>0</v>
      </c>
      <c r="GJ996" s="113"/>
      <c r="GK996" s="113"/>
      <c r="GL996" s="113"/>
      <c r="GM996" s="113"/>
      <c r="GN996" s="113"/>
      <c r="GO996" s="46">
        <v>0</v>
      </c>
      <c r="GP996" s="113"/>
      <c r="GQ996" s="113"/>
      <c r="GR996" s="113"/>
      <c r="GS996" s="113"/>
      <c r="GT996" s="113"/>
      <c r="GU996" s="46">
        <v>0</v>
      </c>
      <c r="GV996" s="113"/>
      <c r="GW996" s="113"/>
      <c r="GX996" s="113"/>
      <c r="GY996" s="113"/>
      <c r="GZ996" s="113"/>
      <c r="HA996" s="46">
        <v>0</v>
      </c>
      <c r="HB996" s="113"/>
      <c r="HC996" s="113"/>
      <c r="HD996" s="113"/>
      <c r="HE996" s="113"/>
      <c r="HF996" s="113"/>
      <c r="HG996" s="46">
        <v>0</v>
      </c>
      <c r="HH996" s="113"/>
      <c r="HI996" s="113"/>
      <c r="HJ996" s="113"/>
      <c r="HK996" s="113"/>
      <c r="HL996" s="113"/>
      <c r="HM996" s="121"/>
      <c r="HN996" s="121"/>
      <c r="LM996" t="str">
        <v/>
      </c>
      <c r="LN996" t="str">
        <v/>
      </c>
      <c r="LO996" t="str">
        <v/>
      </c>
    </row>
    <row r="997" spans="30:327">
      <c r="AD997" t="s">
        <v>114</v>
      </c>
      <c r="AE997" t="s">
        <v>23140</v>
      </c>
      <c r="AF997" s="46">
        <v>0</v>
      </c>
      <c r="AG997" s="113"/>
      <c r="AH997" s="113"/>
      <c r="AI997" s="113"/>
      <c r="AJ997" s="113"/>
      <c r="AK997" s="113"/>
      <c r="AL997" s="46">
        <v>0</v>
      </c>
      <c r="AM997" s="113"/>
      <c r="AN997" s="113"/>
      <c r="AO997" s="113"/>
      <c r="AP997" s="113"/>
      <c r="AQ997" s="113"/>
      <c r="AR997" s="46">
        <v>0</v>
      </c>
      <c r="AS997" s="113"/>
      <c r="AT997" s="113"/>
      <c r="AU997" s="113"/>
      <c r="AV997" s="113"/>
      <c r="AW997" s="113"/>
      <c r="AX997" s="46">
        <v>0</v>
      </c>
      <c r="AY997" s="113"/>
      <c r="AZ997" s="113"/>
      <c r="BA997" s="113"/>
      <c r="BB997" s="113"/>
      <c r="BC997" s="113"/>
      <c r="BD997" s="46">
        <v>0</v>
      </c>
      <c r="BE997" s="113"/>
      <c r="BF997" s="113"/>
      <c r="BG997" s="113"/>
      <c r="BH997" s="113"/>
      <c r="BI997" s="113"/>
      <c r="BJ997" s="46">
        <v>0</v>
      </c>
      <c r="BK997" s="113"/>
      <c r="BL997" s="113"/>
      <c r="BM997" s="113"/>
      <c r="BN997" s="113"/>
      <c r="BO997" s="113"/>
      <c r="BP997" s="121"/>
      <c r="BQ997" s="121"/>
      <c r="GA997" t="s">
        <v>114</v>
      </c>
      <c r="GB997" t="s">
        <v>23140</v>
      </c>
      <c r="GC997" s="46">
        <v>0</v>
      </c>
      <c r="GD997" s="113"/>
      <c r="GE997" s="113"/>
      <c r="GF997" s="113"/>
      <c r="GG997" s="113"/>
      <c r="GH997" s="113"/>
      <c r="GI997" s="46">
        <v>0</v>
      </c>
      <c r="GJ997" s="113"/>
      <c r="GK997" s="113"/>
      <c r="GL997" s="113"/>
      <c r="GM997" s="113"/>
      <c r="GN997" s="113"/>
      <c r="GO997" s="46">
        <v>0</v>
      </c>
      <c r="GP997" s="113"/>
      <c r="GQ997" s="113"/>
      <c r="GR997" s="113"/>
      <c r="GS997" s="113"/>
      <c r="GT997" s="113"/>
      <c r="GU997" s="46">
        <v>0</v>
      </c>
      <c r="GV997" s="113"/>
      <c r="GW997" s="113"/>
      <c r="GX997" s="113"/>
      <c r="GY997" s="113"/>
      <c r="GZ997" s="113"/>
      <c r="HA997" s="46">
        <v>0</v>
      </c>
      <c r="HB997" s="113"/>
      <c r="HC997" s="113"/>
      <c r="HD997" s="113"/>
      <c r="HE997" s="113"/>
      <c r="HF997" s="113"/>
      <c r="HG997" s="46">
        <v>0</v>
      </c>
      <c r="HH997" s="113"/>
      <c r="HI997" s="113"/>
      <c r="HJ997" s="113"/>
      <c r="HK997" s="113"/>
      <c r="HL997" s="113"/>
      <c r="HM997" s="121"/>
      <c r="HN997" s="121"/>
      <c r="LM997" t="str">
        <v/>
      </c>
      <c r="LN997" t="str">
        <v/>
      </c>
      <c r="LO997" t="str">
        <v/>
      </c>
    </row>
    <row r="998" spans="30:327">
      <c r="AD998" t="s">
        <v>114</v>
      </c>
      <c r="AE998" t="s">
        <v>23141</v>
      </c>
      <c r="AF998" s="46">
        <v>0</v>
      </c>
      <c r="AG998" s="113"/>
      <c r="AH998" s="113"/>
      <c r="AI998" s="113"/>
      <c r="AJ998" s="113"/>
      <c r="AK998" s="113"/>
      <c r="AL998" s="46">
        <v>0</v>
      </c>
      <c r="AM998" s="113"/>
      <c r="AN998" s="113"/>
      <c r="AO998" s="113"/>
      <c r="AP998" s="113"/>
      <c r="AQ998" s="113"/>
      <c r="AR998" s="46">
        <v>0</v>
      </c>
      <c r="AS998" s="113"/>
      <c r="AT998" s="113"/>
      <c r="AU998" s="113"/>
      <c r="AV998" s="113"/>
      <c r="AW998" s="113"/>
      <c r="AX998" s="46">
        <v>0</v>
      </c>
      <c r="AY998" s="113"/>
      <c r="AZ998" s="113"/>
      <c r="BA998" s="113"/>
      <c r="BB998" s="113"/>
      <c r="BC998" s="113"/>
      <c r="BD998" s="46">
        <v>0</v>
      </c>
      <c r="BE998" s="113"/>
      <c r="BF998" s="113"/>
      <c r="BG998" s="113"/>
      <c r="BH998" s="113"/>
      <c r="BI998" s="113"/>
      <c r="BJ998" s="46">
        <v>0</v>
      </c>
      <c r="BK998" s="113"/>
      <c r="BL998" s="113"/>
      <c r="BM998" s="113"/>
      <c r="BN998" s="113"/>
      <c r="BO998" s="113"/>
      <c r="BP998" s="121"/>
      <c r="BQ998" s="121"/>
      <c r="GA998" t="s">
        <v>114</v>
      </c>
      <c r="GB998" t="s">
        <v>23141</v>
      </c>
      <c r="GC998" s="46">
        <v>0</v>
      </c>
      <c r="GD998" s="113"/>
      <c r="GE998" s="113"/>
      <c r="GF998" s="113"/>
      <c r="GG998" s="113"/>
      <c r="GH998" s="113"/>
      <c r="GI998" s="46">
        <v>0</v>
      </c>
      <c r="GJ998" s="113"/>
      <c r="GK998" s="113"/>
      <c r="GL998" s="113"/>
      <c r="GM998" s="113"/>
      <c r="GN998" s="113"/>
      <c r="GO998" s="46">
        <v>0</v>
      </c>
      <c r="GP998" s="113"/>
      <c r="GQ998" s="113"/>
      <c r="GR998" s="113"/>
      <c r="GS998" s="113"/>
      <c r="GT998" s="113"/>
      <c r="GU998" s="46">
        <v>0</v>
      </c>
      <c r="GV998" s="113"/>
      <c r="GW998" s="113"/>
      <c r="GX998" s="113"/>
      <c r="GY998" s="113"/>
      <c r="GZ998" s="113"/>
      <c r="HA998" s="46">
        <v>0</v>
      </c>
      <c r="HB998" s="113"/>
      <c r="HC998" s="113"/>
      <c r="HD998" s="113"/>
      <c r="HE998" s="113"/>
      <c r="HF998" s="113"/>
      <c r="HG998" s="46">
        <v>0</v>
      </c>
      <c r="HH998" s="113"/>
      <c r="HI998" s="113"/>
      <c r="HJ998" s="113"/>
      <c r="HK998" s="113"/>
      <c r="HL998" s="113"/>
      <c r="HM998" s="121"/>
      <c r="HN998" s="121"/>
      <c r="LM998" t="str">
        <v/>
      </c>
      <c r="LN998" t="str">
        <v/>
      </c>
      <c r="LO998" t="str">
        <v/>
      </c>
    </row>
    <row r="999" spans="30:327">
      <c r="AD999" t="s">
        <v>114</v>
      </c>
      <c r="AE999" t="s">
        <v>23142</v>
      </c>
      <c r="AF999" s="46">
        <v>0</v>
      </c>
      <c r="AG999" s="113"/>
      <c r="AH999" s="113"/>
      <c r="AI999" s="113"/>
      <c r="AJ999" s="113"/>
      <c r="AK999" s="113"/>
      <c r="AL999" s="46">
        <v>0</v>
      </c>
      <c r="AM999" s="113"/>
      <c r="AN999" s="113"/>
      <c r="AO999" s="113"/>
      <c r="AP999" s="113"/>
      <c r="AQ999" s="113"/>
      <c r="AR999" s="46">
        <v>0</v>
      </c>
      <c r="AS999" s="113"/>
      <c r="AT999" s="113"/>
      <c r="AU999" s="113"/>
      <c r="AV999" s="113"/>
      <c r="AW999" s="113"/>
      <c r="AX999" s="46">
        <v>0</v>
      </c>
      <c r="AY999" s="113"/>
      <c r="AZ999" s="113"/>
      <c r="BA999" s="113"/>
      <c r="BB999" s="113"/>
      <c r="BC999" s="113"/>
      <c r="BD999" s="46">
        <v>0</v>
      </c>
      <c r="BE999" s="113"/>
      <c r="BF999" s="113"/>
      <c r="BG999" s="113"/>
      <c r="BH999" s="113"/>
      <c r="BI999" s="113"/>
      <c r="BJ999" s="46">
        <v>0</v>
      </c>
      <c r="BK999" s="113"/>
      <c r="BL999" s="113"/>
      <c r="BM999" s="113"/>
      <c r="BN999" s="113"/>
      <c r="BO999" s="113"/>
      <c r="BP999" s="121"/>
      <c r="BQ999" s="121"/>
      <c r="GA999" t="s">
        <v>114</v>
      </c>
      <c r="GB999" t="s">
        <v>23142</v>
      </c>
      <c r="GC999" s="46">
        <v>0</v>
      </c>
      <c r="GD999" s="113"/>
      <c r="GE999" s="113"/>
      <c r="GF999" s="113"/>
      <c r="GG999" s="113"/>
      <c r="GH999" s="113"/>
      <c r="GI999" s="46">
        <v>0</v>
      </c>
      <c r="GJ999" s="113"/>
      <c r="GK999" s="113"/>
      <c r="GL999" s="113"/>
      <c r="GM999" s="113"/>
      <c r="GN999" s="113"/>
      <c r="GO999" s="46">
        <v>0</v>
      </c>
      <c r="GP999" s="113"/>
      <c r="GQ999" s="113"/>
      <c r="GR999" s="113"/>
      <c r="GS999" s="113"/>
      <c r="GT999" s="113"/>
      <c r="GU999" s="46">
        <v>0</v>
      </c>
      <c r="GV999" s="113"/>
      <c r="GW999" s="113"/>
      <c r="GX999" s="113"/>
      <c r="GY999" s="113"/>
      <c r="GZ999" s="113"/>
      <c r="HA999" s="46">
        <v>0</v>
      </c>
      <c r="HB999" s="113"/>
      <c r="HC999" s="113"/>
      <c r="HD999" s="113"/>
      <c r="HE999" s="113"/>
      <c r="HF999" s="113"/>
      <c r="HG999" s="46">
        <v>0</v>
      </c>
      <c r="HH999" s="113"/>
      <c r="HI999" s="113"/>
      <c r="HJ999" s="113"/>
      <c r="HK999" s="113"/>
      <c r="HL999" s="113"/>
      <c r="HM999" s="121"/>
      <c r="HN999" s="121"/>
      <c r="LM999" t="str">
        <v/>
      </c>
      <c r="LN999" t="str">
        <v/>
      </c>
      <c r="LO999" t="str">
        <v/>
      </c>
    </row>
    <row r="1000" spans="30:327">
      <c r="AD1000" t="s">
        <v>114</v>
      </c>
      <c r="AE1000" t="s">
        <v>23143</v>
      </c>
      <c r="AF1000" s="46">
        <v>0</v>
      </c>
      <c r="AG1000" s="113"/>
      <c r="AH1000" s="113"/>
      <c r="AI1000" s="113"/>
      <c r="AJ1000" s="113"/>
      <c r="AK1000" s="113"/>
      <c r="AL1000" s="46">
        <v>0</v>
      </c>
      <c r="AM1000" s="113"/>
      <c r="AN1000" s="113"/>
      <c r="AO1000" s="113"/>
      <c r="AP1000" s="113"/>
      <c r="AQ1000" s="113"/>
      <c r="AR1000" s="46">
        <v>0</v>
      </c>
      <c r="AS1000" s="113"/>
      <c r="AT1000" s="113"/>
      <c r="AU1000" s="113"/>
      <c r="AV1000" s="113"/>
      <c r="AW1000" s="113"/>
      <c r="AX1000" s="46">
        <v>0</v>
      </c>
      <c r="AY1000" s="113"/>
      <c r="AZ1000" s="113"/>
      <c r="BA1000" s="113"/>
      <c r="BB1000" s="113"/>
      <c r="BC1000" s="113"/>
      <c r="BD1000" s="46">
        <v>0</v>
      </c>
      <c r="BE1000" s="113"/>
      <c r="BF1000" s="113"/>
      <c r="BG1000" s="113"/>
      <c r="BH1000" s="113"/>
      <c r="BI1000" s="113"/>
      <c r="BJ1000" s="46">
        <v>0</v>
      </c>
      <c r="BK1000" s="113"/>
      <c r="BL1000" s="113"/>
      <c r="BM1000" s="113"/>
      <c r="BN1000" s="113"/>
      <c r="BO1000" s="113"/>
      <c r="BP1000" s="121"/>
      <c r="BQ1000" s="121"/>
      <c r="GA1000" t="s">
        <v>114</v>
      </c>
      <c r="GB1000" t="s">
        <v>23143</v>
      </c>
      <c r="GC1000" s="46">
        <v>0</v>
      </c>
      <c r="GD1000" s="113"/>
      <c r="GE1000" s="113"/>
      <c r="GF1000" s="113"/>
      <c r="GG1000" s="113"/>
      <c r="GH1000" s="113"/>
      <c r="GI1000" s="46">
        <v>0</v>
      </c>
      <c r="GJ1000" s="113"/>
      <c r="GK1000" s="113"/>
      <c r="GL1000" s="113"/>
      <c r="GM1000" s="113"/>
      <c r="GN1000" s="113"/>
      <c r="GO1000" s="46">
        <v>0</v>
      </c>
      <c r="GP1000" s="113"/>
      <c r="GQ1000" s="113"/>
      <c r="GR1000" s="113"/>
      <c r="GS1000" s="113"/>
      <c r="GT1000" s="113"/>
      <c r="GU1000" s="46">
        <v>0</v>
      </c>
      <c r="GV1000" s="113"/>
      <c r="GW1000" s="113"/>
      <c r="GX1000" s="113"/>
      <c r="GY1000" s="113"/>
      <c r="GZ1000" s="113"/>
      <c r="HA1000" s="46">
        <v>0</v>
      </c>
      <c r="HB1000" s="113"/>
      <c r="HC1000" s="113"/>
      <c r="HD1000" s="113"/>
      <c r="HE1000" s="113"/>
      <c r="HF1000" s="113"/>
      <c r="HG1000" s="46">
        <v>0</v>
      </c>
      <c r="HH1000" s="113"/>
      <c r="HI1000" s="113"/>
      <c r="HJ1000" s="113"/>
      <c r="HK1000" s="113"/>
      <c r="HL1000" s="113"/>
      <c r="HM1000" s="121"/>
      <c r="HN1000" s="121"/>
      <c r="LM1000" t="str">
        <v/>
      </c>
      <c r="LN1000" t="str">
        <v/>
      </c>
      <c r="LO1000" t="str">
        <v/>
      </c>
    </row>
    <row r="1001" spans="30:327">
      <c r="AD1001" t="s">
        <v>114</v>
      </c>
      <c r="AE1001" t="s">
        <v>23144</v>
      </c>
      <c r="AF1001" s="46">
        <v>0</v>
      </c>
      <c r="AG1001" s="113"/>
      <c r="AH1001" s="113"/>
      <c r="AI1001" s="113"/>
      <c r="AJ1001" s="113"/>
      <c r="AK1001" s="113"/>
      <c r="AL1001" s="46">
        <v>0</v>
      </c>
      <c r="AM1001" s="113"/>
      <c r="AN1001" s="113"/>
      <c r="AO1001" s="113"/>
      <c r="AP1001" s="113"/>
      <c r="AQ1001" s="113"/>
      <c r="AR1001" s="46">
        <v>0</v>
      </c>
      <c r="AS1001" s="113"/>
      <c r="AT1001" s="113"/>
      <c r="AU1001" s="113"/>
      <c r="AV1001" s="113"/>
      <c r="AW1001" s="113"/>
      <c r="AX1001" s="46">
        <v>0</v>
      </c>
      <c r="AY1001" s="113"/>
      <c r="AZ1001" s="113"/>
      <c r="BA1001" s="113"/>
      <c r="BB1001" s="113"/>
      <c r="BC1001" s="113"/>
      <c r="BD1001" s="46">
        <v>0</v>
      </c>
      <c r="BE1001" s="113"/>
      <c r="BF1001" s="113"/>
      <c r="BG1001" s="113"/>
      <c r="BH1001" s="113"/>
      <c r="BI1001" s="113"/>
      <c r="BJ1001" s="46">
        <v>0</v>
      </c>
      <c r="BK1001" s="113"/>
      <c r="BL1001" s="113"/>
      <c r="BM1001" s="113"/>
      <c r="BN1001" s="113"/>
      <c r="BO1001" s="113"/>
      <c r="BP1001" s="121"/>
      <c r="BQ1001" s="121"/>
      <c r="GA1001" t="s">
        <v>114</v>
      </c>
      <c r="GB1001" t="s">
        <v>23144</v>
      </c>
      <c r="GC1001" s="46">
        <v>0</v>
      </c>
      <c r="GD1001" s="113"/>
      <c r="GE1001" s="113"/>
      <c r="GF1001" s="113"/>
      <c r="GG1001" s="113"/>
      <c r="GH1001" s="113"/>
      <c r="GI1001" s="46">
        <v>0</v>
      </c>
      <c r="GJ1001" s="113"/>
      <c r="GK1001" s="113"/>
      <c r="GL1001" s="113"/>
      <c r="GM1001" s="113"/>
      <c r="GN1001" s="113"/>
      <c r="GO1001" s="46">
        <v>0</v>
      </c>
      <c r="GP1001" s="113"/>
      <c r="GQ1001" s="113"/>
      <c r="GR1001" s="113"/>
      <c r="GS1001" s="113"/>
      <c r="GT1001" s="113"/>
      <c r="GU1001" s="46">
        <v>0</v>
      </c>
      <c r="GV1001" s="113"/>
      <c r="GW1001" s="113"/>
      <c r="GX1001" s="113"/>
      <c r="GY1001" s="113"/>
      <c r="GZ1001" s="113"/>
      <c r="HA1001" s="46">
        <v>0</v>
      </c>
      <c r="HB1001" s="113"/>
      <c r="HC1001" s="113"/>
      <c r="HD1001" s="113"/>
      <c r="HE1001" s="113"/>
      <c r="HF1001" s="113"/>
      <c r="HG1001" s="46">
        <v>0</v>
      </c>
      <c r="HH1001" s="113"/>
      <c r="HI1001" s="113"/>
      <c r="HJ1001" s="113"/>
      <c r="HK1001" s="113"/>
      <c r="HL1001" s="113"/>
      <c r="HM1001" s="121"/>
      <c r="HN1001" s="121"/>
      <c r="LM1001" t="str">
        <v/>
      </c>
      <c r="LN1001" t="str">
        <v/>
      </c>
      <c r="LO1001" t="str">
        <v/>
      </c>
    </row>
    <row r="1002" spans="30:327">
      <c r="AD1002" t="s">
        <v>114</v>
      </c>
      <c r="AE1002" t="s">
        <v>23145</v>
      </c>
      <c r="AF1002" s="46">
        <v>0</v>
      </c>
      <c r="AG1002" s="113"/>
      <c r="AH1002" s="113"/>
      <c r="AI1002" s="113"/>
      <c r="AJ1002" s="113"/>
      <c r="AK1002" s="113"/>
      <c r="AL1002" s="46">
        <v>0</v>
      </c>
      <c r="AM1002" s="113"/>
      <c r="AN1002" s="113"/>
      <c r="AO1002" s="113"/>
      <c r="AP1002" s="113"/>
      <c r="AQ1002" s="113"/>
      <c r="AR1002" s="46">
        <v>0</v>
      </c>
      <c r="AS1002" s="113"/>
      <c r="AT1002" s="113"/>
      <c r="AU1002" s="113"/>
      <c r="AV1002" s="113"/>
      <c r="AW1002" s="113"/>
      <c r="AX1002" s="46">
        <v>0</v>
      </c>
      <c r="AY1002" s="113"/>
      <c r="AZ1002" s="113"/>
      <c r="BA1002" s="113"/>
      <c r="BB1002" s="113"/>
      <c r="BC1002" s="113"/>
      <c r="BD1002" s="46">
        <v>0</v>
      </c>
      <c r="BE1002" s="113"/>
      <c r="BF1002" s="113"/>
      <c r="BG1002" s="113"/>
      <c r="BH1002" s="113"/>
      <c r="BI1002" s="113"/>
      <c r="BJ1002" s="46">
        <v>0</v>
      </c>
      <c r="BK1002" s="113"/>
      <c r="BL1002" s="113"/>
      <c r="BM1002" s="113"/>
      <c r="BN1002" s="113"/>
      <c r="BO1002" s="113"/>
      <c r="BP1002" s="121"/>
      <c r="BQ1002" s="121"/>
      <c r="GA1002" t="s">
        <v>114</v>
      </c>
      <c r="GB1002" t="s">
        <v>23145</v>
      </c>
      <c r="GC1002" s="46">
        <v>0</v>
      </c>
      <c r="GD1002" s="113"/>
      <c r="GE1002" s="113"/>
      <c r="GF1002" s="113"/>
      <c r="GG1002" s="113"/>
      <c r="GH1002" s="113"/>
      <c r="GI1002" s="46">
        <v>0</v>
      </c>
      <c r="GJ1002" s="113"/>
      <c r="GK1002" s="113"/>
      <c r="GL1002" s="113"/>
      <c r="GM1002" s="113"/>
      <c r="GN1002" s="113"/>
      <c r="GO1002" s="46">
        <v>0</v>
      </c>
      <c r="GP1002" s="113"/>
      <c r="GQ1002" s="113"/>
      <c r="GR1002" s="113"/>
      <c r="GS1002" s="113"/>
      <c r="GT1002" s="113"/>
      <c r="GU1002" s="46">
        <v>0</v>
      </c>
      <c r="GV1002" s="113"/>
      <c r="GW1002" s="113"/>
      <c r="GX1002" s="113"/>
      <c r="GY1002" s="113"/>
      <c r="GZ1002" s="113"/>
      <c r="HA1002" s="46">
        <v>0</v>
      </c>
      <c r="HB1002" s="113"/>
      <c r="HC1002" s="113"/>
      <c r="HD1002" s="113"/>
      <c r="HE1002" s="113"/>
      <c r="HF1002" s="113"/>
      <c r="HG1002" s="46">
        <v>0</v>
      </c>
      <c r="HH1002" s="113"/>
      <c r="HI1002" s="113"/>
      <c r="HJ1002" s="113"/>
      <c r="HK1002" s="113"/>
      <c r="HL1002" s="113"/>
      <c r="HM1002" s="121"/>
      <c r="HN1002" s="121"/>
      <c r="LM1002" t="str">
        <v/>
      </c>
      <c r="LN1002" t="str">
        <v/>
      </c>
      <c r="LO1002" t="str">
        <v/>
      </c>
    </row>
    <row r="1003" spans="30:327">
      <c r="AD1003" t="s">
        <v>114</v>
      </c>
      <c r="AE1003" t="s">
        <v>23146</v>
      </c>
      <c r="AF1003" s="46">
        <v>0</v>
      </c>
      <c r="AG1003" s="113"/>
      <c r="AH1003" s="113"/>
      <c r="AI1003" s="113"/>
      <c r="AJ1003" s="113"/>
      <c r="AK1003" s="113"/>
      <c r="AL1003" s="46">
        <v>0</v>
      </c>
      <c r="AM1003" s="113"/>
      <c r="AN1003" s="113"/>
      <c r="AO1003" s="113"/>
      <c r="AP1003" s="113"/>
      <c r="AQ1003" s="113"/>
      <c r="AR1003" s="46">
        <v>0</v>
      </c>
      <c r="AS1003" s="113"/>
      <c r="AT1003" s="113"/>
      <c r="AU1003" s="113"/>
      <c r="AV1003" s="113"/>
      <c r="AW1003" s="113"/>
      <c r="AX1003" s="46">
        <v>0</v>
      </c>
      <c r="AY1003" s="113"/>
      <c r="AZ1003" s="113"/>
      <c r="BA1003" s="113"/>
      <c r="BB1003" s="113"/>
      <c r="BC1003" s="113"/>
      <c r="BD1003" s="46">
        <v>0</v>
      </c>
      <c r="BE1003" s="113"/>
      <c r="BF1003" s="113"/>
      <c r="BG1003" s="113"/>
      <c r="BH1003" s="113"/>
      <c r="BI1003" s="113"/>
      <c r="BJ1003" s="46">
        <v>0</v>
      </c>
      <c r="BK1003" s="113"/>
      <c r="BL1003" s="113"/>
      <c r="BM1003" s="113"/>
      <c r="BN1003" s="113"/>
      <c r="BO1003" s="113"/>
      <c r="BP1003" s="121"/>
      <c r="BQ1003" s="121"/>
      <c r="GA1003" t="s">
        <v>114</v>
      </c>
      <c r="GB1003" t="s">
        <v>23146</v>
      </c>
      <c r="GC1003" s="46">
        <v>0</v>
      </c>
      <c r="GD1003" s="113"/>
      <c r="GE1003" s="113"/>
      <c r="GF1003" s="113"/>
      <c r="GG1003" s="113"/>
      <c r="GH1003" s="113"/>
      <c r="GI1003" s="46">
        <v>0</v>
      </c>
      <c r="GJ1003" s="113"/>
      <c r="GK1003" s="113"/>
      <c r="GL1003" s="113"/>
      <c r="GM1003" s="113"/>
      <c r="GN1003" s="113"/>
      <c r="GO1003" s="46">
        <v>0</v>
      </c>
      <c r="GP1003" s="113"/>
      <c r="GQ1003" s="113"/>
      <c r="GR1003" s="113"/>
      <c r="GS1003" s="113"/>
      <c r="GT1003" s="113"/>
      <c r="GU1003" s="46">
        <v>0</v>
      </c>
      <c r="GV1003" s="113"/>
      <c r="GW1003" s="113"/>
      <c r="GX1003" s="113"/>
      <c r="GY1003" s="113"/>
      <c r="GZ1003" s="113"/>
      <c r="HA1003" s="46">
        <v>0</v>
      </c>
      <c r="HB1003" s="113"/>
      <c r="HC1003" s="113"/>
      <c r="HD1003" s="113"/>
      <c r="HE1003" s="113"/>
      <c r="HF1003" s="113"/>
      <c r="HG1003" s="46">
        <v>0</v>
      </c>
      <c r="HH1003" s="113"/>
      <c r="HI1003" s="113"/>
      <c r="HJ1003" s="113"/>
      <c r="HK1003" s="113"/>
      <c r="HL1003" s="113"/>
      <c r="HM1003" s="121"/>
      <c r="HN1003" s="121"/>
      <c r="LM1003" t="str">
        <v/>
      </c>
      <c r="LN1003" t="str">
        <v/>
      </c>
      <c r="LO1003" t="str">
        <v/>
      </c>
    </row>
    <row r="1004" spans="30:327">
      <c r="AD1004" t="s">
        <v>114</v>
      </c>
      <c r="AE1004" t="s">
        <v>23147</v>
      </c>
      <c r="AF1004" s="46">
        <v>0</v>
      </c>
      <c r="AG1004" s="113"/>
      <c r="AH1004" s="113"/>
      <c r="AI1004" s="113"/>
      <c r="AJ1004" s="113"/>
      <c r="AK1004" s="113"/>
      <c r="AL1004" s="46">
        <v>0</v>
      </c>
      <c r="AM1004" s="113"/>
      <c r="AN1004" s="113"/>
      <c r="AO1004" s="113"/>
      <c r="AP1004" s="113"/>
      <c r="AQ1004" s="113"/>
      <c r="AR1004" s="46">
        <v>0</v>
      </c>
      <c r="AS1004" s="113"/>
      <c r="AT1004" s="113"/>
      <c r="AU1004" s="113"/>
      <c r="AV1004" s="113"/>
      <c r="AW1004" s="113"/>
      <c r="AX1004" s="46">
        <v>0</v>
      </c>
      <c r="AY1004" s="113"/>
      <c r="AZ1004" s="113"/>
      <c r="BA1004" s="113"/>
      <c r="BB1004" s="113"/>
      <c r="BC1004" s="113"/>
      <c r="BD1004" s="46">
        <v>0</v>
      </c>
      <c r="BE1004" s="113"/>
      <c r="BF1004" s="113"/>
      <c r="BG1004" s="113"/>
      <c r="BH1004" s="113"/>
      <c r="BI1004" s="113"/>
      <c r="BJ1004" s="46">
        <v>0</v>
      </c>
      <c r="BK1004" s="113"/>
      <c r="BL1004" s="113"/>
      <c r="BM1004" s="113"/>
      <c r="BN1004" s="113"/>
      <c r="BO1004" s="113"/>
      <c r="BP1004" s="121"/>
      <c r="BQ1004" s="121"/>
      <c r="GA1004" t="s">
        <v>114</v>
      </c>
      <c r="GB1004" t="s">
        <v>23147</v>
      </c>
      <c r="GC1004" s="46">
        <v>0</v>
      </c>
      <c r="GD1004" s="113"/>
      <c r="GE1004" s="113"/>
      <c r="GF1004" s="113"/>
      <c r="GG1004" s="113"/>
      <c r="GH1004" s="113"/>
      <c r="GI1004" s="46">
        <v>0</v>
      </c>
      <c r="GJ1004" s="113"/>
      <c r="GK1004" s="113"/>
      <c r="GL1004" s="113"/>
      <c r="GM1004" s="113"/>
      <c r="GN1004" s="113"/>
      <c r="GO1004" s="46">
        <v>0</v>
      </c>
      <c r="GP1004" s="113"/>
      <c r="GQ1004" s="113"/>
      <c r="GR1004" s="113"/>
      <c r="GS1004" s="113"/>
      <c r="GT1004" s="113"/>
      <c r="GU1004" s="46">
        <v>0</v>
      </c>
      <c r="GV1004" s="113"/>
      <c r="GW1004" s="113"/>
      <c r="GX1004" s="113"/>
      <c r="GY1004" s="113"/>
      <c r="GZ1004" s="113"/>
      <c r="HA1004" s="46">
        <v>0</v>
      </c>
      <c r="HB1004" s="113"/>
      <c r="HC1004" s="113"/>
      <c r="HD1004" s="113"/>
      <c r="HE1004" s="113"/>
      <c r="HF1004" s="113"/>
      <c r="HG1004" s="46">
        <v>0</v>
      </c>
      <c r="HH1004" s="113"/>
      <c r="HI1004" s="113"/>
      <c r="HJ1004" s="113"/>
      <c r="HK1004" s="113"/>
      <c r="HL1004" s="113"/>
      <c r="HM1004" s="121"/>
      <c r="HN1004" s="121"/>
      <c r="LM1004" t="str">
        <v/>
      </c>
      <c r="LN1004" t="str">
        <v/>
      </c>
      <c r="LO1004" t="str">
        <v/>
      </c>
    </row>
    <row r="1005" spans="30:327">
      <c r="AD1005" t="s">
        <v>114</v>
      </c>
      <c r="AE1005" t="s">
        <v>23148</v>
      </c>
      <c r="AF1005" s="46">
        <v>0</v>
      </c>
      <c r="AG1005" s="113"/>
      <c r="AH1005" s="113"/>
      <c r="AI1005" s="113"/>
      <c r="AJ1005" s="113"/>
      <c r="AK1005" s="113"/>
      <c r="AL1005" s="46">
        <v>0</v>
      </c>
      <c r="AM1005" s="113"/>
      <c r="AN1005" s="113"/>
      <c r="AO1005" s="113"/>
      <c r="AP1005" s="113"/>
      <c r="AQ1005" s="113"/>
      <c r="AR1005" s="46">
        <v>0</v>
      </c>
      <c r="AS1005" s="113"/>
      <c r="AT1005" s="113"/>
      <c r="AU1005" s="113"/>
      <c r="AV1005" s="113"/>
      <c r="AW1005" s="113"/>
      <c r="AX1005" s="46">
        <v>0</v>
      </c>
      <c r="AY1005" s="113"/>
      <c r="AZ1005" s="113"/>
      <c r="BA1005" s="113"/>
      <c r="BB1005" s="113"/>
      <c r="BC1005" s="113"/>
      <c r="BD1005" s="46">
        <v>0</v>
      </c>
      <c r="BE1005" s="113"/>
      <c r="BF1005" s="113"/>
      <c r="BG1005" s="113"/>
      <c r="BH1005" s="113"/>
      <c r="BI1005" s="113"/>
      <c r="BJ1005" s="46">
        <v>0</v>
      </c>
      <c r="BK1005" s="113"/>
      <c r="BL1005" s="113"/>
      <c r="BM1005" s="113"/>
      <c r="BN1005" s="113"/>
      <c r="BO1005" s="113"/>
      <c r="BP1005" s="121"/>
      <c r="BQ1005" s="121"/>
      <c r="GA1005" t="s">
        <v>114</v>
      </c>
      <c r="GB1005" t="s">
        <v>23148</v>
      </c>
      <c r="GC1005" s="46">
        <v>0</v>
      </c>
      <c r="GD1005" s="113"/>
      <c r="GE1005" s="113"/>
      <c r="GF1005" s="113"/>
      <c r="GG1005" s="113"/>
      <c r="GH1005" s="113"/>
      <c r="GI1005" s="46">
        <v>0</v>
      </c>
      <c r="GJ1005" s="113"/>
      <c r="GK1005" s="113"/>
      <c r="GL1005" s="113"/>
      <c r="GM1005" s="113"/>
      <c r="GN1005" s="113"/>
      <c r="GO1005" s="46">
        <v>0</v>
      </c>
      <c r="GP1005" s="113"/>
      <c r="GQ1005" s="113"/>
      <c r="GR1005" s="113"/>
      <c r="GS1005" s="113"/>
      <c r="GT1005" s="113"/>
      <c r="GU1005" s="46">
        <v>0</v>
      </c>
      <c r="GV1005" s="113"/>
      <c r="GW1005" s="113"/>
      <c r="GX1005" s="113"/>
      <c r="GY1005" s="113"/>
      <c r="GZ1005" s="113"/>
      <c r="HA1005" s="46">
        <v>0</v>
      </c>
      <c r="HB1005" s="113"/>
      <c r="HC1005" s="113"/>
      <c r="HD1005" s="113"/>
      <c r="HE1005" s="113"/>
      <c r="HF1005" s="113"/>
      <c r="HG1005" s="46">
        <v>0</v>
      </c>
      <c r="HH1005" s="113"/>
      <c r="HI1005" s="113"/>
      <c r="HJ1005" s="113"/>
      <c r="HK1005" s="113"/>
      <c r="HL1005" s="113"/>
      <c r="HM1005" s="121"/>
      <c r="HN1005" s="121"/>
      <c r="LM1005" t="str">
        <v/>
      </c>
      <c r="LN1005" t="str">
        <v/>
      </c>
      <c r="LO1005" t="str">
        <v/>
      </c>
    </row>
    <row r="1006" spans="30:327">
      <c r="AD1006" t="s">
        <v>114</v>
      </c>
      <c r="AE1006" t="s">
        <v>23149</v>
      </c>
      <c r="AF1006" s="46">
        <v>0</v>
      </c>
      <c r="AG1006" s="113"/>
      <c r="AH1006" s="113"/>
      <c r="AI1006" s="113"/>
      <c r="AJ1006" s="113"/>
      <c r="AK1006" s="113"/>
      <c r="AL1006" s="46">
        <v>0</v>
      </c>
      <c r="AM1006" s="113"/>
      <c r="AN1006" s="113"/>
      <c r="AO1006" s="113"/>
      <c r="AP1006" s="113"/>
      <c r="AQ1006" s="113"/>
      <c r="AR1006" s="46">
        <v>0</v>
      </c>
      <c r="AS1006" s="113"/>
      <c r="AT1006" s="113"/>
      <c r="AU1006" s="113"/>
      <c r="AV1006" s="113"/>
      <c r="AW1006" s="113"/>
      <c r="AX1006" s="46">
        <v>0</v>
      </c>
      <c r="AY1006" s="113"/>
      <c r="AZ1006" s="113"/>
      <c r="BA1006" s="113"/>
      <c r="BB1006" s="113"/>
      <c r="BC1006" s="113"/>
      <c r="BD1006" s="46">
        <v>0</v>
      </c>
      <c r="BE1006" s="113"/>
      <c r="BF1006" s="113"/>
      <c r="BG1006" s="113"/>
      <c r="BH1006" s="113"/>
      <c r="BI1006" s="113"/>
      <c r="BJ1006" s="46">
        <v>0</v>
      </c>
      <c r="BK1006" s="113"/>
      <c r="BL1006" s="113"/>
      <c r="BM1006" s="113"/>
      <c r="BN1006" s="113"/>
      <c r="BO1006" s="113"/>
      <c r="BP1006" s="121"/>
      <c r="BQ1006" s="121"/>
      <c r="GA1006" t="s">
        <v>114</v>
      </c>
      <c r="GB1006" t="s">
        <v>23149</v>
      </c>
      <c r="GC1006" s="46">
        <v>0</v>
      </c>
      <c r="GD1006" s="113"/>
      <c r="GE1006" s="113"/>
      <c r="GF1006" s="113"/>
      <c r="GG1006" s="113"/>
      <c r="GH1006" s="113"/>
      <c r="GI1006" s="46">
        <v>0</v>
      </c>
      <c r="GJ1006" s="113"/>
      <c r="GK1006" s="113"/>
      <c r="GL1006" s="113"/>
      <c r="GM1006" s="113"/>
      <c r="GN1006" s="113"/>
      <c r="GO1006" s="46">
        <v>0</v>
      </c>
      <c r="GP1006" s="113"/>
      <c r="GQ1006" s="113"/>
      <c r="GR1006" s="113"/>
      <c r="GS1006" s="113"/>
      <c r="GT1006" s="113"/>
      <c r="GU1006" s="46">
        <v>0</v>
      </c>
      <c r="GV1006" s="113"/>
      <c r="GW1006" s="113"/>
      <c r="GX1006" s="113"/>
      <c r="GY1006" s="113"/>
      <c r="GZ1006" s="113"/>
      <c r="HA1006" s="46">
        <v>0</v>
      </c>
      <c r="HB1006" s="113"/>
      <c r="HC1006" s="113"/>
      <c r="HD1006" s="113"/>
      <c r="HE1006" s="113"/>
      <c r="HF1006" s="113"/>
      <c r="HG1006" s="46">
        <v>0</v>
      </c>
      <c r="HH1006" s="113"/>
      <c r="HI1006" s="113"/>
      <c r="HJ1006" s="113"/>
      <c r="HK1006" s="113"/>
      <c r="HL1006" s="113"/>
      <c r="HM1006" s="121"/>
      <c r="HN1006" s="121"/>
      <c r="LM1006" t="str">
        <v/>
      </c>
      <c r="LN1006" t="str">
        <v/>
      </c>
      <c r="LO1006" t="str">
        <v/>
      </c>
    </row>
    <row r="1007" spans="30:327">
      <c r="AD1007" t="s">
        <v>114</v>
      </c>
      <c r="AE1007" t="s">
        <v>23150</v>
      </c>
      <c r="AF1007" s="46">
        <v>0</v>
      </c>
      <c r="AG1007" s="113"/>
      <c r="AH1007" s="113"/>
      <c r="AI1007" s="113"/>
      <c r="AJ1007" s="113"/>
      <c r="AK1007" s="113"/>
      <c r="AL1007" s="46">
        <v>0</v>
      </c>
      <c r="AM1007" s="113"/>
      <c r="AN1007" s="113"/>
      <c r="AO1007" s="113"/>
      <c r="AP1007" s="113"/>
      <c r="AQ1007" s="113"/>
      <c r="AR1007" s="46">
        <v>0</v>
      </c>
      <c r="AS1007" s="113"/>
      <c r="AT1007" s="113"/>
      <c r="AU1007" s="113"/>
      <c r="AV1007" s="113"/>
      <c r="AW1007" s="113"/>
      <c r="AX1007" s="46">
        <v>0</v>
      </c>
      <c r="AY1007" s="113"/>
      <c r="AZ1007" s="113"/>
      <c r="BA1007" s="113"/>
      <c r="BB1007" s="113"/>
      <c r="BC1007" s="113"/>
      <c r="BD1007" s="46">
        <v>0</v>
      </c>
      <c r="BE1007" s="113"/>
      <c r="BF1007" s="113"/>
      <c r="BG1007" s="113"/>
      <c r="BH1007" s="113"/>
      <c r="BI1007" s="113"/>
      <c r="BJ1007" s="46">
        <v>0</v>
      </c>
      <c r="BK1007" s="113"/>
      <c r="BL1007" s="113"/>
      <c r="BM1007" s="113"/>
      <c r="BN1007" s="113"/>
      <c r="BO1007" s="113"/>
      <c r="BP1007" s="121"/>
      <c r="BQ1007" s="121"/>
      <c r="GA1007" t="s">
        <v>114</v>
      </c>
      <c r="GB1007" t="s">
        <v>23150</v>
      </c>
      <c r="GC1007" s="46">
        <v>0</v>
      </c>
      <c r="GD1007" s="113"/>
      <c r="GE1007" s="113"/>
      <c r="GF1007" s="113"/>
      <c r="GG1007" s="113"/>
      <c r="GH1007" s="113"/>
      <c r="GI1007" s="46">
        <v>0</v>
      </c>
      <c r="GJ1007" s="113"/>
      <c r="GK1007" s="113"/>
      <c r="GL1007" s="113"/>
      <c r="GM1007" s="113"/>
      <c r="GN1007" s="113"/>
      <c r="GO1007" s="46">
        <v>0</v>
      </c>
      <c r="GP1007" s="113"/>
      <c r="GQ1007" s="113"/>
      <c r="GR1007" s="113"/>
      <c r="GS1007" s="113"/>
      <c r="GT1007" s="113"/>
      <c r="GU1007" s="46">
        <v>0</v>
      </c>
      <c r="GV1007" s="113"/>
      <c r="GW1007" s="113"/>
      <c r="GX1007" s="113"/>
      <c r="GY1007" s="113"/>
      <c r="GZ1007" s="113"/>
      <c r="HA1007" s="46">
        <v>0</v>
      </c>
      <c r="HB1007" s="113"/>
      <c r="HC1007" s="113"/>
      <c r="HD1007" s="113"/>
      <c r="HE1007" s="113"/>
      <c r="HF1007" s="113"/>
      <c r="HG1007" s="46">
        <v>0</v>
      </c>
      <c r="HH1007" s="113"/>
      <c r="HI1007" s="113"/>
      <c r="HJ1007" s="113"/>
      <c r="HK1007" s="113"/>
      <c r="HL1007" s="113"/>
      <c r="HM1007" s="121"/>
      <c r="HN1007" s="121"/>
      <c r="LM1007" t="str">
        <v/>
      </c>
      <c r="LN1007" t="str">
        <v/>
      </c>
      <c r="LO1007" t="str">
        <v/>
      </c>
    </row>
    <row r="1008" spans="30:327">
      <c r="AD1008" t="s">
        <v>114</v>
      </c>
      <c r="AE1008" t="s">
        <v>23151</v>
      </c>
      <c r="AF1008" s="46">
        <v>0</v>
      </c>
      <c r="AG1008" s="113"/>
      <c r="AH1008" s="113"/>
      <c r="AI1008" s="113"/>
      <c r="AJ1008" s="113"/>
      <c r="AK1008" s="113"/>
      <c r="AL1008" s="46">
        <v>0</v>
      </c>
      <c r="AM1008" s="113"/>
      <c r="AN1008" s="113"/>
      <c r="AO1008" s="113"/>
      <c r="AP1008" s="113"/>
      <c r="AQ1008" s="113"/>
      <c r="AR1008" s="46">
        <v>0</v>
      </c>
      <c r="AS1008" s="113"/>
      <c r="AT1008" s="113"/>
      <c r="AU1008" s="113"/>
      <c r="AV1008" s="113"/>
      <c r="AW1008" s="113"/>
      <c r="AX1008" s="46">
        <v>0</v>
      </c>
      <c r="AY1008" s="113"/>
      <c r="AZ1008" s="113"/>
      <c r="BA1008" s="113"/>
      <c r="BB1008" s="113"/>
      <c r="BC1008" s="113"/>
      <c r="BD1008" s="46">
        <v>0</v>
      </c>
      <c r="BE1008" s="113"/>
      <c r="BF1008" s="113"/>
      <c r="BG1008" s="113"/>
      <c r="BH1008" s="113"/>
      <c r="BI1008" s="113"/>
      <c r="BJ1008" s="46">
        <v>0</v>
      </c>
      <c r="BK1008" s="113"/>
      <c r="BL1008" s="113"/>
      <c r="BM1008" s="113"/>
      <c r="BN1008" s="113"/>
      <c r="BO1008" s="113"/>
      <c r="BP1008" s="121"/>
      <c r="BQ1008" s="121"/>
      <c r="GA1008" t="s">
        <v>114</v>
      </c>
      <c r="GB1008" t="s">
        <v>23151</v>
      </c>
      <c r="GC1008" s="46">
        <v>0</v>
      </c>
      <c r="GD1008" s="113"/>
      <c r="GE1008" s="113"/>
      <c r="GF1008" s="113"/>
      <c r="GG1008" s="113"/>
      <c r="GH1008" s="113"/>
      <c r="GI1008" s="46">
        <v>0</v>
      </c>
      <c r="GJ1008" s="113"/>
      <c r="GK1008" s="113"/>
      <c r="GL1008" s="113"/>
      <c r="GM1008" s="113"/>
      <c r="GN1008" s="113"/>
      <c r="GO1008" s="46">
        <v>0</v>
      </c>
      <c r="GP1008" s="113"/>
      <c r="GQ1008" s="113"/>
      <c r="GR1008" s="113"/>
      <c r="GS1008" s="113"/>
      <c r="GT1008" s="113"/>
      <c r="GU1008" s="46">
        <v>0</v>
      </c>
      <c r="GV1008" s="113"/>
      <c r="GW1008" s="113"/>
      <c r="GX1008" s="113"/>
      <c r="GY1008" s="113"/>
      <c r="GZ1008" s="113"/>
      <c r="HA1008" s="46">
        <v>0</v>
      </c>
      <c r="HB1008" s="113"/>
      <c r="HC1008" s="113"/>
      <c r="HD1008" s="113"/>
      <c r="HE1008" s="113"/>
      <c r="HF1008" s="113"/>
      <c r="HG1008" s="46">
        <v>0</v>
      </c>
      <c r="HH1008" s="113"/>
      <c r="HI1008" s="113"/>
      <c r="HJ1008" s="113"/>
      <c r="HK1008" s="113"/>
      <c r="HL1008" s="113"/>
      <c r="HM1008" s="121"/>
      <c r="HN1008" s="121"/>
      <c r="LM1008" t="str">
        <v/>
      </c>
      <c r="LN1008" t="str">
        <v/>
      </c>
      <c r="LO1008" t="str">
        <v/>
      </c>
    </row>
    <row r="1009" spans="30:327">
      <c r="AD1009" t="s">
        <v>114</v>
      </c>
      <c r="AE1009" t="s">
        <v>23152</v>
      </c>
      <c r="AF1009" s="46">
        <v>0</v>
      </c>
      <c r="AG1009" s="113"/>
      <c r="AH1009" s="113"/>
      <c r="AI1009" s="113"/>
      <c r="AJ1009" s="113"/>
      <c r="AK1009" s="113"/>
      <c r="AL1009" s="46">
        <v>0</v>
      </c>
      <c r="AM1009" s="113"/>
      <c r="AN1009" s="113"/>
      <c r="AO1009" s="113"/>
      <c r="AP1009" s="113"/>
      <c r="AQ1009" s="113"/>
      <c r="AR1009" s="46">
        <v>0</v>
      </c>
      <c r="AS1009" s="113"/>
      <c r="AT1009" s="113"/>
      <c r="AU1009" s="113"/>
      <c r="AV1009" s="113"/>
      <c r="AW1009" s="113"/>
      <c r="AX1009" s="46">
        <v>0</v>
      </c>
      <c r="AY1009" s="113"/>
      <c r="AZ1009" s="113"/>
      <c r="BA1009" s="113"/>
      <c r="BB1009" s="113"/>
      <c r="BC1009" s="113"/>
      <c r="BD1009" s="46">
        <v>0</v>
      </c>
      <c r="BE1009" s="113"/>
      <c r="BF1009" s="113"/>
      <c r="BG1009" s="113"/>
      <c r="BH1009" s="113"/>
      <c r="BI1009" s="113"/>
      <c r="BJ1009" s="46">
        <v>0</v>
      </c>
      <c r="BK1009" s="113"/>
      <c r="BL1009" s="113"/>
      <c r="BM1009" s="113"/>
      <c r="BN1009" s="113"/>
      <c r="BO1009" s="113"/>
      <c r="BP1009" s="121"/>
      <c r="BQ1009" s="121"/>
      <c r="GA1009" t="s">
        <v>114</v>
      </c>
      <c r="GB1009" t="s">
        <v>23152</v>
      </c>
      <c r="GC1009" s="46">
        <v>0</v>
      </c>
      <c r="GD1009" s="113"/>
      <c r="GE1009" s="113"/>
      <c r="GF1009" s="113"/>
      <c r="GG1009" s="113"/>
      <c r="GH1009" s="113"/>
      <c r="GI1009" s="46">
        <v>0</v>
      </c>
      <c r="GJ1009" s="113"/>
      <c r="GK1009" s="113"/>
      <c r="GL1009" s="113"/>
      <c r="GM1009" s="113"/>
      <c r="GN1009" s="113"/>
      <c r="GO1009" s="46">
        <v>0</v>
      </c>
      <c r="GP1009" s="113"/>
      <c r="GQ1009" s="113"/>
      <c r="GR1009" s="113"/>
      <c r="GS1009" s="113"/>
      <c r="GT1009" s="113"/>
      <c r="GU1009" s="46">
        <v>0</v>
      </c>
      <c r="GV1009" s="113"/>
      <c r="GW1009" s="113"/>
      <c r="GX1009" s="113"/>
      <c r="GY1009" s="113"/>
      <c r="GZ1009" s="113"/>
      <c r="HA1009" s="46">
        <v>0</v>
      </c>
      <c r="HB1009" s="113"/>
      <c r="HC1009" s="113"/>
      <c r="HD1009" s="113"/>
      <c r="HE1009" s="113"/>
      <c r="HF1009" s="113"/>
      <c r="HG1009" s="46">
        <v>0</v>
      </c>
      <c r="HH1009" s="113"/>
      <c r="HI1009" s="113"/>
      <c r="HJ1009" s="113"/>
      <c r="HK1009" s="113"/>
      <c r="HL1009" s="113"/>
      <c r="HM1009" s="121"/>
      <c r="HN1009" s="121"/>
      <c r="LM1009" t="str">
        <v/>
      </c>
      <c r="LN1009" t="str">
        <v/>
      </c>
      <c r="LO1009" t="str">
        <v/>
      </c>
    </row>
    <row r="1010" spans="30:327">
      <c r="AD1010" t="s">
        <v>114</v>
      </c>
      <c r="AE1010" t="s">
        <v>23153</v>
      </c>
      <c r="AF1010" s="46">
        <v>0</v>
      </c>
      <c r="AG1010" s="113"/>
      <c r="AH1010" s="113"/>
      <c r="AI1010" s="113"/>
      <c r="AJ1010" s="113"/>
      <c r="AK1010" s="113"/>
      <c r="AL1010" s="46">
        <v>0</v>
      </c>
      <c r="AM1010" s="113"/>
      <c r="AN1010" s="113"/>
      <c r="AO1010" s="113"/>
      <c r="AP1010" s="113"/>
      <c r="AQ1010" s="113"/>
      <c r="AR1010" s="46">
        <v>0</v>
      </c>
      <c r="AS1010" s="113"/>
      <c r="AT1010" s="113"/>
      <c r="AU1010" s="113"/>
      <c r="AV1010" s="113"/>
      <c r="AW1010" s="113"/>
      <c r="AX1010" s="46">
        <v>0</v>
      </c>
      <c r="AY1010" s="113"/>
      <c r="AZ1010" s="113"/>
      <c r="BA1010" s="113"/>
      <c r="BB1010" s="113"/>
      <c r="BC1010" s="113"/>
      <c r="BD1010" s="46">
        <v>0</v>
      </c>
      <c r="BE1010" s="113"/>
      <c r="BF1010" s="113"/>
      <c r="BG1010" s="113"/>
      <c r="BH1010" s="113"/>
      <c r="BI1010" s="113"/>
      <c r="BJ1010" s="46">
        <v>0</v>
      </c>
      <c r="BK1010" s="113"/>
      <c r="BL1010" s="113"/>
      <c r="BM1010" s="113"/>
      <c r="BN1010" s="113"/>
      <c r="BO1010" s="113"/>
      <c r="BP1010" s="121"/>
      <c r="BQ1010" s="121"/>
      <c r="GA1010" t="s">
        <v>114</v>
      </c>
      <c r="GB1010" t="s">
        <v>23153</v>
      </c>
      <c r="GC1010" s="46">
        <v>0</v>
      </c>
      <c r="GD1010" s="113"/>
      <c r="GE1010" s="113"/>
      <c r="GF1010" s="113"/>
      <c r="GG1010" s="113"/>
      <c r="GH1010" s="113"/>
      <c r="GI1010" s="46">
        <v>0</v>
      </c>
      <c r="GJ1010" s="113"/>
      <c r="GK1010" s="113"/>
      <c r="GL1010" s="113"/>
      <c r="GM1010" s="113"/>
      <c r="GN1010" s="113"/>
      <c r="GO1010" s="46">
        <v>0</v>
      </c>
      <c r="GP1010" s="113"/>
      <c r="GQ1010" s="113"/>
      <c r="GR1010" s="113"/>
      <c r="GS1010" s="113"/>
      <c r="GT1010" s="113"/>
      <c r="GU1010" s="46">
        <v>0</v>
      </c>
      <c r="GV1010" s="113"/>
      <c r="GW1010" s="113"/>
      <c r="GX1010" s="113"/>
      <c r="GY1010" s="113"/>
      <c r="GZ1010" s="113"/>
      <c r="HA1010" s="46">
        <v>0</v>
      </c>
      <c r="HB1010" s="113"/>
      <c r="HC1010" s="113"/>
      <c r="HD1010" s="113"/>
      <c r="HE1010" s="113"/>
      <c r="HF1010" s="113"/>
      <c r="HG1010" s="46">
        <v>0</v>
      </c>
      <c r="HH1010" s="113"/>
      <c r="HI1010" s="113"/>
      <c r="HJ1010" s="113"/>
      <c r="HK1010" s="113"/>
      <c r="HL1010" s="113"/>
      <c r="HM1010" s="121"/>
      <c r="HN1010" s="121"/>
      <c r="LM1010" t="str">
        <v/>
      </c>
      <c r="LN1010" t="str">
        <v/>
      </c>
      <c r="LO1010" t="str">
        <v/>
      </c>
    </row>
    <row r="1011" spans="30:327">
      <c r="AD1011" t="s">
        <v>114</v>
      </c>
      <c r="AE1011" t="s">
        <v>23154</v>
      </c>
      <c r="AF1011" s="46">
        <v>0</v>
      </c>
      <c r="AG1011" s="113"/>
      <c r="AH1011" s="113"/>
      <c r="AI1011" s="113"/>
      <c r="AJ1011" s="113"/>
      <c r="AK1011" s="113"/>
      <c r="AL1011" s="46">
        <v>0</v>
      </c>
      <c r="AM1011" s="113"/>
      <c r="AN1011" s="113"/>
      <c r="AO1011" s="113"/>
      <c r="AP1011" s="113"/>
      <c r="AQ1011" s="113"/>
      <c r="AR1011" s="46">
        <v>0</v>
      </c>
      <c r="AS1011" s="113"/>
      <c r="AT1011" s="113"/>
      <c r="AU1011" s="113"/>
      <c r="AV1011" s="113"/>
      <c r="AW1011" s="113"/>
      <c r="AX1011" s="46">
        <v>0</v>
      </c>
      <c r="AY1011" s="113"/>
      <c r="AZ1011" s="113"/>
      <c r="BA1011" s="113"/>
      <c r="BB1011" s="113"/>
      <c r="BC1011" s="113"/>
      <c r="BD1011" s="46">
        <v>0</v>
      </c>
      <c r="BE1011" s="113"/>
      <c r="BF1011" s="113"/>
      <c r="BG1011" s="113"/>
      <c r="BH1011" s="113"/>
      <c r="BI1011" s="113"/>
      <c r="BJ1011" s="46">
        <v>0</v>
      </c>
      <c r="BK1011" s="113"/>
      <c r="BL1011" s="113"/>
      <c r="BM1011" s="113"/>
      <c r="BN1011" s="113"/>
      <c r="BO1011" s="113"/>
      <c r="BP1011" s="121"/>
      <c r="BQ1011" s="121"/>
      <c r="GA1011" t="s">
        <v>114</v>
      </c>
      <c r="GB1011" t="s">
        <v>23154</v>
      </c>
      <c r="GC1011" s="46">
        <v>0</v>
      </c>
      <c r="GD1011" s="113"/>
      <c r="GE1011" s="113"/>
      <c r="GF1011" s="113"/>
      <c r="GG1011" s="113"/>
      <c r="GH1011" s="113"/>
      <c r="GI1011" s="46">
        <v>0</v>
      </c>
      <c r="GJ1011" s="113"/>
      <c r="GK1011" s="113"/>
      <c r="GL1011" s="113"/>
      <c r="GM1011" s="113"/>
      <c r="GN1011" s="113"/>
      <c r="GO1011" s="46">
        <v>0</v>
      </c>
      <c r="GP1011" s="113"/>
      <c r="GQ1011" s="113"/>
      <c r="GR1011" s="113"/>
      <c r="GS1011" s="113"/>
      <c r="GT1011" s="113"/>
      <c r="GU1011" s="46">
        <v>0</v>
      </c>
      <c r="GV1011" s="113"/>
      <c r="GW1011" s="113"/>
      <c r="GX1011" s="113"/>
      <c r="GY1011" s="113"/>
      <c r="GZ1011" s="113"/>
      <c r="HA1011" s="46">
        <v>0</v>
      </c>
      <c r="HB1011" s="113"/>
      <c r="HC1011" s="113"/>
      <c r="HD1011" s="113"/>
      <c r="HE1011" s="113"/>
      <c r="HF1011" s="113"/>
      <c r="HG1011" s="46">
        <v>0</v>
      </c>
      <c r="HH1011" s="113"/>
      <c r="HI1011" s="113"/>
      <c r="HJ1011" s="113"/>
      <c r="HK1011" s="113"/>
      <c r="HL1011" s="113"/>
      <c r="HM1011" s="121"/>
      <c r="HN1011" s="121"/>
      <c r="LM1011" t="str">
        <v/>
      </c>
      <c r="LN1011" t="str">
        <v/>
      </c>
      <c r="LO1011" t="str">
        <v/>
      </c>
    </row>
    <row r="1012" spans="30:327">
      <c r="AD1012" t="s">
        <v>114</v>
      </c>
      <c r="AE1012" t="s">
        <v>23155</v>
      </c>
      <c r="AF1012" s="46">
        <v>0</v>
      </c>
      <c r="AG1012" s="113"/>
      <c r="AH1012" s="113"/>
      <c r="AI1012" s="113"/>
      <c r="AJ1012" s="113"/>
      <c r="AK1012" s="113"/>
      <c r="AL1012" s="46">
        <v>0</v>
      </c>
      <c r="AM1012" s="113"/>
      <c r="AN1012" s="113"/>
      <c r="AO1012" s="113"/>
      <c r="AP1012" s="113"/>
      <c r="AQ1012" s="113"/>
      <c r="AR1012" s="46">
        <v>0</v>
      </c>
      <c r="AS1012" s="113"/>
      <c r="AT1012" s="113"/>
      <c r="AU1012" s="113"/>
      <c r="AV1012" s="113"/>
      <c r="AW1012" s="113"/>
      <c r="AX1012" s="46">
        <v>0</v>
      </c>
      <c r="AY1012" s="113"/>
      <c r="AZ1012" s="113"/>
      <c r="BA1012" s="113"/>
      <c r="BB1012" s="113"/>
      <c r="BC1012" s="113"/>
      <c r="BD1012" s="46">
        <v>0</v>
      </c>
      <c r="BE1012" s="113"/>
      <c r="BF1012" s="113"/>
      <c r="BG1012" s="113"/>
      <c r="BH1012" s="113"/>
      <c r="BI1012" s="113"/>
      <c r="BJ1012" s="46">
        <v>0</v>
      </c>
      <c r="BK1012" s="113"/>
      <c r="BL1012" s="113"/>
      <c r="BM1012" s="113"/>
      <c r="BN1012" s="113"/>
      <c r="BO1012" s="113"/>
      <c r="BP1012" s="121"/>
      <c r="BQ1012" s="121"/>
      <c r="GA1012" t="s">
        <v>114</v>
      </c>
      <c r="GB1012" t="s">
        <v>23155</v>
      </c>
      <c r="GC1012" s="46">
        <v>0</v>
      </c>
      <c r="GD1012" s="113"/>
      <c r="GE1012" s="113"/>
      <c r="GF1012" s="113"/>
      <c r="GG1012" s="113"/>
      <c r="GH1012" s="113"/>
      <c r="GI1012" s="46">
        <v>0</v>
      </c>
      <c r="GJ1012" s="113"/>
      <c r="GK1012" s="113"/>
      <c r="GL1012" s="113"/>
      <c r="GM1012" s="113"/>
      <c r="GN1012" s="113"/>
      <c r="GO1012" s="46">
        <v>0</v>
      </c>
      <c r="GP1012" s="113"/>
      <c r="GQ1012" s="113"/>
      <c r="GR1012" s="113"/>
      <c r="GS1012" s="113"/>
      <c r="GT1012" s="113"/>
      <c r="GU1012" s="46">
        <v>0</v>
      </c>
      <c r="GV1012" s="113"/>
      <c r="GW1012" s="113"/>
      <c r="GX1012" s="113"/>
      <c r="GY1012" s="113"/>
      <c r="GZ1012" s="113"/>
      <c r="HA1012" s="46">
        <v>0</v>
      </c>
      <c r="HB1012" s="113"/>
      <c r="HC1012" s="113"/>
      <c r="HD1012" s="113"/>
      <c r="HE1012" s="113"/>
      <c r="HF1012" s="113"/>
      <c r="HG1012" s="46">
        <v>0</v>
      </c>
      <c r="HH1012" s="113"/>
      <c r="HI1012" s="113"/>
      <c r="HJ1012" s="113"/>
      <c r="HK1012" s="113"/>
      <c r="HL1012" s="113"/>
      <c r="HM1012" s="121"/>
      <c r="HN1012" s="121"/>
      <c r="LM1012" t="str">
        <v/>
      </c>
      <c r="LN1012" t="str">
        <v/>
      </c>
      <c r="LO1012" t="str">
        <v/>
      </c>
    </row>
    <row r="1013" spans="30:327">
      <c r="AD1013" t="s">
        <v>114</v>
      </c>
      <c r="AE1013" t="s">
        <v>23156</v>
      </c>
      <c r="AF1013" s="46">
        <v>0</v>
      </c>
      <c r="AG1013" s="113"/>
      <c r="AH1013" s="113"/>
      <c r="AI1013" s="113"/>
      <c r="AJ1013" s="113"/>
      <c r="AK1013" s="113"/>
      <c r="AL1013" s="46">
        <v>0</v>
      </c>
      <c r="AM1013" s="113"/>
      <c r="AN1013" s="113"/>
      <c r="AO1013" s="113"/>
      <c r="AP1013" s="113"/>
      <c r="AQ1013" s="113"/>
      <c r="AR1013" s="46">
        <v>0</v>
      </c>
      <c r="AS1013" s="113"/>
      <c r="AT1013" s="113"/>
      <c r="AU1013" s="113"/>
      <c r="AV1013" s="113"/>
      <c r="AW1013" s="113"/>
      <c r="AX1013" s="46">
        <v>0</v>
      </c>
      <c r="AY1013" s="113"/>
      <c r="AZ1013" s="113"/>
      <c r="BA1013" s="113"/>
      <c r="BB1013" s="113"/>
      <c r="BC1013" s="113"/>
      <c r="BD1013" s="46">
        <v>0</v>
      </c>
      <c r="BE1013" s="113"/>
      <c r="BF1013" s="113"/>
      <c r="BG1013" s="113"/>
      <c r="BH1013" s="113"/>
      <c r="BI1013" s="113"/>
      <c r="BJ1013" s="46">
        <v>0</v>
      </c>
      <c r="BK1013" s="113"/>
      <c r="BL1013" s="113"/>
      <c r="BM1013" s="113"/>
      <c r="BN1013" s="113"/>
      <c r="BO1013" s="113"/>
      <c r="BP1013" s="121"/>
      <c r="BQ1013" s="121"/>
      <c r="GA1013" t="s">
        <v>114</v>
      </c>
      <c r="GB1013" t="s">
        <v>23156</v>
      </c>
      <c r="GC1013" s="46">
        <v>0</v>
      </c>
      <c r="GD1013" s="113"/>
      <c r="GE1013" s="113"/>
      <c r="GF1013" s="113"/>
      <c r="GG1013" s="113"/>
      <c r="GH1013" s="113"/>
      <c r="GI1013" s="46">
        <v>0</v>
      </c>
      <c r="GJ1013" s="113"/>
      <c r="GK1013" s="113"/>
      <c r="GL1013" s="113"/>
      <c r="GM1013" s="113"/>
      <c r="GN1013" s="113"/>
      <c r="GO1013" s="46">
        <v>0</v>
      </c>
      <c r="GP1013" s="113"/>
      <c r="GQ1013" s="113"/>
      <c r="GR1013" s="113"/>
      <c r="GS1013" s="113"/>
      <c r="GT1013" s="113"/>
      <c r="GU1013" s="46">
        <v>0</v>
      </c>
      <c r="GV1013" s="113"/>
      <c r="GW1013" s="113"/>
      <c r="GX1013" s="113"/>
      <c r="GY1013" s="113"/>
      <c r="GZ1013" s="113"/>
      <c r="HA1013" s="46">
        <v>0</v>
      </c>
      <c r="HB1013" s="113"/>
      <c r="HC1013" s="113"/>
      <c r="HD1013" s="113"/>
      <c r="HE1013" s="113"/>
      <c r="HF1013" s="113"/>
      <c r="HG1013" s="46">
        <v>0</v>
      </c>
      <c r="HH1013" s="113"/>
      <c r="HI1013" s="113"/>
      <c r="HJ1013" s="113"/>
      <c r="HK1013" s="113"/>
      <c r="HL1013" s="113"/>
      <c r="HM1013" s="121"/>
      <c r="HN1013" s="121"/>
      <c r="LM1013" t="str">
        <v/>
      </c>
      <c r="LN1013" t="str">
        <v/>
      </c>
      <c r="LO1013" t="str">
        <v/>
      </c>
    </row>
    <row r="1014" spans="30:327">
      <c r="AD1014" t="s">
        <v>114</v>
      </c>
      <c r="AE1014" t="s">
        <v>23157</v>
      </c>
      <c r="AF1014" s="46">
        <v>0</v>
      </c>
      <c r="AG1014" s="113"/>
      <c r="AH1014" s="113"/>
      <c r="AI1014" s="113"/>
      <c r="AJ1014" s="113"/>
      <c r="AK1014" s="113"/>
      <c r="AL1014" s="46">
        <v>0</v>
      </c>
      <c r="AM1014" s="113"/>
      <c r="AN1014" s="113"/>
      <c r="AO1014" s="113"/>
      <c r="AP1014" s="113"/>
      <c r="AQ1014" s="113"/>
      <c r="AR1014" s="46">
        <v>0</v>
      </c>
      <c r="AS1014" s="113"/>
      <c r="AT1014" s="113"/>
      <c r="AU1014" s="113"/>
      <c r="AV1014" s="113"/>
      <c r="AW1014" s="113"/>
      <c r="AX1014" s="46">
        <v>0</v>
      </c>
      <c r="AY1014" s="113"/>
      <c r="AZ1014" s="113"/>
      <c r="BA1014" s="113"/>
      <c r="BB1014" s="113"/>
      <c r="BC1014" s="113"/>
      <c r="BD1014" s="46">
        <v>0</v>
      </c>
      <c r="BE1014" s="113"/>
      <c r="BF1014" s="113"/>
      <c r="BG1014" s="113"/>
      <c r="BH1014" s="113"/>
      <c r="BI1014" s="113"/>
      <c r="BJ1014" s="46">
        <v>0</v>
      </c>
      <c r="BK1014" s="113"/>
      <c r="BL1014" s="113"/>
      <c r="BM1014" s="113"/>
      <c r="BN1014" s="113"/>
      <c r="BO1014" s="113"/>
      <c r="BP1014" s="121"/>
      <c r="BQ1014" s="121"/>
      <c r="GA1014" t="s">
        <v>114</v>
      </c>
      <c r="GB1014" t="s">
        <v>23157</v>
      </c>
      <c r="GC1014" s="46">
        <v>0</v>
      </c>
      <c r="GD1014" s="113"/>
      <c r="GE1014" s="113"/>
      <c r="GF1014" s="113"/>
      <c r="GG1014" s="113"/>
      <c r="GH1014" s="113"/>
      <c r="GI1014" s="46">
        <v>0</v>
      </c>
      <c r="GJ1014" s="113"/>
      <c r="GK1014" s="113"/>
      <c r="GL1014" s="113"/>
      <c r="GM1014" s="113"/>
      <c r="GN1014" s="113"/>
      <c r="GO1014" s="46">
        <v>0</v>
      </c>
      <c r="GP1014" s="113"/>
      <c r="GQ1014" s="113"/>
      <c r="GR1014" s="113"/>
      <c r="GS1014" s="113"/>
      <c r="GT1014" s="113"/>
      <c r="GU1014" s="46">
        <v>0</v>
      </c>
      <c r="GV1014" s="113"/>
      <c r="GW1014" s="113"/>
      <c r="GX1014" s="113"/>
      <c r="GY1014" s="113"/>
      <c r="GZ1014" s="113"/>
      <c r="HA1014" s="46">
        <v>0</v>
      </c>
      <c r="HB1014" s="113"/>
      <c r="HC1014" s="113"/>
      <c r="HD1014" s="113"/>
      <c r="HE1014" s="113"/>
      <c r="HF1014" s="113"/>
      <c r="HG1014" s="46">
        <v>0</v>
      </c>
      <c r="HH1014" s="113"/>
      <c r="HI1014" s="113"/>
      <c r="HJ1014" s="113"/>
      <c r="HK1014" s="113"/>
      <c r="HL1014" s="113"/>
      <c r="HM1014" s="121"/>
      <c r="HN1014" s="121"/>
      <c r="LM1014" t="str">
        <v/>
      </c>
      <c r="LN1014" t="str">
        <v/>
      </c>
      <c r="LO1014" t="str">
        <v/>
      </c>
    </row>
    <row r="1015" spans="30:327">
      <c r="AD1015" t="s">
        <v>114</v>
      </c>
      <c r="AE1015" t="s">
        <v>23158</v>
      </c>
      <c r="AF1015" s="46">
        <v>0</v>
      </c>
      <c r="AG1015" s="113"/>
      <c r="AH1015" s="113"/>
      <c r="AI1015" s="113"/>
      <c r="AJ1015" s="113"/>
      <c r="AK1015" s="113"/>
      <c r="AL1015" s="46">
        <v>0</v>
      </c>
      <c r="AM1015" s="113"/>
      <c r="AN1015" s="113"/>
      <c r="AO1015" s="113"/>
      <c r="AP1015" s="113"/>
      <c r="AQ1015" s="113"/>
      <c r="AR1015" s="46">
        <v>0</v>
      </c>
      <c r="AS1015" s="113"/>
      <c r="AT1015" s="113"/>
      <c r="AU1015" s="113"/>
      <c r="AV1015" s="113"/>
      <c r="AW1015" s="113"/>
      <c r="AX1015" s="46">
        <v>0</v>
      </c>
      <c r="AY1015" s="113"/>
      <c r="AZ1015" s="113"/>
      <c r="BA1015" s="113"/>
      <c r="BB1015" s="113"/>
      <c r="BC1015" s="113"/>
      <c r="BD1015" s="46">
        <v>0</v>
      </c>
      <c r="BE1015" s="113"/>
      <c r="BF1015" s="113"/>
      <c r="BG1015" s="113"/>
      <c r="BH1015" s="113"/>
      <c r="BI1015" s="113"/>
      <c r="BJ1015" s="46">
        <v>0</v>
      </c>
      <c r="BK1015" s="113"/>
      <c r="BL1015" s="113"/>
      <c r="BM1015" s="113"/>
      <c r="BN1015" s="113"/>
      <c r="BO1015" s="113"/>
      <c r="BP1015" s="121"/>
      <c r="BQ1015" s="121"/>
      <c r="GA1015" t="s">
        <v>114</v>
      </c>
      <c r="GB1015" t="s">
        <v>23158</v>
      </c>
      <c r="GC1015" s="46">
        <v>0</v>
      </c>
      <c r="GD1015" s="113"/>
      <c r="GE1015" s="113"/>
      <c r="GF1015" s="113"/>
      <c r="GG1015" s="113"/>
      <c r="GH1015" s="113"/>
      <c r="GI1015" s="46">
        <v>0</v>
      </c>
      <c r="GJ1015" s="113"/>
      <c r="GK1015" s="113"/>
      <c r="GL1015" s="113"/>
      <c r="GM1015" s="113"/>
      <c r="GN1015" s="113"/>
      <c r="GO1015" s="46">
        <v>0</v>
      </c>
      <c r="GP1015" s="113"/>
      <c r="GQ1015" s="113"/>
      <c r="GR1015" s="113"/>
      <c r="GS1015" s="113"/>
      <c r="GT1015" s="113"/>
      <c r="GU1015" s="46">
        <v>0</v>
      </c>
      <c r="GV1015" s="113"/>
      <c r="GW1015" s="113"/>
      <c r="GX1015" s="113"/>
      <c r="GY1015" s="113"/>
      <c r="GZ1015" s="113"/>
      <c r="HA1015" s="46">
        <v>0</v>
      </c>
      <c r="HB1015" s="113"/>
      <c r="HC1015" s="113"/>
      <c r="HD1015" s="113"/>
      <c r="HE1015" s="113"/>
      <c r="HF1015" s="113"/>
      <c r="HG1015" s="46">
        <v>0</v>
      </c>
      <c r="HH1015" s="113"/>
      <c r="HI1015" s="113"/>
      <c r="HJ1015" s="113"/>
      <c r="HK1015" s="113"/>
      <c r="HL1015" s="113"/>
      <c r="HM1015" s="121"/>
      <c r="HN1015" s="121"/>
      <c r="LM1015" t="str">
        <v/>
      </c>
      <c r="LN1015" t="str">
        <v/>
      </c>
      <c r="LO1015" t="str">
        <v/>
      </c>
    </row>
    <row r="1016" spans="30:327">
      <c r="AD1016" t="s">
        <v>114</v>
      </c>
      <c r="AE1016" t="s">
        <v>23159</v>
      </c>
      <c r="AF1016" s="46">
        <v>0</v>
      </c>
      <c r="AG1016" s="113"/>
      <c r="AH1016" s="113"/>
      <c r="AI1016" s="113"/>
      <c r="AJ1016" s="113"/>
      <c r="AK1016" s="113"/>
      <c r="AL1016" s="46">
        <v>0</v>
      </c>
      <c r="AM1016" s="113"/>
      <c r="AN1016" s="113"/>
      <c r="AO1016" s="113"/>
      <c r="AP1016" s="113"/>
      <c r="AQ1016" s="113"/>
      <c r="AR1016" s="46">
        <v>0</v>
      </c>
      <c r="AS1016" s="113"/>
      <c r="AT1016" s="113"/>
      <c r="AU1016" s="113"/>
      <c r="AV1016" s="113"/>
      <c r="AW1016" s="113"/>
      <c r="AX1016" s="46">
        <v>0</v>
      </c>
      <c r="AY1016" s="113"/>
      <c r="AZ1016" s="113"/>
      <c r="BA1016" s="113"/>
      <c r="BB1016" s="113"/>
      <c r="BC1016" s="113"/>
      <c r="BD1016" s="46">
        <v>0</v>
      </c>
      <c r="BE1016" s="113"/>
      <c r="BF1016" s="113"/>
      <c r="BG1016" s="113"/>
      <c r="BH1016" s="113"/>
      <c r="BI1016" s="113"/>
      <c r="BJ1016" s="46">
        <v>0</v>
      </c>
      <c r="BK1016" s="113"/>
      <c r="BL1016" s="113"/>
      <c r="BM1016" s="113"/>
      <c r="BN1016" s="113"/>
      <c r="BO1016" s="113"/>
      <c r="BP1016" s="121"/>
      <c r="BQ1016" s="121"/>
      <c r="GA1016" t="s">
        <v>114</v>
      </c>
      <c r="GB1016" t="s">
        <v>23159</v>
      </c>
      <c r="GC1016" s="46">
        <v>0</v>
      </c>
      <c r="GD1016" s="113"/>
      <c r="GE1016" s="113"/>
      <c r="GF1016" s="113"/>
      <c r="GG1016" s="113"/>
      <c r="GH1016" s="113"/>
      <c r="GI1016" s="46">
        <v>0</v>
      </c>
      <c r="GJ1016" s="113"/>
      <c r="GK1016" s="113"/>
      <c r="GL1016" s="113"/>
      <c r="GM1016" s="113"/>
      <c r="GN1016" s="113"/>
      <c r="GO1016" s="46">
        <v>0</v>
      </c>
      <c r="GP1016" s="113"/>
      <c r="GQ1016" s="113"/>
      <c r="GR1016" s="113"/>
      <c r="GS1016" s="113"/>
      <c r="GT1016" s="113"/>
      <c r="GU1016" s="46">
        <v>0</v>
      </c>
      <c r="GV1016" s="113"/>
      <c r="GW1016" s="113"/>
      <c r="GX1016" s="113"/>
      <c r="GY1016" s="113"/>
      <c r="GZ1016" s="113"/>
      <c r="HA1016" s="46">
        <v>0</v>
      </c>
      <c r="HB1016" s="113"/>
      <c r="HC1016" s="113"/>
      <c r="HD1016" s="113"/>
      <c r="HE1016" s="113"/>
      <c r="HF1016" s="113"/>
      <c r="HG1016" s="46">
        <v>0</v>
      </c>
      <c r="HH1016" s="113"/>
      <c r="HI1016" s="113"/>
      <c r="HJ1016" s="113"/>
      <c r="HK1016" s="113"/>
      <c r="HL1016" s="113"/>
      <c r="HM1016" s="121"/>
      <c r="HN1016" s="121"/>
      <c r="LM1016" t="str">
        <v/>
      </c>
      <c r="LN1016" t="str">
        <v/>
      </c>
      <c r="LO1016" t="str">
        <v/>
      </c>
    </row>
    <row r="1017" spans="30:327">
      <c r="AD1017" t="s">
        <v>114</v>
      </c>
      <c r="AE1017" t="s">
        <v>23160</v>
      </c>
      <c r="AF1017" s="46">
        <v>0</v>
      </c>
      <c r="AG1017" s="113"/>
      <c r="AH1017" s="113"/>
      <c r="AI1017" s="113"/>
      <c r="AJ1017" s="113"/>
      <c r="AK1017" s="113"/>
      <c r="AL1017" s="46">
        <v>0</v>
      </c>
      <c r="AM1017" s="113"/>
      <c r="AN1017" s="113"/>
      <c r="AO1017" s="113"/>
      <c r="AP1017" s="113"/>
      <c r="AQ1017" s="113"/>
      <c r="AR1017" s="46">
        <v>0</v>
      </c>
      <c r="AS1017" s="113"/>
      <c r="AT1017" s="113"/>
      <c r="AU1017" s="113"/>
      <c r="AV1017" s="113"/>
      <c r="AW1017" s="113"/>
      <c r="AX1017" s="46">
        <v>0</v>
      </c>
      <c r="AY1017" s="113"/>
      <c r="AZ1017" s="113"/>
      <c r="BA1017" s="113"/>
      <c r="BB1017" s="113"/>
      <c r="BC1017" s="113"/>
      <c r="BD1017" s="46">
        <v>0</v>
      </c>
      <c r="BE1017" s="113"/>
      <c r="BF1017" s="113"/>
      <c r="BG1017" s="113"/>
      <c r="BH1017" s="113"/>
      <c r="BI1017" s="113"/>
      <c r="BJ1017" s="46">
        <v>0</v>
      </c>
      <c r="BK1017" s="113"/>
      <c r="BL1017" s="113"/>
      <c r="BM1017" s="113"/>
      <c r="BN1017" s="113"/>
      <c r="BO1017" s="113"/>
      <c r="BP1017" s="121"/>
      <c r="BQ1017" s="121"/>
      <c r="GA1017" t="s">
        <v>114</v>
      </c>
      <c r="GB1017" t="s">
        <v>23160</v>
      </c>
      <c r="GC1017" s="46">
        <v>0</v>
      </c>
      <c r="GD1017" s="113"/>
      <c r="GE1017" s="113"/>
      <c r="GF1017" s="113"/>
      <c r="GG1017" s="113"/>
      <c r="GH1017" s="113"/>
      <c r="GI1017" s="46">
        <v>0</v>
      </c>
      <c r="GJ1017" s="113"/>
      <c r="GK1017" s="113"/>
      <c r="GL1017" s="113"/>
      <c r="GM1017" s="113"/>
      <c r="GN1017" s="113"/>
      <c r="GO1017" s="46">
        <v>0</v>
      </c>
      <c r="GP1017" s="113"/>
      <c r="GQ1017" s="113"/>
      <c r="GR1017" s="113"/>
      <c r="GS1017" s="113"/>
      <c r="GT1017" s="113"/>
      <c r="GU1017" s="46">
        <v>0</v>
      </c>
      <c r="GV1017" s="113"/>
      <c r="GW1017" s="113"/>
      <c r="GX1017" s="113"/>
      <c r="GY1017" s="113"/>
      <c r="GZ1017" s="113"/>
      <c r="HA1017" s="46">
        <v>0</v>
      </c>
      <c r="HB1017" s="113"/>
      <c r="HC1017" s="113"/>
      <c r="HD1017" s="113"/>
      <c r="HE1017" s="113"/>
      <c r="HF1017" s="113"/>
      <c r="HG1017" s="46">
        <v>0</v>
      </c>
      <c r="HH1017" s="113"/>
      <c r="HI1017" s="113"/>
      <c r="HJ1017" s="113"/>
      <c r="HK1017" s="113"/>
      <c r="HL1017" s="113"/>
      <c r="HM1017" s="121"/>
      <c r="HN1017" s="121"/>
      <c r="LM1017" t="str">
        <v/>
      </c>
      <c r="LN1017" t="str">
        <v/>
      </c>
      <c r="LO1017" t="str">
        <v/>
      </c>
    </row>
    <row r="1018" spans="30:327">
      <c r="AD1018" t="s">
        <v>114</v>
      </c>
      <c r="AE1018" t="s">
        <v>23161</v>
      </c>
      <c r="AF1018" s="46">
        <v>0</v>
      </c>
      <c r="AG1018" s="113"/>
      <c r="AH1018" s="113"/>
      <c r="AI1018" s="113"/>
      <c r="AJ1018" s="113"/>
      <c r="AK1018" s="113"/>
      <c r="AL1018" s="46">
        <v>0</v>
      </c>
      <c r="AM1018" s="113"/>
      <c r="AN1018" s="113"/>
      <c r="AO1018" s="113"/>
      <c r="AP1018" s="113"/>
      <c r="AQ1018" s="113"/>
      <c r="AR1018" s="46">
        <v>0</v>
      </c>
      <c r="AS1018" s="113"/>
      <c r="AT1018" s="113"/>
      <c r="AU1018" s="113"/>
      <c r="AV1018" s="113"/>
      <c r="AW1018" s="113"/>
      <c r="AX1018" s="46">
        <v>0</v>
      </c>
      <c r="AY1018" s="113"/>
      <c r="AZ1018" s="113"/>
      <c r="BA1018" s="113"/>
      <c r="BB1018" s="113"/>
      <c r="BC1018" s="113"/>
      <c r="BD1018" s="46">
        <v>0</v>
      </c>
      <c r="BE1018" s="113"/>
      <c r="BF1018" s="113"/>
      <c r="BG1018" s="113"/>
      <c r="BH1018" s="113"/>
      <c r="BI1018" s="113"/>
      <c r="BJ1018" s="46">
        <v>0</v>
      </c>
      <c r="BK1018" s="113"/>
      <c r="BL1018" s="113"/>
      <c r="BM1018" s="113"/>
      <c r="BN1018" s="113"/>
      <c r="BO1018" s="113"/>
      <c r="BP1018" s="121"/>
      <c r="BQ1018" s="121"/>
      <c r="GA1018" t="s">
        <v>114</v>
      </c>
      <c r="GB1018" t="s">
        <v>23161</v>
      </c>
      <c r="GC1018" s="46">
        <v>0</v>
      </c>
      <c r="GD1018" s="113"/>
      <c r="GE1018" s="113"/>
      <c r="GF1018" s="113"/>
      <c r="GG1018" s="113"/>
      <c r="GH1018" s="113"/>
      <c r="GI1018" s="46">
        <v>0</v>
      </c>
      <c r="GJ1018" s="113"/>
      <c r="GK1018" s="113"/>
      <c r="GL1018" s="113"/>
      <c r="GM1018" s="113"/>
      <c r="GN1018" s="113"/>
      <c r="GO1018" s="46">
        <v>0</v>
      </c>
      <c r="GP1018" s="113"/>
      <c r="GQ1018" s="113"/>
      <c r="GR1018" s="113"/>
      <c r="GS1018" s="113"/>
      <c r="GT1018" s="113"/>
      <c r="GU1018" s="46">
        <v>0</v>
      </c>
      <c r="GV1018" s="113"/>
      <c r="GW1018" s="113"/>
      <c r="GX1018" s="113"/>
      <c r="GY1018" s="113"/>
      <c r="GZ1018" s="113"/>
      <c r="HA1018" s="46">
        <v>0</v>
      </c>
      <c r="HB1018" s="113"/>
      <c r="HC1018" s="113"/>
      <c r="HD1018" s="113"/>
      <c r="HE1018" s="113"/>
      <c r="HF1018" s="113"/>
      <c r="HG1018" s="46">
        <v>0</v>
      </c>
      <c r="HH1018" s="113"/>
      <c r="HI1018" s="113"/>
      <c r="HJ1018" s="113"/>
      <c r="HK1018" s="113"/>
      <c r="HL1018" s="113"/>
      <c r="HM1018" s="121"/>
      <c r="HN1018" s="121"/>
      <c r="LM1018" t="str">
        <v/>
      </c>
      <c r="LN1018" t="str">
        <v/>
      </c>
      <c r="LO1018" t="str">
        <v/>
      </c>
    </row>
    <row r="1019" spans="30:327">
      <c r="AD1019" t="s">
        <v>114</v>
      </c>
      <c r="AE1019" t="s">
        <v>23162</v>
      </c>
      <c r="AF1019" s="46">
        <v>0</v>
      </c>
      <c r="AG1019" s="113"/>
      <c r="AH1019" s="113"/>
      <c r="AI1019" s="113"/>
      <c r="AJ1019" s="113"/>
      <c r="AK1019" s="113"/>
      <c r="AL1019" s="46">
        <v>0</v>
      </c>
      <c r="AM1019" s="113"/>
      <c r="AN1019" s="113"/>
      <c r="AO1019" s="113"/>
      <c r="AP1019" s="113"/>
      <c r="AQ1019" s="113"/>
      <c r="AR1019" s="46">
        <v>0</v>
      </c>
      <c r="AS1019" s="113"/>
      <c r="AT1019" s="113"/>
      <c r="AU1019" s="113"/>
      <c r="AV1019" s="113"/>
      <c r="AW1019" s="113"/>
      <c r="AX1019" s="46">
        <v>0</v>
      </c>
      <c r="AY1019" s="113"/>
      <c r="AZ1019" s="113"/>
      <c r="BA1019" s="113"/>
      <c r="BB1019" s="113"/>
      <c r="BC1019" s="113"/>
      <c r="BD1019" s="46">
        <v>0</v>
      </c>
      <c r="BE1019" s="113"/>
      <c r="BF1019" s="113"/>
      <c r="BG1019" s="113"/>
      <c r="BH1019" s="113"/>
      <c r="BI1019" s="113"/>
      <c r="BJ1019" s="46">
        <v>0</v>
      </c>
      <c r="BK1019" s="113"/>
      <c r="BL1019" s="113"/>
      <c r="BM1019" s="113"/>
      <c r="BN1019" s="113"/>
      <c r="BO1019" s="113"/>
      <c r="BP1019" s="121"/>
      <c r="BQ1019" s="121"/>
      <c r="GA1019" t="s">
        <v>114</v>
      </c>
      <c r="GB1019" t="s">
        <v>23162</v>
      </c>
      <c r="GC1019" s="46">
        <v>0</v>
      </c>
      <c r="GD1019" s="113"/>
      <c r="GE1019" s="113"/>
      <c r="GF1019" s="113"/>
      <c r="GG1019" s="113"/>
      <c r="GH1019" s="113"/>
      <c r="GI1019" s="46">
        <v>0</v>
      </c>
      <c r="GJ1019" s="113"/>
      <c r="GK1019" s="113"/>
      <c r="GL1019" s="113"/>
      <c r="GM1019" s="113"/>
      <c r="GN1019" s="113"/>
      <c r="GO1019" s="46">
        <v>0</v>
      </c>
      <c r="GP1019" s="113"/>
      <c r="GQ1019" s="113"/>
      <c r="GR1019" s="113"/>
      <c r="GS1019" s="113"/>
      <c r="GT1019" s="113"/>
      <c r="GU1019" s="46">
        <v>0</v>
      </c>
      <c r="GV1019" s="113"/>
      <c r="GW1019" s="113"/>
      <c r="GX1019" s="113"/>
      <c r="GY1019" s="113"/>
      <c r="GZ1019" s="113"/>
      <c r="HA1019" s="46">
        <v>0</v>
      </c>
      <c r="HB1019" s="113"/>
      <c r="HC1019" s="113"/>
      <c r="HD1019" s="113"/>
      <c r="HE1019" s="113"/>
      <c r="HF1019" s="113"/>
      <c r="HG1019" s="46">
        <v>0</v>
      </c>
      <c r="HH1019" s="113"/>
      <c r="HI1019" s="113"/>
      <c r="HJ1019" s="113"/>
      <c r="HK1019" s="113"/>
      <c r="HL1019" s="113"/>
      <c r="HM1019" s="121"/>
      <c r="HN1019" s="121"/>
      <c r="LM1019" t="str">
        <v/>
      </c>
      <c r="LN1019" t="str">
        <v/>
      </c>
      <c r="LO1019" t="str">
        <v/>
      </c>
    </row>
    <row r="1020" spans="30:327">
      <c r="AD1020" t="s">
        <v>114</v>
      </c>
      <c r="AE1020" t="s">
        <v>23163</v>
      </c>
      <c r="AF1020" s="46">
        <v>0</v>
      </c>
      <c r="AG1020" s="113"/>
      <c r="AH1020" s="113"/>
      <c r="AI1020" s="113"/>
      <c r="AJ1020" s="113"/>
      <c r="AK1020" s="113"/>
      <c r="AL1020" s="46">
        <v>0</v>
      </c>
      <c r="AM1020" s="113"/>
      <c r="AN1020" s="113"/>
      <c r="AO1020" s="113"/>
      <c r="AP1020" s="113"/>
      <c r="AQ1020" s="113"/>
      <c r="AR1020" s="46">
        <v>0</v>
      </c>
      <c r="AS1020" s="113"/>
      <c r="AT1020" s="113"/>
      <c r="AU1020" s="113"/>
      <c r="AV1020" s="113"/>
      <c r="AW1020" s="113"/>
      <c r="AX1020" s="46">
        <v>0</v>
      </c>
      <c r="AY1020" s="113"/>
      <c r="AZ1020" s="113"/>
      <c r="BA1020" s="113"/>
      <c r="BB1020" s="113"/>
      <c r="BC1020" s="113"/>
      <c r="BD1020" s="46">
        <v>0</v>
      </c>
      <c r="BE1020" s="113"/>
      <c r="BF1020" s="113"/>
      <c r="BG1020" s="113"/>
      <c r="BH1020" s="113"/>
      <c r="BI1020" s="113"/>
      <c r="BJ1020" s="46">
        <v>0</v>
      </c>
      <c r="BK1020" s="113"/>
      <c r="BL1020" s="113"/>
      <c r="BM1020" s="113"/>
      <c r="BN1020" s="113"/>
      <c r="BO1020" s="113"/>
      <c r="BP1020" s="121"/>
      <c r="BQ1020" s="121"/>
      <c r="GA1020" t="s">
        <v>114</v>
      </c>
      <c r="GB1020" t="s">
        <v>23163</v>
      </c>
      <c r="GC1020" s="46">
        <v>0</v>
      </c>
      <c r="GD1020" s="113"/>
      <c r="GE1020" s="113"/>
      <c r="GF1020" s="113"/>
      <c r="GG1020" s="113"/>
      <c r="GH1020" s="113"/>
      <c r="GI1020" s="46">
        <v>0</v>
      </c>
      <c r="GJ1020" s="113"/>
      <c r="GK1020" s="113"/>
      <c r="GL1020" s="113"/>
      <c r="GM1020" s="113"/>
      <c r="GN1020" s="113"/>
      <c r="GO1020" s="46">
        <v>0</v>
      </c>
      <c r="GP1020" s="113"/>
      <c r="GQ1020" s="113"/>
      <c r="GR1020" s="113"/>
      <c r="GS1020" s="113"/>
      <c r="GT1020" s="113"/>
      <c r="GU1020" s="46">
        <v>0</v>
      </c>
      <c r="GV1020" s="113"/>
      <c r="GW1020" s="113"/>
      <c r="GX1020" s="113"/>
      <c r="GY1020" s="113"/>
      <c r="GZ1020" s="113"/>
      <c r="HA1020" s="46">
        <v>0</v>
      </c>
      <c r="HB1020" s="113"/>
      <c r="HC1020" s="113"/>
      <c r="HD1020" s="113"/>
      <c r="HE1020" s="113"/>
      <c r="HF1020" s="113"/>
      <c r="HG1020" s="46">
        <v>0</v>
      </c>
      <c r="HH1020" s="113"/>
      <c r="HI1020" s="113"/>
      <c r="HJ1020" s="113"/>
      <c r="HK1020" s="113"/>
      <c r="HL1020" s="113"/>
      <c r="HM1020" s="121"/>
      <c r="HN1020" s="121"/>
      <c r="LM1020" t="str">
        <v/>
      </c>
      <c r="LN1020" t="str">
        <v/>
      </c>
      <c r="LO1020" t="str">
        <v/>
      </c>
    </row>
    <row r="1021" spans="30:327">
      <c r="AD1021" t="s">
        <v>114</v>
      </c>
      <c r="AE1021" t="s">
        <v>23164</v>
      </c>
      <c r="AF1021" s="46">
        <v>0</v>
      </c>
      <c r="AG1021" s="113"/>
      <c r="AH1021" s="113"/>
      <c r="AI1021" s="113"/>
      <c r="AJ1021" s="113"/>
      <c r="AK1021" s="113"/>
      <c r="AL1021" s="46">
        <v>0</v>
      </c>
      <c r="AM1021" s="113"/>
      <c r="AN1021" s="113"/>
      <c r="AO1021" s="113"/>
      <c r="AP1021" s="113"/>
      <c r="AQ1021" s="113"/>
      <c r="AR1021" s="46">
        <v>0</v>
      </c>
      <c r="AS1021" s="113"/>
      <c r="AT1021" s="113"/>
      <c r="AU1021" s="113"/>
      <c r="AV1021" s="113"/>
      <c r="AW1021" s="113"/>
      <c r="AX1021" s="46">
        <v>0</v>
      </c>
      <c r="AY1021" s="113"/>
      <c r="AZ1021" s="113"/>
      <c r="BA1021" s="113"/>
      <c r="BB1021" s="113"/>
      <c r="BC1021" s="113"/>
      <c r="BD1021" s="46">
        <v>0</v>
      </c>
      <c r="BE1021" s="113"/>
      <c r="BF1021" s="113"/>
      <c r="BG1021" s="113"/>
      <c r="BH1021" s="113"/>
      <c r="BI1021" s="113"/>
      <c r="BJ1021" s="46">
        <v>0</v>
      </c>
      <c r="BK1021" s="113"/>
      <c r="BL1021" s="113"/>
      <c r="BM1021" s="113"/>
      <c r="BN1021" s="113"/>
      <c r="BO1021" s="113"/>
      <c r="BP1021" s="121"/>
      <c r="BQ1021" s="121"/>
      <c r="GA1021" t="s">
        <v>114</v>
      </c>
      <c r="GB1021" t="s">
        <v>23164</v>
      </c>
      <c r="GC1021" s="46">
        <v>0</v>
      </c>
      <c r="GD1021" s="113"/>
      <c r="GE1021" s="113"/>
      <c r="GF1021" s="113"/>
      <c r="GG1021" s="113"/>
      <c r="GH1021" s="113"/>
      <c r="GI1021" s="46">
        <v>0</v>
      </c>
      <c r="GJ1021" s="113"/>
      <c r="GK1021" s="113"/>
      <c r="GL1021" s="113"/>
      <c r="GM1021" s="113"/>
      <c r="GN1021" s="113"/>
      <c r="GO1021" s="46">
        <v>0</v>
      </c>
      <c r="GP1021" s="113"/>
      <c r="GQ1021" s="113"/>
      <c r="GR1021" s="113"/>
      <c r="GS1021" s="113"/>
      <c r="GT1021" s="113"/>
      <c r="GU1021" s="46">
        <v>0</v>
      </c>
      <c r="GV1021" s="113"/>
      <c r="GW1021" s="113"/>
      <c r="GX1021" s="113"/>
      <c r="GY1021" s="113"/>
      <c r="GZ1021" s="113"/>
      <c r="HA1021" s="46">
        <v>0</v>
      </c>
      <c r="HB1021" s="113"/>
      <c r="HC1021" s="113"/>
      <c r="HD1021" s="113"/>
      <c r="HE1021" s="113"/>
      <c r="HF1021" s="113"/>
      <c r="HG1021" s="46">
        <v>0</v>
      </c>
      <c r="HH1021" s="113"/>
      <c r="HI1021" s="113"/>
      <c r="HJ1021" s="113"/>
      <c r="HK1021" s="113"/>
      <c r="HL1021" s="113"/>
      <c r="HM1021" s="121"/>
      <c r="HN1021" s="121"/>
      <c r="LM1021" t="str">
        <v/>
      </c>
      <c r="LN1021" t="str">
        <v/>
      </c>
      <c r="LO1021" t="str">
        <v/>
      </c>
    </row>
    <row r="1022" spans="30:327">
      <c r="AD1022" t="s">
        <v>114</v>
      </c>
      <c r="AE1022" t="s">
        <v>23165</v>
      </c>
      <c r="AF1022" s="46">
        <v>0</v>
      </c>
      <c r="AG1022" s="113"/>
      <c r="AH1022" s="113"/>
      <c r="AI1022" s="113"/>
      <c r="AJ1022" s="113"/>
      <c r="AK1022" s="113"/>
      <c r="AL1022" s="46">
        <v>0</v>
      </c>
      <c r="AM1022" s="113"/>
      <c r="AN1022" s="113"/>
      <c r="AO1022" s="113"/>
      <c r="AP1022" s="113"/>
      <c r="AQ1022" s="113"/>
      <c r="AR1022" s="46">
        <v>0</v>
      </c>
      <c r="AS1022" s="113"/>
      <c r="AT1022" s="113"/>
      <c r="AU1022" s="113"/>
      <c r="AV1022" s="113"/>
      <c r="AW1022" s="113"/>
      <c r="AX1022" s="46">
        <v>0</v>
      </c>
      <c r="AY1022" s="113"/>
      <c r="AZ1022" s="113"/>
      <c r="BA1022" s="113"/>
      <c r="BB1022" s="113"/>
      <c r="BC1022" s="113"/>
      <c r="BD1022" s="46">
        <v>0</v>
      </c>
      <c r="BE1022" s="113"/>
      <c r="BF1022" s="113"/>
      <c r="BG1022" s="113"/>
      <c r="BH1022" s="113"/>
      <c r="BI1022" s="113"/>
      <c r="BJ1022" s="46">
        <v>0</v>
      </c>
      <c r="BK1022" s="113"/>
      <c r="BL1022" s="113"/>
      <c r="BM1022" s="113"/>
      <c r="BN1022" s="113"/>
      <c r="BO1022" s="113"/>
      <c r="BP1022" s="121"/>
      <c r="BQ1022" s="121"/>
      <c r="GA1022" t="s">
        <v>114</v>
      </c>
      <c r="GB1022" t="s">
        <v>23165</v>
      </c>
      <c r="GC1022" s="46">
        <v>0</v>
      </c>
      <c r="GD1022" s="113"/>
      <c r="GE1022" s="113"/>
      <c r="GF1022" s="113"/>
      <c r="GG1022" s="113"/>
      <c r="GH1022" s="113"/>
      <c r="GI1022" s="46">
        <v>0</v>
      </c>
      <c r="GJ1022" s="113"/>
      <c r="GK1022" s="113"/>
      <c r="GL1022" s="113"/>
      <c r="GM1022" s="113"/>
      <c r="GN1022" s="113"/>
      <c r="GO1022" s="46">
        <v>0</v>
      </c>
      <c r="GP1022" s="113"/>
      <c r="GQ1022" s="113"/>
      <c r="GR1022" s="113"/>
      <c r="GS1022" s="113"/>
      <c r="GT1022" s="113"/>
      <c r="GU1022" s="46">
        <v>0</v>
      </c>
      <c r="GV1022" s="113"/>
      <c r="GW1022" s="113"/>
      <c r="GX1022" s="113"/>
      <c r="GY1022" s="113"/>
      <c r="GZ1022" s="113"/>
      <c r="HA1022" s="46">
        <v>0</v>
      </c>
      <c r="HB1022" s="113"/>
      <c r="HC1022" s="113"/>
      <c r="HD1022" s="113"/>
      <c r="HE1022" s="113"/>
      <c r="HF1022" s="113"/>
      <c r="HG1022" s="46">
        <v>0</v>
      </c>
      <c r="HH1022" s="113"/>
      <c r="HI1022" s="113"/>
      <c r="HJ1022" s="113"/>
      <c r="HK1022" s="113"/>
      <c r="HL1022" s="113"/>
      <c r="HM1022" s="121"/>
      <c r="HN1022" s="121"/>
      <c r="LM1022" t="str">
        <v/>
      </c>
      <c r="LN1022" t="str">
        <v/>
      </c>
      <c r="LO1022" t="str">
        <v/>
      </c>
    </row>
    <row r="1023" spans="30:327">
      <c r="AD1023" t="s">
        <v>114</v>
      </c>
      <c r="AE1023" t="s">
        <v>23166</v>
      </c>
      <c r="AF1023" s="46">
        <v>0</v>
      </c>
      <c r="AG1023" s="113"/>
      <c r="AH1023" s="113"/>
      <c r="AI1023" s="113"/>
      <c r="AJ1023" s="113"/>
      <c r="AK1023" s="113"/>
      <c r="AL1023" s="46">
        <v>0</v>
      </c>
      <c r="AM1023" s="113"/>
      <c r="AN1023" s="113"/>
      <c r="AO1023" s="113"/>
      <c r="AP1023" s="113"/>
      <c r="AQ1023" s="113"/>
      <c r="AR1023" s="46">
        <v>0</v>
      </c>
      <c r="AS1023" s="113"/>
      <c r="AT1023" s="113"/>
      <c r="AU1023" s="113"/>
      <c r="AV1023" s="113"/>
      <c r="AW1023" s="113"/>
      <c r="AX1023" s="46">
        <v>0</v>
      </c>
      <c r="AY1023" s="113"/>
      <c r="AZ1023" s="113"/>
      <c r="BA1023" s="113"/>
      <c r="BB1023" s="113"/>
      <c r="BC1023" s="113"/>
      <c r="BD1023" s="46">
        <v>0</v>
      </c>
      <c r="BE1023" s="113"/>
      <c r="BF1023" s="113"/>
      <c r="BG1023" s="113"/>
      <c r="BH1023" s="113"/>
      <c r="BI1023" s="113"/>
      <c r="BJ1023" s="46">
        <v>0</v>
      </c>
      <c r="BK1023" s="113"/>
      <c r="BL1023" s="113"/>
      <c r="BM1023" s="113"/>
      <c r="BN1023" s="113"/>
      <c r="BO1023" s="113"/>
      <c r="BP1023" s="121"/>
      <c r="BQ1023" s="121"/>
      <c r="GA1023" t="s">
        <v>114</v>
      </c>
      <c r="GB1023" t="s">
        <v>23166</v>
      </c>
      <c r="GC1023" s="46">
        <v>0</v>
      </c>
      <c r="GD1023" s="113"/>
      <c r="GE1023" s="113"/>
      <c r="GF1023" s="113"/>
      <c r="GG1023" s="113"/>
      <c r="GH1023" s="113"/>
      <c r="GI1023" s="46">
        <v>0</v>
      </c>
      <c r="GJ1023" s="113"/>
      <c r="GK1023" s="113"/>
      <c r="GL1023" s="113"/>
      <c r="GM1023" s="113"/>
      <c r="GN1023" s="113"/>
      <c r="GO1023" s="46">
        <v>0</v>
      </c>
      <c r="GP1023" s="113"/>
      <c r="GQ1023" s="113"/>
      <c r="GR1023" s="113"/>
      <c r="GS1023" s="113"/>
      <c r="GT1023" s="113"/>
      <c r="GU1023" s="46">
        <v>0</v>
      </c>
      <c r="GV1023" s="113"/>
      <c r="GW1023" s="113"/>
      <c r="GX1023" s="113"/>
      <c r="GY1023" s="113"/>
      <c r="GZ1023" s="113"/>
      <c r="HA1023" s="46">
        <v>0</v>
      </c>
      <c r="HB1023" s="113"/>
      <c r="HC1023" s="113"/>
      <c r="HD1023" s="113"/>
      <c r="HE1023" s="113"/>
      <c r="HF1023" s="113"/>
      <c r="HG1023" s="46">
        <v>0</v>
      </c>
      <c r="HH1023" s="113"/>
      <c r="HI1023" s="113"/>
      <c r="HJ1023" s="113"/>
      <c r="HK1023" s="113"/>
      <c r="HL1023" s="113"/>
      <c r="HM1023" s="121"/>
      <c r="HN1023" s="121"/>
      <c r="LM1023" t="str">
        <v/>
      </c>
      <c r="LN1023" t="str">
        <v/>
      </c>
      <c r="LO1023" t="str">
        <v/>
      </c>
    </row>
    <row r="1024" spans="30:327">
      <c r="AD1024" t="s">
        <v>114</v>
      </c>
      <c r="AE1024" t="s">
        <v>23167</v>
      </c>
      <c r="AF1024" s="46">
        <v>0</v>
      </c>
      <c r="AG1024" s="113"/>
      <c r="AH1024" s="113"/>
      <c r="AI1024" s="113"/>
      <c r="AJ1024" s="113"/>
      <c r="AK1024" s="113"/>
      <c r="AL1024" s="46">
        <v>0</v>
      </c>
      <c r="AM1024" s="113"/>
      <c r="AN1024" s="113"/>
      <c r="AO1024" s="113"/>
      <c r="AP1024" s="113"/>
      <c r="AQ1024" s="113"/>
      <c r="AR1024" s="46">
        <v>0</v>
      </c>
      <c r="AS1024" s="113"/>
      <c r="AT1024" s="113"/>
      <c r="AU1024" s="113"/>
      <c r="AV1024" s="113"/>
      <c r="AW1024" s="113"/>
      <c r="AX1024" s="46">
        <v>0</v>
      </c>
      <c r="AY1024" s="113"/>
      <c r="AZ1024" s="113"/>
      <c r="BA1024" s="113"/>
      <c r="BB1024" s="113"/>
      <c r="BC1024" s="113"/>
      <c r="BD1024" s="46">
        <v>0</v>
      </c>
      <c r="BE1024" s="113"/>
      <c r="BF1024" s="113"/>
      <c r="BG1024" s="113"/>
      <c r="BH1024" s="113"/>
      <c r="BI1024" s="113"/>
      <c r="BJ1024" s="46">
        <v>0</v>
      </c>
      <c r="BK1024" s="113"/>
      <c r="BL1024" s="113"/>
      <c r="BM1024" s="113"/>
      <c r="BN1024" s="113"/>
      <c r="BO1024" s="113"/>
      <c r="BP1024" s="121"/>
      <c r="BQ1024" s="121"/>
      <c r="GA1024" t="s">
        <v>114</v>
      </c>
      <c r="GB1024" t="s">
        <v>23167</v>
      </c>
      <c r="GC1024" s="46">
        <v>0</v>
      </c>
      <c r="GD1024" s="113"/>
      <c r="GE1024" s="113"/>
      <c r="GF1024" s="113"/>
      <c r="GG1024" s="113"/>
      <c r="GH1024" s="113"/>
      <c r="GI1024" s="46">
        <v>0</v>
      </c>
      <c r="GJ1024" s="113"/>
      <c r="GK1024" s="113"/>
      <c r="GL1024" s="113"/>
      <c r="GM1024" s="113"/>
      <c r="GN1024" s="113"/>
      <c r="GO1024" s="46">
        <v>0</v>
      </c>
      <c r="GP1024" s="113"/>
      <c r="GQ1024" s="113"/>
      <c r="GR1024" s="113"/>
      <c r="GS1024" s="113"/>
      <c r="GT1024" s="113"/>
      <c r="GU1024" s="46">
        <v>0</v>
      </c>
      <c r="GV1024" s="113"/>
      <c r="GW1024" s="113"/>
      <c r="GX1024" s="113"/>
      <c r="GY1024" s="113"/>
      <c r="GZ1024" s="113"/>
      <c r="HA1024" s="46">
        <v>0</v>
      </c>
      <c r="HB1024" s="113"/>
      <c r="HC1024" s="113"/>
      <c r="HD1024" s="113"/>
      <c r="HE1024" s="113"/>
      <c r="HF1024" s="113"/>
      <c r="HG1024" s="46">
        <v>0</v>
      </c>
      <c r="HH1024" s="113"/>
      <c r="HI1024" s="113"/>
      <c r="HJ1024" s="113"/>
      <c r="HK1024" s="113"/>
      <c r="HL1024" s="113"/>
      <c r="HM1024" s="121"/>
      <c r="HN1024" s="121"/>
      <c r="LM1024" t="str">
        <v/>
      </c>
      <c r="LN1024" t="str">
        <v/>
      </c>
      <c r="LO1024" t="str">
        <v/>
      </c>
    </row>
    <row r="1025" spans="30:327">
      <c r="AD1025" t="s">
        <v>114</v>
      </c>
      <c r="AE1025" t="s">
        <v>23168</v>
      </c>
      <c r="AF1025" s="46">
        <v>0</v>
      </c>
      <c r="AG1025" s="113"/>
      <c r="AH1025" s="113"/>
      <c r="AI1025" s="113"/>
      <c r="AJ1025" s="113"/>
      <c r="AK1025" s="113"/>
      <c r="AL1025" s="46">
        <v>0</v>
      </c>
      <c r="AM1025" s="113"/>
      <c r="AN1025" s="113"/>
      <c r="AO1025" s="113"/>
      <c r="AP1025" s="113"/>
      <c r="AQ1025" s="113"/>
      <c r="AR1025" s="46">
        <v>0</v>
      </c>
      <c r="AS1025" s="113"/>
      <c r="AT1025" s="113"/>
      <c r="AU1025" s="113"/>
      <c r="AV1025" s="113"/>
      <c r="AW1025" s="113"/>
      <c r="AX1025" s="46">
        <v>0</v>
      </c>
      <c r="AY1025" s="113"/>
      <c r="AZ1025" s="113"/>
      <c r="BA1025" s="113"/>
      <c r="BB1025" s="113"/>
      <c r="BC1025" s="113"/>
      <c r="BD1025" s="46">
        <v>0</v>
      </c>
      <c r="BE1025" s="113"/>
      <c r="BF1025" s="113"/>
      <c r="BG1025" s="113"/>
      <c r="BH1025" s="113"/>
      <c r="BI1025" s="113"/>
      <c r="BJ1025" s="46">
        <v>0</v>
      </c>
      <c r="BK1025" s="113"/>
      <c r="BL1025" s="113"/>
      <c r="BM1025" s="113"/>
      <c r="BN1025" s="113"/>
      <c r="BO1025" s="113"/>
      <c r="BP1025" s="121"/>
      <c r="BQ1025" s="121"/>
      <c r="GA1025" t="s">
        <v>114</v>
      </c>
      <c r="GB1025" t="s">
        <v>23168</v>
      </c>
      <c r="GC1025" s="46">
        <v>0</v>
      </c>
      <c r="GD1025" s="113"/>
      <c r="GE1025" s="113"/>
      <c r="GF1025" s="113"/>
      <c r="GG1025" s="113"/>
      <c r="GH1025" s="113"/>
      <c r="GI1025" s="46">
        <v>0</v>
      </c>
      <c r="GJ1025" s="113"/>
      <c r="GK1025" s="113"/>
      <c r="GL1025" s="113"/>
      <c r="GM1025" s="113"/>
      <c r="GN1025" s="113"/>
      <c r="GO1025" s="46">
        <v>0</v>
      </c>
      <c r="GP1025" s="113"/>
      <c r="GQ1025" s="113"/>
      <c r="GR1025" s="113"/>
      <c r="GS1025" s="113"/>
      <c r="GT1025" s="113"/>
      <c r="GU1025" s="46">
        <v>0</v>
      </c>
      <c r="GV1025" s="113"/>
      <c r="GW1025" s="113"/>
      <c r="GX1025" s="113"/>
      <c r="GY1025" s="113"/>
      <c r="GZ1025" s="113"/>
      <c r="HA1025" s="46">
        <v>0</v>
      </c>
      <c r="HB1025" s="113"/>
      <c r="HC1025" s="113"/>
      <c r="HD1025" s="113"/>
      <c r="HE1025" s="113"/>
      <c r="HF1025" s="113"/>
      <c r="HG1025" s="46">
        <v>0</v>
      </c>
      <c r="HH1025" s="113"/>
      <c r="HI1025" s="113"/>
      <c r="HJ1025" s="113"/>
      <c r="HK1025" s="113"/>
      <c r="HL1025" s="113"/>
      <c r="HM1025" s="121"/>
      <c r="HN1025" s="121"/>
      <c r="LM1025" t="str">
        <v/>
      </c>
      <c r="LN1025" t="str">
        <v/>
      </c>
      <c r="LO1025" t="str">
        <v/>
      </c>
    </row>
    <row r="1026" spans="30:327">
      <c r="AD1026" t="s">
        <v>114</v>
      </c>
      <c r="AE1026" t="s">
        <v>23169</v>
      </c>
      <c r="AF1026" s="46">
        <v>0</v>
      </c>
      <c r="AG1026" s="113"/>
      <c r="AH1026" s="113"/>
      <c r="AI1026" s="113"/>
      <c r="AJ1026" s="113"/>
      <c r="AK1026" s="113"/>
      <c r="AL1026" s="46">
        <v>0</v>
      </c>
      <c r="AM1026" s="113"/>
      <c r="AN1026" s="113"/>
      <c r="AO1026" s="113"/>
      <c r="AP1026" s="113"/>
      <c r="AQ1026" s="113"/>
      <c r="AR1026" s="46">
        <v>0</v>
      </c>
      <c r="AS1026" s="113"/>
      <c r="AT1026" s="113"/>
      <c r="AU1026" s="113"/>
      <c r="AV1026" s="113"/>
      <c r="AW1026" s="113"/>
      <c r="AX1026" s="46">
        <v>0</v>
      </c>
      <c r="AY1026" s="113"/>
      <c r="AZ1026" s="113"/>
      <c r="BA1026" s="113"/>
      <c r="BB1026" s="113"/>
      <c r="BC1026" s="113"/>
      <c r="BD1026" s="46">
        <v>0</v>
      </c>
      <c r="BE1026" s="113"/>
      <c r="BF1026" s="113"/>
      <c r="BG1026" s="113"/>
      <c r="BH1026" s="113"/>
      <c r="BI1026" s="113"/>
      <c r="BJ1026" s="46">
        <v>0</v>
      </c>
      <c r="BK1026" s="113"/>
      <c r="BL1026" s="113"/>
      <c r="BM1026" s="113"/>
      <c r="BN1026" s="113"/>
      <c r="BO1026" s="113"/>
      <c r="BP1026" s="121"/>
      <c r="BQ1026" s="121"/>
      <c r="GA1026" t="s">
        <v>114</v>
      </c>
      <c r="GB1026" t="s">
        <v>23169</v>
      </c>
      <c r="GC1026" s="46">
        <v>0</v>
      </c>
      <c r="GD1026" s="113"/>
      <c r="GE1026" s="113"/>
      <c r="GF1026" s="113"/>
      <c r="GG1026" s="113"/>
      <c r="GH1026" s="113"/>
      <c r="GI1026" s="46">
        <v>0</v>
      </c>
      <c r="GJ1026" s="113"/>
      <c r="GK1026" s="113"/>
      <c r="GL1026" s="113"/>
      <c r="GM1026" s="113"/>
      <c r="GN1026" s="113"/>
      <c r="GO1026" s="46">
        <v>0</v>
      </c>
      <c r="GP1026" s="113"/>
      <c r="GQ1026" s="113"/>
      <c r="GR1026" s="113"/>
      <c r="GS1026" s="113"/>
      <c r="GT1026" s="113"/>
      <c r="GU1026" s="46">
        <v>0</v>
      </c>
      <c r="GV1026" s="113"/>
      <c r="GW1026" s="113"/>
      <c r="GX1026" s="113"/>
      <c r="GY1026" s="113"/>
      <c r="GZ1026" s="113"/>
      <c r="HA1026" s="46">
        <v>0</v>
      </c>
      <c r="HB1026" s="113"/>
      <c r="HC1026" s="113"/>
      <c r="HD1026" s="113"/>
      <c r="HE1026" s="113"/>
      <c r="HF1026" s="113"/>
      <c r="HG1026" s="46">
        <v>0</v>
      </c>
      <c r="HH1026" s="113"/>
      <c r="HI1026" s="113"/>
      <c r="HJ1026" s="113"/>
      <c r="HK1026" s="113"/>
      <c r="HL1026" s="113"/>
      <c r="HM1026" s="121"/>
      <c r="HN1026" s="121"/>
      <c r="LM1026" t="str">
        <v/>
      </c>
      <c r="LN1026" t="str">
        <v/>
      </c>
      <c r="LO1026" t="str">
        <v/>
      </c>
    </row>
    <row r="1027" spans="30:327">
      <c r="AD1027" t="s">
        <v>114</v>
      </c>
      <c r="AE1027" t="s">
        <v>23170</v>
      </c>
      <c r="AF1027" s="46">
        <v>0</v>
      </c>
      <c r="AG1027" s="113"/>
      <c r="AH1027" s="113"/>
      <c r="AI1027" s="113"/>
      <c r="AJ1027" s="113"/>
      <c r="AK1027" s="113"/>
      <c r="AL1027" s="46">
        <v>0</v>
      </c>
      <c r="AM1027" s="113"/>
      <c r="AN1027" s="113"/>
      <c r="AO1027" s="113"/>
      <c r="AP1027" s="113"/>
      <c r="AQ1027" s="113"/>
      <c r="AR1027" s="46">
        <v>0</v>
      </c>
      <c r="AS1027" s="113"/>
      <c r="AT1027" s="113"/>
      <c r="AU1027" s="113"/>
      <c r="AV1027" s="113"/>
      <c r="AW1027" s="113"/>
      <c r="AX1027" s="46">
        <v>0</v>
      </c>
      <c r="AY1027" s="113"/>
      <c r="AZ1027" s="113"/>
      <c r="BA1027" s="113"/>
      <c r="BB1027" s="113"/>
      <c r="BC1027" s="113"/>
      <c r="BD1027" s="46">
        <v>0</v>
      </c>
      <c r="BE1027" s="113"/>
      <c r="BF1027" s="113"/>
      <c r="BG1027" s="113"/>
      <c r="BH1027" s="113"/>
      <c r="BI1027" s="113"/>
      <c r="BJ1027" s="46">
        <v>0</v>
      </c>
      <c r="BK1027" s="113"/>
      <c r="BL1027" s="113"/>
      <c r="BM1027" s="113"/>
      <c r="BN1027" s="113"/>
      <c r="BO1027" s="113"/>
      <c r="BP1027" s="121"/>
      <c r="BQ1027" s="121"/>
      <c r="GA1027" t="s">
        <v>114</v>
      </c>
      <c r="GB1027" t="s">
        <v>23170</v>
      </c>
      <c r="GC1027" s="46">
        <v>0</v>
      </c>
      <c r="GD1027" s="113"/>
      <c r="GE1027" s="113"/>
      <c r="GF1027" s="113"/>
      <c r="GG1027" s="113"/>
      <c r="GH1027" s="113"/>
      <c r="GI1027" s="46">
        <v>0</v>
      </c>
      <c r="GJ1027" s="113"/>
      <c r="GK1027" s="113"/>
      <c r="GL1027" s="113"/>
      <c r="GM1027" s="113"/>
      <c r="GN1027" s="113"/>
      <c r="GO1027" s="46">
        <v>0</v>
      </c>
      <c r="GP1027" s="113"/>
      <c r="GQ1027" s="113"/>
      <c r="GR1027" s="113"/>
      <c r="GS1027" s="113"/>
      <c r="GT1027" s="113"/>
      <c r="GU1027" s="46">
        <v>0</v>
      </c>
      <c r="GV1027" s="113"/>
      <c r="GW1027" s="113"/>
      <c r="GX1027" s="113"/>
      <c r="GY1027" s="113"/>
      <c r="GZ1027" s="113"/>
      <c r="HA1027" s="46">
        <v>0</v>
      </c>
      <c r="HB1027" s="113"/>
      <c r="HC1027" s="113"/>
      <c r="HD1027" s="113"/>
      <c r="HE1027" s="113"/>
      <c r="HF1027" s="113"/>
      <c r="HG1027" s="46">
        <v>0</v>
      </c>
      <c r="HH1027" s="113"/>
      <c r="HI1027" s="113"/>
      <c r="HJ1027" s="113"/>
      <c r="HK1027" s="113"/>
      <c r="HL1027" s="113"/>
      <c r="HM1027" s="121"/>
      <c r="HN1027" s="121"/>
      <c r="LM1027" t="str">
        <v/>
      </c>
      <c r="LN1027" t="str">
        <v/>
      </c>
      <c r="LO1027" t="str">
        <v/>
      </c>
    </row>
    <row r="1028" spans="30:327">
      <c r="AD1028" t="s">
        <v>114</v>
      </c>
      <c r="AE1028" t="s">
        <v>23171</v>
      </c>
      <c r="AF1028" s="46">
        <v>0</v>
      </c>
      <c r="AG1028" s="113"/>
      <c r="AH1028" s="113"/>
      <c r="AI1028" s="113"/>
      <c r="AJ1028" s="113"/>
      <c r="AK1028" s="113"/>
      <c r="AL1028" s="46">
        <v>0</v>
      </c>
      <c r="AM1028" s="113"/>
      <c r="AN1028" s="113"/>
      <c r="AO1028" s="113"/>
      <c r="AP1028" s="113"/>
      <c r="AQ1028" s="113"/>
      <c r="AR1028" s="46">
        <v>0</v>
      </c>
      <c r="AS1028" s="113"/>
      <c r="AT1028" s="113"/>
      <c r="AU1028" s="113"/>
      <c r="AV1028" s="113"/>
      <c r="AW1028" s="113"/>
      <c r="AX1028" s="46">
        <v>0</v>
      </c>
      <c r="AY1028" s="113"/>
      <c r="AZ1028" s="113"/>
      <c r="BA1028" s="113"/>
      <c r="BB1028" s="113"/>
      <c r="BC1028" s="113"/>
      <c r="BD1028" s="46">
        <v>0</v>
      </c>
      <c r="BE1028" s="113"/>
      <c r="BF1028" s="113"/>
      <c r="BG1028" s="113"/>
      <c r="BH1028" s="113"/>
      <c r="BI1028" s="113"/>
      <c r="BJ1028" s="46">
        <v>0</v>
      </c>
      <c r="BK1028" s="113"/>
      <c r="BL1028" s="113"/>
      <c r="BM1028" s="113"/>
      <c r="BN1028" s="113"/>
      <c r="BO1028" s="113"/>
      <c r="BP1028" s="121"/>
      <c r="BQ1028" s="121"/>
      <c r="GA1028" t="s">
        <v>114</v>
      </c>
      <c r="GB1028" t="s">
        <v>23171</v>
      </c>
      <c r="GC1028" s="46">
        <v>0</v>
      </c>
      <c r="GD1028" s="113"/>
      <c r="GE1028" s="113"/>
      <c r="GF1028" s="113"/>
      <c r="GG1028" s="113"/>
      <c r="GH1028" s="113"/>
      <c r="GI1028" s="46">
        <v>0</v>
      </c>
      <c r="GJ1028" s="113"/>
      <c r="GK1028" s="113"/>
      <c r="GL1028" s="113"/>
      <c r="GM1028" s="113"/>
      <c r="GN1028" s="113"/>
      <c r="GO1028" s="46">
        <v>0</v>
      </c>
      <c r="GP1028" s="113"/>
      <c r="GQ1028" s="113"/>
      <c r="GR1028" s="113"/>
      <c r="GS1028" s="113"/>
      <c r="GT1028" s="113"/>
      <c r="GU1028" s="46">
        <v>0</v>
      </c>
      <c r="GV1028" s="113"/>
      <c r="GW1028" s="113"/>
      <c r="GX1028" s="113"/>
      <c r="GY1028" s="113"/>
      <c r="GZ1028" s="113"/>
      <c r="HA1028" s="46">
        <v>0</v>
      </c>
      <c r="HB1028" s="113"/>
      <c r="HC1028" s="113"/>
      <c r="HD1028" s="113"/>
      <c r="HE1028" s="113"/>
      <c r="HF1028" s="113"/>
      <c r="HG1028" s="46">
        <v>0</v>
      </c>
      <c r="HH1028" s="113"/>
      <c r="HI1028" s="113"/>
      <c r="HJ1028" s="113"/>
      <c r="HK1028" s="113"/>
      <c r="HL1028" s="113"/>
      <c r="HM1028" s="121"/>
      <c r="HN1028" s="121"/>
      <c r="LM1028" t="str">
        <v/>
      </c>
      <c r="LN1028" t="str">
        <v/>
      </c>
      <c r="LO1028" t="str">
        <v/>
      </c>
    </row>
    <row r="1029" spans="30:327">
      <c r="AD1029" t="s">
        <v>114</v>
      </c>
      <c r="AE1029" t="s">
        <v>23172</v>
      </c>
      <c r="AF1029" s="46">
        <v>0</v>
      </c>
      <c r="AG1029" s="113"/>
      <c r="AH1029" s="113"/>
      <c r="AI1029" s="113"/>
      <c r="AJ1029" s="113"/>
      <c r="AK1029" s="113"/>
      <c r="AL1029" s="46">
        <v>0</v>
      </c>
      <c r="AM1029" s="113"/>
      <c r="AN1029" s="113"/>
      <c r="AO1029" s="113"/>
      <c r="AP1029" s="113"/>
      <c r="AQ1029" s="113"/>
      <c r="AR1029" s="46">
        <v>0</v>
      </c>
      <c r="AS1029" s="113"/>
      <c r="AT1029" s="113"/>
      <c r="AU1029" s="113"/>
      <c r="AV1029" s="113"/>
      <c r="AW1029" s="113"/>
      <c r="AX1029" s="46">
        <v>0</v>
      </c>
      <c r="AY1029" s="113"/>
      <c r="AZ1029" s="113"/>
      <c r="BA1029" s="113"/>
      <c r="BB1029" s="113"/>
      <c r="BC1029" s="113"/>
      <c r="BD1029" s="46">
        <v>0</v>
      </c>
      <c r="BE1029" s="113"/>
      <c r="BF1029" s="113"/>
      <c r="BG1029" s="113"/>
      <c r="BH1029" s="113"/>
      <c r="BI1029" s="113"/>
      <c r="BJ1029" s="46">
        <v>0</v>
      </c>
      <c r="BK1029" s="113"/>
      <c r="BL1029" s="113"/>
      <c r="BM1029" s="113"/>
      <c r="BN1029" s="113"/>
      <c r="BO1029" s="113"/>
      <c r="BP1029" s="121"/>
      <c r="BQ1029" s="121"/>
      <c r="GA1029" t="s">
        <v>114</v>
      </c>
      <c r="GB1029" t="s">
        <v>23172</v>
      </c>
      <c r="GC1029" s="46">
        <v>0</v>
      </c>
      <c r="GD1029" s="113"/>
      <c r="GE1029" s="113"/>
      <c r="GF1029" s="113"/>
      <c r="GG1029" s="113"/>
      <c r="GH1029" s="113"/>
      <c r="GI1029" s="46">
        <v>0</v>
      </c>
      <c r="GJ1029" s="113"/>
      <c r="GK1029" s="113"/>
      <c r="GL1029" s="113"/>
      <c r="GM1029" s="113"/>
      <c r="GN1029" s="113"/>
      <c r="GO1029" s="46">
        <v>0</v>
      </c>
      <c r="GP1029" s="113"/>
      <c r="GQ1029" s="113"/>
      <c r="GR1029" s="113"/>
      <c r="GS1029" s="113"/>
      <c r="GT1029" s="113"/>
      <c r="GU1029" s="46">
        <v>0</v>
      </c>
      <c r="GV1029" s="113"/>
      <c r="GW1029" s="113"/>
      <c r="GX1029" s="113"/>
      <c r="GY1029" s="113"/>
      <c r="GZ1029" s="113"/>
      <c r="HA1029" s="46">
        <v>0</v>
      </c>
      <c r="HB1029" s="113"/>
      <c r="HC1029" s="113"/>
      <c r="HD1029" s="113"/>
      <c r="HE1029" s="113"/>
      <c r="HF1029" s="113"/>
      <c r="HG1029" s="46">
        <v>0</v>
      </c>
      <c r="HH1029" s="113"/>
      <c r="HI1029" s="113"/>
      <c r="HJ1029" s="113"/>
      <c r="HK1029" s="113"/>
      <c r="HL1029" s="113"/>
      <c r="HM1029" s="121"/>
      <c r="HN1029" s="121"/>
      <c r="LM1029" t="str">
        <v/>
      </c>
      <c r="LN1029" t="str">
        <v/>
      </c>
      <c r="LO1029" t="str">
        <v/>
      </c>
    </row>
    <row r="1030" spans="30:327">
      <c r="AD1030" t="s">
        <v>114</v>
      </c>
      <c r="AE1030" t="s">
        <v>23173</v>
      </c>
      <c r="AF1030" s="46">
        <v>0</v>
      </c>
      <c r="AG1030" s="113"/>
      <c r="AH1030" s="113"/>
      <c r="AI1030" s="113"/>
      <c r="AJ1030" s="113"/>
      <c r="AK1030" s="113"/>
      <c r="AL1030" s="46">
        <v>0</v>
      </c>
      <c r="AM1030" s="113"/>
      <c r="AN1030" s="113"/>
      <c r="AO1030" s="113"/>
      <c r="AP1030" s="113"/>
      <c r="AQ1030" s="113"/>
      <c r="AR1030" s="46">
        <v>0</v>
      </c>
      <c r="AS1030" s="113"/>
      <c r="AT1030" s="113"/>
      <c r="AU1030" s="113"/>
      <c r="AV1030" s="113"/>
      <c r="AW1030" s="113"/>
      <c r="AX1030" s="46">
        <v>0</v>
      </c>
      <c r="AY1030" s="113"/>
      <c r="AZ1030" s="113"/>
      <c r="BA1030" s="113"/>
      <c r="BB1030" s="113"/>
      <c r="BC1030" s="113"/>
      <c r="BD1030" s="46">
        <v>0</v>
      </c>
      <c r="BE1030" s="113"/>
      <c r="BF1030" s="113"/>
      <c r="BG1030" s="113"/>
      <c r="BH1030" s="113"/>
      <c r="BI1030" s="113"/>
      <c r="BJ1030" s="46">
        <v>0</v>
      </c>
      <c r="BK1030" s="113"/>
      <c r="BL1030" s="113"/>
      <c r="BM1030" s="113"/>
      <c r="BN1030" s="113"/>
      <c r="BO1030" s="113"/>
      <c r="BP1030" s="121"/>
      <c r="BQ1030" s="121"/>
      <c r="GA1030" t="s">
        <v>114</v>
      </c>
      <c r="GB1030" t="s">
        <v>23173</v>
      </c>
      <c r="GC1030" s="46">
        <v>0</v>
      </c>
      <c r="GD1030" s="113"/>
      <c r="GE1030" s="113"/>
      <c r="GF1030" s="113"/>
      <c r="GG1030" s="113"/>
      <c r="GH1030" s="113"/>
      <c r="GI1030" s="46">
        <v>0</v>
      </c>
      <c r="GJ1030" s="113"/>
      <c r="GK1030" s="113"/>
      <c r="GL1030" s="113"/>
      <c r="GM1030" s="113"/>
      <c r="GN1030" s="113"/>
      <c r="GO1030" s="46">
        <v>0</v>
      </c>
      <c r="GP1030" s="113"/>
      <c r="GQ1030" s="113"/>
      <c r="GR1030" s="113"/>
      <c r="GS1030" s="113"/>
      <c r="GT1030" s="113"/>
      <c r="GU1030" s="46">
        <v>0</v>
      </c>
      <c r="GV1030" s="113"/>
      <c r="GW1030" s="113"/>
      <c r="GX1030" s="113"/>
      <c r="GY1030" s="113"/>
      <c r="GZ1030" s="113"/>
      <c r="HA1030" s="46">
        <v>0</v>
      </c>
      <c r="HB1030" s="113"/>
      <c r="HC1030" s="113"/>
      <c r="HD1030" s="113"/>
      <c r="HE1030" s="113"/>
      <c r="HF1030" s="113"/>
      <c r="HG1030" s="46">
        <v>0</v>
      </c>
      <c r="HH1030" s="113"/>
      <c r="HI1030" s="113"/>
      <c r="HJ1030" s="113"/>
      <c r="HK1030" s="113"/>
      <c r="HL1030" s="113"/>
      <c r="HM1030" s="121"/>
      <c r="HN1030" s="121"/>
      <c r="LM1030" t="str">
        <v/>
      </c>
      <c r="LN1030" t="str">
        <v/>
      </c>
      <c r="LO1030" t="str">
        <v/>
      </c>
    </row>
    <row r="1031" spans="30:327">
      <c r="AD1031" t="s">
        <v>114</v>
      </c>
      <c r="AE1031" t="s">
        <v>23174</v>
      </c>
      <c r="AF1031" s="46">
        <v>0</v>
      </c>
      <c r="AG1031" s="113"/>
      <c r="AH1031" s="113"/>
      <c r="AI1031" s="113"/>
      <c r="AJ1031" s="113"/>
      <c r="AK1031" s="113"/>
      <c r="AL1031" s="46">
        <v>0</v>
      </c>
      <c r="AM1031" s="113"/>
      <c r="AN1031" s="113"/>
      <c r="AO1031" s="113"/>
      <c r="AP1031" s="113"/>
      <c r="AQ1031" s="113"/>
      <c r="AR1031" s="46">
        <v>0</v>
      </c>
      <c r="AS1031" s="113"/>
      <c r="AT1031" s="113"/>
      <c r="AU1031" s="113"/>
      <c r="AV1031" s="113"/>
      <c r="AW1031" s="113"/>
      <c r="AX1031" s="46">
        <v>0</v>
      </c>
      <c r="AY1031" s="113"/>
      <c r="AZ1031" s="113"/>
      <c r="BA1031" s="113"/>
      <c r="BB1031" s="113"/>
      <c r="BC1031" s="113"/>
      <c r="BD1031" s="46">
        <v>0</v>
      </c>
      <c r="BE1031" s="113"/>
      <c r="BF1031" s="113"/>
      <c r="BG1031" s="113"/>
      <c r="BH1031" s="113"/>
      <c r="BI1031" s="113"/>
      <c r="BJ1031" s="46">
        <v>0</v>
      </c>
      <c r="BK1031" s="113"/>
      <c r="BL1031" s="113"/>
      <c r="BM1031" s="113"/>
      <c r="BN1031" s="113"/>
      <c r="BO1031" s="113"/>
      <c r="BP1031" s="121"/>
      <c r="BQ1031" s="121"/>
      <c r="GA1031" t="s">
        <v>114</v>
      </c>
      <c r="GB1031" t="s">
        <v>23174</v>
      </c>
      <c r="GC1031" s="46">
        <v>0</v>
      </c>
      <c r="GD1031" s="113"/>
      <c r="GE1031" s="113"/>
      <c r="GF1031" s="113"/>
      <c r="GG1031" s="113"/>
      <c r="GH1031" s="113"/>
      <c r="GI1031" s="46">
        <v>0</v>
      </c>
      <c r="GJ1031" s="113"/>
      <c r="GK1031" s="113"/>
      <c r="GL1031" s="113"/>
      <c r="GM1031" s="113"/>
      <c r="GN1031" s="113"/>
      <c r="GO1031" s="46">
        <v>0</v>
      </c>
      <c r="GP1031" s="113"/>
      <c r="GQ1031" s="113"/>
      <c r="GR1031" s="113"/>
      <c r="GS1031" s="113"/>
      <c r="GT1031" s="113"/>
      <c r="GU1031" s="46">
        <v>0</v>
      </c>
      <c r="GV1031" s="113"/>
      <c r="GW1031" s="113"/>
      <c r="GX1031" s="113"/>
      <c r="GY1031" s="113"/>
      <c r="GZ1031" s="113"/>
      <c r="HA1031" s="46">
        <v>0</v>
      </c>
      <c r="HB1031" s="113"/>
      <c r="HC1031" s="113"/>
      <c r="HD1031" s="113"/>
      <c r="HE1031" s="113"/>
      <c r="HF1031" s="113"/>
      <c r="HG1031" s="46">
        <v>0</v>
      </c>
      <c r="HH1031" s="113"/>
      <c r="HI1031" s="113"/>
      <c r="HJ1031" s="113"/>
      <c r="HK1031" s="113"/>
      <c r="HL1031" s="113"/>
      <c r="HM1031" s="121"/>
      <c r="HN1031" s="121"/>
      <c r="LM1031" t="str">
        <v/>
      </c>
      <c r="LN1031" t="str">
        <v/>
      </c>
      <c r="LO1031" t="str">
        <v/>
      </c>
    </row>
    <row r="1032" spans="30:327">
      <c r="AD1032" t="s">
        <v>114</v>
      </c>
      <c r="AE1032" t="s">
        <v>23175</v>
      </c>
      <c r="AF1032" s="46">
        <v>0</v>
      </c>
      <c r="AG1032" s="113"/>
      <c r="AH1032" s="113"/>
      <c r="AI1032" s="113"/>
      <c r="AJ1032" s="113"/>
      <c r="AK1032" s="113"/>
      <c r="AL1032" s="46">
        <v>0</v>
      </c>
      <c r="AM1032" s="113"/>
      <c r="AN1032" s="113"/>
      <c r="AO1032" s="113"/>
      <c r="AP1032" s="113"/>
      <c r="AQ1032" s="113"/>
      <c r="AR1032" s="46">
        <v>0</v>
      </c>
      <c r="AS1032" s="113"/>
      <c r="AT1032" s="113"/>
      <c r="AU1032" s="113"/>
      <c r="AV1032" s="113"/>
      <c r="AW1032" s="113"/>
      <c r="AX1032" s="46">
        <v>0</v>
      </c>
      <c r="AY1032" s="113"/>
      <c r="AZ1032" s="113"/>
      <c r="BA1032" s="113"/>
      <c r="BB1032" s="113"/>
      <c r="BC1032" s="113"/>
      <c r="BD1032" s="46">
        <v>0</v>
      </c>
      <c r="BE1032" s="113"/>
      <c r="BF1032" s="113"/>
      <c r="BG1032" s="113"/>
      <c r="BH1032" s="113"/>
      <c r="BI1032" s="113"/>
      <c r="BJ1032" s="46">
        <v>0</v>
      </c>
      <c r="BK1032" s="113"/>
      <c r="BL1032" s="113"/>
      <c r="BM1032" s="113"/>
      <c r="BN1032" s="113"/>
      <c r="BO1032" s="113"/>
      <c r="BP1032" s="121"/>
      <c r="BQ1032" s="121"/>
      <c r="GA1032" t="s">
        <v>114</v>
      </c>
      <c r="GB1032" t="s">
        <v>23175</v>
      </c>
      <c r="GC1032" s="46">
        <v>0</v>
      </c>
      <c r="GD1032" s="113"/>
      <c r="GE1032" s="113"/>
      <c r="GF1032" s="113"/>
      <c r="GG1032" s="113"/>
      <c r="GH1032" s="113"/>
      <c r="GI1032" s="46">
        <v>0</v>
      </c>
      <c r="GJ1032" s="113"/>
      <c r="GK1032" s="113"/>
      <c r="GL1032" s="113"/>
      <c r="GM1032" s="113"/>
      <c r="GN1032" s="113"/>
      <c r="GO1032" s="46">
        <v>0</v>
      </c>
      <c r="GP1032" s="113"/>
      <c r="GQ1032" s="113"/>
      <c r="GR1032" s="113"/>
      <c r="GS1032" s="113"/>
      <c r="GT1032" s="113"/>
      <c r="GU1032" s="46">
        <v>0</v>
      </c>
      <c r="GV1032" s="113"/>
      <c r="GW1032" s="113"/>
      <c r="GX1032" s="113"/>
      <c r="GY1032" s="113"/>
      <c r="GZ1032" s="113"/>
      <c r="HA1032" s="46">
        <v>0</v>
      </c>
      <c r="HB1032" s="113"/>
      <c r="HC1032" s="113"/>
      <c r="HD1032" s="113"/>
      <c r="HE1032" s="113"/>
      <c r="HF1032" s="113"/>
      <c r="HG1032" s="46">
        <v>0</v>
      </c>
      <c r="HH1032" s="113"/>
      <c r="HI1032" s="113"/>
      <c r="HJ1032" s="113"/>
      <c r="HK1032" s="113"/>
      <c r="HL1032" s="113"/>
      <c r="HM1032" s="121"/>
      <c r="HN1032" s="121"/>
      <c r="LM1032" t="str">
        <v/>
      </c>
      <c r="LN1032" t="str">
        <v/>
      </c>
      <c r="LO1032" t="str">
        <v/>
      </c>
    </row>
    <row r="1033" spans="30:327">
      <c r="AD1033" t="s">
        <v>114</v>
      </c>
      <c r="AE1033" t="s">
        <v>23176</v>
      </c>
      <c r="AF1033" s="46">
        <v>0</v>
      </c>
      <c r="AG1033" s="113"/>
      <c r="AH1033" s="113"/>
      <c r="AI1033" s="113"/>
      <c r="AJ1033" s="113"/>
      <c r="AK1033" s="113"/>
      <c r="AL1033" s="46">
        <v>0</v>
      </c>
      <c r="AM1033" s="113"/>
      <c r="AN1033" s="113"/>
      <c r="AO1033" s="113"/>
      <c r="AP1033" s="113"/>
      <c r="AQ1033" s="113"/>
      <c r="AR1033" s="46">
        <v>0</v>
      </c>
      <c r="AS1033" s="113"/>
      <c r="AT1033" s="113"/>
      <c r="AU1033" s="113"/>
      <c r="AV1033" s="113"/>
      <c r="AW1033" s="113"/>
      <c r="AX1033" s="46">
        <v>0</v>
      </c>
      <c r="AY1033" s="113"/>
      <c r="AZ1033" s="113"/>
      <c r="BA1033" s="113"/>
      <c r="BB1033" s="113"/>
      <c r="BC1033" s="113"/>
      <c r="BD1033" s="46">
        <v>0</v>
      </c>
      <c r="BE1033" s="113"/>
      <c r="BF1033" s="113"/>
      <c r="BG1033" s="113"/>
      <c r="BH1033" s="113"/>
      <c r="BI1033" s="113"/>
      <c r="BJ1033" s="46">
        <v>0</v>
      </c>
      <c r="BK1033" s="113"/>
      <c r="BL1033" s="113"/>
      <c r="BM1033" s="113"/>
      <c r="BN1033" s="113"/>
      <c r="BO1033" s="113"/>
      <c r="BP1033" s="121"/>
      <c r="BQ1033" s="121"/>
      <c r="GA1033" t="s">
        <v>114</v>
      </c>
      <c r="GB1033" t="s">
        <v>23176</v>
      </c>
      <c r="GC1033" s="46">
        <v>0</v>
      </c>
      <c r="GD1033" s="113"/>
      <c r="GE1033" s="113"/>
      <c r="GF1033" s="113"/>
      <c r="GG1033" s="113"/>
      <c r="GH1033" s="113"/>
      <c r="GI1033" s="46">
        <v>0</v>
      </c>
      <c r="GJ1033" s="113"/>
      <c r="GK1033" s="113"/>
      <c r="GL1033" s="113"/>
      <c r="GM1033" s="113"/>
      <c r="GN1033" s="113"/>
      <c r="GO1033" s="46">
        <v>0</v>
      </c>
      <c r="GP1033" s="113"/>
      <c r="GQ1033" s="113"/>
      <c r="GR1033" s="113"/>
      <c r="GS1033" s="113"/>
      <c r="GT1033" s="113"/>
      <c r="GU1033" s="46">
        <v>0</v>
      </c>
      <c r="GV1033" s="113"/>
      <c r="GW1033" s="113"/>
      <c r="GX1033" s="113"/>
      <c r="GY1033" s="113"/>
      <c r="GZ1033" s="113"/>
      <c r="HA1033" s="46">
        <v>0</v>
      </c>
      <c r="HB1033" s="113"/>
      <c r="HC1033" s="113"/>
      <c r="HD1033" s="113"/>
      <c r="HE1033" s="113"/>
      <c r="HF1033" s="113"/>
      <c r="HG1033" s="46">
        <v>0</v>
      </c>
      <c r="HH1033" s="113"/>
      <c r="HI1033" s="113"/>
      <c r="HJ1033" s="113"/>
      <c r="HK1033" s="113"/>
      <c r="HL1033" s="113"/>
      <c r="HM1033" s="121"/>
      <c r="HN1033" s="121"/>
      <c r="LM1033" t="str">
        <v/>
      </c>
      <c r="LN1033" t="str">
        <v/>
      </c>
      <c r="LO1033" t="str">
        <v/>
      </c>
    </row>
    <row r="1034" spans="30:327">
      <c r="AD1034" t="s">
        <v>114</v>
      </c>
      <c r="AE1034" t="s">
        <v>19748</v>
      </c>
      <c r="AF1034" s="46">
        <v>0</v>
      </c>
      <c r="AG1034" s="113"/>
      <c r="AH1034" s="113"/>
      <c r="AI1034" s="113"/>
      <c r="AJ1034" s="113"/>
      <c r="AK1034" s="113"/>
      <c r="AL1034" s="46">
        <v>0</v>
      </c>
      <c r="AM1034" s="113"/>
      <c r="AN1034" s="113"/>
      <c r="AO1034" s="113"/>
      <c r="AP1034" s="113"/>
      <c r="AQ1034" s="113"/>
      <c r="AR1034" s="46">
        <v>0</v>
      </c>
      <c r="AS1034" s="113"/>
      <c r="AT1034" s="113"/>
      <c r="AU1034" s="113"/>
      <c r="AV1034" s="113"/>
      <c r="AW1034" s="113"/>
      <c r="AX1034" s="46">
        <v>0</v>
      </c>
      <c r="AY1034" s="113"/>
      <c r="AZ1034" s="113"/>
      <c r="BA1034" s="113"/>
      <c r="BB1034" s="113"/>
      <c r="BC1034" s="113"/>
      <c r="BD1034" s="46">
        <v>0</v>
      </c>
      <c r="BE1034" s="113"/>
      <c r="BF1034" s="113"/>
      <c r="BG1034" s="113"/>
      <c r="BH1034" s="113"/>
      <c r="BI1034" s="113"/>
      <c r="BJ1034" s="46">
        <v>0</v>
      </c>
      <c r="BK1034" s="113"/>
      <c r="BL1034" s="113"/>
      <c r="BM1034" s="113"/>
      <c r="BN1034" s="113"/>
      <c r="BO1034" s="113"/>
      <c r="BP1034" s="121"/>
      <c r="BQ1034" s="121"/>
      <c r="GA1034" t="s">
        <v>114</v>
      </c>
      <c r="GB1034" t="s">
        <v>19748</v>
      </c>
      <c r="GC1034" s="46">
        <v>0</v>
      </c>
      <c r="GD1034" s="113"/>
      <c r="GE1034" s="113"/>
      <c r="GF1034" s="113"/>
      <c r="GG1034" s="113"/>
      <c r="GH1034" s="113"/>
      <c r="GI1034" s="46">
        <v>0</v>
      </c>
      <c r="GJ1034" s="113"/>
      <c r="GK1034" s="113"/>
      <c r="GL1034" s="113"/>
      <c r="GM1034" s="113"/>
      <c r="GN1034" s="113"/>
      <c r="GO1034" s="46">
        <v>0</v>
      </c>
      <c r="GP1034" s="113"/>
      <c r="GQ1034" s="113"/>
      <c r="GR1034" s="113"/>
      <c r="GS1034" s="113"/>
      <c r="GT1034" s="113"/>
      <c r="GU1034" s="46">
        <v>0</v>
      </c>
      <c r="GV1034" s="113"/>
      <c r="GW1034" s="113"/>
      <c r="GX1034" s="113"/>
      <c r="GY1034" s="113"/>
      <c r="GZ1034" s="113"/>
      <c r="HA1034" s="46">
        <v>0</v>
      </c>
      <c r="HB1034" s="113"/>
      <c r="HC1034" s="113"/>
      <c r="HD1034" s="113"/>
      <c r="HE1034" s="113"/>
      <c r="HF1034" s="113"/>
      <c r="HG1034" s="46">
        <v>0</v>
      </c>
      <c r="HH1034" s="113"/>
      <c r="HI1034" s="113"/>
      <c r="HJ1034" s="113"/>
      <c r="HK1034" s="113"/>
      <c r="HL1034" s="113"/>
      <c r="HM1034" s="121"/>
      <c r="HN1034" s="121"/>
      <c r="LM1034" t="str">
        <v/>
      </c>
      <c r="LN1034" t="str">
        <v/>
      </c>
      <c r="LO1034" t="str">
        <v/>
      </c>
    </row>
    <row r="1035" spans="30:327">
      <c r="AD1035" t="s">
        <v>114</v>
      </c>
      <c r="AE1035" t="s">
        <v>19749</v>
      </c>
      <c r="AF1035" s="46">
        <v>0</v>
      </c>
      <c r="AG1035" s="113"/>
      <c r="AH1035" s="113"/>
      <c r="AI1035" s="113"/>
      <c r="AJ1035" s="113"/>
      <c r="AK1035" s="113"/>
      <c r="AL1035" s="46">
        <v>0</v>
      </c>
      <c r="AM1035" s="113"/>
      <c r="AN1035" s="113"/>
      <c r="AO1035" s="113"/>
      <c r="AP1035" s="113"/>
      <c r="AQ1035" s="113"/>
      <c r="AR1035" s="46">
        <v>0</v>
      </c>
      <c r="AS1035" s="113"/>
      <c r="AT1035" s="113"/>
      <c r="AU1035" s="113"/>
      <c r="AV1035" s="113"/>
      <c r="AW1035" s="113"/>
      <c r="AX1035" s="46">
        <v>0</v>
      </c>
      <c r="AY1035" s="113"/>
      <c r="AZ1035" s="113"/>
      <c r="BA1035" s="113"/>
      <c r="BB1035" s="113"/>
      <c r="BC1035" s="113"/>
      <c r="BD1035" s="46">
        <v>0</v>
      </c>
      <c r="BE1035" s="113"/>
      <c r="BF1035" s="113"/>
      <c r="BG1035" s="113"/>
      <c r="BH1035" s="113"/>
      <c r="BI1035" s="113"/>
      <c r="BJ1035" s="46">
        <v>0</v>
      </c>
      <c r="BK1035" s="113"/>
      <c r="BL1035" s="113"/>
      <c r="BM1035" s="113"/>
      <c r="BN1035" s="113"/>
      <c r="BO1035" s="113"/>
      <c r="BP1035" s="121"/>
      <c r="BQ1035" s="121"/>
      <c r="GA1035" t="s">
        <v>114</v>
      </c>
      <c r="GB1035" t="s">
        <v>19749</v>
      </c>
      <c r="GC1035" s="46">
        <v>0</v>
      </c>
      <c r="GD1035" s="113"/>
      <c r="GE1035" s="113"/>
      <c r="GF1035" s="113"/>
      <c r="GG1035" s="113"/>
      <c r="GH1035" s="113"/>
      <c r="GI1035" s="46">
        <v>0</v>
      </c>
      <c r="GJ1035" s="113"/>
      <c r="GK1035" s="113"/>
      <c r="GL1035" s="113"/>
      <c r="GM1035" s="113"/>
      <c r="GN1035" s="113"/>
      <c r="GO1035" s="46">
        <v>0</v>
      </c>
      <c r="GP1035" s="113"/>
      <c r="GQ1035" s="113"/>
      <c r="GR1035" s="113"/>
      <c r="GS1035" s="113"/>
      <c r="GT1035" s="113"/>
      <c r="GU1035" s="46">
        <v>0</v>
      </c>
      <c r="GV1035" s="113"/>
      <c r="GW1035" s="113"/>
      <c r="GX1035" s="113"/>
      <c r="GY1035" s="113"/>
      <c r="GZ1035" s="113"/>
      <c r="HA1035" s="46">
        <v>0</v>
      </c>
      <c r="HB1035" s="113"/>
      <c r="HC1035" s="113"/>
      <c r="HD1035" s="113"/>
      <c r="HE1035" s="113"/>
      <c r="HF1035" s="113"/>
      <c r="HG1035" s="46">
        <v>0</v>
      </c>
      <c r="HH1035" s="113"/>
      <c r="HI1035" s="113"/>
      <c r="HJ1035" s="113"/>
      <c r="HK1035" s="113"/>
      <c r="HL1035" s="113"/>
      <c r="HM1035" s="121"/>
      <c r="HN1035" s="121"/>
      <c r="LM1035" t="str">
        <v/>
      </c>
      <c r="LN1035" t="str">
        <v/>
      </c>
      <c r="LO1035" t="str">
        <v/>
      </c>
    </row>
    <row r="1036" spans="30:327">
      <c r="AD1036" t="s">
        <v>114</v>
      </c>
      <c r="AE1036" t="s">
        <v>19750</v>
      </c>
      <c r="AF1036" s="46">
        <v>0</v>
      </c>
      <c r="AG1036" s="113"/>
      <c r="AH1036" s="113"/>
      <c r="AI1036" s="113"/>
      <c r="AJ1036" s="113"/>
      <c r="AK1036" s="113"/>
      <c r="AL1036" s="46">
        <v>0</v>
      </c>
      <c r="AM1036" s="113"/>
      <c r="AN1036" s="113"/>
      <c r="AO1036" s="113"/>
      <c r="AP1036" s="113"/>
      <c r="AQ1036" s="113"/>
      <c r="AR1036" s="46">
        <v>0</v>
      </c>
      <c r="AS1036" s="113"/>
      <c r="AT1036" s="113"/>
      <c r="AU1036" s="113"/>
      <c r="AV1036" s="113"/>
      <c r="AW1036" s="113"/>
      <c r="AX1036" s="46">
        <v>0</v>
      </c>
      <c r="AY1036" s="113"/>
      <c r="AZ1036" s="113"/>
      <c r="BA1036" s="113"/>
      <c r="BB1036" s="113"/>
      <c r="BC1036" s="113"/>
      <c r="BD1036" s="46">
        <v>0</v>
      </c>
      <c r="BE1036" s="113"/>
      <c r="BF1036" s="113"/>
      <c r="BG1036" s="113"/>
      <c r="BH1036" s="113"/>
      <c r="BI1036" s="113"/>
      <c r="BJ1036" s="46">
        <v>0</v>
      </c>
      <c r="BK1036" s="113"/>
      <c r="BL1036" s="113"/>
      <c r="BM1036" s="113"/>
      <c r="BN1036" s="113"/>
      <c r="BO1036" s="113"/>
      <c r="BP1036" s="121"/>
      <c r="BQ1036" s="121"/>
      <c r="GA1036" t="s">
        <v>114</v>
      </c>
      <c r="GB1036" t="s">
        <v>19750</v>
      </c>
      <c r="GC1036" s="46">
        <v>0</v>
      </c>
      <c r="GD1036" s="113"/>
      <c r="GE1036" s="113"/>
      <c r="GF1036" s="113"/>
      <c r="GG1036" s="113"/>
      <c r="GH1036" s="113"/>
      <c r="GI1036" s="46">
        <v>0</v>
      </c>
      <c r="GJ1036" s="113"/>
      <c r="GK1036" s="113"/>
      <c r="GL1036" s="113"/>
      <c r="GM1036" s="113"/>
      <c r="GN1036" s="113"/>
      <c r="GO1036" s="46">
        <v>0</v>
      </c>
      <c r="GP1036" s="113"/>
      <c r="GQ1036" s="113"/>
      <c r="GR1036" s="113"/>
      <c r="GS1036" s="113"/>
      <c r="GT1036" s="113"/>
      <c r="GU1036" s="46">
        <v>0</v>
      </c>
      <c r="GV1036" s="113"/>
      <c r="GW1036" s="113"/>
      <c r="GX1036" s="113"/>
      <c r="GY1036" s="113"/>
      <c r="GZ1036" s="113"/>
      <c r="HA1036" s="46">
        <v>0</v>
      </c>
      <c r="HB1036" s="113"/>
      <c r="HC1036" s="113"/>
      <c r="HD1036" s="113"/>
      <c r="HE1036" s="113"/>
      <c r="HF1036" s="113"/>
      <c r="HG1036" s="46">
        <v>0</v>
      </c>
      <c r="HH1036" s="113"/>
      <c r="HI1036" s="113"/>
      <c r="HJ1036" s="113"/>
      <c r="HK1036" s="113"/>
      <c r="HL1036" s="113"/>
      <c r="HM1036" s="121"/>
      <c r="HN1036" s="121"/>
      <c r="LM1036" t="str">
        <v/>
      </c>
      <c r="LN1036" t="str">
        <v/>
      </c>
      <c r="LO1036" t="str">
        <v/>
      </c>
    </row>
    <row r="1037" spans="30:327">
      <c r="AD1037" t="s">
        <v>114</v>
      </c>
      <c r="AE1037" t="s">
        <v>19751</v>
      </c>
      <c r="AF1037" s="46">
        <v>0</v>
      </c>
      <c r="AG1037" s="113"/>
      <c r="AH1037" s="113"/>
      <c r="AI1037" s="113"/>
      <c r="AJ1037" s="113"/>
      <c r="AK1037" s="113"/>
      <c r="AL1037" s="46">
        <v>0</v>
      </c>
      <c r="AM1037" s="113"/>
      <c r="AN1037" s="113"/>
      <c r="AO1037" s="113"/>
      <c r="AP1037" s="113"/>
      <c r="AQ1037" s="113"/>
      <c r="AR1037" s="46">
        <v>0</v>
      </c>
      <c r="AS1037" s="113"/>
      <c r="AT1037" s="113"/>
      <c r="AU1037" s="113"/>
      <c r="AV1037" s="113"/>
      <c r="AW1037" s="113"/>
      <c r="AX1037" s="46">
        <v>0</v>
      </c>
      <c r="AY1037" s="113"/>
      <c r="AZ1037" s="113"/>
      <c r="BA1037" s="113"/>
      <c r="BB1037" s="113"/>
      <c r="BC1037" s="113"/>
      <c r="BD1037" s="46">
        <v>0</v>
      </c>
      <c r="BE1037" s="113"/>
      <c r="BF1037" s="113"/>
      <c r="BG1037" s="113"/>
      <c r="BH1037" s="113"/>
      <c r="BI1037" s="113"/>
      <c r="BJ1037" s="46">
        <v>0</v>
      </c>
      <c r="BK1037" s="113"/>
      <c r="BL1037" s="113"/>
      <c r="BM1037" s="113"/>
      <c r="BN1037" s="113"/>
      <c r="BO1037" s="113"/>
      <c r="BP1037" s="121"/>
      <c r="BQ1037" s="121"/>
      <c r="GA1037" t="s">
        <v>114</v>
      </c>
      <c r="GB1037" t="s">
        <v>19751</v>
      </c>
      <c r="GC1037" s="46">
        <v>0</v>
      </c>
      <c r="GD1037" s="113"/>
      <c r="GE1037" s="113"/>
      <c r="GF1037" s="113"/>
      <c r="GG1037" s="113"/>
      <c r="GH1037" s="113"/>
      <c r="GI1037" s="46">
        <v>0</v>
      </c>
      <c r="GJ1037" s="113"/>
      <c r="GK1037" s="113"/>
      <c r="GL1037" s="113"/>
      <c r="GM1037" s="113"/>
      <c r="GN1037" s="113"/>
      <c r="GO1037" s="46">
        <v>0</v>
      </c>
      <c r="GP1037" s="113"/>
      <c r="GQ1037" s="113"/>
      <c r="GR1037" s="113"/>
      <c r="GS1037" s="113"/>
      <c r="GT1037" s="113"/>
      <c r="GU1037" s="46">
        <v>0</v>
      </c>
      <c r="GV1037" s="113"/>
      <c r="GW1037" s="113"/>
      <c r="GX1037" s="113"/>
      <c r="GY1037" s="113"/>
      <c r="GZ1037" s="113"/>
      <c r="HA1037" s="46">
        <v>0</v>
      </c>
      <c r="HB1037" s="113"/>
      <c r="HC1037" s="113"/>
      <c r="HD1037" s="113"/>
      <c r="HE1037" s="113"/>
      <c r="HF1037" s="113"/>
      <c r="HG1037" s="46">
        <v>0</v>
      </c>
      <c r="HH1037" s="113"/>
      <c r="HI1037" s="113"/>
      <c r="HJ1037" s="113"/>
      <c r="HK1037" s="113"/>
      <c r="HL1037" s="113"/>
      <c r="HM1037" s="121"/>
      <c r="HN1037" s="121"/>
      <c r="LM1037" t="str">
        <v/>
      </c>
      <c r="LN1037" t="str">
        <v/>
      </c>
      <c r="LO1037" t="str">
        <v/>
      </c>
    </row>
    <row r="1038" spans="30:327">
      <c r="AD1038" t="s">
        <v>114</v>
      </c>
      <c r="AE1038" t="s">
        <v>19752</v>
      </c>
      <c r="AF1038" s="46">
        <v>0</v>
      </c>
      <c r="AG1038" s="113"/>
      <c r="AH1038" s="113"/>
      <c r="AI1038" s="113"/>
      <c r="AJ1038" s="113"/>
      <c r="AK1038" s="113"/>
      <c r="AL1038" s="46">
        <v>0</v>
      </c>
      <c r="AM1038" s="113"/>
      <c r="AN1038" s="113"/>
      <c r="AO1038" s="113"/>
      <c r="AP1038" s="113"/>
      <c r="AQ1038" s="113"/>
      <c r="AR1038" s="46">
        <v>0</v>
      </c>
      <c r="AS1038" s="113"/>
      <c r="AT1038" s="113"/>
      <c r="AU1038" s="113"/>
      <c r="AV1038" s="113"/>
      <c r="AW1038" s="113"/>
      <c r="AX1038" s="46">
        <v>0</v>
      </c>
      <c r="AY1038" s="113"/>
      <c r="AZ1038" s="113"/>
      <c r="BA1038" s="113"/>
      <c r="BB1038" s="113"/>
      <c r="BC1038" s="113"/>
      <c r="BD1038" s="46">
        <v>0</v>
      </c>
      <c r="BE1038" s="113"/>
      <c r="BF1038" s="113"/>
      <c r="BG1038" s="113"/>
      <c r="BH1038" s="113"/>
      <c r="BI1038" s="113"/>
      <c r="BJ1038" s="46">
        <v>0</v>
      </c>
      <c r="BK1038" s="113"/>
      <c r="BL1038" s="113"/>
      <c r="BM1038" s="113"/>
      <c r="BN1038" s="113"/>
      <c r="BO1038" s="113"/>
      <c r="BP1038" s="121"/>
      <c r="BQ1038" s="121"/>
      <c r="GA1038" t="s">
        <v>114</v>
      </c>
      <c r="GB1038" t="s">
        <v>19752</v>
      </c>
      <c r="GC1038" s="46">
        <v>0</v>
      </c>
      <c r="GD1038" s="113"/>
      <c r="GE1038" s="113"/>
      <c r="GF1038" s="113"/>
      <c r="GG1038" s="113"/>
      <c r="GH1038" s="113"/>
      <c r="GI1038" s="46">
        <v>0</v>
      </c>
      <c r="GJ1038" s="113"/>
      <c r="GK1038" s="113"/>
      <c r="GL1038" s="113"/>
      <c r="GM1038" s="113"/>
      <c r="GN1038" s="113"/>
      <c r="GO1038" s="46">
        <v>0</v>
      </c>
      <c r="GP1038" s="113"/>
      <c r="GQ1038" s="113"/>
      <c r="GR1038" s="113"/>
      <c r="GS1038" s="113"/>
      <c r="GT1038" s="113"/>
      <c r="GU1038" s="46">
        <v>0</v>
      </c>
      <c r="GV1038" s="113"/>
      <c r="GW1038" s="113"/>
      <c r="GX1038" s="113"/>
      <c r="GY1038" s="113"/>
      <c r="GZ1038" s="113"/>
      <c r="HA1038" s="46">
        <v>0</v>
      </c>
      <c r="HB1038" s="113"/>
      <c r="HC1038" s="113"/>
      <c r="HD1038" s="113"/>
      <c r="HE1038" s="113"/>
      <c r="HF1038" s="113"/>
      <c r="HG1038" s="46">
        <v>0</v>
      </c>
      <c r="HH1038" s="113"/>
      <c r="HI1038" s="113"/>
      <c r="HJ1038" s="113"/>
      <c r="HK1038" s="113"/>
      <c r="HL1038" s="113"/>
      <c r="HM1038" s="121"/>
      <c r="HN1038" s="121"/>
      <c r="LM1038" t="str">
        <v/>
      </c>
      <c r="LN1038" t="str">
        <v/>
      </c>
      <c r="LO1038" t="str">
        <v/>
      </c>
    </row>
    <row r="1039" spans="30:327">
      <c r="AD1039" t="s">
        <v>114</v>
      </c>
      <c r="AE1039" t="s">
        <v>19753</v>
      </c>
      <c r="AF1039" s="46">
        <v>0</v>
      </c>
      <c r="AG1039" s="113"/>
      <c r="AH1039" s="113"/>
      <c r="AI1039" s="113"/>
      <c r="AJ1039" s="113"/>
      <c r="AK1039" s="113"/>
      <c r="AL1039" s="46">
        <v>0</v>
      </c>
      <c r="AM1039" s="113"/>
      <c r="AN1039" s="113"/>
      <c r="AO1039" s="113"/>
      <c r="AP1039" s="113"/>
      <c r="AQ1039" s="113"/>
      <c r="AR1039" s="46">
        <v>0</v>
      </c>
      <c r="AS1039" s="113"/>
      <c r="AT1039" s="113"/>
      <c r="AU1039" s="113"/>
      <c r="AV1039" s="113"/>
      <c r="AW1039" s="113"/>
      <c r="AX1039" s="46">
        <v>0</v>
      </c>
      <c r="AY1039" s="113"/>
      <c r="AZ1039" s="113"/>
      <c r="BA1039" s="113"/>
      <c r="BB1039" s="113"/>
      <c r="BC1039" s="113"/>
      <c r="BD1039" s="46">
        <v>0</v>
      </c>
      <c r="BE1039" s="113"/>
      <c r="BF1039" s="113"/>
      <c r="BG1039" s="113"/>
      <c r="BH1039" s="113"/>
      <c r="BI1039" s="113"/>
      <c r="BJ1039" s="46">
        <v>0</v>
      </c>
      <c r="BK1039" s="113"/>
      <c r="BL1039" s="113"/>
      <c r="BM1039" s="113"/>
      <c r="BN1039" s="113"/>
      <c r="BO1039" s="113"/>
      <c r="BP1039" s="121"/>
      <c r="BQ1039" s="121"/>
      <c r="GA1039" t="s">
        <v>114</v>
      </c>
      <c r="GB1039" t="s">
        <v>19753</v>
      </c>
      <c r="GC1039" s="46">
        <v>0</v>
      </c>
      <c r="GD1039" s="113"/>
      <c r="GE1039" s="113"/>
      <c r="GF1039" s="113"/>
      <c r="GG1039" s="113"/>
      <c r="GH1039" s="113"/>
      <c r="GI1039" s="46">
        <v>0</v>
      </c>
      <c r="GJ1039" s="113"/>
      <c r="GK1039" s="113"/>
      <c r="GL1039" s="113"/>
      <c r="GM1039" s="113"/>
      <c r="GN1039" s="113"/>
      <c r="GO1039" s="46">
        <v>0</v>
      </c>
      <c r="GP1039" s="113"/>
      <c r="GQ1039" s="113"/>
      <c r="GR1039" s="113"/>
      <c r="GS1039" s="113"/>
      <c r="GT1039" s="113"/>
      <c r="GU1039" s="46">
        <v>0</v>
      </c>
      <c r="GV1039" s="113"/>
      <c r="GW1039" s="113"/>
      <c r="GX1039" s="113"/>
      <c r="GY1039" s="113"/>
      <c r="GZ1039" s="113"/>
      <c r="HA1039" s="46">
        <v>0</v>
      </c>
      <c r="HB1039" s="113"/>
      <c r="HC1039" s="113"/>
      <c r="HD1039" s="113"/>
      <c r="HE1039" s="113"/>
      <c r="HF1039" s="113"/>
      <c r="HG1039" s="46">
        <v>0</v>
      </c>
      <c r="HH1039" s="113"/>
      <c r="HI1039" s="113"/>
      <c r="HJ1039" s="113"/>
      <c r="HK1039" s="113"/>
      <c r="HL1039" s="113"/>
      <c r="HM1039" s="121"/>
      <c r="HN1039" s="121"/>
      <c r="LM1039" t="str">
        <v/>
      </c>
      <c r="LN1039" t="str">
        <v/>
      </c>
      <c r="LO1039" t="str">
        <v/>
      </c>
    </row>
    <row r="1040" spans="30:327">
      <c r="AD1040" t="s">
        <v>114</v>
      </c>
      <c r="AE1040" t="s">
        <v>19754</v>
      </c>
      <c r="AF1040" s="46">
        <v>0</v>
      </c>
      <c r="AG1040" s="113"/>
      <c r="AH1040" s="113"/>
      <c r="AI1040" s="113"/>
      <c r="AJ1040" s="113"/>
      <c r="AK1040" s="113"/>
      <c r="AL1040" s="46">
        <v>0</v>
      </c>
      <c r="AM1040" s="113"/>
      <c r="AN1040" s="113"/>
      <c r="AO1040" s="113"/>
      <c r="AP1040" s="113"/>
      <c r="AQ1040" s="113"/>
      <c r="AR1040" s="46">
        <v>0</v>
      </c>
      <c r="AS1040" s="113"/>
      <c r="AT1040" s="113"/>
      <c r="AU1040" s="113"/>
      <c r="AV1040" s="113"/>
      <c r="AW1040" s="113"/>
      <c r="AX1040" s="46">
        <v>0</v>
      </c>
      <c r="AY1040" s="113"/>
      <c r="AZ1040" s="113"/>
      <c r="BA1040" s="113"/>
      <c r="BB1040" s="113"/>
      <c r="BC1040" s="113"/>
      <c r="BD1040" s="46">
        <v>0</v>
      </c>
      <c r="BE1040" s="113"/>
      <c r="BF1040" s="113"/>
      <c r="BG1040" s="113"/>
      <c r="BH1040" s="113"/>
      <c r="BI1040" s="113"/>
      <c r="BJ1040" s="46">
        <v>0</v>
      </c>
      <c r="BK1040" s="113"/>
      <c r="BL1040" s="113"/>
      <c r="BM1040" s="113"/>
      <c r="BN1040" s="113"/>
      <c r="BO1040" s="113"/>
      <c r="BP1040" s="121"/>
      <c r="BQ1040" s="121"/>
      <c r="GA1040" t="s">
        <v>114</v>
      </c>
      <c r="GB1040" t="s">
        <v>19754</v>
      </c>
      <c r="GC1040" s="46">
        <v>0</v>
      </c>
      <c r="GD1040" s="113"/>
      <c r="GE1040" s="113"/>
      <c r="GF1040" s="113"/>
      <c r="GG1040" s="113"/>
      <c r="GH1040" s="113"/>
      <c r="GI1040" s="46">
        <v>0</v>
      </c>
      <c r="GJ1040" s="113"/>
      <c r="GK1040" s="113"/>
      <c r="GL1040" s="113"/>
      <c r="GM1040" s="113"/>
      <c r="GN1040" s="113"/>
      <c r="GO1040" s="46">
        <v>0</v>
      </c>
      <c r="GP1040" s="113"/>
      <c r="GQ1040" s="113"/>
      <c r="GR1040" s="113"/>
      <c r="GS1040" s="113"/>
      <c r="GT1040" s="113"/>
      <c r="GU1040" s="46">
        <v>0</v>
      </c>
      <c r="GV1040" s="113"/>
      <c r="GW1040" s="113"/>
      <c r="GX1040" s="113"/>
      <c r="GY1040" s="113"/>
      <c r="GZ1040" s="113"/>
      <c r="HA1040" s="46">
        <v>0</v>
      </c>
      <c r="HB1040" s="113"/>
      <c r="HC1040" s="113"/>
      <c r="HD1040" s="113"/>
      <c r="HE1040" s="113"/>
      <c r="HF1040" s="113"/>
      <c r="HG1040" s="46">
        <v>0</v>
      </c>
      <c r="HH1040" s="113"/>
      <c r="HI1040" s="113"/>
      <c r="HJ1040" s="113"/>
      <c r="HK1040" s="113"/>
      <c r="HL1040" s="113"/>
      <c r="HM1040" s="121"/>
      <c r="HN1040" s="121"/>
      <c r="LM1040" t="str">
        <v/>
      </c>
      <c r="LN1040" t="str">
        <v/>
      </c>
      <c r="LO1040" t="str">
        <v/>
      </c>
    </row>
    <row r="1041" spans="30:327">
      <c r="AD1041" t="s">
        <v>114</v>
      </c>
      <c r="AE1041" t="s">
        <v>19755</v>
      </c>
      <c r="AF1041" s="46">
        <v>0</v>
      </c>
      <c r="AG1041" s="113"/>
      <c r="AH1041" s="113"/>
      <c r="AI1041" s="113"/>
      <c r="AJ1041" s="113"/>
      <c r="AK1041" s="113"/>
      <c r="AL1041" s="46">
        <v>0</v>
      </c>
      <c r="AM1041" s="113"/>
      <c r="AN1041" s="113"/>
      <c r="AO1041" s="113"/>
      <c r="AP1041" s="113"/>
      <c r="AQ1041" s="113"/>
      <c r="AR1041" s="46">
        <v>0</v>
      </c>
      <c r="AS1041" s="113"/>
      <c r="AT1041" s="113"/>
      <c r="AU1041" s="113"/>
      <c r="AV1041" s="113"/>
      <c r="AW1041" s="113"/>
      <c r="AX1041" s="46">
        <v>0</v>
      </c>
      <c r="AY1041" s="113"/>
      <c r="AZ1041" s="113"/>
      <c r="BA1041" s="113"/>
      <c r="BB1041" s="113"/>
      <c r="BC1041" s="113"/>
      <c r="BD1041" s="46">
        <v>0</v>
      </c>
      <c r="BE1041" s="113"/>
      <c r="BF1041" s="113"/>
      <c r="BG1041" s="113"/>
      <c r="BH1041" s="113"/>
      <c r="BI1041" s="113"/>
      <c r="BJ1041" s="46">
        <v>0</v>
      </c>
      <c r="BK1041" s="113"/>
      <c r="BL1041" s="113"/>
      <c r="BM1041" s="113"/>
      <c r="BN1041" s="113"/>
      <c r="BO1041" s="113"/>
      <c r="BP1041" s="121"/>
      <c r="BQ1041" s="121"/>
      <c r="GA1041" t="s">
        <v>114</v>
      </c>
      <c r="GB1041" t="s">
        <v>19755</v>
      </c>
      <c r="GC1041" s="46">
        <v>0</v>
      </c>
      <c r="GD1041" s="113"/>
      <c r="GE1041" s="113"/>
      <c r="GF1041" s="113"/>
      <c r="GG1041" s="113"/>
      <c r="GH1041" s="113"/>
      <c r="GI1041" s="46">
        <v>0</v>
      </c>
      <c r="GJ1041" s="113"/>
      <c r="GK1041" s="113"/>
      <c r="GL1041" s="113"/>
      <c r="GM1041" s="113"/>
      <c r="GN1041" s="113"/>
      <c r="GO1041" s="46">
        <v>0</v>
      </c>
      <c r="GP1041" s="113"/>
      <c r="GQ1041" s="113"/>
      <c r="GR1041" s="113"/>
      <c r="GS1041" s="113"/>
      <c r="GT1041" s="113"/>
      <c r="GU1041" s="46">
        <v>0</v>
      </c>
      <c r="GV1041" s="113"/>
      <c r="GW1041" s="113"/>
      <c r="GX1041" s="113"/>
      <c r="GY1041" s="113"/>
      <c r="GZ1041" s="113"/>
      <c r="HA1041" s="46">
        <v>0</v>
      </c>
      <c r="HB1041" s="113"/>
      <c r="HC1041" s="113"/>
      <c r="HD1041" s="113"/>
      <c r="HE1041" s="113"/>
      <c r="HF1041" s="113"/>
      <c r="HG1041" s="46">
        <v>0</v>
      </c>
      <c r="HH1041" s="113"/>
      <c r="HI1041" s="113"/>
      <c r="HJ1041" s="113"/>
      <c r="HK1041" s="113"/>
      <c r="HL1041" s="113"/>
      <c r="HM1041" s="121"/>
      <c r="HN1041" s="121"/>
      <c r="LM1041" t="str">
        <v/>
      </c>
      <c r="LN1041" t="str">
        <v/>
      </c>
      <c r="LO1041" t="str">
        <v/>
      </c>
    </row>
    <row r="1042" spans="30:327">
      <c r="AD1042" t="s">
        <v>114</v>
      </c>
      <c r="AE1042" t="s">
        <v>19756</v>
      </c>
      <c r="AF1042" s="46">
        <v>0</v>
      </c>
      <c r="AG1042" s="113"/>
      <c r="AH1042" s="113"/>
      <c r="AI1042" s="113"/>
      <c r="AJ1042" s="113"/>
      <c r="AK1042" s="113"/>
      <c r="AL1042" s="46">
        <v>0</v>
      </c>
      <c r="AM1042" s="113"/>
      <c r="AN1042" s="113"/>
      <c r="AO1042" s="113"/>
      <c r="AP1042" s="113"/>
      <c r="AQ1042" s="113"/>
      <c r="AR1042" s="46">
        <v>0</v>
      </c>
      <c r="AS1042" s="113"/>
      <c r="AT1042" s="113"/>
      <c r="AU1042" s="113"/>
      <c r="AV1042" s="113"/>
      <c r="AW1042" s="113"/>
      <c r="AX1042" s="46">
        <v>0</v>
      </c>
      <c r="AY1042" s="113"/>
      <c r="AZ1042" s="113"/>
      <c r="BA1042" s="113"/>
      <c r="BB1042" s="113"/>
      <c r="BC1042" s="113"/>
      <c r="BD1042" s="46">
        <v>0</v>
      </c>
      <c r="BE1042" s="113"/>
      <c r="BF1042" s="113"/>
      <c r="BG1042" s="113"/>
      <c r="BH1042" s="113"/>
      <c r="BI1042" s="113"/>
      <c r="BJ1042" s="46">
        <v>0</v>
      </c>
      <c r="BK1042" s="113"/>
      <c r="BL1042" s="113"/>
      <c r="BM1042" s="113"/>
      <c r="BN1042" s="113"/>
      <c r="BO1042" s="113"/>
      <c r="BP1042" s="121"/>
      <c r="BQ1042" s="121"/>
      <c r="GA1042" t="s">
        <v>114</v>
      </c>
      <c r="GB1042" t="s">
        <v>19756</v>
      </c>
      <c r="GC1042" s="46">
        <v>0</v>
      </c>
      <c r="GD1042" s="113"/>
      <c r="GE1042" s="113"/>
      <c r="GF1042" s="113"/>
      <c r="GG1042" s="113"/>
      <c r="GH1042" s="113"/>
      <c r="GI1042" s="46">
        <v>0</v>
      </c>
      <c r="GJ1042" s="113"/>
      <c r="GK1042" s="113"/>
      <c r="GL1042" s="113"/>
      <c r="GM1042" s="113"/>
      <c r="GN1042" s="113"/>
      <c r="GO1042" s="46">
        <v>0</v>
      </c>
      <c r="GP1042" s="113"/>
      <c r="GQ1042" s="113"/>
      <c r="GR1042" s="113"/>
      <c r="GS1042" s="113"/>
      <c r="GT1042" s="113"/>
      <c r="GU1042" s="46">
        <v>0</v>
      </c>
      <c r="GV1042" s="113"/>
      <c r="GW1042" s="113"/>
      <c r="GX1042" s="113"/>
      <c r="GY1042" s="113"/>
      <c r="GZ1042" s="113"/>
      <c r="HA1042" s="46">
        <v>0</v>
      </c>
      <c r="HB1042" s="113"/>
      <c r="HC1042" s="113"/>
      <c r="HD1042" s="113"/>
      <c r="HE1042" s="113"/>
      <c r="HF1042" s="113"/>
      <c r="HG1042" s="46">
        <v>0</v>
      </c>
      <c r="HH1042" s="113"/>
      <c r="HI1042" s="113"/>
      <c r="HJ1042" s="113"/>
      <c r="HK1042" s="113"/>
      <c r="HL1042" s="113"/>
      <c r="HM1042" s="121"/>
      <c r="HN1042" s="121"/>
      <c r="LM1042" t="str">
        <v/>
      </c>
      <c r="LN1042" t="str">
        <v/>
      </c>
      <c r="LO1042" t="str">
        <v/>
      </c>
    </row>
    <row r="1043" spans="30:327">
      <c r="AD1043" t="s">
        <v>114</v>
      </c>
      <c r="AE1043" t="s">
        <v>19757</v>
      </c>
      <c r="AF1043" s="46">
        <v>0</v>
      </c>
      <c r="AG1043" s="113"/>
      <c r="AH1043" s="113"/>
      <c r="AI1043" s="113"/>
      <c r="AJ1043" s="113"/>
      <c r="AK1043" s="113"/>
      <c r="AL1043" s="46">
        <v>0</v>
      </c>
      <c r="AM1043" s="113"/>
      <c r="AN1043" s="113"/>
      <c r="AO1043" s="113"/>
      <c r="AP1043" s="113"/>
      <c r="AQ1043" s="113"/>
      <c r="AR1043" s="46">
        <v>0</v>
      </c>
      <c r="AS1043" s="113"/>
      <c r="AT1043" s="113"/>
      <c r="AU1043" s="113"/>
      <c r="AV1043" s="113"/>
      <c r="AW1043" s="113"/>
      <c r="AX1043" s="46">
        <v>0</v>
      </c>
      <c r="AY1043" s="113"/>
      <c r="AZ1043" s="113"/>
      <c r="BA1043" s="113"/>
      <c r="BB1043" s="113"/>
      <c r="BC1043" s="113"/>
      <c r="BD1043" s="46">
        <v>0</v>
      </c>
      <c r="BE1043" s="113"/>
      <c r="BF1043" s="113"/>
      <c r="BG1043" s="113"/>
      <c r="BH1043" s="113"/>
      <c r="BI1043" s="113"/>
      <c r="BJ1043" s="46">
        <v>0</v>
      </c>
      <c r="BK1043" s="113"/>
      <c r="BL1043" s="113"/>
      <c r="BM1043" s="113"/>
      <c r="BN1043" s="113"/>
      <c r="BO1043" s="113"/>
      <c r="BP1043" s="121"/>
      <c r="BQ1043" s="121"/>
      <c r="GA1043" t="s">
        <v>114</v>
      </c>
      <c r="GB1043" t="s">
        <v>19757</v>
      </c>
      <c r="GC1043" s="46">
        <v>0</v>
      </c>
      <c r="GD1043" s="113"/>
      <c r="GE1043" s="113"/>
      <c r="GF1043" s="113"/>
      <c r="GG1043" s="113"/>
      <c r="GH1043" s="113"/>
      <c r="GI1043" s="46">
        <v>0</v>
      </c>
      <c r="GJ1043" s="113"/>
      <c r="GK1043" s="113"/>
      <c r="GL1043" s="113"/>
      <c r="GM1043" s="113"/>
      <c r="GN1043" s="113"/>
      <c r="GO1043" s="46">
        <v>0</v>
      </c>
      <c r="GP1043" s="113"/>
      <c r="GQ1043" s="113"/>
      <c r="GR1043" s="113"/>
      <c r="GS1043" s="113"/>
      <c r="GT1043" s="113"/>
      <c r="GU1043" s="46">
        <v>0</v>
      </c>
      <c r="GV1043" s="113"/>
      <c r="GW1043" s="113"/>
      <c r="GX1043" s="113"/>
      <c r="GY1043" s="113"/>
      <c r="GZ1043" s="113"/>
      <c r="HA1043" s="46">
        <v>0</v>
      </c>
      <c r="HB1043" s="113"/>
      <c r="HC1043" s="113"/>
      <c r="HD1043" s="113"/>
      <c r="HE1043" s="113"/>
      <c r="HF1043" s="113"/>
      <c r="HG1043" s="46">
        <v>0</v>
      </c>
      <c r="HH1043" s="113"/>
      <c r="HI1043" s="113"/>
      <c r="HJ1043" s="113"/>
      <c r="HK1043" s="113"/>
      <c r="HL1043" s="113"/>
      <c r="HM1043" s="121"/>
      <c r="HN1043" s="121"/>
      <c r="LM1043" t="str">
        <v/>
      </c>
      <c r="LN1043" t="str">
        <v/>
      </c>
      <c r="LO1043" t="str">
        <v/>
      </c>
    </row>
    <row r="1044" spans="30:327">
      <c r="AD1044" t="s">
        <v>114</v>
      </c>
      <c r="AE1044" t="s">
        <v>19758</v>
      </c>
      <c r="AF1044" s="46">
        <v>0</v>
      </c>
      <c r="AG1044" s="113"/>
      <c r="AH1044" s="113"/>
      <c r="AI1044" s="113"/>
      <c r="AJ1044" s="113"/>
      <c r="AK1044" s="113"/>
      <c r="AL1044" s="46">
        <v>0</v>
      </c>
      <c r="AM1044" s="113"/>
      <c r="AN1044" s="113"/>
      <c r="AO1044" s="113"/>
      <c r="AP1044" s="113"/>
      <c r="AQ1044" s="113"/>
      <c r="AR1044" s="46">
        <v>0</v>
      </c>
      <c r="AS1044" s="113"/>
      <c r="AT1044" s="113"/>
      <c r="AU1044" s="113"/>
      <c r="AV1044" s="113"/>
      <c r="AW1044" s="113"/>
      <c r="AX1044" s="46">
        <v>0</v>
      </c>
      <c r="AY1044" s="113"/>
      <c r="AZ1044" s="113"/>
      <c r="BA1044" s="113"/>
      <c r="BB1044" s="113"/>
      <c r="BC1044" s="113"/>
      <c r="BD1044" s="46">
        <v>0</v>
      </c>
      <c r="BE1044" s="113"/>
      <c r="BF1044" s="113"/>
      <c r="BG1044" s="113"/>
      <c r="BH1044" s="113"/>
      <c r="BI1044" s="113"/>
      <c r="BJ1044" s="46">
        <v>0</v>
      </c>
      <c r="BK1044" s="113"/>
      <c r="BL1044" s="113"/>
      <c r="BM1044" s="113"/>
      <c r="BN1044" s="113"/>
      <c r="BO1044" s="113"/>
      <c r="BP1044" s="121"/>
      <c r="BQ1044" s="121"/>
      <c r="GA1044" t="s">
        <v>114</v>
      </c>
      <c r="GB1044" t="s">
        <v>19758</v>
      </c>
      <c r="GC1044" s="46">
        <v>0</v>
      </c>
      <c r="GD1044" s="113"/>
      <c r="GE1044" s="113"/>
      <c r="GF1044" s="113"/>
      <c r="GG1044" s="113"/>
      <c r="GH1044" s="113"/>
      <c r="GI1044" s="46">
        <v>0</v>
      </c>
      <c r="GJ1044" s="113"/>
      <c r="GK1044" s="113"/>
      <c r="GL1044" s="113"/>
      <c r="GM1044" s="113"/>
      <c r="GN1044" s="113"/>
      <c r="GO1044" s="46">
        <v>0</v>
      </c>
      <c r="GP1044" s="113"/>
      <c r="GQ1044" s="113"/>
      <c r="GR1044" s="113"/>
      <c r="GS1044" s="113"/>
      <c r="GT1044" s="113"/>
      <c r="GU1044" s="46">
        <v>0</v>
      </c>
      <c r="GV1044" s="113"/>
      <c r="GW1044" s="113"/>
      <c r="GX1044" s="113"/>
      <c r="GY1044" s="113"/>
      <c r="GZ1044" s="113"/>
      <c r="HA1044" s="46">
        <v>0</v>
      </c>
      <c r="HB1044" s="113"/>
      <c r="HC1044" s="113"/>
      <c r="HD1044" s="113"/>
      <c r="HE1044" s="113"/>
      <c r="HF1044" s="113"/>
      <c r="HG1044" s="46">
        <v>0</v>
      </c>
      <c r="HH1044" s="113"/>
      <c r="HI1044" s="113"/>
      <c r="HJ1044" s="113"/>
      <c r="HK1044" s="113"/>
      <c r="HL1044" s="113"/>
      <c r="HM1044" s="121"/>
      <c r="HN1044" s="121"/>
      <c r="LM1044" t="str">
        <v/>
      </c>
      <c r="LN1044" t="str">
        <v/>
      </c>
      <c r="LO1044" t="str">
        <v/>
      </c>
    </row>
    <row r="1045" spans="30:327">
      <c r="AD1045" t="s">
        <v>114</v>
      </c>
      <c r="AE1045" t="s">
        <v>19759</v>
      </c>
      <c r="AF1045" s="46">
        <v>0</v>
      </c>
      <c r="AG1045" s="113"/>
      <c r="AH1045" s="113"/>
      <c r="AI1045" s="113"/>
      <c r="AJ1045" s="113"/>
      <c r="AK1045" s="113"/>
      <c r="AL1045" s="46">
        <v>0</v>
      </c>
      <c r="AM1045" s="113"/>
      <c r="AN1045" s="113"/>
      <c r="AO1045" s="113"/>
      <c r="AP1045" s="113"/>
      <c r="AQ1045" s="113"/>
      <c r="AR1045" s="46">
        <v>0</v>
      </c>
      <c r="AS1045" s="113"/>
      <c r="AT1045" s="113"/>
      <c r="AU1045" s="113"/>
      <c r="AV1045" s="113"/>
      <c r="AW1045" s="113"/>
      <c r="AX1045" s="46">
        <v>0</v>
      </c>
      <c r="AY1045" s="113"/>
      <c r="AZ1045" s="113"/>
      <c r="BA1045" s="113"/>
      <c r="BB1045" s="113"/>
      <c r="BC1045" s="113"/>
      <c r="BD1045" s="46">
        <v>0</v>
      </c>
      <c r="BE1045" s="113"/>
      <c r="BF1045" s="113"/>
      <c r="BG1045" s="113"/>
      <c r="BH1045" s="113"/>
      <c r="BI1045" s="113"/>
      <c r="BJ1045" s="46">
        <v>0</v>
      </c>
      <c r="BK1045" s="113"/>
      <c r="BL1045" s="113"/>
      <c r="BM1045" s="113"/>
      <c r="BN1045" s="113"/>
      <c r="BO1045" s="113"/>
      <c r="BP1045" s="121"/>
      <c r="BQ1045" s="121"/>
      <c r="GA1045" t="s">
        <v>114</v>
      </c>
      <c r="GB1045" t="s">
        <v>19759</v>
      </c>
      <c r="GC1045" s="46">
        <v>0</v>
      </c>
      <c r="GD1045" s="113"/>
      <c r="GE1045" s="113"/>
      <c r="GF1045" s="113"/>
      <c r="GG1045" s="113"/>
      <c r="GH1045" s="113"/>
      <c r="GI1045" s="46">
        <v>0</v>
      </c>
      <c r="GJ1045" s="113"/>
      <c r="GK1045" s="113"/>
      <c r="GL1045" s="113"/>
      <c r="GM1045" s="113"/>
      <c r="GN1045" s="113"/>
      <c r="GO1045" s="46">
        <v>0</v>
      </c>
      <c r="GP1045" s="113"/>
      <c r="GQ1045" s="113"/>
      <c r="GR1045" s="113"/>
      <c r="GS1045" s="113"/>
      <c r="GT1045" s="113"/>
      <c r="GU1045" s="46">
        <v>0</v>
      </c>
      <c r="GV1045" s="113"/>
      <c r="GW1045" s="113"/>
      <c r="GX1045" s="113"/>
      <c r="GY1045" s="113"/>
      <c r="GZ1045" s="113"/>
      <c r="HA1045" s="46">
        <v>0</v>
      </c>
      <c r="HB1045" s="113"/>
      <c r="HC1045" s="113"/>
      <c r="HD1045" s="113"/>
      <c r="HE1045" s="113"/>
      <c r="HF1045" s="113"/>
      <c r="HG1045" s="46">
        <v>0</v>
      </c>
      <c r="HH1045" s="113"/>
      <c r="HI1045" s="113"/>
      <c r="HJ1045" s="113"/>
      <c r="HK1045" s="113"/>
      <c r="HL1045" s="113"/>
      <c r="HM1045" s="121"/>
      <c r="HN1045" s="121"/>
      <c r="LM1045" t="str">
        <v/>
      </c>
      <c r="LN1045" t="str">
        <v/>
      </c>
      <c r="LO1045" t="str">
        <v/>
      </c>
    </row>
    <row r="1046" spans="30:327">
      <c r="AD1046" t="s">
        <v>114</v>
      </c>
      <c r="AE1046" t="s">
        <v>16274</v>
      </c>
      <c r="AF1046" s="46">
        <v>0</v>
      </c>
      <c r="AG1046" s="113"/>
      <c r="AH1046" s="113"/>
      <c r="AI1046" s="113"/>
      <c r="AJ1046" s="113"/>
      <c r="AK1046" s="113"/>
      <c r="AL1046" s="46">
        <v>0</v>
      </c>
      <c r="AM1046" s="113"/>
      <c r="AN1046" s="113"/>
      <c r="AO1046" s="113"/>
      <c r="AP1046" s="113"/>
      <c r="AQ1046" s="113"/>
      <c r="AR1046" s="46">
        <v>0</v>
      </c>
      <c r="AS1046" s="113"/>
      <c r="AT1046" s="113"/>
      <c r="AU1046" s="113"/>
      <c r="AV1046" s="113"/>
      <c r="AW1046" s="113"/>
      <c r="AX1046" s="46">
        <v>0</v>
      </c>
      <c r="AY1046" s="113"/>
      <c r="AZ1046" s="113"/>
      <c r="BA1046" s="113"/>
      <c r="BB1046" s="113"/>
      <c r="BC1046" s="113"/>
      <c r="BD1046" s="46">
        <v>0</v>
      </c>
      <c r="BE1046" s="113"/>
      <c r="BF1046" s="113"/>
      <c r="BG1046" s="113"/>
      <c r="BH1046" s="113"/>
      <c r="BI1046" s="113"/>
      <c r="BJ1046" s="46">
        <v>0</v>
      </c>
      <c r="BK1046" s="113"/>
      <c r="BL1046" s="113"/>
      <c r="BM1046" s="113"/>
      <c r="BN1046" s="113"/>
      <c r="BO1046" s="113"/>
      <c r="BP1046" s="121"/>
      <c r="BQ1046" s="121"/>
      <c r="GA1046" t="s">
        <v>114</v>
      </c>
      <c r="GB1046" t="s">
        <v>16274</v>
      </c>
      <c r="GC1046" s="46">
        <v>0</v>
      </c>
      <c r="GD1046" s="113"/>
      <c r="GE1046" s="113"/>
      <c r="GF1046" s="113"/>
      <c r="GG1046" s="113"/>
      <c r="GH1046" s="113"/>
      <c r="GI1046" s="46">
        <v>0</v>
      </c>
      <c r="GJ1046" s="113"/>
      <c r="GK1046" s="113"/>
      <c r="GL1046" s="113"/>
      <c r="GM1046" s="113"/>
      <c r="GN1046" s="113"/>
      <c r="GO1046" s="46">
        <v>0</v>
      </c>
      <c r="GP1046" s="113"/>
      <c r="GQ1046" s="113"/>
      <c r="GR1046" s="113"/>
      <c r="GS1046" s="113"/>
      <c r="GT1046" s="113"/>
      <c r="GU1046" s="46">
        <v>0</v>
      </c>
      <c r="GV1046" s="113"/>
      <c r="GW1046" s="113"/>
      <c r="GX1046" s="113"/>
      <c r="GY1046" s="113"/>
      <c r="GZ1046" s="113"/>
      <c r="HA1046" s="46">
        <v>0</v>
      </c>
      <c r="HB1046" s="113"/>
      <c r="HC1046" s="113"/>
      <c r="HD1046" s="113"/>
      <c r="HE1046" s="113"/>
      <c r="HF1046" s="113"/>
      <c r="HG1046" s="46">
        <v>0</v>
      </c>
      <c r="HH1046" s="113"/>
      <c r="HI1046" s="113"/>
      <c r="HJ1046" s="113"/>
      <c r="HK1046" s="113"/>
      <c r="HL1046" s="113"/>
      <c r="HM1046" s="121"/>
      <c r="HN1046" s="121"/>
      <c r="LM1046" t="str">
        <v/>
      </c>
      <c r="LN1046" t="str">
        <v/>
      </c>
      <c r="LO1046" t="str">
        <v/>
      </c>
    </row>
    <row r="1047" spans="30:327">
      <c r="AD1047" t="s">
        <v>114</v>
      </c>
      <c r="AE1047" t="s">
        <v>16486</v>
      </c>
      <c r="AF1047" s="46">
        <v>0</v>
      </c>
      <c r="AG1047" s="113"/>
      <c r="AH1047" s="113"/>
      <c r="AI1047" s="113"/>
      <c r="AJ1047" s="113"/>
      <c r="AK1047" s="113"/>
      <c r="AL1047" s="46">
        <v>0</v>
      </c>
      <c r="AM1047" s="113"/>
      <c r="AN1047" s="113"/>
      <c r="AO1047" s="113"/>
      <c r="AP1047" s="113"/>
      <c r="AQ1047" s="113"/>
      <c r="AR1047" s="46">
        <v>0</v>
      </c>
      <c r="AS1047" s="113"/>
      <c r="AT1047" s="113"/>
      <c r="AU1047" s="113"/>
      <c r="AV1047" s="113"/>
      <c r="AW1047" s="113"/>
      <c r="AX1047" s="46">
        <v>0</v>
      </c>
      <c r="AY1047" s="113"/>
      <c r="AZ1047" s="113"/>
      <c r="BA1047" s="113"/>
      <c r="BB1047" s="113"/>
      <c r="BC1047" s="113"/>
      <c r="BD1047" s="46">
        <v>0</v>
      </c>
      <c r="BE1047" s="113"/>
      <c r="BF1047" s="113"/>
      <c r="BG1047" s="113"/>
      <c r="BH1047" s="113"/>
      <c r="BI1047" s="113"/>
      <c r="BJ1047" s="46">
        <v>0</v>
      </c>
      <c r="BK1047" s="113"/>
      <c r="BL1047" s="113"/>
      <c r="BM1047" s="113"/>
      <c r="BN1047" s="113"/>
      <c r="BO1047" s="113"/>
      <c r="BP1047" s="121"/>
      <c r="BQ1047" s="121"/>
      <c r="GA1047" t="s">
        <v>114</v>
      </c>
      <c r="GB1047" t="s">
        <v>16486</v>
      </c>
      <c r="GC1047" s="46">
        <v>0</v>
      </c>
      <c r="GD1047" s="113"/>
      <c r="GE1047" s="113"/>
      <c r="GF1047" s="113"/>
      <c r="GG1047" s="113"/>
      <c r="GH1047" s="113"/>
      <c r="GI1047" s="46">
        <v>0</v>
      </c>
      <c r="GJ1047" s="113"/>
      <c r="GK1047" s="113"/>
      <c r="GL1047" s="113"/>
      <c r="GM1047" s="113"/>
      <c r="GN1047" s="113"/>
      <c r="GO1047" s="46">
        <v>0</v>
      </c>
      <c r="GP1047" s="113"/>
      <c r="GQ1047" s="113"/>
      <c r="GR1047" s="113"/>
      <c r="GS1047" s="113"/>
      <c r="GT1047" s="113"/>
      <c r="GU1047" s="46">
        <v>0</v>
      </c>
      <c r="GV1047" s="113"/>
      <c r="GW1047" s="113"/>
      <c r="GX1047" s="113"/>
      <c r="GY1047" s="113"/>
      <c r="GZ1047" s="113"/>
      <c r="HA1047" s="46">
        <v>0</v>
      </c>
      <c r="HB1047" s="113"/>
      <c r="HC1047" s="113"/>
      <c r="HD1047" s="113"/>
      <c r="HE1047" s="113"/>
      <c r="HF1047" s="113"/>
      <c r="HG1047" s="46">
        <v>0</v>
      </c>
      <c r="HH1047" s="113"/>
      <c r="HI1047" s="113"/>
      <c r="HJ1047" s="113"/>
      <c r="HK1047" s="113"/>
      <c r="HL1047" s="113"/>
      <c r="HM1047" s="121"/>
      <c r="HN1047" s="121"/>
      <c r="LM1047" t="str">
        <v/>
      </c>
      <c r="LN1047" t="str">
        <v/>
      </c>
      <c r="LO1047" t="str">
        <v/>
      </c>
    </row>
    <row r="1048" spans="30:327">
      <c r="AD1048" t="s">
        <v>114</v>
      </c>
      <c r="AE1048" t="s">
        <v>16487</v>
      </c>
      <c r="AF1048" s="46">
        <v>0</v>
      </c>
      <c r="AG1048" s="113"/>
      <c r="AH1048" s="113"/>
      <c r="AI1048" s="113"/>
      <c r="AJ1048" s="113"/>
      <c r="AK1048" s="113"/>
      <c r="AL1048" s="46">
        <v>0</v>
      </c>
      <c r="AM1048" s="113"/>
      <c r="AN1048" s="113"/>
      <c r="AO1048" s="113"/>
      <c r="AP1048" s="113"/>
      <c r="AQ1048" s="113"/>
      <c r="AR1048" s="46">
        <v>0</v>
      </c>
      <c r="AS1048" s="113"/>
      <c r="AT1048" s="113"/>
      <c r="AU1048" s="113"/>
      <c r="AV1048" s="113"/>
      <c r="AW1048" s="113"/>
      <c r="AX1048" s="46">
        <v>0</v>
      </c>
      <c r="AY1048" s="113"/>
      <c r="AZ1048" s="113"/>
      <c r="BA1048" s="113"/>
      <c r="BB1048" s="113"/>
      <c r="BC1048" s="113"/>
      <c r="BD1048" s="46">
        <v>0</v>
      </c>
      <c r="BE1048" s="113"/>
      <c r="BF1048" s="113"/>
      <c r="BG1048" s="113"/>
      <c r="BH1048" s="113"/>
      <c r="BI1048" s="113"/>
      <c r="BJ1048" s="46">
        <v>0</v>
      </c>
      <c r="BK1048" s="113"/>
      <c r="BL1048" s="113"/>
      <c r="BM1048" s="113"/>
      <c r="BN1048" s="113"/>
      <c r="BO1048" s="113"/>
      <c r="BP1048" s="121"/>
      <c r="BQ1048" s="121"/>
      <c r="GA1048" t="s">
        <v>114</v>
      </c>
      <c r="GB1048" t="s">
        <v>16487</v>
      </c>
      <c r="GC1048" s="46">
        <v>0</v>
      </c>
      <c r="GD1048" s="113"/>
      <c r="GE1048" s="113"/>
      <c r="GF1048" s="113"/>
      <c r="GG1048" s="113"/>
      <c r="GH1048" s="113"/>
      <c r="GI1048" s="46">
        <v>0</v>
      </c>
      <c r="GJ1048" s="113"/>
      <c r="GK1048" s="113"/>
      <c r="GL1048" s="113"/>
      <c r="GM1048" s="113"/>
      <c r="GN1048" s="113"/>
      <c r="GO1048" s="46">
        <v>0</v>
      </c>
      <c r="GP1048" s="113"/>
      <c r="GQ1048" s="113"/>
      <c r="GR1048" s="113"/>
      <c r="GS1048" s="113"/>
      <c r="GT1048" s="113"/>
      <c r="GU1048" s="46">
        <v>0</v>
      </c>
      <c r="GV1048" s="113"/>
      <c r="GW1048" s="113"/>
      <c r="GX1048" s="113"/>
      <c r="GY1048" s="113"/>
      <c r="GZ1048" s="113"/>
      <c r="HA1048" s="46">
        <v>0</v>
      </c>
      <c r="HB1048" s="113"/>
      <c r="HC1048" s="113"/>
      <c r="HD1048" s="113"/>
      <c r="HE1048" s="113"/>
      <c r="HF1048" s="113"/>
      <c r="HG1048" s="46">
        <v>0</v>
      </c>
      <c r="HH1048" s="113"/>
      <c r="HI1048" s="113"/>
      <c r="HJ1048" s="113"/>
      <c r="HK1048" s="113"/>
      <c r="HL1048" s="113"/>
      <c r="HM1048" s="121"/>
      <c r="HN1048" s="121"/>
      <c r="LM1048" t="str">
        <v/>
      </c>
      <c r="LN1048" t="str">
        <v/>
      </c>
      <c r="LO1048" t="str">
        <v/>
      </c>
    </row>
    <row r="1049" spans="30:327">
      <c r="AD1049" t="s">
        <v>114</v>
      </c>
      <c r="AE1049" t="s">
        <v>16488</v>
      </c>
      <c r="AF1049" s="46">
        <v>0</v>
      </c>
      <c r="AG1049" s="113"/>
      <c r="AH1049" s="113"/>
      <c r="AI1049" s="113"/>
      <c r="AJ1049" s="113"/>
      <c r="AK1049" s="113"/>
      <c r="AL1049" s="46">
        <v>0</v>
      </c>
      <c r="AM1049" s="113"/>
      <c r="AN1049" s="113"/>
      <c r="AO1049" s="113"/>
      <c r="AP1049" s="113"/>
      <c r="AQ1049" s="113"/>
      <c r="AR1049" s="46">
        <v>0</v>
      </c>
      <c r="AS1049" s="113"/>
      <c r="AT1049" s="113"/>
      <c r="AU1049" s="113"/>
      <c r="AV1049" s="113"/>
      <c r="AW1049" s="113"/>
      <c r="AX1049" s="46">
        <v>0</v>
      </c>
      <c r="AY1049" s="113"/>
      <c r="AZ1049" s="113"/>
      <c r="BA1049" s="113"/>
      <c r="BB1049" s="113"/>
      <c r="BC1049" s="113"/>
      <c r="BD1049" s="46">
        <v>0</v>
      </c>
      <c r="BE1049" s="113"/>
      <c r="BF1049" s="113"/>
      <c r="BG1049" s="113"/>
      <c r="BH1049" s="113"/>
      <c r="BI1049" s="113"/>
      <c r="BJ1049" s="46">
        <v>0</v>
      </c>
      <c r="BK1049" s="113"/>
      <c r="BL1049" s="113"/>
      <c r="BM1049" s="113"/>
      <c r="BN1049" s="113"/>
      <c r="BO1049" s="113"/>
      <c r="BP1049" s="121"/>
      <c r="BQ1049" s="121"/>
      <c r="GA1049" t="s">
        <v>114</v>
      </c>
      <c r="GB1049" t="s">
        <v>16488</v>
      </c>
      <c r="GC1049" s="46">
        <v>0</v>
      </c>
      <c r="GD1049" s="113"/>
      <c r="GE1049" s="113"/>
      <c r="GF1049" s="113"/>
      <c r="GG1049" s="113"/>
      <c r="GH1049" s="113"/>
      <c r="GI1049" s="46">
        <v>0</v>
      </c>
      <c r="GJ1049" s="113"/>
      <c r="GK1049" s="113"/>
      <c r="GL1049" s="113"/>
      <c r="GM1049" s="113"/>
      <c r="GN1049" s="113"/>
      <c r="GO1049" s="46">
        <v>0</v>
      </c>
      <c r="GP1049" s="113"/>
      <c r="GQ1049" s="113"/>
      <c r="GR1049" s="113"/>
      <c r="GS1049" s="113"/>
      <c r="GT1049" s="113"/>
      <c r="GU1049" s="46">
        <v>0</v>
      </c>
      <c r="GV1049" s="113"/>
      <c r="GW1049" s="113"/>
      <c r="GX1049" s="113"/>
      <c r="GY1049" s="113"/>
      <c r="GZ1049" s="113"/>
      <c r="HA1049" s="46">
        <v>0</v>
      </c>
      <c r="HB1049" s="113"/>
      <c r="HC1049" s="113"/>
      <c r="HD1049" s="113"/>
      <c r="HE1049" s="113"/>
      <c r="HF1049" s="113"/>
      <c r="HG1049" s="46">
        <v>0</v>
      </c>
      <c r="HH1049" s="113"/>
      <c r="HI1049" s="113"/>
      <c r="HJ1049" s="113"/>
      <c r="HK1049" s="113"/>
      <c r="HL1049" s="113"/>
      <c r="HM1049" s="121"/>
      <c r="HN1049" s="121"/>
      <c r="LM1049" t="str">
        <v/>
      </c>
      <c r="LN1049" t="str">
        <v/>
      </c>
      <c r="LO1049" t="str">
        <v/>
      </c>
    </row>
    <row r="1050" spans="30:327">
      <c r="AD1050" t="s">
        <v>114</v>
      </c>
      <c r="AE1050" t="s">
        <v>16491</v>
      </c>
      <c r="AF1050" s="46">
        <v>0</v>
      </c>
      <c r="AG1050" s="113"/>
      <c r="AH1050" s="113"/>
      <c r="AI1050" s="113"/>
      <c r="AJ1050" s="113"/>
      <c r="AK1050" s="113"/>
      <c r="AL1050" s="46">
        <v>0</v>
      </c>
      <c r="AM1050" s="113"/>
      <c r="AN1050" s="113"/>
      <c r="AO1050" s="113"/>
      <c r="AP1050" s="113"/>
      <c r="AQ1050" s="113"/>
      <c r="AR1050" s="46">
        <v>0</v>
      </c>
      <c r="AS1050" s="113"/>
      <c r="AT1050" s="113"/>
      <c r="AU1050" s="113"/>
      <c r="AV1050" s="113"/>
      <c r="AW1050" s="113"/>
      <c r="AX1050" s="46">
        <v>0</v>
      </c>
      <c r="AY1050" s="113"/>
      <c r="AZ1050" s="113"/>
      <c r="BA1050" s="113"/>
      <c r="BB1050" s="113"/>
      <c r="BC1050" s="113"/>
      <c r="BD1050" s="46">
        <v>0</v>
      </c>
      <c r="BE1050" s="113"/>
      <c r="BF1050" s="113"/>
      <c r="BG1050" s="113"/>
      <c r="BH1050" s="113"/>
      <c r="BI1050" s="113"/>
      <c r="BJ1050" s="46">
        <v>0</v>
      </c>
      <c r="BK1050" s="113"/>
      <c r="BL1050" s="113"/>
      <c r="BM1050" s="113"/>
      <c r="BN1050" s="113"/>
      <c r="BO1050" s="113"/>
      <c r="BP1050" s="121"/>
      <c r="BQ1050" s="121"/>
      <c r="GA1050" t="s">
        <v>114</v>
      </c>
      <c r="GB1050" t="s">
        <v>16491</v>
      </c>
      <c r="GC1050" s="46">
        <v>0</v>
      </c>
      <c r="GD1050" s="113"/>
      <c r="GE1050" s="113"/>
      <c r="GF1050" s="113"/>
      <c r="GG1050" s="113"/>
      <c r="GH1050" s="113"/>
      <c r="GI1050" s="46">
        <v>0</v>
      </c>
      <c r="GJ1050" s="113"/>
      <c r="GK1050" s="113"/>
      <c r="GL1050" s="113"/>
      <c r="GM1050" s="113"/>
      <c r="GN1050" s="113"/>
      <c r="GO1050" s="46">
        <v>0</v>
      </c>
      <c r="GP1050" s="113"/>
      <c r="GQ1050" s="113"/>
      <c r="GR1050" s="113"/>
      <c r="GS1050" s="113"/>
      <c r="GT1050" s="113"/>
      <c r="GU1050" s="46">
        <v>0</v>
      </c>
      <c r="GV1050" s="113"/>
      <c r="GW1050" s="113"/>
      <c r="GX1050" s="113"/>
      <c r="GY1050" s="113"/>
      <c r="GZ1050" s="113"/>
      <c r="HA1050" s="46">
        <v>0</v>
      </c>
      <c r="HB1050" s="113"/>
      <c r="HC1050" s="113"/>
      <c r="HD1050" s="113"/>
      <c r="HE1050" s="113"/>
      <c r="HF1050" s="113"/>
      <c r="HG1050" s="46">
        <v>0</v>
      </c>
      <c r="HH1050" s="113"/>
      <c r="HI1050" s="113"/>
      <c r="HJ1050" s="113"/>
      <c r="HK1050" s="113"/>
      <c r="HL1050" s="113"/>
      <c r="HM1050" s="121"/>
      <c r="HN1050" s="121"/>
      <c r="LM1050" t="str">
        <v/>
      </c>
      <c r="LN1050" t="str">
        <v/>
      </c>
      <c r="LO1050" t="str">
        <v/>
      </c>
    </row>
    <row r="1051" spans="30:327">
      <c r="AD1051" t="s">
        <v>114</v>
      </c>
      <c r="AE1051" t="s">
        <v>16492</v>
      </c>
      <c r="AF1051" s="46">
        <v>0</v>
      </c>
      <c r="AG1051" s="113"/>
      <c r="AH1051" s="113"/>
      <c r="AI1051" s="113"/>
      <c r="AJ1051" s="113"/>
      <c r="AK1051" s="113"/>
      <c r="AL1051" s="46">
        <v>0</v>
      </c>
      <c r="AM1051" s="113"/>
      <c r="AN1051" s="113"/>
      <c r="AO1051" s="113"/>
      <c r="AP1051" s="113"/>
      <c r="AQ1051" s="113"/>
      <c r="AR1051" s="46">
        <v>0</v>
      </c>
      <c r="AS1051" s="113"/>
      <c r="AT1051" s="113"/>
      <c r="AU1051" s="113"/>
      <c r="AV1051" s="113"/>
      <c r="AW1051" s="113"/>
      <c r="AX1051" s="46">
        <v>0</v>
      </c>
      <c r="AY1051" s="113"/>
      <c r="AZ1051" s="113"/>
      <c r="BA1051" s="113"/>
      <c r="BB1051" s="113"/>
      <c r="BC1051" s="113"/>
      <c r="BD1051" s="46">
        <v>0</v>
      </c>
      <c r="BE1051" s="113"/>
      <c r="BF1051" s="113"/>
      <c r="BG1051" s="113"/>
      <c r="BH1051" s="113"/>
      <c r="BI1051" s="113"/>
      <c r="BJ1051" s="46">
        <v>0</v>
      </c>
      <c r="BK1051" s="113"/>
      <c r="BL1051" s="113"/>
      <c r="BM1051" s="113"/>
      <c r="BN1051" s="113"/>
      <c r="BO1051" s="113"/>
      <c r="BP1051" s="121"/>
      <c r="BQ1051" s="121"/>
      <c r="GA1051" t="s">
        <v>114</v>
      </c>
      <c r="GB1051" t="s">
        <v>16492</v>
      </c>
      <c r="GC1051" s="46">
        <v>0</v>
      </c>
      <c r="GD1051" s="113"/>
      <c r="GE1051" s="113"/>
      <c r="GF1051" s="113"/>
      <c r="GG1051" s="113"/>
      <c r="GH1051" s="113"/>
      <c r="GI1051" s="46">
        <v>0</v>
      </c>
      <c r="GJ1051" s="113"/>
      <c r="GK1051" s="113"/>
      <c r="GL1051" s="113"/>
      <c r="GM1051" s="113"/>
      <c r="GN1051" s="113"/>
      <c r="GO1051" s="46">
        <v>0</v>
      </c>
      <c r="GP1051" s="113"/>
      <c r="GQ1051" s="113"/>
      <c r="GR1051" s="113"/>
      <c r="GS1051" s="113"/>
      <c r="GT1051" s="113"/>
      <c r="GU1051" s="46">
        <v>0</v>
      </c>
      <c r="GV1051" s="113"/>
      <c r="GW1051" s="113"/>
      <c r="GX1051" s="113"/>
      <c r="GY1051" s="113"/>
      <c r="GZ1051" s="113"/>
      <c r="HA1051" s="46">
        <v>0</v>
      </c>
      <c r="HB1051" s="113"/>
      <c r="HC1051" s="113"/>
      <c r="HD1051" s="113"/>
      <c r="HE1051" s="113"/>
      <c r="HF1051" s="113"/>
      <c r="HG1051" s="46">
        <v>0</v>
      </c>
      <c r="HH1051" s="113"/>
      <c r="HI1051" s="113"/>
      <c r="HJ1051" s="113"/>
      <c r="HK1051" s="113"/>
      <c r="HL1051" s="113"/>
      <c r="HM1051" s="121"/>
      <c r="HN1051" s="121"/>
      <c r="LM1051" t="str">
        <v/>
      </c>
      <c r="LN1051" t="str">
        <v/>
      </c>
      <c r="LO1051" t="str">
        <v/>
      </c>
    </row>
    <row r="1052" spans="30:327">
      <c r="AD1052" t="s">
        <v>114</v>
      </c>
      <c r="AE1052" t="s">
        <v>16493</v>
      </c>
      <c r="AF1052" s="46">
        <v>0</v>
      </c>
      <c r="AG1052" s="113"/>
      <c r="AH1052" s="113"/>
      <c r="AI1052" s="113"/>
      <c r="AJ1052" s="113"/>
      <c r="AK1052" s="113"/>
      <c r="AL1052" s="46">
        <v>0</v>
      </c>
      <c r="AM1052" s="113"/>
      <c r="AN1052" s="113"/>
      <c r="AO1052" s="113"/>
      <c r="AP1052" s="113"/>
      <c r="AQ1052" s="113"/>
      <c r="AR1052" s="46">
        <v>0</v>
      </c>
      <c r="AS1052" s="113"/>
      <c r="AT1052" s="113"/>
      <c r="AU1052" s="113"/>
      <c r="AV1052" s="113"/>
      <c r="AW1052" s="113"/>
      <c r="AX1052" s="46">
        <v>0</v>
      </c>
      <c r="AY1052" s="113"/>
      <c r="AZ1052" s="113"/>
      <c r="BA1052" s="113"/>
      <c r="BB1052" s="113"/>
      <c r="BC1052" s="113"/>
      <c r="BD1052" s="46">
        <v>0</v>
      </c>
      <c r="BE1052" s="113"/>
      <c r="BF1052" s="113"/>
      <c r="BG1052" s="113"/>
      <c r="BH1052" s="113"/>
      <c r="BI1052" s="113"/>
      <c r="BJ1052" s="46">
        <v>0</v>
      </c>
      <c r="BK1052" s="113"/>
      <c r="BL1052" s="113"/>
      <c r="BM1052" s="113"/>
      <c r="BN1052" s="113"/>
      <c r="BO1052" s="113"/>
      <c r="BP1052" s="121"/>
      <c r="BQ1052" s="121"/>
      <c r="GA1052" t="s">
        <v>114</v>
      </c>
      <c r="GB1052" t="s">
        <v>16493</v>
      </c>
      <c r="GC1052" s="46">
        <v>0</v>
      </c>
      <c r="GD1052" s="113"/>
      <c r="GE1052" s="113"/>
      <c r="GF1052" s="113"/>
      <c r="GG1052" s="113"/>
      <c r="GH1052" s="113"/>
      <c r="GI1052" s="46">
        <v>0</v>
      </c>
      <c r="GJ1052" s="113"/>
      <c r="GK1052" s="113"/>
      <c r="GL1052" s="113"/>
      <c r="GM1052" s="113"/>
      <c r="GN1052" s="113"/>
      <c r="GO1052" s="46">
        <v>0</v>
      </c>
      <c r="GP1052" s="113"/>
      <c r="GQ1052" s="113"/>
      <c r="GR1052" s="113"/>
      <c r="GS1052" s="113"/>
      <c r="GT1052" s="113"/>
      <c r="GU1052" s="46">
        <v>0</v>
      </c>
      <c r="GV1052" s="113"/>
      <c r="GW1052" s="113"/>
      <c r="GX1052" s="113"/>
      <c r="GY1052" s="113"/>
      <c r="GZ1052" s="113"/>
      <c r="HA1052" s="46">
        <v>0</v>
      </c>
      <c r="HB1052" s="113"/>
      <c r="HC1052" s="113"/>
      <c r="HD1052" s="113"/>
      <c r="HE1052" s="113"/>
      <c r="HF1052" s="113"/>
      <c r="HG1052" s="46">
        <v>0</v>
      </c>
      <c r="HH1052" s="113"/>
      <c r="HI1052" s="113"/>
      <c r="HJ1052" s="113"/>
      <c r="HK1052" s="113"/>
      <c r="HL1052" s="113"/>
      <c r="HM1052" s="121"/>
      <c r="HN1052" s="121"/>
      <c r="LM1052" t="str">
        <v/>
      </c>
      <c r="LN1052" t="str">
        <v/>
      </c>
      <c r="LO1052" t="str">
        <v/>
      </c>
    </row>
    <row r="1053" spans="30:327">
      <c r="AD1053" t="s">
        <v>114</v>
      </c>
      <c r="AE1053" t="s">
        <v>16494</v>
      </c>
      <c r="AF1053" s="46">
        <v>0</v>
      </c>
      <c r="AG1053" s="113"/>
      <c r="AH1053" s="113"/>
      <c r="AI1053" s="113"/>
      <c r="AJ1053" s="113"/>
      <c r="AK1053" s="113"/>
      <c r="AL1053" s="46">
        <v>0</v>
      </c>
      <c r="AM1053" s="113"/>
      <c r="AN1053" s="113"/>
      <c r="AO1053" s="113"/>
      <c r="AP1053" s="113"/>
      <c r="AQ1053" s="113"/>
      <c r="AR1053" s="46">
        <v>0</v>
      </c>
      <c r="AS1053" s="113"/>
      <c r="AT1053" s="113"/>
      <c r="AU1053" s="113"/>
      <c r="AV1053" s="113"/>
      <c r="AW1053" s="113"/>
      <c r="AX1053" s="46">
        <v>0</v>
      </c>
      <c r="AY1053" s="113"/>
      <c r="AZ1053" s="113"/>
      <c r="BA1053" s="113"/>
      <c r="BB1053" s="113"/>
      <c r="BC1053" s="113"/>
      <c r="BD1053" s="46">
        <v>0</v>
      </c>
      <c r="BE1053" s="113"/>
      <c r="BF1053" s="113"/>
      <c r="BG1053" s="113"/>
      <c r="BH1053" s="113"/>
      <c r="BI1053" s="113"/>
      <c r="BJ1053" s="46">
        <v>0</v>
      </c>
      <c r="BK1053" s="113"/>
      <c r="BL1053" s="113"/>
      <c r="BM1053" s="113"/>
      <c r="BN1053" s="113"/>
      <c r="BO1053" s="113"/>
      <c r="BP1053" s="121"/>
      <c r="BQ1053" s="121"/>
      <c r="GA1053" t="s">
        <v>114</v>
      </c>
      <c r="GB1053" t="s">
        <v>16494</v>
      </c>
      <c r="GC1053" s="46">
        <v>0</v>
      </c>
      <c r="GD1053" s="113"/>
      <c r="GE1053" s="113"/>
      <c r="GF1053" s="113"/>
      <c r="GG1053" s="113"/>
      <c r="GH1053" s="113"/>
      <c r="GI1053" s="46">
        <v>0</v>
      </c>
      <c r="GJ1053" s="113"/>
      <c r="GK1053" s="113"/>
      <c r="GL1053" s="113"/>
      <c r="GM1053" s="113"/>
      <c r="GN1053" s="113"/>
      <c r="GO1053" s="46">
        <v>0</v>
      </c>
      <c r="GP1053" s="113"/>
      <c r="GQ1053" s="113"/>
      <c r="GR1053" s="113"/>
      <c r="GS1053" s="113"/>
      <c r="GT1053" s="113"/>
      <c r="GU1053" s="46">
        <v>0</v>
      </c>
      <c r="GV1053" s="113"/>
      <c r="GW1053" s="113"/>
      <c r="GX1053" s="113"/>
      <c r="GY1053" s="113"/>
      <c r="GZ1053" s="113"/>
      <c r="HA1053" s="46">
        <v>0</v>
      </c>
      <c r="HB1053" s="113"/>
      <c r="HC1053" s="113"/>
      <c r="HD1053" s="113"/>
      <c r="HE1053" s="113"/>
      <c r="HF1053" s="113"/>
      <c r="HG1053" s="46">
        <v>0</v>
      </c>
      <c r="HH1053" s="113"/>
      <c r="HI1053" s="113"/>
      <c r="HJ1053" s="113"/>
      <c r="HK1053" s="113"/>
      <c r="HL1053" s="113"/>
      <c r="HM1053" s="121"/>
      <c r="HN1053" s="121"/>
      <c r="LM1053" t="str">
        <v/>
      </c>
      <c r="LN1053" t="str">
        <v/>
      </c>
      <c r="LO1053" t="str">
        <v/>
      </c>
    </row>
    <row r="1054" spans="30:327">
      <c r="AD1054" t="s">
        <v>114</v>
      </c>
      <c r="AE1054" t="s">
        <v>16495</v>
      </c>
      <c r="AF1054" s="46">
        <v>0</v>
      </c>
      <c r="AG1054" s="113"/>
      <c r="AH1054" s="113"/>
      <c r="AI1054" s="113"/>
      <c r="AJ1054" s="113"/>
      <c r="AK1054" s="113"/>
      <c r="AL1054" s="46">
        <v>0</v>
      </c>
      <c r="AM1054" s="113"/>
      <c r="AN1054" s="113"/>
      <c r="AO1054" s="113"/>
      <c r="AP1054" s="113"/>
      <c r="AQ1054" s="113"/>
      <c r="AR1054" s="46">
        <v>0</v>
      </c>
      <c r="AS1054" s="113"/>
      <c r="AT1054" s="113"/>
      <c r="AU1054" s="113"/>
      <c r="AV1054" s="113"/>
      <c r="AW1054" s="113"/>
      <c r="AX1054" s="46">
        <v>0</v>
      </c>
      <c r="AY1054" s="113"/>
      <c r="AZ1054" s="113"/>
      <c r="BA1054" s="113"/>
      <c r="BB1054" s="113"/>
      <c r="BC1054" s="113"/>
      <c r="BD1054" s="46">
        <v>0</v>
      </c>
      <c r="BE1054" s="113"/>
      <c r="BF1054" s="113"/>
      <c r="BG1054" s="113"/>
      <c r="BH1054" s="113"/>
      <c r="BI1054" s="113"/>
      <c r="BJ1054" s="46">
        <v>0</v>
      </c>
      <c r="BK1054" s="113"/>
      <c r="BL1054" s="113"/>
      <c r="BM1054" s="113"/>
      <c r="BN1054" s="113"/>
      <c r="BO1054" s="113"/>
      <c r="BP1054" s="121"/>
      <c r="BQ1054" s="121"/>
      <c r="GA1054" t="s">
        <v>114</v>
      </c>
      <c r="GB1054" t="s">
        <v>16495</v>
      </c>
      <c r="GC1054" s="46">
        <v>0</v>
      </c>
      <c r="GD1054" s="113"/>
      <c r="GE1054" s="113"/>
      <c r="GF1054" s="113"/>
      <c r="GG1054" s="113"/>
      <c r="GH1054" s="113"/>
      <c r="GI1054" s="46">
        <v>0</v>
      </c>
      <c r="GJ1054" s="113"/>
      <c r="GK1054" s="113"/>
      <c r="GL1054" s="113"/>
      <c r="GM1054" s="113"/>
      <c r="GN1054" s="113"/>
      <c r="GO1054" s="46">
        <v>0</v>
      </c>
      <c r="GP1054" s="113"/>
      <c r="GQ1054" s="113"/>
      <c r="GR1054" s="113"/>
      <c r="GS1054" s="113"/>
      <c r="GT1054" s="113"/>
      <c r="GU1054" s="46">
        <v>0</v>
      </c>
      <c r="GV1054" s="113"/>
      <c r="GW1054" s="113"/>
      <c r="GX1054" s="113"/>
      <c r="GY1054" s="113"/>
      <c r="GZ1054" s="113"/>
      <c r="HA1054" s="46">
        <v>0</v>
      </c>
      <c r="HB1054" s="113"/>
      <c r="HC1054" s="113"/>
      <c r="HD1054" s="113"/>
      <c r="HE1054" s="113"/>
      <c r="HF1054" s="113"/>
      <c r="HG1054" s="46">
        <v>0</v>
      </c>
      <c r="HH1054" s="113"/>
      <c r="HI1054" s="113"/>
      <c r="HJ1054" s="113"/>
      <c r="HK1054" s="113"/>
      <c r="HL1054" s="113"/>
      <c r="HM1054" s="121"/>
      <c r="HN1054" s="121"/>
      <c r="LM1054" t="str">
        <v/>
      </c>
      <c r="LN1054" t="str">
        <v/>
      </c>
      <c r="LO1054" t="str">
        <v/>
      </c>
    </row>
    <row r="1055" spans="30:327">
      <c r="AD1055" t="s">
        <v>114</v>
      </c>
      <c r="AE1055" t="s">
        <v>16496</v>
      </c>
      <c r="AF1055" s="46">
        <v>0</v>
      </c>
      <c r="AG1055" s="113"/>
      <c r="AH1055" s="113"/>
      <c r="AI1055" s="113"/>
      <c r="AJ1055" s="113"/>
      <c r="AK1055" s="113"/>
      <c r="AL1055" s="46">
        <v>0</v>
      </c>
      <c r="AM1055" s="113"/>
      <c r="AN1055" s="113"/>
      <c r="AO1055" s="113"/>
      <c r="AP1055" s="113"/>
      <c r="AQ1055" s="113"/>
      <c r="AR1055" s="46">
        <v>0</v>
      </c>
      <c r="AS1055" s="113"/>
      <c r="AT1055" s="113"/>
      <c r="AU1055" s="113"/>
      <c r="AV1055" s="113"/>
      <c r="AW1055" s="113"/>
      <c r="AX1055" s="46">
        <v>0</v>
      </c>
      <c r="AY1055" s="113"/>
      <c r="AZ1055" s="113"/>
      <c r="BA1055" s="113"/>
      <c r="BB1055" s="113"/>
      <c r="BC1055" s="113"/>
      <c r="BD1055" s="46">
        <v>0</v>
      </c>
      <c r="BE1055" s="113"/>
      <c r="BF1055" s="113"/>
      <c r="BG1055" s="113"/>
      <c r="BH1055" s="113"/>
      <c r="BI1055" s="113"/>
      <c r="BJ1055" s="46">
        <v>0</v>
      </c>
      <c r="BK1055" s="113"/>
      <c r="BL1055" s="113"/>
      <c r="BM1055" s="113"/>
      <c r="BN1055" s="113"/>
      <c r="BO1055" s="113"/>
      <c r="BP1055" s="121"/>
      <c r="BQ1055" s="121"/>
      <c r="GA1055" t="s">
        <v>114</v>
      </c>
      <c r="GB1055" t="s">
        <v>16496</v>
      </c>
      <c r="GC1055" s="46">
        <v>0</v>
      </c>
      <c r="GD1055" s="113"/>
      <c r="GE1055" s="113"/>
      <c r="GF1055" s="113"/>
      <c r="GG1055" s="113"/>
      <c r="GH1055" s="113"/>
      <c r="GI1055" s="46">
        <v>0</v>
      </c>
      <c r="GJ1055" s="113"/>
      <c r="GK1055" s="113"/>
      <c r="GL1055" s="113"/>
      <c r="GM1055" s="113"/>
      <c r="GN1055" s="113"/>
      <c r="GO1055" s="46">
        <v>0</v>
      </c>
      <c r="GP1055" s="113"/>
      <c r="GQ1055" s="113"/>
      <c r="GR1055" s="113"/>
      <c r="GS1055" s="113"/>
      <c r="GT1055" s="113"/>
      <c r="GU1055" s="46">
        <v>0</v>
      </c>
      <c r="GV1055" s="113"/>
      <c r="GW1055" s="113"/>
      <c r="GX1055" s="113"/>
      <c r="GY1055" s="113"/>
      <c r="GZ1055" s="113"/>
      <c r="HA1055" s="46">
        <v>0</v>
      </c>
      <c r="HB1055" s="113"/>
      <c r="HC1055" s="113"/>
      <c r="HD1055" s="113"/>
      <c r="HE1055" s="113"/>
      <c r="HF1055" s="113"/>
      <c r="HG1055" s="46">
        <v>0</v>
      </c>
      <c r="HH1055" s="113"/>
      <c r="HI1055" s="113"/>
      <c r="HJ1055" s="113"/>
      <c r="HK1055" s="113"/>
      <c r="HL1055" s="113"/>
      <c r="HM1055" s="121"/>
      <c r="HN1055" s="121"/>
      <c r="LM1055" t="str">
        <v/>
      </c>
      <c r="LN1055" t="str">
        <v/>
      </c>
      <c r="LO1055" t="str">
        <v/>
      </c>
    </row>
    <row r="1056" spans="30:327">
      <c r="AD1056" t="s">
        <v>114</v>
      </c>
      <c r="AE1056" t="s">
        <v>16497</v>
      </c>
      <c r="AF1056" s="46">
        <v>0</v>
      </c>
      <c r="AG1056" s="113"/>
      <c r="AH1056" s="113"/>
      <c r="AI1056" s="113"/>
      <c r="AJ1056" s="113"/>
      <c r="AK1056" s="113"/>
      <c r="AL1056" s="46">
        <v>0</v>
      </c>
      <c r="AM1056" s="113"/>
      <c r="AN1056" s="113"/>
      <c r="AO1056" s="113"/>
      <c r="AP1056" s="113"/>
      <c r="AQ1056" s="113"/>
      <c r="AR1056" s="46">
        <v>0</v>
      </c>
      <c r="AS1056" s="113"/>
      <c r="AT1056" s="113"/>
      <c r="AU1056" s="113"/>
      <c r="AV1056" s="113"/>
      <c r="AW1056" s="113"/>
      <c r="AX1056" s="46">
        <v>0</v>
      </c>
      <c r="AY1056" s="113"/>
      <c r="AZ1056" s="113"/>
      <c r="BA1056" s="113"/>
      <c r="BB1056" s="113"/>
      <c r="BC1056" s="113"/>
      <c r="BD1056" s="46">
        <v>0</v>
      </c>
      <c r="BE1056" s="113"/>
      <c r="BF1056" s="113"/>
      <c r="BG1056" s="113"/>
      <c r="BH1056" s="113"/>
      <c r="BI1056" s="113"/>
      <c r="BJ1056" s="46">
        <v>0</v>
      </c>
      <c r="BK1056" s="113"/>
      <c r="BL1056" s="113"/>
      <c r="BM1056" s="113"/>
      <c r="BN1056" s="113"/>
      <c r="BO1056" s="113"/>
      <c r="BP1056" s="121"/>
      <c r="BQ1056" s="121"/>
      <c r="GA1056" t="s">
        <v>114</v>
      </c>
      <c r="GB1056" t="s">
        <v>16497</v>
      </c>
      <c r="GC1056" s="46">
        <v>0</v>
      </c>
      <c r="GD1056" s="113"/>
      <c r="GE1056" s="113"/>
      <c r="GF1056" s="113"/>
      <c r="GG1056" s="113"/>
      <c r="GH1056" s="113"/>
      <c r="GI1056" s="46">
        <v>0</v>
      </c>
      <c r="GJ1056" s="113"/>
      <c r="GK1056" s="113"/>
      <c r="GL1056" s="113"/>
      <c r="GM1056" s="113"/>
      <c r="GN1056" s="113"/>
      <c r="GO1056" s="46">
        <v>0</v>
      </c>
      <c r="GP1056" s="113"/>
      <c r="GQ1056" s="113"/>
      <c r="GR1056" s="113"/>
      <c r="GS1056" s="113"/>
      <c r="GT1056" s="113"/>
      <c r="GU1056" s="46">
        <v>0</v>
      </c>
      <c r="GV1056" s="113"/>
      <c r="GW1056" s="113"/>
      <c r="GX1056" s="113"/>
      <c r="GY1056" s="113"/>
      <c r="GZ1056" s="113"/>
      <c r="HA1056" s="46">
        <v>0</v>
      </c>
      <c r="HB1056" s="113"/>
      <c r="HC1056" s="113"/>
      <c r="HD1056" s="113"/>
      <c r="HE1056" s="113"/>
      <c r="HF1056" s="113"/>
      <c r="HG1056" s="46">
        <v>0</v>
      </c>
      <c r="HH1056" s="113"/>
      <c r="HI1056" s="113"/>
      <c r="HJ1056" s="113"/>
      <c r="HK1056" s="113"/>
      <c r="HL1056" s="113"/>
      <c r="HM1056" s="121"/>
      <c r="HN1056" s="121"/>
      <c r="LM1056" t="str">
        <v/>
      </c>
      <c r="LN1056" t="str">
        <v/>
      </c>
      <c r="LO1056" t="str">
        <v/>
      </c>
    </row>
    <row r="1057" spans="30:327">
      <c r="AD1057" t="s">
        <v>114</v>
      </c>
      <c r="AE1057" t="s">
        <v>16498</v>
      </c>
      <c r="AF1057" s="46">
        <v>0</v>
      </c>
      <c r="AG1057" s="113"/>
      <c r="AH1057" s="113"/>
      <c r="AI1057" s="113"/>
      <c r="AJ1057" s="113"/>
      <c r="AK1057" s="113"/>
      <c r="AL1057" s="46">
        <v>0</v>
      </c>
      <c r="AM1057" s="113"/>
      <c r="AN1057" s="113"/>
      <c r="AO1057" s="113"/>
      <c r="AP1057" s="113"/>
      <c r="AQ1057" s="113"/>
      <c r="AR1057" s="46">
        <v>0</v>
      </c>
      <c r="AS1057" s="113"/>
      <c r="AT1057" s="113"/>
      <c r="AU1057" s="113"/>
      <c r="AV1057" s="113"/>
      <c r="AW1057" s="113"/>
      <c r="AX1057" s="46">
        <v>0</v>
      </c>
      <c r="AY1057" s="113"/>
      <c r="AZ1057" s="113"/>
      <c r="BA1057" s="113"/>
      <c r="BB1057" s="113"/>
      <c r="BC1057" s="113"/>
      <c r="BD1057" s="46">
        <v>0</v>
      </c>
      <c r="BE1057" s="113"/>
      <c r="BF1057" s="113"/>
      <c r="BG1057" s="113"/>
      <c r="BH1057" s="113"/>
      <c r="BI1057" s="113"/>
      <c r="BJ1057" s="46">
        <v>0</v>
      </c>
      <c r="BK1057" s="113"/>
      <c r="BL1057" s="113"/>
      <c r="BM1057" s="113"/>
      <c r="BN1057" s="113"/>
      <c r="BO1057" s="113"/>
      <c r="BP1057" s="121"/>
      <c r="BQ1057" s="121"/>
      <c r="GA1057" t="s">
        <v>114</v>
      </c>
      <c r="GB1057" t="s">
        <v>16498</v>
      </c>
      <c r="GC1057" s="46">
        <v>0</v>
      </c>
      <c r="GD1057" s="113"/>
      <c r="GE1057" s="113"/>
      <c r="GF1057" s="113"/>
      <c r="GG1057" s="113"/>
      <c r="GH1057" s="113"/>
      <c r="GI1057" s="46">
        <v>0</v>
      </c>
      <c r="GJ1057" s="113"/>
      <c r="GK1057" s="113"/>
      <c r="GL1057" s="113"/>
      <c r="GM1057" s="113"/>
      <c r="GN1057" s="113"/>
      <c r="GO1057" s="46">
        <v>0</v>
      </c>
      <c r="GP1057" s="113"/>
      <c r="GQ1057" s="113"/>
      <c r="GR1057" s="113"/>
      <c r="GS1057" s="113"/>
      <c r="GT1057" s="113"/>
      <c r="GU1057" s="46">
        <v>0</v>
      </c>
      <c r="GV1057" s="113"/>
      <c r="GW1057" s="113"/>
      <c r="GX1057" s="113"/>
      <c r="GY1057" s="113"/>
      <c r="GZ1057" s="113"/>
      <c r="HA1057" s="46">
        <v>0</v>
      </c>
      <c r="HB1057" s="113"/>
      <c r="HC1057" s="113"/>
      <c r="HD1057" s="113"/>
      <c r="HE1057" s="113"/>
      <c r="HF1057" s="113"/>
      <c r="HG1057" s="46">
        <v>0</v>
      </c>
      <c r="HH1057" s="113"/>
      <c r="HI1057" s="113"/>
      <c r="HJ1057" s="113"/>
      <c r="HK1057" s="113"/>
      <c r="HL1057" s="113"/>
      <c r="HM1057" s="121"/>
      <c r="HN1057" s="121"/>
      <c r="LM1057" t="str">
        <v/>
      </c>
      <c r="LN1057" t="str">
        <v/>
      </c>
      <c r="LO1057" t="str">
        <v/>
      </c>
    </row>
    <row r="1058" spans="30:327">
      <c r="AD1058" t="s">
        <v>114</v>
      </c>
      <c r="AE1058" t="s">
        <v>16499</v>
      </c>
      <c r="AF1058" s="46">
        <v>0</v>
      </c>
      <c r="AG1058" s="113"/>
      <c r="AH1058" s="113"/>
      <c r="AI1058" s="113"/>
      <c r="AJ1058" s="113"/>
      <c r="AK1058" s="113"/>
      <c r="AL1058" s="46">
        <v>0</v>
      </c>
      <c r="AM1058" s="113"/>
      <c r="AN1058" s="113"/>
      <c r="AO1058" s="113"/>
      <c r="AP1058" s="113"/>
      <c r="AQ1058" s="113"/>
      <c r="AR1058" s="46">
        <v>0</v>
      </c>
      <c r="AS1058" s="113"/>
      <c r="AT1058" s="113"/>
      <c r="AU1058" s="113"/>
      <c r="AV1058" s="113"/>
      <c r="AW1058" s="113"/>
      <c r="AX1058" s="46">
        <v>0</v>
      </c>
      <c r="AY1058" s="113"/>
      <c r="AZ1058" s="113"/>
      <c r="BA1058" s="113"/>
      <c r="BB1058" s="113"/>
      <c r="BC1058" s="113"/>
      <c r="BD1058" s="46">
        <v>0</v>
      </c>
      <c r="BE1058" s="113"/>
      <c r="BF1058" s="113"/>
      <c r="BG1058" s="113"/>
      <c r="BH1058" s="113"/>
      <c r="BI1058" s="113"/>
      <c r="BJ1058" s="46">
        <v>0</v>
      </c>
      <c r="BK1058" s="113"/>
      <c r="BL1058" s="113"/>
      <c r="BM1058" s="113"/>
      <c r="BN1058" s="113"/>
      <c r="BO1058" s="113"/>
      <c r="BP1058" s="121"/>
      <c r="BQ1058" s="121"/>
      <c r="GA1058" t="s">
        <v>114</v>
      </c>
      <c r="GB1058" t="s">
        <v>16499</v>
      </c>
      <c r="GC1058" s="46">
        <v>0</v>
      </c>
      <c r="GD1058" s="113"/>
      <c r="GE1058" s="113"/>
      <c r="GF1058" s="113"/>
      <c r="GG1058" s="113"/>
      <c r="GH1058" s="113"/>
      <c r="GI1058" s="46">
        <v>0</v>
      </c>
      <c r="GJ1058" s="113"/>
      <c r="GK1058" s="113"/>
      <c r="GL1058" s="113"/>
      <c r="GM1058" s="113"/>
      <c r="GN1058" s="113"/>
      <c r="GO1058" s="46">
        <v>0</v>
      </c>
      <c r="GP1058" s="113"/>
      <c r="GQ1058" s="113"/>
      <c r="GR1058" s="113"/>
      <c r="GS1058" s="113"/>
      <c r="GT1058" s="113"/>
      <c r="GU1058" s="46">
        <v>0</v>
      </c>
      <c r="GV1058" s="113"/>
      <c r="GW1058" s="113"/>
      <c r="GX1058" s="113"/>
      <c r="GY1058" s="113"/>
      <c r="GZ1058" s="113"/>
      <c r="HA1058" s="46">
        <v>0</v>
      </c>
      <c r="HB1058" s="113"/>
      <c r="HC1058" s="113"/>
      <c r="HD1058" s="113"/>
      <c r="HE1058" s="113"/>
      <c r="HF1058" s="113"/>
      <c r="HG1058" s="46">
        <v>0</v>
      </c>
      <c r="HH1058" s="113"/>
      <c r="HI1058" s="113"/>
      <c r="HJ1058" s="113"/>
      <c r="HK1058" s="113"/>
      <c r="HL1058" s="113"/>
      <c r="HM1058" s="121"/>
      <c r="HN1058" s="121"/>
      <c r="LM1058" t="str">
        <v/>
      </c>
      <c r="LN1058" t="str">
        <v/>
      </c>
      <c r="LO1058" t="str">
        <v/>
      </c>
    </row>
    <row r="1059" spans="30:327">
      <c r="AD1059" t="s">
        <v>114</v>
      </c>
      <c r="AE1059" t="s">
        <v>16500</v>
      </c>
      <c r="AF1059" s="46">
        <v>0</v>
      </c>
      <c r="AG1059" s="113"/>
      <c r="AH1059" s="113"/>
      <c r="AI1059" s="113"/>
      <c r="AJ1059" s="113"/>
      <c r="AK1059" s="113"/>
      <c r="AL1059" s="46">
        <v>0</v>
      </c>
      <c r="AM1059" s="113"/>
      <c r="AN1059" s="113"/>
      <c r="AO1059" s="113"/>
      <c r="AP1059" s="113"/>
      <c r="AQ1059" s="113"/>
      <c r="AR1059" s="46">
        <v>0</v>
      </c>
      <c r="AS1059" s="113"/>
      <c r="AT1059" s="113"/>
      <c r="AU1059" s="113"/>
      <c r="AV1059" s="113"/>
      <c r="AW1059" s="113"/>
      <c r="AX1059" s="46">
        <v>0</v>
      </c>
      <c r="AY1059" s="113"/>
      <c r="AZ1059" s="113"/>
      <c r="BA1059" s="113"/>
      <c r="BB1059" s="113"/>
      <c r="BC1059" s="113"/>
      <c r="BD1059" s="46">
        <v>0</v>
      </c>
      <c r="BE1059" s="113"/>
      <c r="BF1059" s="113"/>
      <c r="BG1059" s="113"/>
      <c r="BH1059" s="113"/>
      <c r="BI1059" s="113"/>
      <c r="BJ1059" s="46">
        <v>0</v>
      </c>
      <c r="BK1059" s="113"/>
      <c r="BL1059" s="113"/>
      <c r="BM1059" s="113"/>
      <c r="BN1059" s="113"/>
      <c r="BO1059" s="113"/>
      <c r="BP1059" s="121"/>
      <c r="BQ1059" s="121"/>
      <c r="GA1059" t="s">
        <v>114</v>
      </c>
      <c r="GB1059" t="s">
        <v>16500</v>
      </c>
      <c r="GC1059" s="46">
        <v>0</v>
      </c>
      <c r="GD1059" s="113"/>
      <c r="GE1059" s="113"/>
      <c r="GF1059" s="113"/>
      <c r="GG1059" s="113"/>
      <c r="GH1059" s="113"/>
      <c r="GI1059" s="46">
        <v>0</v>
      </c>
      <c r="GJ1059" s="113"/>
      <c r="GK1059" s="113"/>
      <c r="GL1059" s="113"/>
      <c r="GM1059" s="113"/>
      <c r="GN1059" s="113"/>
      <c r="GO1059" s="46">
        <v>0</v>
      </c>
      <c r="GP1059" s="113"/>
      <c r="GQ1059" s="113"/>
      <c r="GR1059" s="113"/>
      <c r="GS1059" s="113"/>
      <c r="GT1059" s="113"/>
      <c r="GU1059" s="46">
        <v>0</v>
      </c>
      <c r="GV1059" s="113"/>
      <c r="GW1059" s="113"/>
      <c r="GX1059" s="113"/>
      <c r="GY1059" s="113"/>
      <c r="GZ1059" s="113"/>
      <c r="HA1059" s="46">
        <v>0</v>
      </c>
      <c r="HB1059" s="113"/>
      <c r="HC1059" s="113"/>
      <c r="HD1059" s="113"/>
      <c r="HE1059" s="113"/>
      <c r="HF1059" s="113"/>
      <c r="HG1059" s="46">
        <v>0</v>
      </c>
      <c r="HH1059" s="113"/>
      <c r="HI1059" s="113"/>
      <c r="HJ1059" s="113"/>
      <c r="HK1059" s="113"/>
      <c r="HL1059" s="113"/>
      <c r="HM1059" s="121"/>
      <c r="HN1059" s="121"/>
      <c r="LM1059" t="str">
        <v/>
      </c>
      <c r="LN1059" t="str">
        <v/>
      </c>
      <c r="LO1059" t="str">
        <v/>
      </c>
    </row>
    <row r="1060" spans="30:327">
      <c r="AD1060" t="s">
        <v>114</v>
      </c>
      <c r="AE1060" t="s">
        <v>16501</v>
      </c>
      <c r="AF1060" s="46">
        <v>0</v>
      </c>
      <c r="AG1060" s="113"/>
      <c r="AH1060" s="113"/>
      <c r="AI1060" s="113"/>
      <c r="AJ1060" s="113"/>
      <c r="AK1060" s="113"/>
      <c r="AL1060" s="46">
        <v>0</v>
      </c>
      <c r="AM1060" s="113"/>
      <c r="AN1060" s="113"/>
      <c r="AO1060" s="113"/>
      <c r="AP1060" s="113"/>
      <c r="AQ1060" s="113"/>
      <c r="AR1060" s="46">
        <v>0</v>
      </c>
      <c r="AS1060" s="113"/>
      <c r="AT1060" s="113"/>
      <c r="AU1060" s="113"/>
      <c r="AV1060" s="113"/>
      <c r="AW1060" s="113"/>
      <c r="AX1060" s="46">
        <v>0</v>
      </c>
      <c r="AY1060" s="113"/>
      <c r="AZ1060" s="113"/>
      <c r="BA1060" s="113"/>
      <c r="BB1060" s="113"/>
      <c r="BC1060" s="113"/>
      <c r="BD1060" s="46">
        <v>0</v>
      </c>
      <c r="BE1060" s="113"/>
      <c r="BF1060" s="113"/>
      <c r="BG1060" s="113"/>
      <c r="BH1060" s="113"/>
      <c r="BI1060" s="113"/>
      <c r="BJ1060" s="46">
        <v>0</v>
      </c>
      <c r="BK1060" s="113"/>
      <c r="BL1060" s="113"/>
      <c r="BM1060" s="113"/>
      <c r="BN1060" s="113"/>
      <c r="BO1060" s="113"/>
      <c r="BP1060" s="121"/>
      <c r="BQ1060" s="121"/>
      <c r="GA1060" t="s">
        <v>114</v>
      </c>
      <c r="GB1060" t="s">
        <v>16501</v>
      </c>
      <c r="GC1060" s="46">
        <v>0</v>
      </c>
      <c r="GD1060" s="113"/>
      <c r="GE1060" s="113"/>
      <c r="GF1060" s="113"/>
      <c r="GG1060" s="113"/>
      <c r="GH1060" s="113"/>
      <c r="GI1060" s="46">
        <v>0</v>
      </c>
      <c r="GJ1060" s="113"/>
      <c r="GK1060" s="113"/>
      <c r="GL1060" s="113"/>
      <c r="GM1060" s="113"/>
      <c r="GN1060" s="113"/>
      <c r="GO1060" s="46">
        <v>0</v>
      </c>
      <c r="GP1060" s="113"/>
      <c r="GQ1060" s="113"/>
      <c r="GR1060" s="113"/>
      <c r="GS1060" s="113"/>
      <c r="GT1060" s="113"/>
      <c r="GU1060" s="46">
        <v>0</v>
      </c>
      <c r="GV1060" s="113"/>
      <c r="GW1060" s="113"/>
      <c r="GX1060" s="113"/>
      <c r="GY1060" s="113"/>
      <c r="GZ1060" s="113"/>
      <c r="HA1060" s="46">
        <v>0</v>
      </c>
      <c r="HB1060" s="113"/>
      <c r="HC1060" s="113"/>
      <c r="HD1060" s="113"/>
      <c r="HE1060" s="113"/>
      <c r="HF1060" s="113"/>
      <c r="HG1060" s="46">
        <v>0</v>
      </c>
      <c r="HH1060" s="113"/>
      <c r="HI1060" s="113"/>
      <c r="HJ1060" s="113"/>
      <c r="HK1060" s="113"/>
      <c r="HL1060" s="113"/>
      <c r="HM1060" s="121"/>
      <c r="HN1060" s="121"/>
      <c r="LM1060" t="str">
        <v/>
      </c>
      <c r="LN1060" t="str">
        <v/>
      </c>
      <c r="LO1060" t="str">
        <v/>
      </c>
    </row>
    <row r="1061" spans="30:327">
      <c r="AD1061" t="s">
        <v>114</v>
      </c>
      <c r="AE1061" t="s">
        <v>16502</v>
      </c>
      <c r="AF1061" s="46">
        <v>0</v>
      </c>
      <c r="AG1061" s="113"/>
      <c r="AH1061" s="113"/>
      <c r="AI1061" s="113"/>
      <c r="AJ1061" s="113"/>
      <c r="AK1061" s="113"/>
      <c r="AL1061" s="46">
        <v>0</v>
      </c>
      <c r="AM1061" s="113"/>
      <c r="AN1061" s="113"/>
      <c r="AO1061" s="113"/>
      <c r="AP1061" s="113"/>
      <c r="AQ1061" s="113"/>
      <c r="AR1061" s="46">
        <v>0</v>
      </c>
      <c r="AS1061" s="113"/>
      <c r="AT1061" s="113"/>
      <c r="AU1061" s="113"/>
      <c r="AV1061" s="113"/>
      <c r="AW1061" s="113"/>
      <c r="AX1061" s="46">
        <v>0</v>
      </c>
      <c r="AY1061" s="113"/>
      <c r="AZ1061" s="113"/>
      <c r="BA1061" s="113"/>
      <c r="BB1061" s="113"/>
      <c r="BC1061" s="113"/>
      <c r="BD1061" s="46">
        <v>0</v>
      </c>
      <c r="BE1061" s="113"/>
      <c r="BF1061" s="113"/>
      <c r="BG1061" s="113"/>
      <c r="BH1061" s="113"/>
      <c r="BI1061" s="113"/>
      <c r="BJ1061" s="46">
        <v>0</v>
      </c>
      <c r="BK1061" s="113"/>
      <c r="BL1061" s="113"/>
      <c r="BM1061" s="113"/>
      <c r="BN1061" s="113"/>
      <c r="BO1061" s="113"/>
      <c r="BP1061" s="121"/>
      <c r="BQ1061" s="121"/>
      <c r="GA1061" t="s">
        <v>114</v>
      </c>
      <c r="GB1061" t="s">
        <v>16502</v>
      </c>
      <c r="GC1061" s="46">
        <v>0</v>
      </c>
      <c r="GD1061" s="113"/>
      <c r="GE1061" s="113"/>
      <c r="GF1061" s="113"/>
      <c r="GG1061" s="113"/>
      <c r="GH1061" s="113"/>
      <c r="GI1061" s="46">
        <v>0</v>
      </c>
      <c r="GJ1061" s="113"/>
      <c r="GK1061" s="113"/>
      <c r="GL1061" s="113"/>
      <c r="GM1061" s="113"/>
      <c r="GN1061" s="113"/>
      <c r="GO1061" s="46">
        <v>0</v>
      </c>
      <c r="GP1061" s="113"/>
      <c r="GQ1061" s="113"/>
      <c r="GR1061" s="113"/>
      <c r="GS1061" s="113"/>
      <c r="GT1061" s="113"/>
      <c r="GU1061" s="46">
        <v>0</v>
      </c>
      <c r="GV1061" s="113"/>
      <c r="GW1061" s="113"/>
      <c r="GX1061" s="113"/>
      <c r="GY1061" s="113"/>
      <c r="GZ1061" s="113"/>
      <c r="HA1061" s="46">
        <v>0</v>
      </c>
      <c r="HB1061" s="113"/>
      <c r="HC1061" s="113"/>
      <c r="HD1061" s="113"/>
      <c r="HE1061" s="113"/>
      <c r="HF1061" s="113"/>
      <c r="HG1061" s="46">
        <v>0</v>
      </c>
      <c r="HH1061" s="113"/>
      <c r="HI1061" s="113"/>
      <c r="HJ1061" s="113"/>
      <c r="HK1061" s="113"/>
      <c r="HL1061" s="113"/>
      <c r="HM1061" s="121"/>
      <c r="HN1061" s="121"/>
      <c r="LM1061" t="str">
        <v/>
      </c>
      <c r="LN1061" t="str">
        <v/>
      </c>
      <c r="LO1061" t="str">
        <v/>
      </c>
    </row>
    <row r="1062" spans="30:327">
      <c r="AD1062" t="s">
        <v>114</v>
      </c>
      <c r="AE1062" t="s">
        <v>16503</v>
      </c>
      <c r="AF1062" s="46">
        <v>0</v>
      </c>
      <c r="AG1062" s="113"/>
      <c r="AH1062" s="113"/>
      <c r="AI1062" s="113"/>
      <c r="AJ1062" s="113"/>
      <c r="AK1062" s="113"/>
      <c r="AL1062" s="46">
        <v>0</v>
      </c>
      <c r="AM1062" s="113"/>
      <c r="AN1062" s="113"/>
      <c r="AO1062" s="113"/>
      <c r="AP1062" s="113"/>
      <c r="AQ1062" s="113"/>
      <c r="AR1062" s="46">
        <v>0</v>
      </c>
      <c r="AS1062" s="113"/>
      <c r="AT1062" s="113"/>
      <c r="AU1062" s="113"/>
      <c r="AV1062" s="113"/>
      <c r="AW1062" s="113"/>
      <c r="AX1062" s="46">
        <v>0</v>
      </c>
      <c r="AY1062" s="113"/>
      <c r="AZ1062" s="113"/>
      <c r="BA1062" s="113"/>
      <c r="BB1062" s="113"/>
      <c r="BC1062" s="113"/>
      <c r="BD1062" s="46">
        <v>0</v>
      </c>
      <c r="BE1062" s="113"/>
      <c r="BF1062" s="113"/>
      <c r="BG1062" s="113"/>
      <c r="BH1062" s="113"/>
      <c r="BI1062" s="113"/>
      <c r="BJ1062" s="46">
        <v>0</v>
      </c>
      <c r="BK1062" s="113"/>
      <c r="BL1062" s="113"/>
      <c r="BM1062" s="113"/>
      <c r="BN1062" s="113"/>
      <c r="BO1062" s="113"/>
      <c r="BP1062" s="121"/>
      <c r="BQ1062" s="121"/>
      <c r="GA1062" t="s">
        <v>114</v>
      </c>
      <c r="GB1062" t="s">
        <v>16503</v>
      </c>
      <c r="GC1062" s="46">
        <v>0</v>
      </c>
      <c r="GD1062" s="113"/>
      <c r="GE1062" s="113"/>
      <c r="GF1062" s="113"/>
      <c r="GG1062" s="113"/>
      <c r="GH1062" s="113"/>
      <c r="GI1062" s="46">
        <v>0</v>
      </c>
      <c r="GJ1062" s="113"/>
      <c r="GK1062" s="113"/>
      <c r="GL1062" s="113"/>
      <c r="GM1062" s="113"/>
      <c r="GN1062" s="113"/>
      <c r="GO1062" s="46">
        <v>0</v>
      </c>
      <c r="GP1062" s="113"/>
      <c r="GQ1062" s="113"/>
      <c r="GR1062" s="113"/>
      <c r="GS1062" s="113"/>
      <c r="GT1062" s="113"/>
      <c r="GU1062" s="46">
        <v>0</v>
      </c>
      <c r="GV1062" s="113"/>
      <c r="GW1062" s="113"/>
      <c r="GX1062" s="113"/>
      <c r="GY1062" s="113"/>
      <c r="GZ1062" s="113"/>
      <c r="HA1062" s="46">
        <v>0</v>
      </c>
      <c r="HB1062" s="113"/>
      <c r="HC1062" s="113"/>
      <c r="HD1062" s="113"/>
      <c r="HE1062" s="113"/>
      <c r="HF1062" s="113"/>
      <c r="HG1062" s="46">
        <v>0</v>
      </c>
      <c r="HH1062" s="113"/>
      <c r="HI1062" s="113"/>
      <c r="HJ1062" s="113"/>
      <c r="HK1062" s="113"/>
      <c r="HL1062" s="113"/>
      <c r="HM1062" s="121"/>
      <c r="HN1062" s="121"/>
      <c r="LM1062" t="str">
        <v/>
      </c>
      <c r="LN1062" t="str">
        <v/>
      </c>
      <c r="LO1062" t="str">
        <v/>
      </c>
    </row>
    <row r="1063" spans="30:327">
      <c r="AD1063" t="s">
        <v>114</v>
      </c>
      <c r="AE1063" t="s">
        <v>16504</v>
      </c>
      <c r="AF1063" s="46">
        <v>0</v>
      </c>
      <c r="AG1063" s="113"/>
      <c r="AH1063" s="113"/>
      <c r="AI1063" s="113"/>
      <c r="AJ1063" s="113"/>
      <c r="AK1063" s="113"/>
      <c r="AL1063" s="46">
        <v>0</v>
      </c>
      <c r="AM1063" s="113"/>
      <c r="AN1063" s="113"/>
      <c r="AO1063" s="113"/>
      <c r="AP1063" s="113"/>
      <c r="AQ1063" s="113"/>
      <c r="AR1063" s="46">
        <v>0</v>
      </c>
      <c r="AS1063" s="113"/>
      <c r="AT1063" s="113"/>
      <c r="AU1063" s="113"/>
      <c r="AV1063" s="113"/>
      <c r="AW1063" s="113"/>
      <c r="AX1063" s="46">
        <v>0</v>
      </c>
      <c r="AY1063" s="113"/>
      <c r="AZ1063" s="113"/>
      <c r="BA1063" s="113"/>
      <c r="BB1063" s="113"/>
      <c r="BC1063" s="113"/>
      <c r="BD1063" s="46">
        <v>0</v>
      </c>
      <c r="BE1063" s="113"/>
      <c r="BF1063" s="113"/>
      <c r="BG1063" s="113"/>
      <c r="BH1063" s="113"/>
      <c r="BI1063" s="113"/>
      <c r="BJ1063" s="46">
        <v>0</v>
      </c>
      <c r="BK1063" s="113"/>
      <c r="BL1063" s="113"/>
      <c r="BM1063" s="113"/>
      <c r="BN1063" s="113"/>
      <c r="BO1063" s="113"/>
      <c r="BP1063" s="121"/>
      <c r="BQ1063" s="121"/>
      <c r="GA1063" t="s">
        <v>114</v>
      </c>
      <c r="GB1063" t="s">
        <v>16504</v>
      </c>
      <c r="GC1063" s="46">
        <v>0</v>
      </c>
      <c r="GD1063" s="113"/>
      <c r="GE1063" s="113"/>
      <c r="GF1063" s="113"/>
      <c r="GG1063" s="113"/>
      <c r="GH1063" s="113"/>
      <c r="GI1063" s="46">
        <v>0</v>
      </c>
      <c r="GJ1063" s="113"/>
      <c r="GK1063" s="113"/>
      <c r="GL1063" s="113"/>
      <c r="GM1063" s="113"/>
      <c r="GN1063" s="113"/>
      <c r="GO1063" s="46">
        <v>0</v>
      </c>
      <c r="GP1063" s="113"/>
      <c r="GQ1063" s="113"/>
      <c r="GR1063" s="113"/>
      <c r="GS1063" s="113"/>
      <c r="GT1063" s="113"/>
      <c r="GU1063" s="46">
        <v>0</v>
      </c>
      <c r="GV1063" s="113"/>
      <c r="GW1063" s="113"/>
      <c r="GX1063" s="113"/>
      <c r="GY1063" s="113"/>
      <c r="GZ1063" s="113"/>
      <c r="HA1063" s="46">
        <v>0</v>
      </c>
      <c r="HB1063" s="113"/>
      <c r="HC1063" s="113"/>
      <c r="HD1063" s="113"/>
      <c r="HE1063" s="113"/>
      <c r="HF1063" s="113"/>
      <c r="HG1063" s="46">
        <v>0</v>
      </c>
      <c r="HH1063" s="113"/>
      <c r="HI1063" s="113"/>
      <c r="HJ1063" s="113"/>
      <c r="HK1063" s="113"/>
      <c r="HL1063" s="113"/>
      <c r="HM1063" s="121"/>
      <c r="HN1063" s="121"/>
      <c r="LM1063" t="str">
        <v/>
      </c>
      <c r="LN1063" t="str">
        <v/>
      </c>
      <c r="LO1063" t="str">
        <v/>
      </c>
    </row>
    <row r="1064" spans="30:327">
      <c r="AD1064" t="s">
        <v>114</v>
      </c>
      <c r="AE1064" t="s">
        <v>16505</v>
      </c>
      <c r="AF1064" s="46">
        <v>0</v>
      </c>
      <c r="AG1064" s="113"/>
      <c r="AH1064" s="113"/>
      <c r="AI1064" s="113"/>
      <c r="AJ1064" s="113"/>
      <c r="AK1064" s="113"/>
      <c r="AL1064" s="46">
        <v>0</v>
      </c>
      <c r="AM1064" s="113"/>
      <c r="AN1064" s="113"/>
      <c r="AO1064" s="113"/>
      <c r="AP1064" s="113"/>
      <c r="AQ1064" s="113"/>
      <c r="AR1064" s="46">
        <v>0</v>
      </c>
      <c r="AS1064" s="113"/>
      <c r="AT1064" s="113"/>
      <c r="AU1064" s="113"/>
      <c r="AV1064" s="113"/>
      <c r="AW1064" s="113"/>
      <c r="AX1064" s="46">
        <v>0</v>
      </c>
      <c r="AY1064" s="113"/>
      <c r="AZ1064" s="113"/>
      <c r="BA1064" s="113"/>
      <c r="BB1064" s="113"/>
      <c r="BC1064" s="113"/>
      <c r="BD1064" s="46">
        <v>0</v>
      </c>
      <c r="BE1064" s="113"/>
      <c r="BF1064" s="113"/>
      <c r="BG1064" s="113"/>
      <c r="BH1064" s="113"/>
      <c r="BI1064" s="113"/>
      <c r="BJ1064" s="46">
        <v>0</v>
      </c>
      <c r="BK1064" s="113"/>
      <c r="BL1064" s="113"/>
      <c r="BM1064" s="113"/>
      <c r="BN1064" s="113"/>
      <c r="BO1064" s="113"/>
      <c r="BP1064" s="121"/>
      <c r="BQ1064" s="121"/>
      <c r="GA1064" t="s">
        <v>114</v>
      </c>
      <c r="GB1064" t="s">
        <v>16505</v>
      </c>
      <c r="GC1064" s="46">
        <v>0</v>
      </c>
      <c r="GD1064" s="113"/>
      <c r="GE1064" s="113"/>
      <c r="GF1064" s="113"/>
      <c r="GG1064" s="113"/>
      <c r="GH1064" s="113"/>
      <c r="GI1064" s="46">
        <v>0</v>
      </c>
      <c r="GJ1064" s="113"/>
      <c r="GK1064" s="113"/>
      <c r="GL1064" s="113"/>
      <c r="GM1064" s="113"/>
      <c r="GN1064" s="113"/>
      <c r="GO1064" s="46">
        <v>0</v>
      </c>
      <c r="GP1064" s="113"/>
      <c r="GQ1064" s="113"/>
      <c r="GR1064" s="113"/>
      <c r="GS1064" s="113"/>
      <c r="GT1064" s="113"/>
      <c r="GU1064" s="46">
        <v>0</v>
      </c>
      <c r="GV1064" s="113"/>
      <c r="GW1064" s="113"/>
      <c r="GX1064" s="113"/>
      <c r="GY1064" s="113"/>
      <c r="GZ1064" s="113"/>
      <c r="HA1064" s="46">
        <v>0</v>
      </c>
      <c r="HB1064" s="113"/>
      <c r="HC1064" s="113"/>
      <c r="HD1064" s="113"/>
      <c r="HE1064" s="113"/>
      <c r="HF1064" s="113"/>
      <c r="HG1064" s="46">
        <v>0</v>
      </c>
      <c r="HH1064" s="113"/>
      <c r="HI1064" s="113"/>
      <c r="HJ1064" s="113"/>
      <c r="HK1064" s="113"/>
      <c r="HL1064" s="113"/>
      <c r="HM1064" s="121"/>
      <c r="HN1064" s="121"/>
      <c r="LM1064" t="str">
        <v/>
      </c>
      <c r="LN1064" t="str">
        <v/>
      </c>
      <c r="LO1064" t="str">
        <v/>
      </c>
    </row>
    <row r="1065" spans="30:327">
      <c r="AD1065" t="s">
        <v>114</v>
      </c>
      <c r="AE1065" t="s">
        <v>16506</v>
      </c>
      <c r="AF1065" s="46">
        <v>0</v>
      </c>
      <c r="AG1065" s="113"/>
      <c r="AH1065" s="113"/>
      <c r="AI1065" s="113"/>
      <c r="AJ1065" s="113"/>
      <c r="AK1065" s="113"/>
      <c r="AL1065" s="46">
        <v>0</v>
      </c>
      <c r="AM1065" s="113"/>
      <c r="AN1065" s="113"/>
      <c r="AO1065" s="113"/>
      <c r="AP1065" s="113"/>
      <c r="AQ1065" s="113"/>
      <c r="AR1065" s="46">
        <v>0</v>
      </c>
      <c r="AS1065" s="113"/>
      <c r="AT1065" s="113"/>
      <c r="AU1065" s="113"/>
      <c r="AV1065" s="113"/>
      <c r="AW1065" s="113"/>
      <c r="AX1065" s="46">
        <v>0</v>
      </c>
      <c r="AY1065" s="113"/>
      <c r="AZ1065" s="113"/>
      <c r="BA1065" s="113"/>
      <c r="BB1065" s="113"/>
      <c r="BC1065" s="113"/>
      <c r="BD1065" s="46">
        <v>0</v>
      </c>
      <c r="BE1065" s="113"/>
      <c r="BF1065" s="113"/>
      <c r="BG1065" s="113"/>
      <c r="BH1065" s="113"/>
      <c r="BI1065" s="113"/>
      <c r="BJ1065" s="46">
        <v>0</v>
      </c>
      <c r="BK1065" s="113"/>
      <c r="BL1065" s="113"/>
      <c r="BM1065" s="113"/>
      <c r="BN1065" s="113"/>
      <c r="BO1065" s="113"/>
      <c r="BP1065" s="121"/>
      <c r="BQ1065" s="121"/>
      <c r="GA1065" t="s">
        <v>114</v>
      </c>
      <c r="GB1065" t="s">
        <v>16506</v>
      </c>
      <c r="GC1065" s="46">
        <v>0</v>
      </c>
      <c r="GD1065" s="113"/>
      <c r="GE1065" s="113"/>
      <c r="GF1065" s="113"/>
      <c r="GG1065" s="113"/>
      <c r="GH1065" s="113"/>
      <c r="GI1065" s="46">
        <v>0</v>
      </c>
      <c r="GJ1065" s="113"/>
      <c r="GK1065" s="113"/>
      <c r="GL1065" s="113"/>
      <c r="GM1065" s="113"/>
      <c r="GN1065" s="113"/>
      <c r="GO1065" s="46">
        <v>0</v>
      </c>
      <c r="GP1065" s="113"/>
      <c r="GQ1065" s="113"/>
      <c r="GR1065" s="113"/>
      <c r="GS1065" s="113"/>
      <c r="GT1065" s="113"/>
      <c r="GU1065" s="46">
        <v>0</v>
      </c>
      <c r="GV1065" s="113"/>
      <c r="GW1065" s="113"/>
      <c r="GX1065" s="113"/>
      <c r="GY1065" s="113"/>
      <c r="GZ1065" s="113"/>
      <c r="HA1065" s="46">
        <v>0</v>
      </c>
      <c r="HB1065" s="113"/>
      <c r="HC1065" s="113"/>
      <c r="HD1065" s="113"/>
      <c r="HE1065" s="113"/>
      <c r="HF1065" s="113"/>
      <c r="HG1065" s="46">
        <v>0</v>
      </c>
      <c r="HH1065" s="113"/>
      <c r="HI1065" s="113"/>
      <c r="HJ1065" s="113"/>
      <c r="HK1065" s="113"/>
      <c r="HL1065" s="113"/>
      <c r="HM1065" s="121"/>
      <c r="HN1065" s="121"/>
      <c r="LM1065" t="str">
        <v/>
      </c>
      <c r="LN1065" t="str">
        <v/>
      </c>
      <c r="LO1065" t="str">
        <v/>
      </c>
    </row>
    <row r="1066" spans="30:327">
      <c r="AD1066" t="s">
        <v>114</v>
      </c>
      <c r="AE1066" t="s">
        <v>16507</v>
      </c>
      <c r="AF1066" s="46">
        <v>0</v>
      </c>
      <c r="AG1066" s="113"/>
      <c r="AH1066" s="113"/>
      <c r="AI1066" s="113"/>
      <c r="AJ1066" s="113"/>
      <c r="AK1066" s="113"/>
      <c r="AL1066" s="46">
        <v>0</v>
      </c>
      <c r="AM1066" s="113"/>
      <c r="AN1066" s="113"/>
      <c r="AO1066" s="113"/>
      <c r="AP1066" s="113"/>
      <c r="AQ1066" s="113"/>
      <c r="AR1066" s="46">
        <v>0</v>
      </c>
      <c r="AS1066" s="113"/>
      <c r="AT1066" s="113"/>
      <c r="AU1066" s="113"/>
      <c r="AV1066" s="113"/>
      <c r="AW1066" s="113"/>
      <c r="AX1066" s="46">
        <v>0</v>
      </c>
      <c r="AY1066" s="113"/>
      <c r="AZ1066" s="113"/>
      <c r="BA1066" s="113"/>
      <c r="BB1066" s="113"/>
      <c r="BC1066" s="113"/>
      <c r="BD1066" s="46">
        <v>0</v>
      </c>
      <c r="BE1066" s="113"/>
      <c r="BF1066" s="113"/>
      <c r="BG1066" s="113"/>
      <c r="BH1066" s="113"/>
      <c r="BI1066" s="113"/>
      <c r="BJ1066" s="46">
        <v>0</v>
      </c>
      <c r="BK1066" s="113"/>
      <c r="BL1066" s="113"/>
      <c r="BM1066" s="113"/>
      <c r="BN1066" s="113"/>
      <c r="BO1066" s="113"/>
      <c r="BP1066" s="121"/>
      <c r="BQ1066" s="121"/>
      <c r="GA1066" t="s">
        <v>114</v>
      </c>
      <c r="GB1066" t="s">
        <v>16507</v>
      </c>
      <c r="GC1066" s="46">
        <v>0</v>
      </c>
      <c r="GD1066" s="113"/>
      <c r="GE1066" s="113"/>
      <c r="GF1066" s="113"/>
      <c r="GG1066" s="113"/>
      <c r="GH1066" s="113"/>
      <c r="GI1066" s="46">
        <v>0</v>
      </c>
      <c r="GJ1066" s="113"/>
      <c r="GK1066" s="113"/>
      <c r="GL1066" s="113"/>
      <c r="GM1066" s="113"/>
      <c r="GN1066" s="113"/>
      <c r="GO1066" s="46">
        <v>0</v>
      </c>
      <c r="GP1066" s="113"/>
      <c r="GQ1066" s="113"/>
      <c r="GR1066" s="113"/>
      <c r="GS1066" s="113"/>
      <c r="GT1066" s="113"/>
      <c r="GU1066" s="46">
        <v>0</v>
      </c>
      <c r="GV1066" s="113"/>
      <c r="GW1066" s="113"/>
      <c r="GX1066" s="113"/>
      <c r="GY1066" s="113"/>
      <c r="GZ1066" s="113"/>
      <c r="HA1066" s="46">
        <v>0</v>
      </c>
      <c r="HB1066" s="113"/>
      <c r="HC1066" s="113"/>
      <c r="HD1066" s="113"/>
      <c r="HE1066" s="113"/>
      <c r="HF1066" s="113"/>
      <c r="HG1066" s="46">
        <v>0</v>
      </c>
      <c r="HH1066" s="113"/>
      <c r="HI1066" s="113"/>
      <c r="HJ1066" s="113"/>
      <c r="HK1066" s="113"/>
      <c r="HL1066" s="113"/>
      <c r="HM1066" s="121"/>
      <c r="HN1066" s="121"/>
      <c r="LM1066" t="str">
        <v/>
      </c>
      <c r="LN1066" t="str">
        <v/>
      </c>
      <c r="LO1066" t="str">
        <v/>
      </c>
    </row>
    <row r="1067" spans="30:327">
      <c r="AD1067" t="s">
        <v>114</v>
      </c>
      <c r="AE1067" t="s">
        <v>16508</v>
      </c>
      <c r="AF1067" s="46">
        <v>0</v>
      </c>
      <c r="AG1067" s="113"/>
      <c r="AH1067" s="113"/>
      <c r="AI1067" s="113"/>
      <c r="AJ1067" s="113"/>
      <c r="AK1067" s="113"/>
      <c r="AL1067" s="46">
        <v>0</v>
      </c>
      <c r="AM1067" s="113"/>
      <c r="AN1067" s="113"/>
      <c r="AO1067" s="113"/>
      <c r="AP1067" s="113"/>
      <c r="AQ1067" s="113"/>
      <c r="AR1067" s="46">
        <v>0</v>
      </c>
      <c r="AS1067" s="113"/>
      <c r="AT1067" s="113"/>
      <c r="AU1067" s="113"/>
      <c r="AV1067" s="113"/>
      <c r="AW1067" s="113"/>
      <c r="AX1067" s="46">
        <v>0</v>
      </c>
      <c r="AY1067" s="113"/>
      <c r="AZ1067" s="113"/>
      <c r="BA1067" s="113"/>
      <c r="BB1067" s="113"/>
      <c r="BC1067" s="113"/>
      <c r="BD1067" s="46">
        <v>0</v>
      </c>
      <c r="BE1067" s="113"/>
      <c r="BF1067" s="113"/>
      <c r="BG1067" s="113"/>
      <c r="BH1067" s="113"/>
      <c r="BI1067" s="113"/>
      <c r="BJ1067" s="46">
        <v>0</v>
      </c>
      <c r="BK1067" s="113"/>
      <c r="BL1067" s="113"/>
      <c r="BM1067" s="113"/>
      <c r="BN1067" s="113"/>
      <c r="BO1067" s="113"/>
      <c r="BP1067" s="121"/>
      <c r="BQ1067" s="121"/>
      <c r="GA1067" t="s">
        <v>114</v>
      </c>
      <c r="GB1067" t="s">
        <v>16508</v>
      </c>
      <c r="GC1067" s="46">
        <v>0</v>
      </c>
      <c r="GD1067" s="113"/>
      <c r="GE1067" s="113"/>
      <c r="GF1067" s="113"/>
      <c r="GG1067" s="113"/>
      <c r="GH1067" s="113"/>
      <c r="GI1067" s="46">
        <v>0</v>
      </c>
      <c r="GJ1067" s="113"/>
      <c r="GK1067" s="113"/>
      <c r="GL1067" s="113"/>
      <c r="GM1067" s="113"/>
      <c r="GN1067" s="113"/>
      <c r="GO1067" s="46">
        <v>0</v>
      </c>
      <c r="GP1067" s="113"/>
      <c r="GQ1067" s="113"/>
      <c r="GR1067" s="113"/>
      <c r="GS1067" s="113"/>
      <c r="GT1067" s="113"/>
      <c r="GU1067" s="46">
        <v>0</v>
      </c>
      <c r="GV1067" s="113"/>
      <c r="GW1067" s="113"/>
      <c r="GX1067" s="113"/>
      <c r="GY1067" s="113"/>
      <c r="GZ1067" s="113"/>
      <c r="HA1067" s="46">
        <v>0</v>
      </c>
      <c r="HB1067" s="113"/>
      <c r="HC1067" s="113"/>
      <c r="HD1067" s="113"/>
      <c r="HE1067" s="113"/>
      <c r="HF1067" s="113"/>
      <c r="HG1067" s="46">
        <v>0</v>
      </c>
      <c r="HH1067" s="113"/>
      <c r="HI1067" s="113"/>
      <c r="HJ1067" s="113"/>
      <c r="HK1067" s="113"/>
      <c r="HL1067" s="113"/>
      <c r="HM1067" s="121"/>
      <c r="HN1067" s="121"/>
      <c r="LM1067" t="str">
        <v/>
      </c>
      <c r="LN1067" t="str">
        <v/>
      </c>
      <c r="LO1067" t="str">
        <v/>
      </c>
    </row>
    <row r="1068" spans="30:327">
      <c r="AD1068" t="s">
        <v>114</v>
      </c>
      <c r="AE1068" t="s">
        <v>16509</v>
      </c>
      <c r="AF1068" s="46">
        <v>0</v>
      </c>
      <c r="AG1068" s="113"/>
      <c r="AH1068" s="113"/>
      <c r="AI1068" s="113"/>
      <c r="AJ1068" s="113"/>
      <c r="AK1068" s="113"/>
      <c r="AL1068" s="46">
        <v>0</v>
      </c>
      <c r="AM1068" s="113"/>
      <c r="AN1068" s="113"/>
      <c r="AO1068" s="113"/>
      <c r="AP1068" s="113"/>
      <c r="AQ1068" s="113"/>
      <c r="AR1068" s="46">
        <v>0</v>
      </c>
      <c r="AS1068" s="113"/>
      <c r="AT1068" s="113"/>
      <c r="AU1068" s="113"/>
      <c r="AV1068" s="113"/>
      <c r="AW1068" s="113"/>
      <c r="AX1068" s="46">
        <v>0</v>
      </c>
      <c r="AY1068" s="113"/>
      <c r="AZ1068" s="113"/>
      <c r="BA1068" s="113"/>
      <c r="BB1068" s="113"/>
      <c r="BC1068" s="113"/>
      <c r="BD1068" s="46">
        <v>0</v>
      </c>
      <c r="BE1068" s="113"/>
      <c r="BF1068" s="113"/>
      <c r="BG1068" s="113"/>
      <c r="BH1068" s="113"/>
      <c r="BI1068" s="113"/>
      <c r="BJ1068" s="46">
        <v>0</v>
      </c>
      <c r="BK1068" s="113"/>
      <c r="BL1068" s="113"/>
      <c r="BM1068" s="113"/>
      <c r="BN1068" s="113"/>
      <c r="BO1068" s="113"/>
      <c r="BP1068" s="121"/>
      <c r="BQ1068" s="121"/>
      <c r="GA1068" t="s">
        <v>114</v>
      </c>
      <c r="GB1068" t="s">
        <v>16509</v>
      </c>
      <c r="GC1068" s="46">
        <v>0</v>
      </c>
      <c r="GD1068" s="113"/>
      <c r="GE1068" s="113"/>
      <c r="GF1068" s="113"/>
      <c r="GG1068" s="113"/>
      <c r="GH1068" s="113"/>
      <c r="GI1068" s="46">
        <v>0</v>
      </c>
      <c r="GJ1068" s="113"/>
      <c r="GK1068" s="113"/>
      <c r="GL1068" s="113"/>
      <c r="GM1068" s="113"/>
      <c r="GN1068" s="113"/>
      <c r="GO1068" s="46">
        <v>0</v>
      </c>
      <c r="GP1068" s="113"/>
      <c r="GQ1068" s="113"/>
      <c r="GR1068" s="113"/>
      <c r="GS1068" s="113"/>
      <c r="GT1068" s="113"/>
      <c r="GU1068" s="46">
        <v>0</v>
      </c>
      <c r="GV1068" s="113"/>
      <c r="GW1068" s="113"/>
      <c r="GX1068" s="113"/>
      <c r="GY1068" s="113"/>
      <c r="GZ1068" s="113"/>
      <c r="HA1068" s="46">
        <v>0</v>
      </c>
      <c r="HB1068" s="113"/>
      <c r="HC1068" s="113"/>
      <c r="HD1068" s="113"/>
      <c r="HE1068" s="113"/>
      <c r="HF1068" s="113"/>
      <c r="HG1068" s="46">
        <v>0</v>
      </c>
      <c r="HH1068" s="113"/>
      <c r="HI1068" s="113"/>
      <c r="HJ1068" s="113"/>
      <c r="HK1068" s="113"/>
      <c r="HL1068" s="113"/>
      <c r="HM1068" s="121"/>
      <c r="HN1068" s="121"/>
      <c r="LM1068" t="str">
        <v/>
      </c>
      <c r="LN1068" t="str">
        <v/>
      </c>
      <c r="LO1068" t="str">
        <v/>
      </c>
    </row>
    <row r="1069" spans="30:327">
      <c r="AD1069" t="s">
        <v>114</v>
      </c>
      <c r="AE1069" t="s">
        <v>16510</v>
      </c>
      <c r="AF1069" s="46">
        <v>0</v>
      </c>
      <c r="AG1069" s="113"/>
      <c r="AH1069" s="113"/>
      <c r="AI1069" s="113"/>
      <c r="AJ1069" s="113"/>
      <c r="AK1069" s="113"/>
      <c r="AL1069" s="46">
        <v>0</v>
      </c>
      <c r="AM1069" s="113"/>
      <c r="AN1069" s="113"/>
      <c r="AO1069" s="113"/>
      <c r="AP1069" s="113"/>
      <c r="AQ1069" s="113"/>
      <c r="AR1069" s="46">
        <v>0</v>
      </c>
      <c r="AS1069" s="113"/>
      <c r="AT1069" s="113"/>
      <c r="AU1069" s="113"/>
      <c r="AV1069" s="113"/>
      <c r="AW1069" s="113"/>
      <c r="AX1069" s="46">
        <v>0</v>
      </c>
      <c r="AY1069" s="113"/>
      <c r="AZ1069" s="113"/>
      <c r="BA1069" s="113"/>
      <c r="BB1069" s="113"/>
      <c r="BC1069" s="113"/>
      <c r="BD1069" s="46">
        <v>0</v>
      </c>
      <c r="BE1069" s="113"/>
      <c r="BF1069" s="113"/>
      <c r="BG1069" s="113"/>
      <c r="BH1069" s="113"/>
      <c r="BI1069" s="113"/>
      <c r="BJ1069" s="46">
        <v>0</v>
      </c>
      <c r="BK1069" s="113"/>
      <c r="BL1069" s="113"/>
      <c r="BM1069" s="113"/>
      <c r="BN1069" s="113"/>
      <c r="BO1069" s="113"/>
      <c r="BP1069" s="121"/>
      <c r="BQ1069" s="121"/>
      <c r="GA1069" t="s">
        <v>114</v>
      </c>
      <c r="GB1069" t="s">
        <v>16510</v>
      </c>
      <c r="GC1069" s="46">
        <v>0</v>
      </c>
      <c r="GD1069" s="113"/>
      <c r="GE1069" s="113"/>
      <c r="GF1069" s="113"/>
      <c r="GG1069" s="113"/>
      <c r="GH1069" s="113"/>
      <c r="GI1069" s="46">
        <v>0</v>
      </c>
      <c r="GJ1069" s="113"/>
      <c r="GK1069" s="113"/>
      <c r="GL1069" s="113"/>
      <c r="GM1069" s="113"/>
      <c r="GN1069" s="113"/>
      <c r="GO1069" s="46">
        <v>0</v>
      </c>
      <c r="GP1069" s="113"/>
      <c r="GQ1069" s="113"/>
      <c r="GR1069" s="113"/>
      <c r="GS1069" s="113"/>
      <c r="GT1069" s="113"/>
      <c r="GU1069" s="46">
        <v>0</v>
      </c>
      <c r="GV1069" s="113"/>
      <c r="GW1069" s="113"/>
      <c r="GX1069" s="113"/>
      <c r="GY1069" s="113"/>
      <c r="GZ1069" s="113"/>
      <c r="HA1069" s="46">
        <v>0</v>
      </c>
      <c r="HB1069" s="113"/>
      <c r="HC1069" s="113"/>
      <c r="HD1069" s="113"/>
      <c r="HE1069" s="113"/>
      <c r="HF1069" s="113"/>
      <c r="HG1069" s="46">
        <v>0</v>
      </c>
      <c r="HH1069" s="113"/>
      <c r="HI1069" s="113"/>
      <c r="HJ1069" s="113"/>
      <c r="HK1069" s="113"/>
      <c r="HL1069" s="113"/>
      <c r="HM1069" s="121"/>
      <c r="HN1069" s="121"/>
      <c r="LM1069" t="str">
        <v/>
      </c>
      <c r="LN1069" t="str">
        <v/>
      </c>
      <c r="LO1069" t="str">
        <v/>
      </c>
    </row>
    <row r="1070" spans="30:327">
      <c r="AD1070" t="s">
        <v>114</v>
      </c>
      <c r="AE1070" t="s">
        <v>22881</v>
      </c>
      <c r="AF1070" s="46">
        <v>0</v>
      </c>
      <c r="AG1070" s="113"/>
      <c r="AH1070" s="113"/>
      <c r="AI1070" s="113"/>
      <c r="AJ1070" s="113"/>
      <c r="AK1070" s="113"/>
      <c r="AL1070" s="46">
        <v>0</v>
      </c>
      <c r="AM1070" s="113"/>
      <c r="AN1070" s="113"/>
      <c r="AO1070" s="113"/>
      <c r="AP1070" s="113"/>
      <c r="AQ1070" s="113"/>
      <c r="AR1070" s="46">
        <v>0</v>
      </c>
      <c r="AS1070" s="113"/>
      <c r="AT1070" s="113"/>
      <c r="AU1070" s="113"/>
      <c r="AV1070" s="113"/>
      <c r="AW1070" s="113"/>
      <c r="AX1070" s="46">
        <v>0</v>
      </c>
      <c r="AY1070" s="113"/>
      <c r="AZ1070" s="113"/>
      <c r="BA1070" s="113"/>
      <c r="BB1070" s="113"/>
      <c r="BC1070" s="113"/>
      <c r="BD1070" s="46">
        <v>0</v>
      </c>
      <c r="BE1070" s="113"/>
      <c r="BF1070" s="113"/>
      <c r="BG1070" s="113"/>
      <c r="BH1070" s="113"/>
      <c r="BI1070" s="113"/>
      <c r="BJ1070" s="46">
        <v>0</v>
      </c>
      <c r="BK1070" s="113"/>
      <c r="BL1070" s="113"/>
      <c r="BM1070" s="113"/>
      <c r="BN1070" s="113"/>
      <c r="BO1070" s="113"/>
      <c r="BP1070" s="121"/>
      <c r="BQ1070" s="121"/>
      <c r="GA1070" t="s">
        <v>114</v>
      </c>
      <c r="GB1070" t="s">
        <v>22881</v>
      </c>
      <c r="GC1070" s="46">
        <v>0</v>
      </c>
      <c r="GD1070" s="113"/>
      <c r="GE1070" s="113"/>
      <c r="GF1070" s="113"/>
      <c r="GG1070" s="113"/>
      <c r="GH1070" s="113"/>
      <c r="GI1070" s="46">
        <v>0</v>
      </c>
      <c r="GJ1070" s="113"/>
      <c r="GK1070" s="113"/>
      <c r="GL1070" s="113"/>
      <c r="GM1070" s="113"/>
      <c r="GN1070" s="113"/>
      <c r="GO1070" s="46">
        <v>0</v>
      </c>
      <c r="GP1070" s="113"/>
      <c r="GQ1070" s="113"/>
      <c r="GR1070" s="113"/>
      <c r="GS1070" s="113"/>
      <c r="GT1070" s="113"/>
      <c r="GU1070" s="46">
        <v>0</v>
      </c>
      <c r="GV1070" s="113"/>
      <c r="GW1070" s="113"/>
      <c r="GX1070" s="113"/>
      <c r="GY1070" s="113"/>
      <c r="GZ1070" s="113"/>
      <c r="HA1070" s="46">
        <v>0</v>
      </c>
      <c r="HB1070" s="113"/>
      <c r="HC1070" s="113"/>
      <c r="HD1070" s="113"/>
      <c r="HE1070" s="113"/>
      <c r="HF1070" s="113"/>
      <c r="HG1070" s="46">
        <v>0</v>
      </c>
      <c r="HH1070" s="113"/>
      <c r="HI1070" s="113"/>
      <c r="HJ1070" s="113"/>
      <c r="HK1070" s="113"/>
      <c r="HL1070" s="113"/>
      <c r="HM1070" s="121"/>
      <c r="HN1070" s="121"/>
      <c r="LM1070" t="str">
        <v/>
      </c>
      <c r="LN1070" t="str">
        <v/>
      </c>
      <c r="LO1070" t="str">
        <v/>
      </c>
    </row>
    <row r="1071" spans="30:327">
      <c r="AD1071" t="s">
        <v>114</v>
      </c>
      <c r="AE1071" t="s">
        <v>22882</v>
      </c>
      <c r="AF1071" s="46">
        <v>0</v>
      </c>
      <c r="AG1071" s="113"/>
      <c r="AH1071" s="113"/>
      <c r="AI1071" s="113"/>
      <c r="AJ1071" s="113"/>
      <c r="AK1071" s="113"/>
      <c r="AL1071" s="46">
        <v>0</v>
      </c>
      <c r="AM1071" s="113"/>
      <c r="AN1071" s="113"/>
      <c r="AO1071" s="113"/>
      <c r="AP1071" s="113"/>
      <c r="AQ1071" s="113"/>
      <c r="AR1071" s="46">
        <v>0</v>
      </c>
      <c r="AS1071" s="113"/>
      <c r="AT1071" s="113"/>
      <c r="AU1071" s="113"/>
      <c r="AV1071" s="113"/>
      <c r="AW1071" s="113"/>
      <c r="AX1071" s="46">
        <v>0</v>
      </c>
      <c r="AY1071" s="113"/>
      <c r="AZ1071" s="113"/>
      <c r="BA1071" s="113"/>
      <c r="BB1071" s="113"/>
      <c r="BC1071" s="113"/>
      <c r="BD1071" s="46">
        <v>0</v>
      </c>
      <c r="BE1071" s="113"/>
      <c r="BF1071" s="113"/>
      <c r="BG1071" s="113"/>
      <c r="BH1071" s="113"/>
      <c r="BI1071" s="113"/>
      <c r="BJ1071" s="46">
        <v>0</v>
      </c>
      <c r="BK1071" s="113"/>
      <c r="BL1071" s="113"/>
      <c r="BM1071" s="113"/>
      <c r="BN1071" s="113"/>
      <c r="BO1071" s="113"/>
      <c r="BP1071" s="121"/>
      <c r="BQ1071" s="121"/>
      <c r="GA1071" t="s">
        <v>114</v>
      </c>
      <c r="GB1071" t="s">
        <v>22882</v>
      </c>
      <c r="GC1071" s="46">
        <v>0</v>
      </c>
      <c r="GD1071" s="113"/>
      <c r="GE1071" s="113"/>
      <c r="GF1071" s="113"/>
      <c r="GG1071" s="113"/>
      <c r="GH1071" s="113"/>
      <c r="GI1071" s="46">
        <v>0</v>
      </c>
      <c r="GJ1071" s="113"/>
      <c r="GK1071" s="113"/>
      <c r="GL1071" s="113"/>
      <c r="GM1071" s="113"/>
      <c r="GN1071" s="113"/>
      <c r="GO1071" s="46">
        <v>0</v>
      </c>
      <c r="GP1071" s="113"/>
      <c r="GQ1071" s="113"/>
      <c r="GR1071" s="113"/>
      <c r="GS1071" s="113"/>
      <c r="GT1071" s="113"/>
      <c r="GU1071" s="46">
        <v>0</v>
      </c>
      <c r="GV1071" s="113"/>
      <c r="GW1071" s="113"/>
      <c r="GX1071" s="113"/>
      <c r="GY1071" s="113"/>
      <c r="GZ1071" s="113"/>
      <c r="HA1071" s="46">
        <v>0</v>
      </c>
      <c r="HB1071" s="113"/>
      <c r="HC1071" s="113"/>
      <c r="HD1071" s="113"/>
      <c r="HE1071" s="113"/>
      <c r="HF1071" s="113"/>
      <c r="HG1071" s="46">
        <v>0</v>
      </c>
      <c r="HH1071" s="113"/>
      <c r="HI1071" s="113"/>
      <c r="HJ1071" s="113"/>
      <c r="HK1071" s="113"/>
      <c r="HL1071" s="113"/>
      <c r="HM1071" s="121"/>
      <c r="HN1071" s="121"/>
      <c r="LM1071" t="str">
        <v/>
      </c>
      <c r="LN1071" t="str">
        <v/>
      </c>
      <c r="LO1071" t="str">
        <v/>
      </c>
    </row>
    <row r="1072" spans="30:327">
      <c r="AD1072" t="s">
        <v>114</v>
      </c>
      <c r="AE1072" t="s">
        <v>22883</v>
      </c>
      <c r="AF1072" s="46">
        <v>0</v>
      </c>
      <c r="AG1072" s="113"/>
      <c r="AH1072" s="113"/>
      <c r="AI1072" s="113"/>
      <c r="AJ1072" s="113"/>
      <c r="AK1072" s="113"/>
      <c r="AL1072" s="46">
        <v>0</v>
      </c>
      <c r="AM1072" s="113"/>
      <c r="AN1072" s="113"/>
      <c r="AO1072" s="113"/>
      <c r="AP1072" s="113"/>
      <c r="AQ1072" s="113"/>
      <c r="AR1072" s="46">
        <v>0</v>
      </c>
      <c r="AS1072" s="113"/>
      <c r="AT1072" s="113"/>
      <c r="AU1072" s="113"/>
      <c r="AV1072" s="113"/>
      <c r="AW1072" s="113"/>
      <c r="AX1072" s="46">
        <v>0</v>
      </c>
      <c r="AY1072" s="113"/>
      <c r="AZ1072" s="113"/>
      <c r="BA1072" s="113"/>
      <c r="BB1072" s="113"/>
      <c r="BC1072" s="113"/>
      <c r="BD1072" s="46">
        <v>0</v>
      </c>
      <c r="BE1072" s="113"/>
      <c r="BF1072" s="113"/>
      <c r="BG1072" s="113"/>
      <c r="BH1072" s="113"/>
      <c r="BI1072" s="113"/>
      <c r="BJ1072" s="46">
        <v>0</v>
      </c>
      <c r="BK1072" s="113"/>
      <c r="BL1072" s="113"/>
      <c r="BM1072" s="113"/>
      <c r="BN1072" s="113"/>
      <c r="BO1072" s="113"/>
      <c r="BP1072" s="121"/>
      <c r="BQ1072" s="121"/>
      <c r="GA1072" t="s">
        <v>114</v>
      </c>
      <c r="GB1072" t="s">
        <v>22883</v>
      </c>
      <c r="GC1072" s="46">
        <v>0</v>
      </c>
      <c r="GD1072" s="113"/>
      <c r="GE1072" s="113"/>
      <c r="GF1072" s="113"/>
      <c r="GG1072" s="113"/>
      <c r="GH1072" s="113"/>
      <c r="GI1072" s="46">
        <v>0</v>
      </c>
      <c r="GJ1072" s="113"/>
      <c r="GK1072" s="113"/>
      <c r="GL1072" s="113"/>
      <c r="GM1072" s="113"/>
      <c r="GN1072" s="113"/>
      <c r="GO1072" s="46">
        <v>0</v>
      </c>
      <c r="GP1072" s="113"/>
      <c r="GQ1072" s="113"/>
      <c r="GR1072" s="113"/>
      <c r="GS1072" s="113"/>
      <c r="GT1072" s="113"/>
      <c r="GU1072" s="46">
        <v>0</v>
      </c>
      <c r="GV1072" s="113"/>
      <c r="GW1072" s="113"/>
      <c r="GX1072" s="113"/>
      <c r="GY1072" s="113"/>
      <c r="GZ1072" s="113"/>
      <c r="HA1072" s="46">
        <v>0</v>
      </c>
      <c r="HB1072" s="113"/>
      <c r="HC1072" s="113"/>
      <c r="HD1072" s="113"/>
      <c r="HE1072" s="113"/>
      <c r="HF1072" s="113"/>
      <c r="HG1072" s="46">
        <v>0</v>
      </c>
      <c r="HH1072" s="113"/>
      <c r="HI1072" s="113"/>
      <c r="HJ1072" s="113"/>
      <c r="HK1072" s="113"/>
      <c r="HL1072" s="113"/>
      <c r="HM1072" s="121"/>
      <c r="HN1072" s="121"/>
      <c r="LM1072" t="str">
        <v/>
      </c>
      <c r="LN1072" t="str">
        <v/>
      </c>
      <c r="LO1072" t="str">
        <v/>
      </c>
    </row>
    <row r="1073" spans="30:327">
      <c r="AD1073" t="s">
        <v>114</v>
      </c>
      <c r="AE1073" t="s">
        <v>22884</v>
      </c>
      <c r="AF1073" s="46">
        <v>0</v>
      </c>
      <c r="AG1073" s="113"/>
      <c r="AH1073" s="113"/>
      <c r="AI1073" s="113"/>
      <c r="AJ1073" s="113"/>
      <c r="AK1073" s="113"/>
      <c r="AL1073" s="46">
        <v>0</v>
      </c>
      <c r="AM1073" s="113"/>
      <c r="AN1073" s="113"/>
      <c r="AO1073" s="113"/>
      <c r="AP1073" s="113"/>
      <c r="AQ1073" s="113"/>
      <c r="AR1073" s="46">
        <v>0</v>
      </c>
      <c r="AS1073" s="113"/>
      <c r="AT1073" s="113"/>
      <c r="AU1073" s="113"/>
      <c r="AV1073" s="113"/>
      <c r="AW1073" s="113"/>
      <c r="AX1073" s="46">
        <v>0</v>
      </c>
      <c r="AY1073" s="113"/>
      <c r="AZ1073" s="113"/>
      <c r="BA1073" s="113"/>
      <c r="BB1073" s="113"/>
      <c r="BC1073" s="113"/>
      <c r="BD1073" s="46">
        <v>0</v>
      </c>
      <c r="BE1073" s="113"/>
      <c r="BF1073" s="113"/>
      <c r="BG1073" s="113"/>
      <c r="BH1073" s="113"/>
      <c r="BI1073" s="113"/>
      <c r="BJ1073" s="46">
        <v>0</v>
      </c>
      <c r="BK1073" s="113"/>
      <c r="BL1073" s="113"/>
      <c r="BM1073" s="113"/>
      <c r="BN1073" s="113"/>
      <c r="BO1073" s="113"/>
      <c r="BP1073" s="121"/>
      <c r="BQ1073" s="121"/>
      <c r="GA1073" t="s">
        <v>114</v>
      </c>
      <c r="GB1073" t="s">
        <v>22884</v>
      </c>
      <c r="GC1073" s="46">
        <v>0</v>
      </c>
      <c r="GD1073" s="113"/>
      <c r="GE1073" s="113"/>
      <c r="GF1073" s="113"/>
      <c r="GG1073" s="113"/>
      <c r="GH1073" s="113"/>
      <c r="GI1073" s="46">
        <v>0</v>
      </c>
      <c r="GJ1073" s="113"/>
      <c r="GK1073" s="113"/>
      <c r="GL1073" s="113"/>
      <c r="GM1073" s="113"/>
      <c r="GN1073" s="113"/>
      <c r="GO1073" s="46">
        <v>0</v>
      </c>
      <c r="GP1073" s="113"/>
      <c r="GQ1073" s="113"/>
      <c r="GR1073" s="113"/>
      <c r="GS1073" s="113"/>
      <c r="GT1073" s="113"/>
      <c r="GU1073" s="46">
        <v>0</v>
      </c>
      <c r="GV1073" s="113"/>
      <c r="GW1073" s="113"/>
      <c r="GX1073" s="113"/>
      <c r="GY1073" s="113"/>
      <c r="GZ1073" s="113"/>
      <c r="HA1073" s="46">
        <v>0</v>
      </c>
      <c r="HB1073" s="113"/>
      <c r="HC1073" s="113"/>
      <c r="HD1073" s="113"/>
      <c r="HE1073" s="113"/>
      <c r="HF1073" s="113"/>
      <c r="HG1073" s="46">
        <v>0</v>
      </c>
      <c r="HH1073" s="113"/>
      <c r="HI1073" s="113"/>
      <c r="HJ1073" s="113"/>
      <c r="HK1073" s="113"/>
      <c r="HL1073" s="113"/>
      <c r="HM1073" s="121"/>
      <c r="HN1073" s="121"/>
      <c r="LM1073" t="str">
        <v/>
      </c>
      <c r="LN1073" t="str">
        <v/>
      </c>
      <c r="LO1073" t="str">
        <v/>
      </c>
    </row>
    <row r="1074" spans="30:327">
      <c r="AD1074" t="s">
        <v>114</v>
      </c>
      <c r="AE1074" t="s">
        <v>22885</v>
      </c>
      <c r="AF1074" s="46">
        <v>0</v>
      </c>
      <c r="AG1074" s="113"/>
      <c r="AH1074" s="113"/>
      <c r="AI1074" s="113"/>
      <c r="AJ1074" s="113"/>
      <c r="AK1074" s="113"/>
      <c r="AL1074" s="46">
        <v>0</v>
      </c>
      <c r="AM1074" s="113"/>
      <c r="AN1074" s="113"/>
      <c r="AO1074" s="113"/>
      <c r="AP1074" s="113"/>
      <c r="AQ1074" s="113"/>
      <c r="AR1074" s="46">
        <v>0</v>
      </c>
      <c r="AS1074" s="113"/>
      <c r="AT1074" s="113"/>
      <c r="AU1074" s="113"/>
      <c r="AV1074" s="113"/>
      <c r="AW1074" s="113"/>
      <c r="AX1074" s="46">
        <v>0</v>
      </c>
      <c r="AY1074" s="113"/>
      <c r="AZ1074" s="113"/>
      <c r="BA1074" s="113"/>
      <c r="BB1074" s="113"/>
      <c r="BC1074" s="113"/>
      <c r="BD1074" s="46">
        <v>0</v>
      </c>
      <c r="BE1074" s="113"/>
      <c r="BF1074" s="113"/>
      <c r="BG1074" s="113"/>
      <c r="BH1074" s="113"/>
      <c r="BI1074" s="113"/>
      <c r="BJ1074" s="46">
        <v>0</v>
      </c>
      <c r="BK1074" s="113"/>
      <c r="BL1074" s="113"/>
      <c r="BM1074" s="113"/>
      <c r="BN1074" s="113"/>
      <c r="BO1074" s="113"/>
      <c r="BP1074" s="121"/>
      <c r="BQ1074" s="121"/>
      <c r="GA1074" t="s">
        <v>114</v>
      </c>
      <c r="GB1074" t="s">
        <v>22885</v>
      </c>
      <c r="GC1074" s="46">
        <v>0</v>
      </c>
      <c r="GD1074" s="113"/>
      <c r="GE1074" s="113"/>
      <c r="GF1074" s="113"/>
      <c r="GG1074" s="113"/>
      <c r="GH1074" s="113"/>
      <c r="GI1074" s="46">
        <v>0</v>
      </c>
      <c r="GJ1074" s="113"/>
      <c r="GK1074" s="113"/>
      <c r="GL1074" s="113"/>
      <c r="GM1074" s="113"/>
      <c r="GN1074" s="113"/>
      <c r="GO1074" s="46">
        <v>0</v>
      </c>
      <c r="GP1074" s="113"/>
      <c r="GQ1074" s="113"/>
      <c r="GR1074" s="113"/>
      <c r="GS1074" s="113"/>
      <c r="GT1074" s="113"/>
      <c r="GU1074" s="46">
        <v>0</v>
      </c>
      <c r="GV1074" s="113"/>
      <c r="GW1074" s="113"/>
      <c r="GX1074" s="113"/>
      <c r="GY1074" s="113"/>
      <c r="GZ1074" s="113"/>
      <c r="HA1074" s="46">
        <v>0</v>
      </c>
      <c r="HB1074" s="113"/>
      <c r="HC1074" s="113"/>
      <c r="HD1074" s="113"/>
      <c r="HE1074" s="113"/>
      <c r="HF1074" s="113"/>
      <c r="HG1074" s="46">
        <v>0</v>
      </c>
      <c r="HH1074" s="113"/>
      <c r="HI1074" s="113"/>
      <c r="HJ1074" s="113"/>
      <c r="HK1074" s="113"/>
      <c r="HL1074" s="113"/>
      <c r="HM1074" s="121"/>
      <c r="HN1074" s="121"/>
      <c r="LM1074" t="str">
        <v/>
      </c>
      <c r="LN1074" t="str">
        <v/>
      </c>
      <c r="LO1074" t="str">
        <v/>
      </c>
    </row>
    <row r="1075" spans="30:327">
      <c r="AD1075" t="s">
        <v>114</v>
      </c>
      <c r="AE1075" t="s">
        <v>22886</v>
      </c>
      <c r="AF1075" s="46">
        <v>0</v>
      </c>
      <c r="AG1075" s="113"/>
      <c r="AH1075" s="113"/>
      <c r="AI1075" s="113"/>
      <c r="AJ1075" s="113"/>
      <c r="AK1075" s="113"/>
      <c r="AL1075" s="46">
        <v>0</v>
      </c>
      <c r="AM1075" s="113"/>
      <c r="AN1075" s="113"/>
      <c r="AO1075" s="113"/>
      <c r="AP1075" s="113"/>
      <c r="AQ1075" s="113"/>
      <c r="AR1075" s="46">
        <v>0</v>
      </c>
      <c r="AS1075" s="113"/>
      <c r="AT1075" s="113"/>
      <c r="AU1075" s="113"/>
      <c r="AV1075" s="113"/>
      <c r="AW1075" s="113"/>
      <c r="AX1075" s="46">
        <v>0</v>
      </c>
      <c r="AY1075" s="113"/>
      <c r="AZ1075" s="113"/>
      <c r="BA1075" s="113"/>
      <c r="BB1075" s="113"/>
      <c r="BC1075" s="113"/>
      <c r="BD1075" s="46">
        <v>0</v>
      </c>
      <c r="BE1075" s="113"/>
      <c r="BF1075" s="113"/>
      <c r="BG1075" s="113"/>
      <c r="BH1075" s="113"/>
      <c r="BI1075" s="113"/>
      <c r="BJ1075" s="46">
        <v>0</v>
      </c>
      <c r="BK1075" s="113"/>
      <c r="BL1075" s="113"/>
      <c r="BM1075" s="113"/>
      <c r="BN1075" s="113"/>
      <c r="BO1075" s="113"/>
      <c r="BP1075" s="121"/>
      <c r="BQ1075" s="121"/>
      <c r="GA1075" t="s">
        <v>114</v>
      </c>
      <c r="GB1075" t="s">
        <v>22886</v>
      </c>
      <c r="GC1075" s="46">
        <v>0</v>
      </c>
      <c r="GD1075" s="113"/>
      <c r="GE1075" s="113"/>
      <c r="GF1075" s="113"/>
      <c r="GG1075" s="113"/>
      <c r="GH1075" s="113"/>
      <c r="GI1075" s="46">
        <v>0</v>
      </c>
      <c r="GJ1075" s="113"/>
      <c r="GK1075" s="113"/>
      <c r="GL1075" s="113"/>
      <c r="GM1075" s="113"/>
      <c r="GN1075" s="113"/>
      <c r="GO1075" s="46">
        <v>0</v>
      </c>
      <c r="GP1075" s="113"/>
      <c r="GQ1075" s="113"/>
      <c r="GR1075" s="113"/>
      <c r="GS1075" s="113"/>
      <c r="GT1075" s="113"/>
      <c r="GU1075" s="46">
        <v>0</v>
      </c>
      <c r="GV1075" s="113"/>
      <c r="GW1075" s="113"/>
      <c r="GX1075" s="113"/>
      <c r="GY1075" s="113"/>
      <c r="GZ1075" s="113"/>
      <c r="HA1075" s="46">
        <v>0</v>
      </c>
      <c r="HB1075" s="113"/>
      <c r="HC1075" s="113"/>
      <c r="HD1075" s="113"/>
      <c r="HE1075" s="113"/>
      <c r="HF1075" s="113"/>
      <c r="HG1075" s="46">
        <v>0</v>
      </c>
      <c r="HH1075" s="113"/>
      <c r="HI1075" s="113"/>
      <c r="HJ1075" s="113"/>
      <c r="HK1075" s="113"/>
      <c r="HL1075" s="113"/>
      <c r="HM1075" s="121"/>
      <c r="HN1075" s="121"/>
      <c r="LM1075" t="str">
        <v/>
      </c>
      <c r="LN1075" t="str">
        <v/>
      </c>
      <c r="LO1075" t="str">
        <v/>
      </c>
    </row>
    <row r="1076" spans="30:327">
      <c r="AD1076" t="s">
        <v>114</v>
      </c>
      <c r="AE1076" t="s">
        <v>22887</v>
      </c>
      <c r="AF1076" s="46">
        <v>0</v>
      </c>
      <c r="AG1076" s="113"/>
      <c r="AH1076" s="113"/>
      <c r="AI1076" s="113"/>
      <c r="AJ1076" s="113"/>
      <c r="AK1076" s="113"/>
      <c r="AL1076" s="46">
        <v>0</v>
      </c>
      <c r="AM1076" s="113"/>
      <c r="AN1076" s="113"/>
      <c r="AO1076" s="113"/>
      <c r="AP1076" s="113"/>
      <c r="AQ1076" s="113"/>
      <c r="AR1076" s="46">
        <v>0</v>
      </c>
      <c r="AS1076" s="113"/>
      <c r="AT1076" s="113"/>
      <c r="AU1076" s="113"/>
      <c r="AV1076" s="113"/>
      <c r="AW1076" s="113"/>
      <c r="AX1076" s="46">
        <v>0</v>
      </c>
      <c r="AY1076" s="113"/>
      <c r="AZ1076" s="113"/>
      <c r="BA1076" s="113"/>
      <c r="BB1076" s="113"/>
      <c r="BC1076" s="113"/>
      <c r="BD1076" s="46">
        <v>0</v>
      </c>
      <c r="BE1076" s="113"/>
      <c r="BF1076" s="113"/>
      <c r="BG1076" s="113"/>
      <c r="BH1076" s="113"/>
      <c r="BI1076" s="113"/>
      <c r="BJ1076" s="46">
        <v>0</v>
      </c>
      <c r="BK1076" s="113"/>
      <c r="BL1076" s="113"/>
      <c r="BM1076" s="113"/>
      <c r="BN1076" s="113"/>
      <c r="BO1076" s="113"/>
      <c r="BP1076" s="121"/>
      <c r="BQ1076" s="121"/>
      <c r="GA1076" t="s">
        <v>114</v>
      </c>
      <c r="GB1076" t="s">
        <v>22887</v>
      </c>
      <c r="GC1076" s="46">
        <v>0</v>
      </c>
      <c r="GD1076" s="113"/>
      <c r="GE1076" s="113"/>
      <c r="GF1076" s="113"/>
      <c r="GG1076" s="113"/>
      <c r="GH1076" s="113"/>
      <c r="GI1076" s="46">
        <v>0</v>
      </c>
      <c r="GJ1076" s="113"/>
      <c r="GK1076" s="113"/>
      <c r="GL1076" s="113"/>
      <c r="GM1076" s="113"/>
      <c r="GN1076" s="113"/>
      <c r="GO1076" s="46">
        <v>0</v>
      </c>
      <c r="GP1076" s="113"/>
      <c r="GQ1076" s="113"/>
      <c r="GR1076" s="113"/>
      <c r="GS1076" s="113"/>
      <c r="GT1076" s="113"/>
      <c r="GU1076" s="46">
        <v>0</v>
      </c>
      <c r="GV1076" s="113"/>
      <c r="GW1076" s="113"/>
      <c r="GX1076" s="113"/>
      <c r="GY1076" s="113"/>
      <c r="GZ1076" s="113"/>
      <c r="HA1076" s="46">
        <v>0</v>
      </c>
      <c r="HB1076" s="113"/>
      <c r="HC1076" s="113"/>
      <c r="HD1076" s="113"/>
      <c r="HE1076" s="113"/>
      <c r="HF1076" s="113"/>
      <c r="HG1076" s="46">
        <v>0</v>
      </c>
      <c r="HH1076" s="113"/>
      <c r="HI1076" s="113"/>
      <c r="HJ1076" s="113"/>
      <c r="HK1076" s="113"/>
      <c r="HL1076" s="113"/>
      <c r="HM1076" s="121"/>
      <c r="HN1076" s="121"/>
      <c r="LM1076" t="str">
        <v/>
      </c>
      <c r="LN1076" t="str">
        <v/>
      </c>
      <c r="LO1076" t="str">
        <v/>
      </c>
    </row>
    <row r="1077" spans="30:327">
      <c r="AD1077" t="s">
        <v>114</v>
      </c>
      <c r="AE1077" t="s">
        <v>22888</v>
      </c>
      <c r="AF1077" s="46">
        <v>0</v>
      </c>
      <c r="AG1077" s="113"/>
      <c r="AH1077" s="113"/>
      <c r="AI1077" s="113"/>
      <c r="AJ1077" s="113"/>
      <c r="AK1077" s="113"/>
      <c r="AL1077" s="46">
        <v>0</v>
      </c>
      <c r="AM1077" s="113"/>
      <c r="AN1077" s="113"/>
      <c r="AO1077" s="113"/>
      <c r="AP1077" s="113"/>
      <c r="AQ1077" s="113"/>
      <c r="AR1077" s="46">
        <v>0</v>
      </c>
      <c r="AS1077" s="113"/>
      <c r="AT1077" s="113"/>
      <c r="AU1077" s="113"/>
      <c r="AV1077" s="113"/>
      <c r="AW1077" s="113"/>
      <c r="AX1077" s="46">
        <v>0</v>
      </c>
      <c r="AY1077" s="113"/>
      <c r="AZ1077" s="113"/>
      <c r="BA1077" s="113"/>
      <c r="BB1077" s="113"/>
      <c r="BC1077" s="113"/>
      <c r="BD1077" s="46">
        <v>0</v>
      </c>
      <c r="BE1077" s="113"/>
      <c r="BF1077" s="113"/>
      <c r="BG1077" s="113"/>
      <c r="BH1077" s="113"/>
      <c r="BI1077" s="113"/>
      <c r="BJ1077" s="46">
        <v>0</v>
      </c>
      <c r="BK1077" s="113"/>
      <c r="BL1077" s="113"/>
      <c r="BM1077" s="113"/>
      <c r="BN1077" s="113"/>
      <c r="BO1077" s="113"/>
      <c r="BP1077" s="121"/>
      <c r="BQ1077" s="121"/>
      <c r="GA1077" t="s">
        <v>114</v>
      </c>
      <c r="GB1077" t="s">
        <v>22888</v>
      </c>
      <c r="GC1077" s="46">
        <v>0</v>
      </c>
      <c r="GD1077" s="113"/>
      <c r="GE1077" s="113"/>
      <c r="GF1077" s="113"/>
      <c r="GG1077" s="113"/>
      <c r="GH1077" s="113"/>
      <c r="GI1077" s="46">
        <v>0</v>
      </c>
      <c r="GJ1077" s="113"/>
      <c r="GK1077" s="113"/>
      <c r="GL1077" s="113"/>
      <c r="GM1077" s="113"/>
      <c r="GN1077" s="113"/>
      <c r="GO1077" s="46">
        <v>0</v>
      </c>
      <c r="GP1077" s="113"/>
      <c r="GQ1077" s="113"/>
      <c r="GR1077" s="113"/>
      <c r="GS1077" s="113"/>
      <c r="GT1077" s="113"/>
      <c r="GU1077" s="46">
        <v>0</v>
      </c>
      <c r="GV1077" s="113"/>
      <c r="GW1077" s="113"/>
      <c r="GX1077" s="113"/>
      <c r="GY1077" s="113"/>
      <c r="GZ1077" s="113"/>
      <c r="HA1077" s="46">
        <v>0</v>
      </c>
      <c r="HB1077" s="113"/>
      <c r="HC1077" s="113"/>
      <c r="HD1077" s="113"/>
      <c r="HE1077" s="113"/>
      <c r="HF1077" s="113"/>
      <c r="HG1077" s="46">
        <v>0</v>
      </c>
      <c r="HH1077" s="113"/>
      <c r="HI1077" s="113"/>
      <c r="HJ1077" s="113"/>
      <c r="HK1077" s="113"/>
      <c r="HL1077" s="113"/>
      <c r="HM1077" s="121"/>
      <c r="HN1077" s="121"/>
      <c r="LM1077" t="str">
        <v/>
      </c>
      <c r="LN1077" t="str">
        <v/>
      </c>
      <c r="LO1077" t="str">
        <v/>
      </c>
    </row>
    <row r="1078" spans="30:327">
      <c r="AD1078" t="s">
        <v>114</v>
      </c>
      <c r="AE1078" t="s">
        <v>22889</v>
      </c>
      <c r="AF1078" s="46">
        <v>0</v>
      </c>
      <c r="AG1078" s="113"/>
      <c r="AH1078" s="113"/>
      <c r="AI1078" s="113"/>
      <c r="AJ1078" s="113"/>
      <c r="AK1078" s="113"/>
      <c r="AL1078" s="46">
        <v>0</v>
      </c>
      <c r="AM1078" s="113"/>
      <c r="AN1078" s="113"/>
      <c r="AO1078" s="113"/>
      <c r="AP1078" s="113"/>
      <c r="AQ1078" s="113"/>
      <c r="AR1078" s="46">
        <v>0</v>
      </c>
      <c r="AS1078" s="113"/>
      <c r="AT1078" s="113"/>
      <c r="AU1078" s="113"/>
      <c r="AV1078" s="113"/>
      <c r="AW1078" s="113"/>
      <c r="AX1078" s="46">
        <v>0</v>
      </c>
      <c r="AY1078" s="113"/>
      <c r="AZ1078" s="113"/>
      <c r="BA1078" s="113"/>
      <c r="BB1078" s="113"/>
      <c r="BC1078" s="113"/>
      <c r="BD1078" s="46">
        <v>0</v>
      </c>
      <c r="BE1078" s="113"/>
      <c r="BF1078" s="113"/>
      <c r="BG1078" s="113"/>
      <c r="BH1078" s="113"/>
      <c r="BI1078" s="113"/>
      <c r="BJ1078" s="46">
        <v>0</v>
      </c>
      <c r="BK1078" s="113"/>
      <c r="BL1078" s="113"/>
      <c r="BM1078" s="113"/>
      <c r="BN1078" s="113"/>
      <c r="BO1078" s="113"/>
      <c r="BP1078" s="121"/>
      <c r="BQ1078" s="121"/>
      <c r="GA1078" t="s">
        <v>114</v>
      </c>
      <c r="GB1078" t="s">
        <v>22889</v>
      </c>
      <c r="GC1078" s="46">
        <v>0</v>
      </c>
      <c r="GD1078" s="113"/>
      <c r="GE1078" s="113"/>
      <c r="GF1078" s="113"/>
      <c r="GG1078" s="113"/>
      <c r="GH1078" s="113"/>
      <c r="GI1078" s="46">
        <v>0</v>
      </c>
      <c r="GJ1078" s="113"/>
      <c r="GK1078" s="113"/>
      <c r="GL1078" s="113"/>
      <c r="GM1078" s="113"/>
      <c r="GN1078" s="113"/>
      <c r="GO1078" s="46">
        <v>0</v>
      </c>
      <c r="GP1078" s="113"/>
      <c r="GQ1078" s="113"/>
      <c r="GR1078" s="113"/>
      <c r="GS1078" s="113"/>
      <c r="GT1078" s="113"/>
      <c r="GU1078" s="46">
        <v>0</v>
      </c>
      <c r="GV1078" s="113"/>
      <c r="GW1078" s="113"/>
      <c r="GX1078" s="113"/>
      <c r="GY1078" s="113"/>
      <c r="GZ1078" s="113"/>
      <c r="HA1078" s="46">
        <v>0</v>
      </c>
      <c r="HB1078" s="113"/>
      <c r="HC1078" s="113"/>
      <c r="HD1078" s="113"/>
      <c r="HE1078" s="113"/>
      <c r="HF1078" s="113"/>
      <c r="HG1078" s="46">
        <v>0</v>
      </c>
      <c r="HH1078" s="113"/>
      <c r="HI1078" s="113"/>
      <c r="HJ1078" s="113"/>
      <c r="HK1078" s="113"/>
      <c r="HL1078" s="113"/>
      <c r="HM1078" s="121"/>
      <c r="HN1078" s="121"/>
      <c r="LM1078" t="str">
        <v/>
      </c>
      <c r="LN1078" t="str">
        <v/>
      </c>
      <c r="LO1078" t="str">
        <v/>
      </c>
    </row>
    <row r="1079" spans="30:327">
      <c r="AD1079" t="s">
        <v>114</v>
      </c>
      <c r="AE1079" t="s">
        <v>22890</v>
      </c>
      <c r="AF1079" s="46">
        <v>0</v>
      </c>
      <c r="AG1079" s="113"/>
      <c r="AH1079" s="113"/>
      <c r="AI1079" s="113"/>
      <c r="AJ1079" s="113"/>
      <c r="AK1079" s="113"/>
      <c r="AL1079" s="46">
        <v>0</v>
      </c>
      <c r="AM1079" s="113"/>
      <c r="AN1079" s="113"/>
      <c r="AO1079" s="113"/>
      <c r="AP1079" s="113"/>
      <c r="AQ1079" s="113"/>
      <c r="AR1079" s="46">
        <v>0</v>
      </c>
      <c r="AS1079" s="113"/>
      <c r="AT1079" s="113"/>
      <c r="AU1079" s="113"/>
      <c r="AV1079" s="113"/>
      <c r="AW1079" s="113"/>
      <c r="AX1079" s="46">
        <v>0</v>
      </c>
      <c r="AY1079" s="113"/>
      <c r="AZ1079" s="113"/>
      <c r="BA1079" s="113"/>
      <c r="BB1079" s="113"/>
      <c r="BC1079" s="113"/>
      <c r="BD1079" s="46">
        <v>0</v>
      </c>
      <c r="BE1079" s="113"/>
      <c r="BF1079" s="113"/>
      <c r="BG1079" s="113"/>
      <c r="BH1079" s="113"/>
      <c r="BI1079" s="113"/>
      <c r="BJ1079" s="46">
        <v>0</v>
      </c>
      <c r="BK1079" s="113"/>
      <c r="BL1079" s="113"/>
      <c r="BM1079" s="113"/>
      <c r="BN1079" s="113"/>
      <c r="BO1079" s="113"/>
      <c r="BP1079" s="121"/>
      <c r="BQ1079" s="121"/>
      <c r="GA1079" t="s">
        <v>114</v>
      </c>
      <c r="GB1079" t="s">
        <v>22890</v>
      </c>
      <c r="GC1079" s="46">
        <v>0</v>
      </c>
      <c r="GD1079" s="113"/>
      <c r="GE1079" s="113"/>
      <c r="GF1079" s="113"/>
      <c r="GG1079" s="113"/>
      <c r="GH1079" s="113"/>
      <c r="GI1079" s="46">
        <v>0</v>
      </c>
      <c r="GJ1079" s="113"/>
      <c r="GK1079" s="113"/>
      <c r="GL1079" s="113"/>
      <c r="GM1079" s="113"/>
      <c r="GN1079" s="113"/>
      <c r="GO1079" s="46">
        <v>0</v>
      </c>
      <c r="GP1079" s="113"/>
      <c r="GQ1079" s="113"/>
      <c r="GR1079" s="113"/>
      <c r="GS1079" s="113"/>
      <c r="GT1079" s="113"/>
      <c r="GU1079" s="46">
        <v>0</v>
      </c>
      <c r="GV1079" s="113"/>
      <c r="GW1079" s="113"/>
      <c r="GX1079" s="113"/>
      <c r="GY1079" s="113"/>
      <c r="GZ1079" s="113"/>
      <c r="HA1079" s="46">
        <v>0</v>
      </c>
      <c r="HB1079" s="113"/>
      <c r="HC1079" s="113"/>
      <c r="HD1079" s="113"/>
      <c r="HE1079" s="113"/>
      <c r="HF1079" s="113"/>
      <c r="HG1079" s="46">
        <v>0</v>
      </c>
      <c r="HH1079" s="113"/>
      <c r="HI1079" s="113"/>
      <c r="HJ1079" s="113"/>
      <c r="HK1079" s="113"/>
      <c r="HL1079" s="113"/>
      <c r="HM1079" s="121"/>
      <c r="HN1079" s="121"/>
      <c r="LM1079" t="str">
        <v/>
      </c>
      <c r="LN1079" t="str">
        <v/>
      </c>
      <c r="LO1079" t="str">
        <v/>
      </c>
    </row>
    <row r="1080" spans="30:327">
      <c r="AD1080" t="s">
        <v>114</v>
      </c>
      <c r="AE1080" t="s">
        <v>22891</v>
      </c>
      <c r="AF1080" s="46">
        <v>0</v>
      </c>
      <c r="AG1080" s="113"/>
      <c r="AH1080" s="113"/>
      <c r="AI1080" s="113"/>
      <c r="AJ1080" s="113"/>
      <c r="AK1080" s="113"/>
      <c r="AL1080" s="46">
        <v>0</v>
      </c>
      <c r="AM1080" s="113"/>
      <c r="AN1080" s="113"/>
      <c r="AO1080" s="113"/>
      <c r="AP1080" s="113"/>
      <c r="AQ1080" s="113"/>
      <c r="AR1080" s="46">
        <v>0</v>
      </c>
      <c r="AS1080" s="113"/>
      <c r="AT1080" s="113"/>
      <c r="AU1080" s="113"/>
      <c r="AV1080" s="113"/>
      <c r="AW1080" s="113"/>
      <c r="AX1080" s="46">
        <v>0</v>
      </c>
      <c r="AY1080" s="113"/>
      <c r="AZ1080" s="113"/>
      <c r="BA1080" s="113"/>
      <c r="BB1080" s="113"/>
      <c r="BC1080" s="113"/>
      <c r="BD1080" s="46">
        <v>0</v>
      </c>
      <c r="BE1080" s="113"/>
      <c r="BF1080" s="113"/>
      <c r="BG1080" s="113"/>
      <c r="BH1080" s="113"/>
      <c r="BI1080" s="113"/>
      <c r="BJ1080" s="46">
        <v>0</v>
      </c>
      <c r="BK1080" s="113"/>
      <c r="BL1080" s="113"/>
      <c r="BM1080" s="113"/>
      <c r="BN1080" s="113"/>
      <c r="BO1080" s="113"/>
      <c r="BP1080" s="121"/>
      <c r="BQ1080" s="121"/>
      <c r="GA1080" t="s">
        <v>114</v>
      </c>
      <c r="GB1080" t="s">
        <v>22891</v>
      </c>
      <c r="GC1080" s="46">
        <v>0</v>
      </c>
      <c r="GD1080" s="113"/>
      <c r="GE1080" s="113"/>
      <c r="GF1080" s="113"/>
      <c r="GG1080" s="113"/>
      <c r="GH1080" s="113"/>
      <c r="GI1080" s="46">
        <v>0</v>
      </c>
      <c r="GJ1080" s="113"/>
      <c r="GK1080" s="113"/>
      <c r="GL1080" s="113"/>
      <c r="GM1080" s="113"/>
      <c r="GN1080" s="113"/>
      <c r="GO1080" s="46">
        <v>0</v>
      </c>
      <c r="GP1080" s="113"/>
      <c r="GQ1080" s="113"/>
      <c r="GR1080" s="113"/>
      <c r="GS1080" s="113"/>
      <c r="GT1080" s="113"/>
      <c r="GU1080" s="46">
        <v>0</v>
      </c>
      <c r="GV1080" s="113"/>
      <c r="GW1080" s="113"/>
      <c r="GX1080" s="113"/>
      <c r="GY1080" s="113"/>
      <c r="GZ1080" s="113"/>
      <c r="HA1080" s="46">
        <v>0</v>
      </c>
      <c r="HB1080" s="113"/>
      <c r="HC1080" s="113"/>
      <c r="HD1080" s="113"/>
      <c r="HE1080" s="113"/>
      <c r="HF1080" s="113"/>
      <c r="HG1080" s="46">
        <v>0</v>
      </c>
      <c r="HH1080" s="113"/>
      <c r="HI1080" s="113"/>
      <c r="HJ1080" s="113"/>
      <c r="HK1080" s="113"/>
      <c r="HL1080" s="113"/>
      <c r="HM1080" s="121"/>
      <c r="HN1080" s="121"/>
      <c r="LM1080" t="str">
        <v/>
      </c>
      <c r="LN1080" t="str">
        <v/>
      </c>
      <c r="LO1080" t="str">
        <v/>
      </c>
    </row>
    <row r="1081" spans="30:327">
      <c r="AD1081" t="s">
        <v>114</v>
      </c>
      <c r="AE1081" t="s">
        <v>22892</v>
      </c>
      <c r="AF1081" s="46">
        <v>0</v>
      </c>
      <c r="AG1081" s="113"/>
      <c r="AH1081" s="113"/>
      <c r="AI1081" s="113"/>
      <c r="AJ1081" s="113"/>
      <c r="AK1081" s="113"/>
      <c r="AL1081" s="46">
        <v>0</v>
      </c>
      <c r="AM1081" s="113"/>
      <c r="AN1081" s="113"/>
      <c r="AO1081" s="113"/>
      <c r="AP1081" s="113"/>
      <c r="AQ1081" s="113"/>
      <c r="AR1081" s="46">
        <v>0</v>
      </c>
      <c r="AS1081" s="113"/>
      <c r="AT1081" s="113"/>
      <c r="AU1081" s="113"/>
      <c r="AV1081" s="113"/>
      <c r="AW1081" s="113"/>
      <c r="AX1081" s="46">
        <v>0</v>
      </c>
      <c r="AY1081" s="113"/>
      <c r="AZ1081" s="113"/>
      <c r="BA1081" s="113"/>
      <c r="BB1081" s="113"/>
      <c r="BC1081" s="113"/>
      <c r="BD1081" s="46">
        <v>0</v>
      </c>
      <c r="BE1081" s="113"/>
      <c r="BF1081" s="113"/>
      <c r="BG1081" s="113"/>
      <c r="BH1081" s="113"/>
      <c r="BI1081" s="113"/>
      <c r="BJ1081" s="46">
        <v>0</v>
      </c>
      <c r="BK1081" s="113"/>
      <c r="BL1081" s="113"/>
      <c r="BM1081" s="113"/>
      <c r="BN1081" s="113"/>
      <c r="BO1081" s="113"/>
      <c r="BP1081" s="121"/>
      <c r="BQ1081" s="121"/>
      <c r="GA1081" t="s">
        <v>114</v>
      </c>
      <c r="GB1081" t="s">
        <v>22892</v>
      </c>
      <c r="GC1081" s="46">
        <v>0</v>
      </c>
      <c r="GD1081" s="113"/>
      <c r="GE1081" s="113"/>
      <c r="GF1081" s="113"/>
      <c r="GG1081" s="113"/>
      <c r="GH1081" s="113"/>
      <c r="GI1081" s="46">
        <v>0</v>
      </c>
      <c r="GJ1081" s="113"/>
      <c r="GK1081" s="113"/>
      <c r="GL1081" s="113"/>
      <c r="GM1081" s="113"/>
      <c r="GN1081" s="113"/>
      <c r="GO1081" s="46">
        <v>0</v>
      </c>
      <c r="GP1081" s="113"/>
      <c r="GQ1081" s="113"/>
      <c r="GR1081" s="113"/>
      <c r="GS1081" s="113"/>
      <c r="GT1081" s="113"/>
      <c r="GU1081" s="46">
        <v>0</v>
      </c>
      <c r="GV1081" s="113"/>
      <c r="GW1081" s="113"/>
      <c r="GX1081" s="113"/>
      <c r="GY1081" s="113"/>
      <c r="GZ1081" s="113"/>
      <c r="HA1081" s="46">
        <v>0</v>
      </c>
      <c r="HB1081" s="113"/>
      <c r="HC1081" s="113"/>
      <c r="HD1081" s="113"/>
      <c r="HE1081" s="113"/>
      <c r="HF1081" s="113"/>
      <c r="HG1081" s="46">
        <v>0</v>
      </c>
      <c r="HH1081" s="113"/>
      <c r="HI1081" s="113"/>
      <c r="HJ1081" s="113"/>
      <c r="HK1081" s="113"/>
      <c r="HL1081" s="113"/>
      <c r="HM1081" s="121"/>
      <c r="HN1081" s="121"/>
      <c r="LM1081" t="str">
        <v/>
      </c>
      <c r="LN1081" t="str">
        <v/>
      </c>
      <c r="LO1081" t="str">
        <v/>
      </c>
    </row>
    <row r="1082" spans="30:327">
      <c r="AD1082" t="s">
        <v>114</v>
      </c>
      <c r="AE1082" t="s">
        <v>23177</v>
      </c>
      <c r="AF1082" s="46">
        <v>0</v>
      </c>
      <c r="AG1082" s="113"/>
      <c r="AH1082" s="113"/>
      <c r="AI1082" s="113"/>
      <c r="AJ1082" s="113"/>
      <c r="AK1082" s="113"/>
      <c r="AL1082" s="46">
        <v>0</v>
      </c>
      <c r="AM1082" s="113"/>
      <c r="AN1082" s="113"/>
      <c r="AO1082" s="113"/>
      <c r="AP1082" s="113"/>
      <c r="AQ1082" s="113"/>
      <c r="AR1082" s="46">
        <v>0</v>
      </c>
      <c r="AS1082" s="113"/>
      <c r="AT1082" s="113"/>
      <c r="AU1082" s="113"/>
      <c r="AV1082" s="113"/>
      <c r="AW1082" s="113"/>
      <c r="AX1082" s="46">
        <v>0</v>
      </c>
      <c r="AY1082" s="113"/>
      <c r="AZ1082" s="113"/>
      <c r="BA1082" s="113"/>
      <c r="BB1082" s="113"/>
      <c r="BC1082" s="113"/>
      <c r="BD1082" s="46">
        <v>0</v>
      </c>
      <c r="BE1082" s="113"/>
      <c r="BF1082" s="113"/>
      <c r="BG1082" s="113"/>
      <c r="BH1082" s="113"/>
      <c r="BI1082" s="113"/>
      <c r="BJ1082" s="46">
        <v>0</v>
      </c>
      <c r="BK1082" s="113"/>
      <c r="BL1082" s="113"/>
      <c r="BM1082" s="113"/>
      <c r="BN1082" s="113"/>
      <c r="BO1082" s="113"/>
      <c r="BP1082" s="121"/>
      <c r="BQ1082" s="121"/>
      <c r="GA1082" t="s">
        <v>114</v>
      </c>
      <c r="GB1082" t="s">
        <v>23177</v>
      </c>
      <c r="GC1082" s="46">
        <v>0</v>
      </c>
      <c r="GD1082" s="113"/>
      <c r="GE1082" s="113"/>
      <c r="GF1082" s="113"/>
      <c r="GG1082" s="113"/>
      <c r="GH1082" s="113"/>
      <c r="GI1082" s="46">
        <v>0</v>
      </c>
      <c r="GJ1082" s="113"/>
      <c r="GK1082" s="113"/>
      <c r="GL1082" s="113"/>
      <c r="GM1082" s="113"/>
      <c r="GN1082" s="113"/>
      <c r="GO1082" s="46">
        <v>0</v>
      </c>
      <c r="GP1082" s="113"/>
      <c r="GQ1082" s="113"/>
      <c r="GR1082" s="113"/>
      <c r="GS1082" s="113"/>
      <c r="GT1082" s="113"/>
      <c r="GU1082" s="46">
        <v>0</v>
      </c>
      <c r="GV1082" s="113"/>
      <c r="GW1082" s="113"/>
      <c r="GX1082" s="113"/>
      <c r="GY1082" s="113"/>
      <c r="GZ1082" s="113"/>
      <c r="HA1082" s="46">
        <v>0</v>
      </c>
      <c r="HB1082" s="113"/>
      <c r="HC1082" s="113"/>
      <c r="HD1082" s="113"/>
      <c r="HE1082" s="113"/>
      <c r="HF1082" s="113"/>
      <c r="HG1082" s="46">
        <v>0</v>
      </c>
      <c r="HH1082" s="113"/>
      <c r="HI1082" s="113"/>
      <c r="HJ1082" s="113"/>
      <c r="HK1082" s="113"/>
      <c r="HL1082" s="113"/>
      <c r="HM1082" s="121"/>
      <c r="HN1082" s="121"/>
      <c r="LM1082" t="str">
        <v/>
      </c>
      <c r="LN1082" t="str">
        <v/>
      </c>
      <c r="LO1082" t="str">
        <v/>
      </c>
    </row>
    <row r="1083" spans="30:327">
      <c r="AD1083" t="s">
        <v>114</v>
      </c>
      <c r="AE1083" t="s">
        <v>23178</v>
      </c>
      <c r="AF1083" s="46">
        <v>0</v>
      </c>
      <c r="AG1083" s="113"/>
      <c r="AH1083" s="113"/>
      <c r="AI1083" s="113"/>
      <c r="AJ1083" s="113"/>
      <c r="AK1083" s="113"/>
      <c r="AL1083" s="46">
        <v>0</v>
      </c>
      <c r="AM1083" s="113"/>
      <c r="AN1083" s="113"/>
      <c r="AO1083" s="113"/>
      <c r="AP1083" s="113"/>
      <c r="AQ1083" s="113"/>
      <c r="AR1083" s="46">
        <v>0</v>
      </c>
      <c r="AS1083" s="113"/>
      <c r="AT1083" s="113"/>
      <c r="AU1083" s="113"/>
      <c r="AV1083" s="113"/>
      <c r="AW1083" s="113"/>
      <c r="AX1083" s="46">
        <v>0</v>
      </c>
      <c r="AY1083" s="113"/>
      <c r="AZ1083" s="113"/>
      <c r="BA1083" s="113"/>
      <c r="BB1083" s="113"/>
      <c r="BC1083" s="113"/>
      <c r="BD1083" s="46">
        <v>0</v>
      </c>
      <c r="BE1083" s="113"/>
      <c r="BF1083" s="113"/>
      <c r="BG1083" s="113"/>
      <c r="BH1083" s="113"/>
      <c r="BI1083" s="113"/>
      <c r="BJ1083" s="46">
        <v>0</v>
      </c>
      <c r="BK1083" s="113"/>
      <c r="BL1083" s="113"/>
      <c r="BM1083" s="113"/>
      <c r="BN1083" s="113"/>
      <c r="BO1083" s="113"/>
      <c r="BP1083" s="121"/>
      <c r="BQ1083" s="121"/>
      <c r="GA1083" t="s">
        <v>114</v>
      </c>
      <c r="GB1083" t="s">
        <v>23178</v>
      </c>
      <c r="GC1083" s="46">
        <v>0</v>
      </c>
      <c r="GD1083" s="113"/>
      <c r="GE1083" s="113"/>
      <c r="GF1083" s="113"/>
      <c r="GG1083" s="113"/>
      <c r="GH1083" s="113"/>
      <c r="GI1083" s="46">
        <v>0</v>
      </c>
      <c r="GJ1083" s="113"/>
      <c r="GK1083" s="113"/>
      <c r="GL1083" s="113"/>
      <c r="GM1083" s="113"/>
      <c r="GN1083" s="113"/>
      <c r="GO1083" s="46">
        <v>0</v>
      </c>
      <c r="GP1083" s="113"/>
      <c r="GQ1083" s="113"/>
      <c r="GR1083" s="113"/>
      <c r="GS1083" s="113"/>
      <c r="GT1083" s="113"/>
      <c r="GU1083" s="46">
        <v>0</v>
      </c>
      <c r="GV1083" s="113"/>
      <c r="GW1083" s="113"/>
      <c r="GX1083" s="113"/>
      <c r="GY1083" s="113"/>
      <c r="GZ1083" s="113"/>
      <c r="HA1083" s="46">
        <v>0</v>
      </c>
      <c r="HB1083" s="113"/>
      <c r="HC1083" s="113"/>
      <c r="HD1083" s="113"/>
      <c r="HE1083" s="113"/>
      <c r="HF1083" s="113"/>
      <c r="HG1083" s="46">
        <v>0</v>
      </c>
      <c r="HH1083" s="113"/>
      <c r="HI1083" s="113"/>
      <c r="HJ1083" s="113"/>
      <c r="HK1083" s="113"/>
      <c r="HL1083" s="113"/>
      <c r="HM1083" s="121"/>
      <c r="HN1083" s="121"/>
      <c r="LM1083" t="str">
        <v/>
      </c>
      <c r="LN1083" t="str">
        <v/>
      </c>
      <c r="LO1083" t="str">
        <v/>
      </c>
    </row>
    <row r="1084" spans="30:327">
      <c r="AD1084" t="s">
        <v>114</v>
      </c>
      <c r="AE1084" t="s">
        <v>23179</v>
      </c>
      <c r="AF1084" s="46">
        <v>0</v>
      </c>
      <c r="AG1084" s="113"/>
      <c r="AH1084" s="113"/>
      <c r="AI1084" s="113"/>
      <c r="AJ1084" s="113"/>
      <c r="AK1084" s="113"/>
      <c r="AL1084" s="46">
        <v>0</v>
      </c>
      <c r="AM1084" s="113"/>
      <c r="AN1084" s="113"/>
      <c r="AO1084" s="113"/>
      <c r="AP1084" s="113"/>
      <c r="AQ1084" s="113"/>
      <c r="AR1084" s="46">
        <v>0</v>
      </c>
      <c r="AS1084" s="113"/>
      <c r="AT1084" s="113"/>
      <c r="AU1084" s="113"/>
      <c r="AV1084" s="113"/>
      <c r="AW1084" s="113"/>
      <c r="AX1084" s="46">
        <v>0</v>
      </c>
      <c r="AY1084" s="113"/>
      <c r="AZ1084" s="113"/>
      <c r="BA1084" s="113"/>
      <c r="BB1084" s="113"/>
      <c r="BC1084" s="113"/>
      <c r="BD1084" s="46">
        <v>0</v>
      </c>
      <c r="BE1084" s="113"/>
      <c r="BF1084" s="113"/>
      <c r="BG1084" s="113"/>
      <c r="BH1084" s="113"/>
      <c r="BI1084" s="113"/>
      <c r="BJ1084" s="46">
        <v>0</v>
      </c>
      <c r="BK1084" s="113"/>
      <c r="BL1084" s="113"/>
      <c r="BM1084" s="113"/>
      <c r="BN1084" s="113"/>
      <c r="BO1084" s="113"/>
      <c r="BP1084" s="121"/>
      <c r="BQ1084" s="121"/>
      <c r="GA1084" t="s">
        <v>114</v>
      </c>
      <c r="GB1084" t="s">
        <v>23179</v>
      </c>
      <c r="GC1084" s="46">
        <v>0</v>
      </c>
      <c r="GD1084" s="113"/>
      <c r="GE1084" s="113"/>
      <c r="GF1084" s="113"/>
      <c r="GG1084" s="113"/>
      <c r="GH1084" s="113"/>
      <c r="GI1084" s="46">
        <v>0</v>
      </c>
      <c r="GJ1084" s="113"/>
      <c r="GK1084" s="113"/>
      <c r="GL1084" s="113"/>
      <c r="GM1084" s="113"/>
      <c r="GN1084" s="113"/>
      <c r="GO1084" s="46">
        <v>0</v>
      </c>
      <c r="GP1084" s="113"/>
      <c r="GQ1084" s="113"/>
      <c r="GR1084" s="113"/>
      <c r="GS1084" s="113"/>
      <c r="GT1084" s="113"/>
      <c r="GU1084" s="46">
        <v>0</v>
      </c>
      <c r="GV1084" s="113"/>
      <c r="GW1084" s="113"/>
      <c r="GX1084" s="113"/>
      <c r="GY1084" s="113"/>
      <c r="GZ1084" s="113"/>
      <c r="HA1084" s="46">
        <v>0</v>
      </c>
      <c r="HB1084" s="113"/>
      <c r="HC1084" s="113"/>
      <c r="HD1084" s="113"/>
      <c r="HE1084" s="113"/>
      <c r="HF1084" s="113"/>
      <c r="HG1084" s="46">
        <v>0</v>
      </c>
      <c r="HH1084" s="113"/>
      <c r="HI1084" s="113"/>
      <c r="HJ1084" s="113"/>
      <c r="HK1084" s="113"/>
      <c r="HL1084" s="113"/>
      <c r="HM1084" s="121"/>
      <c r="HN1084" s="121"/>
      <c r="LM1084" t="str">
        <v/>
      </c>
      <c r="LN1084" t="str">
        <v/>
      </c>
      <c r="LO1084" t="str">
        <v/>
      </c>
    </row>
    <row r="1085" spans="30:327">
      <c r="AD1085" t="s">
        <v>114</v>
      </c>
      <c r="AE1085" t="s">
        <v>23180</v>
      </c>
      <c r="AF1085" s="46">
        <v>0</v>
      </c>
      <c r="AG1085" s="113"/>
      <c r="AH1085" s="113"/>
      <c r="AI1085" s="113"/>
      <c r="AJ1085" s="113"/>
      <c r="AK1085" s="113"/>
      <c r="AL1085" s="46">
        <v>0</v>
      </c>
      <c r="AM1085" s="113"/>
      <c r="AN1085" s="113"/>
      <c r="AO1085" s="113"/>
      <c r="AP1085" s="113"/>
      <c r="AQ1085" s="113"/>
      <c r="AR1085" s="46">
        <v>0</v>
      </c>
      <c r="AS1085" s="113"/>
      <c r="AT1085" s="113"/>
      <c r="AU1085" s="113"/>
      <c r="AV1085" s="113"/>
      <c r="AW1085" s="113"/>
      <c r="AX1085" s="46">
        <v>0</v>
      </c>
      <c r="AY1085" s="113"/>
      <c r="AZ1085" s="113"/>
      <c r="BA1085" s="113"/>
      <c r="BB1085" s="113"/>
      <c r="BC1085" s="113"/>
      <c r="BD1085" s="46">
        <v>0</v>
      </c>
      <c r="BE1085" s="113"/>
      <c r="BF1085" s="113"/>
      <c r="BG1085" s="113"/>
      <c r="BH1085" s="113"/>
      <c r="BI1085" s="113"/>
      <c r="BJ1085" s="46">
        <v>0</v>
      </c>
      <c r="BK1085" s="113"/>
      <c r="BL1085" s="113"/>
      <c r="BM1085" s="113"/>
      <c r="BN1085" s="113"/>
      <c r="BO1085" s="113"/>
      <c r="BP1085" s="121"/>
      <c r="BQ1085" s="121"/>
      <c r="GA1085" t="s">
        <v>114</v>
      </c>
      <c r="GB1085" t="s">
        <v>23180</v>
      </c>
      <c r="GC1085" s="46">
        <v>0</v>
      </c>
      <c r="GD1085" s="113"/>
      <c r="GE1085" s="113"/>
      <c r="GF1085" s="113"/>
      <c r="GG1085" s="113"/>
      <c r="GH1085" s="113"/>
      <c r="GI1085" s="46">
        <v>0</v>
      </c>
      <c r="GJ1085" s="113"/>
      <c r="GK1085" s="113"/>
      <c r="GL1085" s="113"/>
      <c r="GM1085" s="113"/>
      <c r="GN1085" s="113"/>
      <c r="GO1085" s="46">
        <v>0</v>
      </c>
      <c r="GP1085" s="113"/>
      <c r="GQ1085" s="113"/>
      <c r="GR1085" s="113"/>
      <c r="GS1085" s="113"/>
      <c r="GT1085" s="113"/>
      <c r="GU1085" s="46">
        <v>0</v>
      </c>
      <c r="GV1085" s="113"/>
      <c r="GW1085" s="113"/>
      <c r="GX1085" s="113"/>
      <c r="GY1085" s="113"/>
      <c r="GZ1085" s="113"/>
      <c r="HA1085" s="46">
        <v>0</v>
      </c>
      <c r="HB1085" s="113"/>
      <c r="HC1085" s="113"/>
      <c r="HD1085" s="113"/>
      <c r="HE1085" s="113"/>
      <c r="HF1085" s="113"/>
      <c r="HG1085" s="46">
        <v>0</v>
      </c>
      <c r="HH1085" s="113"/>
      <c r="HI1085" s="113"/>
      <c r="HJ1085" s="113"/>
      <c r="HK1085" s="113"/>
      <c r="HL1085" s="113"/>
      <c r="HM1085" s="121"/>
      <c r="HN1085" s="121"/>
      <c r="LM1085" t="str">
        <v/>
      </c>
      <c r="LN1085" t="str">
        <v/>
      </c>
      <c r="LO1085" t="str">
        <v/>
      </c>
    </row>
    <row r="1086" spans="30:327">
      <c r="AD1086" t="s">
        <v>114</v>
      </c>
      <c r="AE1086" t="s">
        <v>23181</v>
      </c>
      <c r="AF1086" s="46">
        <v>0</v>
      </c>
      <c r="AG1086" s="113"/>
      <c r="AH1086" s="113"/>
      <c r="AI1086" s="113"/>
      <c r="AJ1086" s="113"/>
      <c r="AK1086" s="113"/>
      <c r="AL1086" s="46">
        <v>0</v>
      </c>
      <c r="AM1086" s="113"/>
      <c r="AN1086" s="113"/>
      <c r="AO1086" s="113"/>
      <c r="AP1086" s="113"/>
      <c r="AQ1086" s="113"/>
      <c r="AR1086" s="46">
        <v>0</v>
      </c>
      <c r="AS1086" s="113"/>
      <c r="AT1086" s="113"/>
      <c r="AU1086" s="113"/>
      <c r="AV1086" s="113"/>
      <c r="AW1086" s="113"/>
      <c r="AX1086" s="46">
        <v>0</v>
      </c>
      <c r="AY1086" s="113"/>
      <c r="AZ1086" s="113"/>
      <c r="BA1086" s="113"/>
      <c r="BB1086" s="113"/>
      <c r="BC1086" s="113"/>
      <c r="BD1086" s="46">
        <v>0</v>
      </c>
      <c r="BE1086" s="113"/>
      <c r="BF1086" s="113"/>
      <c r="BG1086" s="113"/>
      <c r="BH1086" s="113"/>
      <c r="BI1086" s="113"/>
      <c r="BJ1086" s="46">
        <v>0</v>
      </c>
      <c r="BK1086" s="113"/>
      <c r="BL1086" s="113"/>
      <c r="BM1086" s="113"/>
      <c r="BN1086" s="113"/>
      <c r="BO1086" s="113"/>
      <c r="BP1086" s="121"/>
      <c r="BQ1086" s="121"/>
      <c r="GA1086" t="s">
        <v>114</v>
      </c>
      <c r="GB1086" t="s">
        <v>23181</v>
      </c>
      <c r="GC1086" s="46">
        <v>0</v>
      </c>
      <c r="GD1086" s="113"/>
      <c r="GE1086" s="113"/>
      <c r="GF1086" s="113"/>
      <c r="GG1086" s="113"/>
      <c r="GH1086" s="113"/>
      <c r="GI1086" s="46">
        <v>0</v>
      </c>
      <c r="GJ1086" s="113"/>
      <c r="GK1086" s="113"/>
      <c r="GL1086" s="113"/>
      <c r="GM1086" s="113"/>
      <c r="GN1086" s="113"/>
      <c r="GO1086" s="46">
        <v>0</v>
      </c>
      <c r="GP1086" s="113"/>
      <c r="GQ1086" s="113"/>
      <c r="GR1086" s="113"/>
      <c r="GS1086" s="113"/>
      <c r="GT1086" s="113"/>
      <c r="GU1086" s="46">
        <v>0</v>
      </c>
      <c r="GV1086" s="113"/>
      <c r="GW1086" s="113"/>
      <c r="GX1086" s="113"/>
      <c r="GY1086" s="113"/>
      <c r="GZ1086" s="113"/>
      <c r="HA1086" s="46">
        <v>0</v>
      </c>
      <c r="HB1086" s="113"/>
      <c r="HC1086" s="113"/>
      <c r="HD1086" s="113"/>
      <c r="HE1086" s="113"/>
      <c r="HF1086" s="113"/>
      <c r="HG1086" s="46">
        <v>0</v>
      </c>
      <c r="HH1086" s="113"/>
      <c r="HI1086" s="113"/>
      <c r="HJ1086" s="113"/>
      <c r="HK1086" s="113"/>
      <c r="HL1086" s="113"/>
      <c r="HM1086" s="121"/>
      <c r="HN1086" s="121"/>
      <c r="LM1086" t="str">
        <v/>
      </c>
      <c r="LN1086" t="str">
        <v/>
      </c>
      <c r="LO1086" t="str">
        <v/>
      </c>
    </row>
    <row r="1087" spans="30:327">
      <c r="AD1087" t="s">
        <v>114</v>
      </c>
      <c r="AE1087" t="s">
        <v>23182</v>
      </c>
      <c r="AF1087" s="46">
        <v>0</v>
      </c>
      <c r="AG1087" s="113"/>
      <c r="AH1087" s="113"/>
      <c r="AI1087" s="113"/>
      <c r="AJ1087" s="113"/>
      <c r="AK1087" s="113"/>
      <c r="AL1087" s="46">
        <v>0</v>
      </c>
      <c r="AM1087" s="113"/>
      <c r="AN1087" s="113"/>
      <c r="AO1087" s="113"/>
      <c r="AP1087" s="113"/>
      <c r="AQ1087" s="113"/>
      <c r="AR1087" s="46">
        <v>0</v>
      </c>
      <c r="AS1087" s="113"/>
      <c r="AT1087" s="113"/>
      <c r="AU1087" s="113"/>
      <c r="AV1087" s="113"/>
      <c r="AW1087" s="113"/>
      <c r="AX1087" s="46">
        <v>0</v>
      </c>
      <c r="AY1087" s="113"/>
      <c r="AZ1087" s="113"/>
      <c r="BA1087" s="113"/>
      <c r="BB1087" s="113"/>
      <c r="BC1087" s="113"/>
      <c r="BD1087" s="46">
        <v>0</v>
      </c>
      <c r="BE1087" s="113"/>
      <c r="BF1087" s="113"/>
      <c r="BG1087" s="113"/>
      <c r="BH1087" s="113"/>
      <c r="BI1087" s="113"/>
      <c r="BJ1087" s="46">
        <v>0</v>
      </c>
      <c r="BK1087" s="113"/>
      <c r="BL1087" s="113"/>
      <c r="BM1087" s="113"/>
      <c r="BN1087" s="113"/>
      <c r="BO1087" s="113"/>
      <c r="BP1087" s="121"/>
      <c r="BQ1087" s="121"/>
      <c r="GA1087" t="s">
        <v>114</v>
      </c>
      <c r="GB1087" t="s">
        <v>23182</v>
      </c>
      <c r="GC1087" s="46">
        <v>0</v>
      </c>
      <c r="GD1087" s="113"/>
      <c r="GE1087" s="113"/>
      <c r="GF1087" s="113"/>
      <c r="GG1087" s="113"/>
      <c r="GH1087" s="113"/>
      <c r="GI1087" s="46">
        <v>0</v>
      </c>
      <c r="GJ1087" s="113"/>
      <c r="GK1087" s="113"/>
      <c r="GL1087" s="113"/>
      <c r="GM1087" s="113"/>
      <c r="GN1087" s="113"/>
      <c r="GO1087" s="46">
        <v>0</v>
      </c>
      <c r="GP1087" s="113"/>
      <c r="GQ1087" s="113"/>
      <c r="GR1087" s="113"/>
      <c r="GS1087" s="113"/>
      <c r="GT1087" s="113"/>
      <c r="GU1087" s="46">
        <v>0</v>
      </c>
      <c r="GV1087" s="113"/>
      <c r="GW1087" s="113"/>
      <c r="GX1087" s="113"/>
      <c r="GY1087" s="113"/>
      <c r="GZ1087" s="113"/>
      <c r="HA1087" s="46">
        <v>0</v>
      </c>
      <c r="HB1087" s="113"/>
      <c r="HC1087" s="113"/>
      <c r="HD1087" s="113"/>
      <c r="HE1087" s="113"/>
      <c r="HF1087" s="113"/>
      <c r="HG1087" s="46">
        <v>0</v>
      </c>
      <c r="HH1087" s="113"/>
      <c r="HI1087" s="113"/>
      <c r="HJ1087" s="113"/>
      <c r="HK1087" s="113"/>
      <c r="HL1087" s="113"/>
      <c r="HM1087" s="121"/>
      <c r="HN1087" s="121"/>
      <c r="LM1087" t="str">
        <v/>
      </c>
      <c r="LN1087" t="str">
        <v/>
      </c>
      <c r="LO1087" t="str">
        <v/>
      </c>
    </row>
    <row r="1088" spans="30:327">
      <c r="AD1088" t="s">
        <v>114</v>
      </c>
      <c r="AE1088" t="s">
        <v>23183</v>
      </c>
      <c r="AF1088" s="46">
        <v>0</v>
      </c>
      <c r="AG1088" s="113"/>
      <c r="AH1088" s="113"/>
      <c r="AI1088" s="113"/>
      <c r="AJ1088" s="113"/>
      <c r="AK1088" s="113"/>
      <c r="AL1088" s="46">
        <v>0</v>
      </c>
      <c r="AM1088" s="113"/>
      <c r="AN1088" s="113"/>
      <c r="AO1088" s="113"/>
      <c r="AP1088" s="113"/>
      <c r="AQ1088" s="113"/>
      <c r="AR1088" s="46">
        <v>0</v>
      </c>
      <c r="AS1088" s="113"/>
      <c r="AT1088" s="113"/>
      <c r="AU1088" s="113"/>
      <c r="AV1088" s="113"/>
      <c r="AW1088" s="113"/>
      <c r="AX1088" s="46">
        <v>0</v>
      </c>
      <c r="AY1088" s="113"/>
      <c r="AZ1088" s="113"/>
      <c r="BA1088" s="113"/>
      <c r="BB1088" s="113"/>
      <c r="BC1088" s="113"/>
      <c r="BD1088" s="46">
        <v>0</v>
      </c>
      <c r="BE1088" s="113"/>
      <c r="BF1088" s="113"/>
      <c r="BG1088" s="113"/>
      <c r="BH1088" s="113"/>
      <c r="BI1088" s="113"/>
      <c r="BJ1088" s="46">
        <v>0</v>
      </c>
      <c r="BK1088" s="113"/>
      <c r="BL1088" s="113"/>
      <c r="BM1088" s="113"/>
      <c r="BN1088" s="113"/>
      <c r="BO1088" s="113"/>
      <c r="BP1088" s="121"/>
      <c r="BQ1088" s="121"/>
      <c r="GA1088" t="s">
        <v>114</v>
      </c>
      <c r="GB1088" t="s">
        <v>23183</v>
      </c>
      <c r="GC1088" s="46">
        <v>0</v>
      </c>
      <c r="GD1088" s="113"/>
      <c r="GE1088" s="113"/>
      <c r="GF1088" s="113"/>
      <c r="GG1088" s="113"/>
      <c r="GH1088" s="113"/>
      <c r="GI1088" s="46">
        <v>0</v>
      </c>
      <c r="GJ1088" s="113"/>
      <c r="GK1088" s="113"/>
      <c r="GL1088" s="113"/>
      <c r="GM1088" s="113"/>
      <c r="GN1088" s="113"/>
      <c r="GO1088" s="46">
        <v>0</v>
      </c>
      <c r="GP1088" s="113"/>
      <c r="GQ1088" s="113"/>
      <c r="GR1088" s="113"/>
      <c r="GS1088" s="113"/>
      <c r="GT1088" s="113"/>
      <c r="GU1088" s="46">
        <v>0</v>
      </c>
      <c r="GV1088" s="113"/>
      <c r="GW1088" s="113"/>
      <c r="GX1088" s="113"/>
      <c r="GY1088" s="113"/>
      <c r="GZ1088" s="113"/>
      <c r="HA1088" s="46">
        <v>0</v>
      </c>
      <c r="HB1088" s="113"/>
      <c r="HC1088" s="113"/>
      <c r="HD1088" s="113"/>
      <c r="HE1088" s="113"/>
      <c r="HF1088" s="113"/>
      <c r="HG1088" s="46">
        <v>0</v>
      </c>
      <c r="HH1088" s="113"/>
      <c r="HI1088" s="113"/>
      <c r="HJ1088" s="113"/>
      <c r="HK1088" s="113"/>
      <c r="HL1088" s="113"/>
      <c r="HM1088" s="121"/>
      <c r="HN1088" s="121"/>
      <c r="LM1088" t="str">
        <v/>
      </c>
      <c r="LN1088" t="str">
        <v/>
      </c>
      <c r="LO1088" t="str">
        <v/>
      </c>
    </row>
    <row r="1089" spans="30:327">
      <c r="AD1089" t="s">
        <v>114</v>
      </c>
      <c r="AE1089" t="s">
        <v>23184</v>
      </c>
      <c r="AF1089" s="46">
        <v>0</v>
      </c>
      <c r="AG1089" s="113"/>
      <c r="AH1089" s="113"/>
      <c r="AI1089" s="113"/>
      <c r="AJ1089" s="113"/>
      <c r="AK1089" s="113"/>
      <c r="AL1089" s="46">
        <v>0</v>
      </c>
      <c r="AM1089" s="113"/>
      <c r="AN1089" s="113"/>
      <c r="AO1089" s="113"/>
      <c r="AP1089" s="113"/>
      <c r="AQ1089" s="113"/>
      <c r="AR1089" s="46">
        <v>0</v>
      </c>
      <c r="AS1089" s="113"/>
      <c r="AT1089" s="113"/>
      <c r="AU1089" s="113"/>
      <c r="AV1089" s="113"/>
      <c r="AW1089" s="113"/>
      <c r="AX1089" s="46">
        <v>0</v>
      </c>
      <c r="AY1089" s="113"/>
      <c r="AZ1089" s="113"/>
      <c r="BA1089" s="113"/>
      <c r="BB1089" s="113"/>
      <c r="BC1089" s="113"/>
      <c r="BD1089" s="46">
        <v>0</v>
      </c>
      <c r="BE1089" s="113"/>
      <c r="BF1089" s="113"/>
      <c r="BG1089" s="113"/>
      <c r="BH1089" s="113"/>
      <c r="BI1089" s="113"/>
      <c r="BJ1089" s="46">
        <v>0</v>
      </c>
      <c r="BK1089" s="113"/>
      <c r="BL1089" s="113"/>
      <c r="BM1089" s="113"/>
      <c r="BN1089" s="113"/>
      <c r="BO1089" s="113"/>
      <c r="BP1089" s="121"/>
      <c r="BQ1089" s="121"/>
      <c r="GA1089" t="s">
        <v>114</v>
      </c>
      <c r="GB1089" t="s">
        <v>23184</v>
      </c>
      <c r="GC1089" s="46">
        <v>0</v>
      </c>
      <c r="GD1089" s="113"/>
      <c r="GE1089" s="113"/>
      <c r="GF1089" s="113"/>
      <c r="GG1089" s="113"/>
      <c r="GH1089" s="113"/>
      <c r="GI1089" s="46">
        <v>0</v>
      </c>
      <c r="GJ1089" s="113"/>
      <c r="GK1089" s="113"/>
      <c r="GL1089" s="113"/>
      <c r="GM1089" s="113"/>
      <c r="GN1089" s="113"/>
      <c r="GO1089" s="46">
        <v>0</v>
      </c>
      <c r="GP1089" s="113"/>
      <c r="GQ1089" s="113"/>
      <c r="GR1089" s="113"/>
      <c r="GS1089" s="113"/>
      <c r="GT1089" s="113"/>
      <c r="GU1089" s="46">
        <v>0</v>
      </c>
      <c r="GV1089" s="113"/>
      <c r="GW1089" s="113"/>
      <c r="GX1089" s="113"/>
      <c r="GY1089" s="113"/>
      <c r="GZ1089" s="113"/>
      <c r="HA1089" s="46">
        <v>0</v>
      </c>
      <c r="HB1089" s="113"/>
      <c r="HC1089" s="113"/>
      <c r="HD1089" s="113"/>
      <c r="HE1089" s="113"/>
      <c r="HF1089" s="113"/>
      <c r="HG1089" s="46">
        <v>0</v>
      </c>
      <c r="HH1089" s="113"/>
      <c r="HI1089" s="113"/>
      <c r="HJ1089" s="113"/>
      <c r="HK1089" s="113"/>
      <c r="HL1089" s="113"/>
      <c r="HM1089" s="121"/>
      <c r="HN1089" s="121"/>
      <c r="LM1089" t="str">
        <v/>
      </c>
      <c r="LN1089" t="str">
        <v/>
      </c>
      <c r="LO1089" t="str">
        <v/>
      </c>
    </row>
    <row r="1090" spans="30:327">
      <c r="AD1090" t="s">
        <v>114</v>
      </c>
      <c r="AE1090" t="s">
        <v>23185</v>
      </c>
      <c r="AF1090" s="46">
        <v>0</v>
      </c>
      <c r="AG1090" s="113"/>
      <c r="AH1090" s="113"/>
      <c r="AI1090" s="113"/>
      <c r="AJ1090" s="113"/>
      <c r="AK1090" s="113"/>
      <c r="AL1090" s="46">
        <v>0</v>
      </c>
      <c r="AM1090" s="113"/>
      <c r="AN1090" s="113"/>
      <c r="AO1090" s="113"/>
      <c r="AP1090" s="113"/>
      <c r="AQ1090" s="113"/>
      <c r="AR1090" s="46">
        <v>0</v>
      </c>
      <c r="AS1090" s="113"/>
      <c r="AT1090" s="113"/>
      <c r="AU1090" s="113"/>
      <c r="AV1090" s="113"/>
      <c r="AW1090" s="113"/>
      <c r="AX1090" s="46">
        <v>0</v>
      </c>
      <c r="AY1090" s="113"/>
      <c r="AZ1090" s="113"/>
      <c r="BA1090" s="113"/>
      <c r="BB1090" s="113"/>
      <c r="BC1090" s="113"/>
      <c r="BD1090" s="46">
        <v>0</v>
      </c>
      <c r="BE1090" s="113"/>
      <c r="BF1090" s="113"/>
      <c r="BG1090" s="113"/>
      <c r="BH1090" s="113"/>
      <c r="BI1090" s="113"/>
      <c r="BJ1090" s="46">
        <v>0</v>
      </c>
      <c r="BK1090" s="113"/>
      <c r="BL1090" s="113"/>
      <c r="BM1090" s="113"/>
      <c r="BN1090" s="113"/>
      <c r="BO1090" s="113"/>
      <c r="BP1090" s="121"/>
      <c r="BQ1090" s="121"/>
      <c r="GA1090" t="s">
        <v>114</v>
      </c>
      <c r="GB1090" t="s">
        <v>23185</v>
      </c>
      <c r="GC1090" s="46">
        <v>0</v>
      </c>
      <c r="GD1090" s="113"/>
      <c r="GE1090" s="113"/>
      <c r="GF1090" s="113"/>
      <c r="GG1090" s="113"/>
      <c r="GH1090" s="113"/>
      <c r="GI1090" s="46">
        <v>0</v>
      </c>
      <c r="GJ1090" s="113"/>
      <c r="GK1090" s="113"/>
      <c r="GL1090" s="113"/>
      <c r="GM1090" s="113"/>
      <c r="GN1090" s="113"/>
      <c r="GO1090" s="46">
        <v>0</v>
      </c>
      <c r="GP1090" s="113"/>
      <c r="GQ1090" s="113"/>
      <c r="GR1090" s="113"/>
      <c r="GS1090" s="113"/>
      <c r="GT1090" s="113"/>
      <c r="GU1090" s="46">
        <v>0</v>
      </c>
      <c r="GV1090" s="113"/>
      <c r="GW1090" s="113"/>
      <c r="GX1090" s="113"/>
      <c r="GY1090" s="113"/>
      <c r="GZ1090" s="113"/>
      <c r="HA1090" s="46">
        <v>0</v>
      </c>
      <c r="HB1090" s="113"/>
      <c r="HC1090" s="113"/>
      <c r="HD1090" s="113"/>
      <c r="HE1090" s="113"/>
      <c r="HF1090" s="113"/>
      <c r="HG1090" s="46">
        <v>0</v>
      </c>
      <c r="HH1090" s="113"/>
      <c r="HI1090" s="113"/>
      <c r="HJ1090" s="113"/>
      <c r="HK1090" s="113"/>
      <c r="HL1090" s="113"/>
      <c r="HM1090" s="121"/>
      <c r="HN1090" s="121"/>
      <c r="LM1090" t="str">
        <v/>
      </c>
      <c r="LN1090" t="str">
        <v/>
      </c>
      <c r="LO1090" t="str">
        <v/>
      </c>
    </row>
    <row r="1091" spans="30:327">
      <c r="AD1091" t="s">
        <v>114</v>
      </c>
      <c r="AE1091" t="s">
        <v>23186</v>
      </c>
      <c r="AF1091" s="46">
        <v>0</v>
      </c>
      <c r="AG1091" s="113"/>
      <c r="AH1091" s="113"/>
      <c r="AI1091" s="113"/>
      <c r="AJ1091" s="113"/>
      <c r="AK1091" s="113"/>
      <c r="AL1091" s="46">
        <v>0</v>
      </c>
      <c r="AM1091" s="113"/>
      <c r="AN1091" s="113"/>
      <c r="AO1091" s="113"/>
      <c r="AP1091" s="113"/>
      <c r="AQ1091" s="113"/>
      <c r="AR1091" s="46">
        <v>0</v>
      </c>
      <c r="AS1091" s="113"/>
      <c r="AT1091" s="113"/>
      <c r="AU1091" s="113"/>
      <c r="AV1091" s="113"/>
      <c r="AW1091" s="113"/>
      <c r="AX1091" s="46">
        <v>0</v>
      </c>
      <c r="AY1091" s="113"/>
      <c r="AZ1091" s="113"/>
      <c r="BA1091" s="113"/>
      <c r="BB1091" s="113"/>
      <c r="BC1091" s="113"/>
      <c r="BD1091" s="46">
        <v>0</v>
      </c>
      <c r="BE1091" s="113"/>
      <c r="BF1091" s="113"/>
      <c r="BG1091" s="113"/>
      <c r="BH1091" s="113"/>
      <c r="BI1091" s="113"/>
      <c r="BJ1091" s="46">
        <v>0</v>
      </c>
      <c r="BK1091" s="113"/>
      <c r="BL1091" s="113"/>
      <c r="BM1091" s="113"/>
      <c r="BN1091" s="113"/>
      <c r="BO1091" s="113"/>
      <c r="BP1091" s="121"/>
      <c r="BQ1091" s="121"/>
      <c r="GA1091" t="s">
        <v>114</v>
      </c>
      <c r="GB1091" t="s">
        <v>23186</v>
      </c>
      <c r="GC1091" s="46">
        <v>0</v>
      </c>
      <c r="GD1091" s="113"/>
      <c r="GE1091" s="113"/>
      <c r="GF1091" s="113"/>
      <c r="GG1091" s="113"/>
      <c r="GH1091" s="113"/>
      <c r="GI1091" s="46">
        <v>0</v>
      </c>
      <c r="GJ1091" s="113"/>
      <c r="GK1091" s="113"/>
      <c r="GL1091" s="113"/>
      <c r="GM1091" s="113"/>
      <c r="GN1091" s="113"/>
      <c r="GO1091" s="46">
        <v>0</v>
      </c>
      <c r="GP1091" s="113"/>
      <c r="GQ1091" s="113"/>
      <c r="GR1091" s="113"/>
      <c r="GS1091" s="113"/>
      <c r="GT1091" s="113"/>
      <c r="GU1091" s="46">
        <v>0</v>
      </c>
      <c r="GV1091" s="113"/>
      <c r="GW1091" s="113"/>
      <c r="GX1091" s="113"/>
      <c r="GY1091" s="113"/>
      <c r="GZ1091" s="113"/>
      <c r="HA1091" s="46">
        <v>0</v>
      </c>
      <c r="HB1091" s="113"/>
      <c r="HC1091" s="113"/>
      <c r="HD1091" s="113"/>
      <c r="HE1091" s="113"/>
      <c r="HF1091" s="113"/>
      <c r="HG1091" s="46">
        <v>0</v>
      </c>
      <c r="HH1091" s="113"/>
      <c r="HI1091" s="113"/>
      <c r="HJ1091" s="113"/>
      <c r="HK1091" s="113"/>
      <c r="HL1091" s="113"/>
      <c r="HM1091" s="121"/>
      <c r="HN1091" s="121"/>
      <c r="LM1091" t="str">
        <v/>
      </c>
      <c r="LN1091" t="str">
        <v/>
      </c>
      <c r="LO1091" t="str">
        <v/>
      </c>
    </row>
    <row r="1092" spans="30:327">
      <c r="AD1092" t="s">
        <v>114</v>
      </c>
      <c r="AE1092" t="s">
        <v>23187</v>
      </c>
      <c r="AF1092" s="46">
        <v>0</v>
      </c>
      <c r="AG1092" s="113"/>
      <c r="AH1092" s="113"/>
      <c r="AI1092" s="113"/>
      <c r="AJ1092" s="113"/>
      <c r="AK1092" s="113"/>
      <c r="AL1092" s="46">
        <v>0</v>
      </c>
      <c r="AM1092" s="113"/>
      <c r="AN1092" s="113"/>
      <c r="AO1092" s="113"/>
      <c r="AP1092" s="113"/>
      <c r="AQ1092" s="113"/>
      <c r="AR1092" s="46">
        <v>0</v>
      </c>
      <c r="AS1092" s="113"/>
      <c r="AT1092" s="113"/>
      <c r="AU1092" s="113"/>
      <c r="AV1092" s="113"/>
      <c r="AW1092" s="113"/>
      <c r="AX1092" s="46">
        <v>0</v>
      </c>
      <c r="AY1092" s="113"/>
      <c r="AZ1092" s="113"/>
      <c r="BA1092" s="113"/>
      <c r="BB1092" s="113"/>
      <c r="BC1092" s="113"/>
      <c r="BD1092" s="46">
        <v>0</v>
      </c>
      <c r="BE1092" s="113"/>
      <c r="BF1092" s="113"/>
      <c r="BG1092" s="113"/>
      <c r="BH1092" s="113"/>
      <c r="BI1092" s="113"/>
      <c r="BJ1092" s="46">
        <v>0</v>
      </c>
      <c r="BK1092" s="113"/>
      <c r="BL1092" s="113"/>
      <c r="BM1092" s="113"/>
      <c r="BN1092" s="113"/>
      <c r="BO1092" s="113"/>
      <c r="BP1092" s="121"/>
      <c r="BQ1092" s="121"/>
      <c r="GA1092" t="s">
        <v>114</v>
      </c>
      <c r="GB1092" t="s">
        <v>23187</v>
      </c>
      <c r="GC1092" s="46">
        <v>0</v>
      </c>
      <c r="GD1092" s="113"/>
      <c r="GE1092" s="113"/>
      <c r="GF1092" s="113"/>
      <c r="GG1092" s="113"/>
      <c r="GH1092" s="113"/>
      <c r="GI1092" s="46">
        <v>0</v>
      </c>
      <c r="GJ1092" s="113"/>
      <c r="GK1092" s="113"/>
      <c r="GL1092" s="113"/>
      <c r="GM1092" s="113"/>
      <c r="GN1092" s="113"/>
      <c r="GO1092" s="46">
        <v>0</v>
      </c>
      <c r="GP1092" s="113"/>
      <c r="GQ1092" s="113"/>
      <c r="GR1092" s="113"/>
      <c r="GS1092" s="113"/>
      <c r="GT1092" s="113"/>
      <c r="GU1092" s="46">
        <v>0</v>
      </c>
      <c r="GV1092" s="113"/>
      <c r="GW1092" s="113"/>
      <c r="GX1092" s="113"/>
      <c r="GY1092" s="113"/>
      <c r="GZ1092" s="113"/>
      <c r="HA1092" s="46">
        <v>0</v>
      </c>
      <c r="HB1092" s="113"/>
      <c r="HC1092" s="113"/>
      <c r="HD1092" s="113"/>
      <c r="HE1092" s="113"/>
      <c r="HF1092" s="113"/>
      <c r="HG1092" s="46">
        <v>0</v>
      </c>
      <c r="HH1092" s="113"/>
      <c r="HI1092" s="113"/>
      <c r="HJ1092" s="113"/>
      <c r="HK1092" s="113"/>
      <c r="HL1092" s="113"/>
      <c r="HM1092" s="121"/>
      <c r="HN1092" s="121"/>
      <c r="LM1092" t="str">
        <v/>
      </c>
      <c r="LN1092" t="str">
        <v/>
      </c>
      <c r="LO1092" t="str">
        <v/>
      </c>
    </row>
    <row r="1093" spans="30:327">
      <c r="AD1093" t="s">
        <v>114</v>
      </c>
      <c r="AE1093" t="s">
        <v>23188</v>
      </c>
      <c r="AF1093" s="46">
        <v>0</v>
      </c>
      <c r="AG1093" s="113"/>
      <c r="AH1093" s="113"/>
      <c r="AI1093" s="113"/>
      <c r="AJ1093" s="113"/>
      <c r="AK1093" s="113"/>
      <c r="AL1093" s="46">
        <v>0</v>
      </c>
      <c r="AM1093" s="113"/>
      <c r="AN1093" s="113"/>
      <c r="AO1093" s="113"/>
      <c r="AP1093" s="113"/>
      <c r="AQ1093" s="113"/>
      <c r="AR1093" s="46">
        <v>0</v>
      </c>
      <c r="AS1093" s="113"/>
      <c r="AT1093" s="113"/>
      <c r="AU1093" s="113"/>
      <c r="AV1093" s="113"/>
      <c r="AW1093" s="113"/>
      <c r="AX1093" s="46">
        <v>0</v>
      </c>
      <c r="AY1093" s="113"/>
      <c r="AZ1093" s="113"/>
      <c r="BA1093" s="113"/>
      <c r="BB1093" s="113"/>
      <c r="BC1093" s="113"/>
      <c r="BD1093" s="46">
        <v>0</v>
      </c>
      <c r="BE1093" s="113"/>
      <c r="BF1093" s="113"/>
      <c r="BG1093" s="113"/>
      <c r="BH1093" s="113"/>
      <c r="BI1093" s="113"/>
      <c r="BJ1093" s="46">
        <v>0</v>
      </c>
      <c r="BK1093" s="113"/>
      <c r="BL1093" s="113"/>
      <c r="BM1093" s="113"/>
      <c r="BN1093" s="113"/>
      <c r="BO1093" s="113"/>
      <c r="BP1093" s="121"/>
      <c r="BQ1093" s="121"/>
      <c r="GA1093" t="s">
        <v>114</v>
      </c>
      <c r="GB1093" t="s">
        <v>23188</v>
      </c>
      <c r="GC1093" s="46">
        <v>0</v>
      </c>
      <c r="GD1093" s="113"/>
      <c r="GE1093" s="113"/>
      <c r="GF1093" s="113"/>
      <c r="GG1093" s="113"/>
      <c r="GH1093" s="113"/>
      <c r="GI1093" s="46">
        <v>0</v>
      </c>
      <c r="GJ1093" s="113"/>
      <c r="GK1093" s="113"/>
      <c r="GL1093" s="113"/>
      <c r="GM1093" s="113"/>
      <c r="GN1093" s="113"/>
      <c r="GO1093" s="46">
        <v>0</v>
      </c>
      <c r="GP1093" s="113"/>
      <c r="GQ1093" s="113"/>
      <c r="GR1093" s="113"/>
      <c r="GS1093" s="113"/>
      <c r="GT1093" s="113"/>
      <c r="GU1093" s="46">
        <v>0</v>
      </c>
      <c r="GV1093" s="113"/>
      <c r="GW1093" s="113"/>
      <c r="GX1093" s="113"/>
      <c r="GY1093" s="113"/>
      <c r="GZ1093" s="113"/>
      <c r="HA1093" s="46">
        <v>0</v>
      </c>
      <c r="HB1093" s="113"/>
      <c r="HC1093" s="113"/>
      <c r="HD1093" s="113"/>
      <c r="HE1093" s="113"/>
      <c r="HF1093" s="113"/>
      <c r="HG1093" s="46">
        <v>0</v>
      </c>
      <c r="HH1093" s="113"/>
      <c r="HI1093" s="113"/>
      <c r="HJ1093" s="113"/>
      <c r="HK1093" s="113"/>
      <c r="HL1093" s="113"/>
      <c r="HM1093" s="121"/>
      <c r="HN1093" s="121"/>
      <c r="LM1093" t="str">
        <v/>
      </c>
      <c r="LN1093" t="str">
        <v/>
      </c>
      <c r="LO1093" t="str">
        <v/>
      </c>
    </row>
    <row r="1094" spans="30:327">
      <c r="AD1094" t="s">
        <v>114</v>
      </c>
      <c r="AE1094" t="s">
        <v>23189</v>
      </c>
      <c r="AF1094" s="46">
        <v>0</v>
      </c>
      <c r="AG1094" s="113"/>
      <c r="AH1094" s="113"/>
      <c r="AI1094" s="113"/>
      <c r="AJ1094" s="113"/>
      <c r="AK1094" s="113"/>
      <c r="AL1094" s="46">
        <v>0</v>
      </c>
      <c r="AM1094" s="113"/>
      <c r="AN1094" s="113"/>
      <c r="AO1094" s="113"/>
      <c r="AP1094" s="113"/>
      <c r="AQ1094" s="113"/>
      <c r="AR1094" s="46">
        <v>0</v>
      </c>
      <c r="AS1094" s="113"/>
      <c r="AT1094" s="113"/>
      <c r="AU1094" s="113"/>
      <c r="AV1094" s="113"/>
      <c r="AW1094" s="113"/>
      <c r="AX1094" s="46">
        <v>0</v>
      </c>
      <c r="AY1094" s="113"/>
      <c r="AZ1094" s="113"/>
      <c r="BA1094" s="113"/>
      <c r="BB1094" s="113"/>
      <c r="BC1094" s="113"/>
      <c r="BD1094" s="46">
        <v>0</v>
      </c>
      <c r="BE1094" s="113"/>
      <c r="BF1094" s="113"/>
      <c r="BG1094" s="113"/>
      <c r="BH1094" s="113"/>
      <c r="BI1094" s="113"/>
      <c r="BJ1094" s="46">
        <v>0</v>
      </c>
      <c r="BK1094" s="113"/>
      <c r="BL1094" s="113"/>
      <c r="BM1094" s="113"/>
      <c r="BN1094" s="113"/>
      <c r="BO1094" s="113"/>
      <c r="BP1094" s="121"/>
      <c r="BQ1094" s="121"/>
      <c r="GA1094" t="s">
        <v>114</v>
      </c>
      <c r="GB1094" t="s">
        <v>23189</v>
      </c>
      <c r="GC1094" s="46">
        <v>0</v>
      </c>
      <c r="GD1094" s="113"/>
      <c r="GE1094" s="113"/>
      <c r="GF1094" s="113"/>
      <c r="GG1094" s="113"/>
      <c r="GH1094" s="113"/>
      <c r="GI1094" s="46">
        <v>0</v>
      </c>
      <c r="GJ1094" s="113"/>
      <c r="GK1094" s="113"/>
      <c r="GL1094" s="113"/>
      <c r="GM1094" s="113"/>
      <c r="GN1094" s="113"/>
      <c r="GO1094" s="46">
        <v>0</v>
      </c>
      <c r="GP1094" s="113"/>
      <c r="GQ1094" s="113"/>
      <c r="GR1094" s="113"/>
      <c r="GS1094" s="113"/>
      <c r="GT1094" s="113"/>
      <c r="GU1094" s="46">
        <v>0</v>
      </c>
      <c r="GV1094" s="113"/>
      <c r="GW1094" s="113"/>
      <c r="GX1094" s="113"/>
      <c r="GY1094" s="113"/>
      <c r="GZ1094" s="113"/>
      <c r="HA1094" s="46">
        <v>0</v>
      </c>
      <c r="HB1094" s="113"/>
      <c r="HC1094" s="113"/>
      <c r="HD1094" s="113"/>
      <c r="HE1094" s="113"/>
      <c r="HF1094" s="113"/>
      <c r="HG1094" s="46">
        <v>0</v>
      </c>
      <c r="HH1094" s="113"/>
      <c r="HI1094" s="113"/>
      <c r="HJ1094" s="113"/>
      <c r="HK1094" s="113"/>
      <c r="HL1094" s="113"/>
      <c r="HM1094" s="121"/>
      <c r="HN1094" s="121"/>
      <c r="LM1094" t="str">
        <v/>
      </c>
      <c r="LN1094" t="str">
        <v/>
      </c>
      <c r="LO1094" t="str">
        <v/>
      </c>
    </row>
    <row r="1095" spans="30:327">
      <c r="AD1095" t="s">
        <v>114</v>
      </c>
      <c r="AE1095" t="s">
        <v>23190</v>
      </c>
      <c r="AF1095" s="46">
        <v>0</v>
      </c>
      <c r="AG1095" s="113"/>
      <c r="AH1095" s="113"/>
      <c r="AI1095" s="113"/>
      <c r="AJ1095" s="113"/>
      <c r="AK1095" s="113"/>
      <c r="AL1095" s="46">
        <v>0</v>
      </c>
      <c r="AM1095" s="113"/>
      <c r="AN1095" s="113"/>
      <c r="AO1095" s="113"/>
      <c r="AP1095" s="113"/>
      <c r="AQ1095" s="113"/>
      <c r="AR1095" s="46">
        <v>0</v>
      </c>
      <c r="AS1095" s="113"/>
      <c r="AT1095" s="113"/>
      <c r="AU1095" s="113"/>
      <c r="AV1095" s="113"/>
      <c r="AW1095" s="113"/>
      <c r="AX1095" s="46">
        <v>0</v>
      </c>
      <c r="AY1095" s="113"/>
      <c r="AZ1095" s="113"/>
      <c r="BA1095" s="113"/>
      <c r="BB1095" s="113"/>
      <c r="BC1095" s="113"/>
      <c r="BD1095" s="46">
        <v>0</v>
      </c>
      <c r="BE1095" s="113"/>
      <c r="BF1095" s="113"/>
      <c r="BG1095" s="113"/>
      <c r="BH1095" s="113"/>
      <c r="BI1095" s="113"/>
      <c r="BJ1095" s="46">
        <v>0</v>
      </c>
      <c r="BK1095" s="113"/>
      <c r="BL1095" s="113"/>
      <c r="BM1095" s="113"/>
      <c r="BN1095" s="113"/>
      <c r="BO1095" s="113"/>
      <c r="BP1095" s="121"/>
      <c r="BQ1095" s="121"/>
      <c r="GA1095" t="s">
        <v>114</v>
      </c>
      <c r="GB1095" t="s">
        <v>23190</v>
      </c>
      <c r="GC1095" s="46">
        <v>0</v>
      </c>
      <c r="GD1095" s="113"/>
      <c r="GE1095" s="113"/>
      <c r="GF1095" s="113"/>
      <c r="GG1095" s="113"/>
      <c r="GH1095" s="113"/>
      <c r="GI1095" s="46">
        <v>0</v>
      </c>
      <c r="GJ1095" s="113"/>
      <c r="GK1095" s="113"/>
      <c r="GL1095" s="113"/>
      <c r="GM1095" s="113"/>
      <c r="GN1095" s="113"/>
      <c r="GO1095" s="46">
        <v>0</v>
      </c>
      <c r="GP1095" s="113"/>
      <c r="GQ1095" s="113"/>
      <c r="GR1095" s="113"/>
      <c r="GS1095" s="113"/>
      <c r="GT1095" s="113"/>
      <c r="GU1095" s="46">
        <v>0</v>
      </c>
      <c r="GV1095" s="113"/>
      <c r="GW1095" s="113"/>
      <c r="GX1095" s="113"/>
      <c r="GY1095" s="113"/>
      <c r="GZ1095" s="113"/>
      <c r="HA1095" s="46">
        <v>0</v>
      </c>
      <c r="HB1095" s="113"/>
      <c r="HC1095" s="113"/>
      <c r="HD1095" s="113"/>
      <c r="HE1095" s="113"/>
      <c r="HF1095" s="113"/>
      <c r="HG1095" s="46">
        <v>0</v>
      </c>
      <c r="HH1095" s="113"/>
      <c r="HI1095" s="113"/>
      <c r="HJ1095" s="113"/>
      <c r="HK1095" s="113"/>
      <c r="HL1095" s="113"/>
      <c r="HM1095" s="121"/>
      <c r="HN1095" s="121"/>
      <c r="LM1095" t="str">
        <v/>
      </c>
      <c r="LN1095" t="str">
        <v/>
      </c>
      <c r="LO1095" t="str">
        <v/>
      </c>
    </row>
    <row r="1096" spans="30:327">
      <c r="AD1096" t="s">
        <v>114</v>
      </c>
      <c r="AE1096" t="s">
        <v>23191</v>
      </c>
      <c r="AF1096" s="46">
        <v>0</v>
      </c>
      <c r="AG1096" s="113"/>
      <c r="AH1096" s="113"/>
      <c r="AI1096" s="113"/>
      <c r="AJ1096" s="113"/>
      <c r="AK1096" s="113"/>
      <c r="AL1096" s="46">
        <v>0</v>
      </c>
      <c r="AM1096" s="113"/>
      <c r="AN1096" s="113"/>
      <c r="AO1096" s="113"/>
      <c r="AP1096" s="113"/>
      <c r="AQ1096" s="113"/>
      <c r="AR1096" s="46">
        <v>0</v>
      </c>
      <c r="AS1096" s="113"/>
      <c r="AT1096" s="113"/>
      <c r="AU1096" s="113"/>
      <c r="AV1096" s="113"/>
      <c r="AW1096" s="113"/>
      <c r="AX1096" s="46">
        <v>0</v>
      </c>
      <c r="AY1096" s="113"/>
      <c r="AZ1096" s="113"/>
      <c r="BA1096" s="113"/>
      <c r="BB1096" s="113"/>
      <c r="BC1096" s="113"/>
      <c r="BD1096" s="46">
        <v>0</v>
      </c>
      <c r="BE1096" s="113"/>
      <c r="BF1096" s="113"/>
      <c r="BG1096" s="113"/>
      <c r="BH1096" s="113"/>
      <c r="BI1096" s="113"/>
      <c r="BJ1096" s="46">
        <v>0</v>
      </c>
      <c r="BK1096" s="113"/>
      <c r="BL1096" s="113"/>
      <c r="BM1096" s="113"/>
      <c r="BN1096" s="113"/>
      <c r="BO1096" s="113"/>
      <c r="BP1096" s="121"/>
      <c r="BQ1096" s="121"/>
      <c r="GA1096" t="s">
        <v>114</v>
      </c>
      <c r="GB1096" t="s">
        <v>23191</v>
      </c>
      <c r="GC1096" s="46">
        <v>0</v>
      </c>
      <c r="GD1096" s="113"/>
      <c r="GE1096" s="113"/>
      <c r="GF1096" s="113"/>
      <c r="GG1096" s="113"/>
      <c r="GH1096" s="113"/>
      <c r="GI1096" s="46">
        <v>0</v>
      </c>
      <c r="GJ1096" s="113"/>
      <c r="GK1096" s="113"/>
      <c r="GL1096" s="113"/>
      <c r="GM1096" s="113"/>
      <c r="GN1096" s="113"/>
      <c r="GO1096" s="46">
        <v>0</v>
      </c>
      <c r="GP1096" s="113"/>
      <c r="GQ1096" s="113"/>
      <c r="GR1096" s="113"/>
      <c r="GS1096" s="113"/>
      <c r="GT1096" s="113"/>
      <c r="GU1096" s="46">
        <v>0</v>
      </c>
      <c r="GV1096" s="113"/>
      <c r="GW1096" s="113"/>
      <c r="GX1096" s="113"/>
      <c r="GY1096" s="113"/>
      <c r="GZ1096" s="113"/>
      <c r="HA1096" s="46">
        <v>0</v>
      </c>
      <c r="HB1096" s="113"/>
      <c r="HC1096" s="113"/>
      <c r="HD1096" s="113"/>
      <c r="HE1096" s="113"/>
      <c r="HF1096" s="113"/>
      <c r="HG1096" s="46">
        <v>0</v>
      </c>
      <c r="HH1096" s="113"/>
      <c r="HI1096" s="113"/>
      <c r="HJ1096" s="113"/>
      <c r="HK1096" s="113"/>
      <c r="HL1096" s="113"/>
      <c r="HM1096" s="121"/>
      <c r="HN1096" s="121"/>
      <c r="LM1096" t="str">
        <v/>
      </c>
      <c r="LN1096" t="str">
        <v/>
      </c>
      <c r="LO1096" t="str">
        <v/>
      </c>
    </row>
    <row r="1097" spans="30:327">
      <c r="AD1097" t="s">
        <v>114</v>
      </c>
      <c r="AE1097" t="s">
        <v>23192</v>
      </c>
      <c r="AF1097" s="46">
        <v>0</v>
      </c>
      <c r="AG1097" s="113"/>
      <c r="AH1097" s="113"/>
      <c r="AI1097" s="113"/>
      <c r="AJ1097" s="113"/>
      <c r="AK1097" s="113"/>
      <c r="AL1097" s="46">
        <v>0</v>
      </c>
      <c r="AM1097" s="113"/>
      <c r="AN1097" s="113"/>
      <c r="AO1097" s="113"/>
      <c r="AP1097" s="113"/>
      <c r="AQ1097" s="113"/>
      <c r="AR1097" s="46">
        <v>0</v>
      </c>
      <c r="AS1097" s="113"/>
      <c r="AT1097" s="113"/>
      <c r="AU1097" s="113"/>
      <c r="AV1097" s="113"/>
      <c r="AW1097" s="113"/>
      <c r="AX1097" s="46">
        <v>0</v>
      </c>
      <c r="AY1097" s="113"/>
      <c r="AZ1097" s="113"/>
      <c r="BA1097" s="113"/>
      <c r="BB1097" s="113"/>
      <c r="BC1097" s="113"/>
      <c r="BD1097" s="46">
        <v>0</v>
      </c>
      <c r="BE1097" s="113"/>
      <c r="BF1097" s="113"/>
      <c r="BG1097" s="113"/>
      <c r="BH1097" s="113"/>
      <c r="BI1097" s="113"/>
      <c r="BJ1097" s="46">
        <v>0</v>
      </c>
      <c r="BK1097" s="113"/>
      <c r="BL1097" s="113"/>
      <c r="BM1097" s="113"/>
      <c r="BN1097" s="113"/>
      <c r="BO1097" s="113"/>
      <c r="BP1097" s="121"/>
      <c r="BQ1097" s="121"/>
      <c r="GA1097" t="s">
        <v>114</v>
      </c>
      <c r="GB1097" t="s">
        <v>23192</v>
      </c>
      <c r="GC1097" s="46">
        <v>0</v>
      </c>
      <c r="GD1097" s="113"/>
      <c r="GE1097" s="113"/>
      <c r="GF1097" s="113"/>
      <c r="GG1097" s="113"/>
      <c r="GH1097" s="113"/>
      <c r="GI1097" s="46">
        <v>0</v>
      </c>
      <c r="GJ1097" s="113"/>
      <c r="GK1097" s="113"/>
      <c r="GL1097" s="113"/>
      <c r="GM1097" s="113"/>
      <c r="GN1097" s="113"/>
      <c r="GO1097" s="46">
        <v>0</v>
      </c>
      <c r="GP1097" s="113"/>
      <c r="GQ1097" s="113"/>
      <c r="GR1097" s="113"/>
      <c r="GS1097" s="113"/>
      <c r="GT1097" s="113"/>
      <c r="GU1097" s="46">
        <v>0</v>
      </c>
      <c r="GV1097" s="113"/>
      <c r="GW1097" s="113"/>
      <c r="GX1097" s="113"/>
      <c r="GY1097" s="113"/>
      <c r="GZ1097" s="113"/>
      <c r="HA1097" s="46">
        <v>0</v>
      </c>
      <c r="HB1097" s="113"/>
      <c r="HC1097" s="113"/>
      <c r="HD1097" s="113"/>
      <c r="HE1097" s="113"/>
      <c r="HF1097" s="113"/>
      <c r="HG1097" s="46">
        <v>0</v>
      </c>
      <c r="HH1097" s="113"/>
      <c r="HI1097" s="113"/>
      <c r="HJ1097" s="113"/>
      <c r="HK1097" s="113"/>
      <c r="HL1097" s="113"/>
      <c r="HM1097" s="121"/>
      <c r="HN1097" s="121"/>
      <c r="LM1097" t="str">
        <v/>
      </c>
      <c r="LN1097" t="str">
        <v/>
      </c>
      <c r="LO1097" t="str">
        <v/>
      </c>
    </row>
    <row r="1098" spans="30:327">
      <c r="AD1098" t="s">
        <v>114</v>
      </c>
      <c r="AE1098" t="s">
        <v>23193</v>
      </c>
      <c r="AF1098" s="46">
        <v>0</v>
      </c>
      <c r="AG1098" s="113"/>
      <c r="AH1098" s="113"/>
      <c r="AI1098" s="113"/>
      <c r="AJ1098" s="113"/>
      <c r="AK1098" s="113"/>
      <c r="AL1098" s="46">
        <v>0</v>
      </c>
      <c r="AM1098" s="113"/>
      <c r="AN1098" s="113"/>
      <c r="AO1098" s="113"/>
      <c r="AP1098" s="113"/>
      <c r="AQ1098" s="113"/>
      <c r="AR1098" s="46">
        <v>0</v>
      </c>
      <c r="AS1098" s="113"/>
      <c r="AT1098" s="113"/>
      <c r="AU1098" s="113"/>
      <c r="AV1098" s="113"/>
      <c r="AW1098" s="113"/>
      <c r="AX1098" s="46">
        <v>0</v>
      </c>
      <c r="AY1098" s="113"/>
      <c r="AZ1098" s="113"/>
      <c r="BA1098" s="113"/>
      <c r="BB1098" s="113"/>
      <c r="BC1098" s="113"/>
      <c r="BD1098" s="46">
        <v>0</v>
      </c>
      <c r="BE1098" s="113"/>
      <c r="BF1098" s="113"/>
      <c r="BG1098" s="113"/>
      <c r="BH1098" s="113"/>
      <c r="BI1098" s="113"/>
      <c r="BJ1098" s="46">
        <v>0</v>
      </c>
      <c r="BK1098" s="113"/>
      <c r="BL1098" s="113"/>
      <c r="BM1098" s="113"/>
      <c r="BN1098" s="113"/>
      <c r="BO1098" s="113"/>
      <c r="BP1098" s="121"/>
      <c r="BQ1098" s="121"/>
      <c r="GA1098" t="s">
        <v>114</v>
      </c>
      <c r="GB1098" t="s">
        <v>23193</v>
      </c>
      <c r="GC1098" s="46">
        <v>0</v>
      </c>
      <c r="GD1098" s="113"/>
      <c r="GE1098" s="113"/>
      <c r="GF1098" s="113"/>
      <c r="GG1098" s="113"/>
      <c r="GH1098" s="113"/>
      <c r="GI1098" s="46">
        <v>0</v>
      </c>
      <c r="GJ1098" s="113"/>
      <c r="GK1098" s="113"/>
      <c r="GL1098" s="113"/>
      <c r="GM1098" s="113"/>
      <c r="GN1098" s="113"/>
      <c r="GO1098" s="46">
        <v>0</v>
      </c>
      <c r="GP1098" s="113"/>
      <c r="GQ1098" s="113"/>
      <c r="GR1098" s="113"/>
      <c r="GS1098" s="113"/>
      <c r="GT1098" s="113"/>
      <c r="GU1098" s="46">
        <v>0</v>
      </c>
      <c r="GV1098" s="113"/>
      <c r="GW1098" s="113"/>
      <c r="GX1098" s="113"/>
      <c r="GY1098" s="113"/>
      <c r="GZ1098" s="113"/>
      <c r="HA1098" s="46">
        <v>0</v>
      </c>
      <c r="HB1098" s="113"/>
      <c r="HC1098" s="113"/>
      <c r="HD1098" s="113"/>
      <c r="HE1098" s="113"/>
      <c r="HF1098" s="113"/>
      <c r="HG1098" s="46">
        <v>0</v>
      </c>
      <c r="HH1098" s="113"/>
      <c r="HI1098" s="113"/>
      <c r="HJ1098" s="113"/>
      <c r="HK1098" s="113"/>
      <c r="HL1098" s="113"/>
      <c r="HM1098" s="121"/>
      <c r="HN1098" s="121"/>
      <c r="LM1098" t="str">
        <v/>
      </c>
      <c r="LN1098" t="str">
        <v/>
      </c>
      <c r="LO1098" t="str">
        <v/>
      </c>
    </row>
    <row r="1099" spans="30:327">
      <c r="AD1099" t="s">
        <v>114</v>
      </c>
      <c r="AE1099" t="s">
        <v>23194</v>
      </c>
      <c r="AF1099" s="46">
        <v>0</v>
      </c>
      <c r="AG1099" s="113"/>
      <c r="AH1099" s="113"/>
      <c r="AI1099" s="113"/>
      <c r="AJ1099" s="113"/>
      <c r="AK1099" s="113"/>
      <c r="AL1099" s="46">
        <v>0</v>
      </c>
      <c r="AM1099" s="113"/>
      <c r="AN1099" s="113"/>
      <c r="AO1099" s="113"/>
      <c r="AP1099" s="113"/>
      <c r="AQ1099" s="113"/>
      <c r="AR1099" s="46">
        <v>0</v>
      </c>
      <c r="AS1099" s="113"/>
      <c r="AT1099" s="113"/>
      <c r="AU1099" s="113"/>
      <c r="AV1099" s="113"/>
      <c r="AW1099" s="113"/>
      <c r="AX1099" s="46">
        <v>0</v>
      </c>
      <c r="AY1099" s="113"/>
      <c r="AZ1099" s="113"/>
      <c r="BA1099" s="113"/>
      <c r="BB1099" s="113"/>
      <c r="BC1099" s="113"/>
      <c r="BD1099" s="46">
        <v>0</v>
      </c>
      <c r="BE1099" s="113"/>
      <c r="BF1099" s="113"/>
      <c r="BG1099" s="113"/>
      <c r="BH1099" s="113"/>
      <c r="BI1099" s="113"/>
      <c r="BJ1099" s="46">
        <v>0</v>
      </c>
      <c r="BK1099" s="113"/>
      <c r="BL1099" s="113"/>
      <c r="BM1099" s="113"/>
      <c r="BN1099" s="113"/>
      <c r="BO1099" s="113"/>
      <c r="BP1099" s="121"/>
      <c r="BQ1099" s="121"/>
      <c r="GA1099" t="s">
        <v>114</v>
      </c>
      <c r="GB1099" t="s">
        <v>23194</v>
      </c>
      <c r="GC1099" s="46">
        <v>0</v>
      </c>
      <c r="GD1099" s="113"/>
      <c r="GE1099" s="113"/>
      <c r="GF1099" s="113"/>
      <c r="GG1099" s="113"/>
      <c r="GH1099" s="113"/>
      <c r="GI1099" s="46">
        <v>0</v>
      </c>
      <c r="GJ1099" s="113"/>
      <c r="GK1099" s="113"/>
      <c r="GL1099" s="113"/>
      <c r="GM1099" s="113"/>
      <c r="GN1099" s="113"/>
      <c r="GO1099" s="46">
        <v>0</v>
      </c>
      <c r="GP1099" s="113"/>
      <c r="GQ1099" s="113"/>
      <c r="GR1099" s="113"/>
      <c r="GS1099" s="113"/>
      <c r="GT1099" s="113"/>
      <c r="GU1099" s="46">
        <v>0</v>
      </c>
      <c r="GV1099" s="113"/>
      <c r="GW1099" s="113"/>
      <c r="GX1099" s="113"/>
      <c r="GY1099" s="113"/>
      <c r="GZ1099" s="113"/>
      <c r="HA1099" s="46">
        <v>0</v>
      </c>
      <c r="HB1099" s="113"/>
      <c r="HC1099" s="113"/>
      <c r="HD1099" s="113"/>
      <c r="HE1099" s="113"/>
      <c r="HF1099" s="113"/>
      <c r="HG1099" s="46">
        <v>0</v>
      </c>
      <c r="HH1099" s="113"/>
      <c r="HI1099" s="113"/>
      <c r="HJ1099" s="113"/>
      <c r="HK1099" s="113"/>
      <c r="HL1099" s="113"/>
      <c r="HM1099" s="121"/>
      <c r="HN1099" s="121"/>
      <c r="LM1099" t="str">
        <v/>
      </c>
      <c r="LN1099" t="str">
        <v/>
      </c>
      <c r="LO1099" t="str">
        <v/>
      </c>
    </row>
    <row r="1100" spans="30:327">
      <c r="AD1100" t="s">
        <v>114</v>
      </c>
      <c r="AE1100" t="s">
        <v>23195</v>
      </c>
      <c r="AF1100" s="46">
        <v>0</v>
      </c>
      <c r="AG1100" s="113"/>
      <c r="AH1100" s="113"/>
      <c r="AI1100" s="113"/>
      <c r="AJ1100" s="113"/>
      <c r="AK1100" s="113"/>
      <c r="AL1100" s="46">
        <v>0</v>
      </c>
      <c r="AM1100" s="113"/>
      <c r="AN1100" s="113"/>
      <c r="AO1100" s="113"/>
      <c r="AP1100" s="113"/>
      <c r="AQ1100" s="113"/>
      <c r="AR1100" s="46">
        <v>0</v>
      </c>
      <c r="AS1100" s="113"/>
      <c r="AT1100" s="113"/>
      <c r="AU1100" s="113"/>
      <c r="AV1100" s="113"/>
      <c r="AW1100" s="113"/>
      <c r="AX1100" s="46">
        <v>0</v>
      </c>
      <c r="AY1100" s="113"/>
      <c r="AZ1100" s="113"/>
      <c r="BA1100" s="113"/>
      <c r="BB1100" s="113"/>
      <c r="BC1100" s="113"/>
      <c r="BD1100" s="46">
        <v>0</v>
      </c>
      <c r="BE1100" s="113"/>
      <c r="BF1100" s="113"/>
      <c r="BG1100" s="113"/>
      <c r="BH1100" s="113"/>
      <c r="BI1100" s="113"/>
      <c r="BJ1100" s="46">
        <v>0</v>
      </c>
      <c r="BK1100" s="113"/>
      <c r="BL1100" s="113"/>
      <c r="BM1100" s="113"/>
      <c r="BN1100" s="113"/>
      <c r="BO1100" s="113"/>
      <c r="BP1100" s="121"/>
      <c r="BQ1100" s="121"/>
      <c r="GA1100" t="s">
        <v>114</v>
      </c>
      <c r="GB1100" t="s">
        <v>23195</v>
      </c>
      <c r="GC1100" s="46">
        <v>0</v>
      </c>
      <c r="GD1100" s="113"/>
      <c r="GE1100" s="113"/>
      <c r="GF1100" s="113"/>
      <c r="GG1100" s="113"/>
      <c r="GH1100" s="113"/>
      <c r="GI1100" s="46">
        <v>0</v>
      </c>
      <c r="GJ1100" s="113"/>
      <c r="GK1100" s="113"/>
      <c r="GL1100" s="113"/>
      <c r="GM1100" s="113"/>
      <c r="GN1100" s="113"/>
      <c r="GO1100" s="46">
        <v>0</v>
      </c>
      <c r="GP1100" s="113"/>
      <c r="GQ1100" s="113"/>
      <c r="GR1100" s="113"/>
      <c r="GS1100" s="113"/>
      <c r="GT1100" s="113"/>
      <c r="GU1100" s="46">
        <v>0</v>
      </c>
      <c r="GV1100" s="113"/>
      <c r="GW1100" s="113"/>
      <c r="GX1100" s="113"/>
      <c r="GY1100" s="113"/>
      <c r="GZ1100" s="113"/>
      <c r="HA1100" s="46">
        <v>0</v>
      </c>
      <c r="HB1100" s="113"/>
      <c r="HC1100" s="113"/>
      <c r="HD1100" s="113"/>
      <c r="HE1100" s="113"/>
      <c r="HF1100" s="113"/>
      <c r="HG1100" s="46">
        <v>0</v>
      </c>
      <c r="HH1100" s="113"/>
      <c r="HI1100" s="113"/>
      <c r="HJ1100" s="113"/>
      <c r="HK1100" s="113"/>
      <c r="HL1100" s="113"/>
      <c r="HM1100" s="121"/>
      <c r="HN1100" s="121"/>
      <c r="LM1100" t="str">
        <v/>
      </c>
      <c r="LN1100" t="str">
        <v/>
      </c>
      <c r="LO1100" t="str">
        <v/>
      </c>
    </row>
    <row r="1101" spans="30:327">
      <c r="AD1101" t="s">
        <v>114</v>
      </c>
      <c r="AE1101" t="s">
        <v>23196</v>
      </c>
      <c r="AF1101" s="46">
        <v>0</v>
      </c>
      <c r="AG1101" s="113"/>
      <c r="AH1101" s="113"/>
      <c r="AI1101" s="113"/>
      <c r="AJ1101" s="113"/>
      <c r="AK1101" s="113"/>
      <c r="AL1101" s="46">
        <v>0</v>
      </c>
      <c r="AM1101" s="113"/>
      <c r="AN1101" s="113"/>
      <c r="AO1101" s="113"/>
      <c r="AP1101" s="113"/>
      <c r="AQ1101" s="113"/>
      <c r="AR1101" s="46">
        <v>0</v>
      </c>
      <c r="AS1101" s="113"/>
      <c r="AT1101" s="113"/>
      <c r="AU1101" s="113"/>
      <c r="AV1101" s="113"/>
      <c r="AW1101" s="113"/>
      <c r="AX1101" s="46">
        <v>0</v>
      </c>
      <c r="AY1101" s="113"/>
      <c r="AZ1101" s="113"/>
      <c r="BA1101" s="113"/>
      <c r="BB1101" s="113"/>
      <c r="BC1101" s="113"/>
      <c r="BD1101" s="46">
        <v>0</v>
      </c>
      <c r="BE1101" s="113"/>
      <c r="BF1101" s="113"/>
      <c r="BG1101" s="113"/>
      <c r="BH1101" s="113"/>
      <c r="BI1101" s="113"/>
      <c r="BJ1101" s="46">
        <v>0</v>
      </c>
      <c r="BK1101" s="113"/>
      <c r="BL1101" s="113"/>
      <c r="BM1101" s="113"/>
      <c r="BN1101" s="113"/>
      <c r="BO1101" s="113"/>
      <c r="BP1101" s="121"/>
      <c r="BQ1101" s="121"/>
      <c r="GA1101" t="s">
        <v>114</v>
      </c>
      <c r="GB1101" t="s">
        <v>23196</v>
      </c>
      <c r="GC1101" s="46">
        <v>0</v>
      </c>
      <c r="GD1101" s="113"/>
      <c r="GE1101" s="113"/>
      <c r="GF1101" s="113"/>
      <c r="GG1101" s="113"/>
      <c r="GH1101" s="113"/>
      <c r="GI1101" s="46">
        <v>0</v>
      </c>
      <c r="GJ1101" s="113"/>
      <c r="GK1101" s="113"/>
      <c r="GL1101" s="113"/>
      <c r="GM1101" s="113"/>
      <c r="GN1101" s="113"/>
      <c r="GO1101" s="46">
        <v>0</v>
      </c>
      <c r="GP1101" s="113"/>
      <c r="GQ1101" s="113"/>
      <c r="GR1101" s="113"/>
      <c r="GS1101" s="113"/>
      <c r="GT1101" s="113"/>
      <c r="GU1101" s="46">
        <v>0</v>
      </c>
      <c r="GV1101" s="113"/>
      <c r="GW1101" s="113"/>
      <c r="GX1101" s="113"/>
      <c r="GY1101" s="113"/>
      <c r="GZ1101" s="113"/>
      <c r="HA1101" s="46">
        <v>0</v>
      </c>
      <c r="HB1101" s="113"/>
      <c r="HC1101" s="113"/>
      <c r="HD1101" s="113"/>
      <c r="HE1101" s="113"/>
      <c r="HF1101" s="113"/>
      <c r="HG1101" s="46">
        <v>0</v>
      </c>
      <c r="HH1101" s="113"/>
      <c r="HI1101" s="113"/>
      <c r="HJ1101" s="113"/>
      <c r="HK1101" s="113"/>
      <c r="HL1101" s="113"/>
      <c r="HM1101" s="121"/>
      <c r="HN1101" s="121"/>
      <c r="LM1101" t="str">
        <v/>
      </c>
      <c r="LN1101" t="str">
        <v/>
      </c>
      <c r="LO1101" t="str">
        <v/>
      </c>
    </row>
    <row r="1102" spans="30:327">
      <c r="AD1102" t="s">
        <v>114</v>
      </c>
      <c r="AE1102" t="s">
        <v>23197</v>
      </c>
      <c r="AF1102" s="46">
        <v>0</v>
      </c>
      <c r="AG1102" s="113"/>
      <c r="AH1102" s="113"/>
      <c r="AI1102" s="113"/>
      <c r="AJ1102" s="113"/>
      <c r="AK1102" s="113"/>
      <c r="AL1102" s="46">
        <v>0</v>
      </c>
      <c r="AM1102" s="113"/>
      <c r="AN1102" s="113"/>
      <c r="AO1102" s="113"/>
      <c r="AP1102" s="113"/>
      <c r="AQ1102" s="113"/>
      <c r="AR1102" s="46">
        <v>0</v>
      </c>
      <c r="AS1102" s="113"/>
      <c r="AT1102" s="113"/>
      <c r="AU1102" s="113"/>
      <c r="AV1102" s="113"/>
      <c r="AW1102" s="113"/>
      <c r="AX1102" s="46">
        <v>0</v>
      </c>
      <c r="AY1102" s="113"/>
      <c r="AZ1102" s="113"/>
      <c r="BA1102" s="113"/>
      <c r="BB1102" s="113"/>
      <c r="BC1102" s="113"/>
      <c r="BD1102" s="46">
        <v>0</v>
      </c>
      <c r="BE1102" s="113"/>
      <c r="BF1102" s="113"/>
      <c r="BG1102" s="113"/>
      <c r="BH1102" s="113"/>
      <c r="BI1102" s="113"/>
      <c r="BJ1102" s="46">
        <v>0</v>
      </c>
      <c r="BK1102" s="113"/>
      <c r="BL1102" s="113"/>
      <c r="BM1102" s="113"/>
      <c r="BN1102" s="113"/>
      <c r="BO1102" s="113"/>
      <c r="BP1102" s="121"/>
      <c r="BQ1102" s="121"/>
      <c r="GA1102" t="s">
        <v>114</v>
      </c>
      <c r="GB1102" t="s">
        <v>23197</v>
      </c>
      <c r="GC1102" s="46">
        <v>0</v>
      </c>
      <c r="GD1102" s="113"/>
      <c r="GE1102" s="113"/>
      <c r="GF1102" s="113"/>
      <c r="GG1102" s="113"/>
      <c r="GH1102" s="113"/>
      <c r="GI1102" s="46">
        <v>0</v>
      </c>
      <c r="GJ1102" s="113"/>
      <c r="GK1102" s="113"/>
      <c r="GL1102" s="113"/>
      <c r="GM1102" s="113"/>
      <c r="GN1102" s="113"/>
      <c r="GO1102" s="46">
        <v>0</v>
      </c>
      <c r="GP1102" s="113"/>
      <c r="GQ1102" s="113"/>
      <c r="GR1102" s="113"/>
      <c r="GS1102" s="113"/>
      <c r="GT1102" s="113"/>
      <c r="GU1102" s="46">
        <v>0</v>
      </c>
      <c r="GV1102" s="113"/>
      <c r="GW1102" s="113"/>
      <c r="GX1102" s="113"/>
      <c r="GY1102" s="113"/>
      <c r="GZ1102" s="113"/>
      <c r="HA1102" s="46">
        <v>0</v>
      </c>
      <c r="HB1102" s="113"/>
      <c r="HC1102" s="113"/>
      <c r="HD1102" s="113"/>
      <c r="HE1102" s="113"/>
      <c r="HF1102" s="113"/>
      <c r="HG1102" s="46">
        <v>0</v>
      </c>
      <c r="HH1102" s="113"/>
      <c r="HI1102" s="113"/>
      <c r="HJ1102" s="113"/>
      <c r="HK1102" s="113"/>
      <c r="HL1102" s="113"/>
      <c r="HM1102" s="121"/>
      <c r="HN1102" s="121"/>
      <c r="LM1102" t="str">
        <v/>
      </c>
      <c r="LN1102" t="str">
        <v/>
      </c>
      <c r="LO1102" t="str">
        <v/>
      </c>
    </row>
    <row r="1103" spans="30:327">
      <c r="AD1103" t="s">
        <v>114</v>
      </c>
      <c r="AE1103" t="s">
        <v>23198</v>
      </c>
      <c r="AF1103" s="46">
        <v>0</v>
      </c>
      <c r="AG1103" s="113"/>
      <c r="AH1103" s="113"/>
      <c r="AI1103" s="113"/>
      <c r="AJ1103" s="113"/>
      <c r="AK1103" s="113"/>
      <c r="AL1103" s="46">
        <v>0</v>
      </c>
      <c r="AM1103" s="113"/>
      <c r="AN1103" s="113"/>
      <c r="AO1103" s="113"/>
      <c r="AP1103" s="113"/>
      <c r="AQ1103" s="113"/>
      <c r="AR1103" s="46">
        <v>0</v>
      </c>
      <c r="AS1103" s="113"/>
      <c r="AT1103" s="113"/>
      <c r="AU1103" s="113"/>
      <c r="AV1103" s="113"/>
      <c r="AW1103" s="113"/>
      <c r="AX1103" s="46">
        <v>0</v>
      </c>
      <c r="AY1103" s="113"/>
      <c r="AZ1103" s="113"/>
      <c r="BA1103" s="113"/>
      <c r="BB1103" s="113"/>
      <c r="BC1103" s="113"/>
      <c r="BD1103" s="46">
        <v>0</v>
      </c>
      <c r="BE1103" s="113"/>
      <c r="BF1103" s="113"/>
      <c r="BG1103" s="113"/>
      <c r="BH1103" s="113"/>
      <c r="BI1103" s="113"/>
      <c r="BJ1103" s="46">
        <v>0</v>
      </c>
      <c r="BK1103" s="113"/>
      <c r="BL1103" s="113"/>
      <c r="BM1103" s="113"/>
      <c r="BN1103" s="113"/>
      <c r="BO1103" s="113"/>
      <c r="BP1103" s="121"/>
      <c r="BQ1103" s="121"/>
      <c r="GA1103" t="s">
        <v>114</v>
      </c>
      <c r="GB1103" t="s">
        <v>23198</v>
      </c>
      <c r="GC1103" s="46">
        <v>0</v>
      </c>
      <c r="GD1103" s="113"/>
      <c r="GE1103" s="113"/>
      <c r="GF1103" s="113"/>
      <c r="GG1103" s="113"/>
      <c r="GH1103" s="113"/>
      <c r="GI1103" s="46">
        <v>0</v>
      </c>
      <c r="GJ1103" s="113"/>
      <c r="GK1103" s="113"/>
      <c r="GL1103" s="113"/>
      <c r="GM1103" s="113"/>
      <c r="GN1103" s="113"/>
      <c r="GO1103" s="46">
        <v>0</v>
      </c>
      <c r="GP1103" s="113"/>
      <c r="GQ1103" s="113"/>
      <c r="GR1103" s="113"/>
      <c r="GS1103" s="113"/>
      <c r="GT1103" s="113"/>
      <c r="GU1103" s="46">
        <v>0</v>
      </c>
      <c r="GV1103" s="113"/>
      <c r="GW1103" s="113"/>
      <c r="GX1103" s="113"/>
      <c r="GY1103" s="113"/>
      <c r="GZ1103" s="113"/>
      <c r="HA1103" s="46">
        <v>0</v>
      </c>
      <c r="HB1103" s="113"/>
      <c r="HC1103" s="113"/>
      <c r="HD1103" s="113"/>
      <c r="HE1103" s="113"/>
      <c r="HF1103" s="113"/>
      <c r="HG1103" s="46">
        <v>0</v>
      </c>
      <c r="HH1103" s="113"/>
      <c r="HI1103" s="113"/>
      <c r="HJ1103" s="113"/>
      <c r="HK1103" s="113"/>
      <c r="HL1103" s="113"/>
      <c r="HM1103" s="121"/>
      <c r="HN1103" s="121"/>
      <c r="LM1103" t="str">
        <v/>
      </c>
      <c r="LN1103" t="str">
        <v/>
      </c>
      <c r="LO1103" t="str">
        <v/>
      </c>
    </row>
    <row r="1104" spans="30:327">
      <c r="AD1104" t="s">
        <v>114</v>
      </c>
      <c r="AE1104" t="s">
        <v>23199</v>
      </c>
      <c r="AF1104" s="46">
        <v>0</v>
      </c>
      <c r="AG1104" s="113"/>
      <c r="AH1104" s="113"/>
      <c r="AI1104" s="113"/>
      <c r="AJ1104" s="113"/>
      <c r="AK1104" s="113"/>
      <c r="AL1104" s="46">
        <v>0</v>
      </c>
      <c r="AM1104" s="113"/>
      <c r="AN1104" s="113"/>
      <c r="AO1104" s="113"/>
      <c r="AP1104" s="113"/>
      <c r="AQ1104" s="113"/>
      <c r="AR1104" s="46">
        <v>0</v>
      </c>
      <c r="AS1104" s="113"/>
      <c r="AT1104" s="113"/>
      <c r="AU1104" s="113"/>
      <c r="AV1104" s="113"/>
      <c r="AW1104" s="113"/>
      <c r="AX1104" s="46">
        <v>0</v>
      </c>
      <c r="AY1104" s="113"/>
      <c r="AZ1104" s="113"/>
      <c r="BA1104" s="113"/>
      <c r="BB1104" s="113"/>
      <c r="BC1104" s="113"/>
      <c r="BD1104" s="46">
        <v>0</v>
      </c>
      <c r="BE1104" s="113"/>
      <c r="BF1104" s="113"/>
      <c r="BG1104" s="113"/>
      <c r="BH1104" s="113"/>
      <c r="BI1104" s="113"/>
      <c r="BJ1104" s="46">
        <v>0</v>
      </c>
      <c r="BK1104" s="113"/>
      <c r="BL1104" s="113"/>
      <c r="BM1104" s="113"/>
      <c r="BN1104" s="113"/>
      <c r="BO1104" s="113"/>
      <c r="BP1104" s="121"/>
      <c r="BQ1104" s="121"/>
      <c r="GA1104" t="s">
        <v>114</v>
      </c>
      <c r="GB1104" t="s">
        <v>23199</v>
      </c>
      <c r="GC1104" s="46">
        <v>0</v>
      </c>
      <c r="GD1104" s="113"/>
      <c r="GE1104" s="113"/>
      <c r="GF1104" s="113"/>
      <c r="GG1104" s="113"/>
      <c r="GH1104" s="113"/>
      <c r="GI1104" s="46">
        <v>0</v>
      </c>
      <c r="GJ1104" s="113"/>
      <c r="GK1104" s="113"/>
      <c r="GL1104" s="113"/>
      <c r="GM1104" s="113"/>
      <c r="GN1104" s="113"/>
      <c r="GO1104" s="46">
        <v>0</v>
      </c>
      <c r="GP1104" s="113"/>
      <c r="GQ1104" s="113"/>
      <c r="GR1104" s="113"/>
      <c r="GS1104" s="113"/>
      <c r="GT1104" s="113"/>
      <c r="GU1104" s="46">
        <v>0</v>
      </c>
      <c r="GV1104" s="113"/>
      <c r="GW1104" s="113"/>
      <c r="GX1104" s="113"/>
      <c r="GY1104" s="113"/>
      <c r="GZ1104" s="113"/>
      <c r="HA1104" s="46">
        <v>0</v>
      </c>
      <c r="HB1104" s="113"/>
      <c r="HC1104" s="113"/>
      <c r="HD1104" s="113"/>
      <c r="HE1104" s="113"/>
      <c r="HF1104" s="113"/>
      <c r="HG1104" s="46">
        <v>0</v>
      </c>
      <c r="HH1104" s="113"/>
      <c r="HI1104" s="113"/>
      <c r="HJ1104" s="113"/>
      <c r="HK1104" s="113"/>
      <c r="HL1104" s="113"/>
      <c r="HM1104" s="121"/>
      <c r="HN1104" s="121"/>
      <c r="LM1104" t="str">
        <v/>
      </c>
      <c r="LN1104" t="str">
        <v/>
      </c>
      <c r="LO1104" t="str">
        <v/>
      </c>
    </row>
    <row r="1105" spans="30:327">
      <c r="AD1105" t="s">
        <v>114</v>
      </c>
      <c r="AE1105" t="s">
        <v>23200</v>
      </c>
      <c r="AF1105" s="46">
        <v>0</v>
      </c>
      <c r="AG1105" s="113"/>
      <c r="AH1105" s="113"/>
      <c r="AI1105" s="113"/>
      <c r="AJ1105" s="113"/>
      <c r="AK1105" s="113"/>
      <c r="AL1105" s="46">
        <v>0</v>
      </c>
      <c r="AM1105" s="113"/>
      <c r="AN1105" s="113"/>
      <c r="AO1105" s="113"/>
      <c r="AP1105" s="113"/>
      <c r="AQ1105" s="113"/>
      <c r="AR1105" s="46">
        <v>0</v>
      </c>
      <c r="AS1105" s="113"/>
      <c r="AT1105" s="113"/>
      <c r="AU1105" s="113"/>
      <c r="AV1105" s="113"/>
      <c r="AW1105" s="113"/>
      <c r="AX1105" s="46">
        <v>0</v>
      </c>
      <c r="AY1105" s="113"/>
      <c r="AZ1105" s="113"/>
      <c r="BA1105" s="113"/>
      <c r="BB1105" s="113"/>
      <c r="BC1105" s="113"/>
      <c r="BD1105" s="46">
        <v>0</v>
      </c>
      <c r="BE1105" s="113"/>
      <c r="BF1105" s="113"/>
      <c r="BG1105" s="113"/>
      <c r="BH1105" s="113"/>
      <c r="BI1105" s="113"/>
      <c r="BJ1105" s="46">
        <v>0</v>
      </c>
      <c r="BK1105" s="113"/>
      <c r="BL1105" s="113"/>
      <c r="BM1105" s="113"/>
      <c r="BN1105" s="113"/>
      <c r="BO1105" s="113"/>
      <c r="BP1105" s="121"/>
      <c r="BQ1105" s="121"/>
      <c r="GA1105" t="s">
        <v>114</v>
      </c>
      <c r="GB1105" t="s">
        <v>23200</v>
      </c>
      <c r="GC1105" s="46">
        <v>0</v>
      </c>
      <c r="GD1105" s="113"/>
      <c r="GE1105" s="113"/>
      <c r="GF1105" s="113"/>
      <c r="GG1105" s="113"/>
      <c r="GH1105" s="113"/>
      <c r="GI1105" s="46">
        <v>0</v>
      </c>
      <c r="GJ1105" s="113"/>
      <c r="GK1105" s="113"/>
      <c r="GL1105" s="113"/>
      <c r="GM1105" s="113"/>
      <c r="GN1105" s="113"/>
      <c r="GO1105" s="46">
        <v>0</v>
      </c>
      <c r="GP1105" s="113"/>
      <c r="GQ1105" s="113"/>
      <c r="GR1105" s="113"/>
      <c r="GS1105" s="113"/>
      <c r="GT1105" s="113"/>
      <c r="GU1105" s="46">
        <v>0</v>
      </c>
      <c r="GV1105" s="113"/>
      <c r="GW1105" s="113"/>
      <c r="GX1105" s="113"/>
      <c r="GY1105" s="113"/>
      <c r="GZ1105" s="113"/>
      <c r="HA1105" s="46">
        <v>0</v>
      </c>
      <c r="HB1105" s="113"/>
      <c r="HC1105" s="113"/>
      <c r="HD1105" s="113"/>
      <c r="HE1105" s="113"/>
      <c r="HF1105" s="113"/>
      <c r="HG1105" s="46">
        <v>0</v>
      </c>
      <c r="HH1105" s="113"/>
      <c r="HI1105" s="113"/>
      <c r="HJ1105" s="113"/>
      <c r="HK1105" s="113"/>
      <c r="HL1105" s="113"/>
      <c r="HM1105" s="121"/>
      <c r="HN1105" s="121"/>
      <c r="LM1105" t="str">
        <v/>
      </c>
      <c r="LN1105" t="str">
        <v/>
      </c>
      <c r="LO1105" t="str">
        <v/>
      </c>
    </row>
    <row r="1106" spans="30:327">
      <c r="AD1106" t="s">
        <v>114</v>
      </c>
      <c r="AE1106" t="s">
        <v>23201</v>
      </c>
      <c r="AF1106" s="46">
        <v>0</v>
      </c>
      <c r="AG1106" s="113"/>
      <c r="AH1106" s="113"/>
      <c r="AI1106" s="113"/>
      <c r="AJ1106" s="113"/>
      <c r="AK1106" s="113"/>
      <c r="AL1106" s="46">
        <v>0</v>
      </c>
      <c r="AM1106" s="113"/>
      <c r="AN1106" s="113"/>
      <c r="AO1106" s="113"/>
      <c r="AP1106" s="113"/>
      <c r="AQ1106" s="113"/>
      <c r="AR1106" s="46">
        <v>0</v>
      </c>
      <c r="AS1106" s="113"/>
      <c r="AT1106" s="113"/>
      <c r="AU1106" s="113"/>
      <c r="AV1106" s="113"/>
      <c r="AW1106" s="113"/>
      <c r="AX1106" s="46">
        <v>0</v>
      </c>
      <c r="AY1106" s="113"/>
      <c r="AZ1106" s="113"/>
      <c r="BA1106" s="113"/>
      <c r="BB1106" s="113"/>
      <c r="BC1106" s="113"/>
      <c r="BD1106" s="46">
        <v>0</v>
      </c>
      <c r="BE1106" s="113"/>
      <c r="BF1106" s="113"/>
      <c r="BG1106" s="113"/>
      <c r="BH1106" s="113"/>
      <c r="BI1106" s="113"/>
      <c r="BJ1106" s="46">
        <v>0</v>
      </c>
      <c r="BK1106" s="113"/>
      <c r="BL1106" s="113"/>
      <c r="BM1106" s="113"/>
      <c r="BN1106" s="113"/>
      <c r="BO1106" s="113"/>
      <c r="BP1106" s="121"/>
      <c r="BQ1106" s="121"/>
      <c r="GA1106" t="s">
        <v>114</v>
      </c>
      <c r="GB1106" t="s">
        <v>23201</v>
      </c>
      <c r="GC1106" s="46">
        <v>0</v>
      </c>
      <c r="GD1106" s="113"/>
      <c r="GE1106" s="113"/>
      <c r="GF1106" s="113"/>
      <c r="GG1106" s="113"/>
      <c r="GH1106" s="113"/>
      <c r="GI1106" s="46">
        <v>0</v>
      </c>
      <c r="GJ1106" s="113"/>
      <c r="GK1106" s="113"/>
      <c r="GL1106" s="113"/>
      <c r="GM1106" s="113"/>
      <c r="GN1106" s="113"/>
      <c r="GO1106" s="46">
        <v>0</v>
      </c>
      <c r="GP1106" s="113"/>
      <c r="GQ1106" s="113"/>
      <c r="GR1106" s="113"/>
      <c r="GS1106" s="113"/>
      <c r="GT1106" s="113"/>
      <c r="GU1106" s="46">
        <v>0</v>
      </c>
      <c r="GV1106" s="113"/>
      <c r="GW1106" s="113"/>
      <c r="GX1106" s="113"/>
      <c r="GY1106" s="113"/>
      <c r="GZ1106" s="113"/>
      <c r="HA1106" s="46">
        <v>0</v>
      </c>
      <c r="HB1106" s="113"/>
      <c r="HC1106" s="113"/>
      <c r="HD1106" s="113"/>
      <c r="HE1106" s="113"/>
      <c r="HF1106" s="113"/>
      <c r="HG1106" s="46">
        <v>0</v>
      </c>
      <c r="HH1106" s="113"/>
      <c r="HI1106" s="113"/>
      <c r="HJ1106" s="113"/>
      <c r="HK1106" s="113"/>
      <c r="HL1106" s="113"/>
      <c r="HM1106" s="121"/>
      <c r="HN1106" s="121"/>
      <c r="LM1106" t="str">
        <v/>
      </c>
      <c r="LN1106" t="str">
        <v/>
      </c>
      <c r="LO1106" t="str">
        <v/>
      </c>
    </row>
    <row r="1107" spans="30:327">
      <c r="AD1107" t="s">
        <v>114</v>
      </c>
      <c r="AE1107" t="s">
        <v>23202</v>
      </c>
      <c r="AF1107" s="46">
        <v>0</v>
      </c>
      <c r="AG1107" s="113"/>
      <c r="AH1107" s="113"/>
      <c r="AI1107" s="113"/>
      <c r="AJ1107" s="113"/>
      <c r="AK1107" s="113"/>
      <c r="AL1107" s="46">
        <v>0</v>
      </c>
      <c r="AM1107" s="113"/>
      <c r="AN1107" s="113"/>
      <c r="AO1107" s="113"/>
      <c r="AP1107" s="113"/>
      <c r="AQ1107" s="113"/>
      <c r="AR1107" s="46">
        <v>0</v>
      </c>
      <c r="AS1107" s="113"/>
      <c r="AT1107" s="113"/>
      <c r="AU1107" s="113"/>
      <c r="AV1107" s="113"/>
      <c r="AW1107" s="113"/>
      <c r="AX1107" s="46">
        <v>0</v>
      </c>
      <c r="AY1107" s="113"/>
      <c r="AZ1107" s="113"/>
      <c r="BA1107" s="113"/>
      <c r="BB1107" s="113"/>
      <c r="BC1107" s="113"/>
      <c r="BD1107" s="46">
        <v>0</v>
      </c>
      <c r="BE1107" s="113"/>
      <c r="BF1107" s="113"/>
      <c r="BG1107" s="113"/>
      <c r="BH1107" s="113"/>
      <c r="BI1107" s="113"/>
      <c r="BJ1107" s="46">
        <v>0</v>
      </c>
      <c r="BK1107" s="113"/>
      <c r="BL1107" s="113"/>
      <c r="BM1107" s="113"/>
      <c r="BN1107" s="113"/>
      <c r="BO1107" s="113"/>
      <c r="BP1107" s="121"/>
      <c r="BQ1107" s="121"/>
      <c r="GA1107" t="s">
        <v>114</v>
      </c>
      <c r="GB1107" t="s">
        <v>23202</v>
      </c>
      <c r="GC1107" s="46">
        <v>0</v>
      </c>
      <c r="GD1107" s="113"/>
      <c r="GE1107" s="113"/>
      <c r="GF1107" s="113"/>
      <c r="GG1107" s="113"/>
      <c r="GH1107" s="113"/>
      <c r="GI1107" s="46">
        <v>0</v>
      </c>
      <c r="GJ1107" s="113"/>
      <c r="GK1107" s="113"/>
      <c r="GL1107" s="113"/>
      <c r="GM1107" s="113"/>
      <c r="GN1107" s="113"/>
      <c r="GO1107" s="46">
        <v>0</v>
      </c>
      <c r="GP1107" s="113"/>
      <c r="GQ1107" s="113"/>
      <c r="GR1107" s="113"/>
      <c r="GS1107" s="113"/>
      <c r="GT1107" s="113"/>
      <c r="GU1107" s="46">
        <v>0</v>
      </c>
      <c r="GV1107" s="113"/>
      <c r="GW1107" s="113"/>
      <c r="GX1107" s="113"/>
      <c r="GY1107" s="113"/>
      <c r="GZ1107" s="113"/>
      <c r="HA1107" s="46">
        <v>0</v>
      </c>
      <c r="HB1107" s="113"/>
      <c r="HC1107" s="113"/>
      <c r="HD1107" s="113"/>
      <c r="HE1107" s="113"/>
      <c r="HF1107" s="113"/>
      <c r="HG1107" s="46">
        <v>0</v>
      </c>
      <c r="HH1107" s="113"/>
      <c r="HI1107" s="113"/>
      <c r="HJ1107" s="113"/>
      <c r="HK1107" s="113"/>
      <c r="HL1107" s="113"/>
      <c r="HM1107" s="121"/>
      <c r="HN1107" s="121"/>
      <c r="LM1107" t="str">
        <v/>
      </c>
      <c r="LN1107" t="str">
        <v/>
      </c>
      <c r="LO1107" t="str">
        <v/>
      </c>
    </row>
    <row r="1108" spans="30:327">
      <c r="AD1108" t="s">
        <v>114</v>
      </c>
      <c r="AE1108" t="s">
        <v>23203</v>
      </c>
      <c r="AF1108" s="46">
        <v>0</v>
      </c>
      <c r="AG1108" s="113"/>
      <c r="AH1108" s="113"/>
      <c r="AI1108" s="113"/>
      <c r="AJ1108" s="113"/>
      <c r="AK1108" s="113"/>
      <c r="AL1108" s="46">
        <v>0</v>
      </c>
      <c r="AM1108" s="113"/>
      <c r="AN1108" s="113"/>
      <c r="AO1108" s="113"/>
      <c r="AP1108" s="113"/>
      <c r="AQ1108" s="113"/>
      <c r="AR1108" s="46">
        <v>0</v>
      </c>
      <c r="AS1108" s="113"/>
      <c r="AT1108" s="113"/>
      <c r="AU1108" s="113"/>
      <c r="AV1108" s="113"/>
      <c r="AW1108" s="113"/>
      <c r="AX1108" s="46">
        <v>0</v>
      </c>
      <c r="AY1108" s="113"/>
      <c r="AZ1108" s="113"/>
      <c r="BA1108" s="113"/>
      <c r="BB1108" s="113"/>
      <c r="BC1108" s="113"/>
      <c r="BD1108" s="46">
        <v>0</v>
      </c>
      <c r="BE1108" s="113"/>
      <c r="BF1108" s="113"/>
      <c r="BG1108" s="113"/>
      <c r="BH1108" s="113"/>
      <c r="BI1108" s="113"/>
      <c r="BJ1108" s="46">
        <v>0</v>
      </c>
      <c r="BK1108" s="113"/>
      <c r="BL1108" s="113"/>
      <c r="BM1108" s="113"/>
      <c r="BN1108" s="113"/>
      <c r="BO1108" s="113"/>
      <c r="BP1108" s="121"/>
      <c r="BQ1108" s="121"/>
      <c r="GA1108" t="s">
        <v>114</v>
      </c>
      <c r="GB1108" t="s">
        <v>23203</v>
      </c>
      <c r="GC1108" s="46">
        <v>0</v>
      </c>
      <c r="GD1108" s="113"/>
      <c r="GE1108" s="113"/>
      <c r="GF1108" s="113"/>
      <c r="GG1108" s="113"/>
      <c r="GH1108" s="113"/>
      <c r="GI1108" s="46">
        <v>0</v>
      </c>
      <c r="GJ1108" s="113"/>
      <c r="GK1108" s="113"/>
      <c r="GL1108" s="113"/>
      <c r="GM1108" s="113"/>
      <c r="GN1108" s="113"/>
      <c r="GO1108" s="46">
        <v>0</v>
      </c>
      <c r="GP1108" s="113"/>
      <c r="GQ1108" s="113"/>
      <c r="GR1108" s="113"/>
      <c r="GS1108" s="113"/>
      <c r="GT1108" s="113"/>
      <c r="GU1108" s="46">
        <v>0</v>
      </c>
      <c r="GV1108" s="113"/>
      <c r="GW1108" s="113"/>
      <c r="GX1108" s="113"/>
      <c r="GY1108" s="113"/>
      <c r="GZ1108" s="113"/>
      <c r="HA1108" s="46">
        <v>0</v>
      </c>
      <c r="HB1108" s="113"/>
      <c r="HC1108" s="113"/>
      <c r="HD1108" s="113"/>
      <c r="HE1108" s="113"/>
      <c r="HF1108" s="113"/>
      <c r="HG1108" s="46">
        <v>0</v>
      </c>
      <c r="HH1108" s="113"/>
      <c r="HI1108" s="113"/>
      <c r="HJ1108" s="113"/>
      <c r="HK1108" s="113"/>
      <c r="HL1108" s="113"/>
      <c r="HM1108" s="121"/>
      <c r="HN1108" s="121"/>
      <c r="LM1108" t="str">
        <v/>
      </c>
      <c r="LN1108" t="str">
        <v/>
      </c>
      <c r="LO1108" t="str">
        <v/>
      </c>
    </row>
    <row r="1109" spans="30:327">
      <c r="AD1109" t="s">
        <v>114</v>
      </c>
      <c r="AE1109" t="s">
        <v>23204</v>
      </c>
      <c r="AF1109" s="46">
        <v>0</v>
      </c>
      <c r="AG1109" s="113"/>
      <c r="AH1109" s="113"/>
      <c r="AI1109" s="113"/>
      <c r="AJ1109" s="113"/>
      <c r="AK1109" s="113"/>
      <c r="AL1109" s="46">
        <v>0</v>
      </c>
      <c r="AM1109" s="113"/>
      <c r="AN1109" s="113"/>
      <c r="AO1109" s="113"/>
      <c r="AP1109" s="113"/>
      <c r="AQ1109" s="113"/>
      <c r="AR1109" s="46">
        <v>0</v>
      </c>
      <c r="AS1109" s="113"/>
      <c r="AT1109" s="113"/>
      <c r="AU1109" s="113"/>
      <c r="AV1109" s="113"/>
      <c r="AW1109" s="113"/>
      <c r="AX1109" s="46">
        <v>0</v>
      </c>
      <c r="AY1109" s="113"/>
      <c r="AZ1109" s="113"/>
      <c r="BA1109" s="113"/>
      <c r="BB1109" s="113"/>
      <c r="BC1109" s="113"/>
      <c r="BD1109" s="46">
        <v>0</v>
      </c>
      <c r="BE1109" s="113"/>
      <c r="BF1109" s="113"/>
      <c r="BG1109" s="113"/>
      <c r="BH1109" s="113"/>
      <c r="BI1109" s="113"/>
      <c r="BJ1109" s="46">
        <v>0</v>
      </c>
      <c r="BK1109" s="113"/>
      <c r="BL1109" s="113"/>
      <c r="BM1109" s="113"/>
      <c r="BN1109" s="113"/>
      <c r="BO1109" s="113"/>
      <c r="BP1109" s="121"/>
      <c r="BQ1109" s="121"/>
      <c r="GA1109" t="s">
        <v>114</v>
      </c>
      <c r="GB1109" t="s">
        <v>23204</v>
      </c>
      <c r="GC1109" s="46">
        <v>0</v>
      </c>
      <c r="GD1109" s="113"/>
      <c r="GE1109" s="113"/>
      <c r="GF1109" s="113"/>
      <c r="GG1109" s="113"/>
      <c r="GH1109" s="113"/>
      <c r="GI1109" s="46">
        <v>0</v>
      </c>
      <c r="GJ1109" s="113"/>
      <c r="GK1109" s="113"/>
      <c r="GL1109" s="113"/>
      <c r="GM1109" s="113"/>
      <c r="GN1109" s="113"/>
      <c r="GO1109" s="46">
        <v>0</v>
      </c>
      <c r="GP1109" s="113"/>
      <c r="GQ1109" s="113"/>
      <c r="GR1109" s="113"/>
      <c r="GS1109" s="113"/>
      <c r="GT1109" s="113"/>
      <c r="GU1109" s="46">
        <v>0</v>
      </c>
      <c r="GV1109" s="113"/>
      <c r="GW1109" s="113"/>
      <c r="GX1109" s="113"/>
      <c r="GY1109" s="113"/>
      <c r="GZ1109" s="113"/>
      <c r="HA1109" s="46">
        <v>0</v>
      </c>
      <c r="HB1109" s="113"/>
      <c r="HC1109" s="113"/>
      <c r="HD1109" s="113"/>
      <c r="HE1109" s="113"/>
      <c r="HF1109" s="113"/>
      <c r="HG1109" s="46">
        <v>0</v>
      </c>
      <c r="HH1109" s="113"/>
      <c r="HI1109" s="113"/>
      <c r="HJ1109" s="113"/>
      <c r="HK1109" s="113"/>
      <c r="HL1109" s="113"/>
      <c r="HM1109" s="121"/>
      <c r="HN1109" s="121"/>
      <c r="LM1109" t="str">
        <v/>
      </c>
      <c r="LN1109" t="str">
        <v/>
      </c>
      <c r="LO1109" t="str">
        <v/>
      </c>
    </row>
    <row r="1110" spans="30:327">
      <c r="AD1110" t="s">
        <v>114</v>
      </c>
      <c r="AE1110" t="s">
        <v>23205</v>
      </c>
      <c r="AF1110" s="46">
        <v>0</v>
      </c>
      <c r="AG1110" s="113"/>
      <c r="AH1110" s="113"/>
      <c r="AI1110" s="113"/>
      <c r="AJ1110" s="113"/>
      <c r="AK1110" s="113"/>
      <c r="AL1110" s="46">
        <v>0</v>
      </c>
      <c r="AM1110" s="113"/>
      <c r="AN1110" s="113"/>
      <c r="AO1110" s="113"/>
      <c r="AP1110" s="113"/>
      <c r="AQ1110" s="113"/>
      <c r="AR1110" s="46">
        <v>0</v>
      </c>
      <c r="AS1110" s="113"/>
      <c r="AT1110" s="113"/>
      <c r="AU1110" s="113"/>
      <c r="AV1110" s="113"/>
      <c r="AW1110" s="113"/>
      <c r="AX1110" s="46">
        <v>0</v>
      </c>
      <c r="AY1110" s="113"/>
      <c r="AZ1110" s="113"/>
      <c r="BA1110" s="113"/>
      <c r="BB1110" s="113"/>
      <c r="BC1110" s="113"/>
      <c r="BD1110" s="46">
        <v>0</v>
      </c>
      <c r="BE1110" s="113"/>
      <c r="BF1110" s="113"/>
      <c r="BG1110" s="113"/>
      <c r="BH1110" s="113"/>
      <c r="BI1110" s="113"/>
      <c r="BJ1110" s="46">
        <v>0</v>
      </c>
      <c r="BK1110" s="113"/>
      <c r="BL1110" s="113"/>
      <c r="BM1110" s="113"/>
      <c r="BN1110" s="113"/>
      <c r="BO1110" s="113"/>
      <c r="BP1110" s="121"/>
      <c r="BQ1110" s="121"/>
      <c r="GA1110" t="s">
        <v>114</v>
      </c>
      <c r="GB1110" t="s">
        <v>23205</v>
      </c>
      <c r="GC1110" s="46">
        <v>0</v>
      </c>
      <c r="GD1110" s="113"/>
      <c r="GE1110" s="113"/>
      <c r="GF1110" s="113"/>
      <c r="GG1110" s="113"/>
      <c r="GH1110" s="113"/>
      <c r="GI1110" s="46">
        <v>0</v>
      </c>
      <c r="GJ1110" s="113"/>
      <c r="GK1110" s="113"/>
      <c r="GL1110" s="113"/>
      <c r="GM1110" s="113"/>
      <c r="GN1110" s="113"/>
      <c r="GO1110" s="46">
        <v>0</v>
      </c>
      <c r="GP1110" s="113"/>
      <c r="GQ1110" s="113"/>
      <c r="GR1110" s="113"/>
      <c r="GS1110" s="113"/>
      <c r="GT1110" s="113"/>
      <c r="GU1110" s="46">
        <v>0</v>
      </c>
      <c r="GV1110" s="113"/>
      <c r="GW1110" s="113"/>
      <c r="GX1110" s="113"/>
      <c r="GY1110" s="113"/>
      <c r="GZ1110" s="113"/>
      <c r="HA1110" s="46">
        <v>0</v>
      </c>
      <c r="HB1110" s="113"/>
      <c r="HC1110" s="113"/>
      <c r="HD1110" s="113"/>
      <c r="HE1110" s="113"/>
      <c r="HF1110" s="113"/>
      <c r="HG1110" s="46">
        <v>0</v>
      </c>
      <c r="HH1110" s="113"/>
      <c r="HI1110" s="113"/>
      <c r="HJ1110" s="113"/>
      <c r="HK1110" s="113"/>
      <c r="HL1110" s="113"/>
      <c r="HM1110" s="121"/>
      <c r="HN1110" s="121"/>
      <c r="LM1110" t="str">
        <v/>
      </c>
      <c r="LN1110" t="str">
        <v/>
      </c>
      <c r="LO1110" t="str">
        <v/>
      </c>
    </row>
    <row r="1111" spans="30:327">
      <c r="AD1111" t="s">
        <v>114</v>
      </c>
      <c r="AE1111" t="s">
        <v>23206</v>
      </c>
      <c r="AF1111" s="46">
        <v>0</v>
      </c>
      <c r="AG1111" s="113"/>
      <c r="AH1111" s="113"/>
      <c r="AI1111" s="113"/>
      <c r="AJ1111" s="113"/>
      <c r="AK1111" s="113"/>
      <c r="AL1111" s="46">
        <v>0</v>
      </c>
      <c r="AM1111" s="113"/>
      <c r="AN1111" s="113"/>
      <c r="AO1111" s="113"/>
      <c r="AP1111" s="113"/>
      <c r="AQ1111" s="113"/>
      <c r="AR1111" s="46">
        <v>0</v>
      </c>
      <c r="AS1111" s="113"/>
      <c r="AT1111" s="113"/>
      <c r="AU1111" s="113"/>
      <c r="AV1111" s="113"/>
      <c r="AW1111" s="113"/>
      <c r="AX1111" s="46">
        <v>0</v>
      </c>
      <c r="AY1111" s="113"/>
      <c r="AZ1111" s="113"/>
      <c r="BA1111" s="113"/>
      <c r="BB1111" s="113"/>
      <c r="BC1111" s="113"/>
      <c r="BD1111" s="46">
        <v>0</v>
      </c>
      <c r="BE1111" s="113"/>
      <c r="BF1111" s="113"/>
      <c r="BG1111" s="113"/>
      <c r="BH1111" s="113"/>
      <c r="BI1111" s="113"/>
      <c r="BJ1111" s="46">
        <v>0</v>
      </c>
      <c r="BK1111" s="113"/>
      <c r="BL1111" s="113"/>
      <c r="BM1111" s="113"/>
      <c r="BN1111" s="113"/>
      <c r="BO1111" s="113"/>
      <c r="BP1111" s="121"/>
      <c r="BQ1111" s="121"/>
      <c r="GA1111" t="s">
        <v>114</v>
      </c>
      <c r="GB1111" t="s">
        <v>23206</v>
      </c>
      <c r="GC1111" s="46">
        <v>0</v>
      </c>
      <c r="GD1111" s="113"/>
      <c r="GE1111" s="113"/>
      <c r="GF1111" s="113"/>
      <c r="GG1111" s="113"/>
      <c r="GH1111" s="113"/>
      <c r="GI1111" s="46">
        <v>0</v>
      </c>
      <c r="GJ1111" s="113"/>
      <c r="GK1111" s="113"/>
      <c r="GL1111" s="113"/>
      <c r="GM1111" s="113"/>
      <c r="GN1111" s="113"/>
      <c r="GO1111" s="46">
        <v>0</v>
      </c>
      <c r="GP1111" s="113"/>
      <c r="GQ1111" s="113"/>
      <c r="GR1111" s="113"/>
      <c r="GS1111" s="113"/>
      <c r="GT1111" s="113"/>
      <c r="GU1111" s="46">
        <v>0</v>
      </c>
      <c r="GV1111" s="113"/>
      <c r="GW1111" s="113"/>
      <c r="GX1111" s="113"/>
      <c r="GY1111" s="113"/>
      <c r="GZ1111" s="113"/>
      <c r="HA1111" s="46">
        <v>0</v>
      </c>
      <c r="HB1111" s="113"/>
      <c r="HC1111" s="113"/>
      <c r="HD1111" s="113"/>
      <c r="HE1111" s="113"/>
      <c r="HF1111" s="113"/>
      <c r="HG1111" s="46">
        <v>0</v>
      </c>
      <c r="HH1111" s="113"/>
      <c r="HI1111" s="113"/>
      <c r="HJ1111" s="113"/>
      <c r="HK1111" s="113"/>
      <c r="HL1111" s="113"/>
      <c r="HM1111" s="121"/>
      <c r="HN1111" s="121"/>
      <c r="LM1111" t="str">
        <v/>
      </c>
      <c r="LN1111" t="str">
        <v/>
      </c>
      <c r="LO1111" t="str">
        <v/>
      </c>
    </row>
    <row r="1112" spans="30:327">
      <c r="AD1112" t="s">
        <v>114</v>
      </c>
      <c r="AE1112" t="s">
        <v>23207</v>
      </c>
      <c r="AF1112" s="46">
        <v>0</v>
      </c>
      <c r="AG1112" s="113"/>
      <c r="AH1112" s="113"/>
      <c r="AI1112" s="113"/>
      <c r="AJ1112" s="113"/>
      <c r="AK1112" s="113"/>
      <c r="AL1112" s="46">
        <v>0</v>
      </c>
      <c r="AM1112" s="113"/>
      <c r="AN1112" s="113"/>
      <c r="AO1112" s="113"/>
      <c r="AP1112" s="113"/>
      <c r="AQ1112" s="113"/>
      <c r="AR1112" s="46">
        <v>0</v>
      </c>
      <c r="AS1112" s="113"/>
      <c r="AT1112" s="113"/>
      <c r="AU1112" s="113"/>
      <c r="AV1112" s="113"/>
      <c r="AW1112" s="113"/>
      <c r="AX1112" s="46">
        <v>0</v>
      </c>
      <c r="AY1112" s="113"/>
      <c r="AZ1112" s="113"/>
      <c r="BA1112" s="113"/>
      <c r="BB1112" s="113"/>
      <c r="BC1112" s="113"/>
      <c r="BD1112" s="46">
        <v>0</v>
      </c>
      <c r="BE1112" s="113"/>
      <c r="BF1112" s="113"/>
      <c r="BG1112" s="113"/>
      <c r="BH1112" s="113"/>
      <c r="BI1112" s="113"/>
      <c r="BJ1112" s="46">
        <v>0</v>
      </c>
      <c r="BK1112" s="113"/>
      <c r="BL1112" s="113"/>
      <c r="BM1112" s="113"/>
      <c r="BN1112" s="113"/>
      <c r="BO1112" s="113"/>
      <c r="BP1112" s="121"/>
      <c r="BQ1112" s="121"/>
      <c r="GA1112" t="s">
        <v>114</v>
      </c>
      <c r="GB1112" t="s">
        <v>23207</v>
      </c>
      <c r="GC1112" s="46">
        <v>0</v>
      </c>
      <c r="GD1112" s="113"/>
      <c r="GE1112" s="113"/>
      <c r="GF1112" s="113"/>
      <c r="GG1112" s="113"/>
      <c r="GH1112" s="113"/>
      <c r="GI1112" s="46">
        <v>0</v>
      </c>
      <c r="GJ1112" s="113"/>
      <c r="GK1112" s="113"/>
      <c r="GL1112" s="113"/>
      <c r="GM1112" s="113"/>
      <c r="GN1112" s="113"/>
      <c r="GO1112" s="46">
        <v>0</v>
      </c>
      <c r="GP1112" s="113"/>
      <c r="GQ1112" s="113"/>
      <c r="GR1112" s="113"/>
      <c r="GS1112" s="113"/>
      <c r="GT1112" s="113"/>
      <c r="GU1112" s="46">
        <v>0</v>
      </c>
      <c r="GV1112" s="113"/>
      <c r="GW1112" s="113"/>
      <c r="GX1112" s="113"/>
      <c r="GY1112" s="113"/>
      <c r="GZ1112" s="113"/>
      <c r="HA1112" s="46">
        <v>0</v>
      </c>
      <c r="HB1112" s="113"/>
      <c r="HC1112" s="113"/>
      <c r="HD1112" s="113"/>
      <c r="HE1112" s="113"/>
      <c r="HF1112" s="113"/>
      <c r="HG1112" s="46">
        <v>0</v>
      </c>
      <c r="HH1112" s="113"/>
      <c r="HI1112" s="113"/>
      <c r="HJ1112" s="113"/>
      <c r="HK1112" s="113"/>
      <c r="HL1112" s="113"/>
      <c r="HM1112" s="121"/>
      <c r="HN1112" s="121"/>
      <c r="LM1112" t="str">
        <v/>
      </c>
      <c r="LN1112" t="str">
        <v/>
      </c>
      <c r="LO1112" t="str">
        <v/>
      </c>
    </row>
    <row r="1113" spans="30:327">
      <c r="AD1113" t="s">
        <v>114</v>
      </c>
      <c r="AE1113" t="s">
        <v>23208</v>
      </c>
      <c r="AF1113" s="46">
        <v>0</v>
      </c>
      <c r="AG1113" s="113"/>
      <c r="AH1113" s="113"/>
      <c r="AI1113" s="113"/>
      <c r="AJ1113" s="113"/>
      <c r="AK1113" s="113"/>
      <c r="AL1113" s="46">
        <v>0</v>
      </c>
      <c r="AM1113" s="113"/>
      <c r="AN1113" s="113"/>
      <c r="AO1113" s="113"/>
      <c r="AP1113" s="113"/>
      <c r="AQ1113" s="113"/>
      <c r="AR1113" s="46">
        <v>0</v>
      </c>
      <c r="AS1113" s="113"/>
      <c r="AT1113" s="113"/>
      <c r="AU1113" s="113"/>
      <c r="AV1113" s="113"/>
      <c r="AW1113" s="113"/>
      <c r="AX1113" s="46">
        <v>0</v>
      </c>
      <c r="AY1113" s="113"/>
      <c r="AZ1113" s="113"/>
      <c r="BA1113" s="113"/>
      <c r="BB1113" s="113"/>
      <c r="BC1113" s="113"/>
      <c r="BD1113" s="46">
        <v>0</v>
      </c>
      <c r="BE1113" s="113"/>
      <c r="BF1113" s="113"/>
      <c r="BG1113" s="113"/>
      <c r="BH1113" s="113"/>
      <c r="BI1113" s="113"/>
      <c r="BJ1113" s="46">
        <v>0</v>
      </c>
      <c r="BK1113" s="113"/>
      <c r="BL1113" s="113"/>
      <c r="BM1113" s="113"/>
      <c r="BN1113" s="113"/>
      <c r="BO1113" s="113"/>
      <c r="BP1113" s="121"/>
      <c r="BQ1113" s="121"/>
      <c r="GA1113" t="s">
        <v>114</v>
      </c>
      <c r="GB1113" t="s">
        <v>23208</v>
      </c>
      <c r="GC1113" s="46">
        <v>0</v>
      </c>
      <c r="GD1113" s="113"/>
      <c r="GE1113" s="113"/>
      <c r="GF1113" s="113"/>
      <c r="GG1113" s="113"/>
      <c r="GH1113" s="113"/>
      <c r="GI1113" s="46">
        <v>0</v>
      </c>
      <c r="GJ1113" s="113"/>
      <c r="GK1113" s="113"/>
      <c r="GL1113" s="113"/>
      <c r="GM1113" s="113"/>
      <c r="GN1113" s="113"/>
      <c r="GO1113" s="46">
        <v>0</v>
      </c>
      <c r="GP1113" s="113"/>
      <c r="GQ1113" s="113"/>
      <c r="GR1113" s="113"/>
      <c r="GS1113" s="113"/>
      <c r="GT1113" s="113"/>
      <c r="GU1113" s="46">
        <v>0</v>
      </c>
      <c r="GV1113" s="113"/>
      <c r="GW1113" s="113"/>
      <c r="GX1113" s="113"/>
      <c r="GY1113" s="113"/>
      <c r="GZ1113" s="113"/>
      <c r="HA1113" s="46">
        <v>0</v>
      </c>
      <c r="HB1113" s="113"/>
      <c r="HC1113" s="113"/>
      <c r="HD1113" s="113"/>
      <c r="HE1113" s="113"/>
      <c r="HF1113" s="113"/>
      <c r="HG1113" s="46">
        <v>0</v>
      </c>
      <c r="HH1113" s="113"/>
      <c r="HI1113" s="113"/>
      <c r="HJ1113" s="113"/>
      <c r="HK1113" s="113"/>
      <c r="HL1113" s="113"/>
      <c r="HM1113" s="121"/>
      <c r="HN1113" s="121"/>
      <c r="LM1113" t="str">
        <v/>
      </c>
      <c r="LN1113" t="str">
        <v/>
      </c>
      <c r="LO1113" t="str">
        <v/>
      </c>
    </row>
    <row r="1114" spans="30:327">
      <c r="AD1114" t="s">
        <v>114</v>
      </c>
      <c r="AE1114" t="s">
        <v>23209</v>
      </c>
      <c r="AF1114" s="46">
        <v>0</v>
      </c>
      <c r="AG1114" s="113"/>
      <c r="AH1114" s="113"/>
      <c r="AI1114" s="113"/>
      <c r="AJ1114" s="113"/>
      <c r="AK1114" s="113"/>
      <c r="AL1114" s="46">
        <v>0</v>
      </c>
      <c r="AM1114" s="113"/>
      <c r="AN1114" s="113"/>
      <c r="AO1114" s="113"/>
      <c r="AP1114" s="113"/>
      <c r="AQ1114" s="113"/>
      <c r="AR1114" s="46">
        <v>0</v>
      </c>
      <c r="AS1114" s="113"/>
      <c r="AT1114" s="113"/>
      <c r="AU1114" s="113"/>
      <c r="AV1114" s="113"/>
      <c r="AW1114" s="113"/>
      <c r="AX1114" s="46">
        <v>0</v>
      </c>
      <c r="AY1114" s="113"/>
      <c r="AZ1114" s="113"/>
      <c r="BA1114" s="113"/>
      <c r="BB1114" s="113"/>
      <c r="BC1114" s="113"/>
      <c r="BD1114" s="46">
        <v>0</v>
      </c>
      <c r="BE1114" s="113"/>
      <c r="BF1114" s="113"/>
      <c r="BG1114" s="113"/>
      <c r="BH1114" s="113"/>
      <c r="BI1114" s="113"/>
      <c r="BJ1114" s="46">
        <v>0</v>
      </c>
      <c r="BK1114" s="113"/>
      <c r="BL1114" s="113"/>
      <c r="BM1114" s="113"/>
      <c r="BN1114" s="113"/>
      <c r="BO1114" s="113"/>
      <c r="BP1114" s="121"/>
      <c r="BQ1114" s="121"/>
      <c r="GA1114" t="s">
        <v>114</v>
      </c>
      <c r="GB1114" t="s">
        <v>23209</v>
      </c>
      <c r="GC1114" s="46">
        <v>0</v>
      </c>
      <c r="GD1114" s="113"/>
      <c r="GE1114" s="113"/>
      <c r="GF1114" s="113"/>
      <c r="GG1114" s="113"/>
      <c r="GH1114" s="113"/>
      <c r="GI1114" s="46">
        <v>0</v>
      </c>
      <c r="GJ1114" s="113"/>
      <c r="GK1114" s="113"/>
      <c r="GL1114" s="113"/>
      <c r="GM1114" s="113"/>
      <c r="GN1114" s="113"/>
      <c r="GO1114" s="46">
        <v>0</v>
      </c>
      <c r="GP1114" s="113"/>
      <c r="GQ1114" s="113"/>
      <c r="GR1114" s="113"/>
      <c r="GS1114" s="113"/>
      <c r="GT1114" s="113"/>
      <c r="GU1114" s="46">
        <v>0</v>
      </c>
      <c r="GV1114" s="113"/>
      <c r="GW1114" s="113"/>
      <c r="GX1114" s="113"/>
      <c r="GY1114" s="113"/>
      <c r="GZ1114" s="113"/>
      <c r="HA1114" s="46">
        <v>0</v>
      </c>
      <c r="HB1114" s="113"/>
      <c r="HC1114" s="113"/>
      <c r="HD1114" s="113"/>
      <c r="HE1114" s="113"/>
      <c r="HF1114" s="113"/>
      <c r="HG1114" s="46">
        <v>0</v>
      </c>
      <c r="HH1114" s="113"/>
      <c r="HI1114" s="113"/>
      <c r="HJ1114" s="113"/>
      <c r="HK1114" s="113"/>
      <c r="HL1114" s="113"/>
      <c r="HM1114" s="121"/>
      <c r="HN1114" s="121"/>
      <c r="LM1114" t="str">
        <v/>
      </c>
      <c r="LN1114" t="str">
        <v/>
      </c>
      <c r="LO1114" t="str">
        <v/>
      </c>
    </row>
    <row r="1115" spans="30:327">
      <c r="AD1115" t="s">
        <v>114</v>
      </c>
      <c r="AE1115" t="s">
        <v>23210</v>
      </c>
      <c r="AF1115" s="46">
        <v>0</v>
      </c>
      <c r="AG1115" s="113"/>
      <c r="AH1115" s="113"/>
      <c r="AI1115" s="113"/>
      <c r="AJ1115" s="113"/>
      <c r="AK1115" s="113"/>
      <c r="AL1115" s="46">
        <v>0</v>
      </c>
      <c r="AM1115" s="113"/>
      <c r="AN1115" s="113"/>
      <c r="AO1115" s="113"/>
      <c r="AP1115" s="113"/>
      <c r="AQ1115" s="113"/>
      <c r="AR1115" s="46">
        <v>0</v>
      </c>
      <c r="AS1115" s="113"/>
      <c r="AT1115" s="113"/>
      <c r="AU1115" s="113"/>
      <c r="AV1115" s="113"/>
      <c r="AW1115" s="113"/>
      <c r="AX1115" s="46">
        <v>0</v>
      </c>
      <c r="AY1115" s="113"/>
      <c r="AZ1115" s="113"/>
      <c r="BA1115" s="113"/>
      <c r="BB1115" s="113"/>
      <c r="BC1115" s="113"/>
      <c r="BD1115" s="46">
        <v>0</v>
      </c>
      <c r="BE1115" s="113"/>
      <c r="BF1115" s="113"/>
      <c r="BG1115" s="113"/>
      <c r="BH1115" s="113"/>
      <c r="BI1115" s="113"/>
      <c r="BJ1115" s="46">
        <v>0</v>
      </c>
      <c r="BK1115" s="113"/>
      <c r="BL1115" s="113"/>
      <c r="BM1115" s="113"/>
      <c r="BN1115" s="113"/>
      <c r="BO1115" s="113"/>
      <c r="BP1115" s="121"/>
      <c r="BQ1115" s="121"/>
      <c r="GA1115" t="s">
        <v>114</v>
      </c>
      <c r="GB1115" t="s">
        <v>23210</v>
      </c>
      <c r="GC1115" s="46">
        <v>0</v>
      </c>
      <c r="GD1115" s="113"/>
      <c r="GE1115" s="113"/>
      <c r="GF1115" s="113"/>
      <c r="GG1115" s="113"/>
      <c r="GH1115" s="113"/>
      <c r="GI1115" s="46">
        <v>0</v>
      </c>
      <c r="GJ1115" s="113"/>
      <c r="GK1115" s="113"/>
      <c r="GL1115" s="113"/>
      <c r="GM1115" s="113"/>
      <c r="GN1115" s="113"/>
      <c r="GO1115" s="46">
        <v>0</v>
      </c>
      <c r="GP1115" s="113"/>
      <c r="GQ1115" s="113"/>
      <c r="GR1115" s="113"/>
      <c r="GS1115" s="113"/>
      <c r="GT1115" s="113"/>
      <c r="GU1115" s="46">
        <v>0</v>
      </c>
      <c r="GV1115" s="113"/>
      <c r="GW1115" s="113"/>
      <c r="GX1115" s="113"/>
      <c r="GY1115" s="113"/>
      <c r="GZ1115" s="113"/>
      <c r="HA1115" s="46">
        <v>0</v>
      </c>
      <c r="HB1115" s="113"/>
      <c r="HC1115" s="113"/>
      <c r="HD1115" s="113"/>
      <c r="HE1115" s="113"/>
      <c r="HF1115" s="113"/>
      <c r="HG1115" s="46">
        <v>0</v>
      </c>
      <c r="HH1115" s="113"/>
      <c r="HI1115" s="113"/>
      <c r="HJ1115" s="113"/>
      <c r="HK1115" s="113"/>
      <c r="HL1115" s="113"/>
      <c r="HM1115" s="121"/>
      <c r="HN1115" s="121"/>
      <c r="LM1115" t="str">
        <v/>
      </c>
      <c r="LN1115" t="str">
        <v/>
      </c>
      <c r="LO1115" t="str">
        <v/>
      </c>
    </row>
    <row r="1116" spans="30:327">
      <c r="AD1116" t="s">
        <v>114</v>
      </c>
      <c r="AE1116" t="s">
        <v>23211</v>
      </c>
      <c r="AF1116" s="46">
        <v>0</v>
      </c>
      <c r="AG1116" s="113"/>
      <c r="AH1116" s="113"/>
      <c r="AI1116" s="113"/>
      <c r="AJ1116" s="113"/>
      <c r="AK1116" s="113"/>
      <c r="AL1116" s="46">
        <v>0</v>
      </c>
      <c r="AM1116" s="113"/>
      <c r="AN1116" s="113"/>
      <c r="AO1116" s="113"/>
      <c r="AP1116" s="113"/>
      <c r="AQ1116" s="113"/>
      <c r="AR1116" s="46">
        <v>0</v>
      </c>
      <c r="AS1116" s="113"/>
      <c r="AT1116" s="113"/>
      <c r="AU1116" s="113"/>
      <c r="AV1116" s="113"/>
      <c r="AW1116" s="113"/>
      <c r="AX1116" s="46">
        <v>0</v>
      </c>
      <c r="AY1116" s="113"/>
      <c r="AZ1116" s="113"/>
      <c r="BA1116" s="113"/>
      <c r="BB1116" s="113"/>
      <c r="BC1116" s="113"/>
      <c r="BD1116" s="46">
        <v>0</v>
      </c>
      <c r="BE1116" s="113"/>
      <c r="BF1116" s="113"/>
      <c r="BG1116" s="113"/>
      <c r="BH1116" s="113"/>
      <c r="BI1116" s="113"/>
      <c r="BJ1116" s="46">
        <v>0</v>
      </c>
      <c r="BK1116" s="113"/>
      <c r="BL1116" s="113"/>
      <c r="BM1116" s="113"/>
      <c r="BN1116" s="113"/>
      <c r="BO1116" s="113"/>
      <c r="BP1116" s="121"/>
      <c r="BQ1116" s="121"/>
      <c r="GA1116" t="s">
        <v>114</v>
      </c>
      <c r="GB1116" t="s">
        <v>23211</v>
      </c>
      <c r="GC1116" s="46">
        <v>0</v>
      </c>
      <c r="GD1116" s="113"/>
      <c r="GE1116" s="113"/>
      <c r="GF1116" s="113"/>
      <c r="GG1116" s="113"/>
      <c r="GH1116" s="113"/>
      <c r="GI1116" s="46">
        <v>0</v>
      </c>
      <c r="GJ1116" s="113"/>
      <c r="GK1116" s="113"/>
      <c r="GL1116" s="113"/>
      <c r="GM1116" s="113"/>
      <c r="GN1116" s="113"/>
      <c r="GO1116" s="46">
        <v>0</v>
      </c>
      <c r="GP1116" s="113"/>
      <c r="GQ1116" s="113"/>
      <c r="GR1116" s="113"/>
      <c r="GS1116" s="113"/>
      <c r="GT1116" s="113"/>
      <c r="GU1116" s="46">
        <v>0</v>
      </c>
      <c r="GV1116" s="113"/>
      <c r="GW1116" s="113"/>
      <c r="GX1116" s="113"/>
      <c r="GY1116" s="113"/>
      <c r="GZ1116" s="113"/>
      <c r="HA1116" s="46">
        <v>0</v>
      </c>
      <c r="HB1116" s="113"/>
      <c r="HC1116" s="113"/>
      <c r="HD1116" s="113"/>
      <c r="HE1116" s="113"/>
      <c r="HF1116" s="113"/>
      <c r="HG1116" s="46">
        <v>0</v>
      </c>
      <c r="HH1116" s="113"/>
      <c r="HI1116" s="113"/>
      <c r="HJ1116" s="113"/>
      <c r="HK1116" s="113"/>
      <c r="HL1116" s="113"/>
      <c r="HM1116" s="121"/>
      <c r="HN1116" s="121"/>
      <c r="LM1116" t="str">
        <v/>
      </c>
      <c r="LN1116" t="str">
        <v/>
      </c>
      <c r="LO1116" t="str">
        <v/>
      </c>
    </row>
    <row r="1117" spans="30:327">
      <c r="AD1117" t="s">
        <v>114</v>
      </c>
      <c r="AE1117" t="s">
        <v>23212</v>
      </c>
      <c r="AF1117" s="46">
        <v>0</v>
      </c>
      <c r="AG1117" s="113"/>
      <c r="AH1117" s="113"/>
      <c r="AI1117" s="113"/>
      <c r="AJ1117" s="113"/>
      <c r="AK1117" s="113"/>
      <c r="AL1117" s="46">
        <v>0</v>
      </c>
      <c r="AM1117" s="113"/>
      <c r="AN1117" s="113"/>
      <c r="AO1117" s="113"/>
      <c r="AP1117" s="113"/>
      <c r="AQ1117" s="113"/>
      <c r="AR1117" s="46">
        <v>0</v>
      </c>
      <c r="AS1117" s="113"/>
      <c r="AT1117" s="113"/>
      <c r="AU1117" s="113"/>
      <c r="AV1117" s="113"/>
      <c r="AW1117" s="113"/>
      <c r="AX1117" s="46">
        <v>0</v>
      </c>
      <c r="AY1117" s="113"/>
      <c r="AZ1117" s="113"/>
      <c r="BA1117" s="113"/>
      <c r="BB1117" s="113"/>
      <c r="BC1117" s="113"/>
      <c r="BD1117" s="46">
        <v>0</v>
      </c>
      <c r="BE1117" s="113"/>
      <c r="BF1117" s="113"/>
      <c r="BG1117" s="113"/>
      <c r="BH1117" s="113"/>
      <c r="BI1117" s="113"/>
      <c r="BJ1117" s="46">
        <v>0</v>
      </c>
      <c r="BK1117" s="113"/>
      <c r="BL1117" s="113"/>
      <c r="BM1117" s="113"/>
      <c r="BN1117" s="113"/>
      <c r="BO1117" s="113"/>
      <c r="BP1117" s="121"/>
      <c r="BQ1117" s="121"/>
      <c r="GA1117" t="s">
        <v>114</v>
      </c>
      <c r="GB1117" t="s">
        <v>23212</v>
      </c>
      <c r="GC1117" s="46">
        <v>0</v>
      </c>
      <c r="GD1117" s="113"/>
      <c r="GE1117" s="113"/>
      <c r="GF1117" s="113"/>
      <c r="GG1117" s="113"/>
      <c r="GH1117" s="113"/>
      <c r="GI1117" s="46">
        <v>0</v>
      </c>
      <c r="GJ1117" s="113"/>
      <c r="GK1117" s="113"/>
      <c r="GL1117" s="113"/>
      <c r="GM1117" s="113"/>
      <c r="GN1117" s="113"/>
      <c r="GO1117" s="46">
        <v>0</v>
      </c>
      <c r="GP1117" s="113"/>
      <c r="GQ1117" s="113"/>
      <c r="GR1117" s="113"/>
      <c r="GS1117" s="113"/>
      <c r="GT1117" s="113"/>
      <c r="GU1117" s="46">
        <v>0</v>
      </c>
      <c r="GV1117" s="113"/>
      <c r="GW1117" s="113"/>
      <c r="GX1117" s="113"/>
      <c r="GY1117" s="113"/>
      <c r="GZ1117" s="113"/>
      <c r="HA1117" s="46">
        <v>0</v>
      </c>
      <c r="HB1117" s="113"/>
      <c r="HC1117" s="113"/>
      <c r="HD1117" s="113"/>
      <c r="HE1117" s="113"/>
      <c r="HF1117" s="113"/>
      <c r="HG1117" s="46">
        <v>0</v>
      </c>
      <c r="HH1117" s="113"/>
      <c r="HI1117" s="113"/>
      <c r="HJ1117" s="113"/>
      <c r="HK1117" s="113"/>
      <c r="HL1117" s="113"/>
      <c r="HM1117" s="121"/>
      <c r="HN1117" s="121"/>
      <c r="LM1117" t="str">
        <v/>
      </c>
      <c r="LN1117" t="str">
        <v/>
      </c>
      <c r="LO1117" t="str">
        <v/>
      </c>
    </row>
    <row r="1118" spans="30:327">
      <c r="AD1118" t="s">
        <v>114</v>
      </c>
      <c r="AE1118" t="s">
        <v>23213</v>
      </c>
      <c r="AF1118" s="46">
        <v>0</v>
      </c>
      <c r="AG1118" s="113"/>
      <c r="AH1118" s="113"/>
      <c r="AI1118" s="113"/>
      <c r="AJ1118" s="113"/>
      <c r="AK1118" s="113"/>
      <c r="AL1118" s="46">
        <v>0</v>
      </c>
      <c r="AM1118" s="113"/>
      <c r="AN1118" s="113"/>
      <c r="AO1118" s="113"/>
      <c r="AP1118" s="113"/>
      <c r="AQ1118" s="113"/>
      <c r="AR1118" s="46">
        <v>0</v>
      </c>
      <c r="AS1118" s="113"/>
      <c r="AT1118" s="113"/>
      <c r="AU1118" s="113"/>
      <c r="AV1118" s="113"/>
      <c r="AW1118" s="113"/>
      <c r="AX1118" s="46">
        <v>0</v>
      </c>
      <c r="AY1118" s="113"/>
      <c r="AZ1118" s="113"/>
      <c r="BA1118" s="113"/>
      <c r="BB1118" s="113"/>
      <c r="BC1118" s="113"/>
      <c r="BD1118" s="46">
        <v>0</v>
      </c>
      <c r="BE1118" s="113"/>
      <c r="BF1118" s="113"/>
      <c r="BG1118" s="113"/>
      <c r="BH1118" s="113"/>
      <c r="BI1118" s="113"/>
      <c r="BJ1118" s="46">
        <v>0</v>
      </c>
      <c r="BK1118" s="113"/>
      <c r="BL1118" s="113"/>
      <c r="BM1118" s="113"/>
      <c r="BN1118" s="113"/>
      <c r="BO1118" s="113"/>
      <c r="BP1118" s="121"/>
      <c r="BQ1118" s="121"/>
      <c r="GA1118" t="s">
        <v>114</v>
      </c>
      <c r="GB1118" t="s">
        <v>23213</v>
      </c>
      <c r="GC1118" s="46">
        <v>0</v>
      </c>
      <c r="GD1118" s="113"/>
      <c r="GE1118" s="113"/>
      <c r="GF1118" s="113"/>
      <c r="GG1118" s="113"/>
      <c r="GH1118" s="113"/>
      <c r="GI1118" s="46">
        <v>0</v>
      </c>
      <c r="GJ1118" s="113"/>
      <c r="GK1118" s="113"/>
      <c r="GL1118" s="113"/>
      <c r="GM1118" s="113"/>
      <c r="GN1118" s="113"/>
      <c r="GO1118" s="46">
        <v>0</v>
      </c>
      <c r="GP1118" s="113"/>
      <c r="GQ1118" s="113"/>
      <c r="GR1118" s="113"/>
      <c r="GS1118" s="113"/>
      <c r="GT1118" s="113"/>
      <c r="GU1118" s="46">
        <v>0</v>
      </c>
      <c r="GV1118" s="113"/>
      <c r="GW1118" s="113"/>
      <c r="GX1118" s="113"/>
      <c r="GY1118" s="113"/>
      <c r="GZ1118" s="113"/>
      <c r="HA1118" s="46">
        <v>0</v>
      </c>
      <c r="HB1118" s="113"/>
      <c r="HC1118" s="113"/>
      <c r="HD1118" s="113"/>
      <c r="HE1118" s="113"/>
      <c r="HF1118" s="113"/>
      <c r="HG1118" s="46">
        <v>0</v>
      </c>
      <c r="HH1118" s="113"/>
      <c r="HI1118" s="113"/>
      <c r="HJ1118" s="113"/>
      <c r="HK1118" s="113"/>
      <c r="HL1118" s="113"/>
      <c r="HM1118" s="121"/>
      <c r="HN1118" s="121"/>
      <c r="LM1118" t="str">
        <v/>
      </c>
      <c r="LN1118" t="str">
        <v/>
      </c>
      <c r="LO1118" t="str">
        <v/>
      </c>
    </row>
    <row r="1119" spans="30:327">
      <c r="AD1119" t="s">
        <v>114</v>
      </c>
      <c r="AE1119" t="s">
        <v>23214</v>
      </c>
      <c r="AF1119" s="46">
        <v>0</v>
      </c>
      <c r="AG1119" s="113"/>
      <c r="AH1119" s="113"/>
      <c r="AI1119" s="113"/>
      <c r="AJ1119" s="113"/>
      <c r="AK1119" s="113"/>
      <c r="AL1119" s="46">
        <v>0</v>
      </c>
      <c r="AM1119" s="113"/>
      <c r="AN1119" s="113"/>
      <c r="AO1119" s="113"/>
      <c r="AP1119" s="113"/>
      <c r="AQ1119" s="113"/>
      <c r="AR1119" s="46">
        <v>0</v>
      </c>
      <c r="AS1119" s="113"/>
      <c r="AT1119" s="113"/>
      <c r="AU1119" s="113"/>
      <c r="AV1119" s="113"/>
      <c r="AW1119" s="113"/>
      <c r="AX1119" s="46">
        <v>0</v>
      </c>
      <c r="AY1119" s="113"/>
      <c r="AZ1119" s="113"/>
      <c r="BA1119" s="113"/>
      <c r="BB1119" s="113"/>
      <c r="BC1119" s="113"/>
      <c r="BD1119" s="46">
        <v>0</v>
      </c>
      <c r="BE1119" s="113"/>
      <c r="BF1119" s="113"/>
      <c r="BG1119" s="113"/>
      <c r="BH1119" s="113"/>
      <c r="BI1119" s="113"/>
      <c r="BJ1119" s="46">
        <v>0</v>
      </c>
      <c r="BK1119" s="113"/>
      <c r="BL1119" s="113"/>
      <c r="BM1119" s="113"/>
      <c r="BN1119" s="113"/>
      <c r="BO1119" s="113"/>
      <c r="BP1119" s="121"/>
      <c r="BQ1119" s="121"/>
      <c r="GA1119" t="s">
        <v>114</v>
      </c>
      <c r="GB1119" t="s">
        <v>23214</v>
      </c>
      <c r="GC1119" s="46">
        <v>0</v>
      </c>
      <c r="GD1119" s="113"/>
      <c r="GE1119" s="113"/>
      <c r="GF1119" s="113"/>
      <c r="GG1119" s="113"/>
      <c r="GH1119" s="113"/>
      <c r="GI1119" s="46">
        <v>0</v>
      </c>
      <c r="GJ1119" s="113"/>
      <c r="GK1119" s="113"/>
      <c r="GL1119" s="113"/>
      <c r="GM1119" s="113"/>
      <c r="GN1119" s="113"/>
      <c r="GO1119" s="46">
        <v>0</v>
      </c>
      <c r="GP1119" s="113"/>
      <c r="GQ1119" s="113"/>
      <c r="GR1119" s="113"/>
      <c r="GS1119" s="113"/>
      <c r="GT1119" s="113"/>
      <c r="GU1119" s="46">
        <v>0</v>
      </c>
      <c r="GV1119" s="113"/>
      <c r="GW1119" s="113"/>
      <c r="GX1119" s="113"/>
      <c r="GY1119" s="113"/>
      <c r="GZ1119" s="113"/>
      <c r="HA1119" s="46">
        <v>0</v>
      </c>
      <c r="HB1119" s="113"/>
      <c r="HC1119" s="113"/>
      <c r="HD1119" s="113"/>
      <c r="HE1119" s="113"/>
      <c r="HF1119" s="113"/>
      <c r="HG1119" s="46">
        <v>0</v>
      </c>
      <c r="HH1119" s="113"/>
      <c r="HI1119" s="113"/>
      <c r="HJ1119" s="113"/>
      <c r="HK1119" s="113"/>
      <c r="HL1119" s="113"/>
      <c r="HM1119" s="121"/>
      <c r="HN1119" s="121"/>
      <c r="LM1119" t="str">
        <v/>
      </c>
      <c r="LN1119" t="str">
        <v/>
      </c>
      <c r="LO1119" t="str">
        <v/>
      </c>
    </row>
    <row r="1120" spans="30:327">
      <c r="AD1120" t="s">
        <v>114</v>
      </c>
      <c r="AE1120" t="s">
        <v>23215</v>
      </c>
      <c r="AF1120" s="46">
        <v>0</v>
      </c>
      <c r="AG1120" s="113"/>
      <c r="AH1120" s="113"/>
      <c r="AI1120" s="113"/>
      <c r="AJ1120" s="113"/>
      <c r="AK1120" s="113"/>
      <c r="AL1120" s="46">
        <v>0</v>
      </c>
      <c r="AM1120" s="113"/>
      <c r="AN1120" s="113"/>
      <c r="AO1120" s="113"/>
      <c r="AP1120" s="113"/>
      <c r="AQ1120" s="113"/>
      <c r="AR1120" s="46">
        <v>0</v>
      </c>
      <c r="AS1120" s="113"/>
      <c r="AT1120" s="113"/>
      <c r="AU1120" s="113"/>
      <c r="AV1120" s="113"/>
      <c r="AW1120" s="113"/>
      <c r="AX1120" s="46">
        <v>0</v>
      </c>
      <c r="AY1120" s="113"/>
      <c r="AZ1120" s="113"/>
      <c r="BA1120" s="113"/>
      <c r="BB1120" s="113"/>
      <c r="BC1120" s="113"/>
      <c r="BD1120" s="46">
        <v>0</v>
      </c>
      <c r="BE1120" s="113"/>
      <c r="BF1120" s="113"/>
      <c r="BG1120" s="113"/>
      <c r="BH1120" s="113"/>
      <c r="BI1120" s="113"/>
      <c r="BJ1120" s="46">
        <v>0</v>
      </c>
      <c r="BK1120" s="113"/>
      <c r="BL1120" s="113"/>
      <c r="BM1120" s="113"/>
      <c r="BN1120" s="113"/>
      <c r="BO1120" s="113"/>
      <c r="BP1120" s="121"/>
      <c r="BQ1120" s="121"/>
      <c r="GA1120" t="s">
        <v>114</v>
      </c>
      <c r="GB1120" t="s">
        <v>23215</v>
      </c>
      <c r="GC1120" s="46">
        <v>0</v>
      </c>
      <c r="GD1120" s="113"/>
      <c r="GE1120" s="113"/>
      <c r="GF1120" s="113"/>
      <c r="GG1120" s="113"/>
      <c r="GH1120" s="113"/>
      <c r="GI1120" s="46">
        <v>0</v>
      </c>
      <c r="GJ1120" s="113"/>
      <c r="GK1120" s="113"/>
      <c r="GL1120" s="113"/>
      <c r="GM1120" s="113"/>
      <c r="GN1120" s="113"/>
      <c r="GO1120" s="46">
        <v>0</v>
      </c>
      <c r="GP1120" s="113"/>
      <c r="GQ1120" s="113"/>
      <c r="GR1120" s="113"/>
      <c r="GS1120" s="113"/>
      <c r="GT1120" s="113"/>
      <c r="GU1120" s="46">
        <v>0</v>
      </c>
      <c r="GV1120" s="113"/>
      <c r="GW1120" s="113"/>
      <c r="GX1120" s="113"/>
      <c r="GY1120" s="113"/>
      <c r="GZ1120" s="113"/>
      <c r="HA1120" s="46">
        <v>0</v>
      </c>
      <c r="HB1120" s="113"/>
      <c r="HC1120" s="113"/>
      <c r="HD1120" s="113"/>
      <c r="HE1120" s="113"/>
      <c r="HF1120" s="113"/>
      <c r="HG1120" s="46">
        <v>0</v>
      </c>
      <c r="HH1120" s="113"/>
      <c r="HI1120" s="113"/>
      <c r="HJ1120" s="113"/>
      <c r="HK1120" s="113"/>
      <c r="HL1120" s="113"/>
      <c r="HM1120" s="121"/>
      <c r="HN1120" s="121"/>
      <c r="LM1120" t="str">
        <v/>
      </c>
      <c r="LN1120" t="str">
        <v/>
      </c>
      <c r="LO1120" t="str">
        <v/>
      </c>
    </row>
    <row r="1121" spans="30:327">
      <c r="AD1121" t="s">
        <v>114</v>
      </c>
      <c r="AE1121" t="s">
        <v>23216</v>
      </c>
      <c r="AF1121" s="46">
        <v>0</v>
      </c>
      <c r="AG1121" s="113"/>
      <c r="AH1121" s="113"/>
      <c r="AI1121" s="113"/>
      <c r="AJ1121" s="113"/>
      <c r="AK1121" s="113"/>
      <c r="AL1121" s="46">
        <v>0</v>
      </c>
      <c r="AM1121" s="113"/>
      <c r="AN1121" s="113"/>
      <c r="AO1121" s="113"/>
      <c r="AP1121" s="113"/>
      <c r="AQ1121" s="113"/>
      <c r="AR1121" s="46">
        <v>0</v>
      </c>
      <c r="AS1121" s="113"/>
      <c r="AT1121" s="113"/>
      <c r="AU1121" s="113"/>
      <c r="AV1121" s="113"/>
      <c r="AW1121" s="113"/>
      <c r="AX1121" s="46">
        <v>0</v>
      </c>
      <c r="AY1121" s="113"/>
      <c r="AZ1121" s="113"/>
      <c r="BA1121" s="113"/>
      <c r="BB1121" s="113"/>
      <c r="BC1121" s="113"/>
      <c r="BD1121" s="46">
        <v>0</v>
      </c>
      <c r="BE1121" s="113"/>
      <c r="BF1121" s="113"/>
      <c r="BG1121" s="113"/>
      <c r="BH1121" s="113"/>
      <c r="BI1121" s="113"/>
      <c r="BJ1121" s="46">
        <v>0</v>
      </c>
      <c r="BK1121" s="113"/>
      <c r="BL1121" s="113"/>
      <c r="BM1121" s="113"/>
      <c r="BN1121" s="113"/>
      <c r="BO1121" s="113"/>
      <c r="BP1121" s="121"/>
      <c r="BQ1121" s="121"/>
      <c r="GA1121" t="s">
        <v>114</v>
      </c>
      <c r="GB1121" t="s">
        <v>23216</v>
      </c>
      <c r="GC1121" s="46">
        <v>0</v>
      </c>
      <c r="GD1121" s="113"/>
      <c r="GE1121" s="113"/>
      <c r="GF1121" s="113"/>
      <c r="GG1121" s="113"/>
      <c r="GH1121" s="113"/>
      <c r="GI1121" s="46">
        <v>0</v>
      </c>
      <c r="GJ1121" s="113"/>
      <c r="GK1121" s="113"/>
      <c r="GL1121" s="113"/>
      <c r="GM1121" s="113"/>
      <c r="GN1121" s="113"/>
      <c r="GO1121" s="46">
        <v>0</v>
      </c>
      <c r="GP1121" s="113"/>
      <c r="GQ1121" s="113"/>
      <c r="GR1121" s="113"/>
      <c r="GS1121" s="113"/>
      <c r="GT1121" s="113"/>
      <c r="GU1121" s="46">
        <v>0</v>
      </c>
      <c r="GV1121" s="113"/>
      <c r="GW1121" s="113"/>
      <c r="GX1121" s="113"/>
      <c r="GY1121" s="113"/>
      <c r="GZ1121" s="113"/>
      <c r="HA1121" s="46">
        <v>0</v>
      </c>
      <c r="HB1121" s="113"/>
      <c r="HC1121" s="113"/>
      <c r="HD1121" s="113"/>
      <c r="HE1121" s="113"/>
      <c r="HF1121" s="113"/>
      <c r="HG1121" s="46">
        <v>0</v>
      </c>
      <c r="HH1121" s="113"/>
      <c r="HI1121" s="113"/>
      <c r="HJ1121" s="113"/>
      <c r="HK1121" s="113"/>
      <c r="HL1121" s="113"/>
      <c r="HM1121" s="121"/>
      <c r="HN1121" s="121"/>
      <c r="LM1121" t="str">
        <v/>
      </c>
      <c r="LN1121" t="str">
        <v/>
      </c>
      <c r="LO1121" t="str">
        <v/>
      </c>
    </row>
    <row r="1122" spans="30:327">
      <c r="AD1122" t="s">
        <v>18300</v>
      </c>
      <c r="AE1122" t="s">
        <v>22893</v>
      </c>
      <c r="AF1122" s="46">
        <v>0</v>
      </c>
      <c r="AG1122" s="113"/>
      <c r="AH1122" s="113"/>
      <c r="AI1122" s="113"/>
      <c r="AJ1122" s="113"/>
      <c r="AK1122" s="113"/>
      <c r="AL1122" s="46">
        <v>0</v>
      </c>
      <c r="AM1122" s="113"/>
      <c r="AN1122" s="113"/>
      <c r="AO1122" s="113"/>
      <c r="AP1122" s="113"/>
      <c r="AQ1122" s="113"/>
      <c r="AR1122" s="46">
        <v>0</v>
      </c>
      <c r="AS1122" s="113"/>
      <c r="AT1122" s="113"/>
      <c r="AU1122" s="113"/>
      <c r="AV1122" s="113"/>
      <c r="AW1122" s="113"/>
      <c r="AX1122" s="46">
        <v>0</v>
      </c>
      <c r="AY1122" s="113"/>
      <c r="AZ1122" s="113"/>
      <c r="BA1122" s="113"/>
      <c r="BB1122" s="113"/>
      <c r="BC1122" s="113"/>
      <c r="BD1122" s="46">
        <v>0</v>
      </c>
      <c r="BE1122" s="113"/>
      <c r="BF1122" s="113"/>
      <c r="BG1122" s="113"/>
      <c r="BH1122" s="113"/>
      <c r="BI1122" s="113"/>
      <c r="BJ1122" s="46">
        <v>0</v>
      </c>
      <c r="BK1122" s="113"/>
      <c r="BL1122" s="113"/>
      <c r="BM1122" s="113"/>
      <c r="BN1122" s="113"/>
      <c r="BO1122" s="113"/>
      <c r="BP1122" s="121"/>
      <c r="BQ1122" s="121"/>
      <c r="GA1122" t="s">
        <v>18300</v>
      </c>
      <c r="GB1122" t="s">
        <v>22893</v>
      </c>
      <c r="GC1122" s="46">
        <v>0</v>
      </c>
      <c r="GD1122" s="113"/>
      <c r="GE1122" s="113"/>
      <c r="GF1122" s="113"/>
      <c r="GG1122" s="113"/>
      <c r="GH1122" s="113"/>
      <c r="GI1122" s="46">
        <v>0</v>
      </c>
      <c r="GJ1122" s="113"/>
      <c r="GK1122" s="113"/>
      <c r="GL1122" s="113"/>
      <c r="GM1122" s="113"/>
      <c r="GN1122" s="113"/>
      <c r="GO1122" s="46">
        <v>0</v>
      </c>
      <c r="GP1122" s="113"/>
      <c r="GQ1122" s="113"/>
      <c r="GR1122" s="113"/>
      <c r="GS1122" s="113"/>
      <c r="GT1122" s="113"/>
      <c r="GU1122" s="46">
        <v>0</v>
      </c>
      <c r="GV1122" s="113"/>
      <c r="GW1122" s="113"/>
      <c r="GX1122" s="113"/>
      <c r="GY1122" s="113"/>
      <c r="GZ1122" s="113"/>
      <c r="HA1122" s="46">
        <v>0</v>
      </c>
      <c r="HB1122" s="113"/>
      <c r="HC1122" s="113"/>
      <c r="HD1122" s="113"/>
      <c r="HE1122" s="113"/>
      <c r="HF1122" s="113"/>
      <c r="HG1122" s="46">
        <v>0</v>
      </c>
      <c r="HH1122" s="113"/>
      <c r="HI1122" s="113"/>
      <c r="HJ1122" s="113"/>
      <c r="HK1122" s="113"/>
      <c r="HL1122" s="113"/>
      <c r="HM1122" s="121"/>
      <c r="HN1122" s="121"/>
      <c r="LM1122" t="str">
        <v/>
      </c>
      <c r="LN1122" t="str">
        <v/>
      </c>
      <c r="LO1122" t="str">
        <v/>
      </c>
    </row>
    <row r="1123" spans="30:327">
      <c r="AD1123" t="s">
        <v>18300</v>
      </c>
      <c r="AE1123" t="s">
        <v>22894</v>
      </c>
      <c r="AF1123" s="46">
        <v>0</v>
      </c>
      <c r="AG1123" s="113"/>
      <c r="AH1123" s="113"/>
      <c r="AI1123" s="113"/>
      <c r="AJ1123" s="113"/>
      <c r="AK1123" s="113"/>
      <c r="AL1123" s="46">
        <v>0</v>
      </c>
      <c r="AM1123" s="113"/>
      <c r="AN1123" s="113"/>
      <c r="AO1123" s="113"/>
      <c r="AP1123" s="113"/>
      <c r="AQ1123" s="113"/>
      <c r="AR1123" s="46">
        <v>0</v>
      </c>
      <c r="AS1123" s="113"/>
      <c r="AT1123" s="113"/>
      <c r="AU1123" s="113"/>
      <c r="AV1123" s="113"/>
      <c r="AW1123" s="113"/>
      <c r="AX1123" s="46">
        <v>0</v>
      </c>
      <c r="AY1123" s="113"/>
      <c r="AZ1123" s="113"/>
      <c r="BA1123" s="113"/>
      <c r="BB1123" s="113"/>
      <c r="BC1123" s="113"/>
      <c r="BD1123" s="46">
        <v>0</v>
      </c>
      <c r="BE1123" s="113"/>
      <c r="BF1123" s="113"/>
      <c r="BG1123" s="113"/>
      <c r="BH1123" s="113"/>
      <c r="BI1123" s="113"/>
      <c r="BJ1123" s="46">
        <v>0</v>
      </c>
      <c r="BK1123" s="113"/>
      <c r="BL1123" s="113"/>
      <c r="BM1123" s="113"/>
      <c r="BN1123" s="113"/>
      <c r="BO1123" s="113"/>
      <c r="BP1123" s="121"/>
      <c r="BQ1123" s="121"/>
      <c r="GA1123" t="s">
        <v>18300</v>
      </c>
      <c r="GB1123" t="s">
        <v>22894</v>
      </c>
      <c r="GC1123" s="46">
        <v>0</v>
      </c>
      <c r="GD1123" s="113"/>
      <c r="GE1123" s="113"/>
      <c r="GF1123" s="113"/>
      <c r="GG1123" s="113"/>
      <c r="GH1123" s="113"/>
      <c r="GI1123" s="46">
        <v>0</v>
      </c>
      <c r="GJ1123" s="113"/>
      <c r="GK1123" s="113"/>
      <c r="GL1123" s="113"/>
      <c r="GM1123" s="113"/>
      <c r="GN1123" s="113"/>
      <c r="GO1123" s="46">
        <v>0</v>
      </c>
      <c r="GP1123" s="113"/>
      <c r="GQ1123" s="113"/>
      <c r="GR1123" s="113"/>
      <c r="GS1123" s="113"/>
      <c r="GT1123" s="113"/>
      <c r="GU1123" s="46">
        <v>0</v>
      </c>
      <c r="GV1123" s="113"/>
      <c r="GW1123" s="113"/>
      <c r="GX1123" s="113"/>
      <c r="GY1123" s="113"/>
      <c r="GZ1123" s="113"/>
      <c r="HA1123" s="46">
        <v>0</v>
      </c>
      <c r="HB1123" s="113"/>
      <c r="HC1123" s="113"/>
      <c r="HD1123" s="113"/>
      <c r="HE1123" s="113"/>
      <c r="HF1123" s="113"/>
      <c r="HG1123" s="46">
        <v>0</v>
      </c>
      <c r="HH1123" s="113"/>
      <c r="HI1123" s="113"/>
      <c r="HJ1123" s="113"/>
      <c r="HK1123" s="113"/>
      <c r="HL1123" s="113"/>
      <c r="HM1123" s="121"/>
      <c r="HN1123" s="121"/>
      <c r="LM1123" t="str">
        <v/>
      </c>
      <c r="LN1123" t="str">
        <v/>
      </c>
      <c r="LO1123" t="str">
        <v/>
      </c>
    </row>
    <row r="1124" spans="30:327">
      <c r="AD1124" t="s">
        <v>18300</v>
      </c>
      <c r="AE1124" t="s">
        <v>22895</v>
      </c>
      <c r="AF1124" s="46">
        <v>0</v>
      </c>
      <c r="AG1124" s="113"/>
      <c r="AH1124" s="113"/>
      <c r="AI1124" s="113"/>
      <c r="AJ1124" s="113"/>
      <c r="AK1124" s="113"/>
      <c r="AL1124" s="46">
        <v>0</v>
      </c>
      <c r="AM1124" s="113"/>
      <c r="AN1124" s="113"/>
      <c r="AO1124" s="113"/>
      <c r="AP1124" s="113"/>
      <c r="AQ1124" s="113"/>
      <c r="AR1124" s="46">
        <v>0</v>
      </c>
      <c r="AS1124" s="113"/>
      <c r="AT1124" s="113"/>
      <c r="AU1124" s="113"/>
      <c r="AV1124" s="113"/>
      <c r="AW1124" s="113"/>
      <c r="AX1124" s="46">
        <v>0</v>
      </c>
      <c r="AY1124" s="113"/>
      <c r="AZ1124" s="113"/>
      <c r="BA1124" s="113"/>
      <c r="BB1124" s="113"/>
      <c r="BC1124" s="113"/>
      <c r="BD1124" s="46">
        <v>0</v>
      </c>
      <c r="BE1124" s="113"/>
      <c r="BF1124" s="113"/>
      <c r="BG1124" s="113"/>
      <c r="BH1124" s="113"/>
      <c r="BI1124" s="113"/>
      <c r="BJ1124" s="46">
        <v>0</v>
      </c>
      <c r="BK1124" s="113"/>
      <c r="BL1124" s="113"/>
      <c r="BM1124" s="113"/>
      <c r="BN1124" s="113"/>
      <c r="BO1124" s="113"/>
      <c r="BP1124" s="121"/>
      <c r="BQ1124" s="121"/>
      <c r="GA1124" t="s">
        <v>18300</v>
      </c>
      <c r="GB1124" t="s">
        <v>22895</v>
      </c>
      <c r="GC1124" s="46">
        <v>0</v>
      </c>
      <c r="GD1124" s="113"/>
      <c r="GE1124" s="113"/>
      <c r="GF1124" s="113"/>
      <c r="GG1124" s="113"/>
      <c r="GH1124" s="113"/>
      <c r="GI1124" s="46">
        <v>0</v>
      </c>
      <c r="GJ1124" s="113"/>
      <c r="GK1124" s="113"/>
      <c r="GL1124" s="113"/>
      <c r="GM1124" s="113"/>
      <c r="GN1124" s="113"/>
      <c r="GO1124" s="46">
        <v>0</v>
      </c>
      <c r="GP1124" s="113"/>
      <c r="GQ1124" s="113"/>
      <c r="GR1124" s="113"/>
      <c r="GS1124" s="113"/>
      <c r="GT1124" s="113"/>
      <c r="GU1124" s="46">
        <v>0</v>
      </c>
      <c r="GV1124" s="113"/>
      <c r="GW1124" s="113"/>
      <c r="GX1124" s="113"/>
      <c r="GY1124" s="113"/>
      <c r="GZ1124" s="113"/>
      <c r="HA1124" s="46">
        <v>0</v>
      </c>
      <c r="HB1124" s="113"/>
      <c r="HC1124" s="113"/>
      <c r="HD1124" s="113"/>
      <c r="HE1124" s="113"/>
      <c r="HF1124" s="113"/>
      <c r="HG1124" s="46">
        <v>0</v>
      </c>
      <c r="HH1124" s="113"/>
      <c r="HI1124" s="113"/>
      <c r="HJ1124" s="113"/>
      <c r="HK1124" s="113"/>
      <c r="HL1124" s="113"/>
      <c r="HM1124" s="121"/>
      <c r="HN1124" s="121"/>
      <c r="LM1124" t="str">
        <v/>
      </c>
      <c r="LN1124" t="str">
        <v/>
      </c>
      <c r="LO1124" t="str">
        <v/>
      </c>
    </row>
    <row r="1125" spans="30:327">
      <c r="AD1125" t="s">
        <v>18300</v>
      </c>
      <c r="AE1125" t="s">
        <v>22896</v>
      </c>
      <c r="AF1125" s="46">
        <v>0</v>
      </c>
      <c r="AG1125" s="113"/>
      <c r="AH1125" s="113"/>
      <c r="AI1125" s="113"/>
      <c r="AJ1125" s="113"/>
      <c r="AK1125" s="113"/>
      <c r="AL1125" s="46">
        <v>0</v>
      </c>
      <c r="AM1125" s="113"/>
      <c r="AN1125" s="113"/>
      <c r="AO1125" s="113"/>
      <c r="AP1125" s="113"/>
      <c r="AQ1125" s="113"/>
      <c r="AR1125" s="46">
        <v>0</v>
      </c>
      <c r="AS1125" s="113"/>
      <c r="AT1125" s="113"/>
      <c r="AU1125" s="113"/>
      <c r="AV1125" s="113"/>
      <c r="AW1125" s="113"/>
      <c r="AX1125" s="46">
        <v>0</v>
      </c>
      <c r="AY1125" s="113"/>
      <c r="AZ1125" s="113"/>
      <c r="BA1125" s="113"/>
      <c r="BB1125" s="113"/>
      <c r="BC1125" s="113"/>
      <c r="BD1125" s="46">
        <v>0</v>
      </c>
      <c r="BE1125" s="113"/>
      <c r="BF1125" s="113"/>
      <c r="BG1125" s="113"/>
      <c r="BH1125" s="113"/>
      <c r="BI1125" s="113"/>
      <c r="BJ1125" s="46">
        <v>0</v>
      </c>
      <c r="BK1125" s="113"/>
      <c r="BL1125" s="113"/>
      <c r="BM1125" s="113"/>
      <c r="BN1125" s="113"/>
      <c r="BO1125" s="113"/>
      <c r="BP1125" s="121"/>
      <c r="BQ1125" s="121"/>
      <c r="GA1125" t="s">
        <v>18300</v>
      </c>
      <c r="GB1125" t="s">
        <v>22896</v>
      </c>
      <c r="GC1125" s="46">
        <v>0</v>
      </c>
      <c r="GD1125" s="113"/>
      <c r="GE1125" s="113"/>
      <c r="GF1125" s="113"/>
      <c r="GG1125" s="113"/>
      <c r="GH1125" s="113"/>
      <c r="GI1125" s="46">
        <v>0</v>
      </c>
      <c r="GJ1125" s="113"/>
      <c r="GK1125" s="113"/>
      <c r="GL1125" s="113"/>
      <c r="GM1125" s="113"/>
      <c r="GN1125" s="113"/>
      <c r="GO1125" s="46">
        <v>0</v>
      </c>
      <c r="GP1125" s="113"/>
      <c r="GQ1125" s="113"/>
      <c r="GR1125" s="113"/>
      <c r="GS1125" s="113"/>
      <c r="GT1125" s="113"/>
      <c r="GU1125" s="46">
        <v>0</v>
      </c>
      <c r="GV1125" s="113"/>
      <c r="GW1125" s="113"/>
      <c r="GX1125" s="113"/>
      <c r="GY1125" s="113"/>
      <c r="GZ1125" s="113"/>
      <c r="HA1125" s="46">
        <v>0</v>
      </c>
      <c r="HB1125" s="113"/>
      <c r="HC1125" s="113"/>
      <c r="HD1125" s="113"/>
      <c r="HE1125" s="113"/>
      <c r="HF1125" s="113"/>
      <c r="HG1125" s="46">
        <v>0</v>
      </c>
      <c r="HH1125" s="113"/>
      <c r="HI1125" s="113"/>
      <c r="HJ1125" s="113"/>
      <c r="HK1125" s="113"/>
      <c r="HL1125" s="113"/>
      <c r="HM1125" s="121"/>
      <c r="HN1125" s="121"/>
      <c r="LM1125" t="str">
        <v/>
      </c>
      <c r="LN1125" t="str">
        <v/>
      </c>
      <c r="LO1125" t="str">
        <v/>
      </c>
    </row>
    <row r="1126" spans="30:327">
      <c r="AD1126" t="s">
        <v>18300</v>
      </c>
      <c r="AE1126" t="s">
        <v>22897</v>
      </c>
      <c r="AF1126" s="46">
        <v>0</v>
      </c>
      <c r="AG1126" s="113"/>
      <c r="AH1126" s="113"/>
      <c r="AI1126" s="113"/>
      <c r="AJ1126" s="113"/>
      <c r="AK1126" s="113"/>
      <c r="AL1126" s="46">
        <v>0</v>
      </c>
      <c r="AM1126" s="113"/>
      <c r="AN1126" s="113"/>
      <c r="AO1126" s="113"/>
      <c r="AP1126" s="113"/>
      <c r="AQ1126" s="113"/>
      <c r="AR1126" s="46">
        <v>0</v>
      </c>
      <c r="AS1126" s="113"/>
      <c r="AT1126" s="113"/>
      <c r="AU1126" s="113"/>
      <c r="AV1126" s="113"/>
      <c r="AW1126" s="113"/>
      <c r="AX1126" s="46">
        <v>0</v>
      </c>
      <c r="AY1126" s="113"/>
      <c r="AZ1126" s="113"/>
      <c r="BA1126" s="113"/>
      <c r="BB1126" s="113"/>
      <c r="BC1126" s="113"/>
      <c r="BD1126" s="46">
        <v>0</v>
      </c>
      <c r="BE1126" s="113"/>
      <c r="BF1126" s="113"/>
      <c r="BG1126" s="113"/>
      <c r="BH1126" s="113"/>
      <c r="BI1126" s="113"/>
      <c r="BJ1126" s="46">
        <v>0</v>
      </c>
      <c r="BK1126" s="113"/>
      <c r="BL1126" s="113"/>
      <c r="BM1126" s="113"/>
      <c r="BN1126" s="113"/>
      <c r="BO1126" s="113"/>
      <c r="BP1126" s="121"/>
      <c r="BQ1126" s="121"/>
      <c r="GA1126" t="s">
        <v>18300</v>
      </c>
      <c r="GB1126" t="s">
        <v>22897</v>
      </c>
      <c r="GC1126" s="46">
        <v>0</v>
      </c>
      <c r="GD1126" s="113"/>
      <c r="GE1126" s="113"/>
      <c r="GF1126" s="113"/>
      <c r="GG1126" s="113"/>
      <c r="GH1126" s="113"/>
      <c r="GI1126" s="46">
        <v>0</v>
      </c>
      <c r="GJ1126" s="113"/>
      <c r="GK1126" s="113"/>
      <c r="GL1126" s="113"/>
      <c r="GM1126" s="113"/>
      <c r="GN1126" s="113"/>
      <c r="GO1126" s="46">
        <v>0</v>
      </c>
      <c r="GP1126" s="113"/>
      <c r="GQ1126" s="113"/>
      <c r="GR1126" s="113"/>
      <c r="GS1126" s="113"/>
      <c r="GT1126" s="113"/>
      <c r="GU1126" s="46">
        <v>0</v>
      </c>
      <c r="GV1126" s="113"/>
      <c r="GW1126" s="113"/>
      <c r="GX1126" s="113"/>
      <c r="GY1126" s="113"/>
      <c r="GZ1126" s="113"/>
      <c r="HA1126" s="46">
        <v>0</v>
      </c>
      <c r="HB1126" s="113"/>
      <c r="HC1126" s="113"/>
      <c r="HD1126" s="113"/>
      <c r="HE1126" s="113"/>
      <c r="HF1126" s="113"/>
      <c r="HG1126" s="46">
        <v>0</v>
      </c>
      <c r="HH1126" s="113"/>
      <c r="HI1126" s="113"/>
      <c r="HJ1126" s="113"/>
      <c r="HK1126" s="113"/>
      <c r="HL1126" s="113"/>
      <c r="HM1126" s="121"/>
      <c r="HN1126" s="121"/>
      <c r="LM1126" t="str">
        <v/>
      </c>
      <c r="LN1126" t="str">
        <v/>
      </c>
      <c r="LO1126" t="str">
        <v/>
      </c>
    </row>
    <row r="1127" spans="30:327">
      <c r="AD1127" t="s">
        <v>18300</v>
      </c>
      <c r="AE1127" t="s">
        <v>22898</v>
      </c>
      <c r="AF1127" s="46">
        <v>0</v>
      </c>
      <c r="AG1127" s="113"/>
      <c r="AH1127" s="113"/>
      <c r="AI1127" s="113"/>
      <c r="AJ1127" s="113"/>
      <c r="AK1127" s="113"/>
      <c r="AL1127" s="46">
        <v>0</v>
      </c>
      <c r="AM1127" s="113"/>
      <c r="AN1127" s="113"/>
      <c r="AO1127" s="113"/>
      <c r="AP1127" s="113"/>
      <c r="AQ1127" s="113"/>
      <c r="AR1127" s="46">
        <v>0</v>
      </c>
      <c r="AS1127" s="113"/>
      <c r="AT1127" s="113"/>
      <c r="AU1127" s="113"/>
      <c r="AV1127" s="113"/>
      <c r="AW1127" s="113"/>
      <c r="AX1127" s="46">
        <v>0</v>
      </c>
      <c r="AY1127" s="113"/>
      <c r="AZ1127" s="113"/>
      <c r="BA1127" s="113"/>
      <c r="BB1127" s="113"/>
      <c r="BC1127" s="113"/>
      <c r="BD1127" s="46">
        <v>0</v>
      </c>
      <c r="BE1127" s="113"/>
      <c r="BF1127" s="113"/>
      <c r="BG1127" s="113"/>
      <c r="BH1127" s="113"/>
      <c r="BI1127" s="113"/>
      <c r="BJ1127" s="46">
        <v>0</v>
      </c>
      <c r="BK1127" s="113"/>
      <c r="BL1127" s="113"/>
      <c r="BM1127" s="113"/>
      <c r="BN1127" s="113"/>
      <c r="BO1127" s="113"/>
      <c r="BP1127" s="121"/>
      <c r="BQ1127" s="121"/>
      <c r="GA1127" t="s">
        <v>18300</v>
      </c>
      <c r="GB1127" t="s">
        <v>22898</v>
      </c>
      <c r="GC1127" s="46">
        <v>0</v>
      </c>
      <c r="GD1127" s="113"/>
      <c r="GE1127" s="113"/>
      <c r="GF1127" s="113"/>
      <c r="GG1127" s="113"/>
      <c r="GH1127" s="113"/>
      <c r="GI1127" s="46">
        <v>0</v>
      </c>
      <c r="GJ1127" s="113"/>
      <c r="GK1127" s="113"/>
      <c r="GL1127" s="113"/>
      <c r="GM1127" s="113"/>
      <c r="GN1127" s="113"/>
      <c r="GO1127" s="46">
        <v>0</v>
      </c>
      <c r="GP1127" s="113"/>
      <c r="GQ1127" s="113"/>
      <c r="GR1127" s="113"/>
      <c r="GS1127" s="113"/>
      <c r="GT1127" s="113"/>
      <c r="GU1127" s="46">
        <v>0</v>
      </c>
      <c r="GV1127" s="113"/>
      <c r="GW1127" s="113"/>
      <c r="GX1127" s="113"/>
      <c r="GY1127" s="113"/>
      <c r="GZ1127" s="113"/>
      <c r="HA1127" s="46">
        <v>0</v>
      </c>
      <c r="HB1127" s="113"/>
      <c r="HC1127" s="113"/>
      <c r="HD1127" s="113"/>
      <c r="HE1127" s="113"/>
      <c r="HF1127" s="113"/>
      <c r="HG1127" s="46">
        <v>0</v>
      </c>
      <c r="HH1127" s="113"/>
      <c r="HI1127" s="113"/>
      <c r="HJ1127" s="113"/>
      <c r="HK1127" s="113"/>
      <c r="HL1127" s="113"/>
      <c r="HM1127" s="121"/>
      <c r="HN1127" s="121"/>
      <c r="LM1127" t="str">
        <v/>
      </c>
      <c r="LN1127" t="str">
        <v/>
      </c>
      <c r="LO1127" t="str">
        <v/>
      </c>
    </row>
    <row r="1128" spans="30:327">
      <c r="AD1128" t="s">
        <v>18300</v>
      </c>
      <c r="AE1128" t="s">
        <v>22899</v>
      </c>
      <c r="AF1128" s="46">
        <v>0</v>
      </c>
      <c r="AG1128" s="113"/>
      <c r="AH1128" s="113"/>
      <c r="AI1128" s="113"/>
      <c r="AJ1128" s="113"/>
      <c r="AK1128" s="113"/>
      <c r="AL1128" s="46">
        <v>0</v>
      </c>
      <c r="AM1128" s="113"/>
      <c r="AN1128" s="113"/>
      <c r="AO1128" s="113"/>
      <c r="AP1128" s="113"/>
      <c r="AQ1128" s="113"/>
      <c r="AR1128" s="46">
        <v>0</v>
      </c>
      <c r="AS1128" s="113"/>
      <c r="AT1128" s="113"/>
      <c r="AU1128" s="113"/>
      <c r="AV1128" s="113"/>
      <c r="AW1128" s="113"/>
      <c r="AX1128" s="46">
        <v>0</v>
      </c>
      <c r="AY1128" s="113"/>
      <c r="AZ1128" s="113"/>
      <c r="BA1128" s="113"/>
      <c r="BB1128" s="113"/>
      <c r="BC1128" s="113"/>
      <c r="BD1128" s="46">
        <v>0</v>
      </c>
      <c r="BE1128" s="113"/>
      <c r="BF1128" s="113"/>
      <c r="BG1128" s="113"/>
      <c r="BH1128" s="113"/>
      <c r="BI1128" s="113"/>
      <c r="BJ1128" s="46">
        <v>0</v>
      </c>
      <c r="BK1128" s="113"/>
      <c r="BL1128" s="113"/>
      <c r="BM1128" s="113"/>
      <c r="BN1128" s="113"/>
      <c r="BO1128" s="113"/>
      <c r="BP1128" s="121"/>
      <c r="BQ1128" s="121"/>
      <c r="GA1128" t="s">
        <v>18300</v>
      </c>
      <c r="GB1128" t="s">
        <v>22899</v>
      </c>
      <c r="GC1128" s="46">
        <v>0</v>
      </c>
      <c r="GD1128" s="113"/>
      <c r="GE1128" s="113"/>
      <c r="GF1128" s="113"/>
      <c r="GG1128" s="113"/>
      <c r="GH1128" s="113"/>
      <c r="GI1128" s="46">
        <v>0</v>
      </c>
      <c r="GJ1128" s="113"/>
      <c r="GK1128" s="113"/>
      <c r="GL1128" s="113"/>
      <c r="GM1128" s="113"/>
      <c r="GN1128" s="113"/>
      <c r="GO1128" s="46">
        <v>0</v>
      </c>
      <c r="GP1128" s="113"/>
      <c r="GQ1128" s="113"/>
      <c r="GR1128" s="113"/>
      <c r="GS1128" s="113"/>
      <c r="GT1128" s="113"/>
      <c r="GU1128" s="46">
        <v>0</v>
      </c>
      <c r="GV1128" s="113"/>
      <c r="GW1128" s="113"/>
      <c r="GX1128" s="113"/>
      <c r="GY1128" s="113"/>
      <c r="GZ1128" s="113"/>
      <c r="HA1128" s="46">
        <v>0</v>
      </c>
      <c r="HB1128" s="113"/>
      <c r="HC1128" s="113"/>
      <c r="HD1128" s="113"/>
      <c r="HE1128" s="113"/>
      <c r="HF1128" s="113"/>
      <c r="HG1128" s="46">
        <v>0</v>
      </c>
      <c r="HH1128" s="113"/>
      <c r="HI1128" s="113"/>
      <c r="HJ1128" s="113"/>
      <c r="HK1128" s="113"/>
      <c r="HL1128" s="113"/>
      <c r="HM1128" s="121"/>
      <c r="HN1128" s="121"/>
      <c r="LM1128" t="str">
        <v/>
      </c>
      <c r="LN1128" t="str">
        <v/>
      </c>
      <c r="LO1128" t="str">
        <v/>
      </c>
    </row>
    <row r="1129" spans="30:327">
      <c r="AD1129" t="s">
        <v>18300</v>
      </c>
      <c r="AE1129" t="s">
        <v>22900</v>
      </c>
      <c r="AF1129" s="46">
        <v>0</v>
      </c>
      <c r="AG1129" s="113"/>
      <c r="AH1129" s="113"/>
      <c r="AI1129" s="113"/>
      <c r="AJ1129" s="113"/>
      <c r="AK1129" s="113"/>
      <c r="AL1129" s="46">
        <v>0</v>
      </c>
      <c r="AM1129" s="113"/>
      <c r="AN1129" s="113"/>
      <c r="AO1129" s="113"/>
      <c r="AP1129" s="113"/>
      <c r="AQ1129" s="113"/>
      <c r="AR1129" s="46">
        <v>0</v>
      </c>
      <c r="AS1129" s="113"/>
      <c r="AT1129" s="113"/>
      <c r="AU1129" s="113"/>
      <c r="AV1129" s="113"/>
      <c r="AW1129" s="113"/>
      <c r="AX1129" s="46">
        <v>0</v>
      </c>
      <c r="AY1129" s="113"/>
      <c r="AZ1129" s="113"/>
      <c r="BA1129" s="113"/>
      <c r="BB1129" s="113"/>
      <c r="BC1129" s="113"/>
      <c r="BD1129" s="46">
        <v>0</v>
      </c>
      <c r="BE1129" s="113"/>
      <c r="BF1129" s="113"/>
      <c r="BG1129" s="113"/>
      <c r="BH1129" s="113"/>
      <c r="BI1129" s="113"/>
      <c r="BJ1129" s="46">
        <v>0</v>
      </c>
      <c r="BK1129" s="113"/>
      <c r="BL1129" s="113"/>
      <c r="BM1129" s="113"/>
      <c r="BN1129" s="113"/>
      <c r="BO1129" s="113"/>
      <c r="BP1129" s="121"/>
      <c r="BQ1129" s="121"/>
      <c r="GA1129" t="s">
        <v>18300</v>
      </c>
      <c r="GB1129" t="s">
        <v>22900</v>
      </c>
      <c r="GC1129" s="46">
        <v>0</v>
      </c>
      <c r="GD1129" s="113"/>
      <c r="GE1129" s="113"/>
      <c r="GF1129" s="113"/>
      <c r="GG1129" s="113"/>
      <c r="GH1129" s="113"/>
      <c r="GI1129" s="46">
        <v>0</v>
      </c>
      <c r="GJ1129" s="113"/>
      <c r="GK1129" s="113"/>
      <c r="GL1129" s="113"/>
      <c r="GM1129" s="113"/>
      <c r="GN1129" s="113"/>
      <c r="GO1129" s="46">
        <v>0</v>
      </c>
      <c r="GP1129" s="113"/>
      <c r="GQ1129" s="113"/>
      <c r="GR1129" s="113"/>
      <c r="GS1129" s="113"/>
      <c r="GT1129" s="113"/>
      <c r="GU1129" s="46">
        <v>0</v>
      </c>
      <c r="GV1129" s="113"/>
      <c r="GW1129" s="113"/>
      <c r="GX1129" s="113"/>
      <c r="GY1129" s="113"/>
      <c r="GZ1129" s="113"/>
      <c r="HA1129" s="46">
        <v>0</v>
      </c>
      <c r="HB1129" s="113"/>
      <c r="HC1129" s="113"/>
      <c r="HD1129" s="113"/>
      <c r="HE1129" s="113"/>
      <c r="HF1129" s="113"/>
      <c r="HG1129" s="46">
        <v>0</v>
      </c>
      <c r="HH1129" s="113"/>
      <c r="HI1129" s="113"/>
      <c r="HJ1129" s="113"/>
      <c r="HK1129" s="113"/>
      <c r="HL1129" s="113"/>
      <c r="HM1129" s="121"/>
      <c r="HN1129" s="121"/>
      <c r="LM1129" t="str">
        <v/>
      </c>
      <c r="LN1129" t="str">
        <v/>
      </c>
      <c r="LO1129" t="str">
        <v/>
      </c>
    </row>
    <row r="1130" spans="30:327">
      <c r="AD1130" t="s">
        <v>18300</v>
      </c>
      <c r="AE1130" t="s">
        <v>22901</v>
      </c>
      <c r="AF1130" s="46">
        <v>0</v>
      </c>
      <c r="AG1130" s="113"/>
      <c r="AH1130" s="113"/>
      <c r="AI1130" s="113"/>
      <c r="AJ1130" s="113"/>
      <c r="AK1130" s="113"/>
      <c r="AL1130" s="46">
        <v>0</v>
      </c>
      <c r="AM1130" s="113"/>
      <c r="AN1130" s="113"/>
      <c r="AO1130" s="113"/>
      <c r="AP1130" s="113"/>
      <c r="AQ1130" s="113"/>
      <c r="AR1130" s="46">
        <v>0</v>
      </c>
      <c r="AS1130" s="113"/>
      <c r="AT1130" s="113"/>
      <c r="AU1130" s="113"/>
      <c r="AV1130" s="113"/>
      <c r="AW1130" s="113"/>
      <c r="AX1130" s="46">
        <v>0</v>
      </c>
      <c r="AY1130" s="113"/>
      <c r="AZ1130" s="113"/>
      <c r="BA1130" s="113"/>
      <c r="BB1130" s="113"/>
      <c r="BC1130" s="113"/>
      <c r="BD1130" s="46">
        <v>0</v>
      </c>
      <c r="BE1130" s="113"/>
      <c r="BF1130" s="113"/>
      <c r="BG1130" s="113"/>
      <c r="BH1130" s="113"/>
      <c r="BI1130" s="113"/>
      <c r="BJ1130" s="46">
        <v>0</v>
      </c>
      <c r="BK1130" s="113"/>
      <c r="BL1130" s="113"/>
      <c r="BM1130" s="113"/>
      <c r="BN1130" s="113"/>
      <c r="BO1130" s="113"/>
      <c r="BP1130" s="121"/>
      <c r="BQ1130" s="121"/>
      <c r="GA1130" t="s">
        <v>18300</v>
      </c>
      <c r="GB1130" t="s">
        <v>22901</v>
      </c>
      <c r="GC1130" s="46">
        <v>0</v>
      </c>
      <c r="GD1130" s="113"/>
      <c r="GE1130" s="113"/>
      <c r="GF1130" s="113"/>
      <c r="GG1130" s="113"/>
      <c r="GH1130" s="113"/>
      <c r="GI1130" s="46">
        <v>0</v>
      </c>
      <c r="GJ1130" s="113"/>
      <c r="GK1130" s="113"/>
      <c r="GL1130" s="113"/>
      <c r="GM1130" s="113"/>
      <c r="GN1130" s="113"/>
      <c r="GO1130" s="46">
        <v>0</v>
      </c>
      <c r="GP1130" s="113"/>
      <c r="GQ1130" s="113"/>
      <c r="GR1130" s="113"/>
      <c r="GS1130" s="113"/>
      <c r="GT1130" s="113"/>
      <c r="GU1130" s="46">
        <v>0</v>
      </c>
      <c r="GV1130" s="113"/>
      <c r="GW1130" s="113"/>
      <c r="GX1130" s="113"/>
      <c r="GY1130" s="113"/>
      <c r="GZ1130" s="113"/>
      <c r="HA1130" s="46">
        <v>0</v>
      </c>
      <c r="HB1130" s="113"/>
      <c r="HC1130" s="113"/>
      <c r="HD1130" s="113"/>
      <c r="HE1130" s="113"/>
      <c r="HF1130" s="113"/>
      <c r="HG1130" s="46">
        <v>0</v>
      </c>
      <c r="HH1130" s="113"/>
      <c r="HI1130" s="113"/>
      <c r="HJ1130" s="113"/>
      <c r="HK1130" s="113"/>
      <c r="HL1130" s="113"/>
      <c r="HM1130" s="121"/>
      <c r="HN1130" s="121"/>
      <c r="LM1130" t="str">
        <v/>
      </c>
      <c r="LN1130" t="str">
        <v/>
      </c>
      <c r="LO1130" t="str">
        <v/>
      </c>
    </row>
    <row r="1131" spans="30:327">
      <c r="AD1131" t="s">
        <v>18300</v>
      </c>
      <c r="AE1131" t="s">
        <v>22902</v>
      </c>
      <c r="AF1131" s="46">
        <v>0</v>
      </c>
      <c r="AG1131" s="113"/>
      <c r="AH1131" s="113"/>
      <c r="AI1131" s="113"/>
      <c r="AJ1131" s="113"/>
      <c r="AK1131" s="113"/>
      <c r="AL1131" s="46">
        <v>0</v>
      </c>
      <c r="AM1131" s="113"/>
      <c r="AN1131" s="113"/>
      <c r="AO1131" s="113"/>
      <c r="AP1131" s="113"/>
      <c r="AQ1131" s="113"/>
      <c r="AR1131" s="46">
        <v>0</v>
      </c>
      <c r="AS1131" s="113"/>
      <c r="AT1131" s="113"/>
      <c r="AU1131" s="113"/>
      <c r="AV1131" s="113"/>
      <c r="AW1131" s="113"/>
      <c r="AX1131" s="46">
        <v>0</v>
      </c>
      <c r="AY1131" s="113"/>
      <c r="AZ1131" s="113"/>
      <c r="BA1131" s="113"/>
      <c r="BB1131" s="113"/>
      <c r="BC1131" s="113"/>
      <c r="BD1131" s="46">
        <v>0</v>
      </c>
      <c r="BE1131" s="113"/>
      <c r="BF1131" s="113"/>
      <c r="BG1131" s="113"/>
      <c r="BH1131" s="113"/>
      <c r="BI1131" s="113"/>
      <c r="BJ1131" s="46">
        <v>0</v>
      </c>
      <c r="BK1131" s="113"/>
      <c r="BL1131" s="113"/>
      <c r="BM1131" s="113"/>
      <c r="BN1131" s="113"/>
      <c r="BO1131" s="113"/>
      <c r="BP1131" s="121"/>
      <c r="BQ1131" s="121"/>
      <c r="GA1131" t="s">
        <v>18300</v>
      </c>
      <c r="GB1131" t="s">
        <v>22902</v>
      </c>
      <c r="GC1131" s="46">
        <v>0</v>
      </c>
      <c r="GD1131" s="113"/>
      <c r="GE1131" s="113"/>
      <c r="GF1131" s="113"/>
      <c r="GG1131" s="113"/>
      <c r="GH1131" s="113"/>
      <c r="GI1131" s="46">
        <v>0</v>
      </c>
      <c r="GJ1131" s="113"/>
      <c r="GK1131" s="113"/>
      <c r="GL1131" s="113"/>
      <c r="GM1131" s="113"/>
      <c r="GN1131" s="113"/>
      <c r="GO1131" s="46">
        <v>0</v>
      </c>
      <c r="GP1131" s="113"/>
      <c r="GQ1131" s="113"/>
      <c r="GR1131" s="113"/>
      <c r="GS1131" s="113"/>
      <c r="GT1131" s="113"/>
      <c r="GU1131" s="46">
        <v>0</v>
      </c>
      <c r="GV1131" s="113"/>
      <c r="GW1131" s="113"/>
      <c r="GX1131" s="113"/>
      <c r="GY1131" s="113"/>
      <c r="GZ1131" s="113"/>
      <c r="HA1131" s="46">
        <v>0</v>
      </c>
      <c r="HB1131" s="113"/>
      <c r="HC1131" s="113"/>
      <c r="HD1131" s="113"/>
      <c r="HE1131" s="113"/>
      <c r="HF1131" s="113"/>
      <c r="HG1131" s="46">
        <v>0</v>
      </c>
      <c r="HH1131" s="113"/>
      <c r="HI1131" s="113"/>
      <c r="HJ1131" s="113"/>
      <c r="HK1131" s="113"/>
      <c r="HL1131" s="113"/>
      <c r="HM1131" s="121"/>
      <c r="HN1131" s="121"/>
      <c r="LM1131" t="str">
        <v/>
      </c>
      <c r="LN1131" t="str">
        <v/>
      </c>
      <c r="LO1131" t="str">
        <v/>
      </c>
    </row>
    <row r="1132" spans="30:327">
      <c r="AD1132" t="s">
        <v>18300</v>
      </c>
      <c r="AE1132" t="s">
        <v>22903</v>
      </c>
      <c r="AF1132" s="46">
        <v>0</v>
      </c>
      <c r="AG1132" s="113"/>
      <c r="AH1132" s="113"/>
      <c r="AI1132" s="113"/>
      <c r="AJ1132" s="113"/>
      <c r="AK1132" s="113"/>
      <c r="AL1132" s="46">
        <v>0</v>
      </c>
      <c r="AM1132" s="113"/>
      <c r="AN1132" s="113"/>
      <c r="AO1132" s="113"/>
      <c r="AP1132" s="113"/>
      <c r="AQ1132" s="113"/>
      <c r="AR1132" s="46">
        <v>0</v>
      </c>
      <c r="AS1132" s="113"/>
      <c r="AT1132" s="113"/>
      <c r="AU1132" s="113"/>
      <c r="AV1132" s="113"/>
      <c r="AW1132" s="113"/>
      <c r="AX1132" s="46">
        <v>0</v>
      </c>
      <c r="AY1132" s="113"/>
      <c r="AZ1132" s="113"/>
      <c r="BA1132" s="113"/>
      <c r="BB1132" s="113"/>
      <c r="BC1132" s="113"/>
      <c r="BD1132" s="46">
        <v>0</v>
      </c>
      <c r="BE1132" s="113"/>
      <c r="BF1132" s="113"/>
      <c r="BG1132" s="113"/>
      <c r="BH1132" s="113"/>
      <c r="BI1132" s="113"/>
      <c r="BJ1132" s="46">
        <v>0</v>
      </c>
      <c r="BK1132" s="113"/>
      <c r="BL1132" s="113"/>
      <c r="BM1132" s="113"/>
      <c r="BN1132" s="113"/>
      <c r="BO1132" s="113"/>
      <c r="BP1132" s="121"/>
      <c r="BQ1132" s="121"/>
      <c r="GA1132" t="s">
        <v>18300</v>
      </c>
      <c r="GB1132" t="s">
        <v>22903</v>
      </c>
      <c r="GC1132" s="46">
        <v>0</v>
      </c>
      <c r="GD1132" s="113"/>
      <c r="GE1132" s="113"/>
      <c r="GF1132" s="113"/>
      <c r="GG1132" s="113"/>
      <c r="GH1132" s="113"/>
      <c r="GI1132" s="46">
        <v>0</v>
      </c>
      <c r="GJ1132" s="113"/>
      <c r="GK1132" s="113"/>
      <c r="GL1132" s="113"/>
      <c r="GM1132" s="113"/>
      <c r="GN1132" s="113"/>
      <c r="GO1132" s="46">
        <v>0</v>
      </c>
      <c r="GP1132" s="113"/>
      <c r="GQ1132" s="113"/>
      <c r="GR1132" s="113"/>
      <c r="GS1132" s="113"/>
      <c r="GT1132" s="113"/>
      <c r="GU1132" s="46">
        <v>0</v>
      </c>
      <c r="GV1132" s="113"/>
      <c r="GW1132" s="113"/>
      <c r="GX1132" s="113"/>
      <c r="GY1132" s="113"/>
      <c r="GZ1132" s="113"/>
      <c r="HA1132" s="46">
        <v>0</v>
      </c>
      <c r="HB1132" s="113"/>
      <c r="HC1132" s="113"/>
      <c r="HD1132" s="113"/>
      <c r="HE1132" s="113"/>
      <c r="HF1132" s="113"/>
      <c r="HG1132" s="46">
        <v>0</v>
      </c>
      <c r="HH1132" s="113"/>
      <c r="HI1132" s="113"/>
      <c r="HJ1132" s="113"/>
      <c r="HK1132" s="113"/>
      <c r="HL1132" s="113"/>
      <c r="HM1132" s="121"/>
      <c r="HN1132" s="121"/>
      <c r="LM1132" t="str">
        <v/>
      </c>
      <c r="LN1132" t="str">
        <v/>
      </c>
      <c r="LO1132" t="str">
        <v/>
      </c>
    </row>
    <row r="1133" spans="30:327">
      <c r="AD1133" t="s">
        <v>18300</v>
      </c>
      <c r="AE1133" t="s">
        <v>22904</v>
      </c>
      <c r="AF1133" s="46">
        <v>0</v>
      </c>
      <c r="AG1133" s="113"/>
      <c r="AH1133" s="113"/>
      <c r="AI1133" s="113"/>
      <c r="AJ1133" s="113"/>
      <c r="AK1133" s="113"/>
      <c r="AL1133" s="46">
        <v>0</v>
      </c>
      <c r="AM1133" s="113"/>
      <c r="AN1133" s="113"/>
      <c r="AO1133" s="113"/>
      <c r="AP1133" s="113"/>
      <c r="AQ1133" s="113"/>
      <c r="AR1133" s="46">
        <v>0</v>
      </c>
      <c r="AS1133" s="113"/>
      <c r="AT1133" s="113"/>
      <c r="AU1133" s="113"/>
      <c r="AV1133" s="113"/>
      <c r="AW1133" s="113"/>
      <c r="AX1133" s="46">
        <v>0</v>
      </c>
      <c r="AY1133" s="113"/>
      <c r="AZ1133" s="113"/>
      <c r="BA1133" s="113"/>
      <c r="BB1133" s="113"/>
      <c r="BC1133" s="113"/>
      <c r="BD1133" s="46">
        <v>0</v>
      </c>
      <c r="BE1133" s="113"/>
      <c r="BF1133" s="113"/>
      <c r="BG1133" s="113"/>
      <c r="BH1133" s="113"/>
      <c r="BI1133" s="113"/>
      <c r="BJ1133" s="46">
        <v>0</v>
      </c>
      <c r="BK1133" s="113"/>
      <c r="BL1133" s="113"/>
      <c r="BM1133" s="113"/>
      <c r="BN1133" s="113"/>
      <c r="BO1133" s="113"/>
      <c r="BP1133" s="121"/>
      <c r="BQ1133" s="121"/>
      <c r="GA1133" t="s">
        <v>18300</v>
      </c>
      <c r="GB1133" t="s">
        <v>22904</v>
      </c>
      <c r="GC1133" s="46">
        <v>0</v>
      </c>
      <c r="GD1133" s="113"/>
      <c r="GE1133" s="113"/>
      <c r="GF1133" s="113"/>
      <c r="GG1133" s="113"/>
      <c r="GH1133" s="113"/>
      <c r="GI1133" s="46">
        <v>0</v>
      </c>
      <c r="GJ1133" s="113"/>
      <c r="GK1133" s="113"/>
      <c r="GL1133" s="113"/>
      <c r="GM1133" s="113"/>
      <c r="GN1133" s="113"/>
      <c r="GO1133" s="46">
        <v>0</v>
      </c>
      <c r="GP1133" s="113"/>
      <c r="GQ1133" s="113"/>
      <c r="GR1133" s="113"/>
      <c r="GS1133" s="113"/>
      <c r="GT1133" s="113"/>
      <c r="GU1133" s="46">
        <v>0</v>
      </c>
      <c r="GV1133" s="113"/>
      <c r="GW1133" s="113"/>
      <c r="GX1133" s="113"/>
      <c r="GY1133" s="113"/>
      <c r="GZ1133" s="113"/>
      <c r="HA1133" s="46">
        <v>0</v>
      </c>
      <c r="HB1133" s="113"/>
      <c r="HC1133" s="113"/>
      <c r="HD1133" s="113"/>
      <c r="HE1133" s="113"/>
      <c r="HF1133" s="113"/>
      <c r="HG1133" s="46">
        <v>0</v>
      </c>
      <c r="HH1133" s="113"/>
      <c r="HI1133" s="113"/>
      <c r="HJ1133" s="113"/>
      <c r="HK1133" s="113"/>
      <c r="HL1133" s="113"/>
      <c r="HM1133" s="121"/>
      <c r="HN1133" s="121"/>
      <c r="LM1133" t="str">
        <v/>
      </c>
      <c r="LN1133" t="str">
        <v/>
      </c>
      <c r="LO1133" t="str">
        <v/>
      </c>
    </row>
    <row r="1134" spans="30:327">
      <c r="AD1134" t="s">
        <v>18300</v>
      </c>
      <c r="AE1134" t="s">
        <v>22905</v>
      </c>
      <c r="AF1134" s="46">
        <v>0</v>
      </c>
      <c r="AG1134" s="113"/>
      <c r="AH1134" s="113"/>
      <c r="AI1134" s="113"/>
      <c r="AJ1134" s="113"/>
      <c r="AK1134" s="113"/>
      <c r="AL1134" s="46">
        <v>0</v>
      </c>
      <c r="AM1134" s="113"/>
      <c r="AN1134" s="113"/>
      <c r="AO1134" s="113"/>
      <c r="AP1134" s="113"/>
      <c r="AQ1134" s="113"/>
      <c r="AR1134" s="46">
        <v>0</v>
      </c>
      <c r="AS1134" s="113"/>
      <c r="AT1134" s="113"/>
      <c r="AU1134" s="113"/>
      <c r="AV1134" s="113"/>
      <c r="AW1134" s="113"/>
      <c r="AX1134" s="46">
        <v>0</v>
      </c>
      <c r="AY1134" s="113"/>
      <c r="AZ1134" s="113"/>
      <c r="BA1134" s="113"/>
      <c r="BB1134" s="113"/>
      <c r="BC1134" s="113"/>
      <c r="BD1134" s="46">
        <v>0</v>
      </c>
      <c r="BE1134" s="113"/>
      <c r="BF1134" s="113"/>
      <c r="BG1134" s="113"/>
      <c r="BH1134" s="113"/>
      <c r="BI1134" s="113"/>
      <c r="BJ1134" s="46">
        <v>0</v>
      </c>
      <c r="BK1134" s="113"/>
      <c r="BL1134" s="113"/>
      <c r="BM1134" s="113"/>
      <c r="BN1134" s="113"/>
      <c r="BO1134" s="113"/>
      <c r="BP1134" s="121"/>
      <c r="BQ1134" s="121"/>
      <c r="GA1134" t="s">
        <v>18300</v>
      </c>
      <c r="GB1134" t="s">
        <v>22905</v>
      </c>
      <c r="GC1134" s="46">
        <v>0</v>
      </c>
      <c r="GD1134" s="113"/>
      <c r="GE1134" s="113"/>
      <c r="GF1134" s="113"/>
      <c r="GG1134" s="113"/>
      <c r="GH1134" s="113"/>
      <c r="GI1134" s="46">
        <v>0</v>
      </c>
      <c r="GJ1134" s="113"/>
      <c r="GK1134" s="113"/>
      <c r="GL1134" s="113"/>
      <c r="GM1134" s="113"/>
      <c r="GN1134" s="113"/>
      <c r="GO1134" s="46">
        <v>0</v>
      </c>
      <c r="GP1134" s="113"/>
      <c r="GQ1134" s="113"/>
      <c r="GR1134" s="113"/>
      <c r="GS1134" s="113"/>
      <c r="GT1134" s="113"/>
      <c r="GU1134" s="46">
        <v>0</v>
      </c>
      <c r="GV1134" s="113"/>
      <c r="GW1134" s="113"/>
      <c r="GX1134" s="113"/>
      <c r="GY1134" s="113"/>
      <c r="GZ1134" s="113"/>
      <c r="HA1134" s="46">
        <v>0</v>
      </c>
      <c r="HB1134" s="113"/>
      <c r="HC1134" s="113"/>
      <c r="HD1134" s="113"/>
      <c r="HE1134" s="113"/>
      <c r="HF1134" s="113"/>
      <c r="HG1134" s="46">
        <v>0</v>
      </c>
      <c r="HH1134" s="113"/>
      <c r="HI1134" s="113"/>
      <c r="HJ1134" s="113"/>
      <c r="HK1134" s="113"/>
      <c r="HL1134" s="113"/>
      <c r="HM1134" s="121"/>
      <c r="HN1134" s="121"/>
      <c r="LM1134" t="str">
        <v/>
      </c>
      <c r="LN1134" t="str">
        <v/>
      </c>
      <c r="LO1134" t="str">
        <v/>
      </c>
    </row>
    <row r="1135" spans="30:327">
      <c r="AD1135" t="s">
        <v>18300</v>
      </c>
      <c r="AE1135" t="s">
        <v>22906</v>
      </c>
      <c r="AF1135" s="46">
        <v>0</v>
      </c>
      <c r="AG1135" s="113"/>
      <c r="AH1135" s="113"/>
      <c r="AI1135" s="113"/>
      <c r="AJ1135" s="113"/>
      <c r="AK1135" s="113"/>
      <c r="AL1135" s="46">
        <v>0</v>
      </c>
      <c r="AM1135" s="113"/>
      <c r="AN1135" s="113"/>
      <c r="AO1135" s="113"/>
      <c r="AP1135" s="113"/>
      <c r="AQ1135" s="113"/>
      <c r="AR1135" s="46">
        <v>0</v>
      </c>
      <c r="AS1135" s="113"/>
      <c r="AT1135" s="113"/>
      <c r="AU1135" s="113"/>
      <c r="AV1135" s="113"/>
      <c r="AW1135" s="113"/>
      <c r="AX1135" s="46">
        <v>0</v>
      </c>
      <c r="AY1135" s="113"/>
      <c r="AZ1135" s="113"/>
      <c r="BA1135" s="113"/>
      <c r="BB1135" s="113"/>
      <c r="BC1135" s="113"/>
      <c r="BD1135" s="46">
        <v>0</v>
      </c>
      <c r="BE1135" s="113"/>
      <c r="BF1135" s="113"/>
      <c r="BG1135" s="113"/>
      <c r="BH1135" s="113"/>
      <c r="BI1135" s="113"/>
      <c r="BJ1135" s="46">
        <v>0</v>
      </c>
      <c r="BK1135" s="113"/>
      <c r="BL1135" s="113"/>
      <c r="BM1135" s="113"/>
      <c r="BN1135" s="113"/>
      <c r="BO1135" s="113"/>
      <c r="BP1135" s="121"/>
      <c r="BQ1135" s="121"/>
      <c r="GA1135" t="s">
        <v>18300</v>
      </c>
      <c r="GB1135" t="s">
        <v>22906</v>
      </c>
      <c r="GC1135" s="46">
        <v>0</v>
      </c>
      <c r="GD1135" s="113"/>
      <c r="GE1135" s="113"/>
      <c r="GF1135" s="113"/>
      <c r="GG1135" s="113"/>
      <c r="GH1135" s="113"/>
      <c r="GI1135" s="46">
        <v>0</v>
      </c>
      <c r="GJ1135" s="113"/>
      <c r="GK1135" s="113"/>
      <c r="GL1135" s="113"/>
      <c r="GM1135" s="113"/>
      <c r="GN1135" s="113"/>
      <c r="GO1135" s="46">
        <v>0</v>
      </c>
      <c r="GP1135" s="113"/>
      <c r="GQ1135" s="113"/>
      <c r="GR1135" s="113"/>
      <c r="GS1135" s="113"/>
      <c r="GT1135" s="113"/>
      <c r="GU1135" s="46">
        <v>0</v>
      </c>
      <c r="GV1135" s="113"/>
      <c r="GW1135" s="113"/>
      <c r="GX1135" s="113"/>
      <c r="GY1135" s="113"/>
      <c r="GZ1135" s="113"/>
      <c r="HA1135" s="46">
        <v>0</v>
      </c>
      <c r="HB1135" s="113"/>
      <c r="HC1135" s="113"/>
      <c r="HD1135" s="113"/>
      <c r="HE1135" s="113"/>
      <c r="HF1135" s="113"/>
      <c r="HG1135" s="46">
        <v>0</v>
      </c>
      <c r="HH1135" s="113"/>
      <c r="HI1135" s="113"/>
      <c r="HJ1135" s="113"/>
      <c r="HK1135" s="113"/>
      <c r="HL1135" s="113"/>
      <c r="HM1135" s="121"/>
      <c r="HN1135" s="121"/>
      <c r="LM1135" t="str">
        <v/>
      </c>
      <c r="LN1135" t="str">
        <v/>
      </c>
      <c r="LO1135" t="str">
        <v/>
      </c>
    </row>
    <row r="1136" spans="30:327">
      <c r="AD1136" t="s">
        <v>18300</v>
      </c>
      <c r="AE1136" t="s">
        <v>22907</v>
      </c>
      <c r="AF1136" s="46">
        <v>0</v>
      </c>
      <c r="AG1136" s="113"/>
      <c r="AH1136" s="113"/>
      <c r="AI1136" s="113"/>
      <c r="AJ1136" s="113"/>
      <c r="AK1136" s="113"/>
      <c r="AL1136" s="46">
        <v>0</v>
      </c>
      <c r="AM1136" s="113"/>
      <c r="AN1136" s="113"/>
      <c r="AO1136" s="113"/>
      <c r="AP1136" s="113"/>
      <c r="AQ1136" s="113"/>
      <c r="AR1136" s="46">
        <v>0</v>
      </c>
      <c r="AS1136" s="113"/>
      <c r="AT1136" s="113"/>
      <c r="AU1136" s="113"/>
      <c r="AV1136" s="113"/>
      <c r="AW1136" s="113"/>
      <c r="AX1136" s="46">
        <v>0</v>
      </c>
      <c r="AY1136" s="113"/>
      <c r="AZ1136" s="113"/>
      <c r="BA1136" s="113"/>
      <c r="BB1136" s="113"/>
      <c r="BC1136" s="113"/>
      <c r="BD1136" s="46">
        <v>0</v>
      </c>
      <c r="BE1136" s="113"/>
      <c r="BF1136" s="113"/>
      <c r="BG1136" s="113"/>
      <c r="BH1136" s="113"/>
      <c r="BI1136" s="113"/>
      <c r="BJ1136" s="46">
        <v>0</v>
      </c>
      <c r="BK1136" s="113"/>
      <c r="BL1136" s="113"/>
      <c r="BM1136" s="113"/>
      <c r="BN1136" s="113"/>
      <c r="BO1136" s="113"/>
      <c r="BP1136" s="121"/>
      <c r="BQ1136" s="121"/>
      <c r="GA1136" t="s">
        <v>18300</v>
      </c>
      <c r="GB1136" t="s">
        <v>22907</v>
      </c>
      <c r="GC1136" s="46">
        <v>0</v>
      </c>
      <c r="GD1136" s="113"/>
      <c r="GE1136" s="113"/>
      <c r="GF1136" s="113"/>
      <c r="GG1136" s="113"/>
      <c r="GH1136" s="113"/>
      <c r="GI1136" s="46">
        <v>0</v>
      </c>
      <c r="GJ1136" s="113"/>
      <c r="GK1136" s="113"/>
      <c r="GL1136" s="113"/>
      <c r="GM1136" s="113"/>
      <c r="GN1136" s="113"/>
      <c r="GO1136" s="46">
        <v>0</v>
      </c>
      <c r="GP1136" s="113"/>
      <c r="GQ1136" s="113"/>
      <c r="GR1136" s="113"/>
      <c r="GS1136" s="113"/>
      <c r="GT1136" s="113"/>
      <c r="GU1136" s="46">
        <v>0</v>
      </c>
      <c r="GV1136" s="113"/>
      <c r="GW1136" s="113"/>
      <c r="GX1136" s="113"/>
      <c r="GY1136" s="113"/>
      <c r="GZ1136" s="113"/>
      <c r="HA1136" s="46">
        <v>0</v>
      </c>
      <c r="HB1136" s="113"/>
      <c r="HC1136" s="113"/>
      <c r="HD1136" s="113"/>
      <c r="HE1136" s="113"/>
      <c r="HF1136" s="113"/>
      <c r="HG1136" s="46">
        <v>0</v>
      </c>
      <c r="HH1136" s="113"/>
      <c r="HI1136" s="113"/>
      <c r="HJ1136" s="113"/>
      <c r="HK1136" s="113"/>
      <c r="HL1136" s="113"/>
      <c r="HM1136" s="121"/>
      <c r="HN1136" s="121"/>
      <c r="LM1136" t="str">
        <v/>
      </c>
      <c r="LN1136" t="str">
        <v/>
      </c>
      <c r="LO1136" t="str">
        <v/>
      </c>
    </row>
    <row r="1137" spans="30:327">
      <c r="AD1137" t="s">
        <v>18300</v>
      </c>
      <c r="AE1137" t="s">
        <v>22908</v>
      </c>
      <c r="AF1137" s="46">
        <v>0</v>
      </c>
      <c r="AG1137" s="113"/>
      <c r="AH1137" s="113"/>
      <c r="AI1137" s="113"/>
      <c r="AJ1137" s="113"/>
      <c r="AK1137" s="113"/>
      <c r="AL1137" s="46">
        <v>0</v>
      </c>
      <c r="AM1137" s="113"/>
      <c r="AN1137" s="113"/>
      <c r="AO1137" s="113"/>
      <c r="AP1137" s="113"/>
      <c r="AQ1137" s="113"/>
      <c r="AR1137" s="46">
        <v>0</v>
      </c>
      <c r="AS1137" s="113"/>
      <c r="AT1137" s="113"/>
      <c r="AU1137" s="113"/>
      <c r="AV1137" s="113"/>
      <c r="AW1137" s="113"/>
      <c r="AX1137" s="46">
        <v>0</v>
      </c>
      <c r="AY1137" s="113"/>
      <c r="AZ1137" s="113"/>
      <c r="BA1137" s="113"/>
      <c r="BB1137" s="113"/>
      <c r="BC1137" s="113"/>
      <c r="BD1137" s="46">
        <v>0</v>
      </c>
      <c r="BE1137" s="113"/>
      <c r="BF1137" s="113"/>
      <c r="BG1137" s="113"/>
      <c r="BH1137" s="113"/>
      <c r="BI1137" s="113"/>
      <c r="BJ1137" s="46">
        <v>0</v>
      </c>
      <c r="BK1137" s="113"/>
      <c r="BL1137" s="113"/>
      <c r="BM1137" s="113"/>
      <c r="BN1137" s="113"/>
      <c r="BO1137" s="113"/>
      <c r="BP1137" s="121"/>
      <c r="BQ1137" s="121"/>
      <c r="GA1137" t="s">
        <v>18300</v>
      </c>
      <c r="GB1137" t="s">
        <v>22908</v>
      </c>
      <c r="GC1137" s="46">
        <v>0</v>
      </c>
      <c r="GD1137" s="113"/>
      <c r="GE1137" s="113"/>
      <c r="GF1137" s="113"/>
      <c r="GG1137" s="113"/>
      <c r="GH1137" s="113"/>
      <c r="GI1137" s="46">
        <v>0</v>
      </c>
      <c r="GJ1137" s="113"/>
      <c r="GK1137" s="113"/>
      <c r="GL1137" s="113"/>
      <c r="GM1137" s="113"/>
      <c r="GN1137" s="113"/>
      <c r="GO1137" s="46">
        <v>0</v>
      </c>
      <c r="GP1137" s="113"/>
      <c r="GQ1137" s="113"/>
      <c r="GR1137" s="113"/>
      <c r="GS1137" s="113"/>
      <c r="GT1137" s="113"/>
      <c r="GU1137" s="46">
        <v>0</v>
      </c>
      <c r="GV1137" s="113"/>
      <c r="GW1137" s="113"/>
      <c r="GX1137" s="113"/>
      <c r="GY1137" s="113"/>
      <c r="GZ1137" s="113"/>
      <c r="HA1137" s="46">
        <v>0</v>
      </c>
      <c r="HB1137" s="113"/>
      <c r="HC1137" s="113"/>
      <c r="HD1137" s="113"/>
      <c r="HE1137" s="113"/>
      <c r="HF1137" s="113"/>
      <c r="HG1137" s="46">
        <v>0</v>
      </c>
      <c r="HH1137" s="113"/>
      <c r="HI1137" s="113"/>
      <c r="HJ1137" s="113"/>
      <c r="HK1137" s="113"/>
      <c r="HL1137" s="113"/>
      <c r="HM1137" s="121"/>
      <c r="HN1137" s="121"/>
      <c r="LM1137" t="str">
        <v/>
      </c>
      <c r="LN1137" t="str">
        <v/>
      </c>
      <c r="LO1137" t="str">
        <v/>
      </c>
    </row>
    <row r="1138" spans="30:327">
      <c r="AD1138" t="s">
        <v>18300</v>
      </c>
      <c r="AE1138" t="s">
        <v>22909</v>
      </c>
      <c r="AF1138" s="46">
        <v>0</v>
      </c>
      <c r="AG1138" s="113"/>
      <c r="AH1138" s="113"/>
      <c r="AI1138" s="113"/>
      <c r="AJ1138" s="113"/>
      <c r="AK1138" s="113"/>
      <c r="AL1138" s="46">
        <v>0</v>
      </c>
      <c r="AM1138" s="113"/>
      <c r="AN1138" s="113"/>
      <c r="AO1138" s="113"/>
      <c r="AP1138" s="113"/>
      <c r="AQ1138" s="113"/>
      <c r="AR1138" s="46">
        <v>0</v>
      </c>
      <c r="AS1138" s="113"/>
      <c r="AT1138" s="113"/>
      <c r="AU1138" s="113"/>
      <c r="AV1138" s="113"/>
      <c r="AW1138" s="113"/>
      <c r="AX1138" s="46">
        <v>0</v>
      </c>
      <c r="AY1138" s="113"/>
      <c r="AZ1138" s="113"/>
      <c r="BA1138" s="113"/>
      <c r="BB1138" s="113"/>
      <c r="BC1138" s="113"/>
      <c r="BD1138" s="46">
        <v>0</v>
      </c>
      <c r="BE1138" s="113"/>
      <c r="BF1138" s="113"/>
      <c r="BG1138" s="113"/>
      <c r="BH1138" s="113"/>
      <c r="BI1138" s="113"/>
      <c r="BJ1138" s="46">
        <v>0</v>
      </c>
      <c r="BK1138" s="113"/>
      <c r="BL1138" s="113"/>
      <c r="BM1138" s="113"/>
      <c r="BN1138" s="113"/>
      <c r="BO1138" s="113"/>
      <c r="BP1138" s="121"/>
      <c r="BQ1138" s="121"/>
      <c r="GA1138" t="s">
        <v>18300</v>
      </c>
      <c r="GB1138" t="s">
        <v>22909</v>
      </c>
      <c r="GC1138" s="46">
        <v>0</v>
      </c>
      <c r="GD1138" s="113"/>
      <c r="GE1138" s="113"/>
      <c r="GF1138" s="113"/>
      <c r="GG1138" s="113"/>
      <c r="GH1138" s="113"/>
      <c r="GI1138" s="46">
        <v>0</v>
      </c>
      <c r="GJ1138" s="113"/>
      <c r="GK1138" s="113"/>
      <c r="GL1138" s="113"/>
      <c r="GM1138" s="113"/>
      <c r="GN1138" s="113"/>
      <c r="GO1138" s="46">
        <v>0</v>
      </c>
      <c r="GP1138" s="113"/>
      <c r="GQ1138" s="113"/>
      <c r="GR1138" s="113"/>
      <c r="GS1138" s="113"/>
      <c r="GT1138" s="113"/>
      <c r="GU1138" s="46">
        <v>0</v>
      </c>
      <c r="GV1138" s="113"/>
      <c r="GW1138" s="113"/>
      <c r="GX1138" s="113"/>
      <c r="GY1138" s="113"/>
      <c r="GZ1138" s="113"/>
      <c r="HA1138" s="46">
        <v>0</v>
      </c>
      <c r="HB1138" s="113"/>
      <c r="HC1138" s="113"/>
      <c r="HD1138" s="113"/>
      <c r="HE1138" s="113"/>
      <c r="HF1138" s="113"/>
      <c r="HG1138" s="46">
        <v>0</v>
      </c>
      <c r="HH1138" s="113"/>
      <c r="HI1138" s="113"/>
      <c r="HJ1138" s="113"/>
      <c r="HK1138" s="113"/>
      <c r="HL1138" s="113"/>
      <c r="HM1138" s="121"/>
      <c r="HN1138" s="121"/>
      <c r="LM1138" t="str">
        <v/>
      </c>
      <c r="LN1138" t="str">
        <v/>
      </c>
      <c r="LO1138" t="str">
        <v/>
      </c>
    </row>
    <row r="1139" spans="30:327">
      <c r="AD1139" t="s">
        <v>18300</v>
      </c>
      <c r="AE1139" t="s">
        <v>22910</v>
      </c>
      <c r="AF1139" s="46">
        <v>0</v>
      </c>
      <c r="AG1139" s="113"/>
      <c r="AH1139" s="113"/>
      <c r="AI1139" s="113"/>
      <c r="AJ1139" s="113"/>
      <c r="AK1139" s="113"/>
      <c r="AL1139" s="46">
        <v>0</v>
      </c>
      <c r="AM1139" s="113"/>
      <c r="AN1139" s="113"/>
      <c r="AO1139" s="113"/>
      <c r="AP1139" s="113"/>
      <c r="AQ1139" s="113"/>
      <c r="AR1139" s="46">
        <v>0</v>
      </c>
      <c r="AS1139" s="113"/>
      <c r="AT1139" s="113"/>
      <c r="AU1139" s="113"/>
      <c r="AV1139" s="113"/>
      <c r="AW1139" s="113"/>
      <c r="AX1139" s="46">
        <v>0</v>
      </c>
      <c r="AY1139" s="113"/>
      <c r="AZ1139" s="113"/>
      <c r="BA1139" s="113"/>
      <c r="BB1139" s="113"/>
      <c r="BC1139" s="113"/>
      <c r="BD1139" s="46">
        <v>0</v>
      </c>
      <c r="BE1139" s="113"/>
      <c r="BF1139" s="113"/>
      <c r="BG1139" s="113"/>
      <c r="BH1139" s="113"/>
      <c r="BI1139" s="113"/>
      <c r="BJ1139" s="46">
        <v>0</v>
      </c>
      <c r="BK1139" s="113"/>
      <c r="BL1139" s="113"/>
      <c r="BM1139" s="113"/>
      <c r="BN1139" s="113"/>
      <c r="BO1139" s="113"/>
      <c r="BP1139" s="121"/>
      <c r="BQ1139" s="121"/>
      <c r="GA1139" t="s">
        <v>18300</v>
      </c>
      <c r="GB1139" t="s">
        <v>22910</v>
      </c>
      <c r="GC1139" s="46">
        <v>0</v>
      </c>
      <c r="GD1139" s="113"/>
      <c r="GE1139" s="113"/>
      <c r="GF1139" s="113"/>
      <c r="GG1139" s="113"/>
      <c r="GH1139" s="113"/>
      <c r="GI1139" s="46">
        <v>0</v>
      </c>
      <c r="GJ1139" s="113"/>
      <c r="GK1139" s="113"/>
      <c r="GL1139" s="113"/>
      <c r="GM1139" s="113"/>
      <c r="GN1139" s="113"/>
      <c r="GO1139" s="46">
        <v>0</v>
      </c>
      <c r="GP1139" s="113"/>
      <c r="GQ1139" s="113"/>
      <c r="GR1139" s="113"/>
      <c r="GS1139" s="113"/>
      <c r="GT1139" s="113"/>
      <c r="GU1139" s="46">
        <v>0</v>
      </c>
      <c r="GV1139" s="113"/>
      <c r="GW1139" s="113"/>
      <c r="GX1139" s="113"/>
      <c r="GY1139" s="113"/>
      <c r="GZ1139" s="113"/>
      <c r="HA1139" s="46">
        <v>0</v>
      </c>
      <c r="HB1139" s="113"/>
      <c r="HC1139" s="113"/>
      <c r="HD1139" s="113"/>
      <c r="HE1139" s="113"/>
      <c r="HF1139" s="113"/>
      <c r="HG1139" s="46">
        <v>0</v>
      </c>
      <c r="HH1139" s="113"/>
      <c r="HI1139" s="113"/>
      <c r="HJ1139" s="113"/>
      <c r="HK1139" s="113"/>
      <c r="HL1139" s="113"/>
      <c r="HM1139" s="121"/>
      <c r="HN1139" s="121"/>
      <c r="LM1139" t="str">
        <v/>
      </c>
      <c r="LN1139" t="str">
        <v/>
      </c>
      <c r="LO1139" t="str">
        <v/>
      </c>
    </row>
    <row r="1140" spans="30:327">
      <c r="AD1140" t="s">
        <v>18300</v>
      </c>
      <c r="AE1140" t="s">
        <v>22911</v>
      </c>
      <c r="AF1140" s="46">
        <v>0</v>
      </c>
      <c r="AG1140" s="113"/>
      <c r="AH1140" s="113"/>
      <c r="AI1140" s="113"/>
      <c r="AJ1140" s="113"/>
      <c r="AK1140" s="113"/>
      <c r="AL1140" s="46">
        <v>0</v>
      </c>
      <c r="AM1140" s="113"/>
      <c r="AN1140" s="113"/>
      <c r="AO1140" s="113"/>
      <c r="AP1140" s="113"/>
      <c r="AQ1140" s="113"/>
      <c r="AR1140" s="46">
        <v>0</v>
      </c>
      <c r="AS1140" s="113"/>
      <c r="AT1140" s="113"/>
      <c r="AU1140" s="113"/>
      <c r="AV1140" s="113"/>
      <c r="AW1140" s="113"/>
      <c r="AX1140" s="46">
        <v>0</v>
      </c>
      <c r="AY1140" s="113"/>
      <c r="AZ1140" s="113"/>
      <c r="BA1140" s="113"/>
      <c r="BB1140" s="113"/>
      <c r="BC1140" s="113"/>
      <c r="BD1140" s="46">
        <v>0</v>
      </c>
      <c r="BE1140" s="113"/>
      <c r="BF1140" s="113"/>
      <c r="BG1140" s="113"/>
      <c r="BH1140" s="113"/>
      <c r="BI1140" s="113"/>
      <c r="BJ1140" s="46">
        <v>0</v>
      </c>
      <c r="BK1140" s="113"/>
      <c r="BL1140" s="113"/>
      <c r="BM1140" s="113"/>
      <c r="BN1140" s="113"/>
      <c r="BO1140" s="113"/>
      <c r="BP1140" s="121"/>
      <c r="BQ1140" s="121"/>
      <c r="GA1140" t="s">
        <v>18300</v>
      </c>
      <c r="GB1140" t="s">
        <v>22911</v>
      </c>
      <c r="GC1140" s="46">
        <v>0</v>
      </c>
      <c r="GD1140" s="113"/>
      <c r="GE1140" s="113"/>
      <c r="GF1140" s="113"/>
      <c r="GG1140" s="113"/>
      <c r="GH1140" s="113"/>
      <c r="GI1140" s="46">
        <v>0</v>
      </c>
      <c r="GJ1140" s="113"/>
      <c r="GK1140" s="113"/>
      <c r="GL1140" s="113"/>
      <c r="GM1140" s="113"/>
      <c r="GN1140" s="113"/>
      <c r="GO1140" s="46">
        <v>0</v>
      </c>
      <c r="GP1140" s="113"/>
      <c r="GQ1140" s="113"/>
      <c r="GR1140" s="113"/>
      <c r="GS1140" s="113"/>
      <c r="GT1140" s="113"/>
      <c r="GU1140" s="46">
        <v>0</v>
      </c>
      <c r="GV1140" s="113"/>
      <c r="GW1140" s="113"/>
      <c r="GX1140" s="113"/>
      <c r="GY1140" s="113"/>
      <c r="GZ1140" s="113"/>
      <c r="HA1140" s="46">
        <v>0</v>
      </c>
      <c r="HB1140" s="113"/>
      <c r="HC1140" s="113"/>
      <c r="HD1140" s="113"/>
      <c r="HE1140" s="113"/>
      <c r="HF1140" s="113"/>
      <c r="HG1140" s="46">
        <v>0</v>
      </c>
      <c r="HH1140" s="113"/>
      <c r="HI1140" s="113"/>
      <c r="HJ1140" s="113"/>
      <c r="HK1140" s="113"/>
      <c r="HL1140" s="113"/>
      <c r="HM1140" s="121"/>
      <c r="HN1140" s="121"/>
      <c r="LM1140" t="str">
        <v/>
      </c>
      <c r="LN1140" t="str">
        <v/>
      </c>
      <c r="LO1140" t="str">
        <v/>
      </c>
    </row>
    <row r="1141" spans="30:327">
      <c r="AD1141" t="s">
        <v>18300</v>
      </c>
      <c r="AE1141" t="s">
        <v>22912</v>
      </c>
      <c r="AF1141" s="46">
        <v>0</v>
      </c>
      <c r="AG1141" s="113"/>
      <c r="AH1141" s="113"/>
      <c r="AI1141" s="113"/>
      <c r="AJ1141" s="113"/>
      <c r="AK1141" s="113"/>
      <c r="AL1141" s="46">
        <v>0</v>
      </c>
      <c r="AM1141" s="113"/>
      <c r="AN1141" s="113"/>
      <c r="AO1141" s="113"/>
      <c r="AP1141" s="113"/>
      <c r="AQ1141" s="113"/>
      <c r="AR1141" s="46">
        <v>0</v>
      </c>
      <c r="AS1141" s="113"/>
      <c r="AT1141" s="113"/>
      <c r="AU1141" s="113"/>
      <c r="AV1141" s="113"/>
      <c r="AW1141" s="113"/>
      <c r="AX1141" s="46">
        <v>0</v>
      </c>
      <c r="AY1141" s="113"/>
      <c r="AZ1141" s="113"/>
      <c r="BA1141" s="113"/>
      <c r="BB1141" s="113"/>
      <c r="BC1141" s="113"/>
      <c r="BD1141" s="46">
        <v>0</v>
      </c>
      <c r="BE1141" s="113"/>
      <c r="BF1141" s="113"/>
      <c r="BG1141" s="113"/>
      <c r="BH1141" s="113"/>
      <c r="BI1141" s="113"/>
      <c r="BJ1141" s="46">
        <v>0</v>
      </c>
      <c r="BK1141" s="113"/>
      <c r="BL1141" s="113"/>
      <c r="BM1141" s="113"/>
      <c r="BN1141" s="113"/>
      <c r="BO1141" s="113"/>
      <c r="BP1141" s="121"/>
      <c r="BQ1141" s="121"/>
      <c r="GA1141" t="s">
        <v>18300</v>
      </c>
      <c r="GB1141" t="s">
        <v>22912</v>
      </c>
      <c r="GC1141" s="46">
        <v>0</v>
      </c>
      <c r="GD1141" s="113"/>
      <c r="GE1141" s="113"/>
      <c r="GF1141" s="113"/>
      <c r="GG1141" s="113"/>
      <c r="GH1141" s="113"/>
      <c r="GI1141" s="46">
        <v>0</v>
      </c>
      <c r="GJ1141" s="113"/>
      <c r="GK1141" s="113"/>
      <c r="GL1141" s="113"/>
      <c r="GM1141" s="113"/>
      <c r="GN1141" s="113"/>
      <c r="GO1141" s="46">
        <v>0</v>
      </c>
      <c r="GP1141" s="113"/>
      <c r="GQ1141" s="113"/>
      <c r="GR1141" s="113"/>
      <c r="GS1141" s="113"/>
      <c r="GT1141" s="113"/>
      <c r="GU1141" s="46">
        <v>0</v>
      </c>
      <c r="GV1141" s="113"/>
      <c r="GW1141" s="113"/>
      <c r="GX1141" s="113"/>
      <c r="GY1141" s="113"/>
      <c r="GZ1141" s="113"/>
      <c r="HA1141" s="46">
        <v>0</v>
      </c>
      <c r="HB1141" s="113"/>
      <c r="HC1141" s="113"/>
      <c r="HD1141" s="113"/>
      <c r="HE1141" s="113"/>
      <c r="HF1141" s="113"/>
      <c r="HG1141" s="46">
        <v>0</v>
      </c>
      <c r="HH1141" s="113"/>
      <c r="HI1141" s="113"/>
      <c r="HJ1141" s="113"/>
      <c r="HK1141" s="113"/>
      <c r="HL1141" s="113"/>
      <c r="HM1141" s="121"/>
      <c r="HN1141" s="121"/>
      <c r="LM1141" t="str">
        <v/>
      </c>
      <c r="LN1141" t="str">
        <v/>
      </c>
      <c r="LO1141" t="str">
        <v/>
      </c>
    </row>
    <row r="1142" spans="30:327">
      <c r="AD1142" t="s">
        <v>18300</v>
      </c>
      <c r="AE1142" t="s">
        <v>22913</v>
      </c>
      <c r="AF1142" s="46">
        <v>0</v>
      </c>
      <c r="AG1142" s="113"/>
      <c r="AH1142" s="113"/>
      <c r="AI1142" s="113"/>
      <c r="AJ1142" s="113"/>
      <c r="AK1142" s="113"/>
      <c r="AL1142" s="46">
        <v>0</v>
      </c>
      <c r="AM1142" s="113"/>
      <c r="AN1142" s="113"/>
      <c r="AO1142" s="113"/>
      <c r="AP1142" s="113"/>
      <c r="AQ1142" s="113"/>
      <c r="AR1142" s="46">
        <v>0</v>
      </c>
      <c r="AS1142" s="113"/>
      <c r="AT1142" s="113"/>
      <c r="AU1142" s="113"/>
      <c r="AV1142" s="113"/>
      <c r="AW1142" s="113"/>
      <c r="AX1142" s="46">
        <v>0</v>
      </c>
      <c r="AY1142" s="113"/>
      <c r="AZ1142" s="113"/>
      <c r="BA1142" s="113"/>
      <c r="BB1142" s="113"/>
      <c r="BC1142" s="113"/>
      <c r="BD1142" s="46">
        <v>0</v>
      </c>
      <c r="BE1142" s="113"/>
      <c r="BF1142" s="113"/>
      <c r="BG1142" s="113"/>
      <c r="BH1142" s="113"/>
      <c r="BI1142" s="113"/>
      <c r="BJ1142" s="46">
        <v>0</v>
      </c>
      <c r="BK1142" s="113"/>
      <c r="BL1142" s="113"/>
      <c r="BM1142" s="113"/>
      <c r="BN1142" s="113"/>
      <c r="BO1142" s="113"/>
      <c r="BP1142" s="121"/>
      <c r="BQ1142" s="121"/>
      <c r="GA1142" t="s">
        <v>18300</v>
      </c>
      <c r="GB1142" t="s">
        <v>22913</v>
      </c>
      <c r="GC1142" s="46">
        <v>0</v>
      </c>
      <c r="GD1142" s="113"/>
      <c r="GE1142" s="113"/>
      <c r="GF1142" s="113"/>
      <c r="GG1142" s="113"/>
      <c r="GH1142" s="113"/>
      <c r="GI1142" s="46">
        <v>0</v>
      </c>
      <c r="GJ1142" s="113"/>
      <c r="GK1142" s="113"/>
      <c r="GL1142" s="113"/>
      <c r="GM1142" s="113"/>
      <c r="GN1142" s="113"/>
      <c r="GO1142" s="46">
        <v>0</v>
      </c>
      <c r="GP1142" s="113"/>
      <c r="GQ1142" s="113"/>
      <c r="GR1142" s="113"/>
      <c r="GS1142" s="113"/>
      <c r="GT1142" s="113"/>
      <c r="GU1142" s="46">
        <v>0</v>
      </c>
      <c r="GV1142" s="113"/>
      <c r="GW1142" s="113"/>
      <c r="GX1142" s="113"/>
      <c r="GY1142" s="113"/>
      <c r="GZ1142" s="113"/>
      <c r="HA1142" s="46">
        <v>0</v>
      </c>
      <c r="HB1142" s="113"/>
      <c r="HC1142" s="113"/>
      <c r="HD1142" s="113"/>
      <c r="HE1142" s="113"/>
      <c r="HF1142" s="113"/>
      <c r="HG1142" s="46">
        <v>0</v>
      </c>
      <c r="HH1142" s="113"/>
      <c r="HI1142" s="113"/>
      <c r="HJ1142" s="113"/>
      <c r="HK1142" s="113"/>
      <c r="HL1142" s="113"/>
      <c r="HM1142" s="121"/>
      <c r="HN1142" s="121"/>
      <c r="LM1142" t="str">
        <v/>
      </c>
      <c r="LN1142" t="str">
        <v/>
      </c>
      <c r="LO1142" t="str">
        <v/>
      </c>
    </row>
    <row r="1143" spans="30:327">
      <c r="AD1143" t="s">
        <v>18300</v>
      </c>
      <c r="AE1143" t="s">
        <v>22914</v>
      </c>
      <c r="AF1143" s="46">
        <v>0</v>
      </c>
      <c r="AG1143" s="113"/>
      <c r="AH1143" s="113"/>
      <c r="AI1143" s="113"/>
      <c r="AJ1143" s="113"/>
      <c r="AK1143" s="113"/>
      <c r="AL1143" s="46">
        <v>0</v>
      </c>
      <c r="AM1143" s="113"/>
      <c r="AN1143" s="113"/>
      <c r="AO1143" s="113"/>
      <c r="AP1143" s="113"/>
      <c r="AQ1143" s="113"/>
      <c r="AR1143" s="46">
        <v>0</v>
      </c>
      <c r="AS1143" s="113"/>
      <c r="AT1143" s="113"/>
      <c r="AU1143" s="113"/>
      <c r="AV1143" s="113"/>
      <c r="AW1143" s="113"/>
      <c r="AX1143" s="46">
        <v>0</v>
      </c>
      <c r="AY1143" s="113"/>
      <c r="AZ1143" s="113"/>
      <c r="BA1143" s="113"/>
      <c r="BB1143" s="113"/>
      <c r="BC1143" s="113"/>
      <c r="BD1143" s="46">
        <v>0</v>
      </c>
      <c r="BE1143" s="113"/>
      <c r="BF1143" s="113"/>
      <c r="BG1143" s="113"/>
      <c r="BH1143" s="113"/>
      <c r="BI1143" s="113"/>
      <c r="BJ1143" s="46">
        <v>0</v>
      </c>
      <c r="BK1143" s="113"/>
      <c r="BL1143" s="113"/>
      <c r="BM1143" s="113"/>
      <c r="BN1143" s="113"/>
      <c r="BO1143" s="113"/>
      <c r="BP1143" s="121"/>
      <c r="BQ1143" s="121"/>
      <c r="GA1143" t="s">
        <v>18300</v>
      </c>
      <c r="GB1143" t="s">
        <v>22914</v>
      </c>
      <c r="GC1143" s="46">
        <v>0</v>
      </c>
      <c r="GD1143" s="113"/>
      <c r="GE1143" s="113"/>
      <c r="GF1143" s="113"/>
      <c r="GG1143" s="113"/>
      <c r="GH1143" s="113"/>
      <c r="GI1143" s="46">
        <v>0</v>
      </c>
      <c r="GJ1143" s="113"/>
      <c r="GK1143" s="113"/>
      <c r="GL1143" s="113"/>
      <c r="GM1143" s="113"/>
      <c r="GN1143" s="113"/>
      <c r="GO1143" s="46">
        <v>0</v>
      </c>
      <c r="GP1143" s="113"/>
      <c r="GQ1143" s="113"/>
      <c r="GR1143" s="113"/>
      <c r="GS1143" s="113"/>
      <c r="GT1143" s="113"/>
      <c r="GU1143" s="46">
        <v>0</v>
      </c>
      <c r="GV1143" s="113"/>
      <c r="GW1143" s="113"/>
      <c r="GX1143" s="113"/>
      <c r="GY1143" s="113"/>
      <c r="GZ1143" s="113"/>
      <c r="HA1143" s="46">
        <v>0</v>
      </c>
      <c r="HB1143" s="113"/>
      <c r="HC1143" s="113"/>
      <c r="HD1143" s="113"/>
      <c r="HE1143" s="113"/>
      <c r="HF1143" s="113"/>
      <c r="HG1143" s="46">
        <v>0</v>
      </c>
      <c r="HH1143" s="113"/>
      <c r="HI1143" s="113"/>
      <c r="HJ1143" s="113"/>
      <c r="HK1143" s="113"/>
      <c r="HL1143" s="113"/>
      <c r="HM1143" s="121"/>
      <c r="HN1143" s="121"/>
      <c r="LM1143" t="str">
        <v/>
      </c>
      <c r="LN1143" t="str">
        <v/>
      </c>
      <c r="LO1143" t="str">
        <v/>
      </c>
    </row>
    <row r="1144" spans="30:327">
      <c r="AD1144" t="s">
        <v>18300</v>
      </c>
      <c r="AE1144" t="s">
        <v>22915</v>
      </c>
      <c r="AF1144" s="46">
        <v>0</v>
      </c>
      <c r="AG1144" s="113"/>
      <c r="AH1144" s="113"/>
      <c r="AI1144" s="113"/>
      <c r="AJ1144" s="113"/>
      <c r="AK1144" s="113"/>
      <c r="AL1144" s="46">
        <v>0</v>
      </c>
      <c r="AM1144" s="113"/>
      <c r="AN1144" s="113"/>
      <c r="AO1144" s="113"/>
      <c r="AP1144" s="113"/>
      <c r="AQ1144" s="113"/>
      <c r="AR1144" s="46">
        <v>0</v>
      </c>
      <c r="AS1144" s="113"/>
      <c r="AT1144" s="113"/>
      <c r="AU1144" s="113"/>
      <c r="AV1144" s="113"/>
      <c r="AW1144" s="113"/>
      <c r="AX1144" s="46">
        <v>0</v>
      </c>
      <c r="AY1144" s="113"/>
      <c r="AZ1144" s="113"/>
      <c r="BA1144" s="113"/>
      <c r="BB1144" s="113"/>
      <c r="BC1144" s="113"/>
      <c r="BD1144" s="46">
        <v>0</v>
      </c>
      <c r="BE1144" s="113"/>
      <c r="BF1144" s="113"/>
      <c r="BG1144" s="113"/>
      <c r="BH1144" s="113"/>
      <c r="BI1144" s="113"/>
      <c r="BJ1144" s="46">
        <v>0</v>
      </c>
      <c r="BK1144" s="113"/>
      <c r="BL1144" s="113"/>
      <c r="BM1144" s="113"/>
      <c r="BN1144" s="113"/>
      <c r="BO1144" s="113"/>
      <c r="BP1144" s="121"/>
      <c r="BQ1144" s="121"/>
      <c r="GA1144" t="s">
        <v>18300</v>
      </c>
      <c r="GB1144" t="s">
        <v>22915</v>
      </c>
      <c r="GC1144" s="46">
        <v>0</v>
      </c>
      <c r="GD1144" s="113"/>
      <c r="GE1144" s="113"/>
      <c r="GF1144" s="113"/>
      <c r="GG1144" s="113"/>
      <c r="GH1144" s="113"/>
      <c r="GI1144" s="46">
        <v>0</v>
      </c>
      <c r="GJ1144" s="113"/>
      <c r="GK1144" s="113"/>
      <c r="GL1144" s="113"/>
      <c r="GM1144" s="113"/>
      <c r="GN1144" s="113"/>
      <c r="GO1144" s="46">
        <v>0</v>
      </c>
      <c r="GP1144" s="113"/>
      <c r="GQ1144" s="113"/>
      <c r="GR1144" s="113"/>
      <c r="GS1144" s="113"/>
      <c r="GT1144" s="113"/>
      <c r="GU1144" s="46">
        <v>0</v>
      </c>
      <c r="GV1144" s="113"/>
      <c r="GW1144" s="113"/>
      <c r="GX1144" s="113"/>
      <c r="GY1144" s="113"/>
      <c r="GZ1144" s="113"/>
      <c r="HA1144" s="46">
        <v>0</v>
      </c>
      <c r="HB1144" s="113"/>
      <c r="HC1144" s="113"/>
      <c r="HD1144" s="113"/>
      <c r="HE1144" s="113"/>
      <c r="HF1144" s="113"/>
      <c r="HG1144" s="46">
        <v>0</v>
      </c>
      <c r="HH1144" s="113"/>
      <c r="HI1144" s="113"/>
      <c r="HJ1144" s="113"/>
      <c r="HK1144" s="113"/>
      <c r="HL1144" s="113"/>
      <c r="HM1144" s="121"/>
      <c r="HN1144" s="121"/>
      <c r="LM1144" t="str">
        <v/>
      </c>
      <c r="LN1144" t="str">
        <v/>
      </c>
      <c r="LO1144" t="str">
        <v/>
      </c>
    </row>
    <row r="1145" spans="30:327">
      <c r="AD1145" t="s">
        <v>18300</v>
      </c>
      <c r="AE1145" t="s">
        <v>22916</v>
      </c>
      <c r="AF1145" s="46">
        <v>0</v>
      </c>
      <c r="AG1145" s="113"/>
      <c r="AH1145" s="113"/>
      <c r="AI1145" s="113"/>
      <c r="AJ1145" s="113"/>
      <c r="AK1145" s="113"/>
      <c r="AL1145" s="46">
        <v>0</v>
      </c>
      <c r="AM1145" s="113"/>
      <c r="AN1145" s="113"/>
      <c r="AO1145" s="113"/>
      <c r="AP1145" s="113"/>
      <c r="AQ1145" s="113"/>
      <c r="AR1145" s="46">
        <v>0</v>
      </c>
      <c r="AS1145" s="113"/>
      <c r="AT1145" s="113"/>
      <c r="AU1145" s="113"/>
      <c r="AV1145" s="113"/>
      <c r="AW1145" s="113"/>
      <c r="AX1145" s="46">
        <v>0</v>
      </c>
      <c r="AY1145" s="113"/>
      <c r="AZ1145" s="113"/>
      <c r="BA1145" s="113"/>
      <c r="BB1145" s="113"/>
      <c r="BC1145" s="113"/>
      <c r="BD1145" s="46">
        <v>0</v>
      </c>
      <c r="BE1145" s="113"/>
      <c r="BF1145" s="113"/>
      <c r="BG1145" s="113"/>
      <c r="BH1145" s="113"/>
      <c r="BI1145" s="113"/>
      <c r="BJ1145" s="46">
        <v>0</v>
      </c>
      <c r="BK1145" s="113"/>
      <c r="BL1145" s="113"/>
      <c r="BM1145" s="113"/>
      <c r="BN1145" s="113"/>
      <c r="BO1145" s="113"/>
      <c r="BP1145" s="121"/>
      <c r="BQ1145" s="121"/>
      <c r="GA1145" t="s">
        <v>18300</v>
      </c>
      <c r="GB1145" t="s">
        <v>22916</v>
      </c>
      <c r="GC1145" s="46">
        <v>0</v>
      </c>
      <c r="GD1145" s="113"/>
      <c r="GE1145" s="113"/>
      <c r="GF1145" s="113"/>
      <c r="GG1145" s="113"/>
      <c r="GH1145" s="113"/>
      <c r="GI1145" s="46">
        <v>0</v>
      </c>
      <c r="GJ1145" s="113"/>
      <c r="GK1145" s="113"/>
      <c r="GL1145" s="113"/>
      <c r="GM1145" s="113"/>
      <c r="GN1145" s="113"/>
      <c r="GO1145" s="46">
        <v>0</v>
      </c>
      <c r="GP1145" s="113"/>
      <c r="GQ1145" s="113"/>
      <c r="GR1145" s="113"/>
      <c r="GS1145" s="113"/>
      <c r="GT1145" s="113"/>
      <c r="GU1145" s="46">
        <v>0</v>
      </c>
      <c r="GV1145" s="113"/>
      <c r="GW1145" s="113"/>
      <c r="GX1145" s="113"/>
      <c r="GY1145" s="113"/>
      <c r="GZ1145" s="113"/>
      <c r="HA1145" s="46">
        <v>0</v>
      </c>
      <c r="HB1145" s="113"/>
      <c r="HC1145" s="113"/>
      <c r="HD1145" s="113"/>
      <c r="HE1145" s="113"/>
      <c r="HF1145" s="113"/>
      <c r="HG1145" s="46">
        <v>0</v>
      </c>
      <c r="HH1145" s="113"/>
      <c r="HI1145" s="113"/>
      <c r="HJ1145" s="113"/>
      <c r="HK1145" s="113"/>
      <c r="HL1145" s="113"/>
      <c r="HM1145" s="121"/>
      <c r="HN1145" s="121"/>
      <c r="LM1145" t="str">
        <v/>
      </c>
      <c r="LN1145" t="str">
        <v/>
      </c>
      <c r="LO1145" t="str">
        <v/>
      </c>
    </row>
    <row r="1146" spans="30:327">
      <c r="AD1146" t="s">
        <v>18300</v>
      </c>
      <c r="AE1146" t="s">
        <v>22917</v>
      </c>
      <c r="AF1146" s="46">
        <v>0</v>
      </c>
      <c r="AG1146" s="113"/>
      <c r="AH1146" s="113"/>
      <c r="AI1146" s="113"/>
      <c r="AJ1146" s="113"/>
      <c r="AK1146" s="113"/>
      <c r="AL1146" s="46">
        <v>0</v>
      </c>
      <c r="AM1146" s="113"/>
      <c r="AN1146" s="113"/>
      <c r="AO1146" s="113"/>
      <c r="AP1146" s="113"/>
      <c r="AQ1146" s="113"/>
      <c r="AR1146" s="46">
        <v>0</v>
      </c>
      <c r="AS1146" s="113"/>
      <c r="AT1146" s="113"/>
      <c r="AU1146" s="113"/>
      <c r="AV1146" s="113"/>
      <c r="AW1146" s="113"/>
      <c r="AX1146" s="46">
        <v>0</v>
      </c>
      <c r="AY1146" s="113"/>
      <c r="AZ1146" s="113"/>
      <c r="BA1146" s="113"/>
      <c r="BB1146" s="113"/>
      <c r="BC1146" s="113"/>
      <c r="BD1146" s="46">
        <v>0</v>
      </c>
      <c r="BE1146" s="113"/>
      <c r="BF1146" s="113"/>
      <c r="BG1146" s="113"/>
      <c r="BH1146" s="113"/>
      <c r="BI1146" s="113"/>
      <c r="BJ1146" s="46">
        <v>0</v>
      </c>
      <c r="BK1146" s="113"/>
      <c r="BL1146" s="113"/>
      <c r="BM1146" s="113"/>
      <c r="BN1146" s="113"/>
      <c r="BO1146" s="113"/>
      <c r="BP1146" s="121"/>
      <c r="BQ1146" s="121"/>
      <c r="GA1146" t="s">
        <v>18300</v>
      </c>
      <c r="GB1146" t="s">
        <v>22917</v>
      </c>
      <c r="GC1146" s="46">
        <v>0</v>
      </c>
      <c r="GD1146" s="113"/>
      <c r="GE1146" s="113"/>
      <c r="GF1146" s="113"/>
      <c r="GG1146" s="113"/>
      <c r="GH1146" s="113"/>
      <c r="GI1146" s="46">
        <v>0</v>
      </c>
      <c r="GJ1146" s="113"/>
      <c r="GK1146" s="113"/>
      <c r="GL1146" s="113"/>
      <c r="GM1146" s="113"/>
      <c r="GN1146" s="113"/>
      <c r="GO1146" s="46">
        <v>0</v>
      </c>
      <c r="GP1146" s="113"/>
      <c r="GQ1146" s="113"/>
      <c r="GR1146" s="113"/>
      <c r="GS1146" s="113"/>
      <c r="GT1146" s="113"/>
      <c r="GU1146" s="46">
        <v>0</v>
      </c>
      <c r="GV1146" s="113"/>
      <c r="GW1146" s="113"/>
      <c r="GX1146" s="113"/>
      <c r="GY1146" s="113"/>
      <c r="GZ1146" s="113"/>
      <c r="HA1146" s="46">
        <v>0</v>
      </c>
      <c r="HB1146" s="113"/>
      <c r="HC1146" s="113"/>
      <c r="HD1146" s="113"/>
      <c r="HE1146" s="113"/>
      <c r="HF1146" s="113"/>
      <c r="HG1146" s="46">
        <v>0</v>
      </c>
      <c r="HH1146" s="113"/>
      <c r="HI1146" s="113"/>
      <c r="HJ1146" s="113"/>
      <c r="HK1146" s="113"/>
      <c r="HL1146" s="113"/>
      <c r="HM1146" s="121"/>
      <c r="HN1146" s="121"/>
      <c r="LM1146" t="str">
        <v/>
      </c>
      <c r="LN1146" t="str">
        <v/>
      </c>
      <c r="LO1146" t="str">
        <v/>
      </c>
    </row>
    <row r="1147" spans="30:327">
      <c r="AD1147" t="s">
        <v>18300</v>
      </c>
      <c r="AE1147" t="s">
        <v>22918</v>
      </c>
      <c r="AF1147" s="46">
        <v>0</v>
      </c>
      <c r="AG1147" s="113"/>
      <c r="AH1147" s="113"/>
      <c r="AI1147" s="113"/>
      <c r="AJ1147" s="113"/>
      <c r="AK1147" s="113"/>
      <c r="AL1147" s="46">
        <v>0</v>
      </c>
      <c r="AM1147" s="113"/>
      <c r="AN1147" s="113"/>
      <c r="AO1147" s="113"/>
      <c r="AP1147" s="113"/>
      <c r="AQ1147" s="113"/>
      <c r="AR1147" s="46">
        <v>0</v>
      </c>
      <c r="AS1147" s="113"/>
      <c r="AT1147" s="113"/>
      <c r="AU1147" s="113"/>
      <c r="AV1147" s="113"/>
      <c r="AW1147" s="113"/>
      <c r="AX1147" s="46">
        <v>0</v>
      </c>
      <c r="AY1147" s="113"/>
      <c r="AZ1147" s="113"/>
      <c r="BA1147" s="113"/>
      <c r="BB1147" s="113"/>
      <c r="BC1147" s="113"/>
      <c r="BD1147" s="46">
        <v>0</v>
      </c>
      <c r="BE1147" s="113"/>
      <c r="BF1147" s="113"/>
      <c r="BG1147" s="113"/>
      <c r="BH1147" s="113"/>
      <c r="BI1147" s="113"/>
      <c r="BJ1147" s="46">
        <v>0</v>
      </c>
      <c r="BK1147" s="113"/>
      <c r="BL1147" s="113"/>
      <c r="BM1147" s="113"/>
      <c r="BN1147" s="113"/>
      <c r="BO1147" s="113"/>
      <c r="BP1147" s="121"/>
      <c r="BQ1147" s="121"/>
      <c r="GA1147" t="s">
        <v>18300</v>
      </c>
      <c r="GB1147" t="s">
        <v>22918</v>
      </c>
      <c r="GC1147" s="46">
        <v>0</v>
      </c>
      <c r="GD1147" s="113"/>
      <c r="GE1147" s="113"/>
      <c r="GF1147" s="113"/>
      <c r="GG1147" s="113"/>
      <c r="GH1147" s="113"/>
      <c r="GI1147" s="46">
        <v>0</v>
      </c>
      <c r="GJ1147" s="113"/>
      <c r="GK1147" s="113"/>
      <c r="GL1147" s="113"/>
      <c r="GM1147" s="113"/>
      <c r="GN1147" s="113"/>
      <c r="GO1147" s="46">
        <v>0</v>
      </c>
      <c r="GP1147" s="113"/>
      <c r="GQ1147" s="113"/>
      <c r="GR1147" s="113"/>
      <c r="GS1147" s="113"/>
      <c r="GT1147" s="113"/>
      <c r="GU1147" s="46">
        <v>0</v>
      </c>
      <c r="GV1147" s="113"/>
      <c r="GW1147" s="113"/>
      <c r="GX1147" s="113"/>
      <c r="GY1147" s="113"/>
      <c r="GZ1147" s="113"/>
      <c r="HA1147" s="46">
        <v>0</v>
      </c>
      <c r="HB1147" s="113"/>
      <c r="HC1147" s="113"/>
      <c r="HD1147" s="113"/>
      <c r="HE1147" s="113"/>
      <c r="HF1147" s="113"/>
      <c r="HG1147" s="46">
        <v>0</v>
      </c>
      <c r="HH1147" s="113"/>
      <c r="HI1147" s="113"/>
      <c r="HJ1147" s="113"/>
      <c r="HK1147" s="113"/>
      <c r="HL1147" s="113"/>
      <c r="HM1147" s="121"/>
      <c r="HN1147" s="121"/>
      <c r="LM1147" t="str">
        <v/>
      </c>
      <c r="LN1147" t="str">
        <v/>
      </c>
      <c r="LO1147" t="str">
        <v/>
      </c>
    </row>
    <row r="1148" spans="30:327">
      <c r="AD1148" t="s">
        <v>18300</v>
      </c>
      <c r="AE1148" t="s">
        <v>22919</v>
      </c>
      <c r="AF1148" s="46">
        <v>0</v>
      </c>
      <c r="AG1148" s="113"/>
      <c r="AH1148" s="113"/>
      <c r="AI1148" s="113"/>
      <c r="AJ1148" s="113"/>
      <c r="AK1148" s="113"/>
      <c r="AL1148" s="46">
        <v>0</v>
      </c>
      <c r="AM1148" s="113"/>
      <c r="AN1148" s="113"/>
      <c r="AO1148" s="113"/>
      <c r="AP1148" s="113"/>
      <c r="AQ1148" s="113"/>
      <c r="AR1148" s="46">
        <v>0</v>
      </c>
      <c r="AS1148" s="113"/>
      <c r="AT1148" s="113"/>
      <c r="AU1148" s="113"/>
      <c r="AV1148" s="113"/>
      <c r="AW1148" s="113"/>
      <c r="AX1148" s="46">
        <v>0</v>
      </c>
      <c r="AY1148" s="113"/>
      <c r="AZ1148" s="113"/>
      <c r="BA1148" s="113"/>
      <c r="BB1148" s="113"/>
      <c r="BC1148" s="113"/>
      <c r="BD1148" s="46">
        <v>0</v>
      </c>
      <c r="BE1148" s="113"/>
      <c r="BF1148" s="113"/>
      <c r="BG1148" s="113"/>
      <c r="BH1148" s="113"/>
      <c r="BI1148" s="113"/>
      <c r="BJ1148" s="46">
        <v>0</v>
      </c>
      <c r="BK1148" s="113"/>
      <c r="BL1148" s="113"/>
      <c r="BM1148" s="113"/>
      <c r="BN1148" s="113"/>
      <c r="BO1148" s="113"/>
      <c r="BP1148" s="121"/>
      <c r="BQ1148" s="121"/>
      <c r="GA1148" t="s">
        <v>18300</v>
      </c>
      <c r="GB1148" t="s">
        <v>22919</v>
      </c>
      <c r="GC1148" s="46">
        <v>0</v>
      </c>
      <c r="GD1148" s="113"/>
      <c r="GE1148" s="113"/>
      <c r="GF1148" s="113"/>
      <c r="GG1148" s="113"/>
      <c r="GH1148" s="113"/>
      <c r="GI1148" s="46">
        <v>0</v>
      </c>
      <c r="GJ1148" s="113"/>
      <c r="GK1148" s="113"/>
      <c r="GL1148" s="113"/>
      <c r="GM1148" s="113"/>
      <c r="GN1148" s="113"/>
      <c r="GO1148" s="46">
        <v>0</v>
      </c>
      <c r="GP1148" s="113"/>
      <c r="GQ1148" s="113"/>
      <c r="GR1148" s="113"/>
      <c r="GS1148" s="113"/>
      <c r="GT1148" s="113"/>
      <c r="GU1148" s="46">
        <v>0</v>
      </c>
      <c r="GV1148" s="113"/>
      <c r="GW1148" s="113"/>
      <c r="GX1148" s="113"/>
      <c r="GY1148" s="113"/>
      <c r="GZ1148" s="113"/>
      <c r="HA1148" s="46">
        <v>0</v>
      </c>
      <c r="HB1148" s="113"/>
      <c r="HC1148" s="113"/>
      <c r="HD1148" s="113"/>
      <c r="HE1148" s="113"/>
      <c r="HF1148" s="113"/>
      <c r="HG1148" s="46">
        <v>0</v>
      </c>
      <c r="HH1148" s="113"/>
      <c r="HI1148" s="113"/>
      <c r="HJ1148" s="113"/>
      <c r="HK1148" s="113"/>
      <c r="HL1148" s="113"/>
      <c r="HM1148" s="121"/>
      <c r="HN1148" s="121"/>
      <c r="LM1148" t="str">
        <v/>
      </c>
      <c r="LN1148" t="str">
        <v/>
      </c>
      <c r="LO1148" t="str">
        <v/>
      </c>
    </row>
    <row r="1149" spans="30:327">
      <c r="AD1149" t="s">
        <v>18300</v>
      </c>
      <c r="AE1149" t="s">
        <v>22920</v>
      </c>
      <c r="AF1149" s="46">
        <v>0</v>
      </c>
      <c r="AG1149" s="113"/>
      <c r="AH1149" s="113"/>
      <c r="AI1149" s="113"/>
      <c r="AJ1149" s="113"/>
      <c r="AK1149" s="113"/>
      <c r="AL1149" s="46">
        <v>0</v>
      </c>
      <c r="AM1149" s="113"/>
      <c r="AN1149" s="113"/>
      <c r="AO1149" s="113"/>
      <c r="AP1149" s="113"/>
      <c r="AQ1149" s="113"/>
      <c r="AR1149" s="46">
        <v>0</v>
      </c>
      <c r="AS1149" s="113"/>
      <c r="AT1149" s="113"/>
      <c r="AU1149" s="113"/>
      <c r="AV1149" s="113"/>
      <c r="AW1149" s="113"/>
      <c r="AX1149" s="46">
        <v>0</v>
      </c>
      <c r="AY1149" s="113"/>
      <c r="AZ1149" s="113"/>
      <c r="BA1149" s="113"/>
      <c r="BB1149" s="113"/>
      <c r="BC1149" s="113"/>
      <c r="BD1149" s="46">
        <v>0</v>
      </c>
      <c r="BE1149" s="113"/>
      <c r="BF1149" s="113"/>
      <c r="BG1149" s="113"/>
      <c r="BH1149" s="113"/>
      <c r="BI1149" s="113"/>
      <c r="BJ1149" s="46">
        <v>0</v>
      </c>
      <c r="BK1149" s="113"/>
      <c r="BL1149" s="113"/>
      <c r="BM1149" s="113"/>
      <c r="BN1149" s="113"/>
      <c r="BO1149" s="113"/>
      <c r="BP1149" s="121"/>
      <c r="BQ1149" s="121"/>
      <c r="GA1149" t="s">
        <v>18300</v>
      </c>
      <c r="GB1149" t="s">
        <v>22920</v>
      </c>
      <c r="GC1149" s="46">
        <v>0</v>
      </c>
      <c r="GD1149" s="113"/>
      <c r="GE1149" s="113"/>
      <c r="GF1149" s="113"/>
      <c r="GG1149" s="113"/>
      <c r="GH1149" s="113"/>
      <c r="GI1149" s="46">
        <v>0</v>
      </c>
      <c r="GJ1149" s="113"/>
      <c r="GK1149" s="113"/>
      <c r="GL1149" s="113"/>
      <c r="GM1149" s="113"/>
      <c r="GN1149" s="113"/>
      <c r="GO1149" s="46">
        <v>0</v>
      </c>
      <c r="GP1149" s="113"/>
      <c r="GQ1149" s="113"/>
      <c r="GR1149" s="113"/>
      <c r="GS1149" s="113"/>
      <c r="GT1149" s="113"/>
      <c r="GU1149" s="46">
        <v>0</v>
      </c>
      <c r="GV1149" s="113"/>
      <c r="GW1149" s="113"/>
      <c r="GX1149" s="113"/>
      <c r="GY1149" s="113"/>
      <c r="GZ1149" s="113"/>
      <c r="HA1149" s="46">
        <v>0</v>
      </c>
      <c r="HB1149" s="113"/>
      <c r="HC1149" s="113"/>
      <c r="HD1149" s="113"/>
      <c r="HE1149" s="113"/>
      <c r="HF1149" s="113"/>
      <c r="HG1149" s="46">
        <v>0</v>
      </c>
      <c r="HH1149" s="113"/>
      <c r="HI1149" s="113"/>
      <c r="HJ1149" s="113"/>
      <c r="HK1149" s="113"/>
      <c r="HL1149" s="113"/>
      <c r="HM1149" s="121"/>
      <c r="HN1149" s="121"/>
      <c r="LM1149" t="str">
        <v/>
      </c>
      <c r="LN1149" t="str">
        <v/>
      </c>
      <c r="LO1149" t="str">
        <v/>
      </c>
    </row>
    <row r="1150" spans="30:327">
      <c r="AD1150" t="s">
        <v>18300</v>
      </c>
      <c r="AE1150" t="s">
        <v>22921</v>
      </c>
      <c r="AF1150" s="46">
        <v>0</v>
      </c>
      <c r="AG1150" s="113"/>
      <c r="AH1150" s="113"/>
      <c r="AI1150" s="113"/>
      <c r="AJ1150" s="113"/>
      <c r="AK1150" s="113"/>
      <c r="AL1150" s="46">
        <v>0</v>
      </c>
      <c r="AM1150" s="113"/>
      <c r="AN1150" s="113"/>
      <c r="AO1150" s="113"/>
      <c r="AP1150" s="113"/>
      <c r="AQ1150" s="113"/>
      <c r="AR1150" s="46">
        <v>0</v>
      </c>
      <c r="AS1150" s="113"/>
      <c r="AT1150" s="113"/>
      <c r="AU1150" s="113"/>
      <c r="AV1150" s="113"/>
      <c r="AW1150" s="113"/>
      <c r="AX1150" s="46">
        <v>0</v>
      </c>
      <c r="AY1150" s="113"/>
      <c r="AZ1150" s="113"/>
      <c r="BA1150" s="113"/>
      <c r="BB1150" s="113"/>
      <c r="BC1150" s="113"/>
      <c r="BD1150" s="46">
        <v>0</v>
      </c>
      <c r="BE1150" s="113"/>
      <c r="BF1150" s="113"/>
      <c r="BG1150" s="113"/>
      <c r="BH1150" s="113"/>
      <c r="BI1150" s="113"/>
      <c r="BJ1150" s="46">
        <v>0</v>
      </c>
      <c r="BK1150" s="113"/>
      <c r="BL1150" s="113"/>
      <c r="BM1150" s="113"/>
      <c r="BN1150" s="113"/>
      <c r="BO1150" s="113"/>
      <c r="BP1150" s="121"/>
      <c r="BQ1150" s="121"/>
      <c r="GA1150" t="s">
        <v>18300</v>
      </c>
      <c r="GB1150" t="s">
        <v>22921</v>
      </c>
      <c r="GC1150" s="46">
        <v>0</v>
      </c>
      <c r="GD1150" s="113"/>
      <c r="GE1150" s="113"/>
      <c r="GF1150" s="113"/>
      <c r="GG1150" s="113"/>
      <c r="GH1150" s="113"/>
      <c r="GI1150" s="46">
        <v>0</v>
      </c>
      <c r="GJ1150" s="113"/>
      <c r="GK1150" s="113"/>
      <c r="GL1150" s="113"/>
      <c r="GM1150" s="113"/>
      <c r="GN1150" s="113"/>
      <c r="GO1150" s="46">
        <v>0</v>
      </c>
      <c r="GP1150" s="113"/>
      <c r="GQ1150" s="113"/>
      <c r="GR1150" s="113"/>
      <c r="GS1150" s="113"/>
      <c r="GT1150" s="113"/>
      <c r="GU1150" s="46">
        <v>0</v>
      </c>
      <c r="GV1150" s="113"/>
      <c r="GW1150" s="113"/>
      <c r="GX1150" s="113"/>
      <c r="GY1150" s="113"/>
      <c r="GZ1150" s="113"/>
      <c r="HA1150" s="46">
        <v>0</v>
      </c>
      <c r="HB1150" s="113"/>
      <c r="HC1150" s="113"/>
      <c r="HD1150" s="113"/>
      <c r="HE1150" s="113"/>
      <c r="HF1150" s="113"/>
      <c r="HG1150" s="46">
        <v>0</v>
      </c>
      <c r="HH1150" s="113"/>
      <c r="HI1150" s="113"/>
      <c r="HJ1150" s="113"/>
      <c r="HK1150" s="113"/>
      <c r="HL1150" s="113"/>
      <c r="HM1150" s="121"/>
      <c r="HN1150" s="121"/>
      <c r="LM1150" t="str">
        <v/>
      </c>
      <c r="LN1150" t="str">
        <v/>
      </c>
      <c r="LO1150" t="str">
        <v/>
      </c>
    </row>
    <row r="1151" spans="30:327">
      <c r="AD1151" t="s">
        <v>18300</v>
      </c>
      <c r="AE1151" t="s">
        <v>22922</v>
      </c>
      <c r="AF1151" s="46">
        <v>0</v>
      </c>
      <c r="AG1151" s="113"/>
      <c r="AH1151" s="113"/>
      <c r="AI1151" s="113"/>
      <c r="AJ1151" s="113"/>
      <c r="AK1151" s="113"/>
      <c r="AL1151" s="46">
        <v>0</v>
      </c>
      <c r="AM1151" s="113"/>
      <c r="AN1151" s="113"/>
      <c r="AO1151" s="113"/>
      <c r="AP1151" s="113"/>
      <c r="AQ1151" s="113"/>
      <c r="AR1151" s="46">
        <v>0</v>
      </c>
      <c r="AS1151" s="113"/>
      <c r="AT1151" s="113"/>
      <c r="AU1151" s="113"/>
      <c r="AV1151" s="113"/>
      <c r="AW1151" s="113"/>
      <c r="AX1151" s="46">
        <v>0</v>
      </c>
      <c r="AY1151" s="113"/>
      <c r="AZ1151" s="113"/>
      <c r="BA1151" s="113"/>
      <c r="BB1151" s="113"/>
      <c r="BC1151" s="113"/>
      <c r="BD1151" s="46">
        <v>0</v>
      </c>
      <c r="BE1151" s="113"/>
      <c r="BF1151" s="113"/>
      <c r="BG1151" s="113"/>
      <c r="BH1151" s="113"/>
      <c r="BI1151" s="113"/>
      <c r="BJ1151" s="46">
        <v>0</v>
      </c>
      <c r="BK1151" s="113"/>
      <c r="BL1151" s="113"/>
      <c r="BM1151" s="113"/>
      <c r="BN1151" s="113"/>
      <c r="BO1151" s="113"/>
      <c r="BP1151" s="121"/>
      <c r="BQ1151" s="121"/>
      <c r="GA1151" t="s">
        <v>18300</v>
      </c>
      <c r="GB1151" t="s">
        <v>22922</v>
      </c>
      <c r="GC1151" s="46">
        <v>0</v>
      </c>
      <c r="GD1151" s="113"/>
      <c r="GE1151" s="113"/>
      <c r="GF1151" s="113"/>
      <c r="GG1151" s="113"/>
      <c r="GH1151" s="113"/>
      <c r="GI1151" s="46">
        <v>0</v>
      </c>
      <c r="GJ1151" s="113"/>
      <c r="GK1151" s="113"/>
      <c r="GL1151" s="113"/>
      <c r="GM1151" s="113"/>
      <c r="GN1151" s="113"/>
      <c r="GO1151" s="46">
        <v>0</v>
      </c>
      <c r="GP1151" s="113"/>
      <c r="GQ1151" s="113"/>
      <c r="GR1151" s="113"/>
      <c r="GS1151" s="113"/>
      <c r="GT1151" s="113"/>
      <c r="GU1151" s="46">
        <v>0</v>
      </c>
      <c r="GV1151" s="113"/>
      <c r="GW1151" s="113"/>
      <c r="GX1151" s="113"/>
      <c r="GY1151" s="113"/>
      <c r="GZ1151" s="113"/>
      <c r="HA1151" s="46">
        <v>0</v>
      </c>
      <c r="HB1151" s="113"/>
      <c r="HC1151" s="113"/>
      <c r="HD1151" s="113"/>
      <c r="HE1151" s="113"/>
      <c r="HF1151" s="113"/>
      <c r="HG1151" s="46">
        <v>0</v>
      </c>
      <c r="HH1151" s="113"/>
      <c r="HI1151" s="113"/>
      <c r="HJ1151" s="113"/>
      <c r="HK1151" s="113"/>
      <c r="HL1151" s="113"/>
      <c r="HM1151" s="121"/>
      <c r="HN1151" s="121"/>
      <c r="LM1151" t="str">
        <v/>
      </c>
      <c r="LN1151" t="str">
        <v/>
      </c>
      <c r="LO1151" t="str">
        <v/>
      </c>
    </row>
    <row r="1152" spans="30:327">
      <c r="AD1152" t="s">
        <v>18300</v>
      </c>
      <c r="AE1152" t="s">
        <v>22923</v>
      </c>
      <c r="AF1152" s="46">
        <v>0</v>
      </c>
      <c r="AG1152" s="113"/>
      <c r="AH1152" s="113"/>
      <c r="AI1152" s="113"/>
      <c r="AJ1152" s="113"/>
      <c r="AK1152" s="113"/>
      <c r="AL1152" s="46">
        <v>0</v>
      </c>
      <c r="AM1152" s="113"/>
      <c r="AN1152" s="113"/>
      <c r="AO1152" s="113"/>
      <c r="AP1152" s="113"/>
      <c r="AQ1152" s="113"/>
      <c r="AR1152" s="46">
        <v>0</v>
      </c>
      <c r="AS1152" s="113"/>
      <c r="AT1152" s="113"/>
      <c r="AU1152" s="113"/>
      <c r="AV1152" s="113"/>
      <c r="AW1152" s="113"/>
      <c r="AX1152" s="46">
        <v>0</v>
      </c>
      <c r="AY1152" s="113"/>
      <c r="AZ1152" s="113"/>
      <c r="BA1152" s="113"/>
      <c r="BB1152" s="113"/>
      <c r="BC1152" s="113"/>
      <c r="BD1152" s="46">
        <v>0</v>
      </c>
      <c r="BE1152" s="113"/>
      <c r="BF1152" s="113"/>
      <c r="BG1152" s="113"/>
      <c r="BH1152" s="113"/>
      <c r="BI1152" s="113"/>
      <c r="BJ1152" s="46">
        <v>0</v>
      </c>
      <c r="BK1152" s="113"/>
      <c r="BL1152" s="113"/>
      <c r="BM1152" s="113"/>
      <c r="BN1152" s="113"/>
      <c r="BO1152" s="113"/>
      <c r="BP1152" s="121"/>
      <c r="BQ1152" s="121"/>
      <c r="GA1152" t="s">
        <v>18300</v>
      </c>
      <c r="GB1152" t="s">
        <v>22923</v>
      </c>
      <c r="GC1152" s="46">
        <v>0</v>
      </c>
      <c r="GD1152" s="113"/>
      <c r="GE1152" s="113"/>
      <c r="GF1152" s="113"/>
      <c r="GG1152" s="113"/>
      <c r="GH1152" s="113"/>
      <c r="GI1152" s="46">
        <v>0</v>
      </c>
      <c r="GJ1152" s="113"/>
      <c r="GK1152" s="113"/>
      <c r="GL1152" s="113"/>
      <c r="GM1152" s="113"/>
      <c r="GN1152" s="113"/>
      <c r="GO1152" s="46">
        <v>0</v>
      </c>
      <c r="GP1152" s="113"/>
      <c r="GQ1152" s="113"/>
      <c r="GR1152" s="113"/>
      <c r="GS1152" s="113"/>
      <c r="GT1152" s="113"/>
      <c r="GU1152" s="46">
        <v>0</v>
      </c>
      <c r="GV1152" s="113"/>
      <c r="GW1152" s="113"/>
      <c r="GX1152" s="113"/>
      <c r="GY1152" s="113"/>
      <c r="GZ1152" s="113"/>
      <c r="HA1152" s="46">
        <v>0</v>
      </c>
      <c r="HB1152" s="113"/>
      <c r="HC1152" s="113"/>
      <c r="HD1152" s="113"/>
      <c r="HE1152" s="113"/>
      <c r="HF1152" s="113"/>
      <c r="HG1152" s="46">
        <v>0</v>
      </c>
      <c r="HH1152" s="113"/>
      <c r="HI1152" s="113"/>
      <c r="HJ1152" s="113"/>
      <c r="HK1152" s="113"/>
      <c r="HL1152" s="113"/>
      <c r="HM1152" s="121"/>
      <c r="HN1152" s="121"/>
      <c r="LM1152" t="str">
        <v/>
      </c>
      <c r="LN1152" t="str">
        <v/>
      </c>
      <c r="LO1152" t="str">
        <v/>
      </c>
    </row>
    <row r="1153" spans="30:327">
      <c r="AD1153" t="s">
        <v>18300</v>
      </c>
      <c r="AE1153" t="s">
        <v>22924</v>
      </c>
      <c r="AF1153" s="46">
        <v>0</v>
      </c>
      <c r="AG1153" s="113"/>
      <c r="AH1153" s="113"/>
      <c r="AI1153" s="113"/>
      <c r="AJ1153" s="113"/>
      <c r="AK1153" s="113"/>
      <c r="AL1153" s="46">
        <v>0</v>
      </c>
      <c r="AM1153" s="113"/>
      <c r="AN1153" s="113"/>
      <c r="AO1153" s="113"/>
      <c r="AP1153" s="113"/>
      <c r="AQ1153" s="113"/>
      <c r="AR1153" s="46">
        <v>0</v>
      </c>
      <c r="AS1153" s="113"/>
      <c r="AT1153" s="113"/>
      <c r="AU1153" s="113"/>
      <c r="AV1153" s="113"/>
      <c r="AW1153" s="113"/>
      <c r="AX1153" s="46">
        <v>0</v>
      </c>
      <c r="AY1153" s="113"/>
      <c r="AZ1153" s="113"/>
      <c r="BA1153" s="113"/>
      <c r="BB1153" s="113"/>
      <c r="BC1153" s="113"/>
      <c r="BD1153" s="46">
        <v>0</v>
      </c>
      <c r="BE1153" s="113"/>
      <c r="BF1153" s="113"/>
      <c r="BG1153" s="113"/>
      <c r="BH1153" s="113"/>
      <c r="BI1153" s="113"/>
      <c r="BJ1153" s="46">
        <v>0</v>
      </c>
      <c r="BK1153" s="113"/>
      <c r="BL1153" s="113"/>
      <c r="BM1153" s="113"/>
      <c r="BN1153" s="113"/>
      <c r="BO1153" s="113"/>
      <c r="BP1153" s="121"/>
      <c r="BQ1153" s="121"/>
      <c r="GA1153" t="s">
        <v>18300</v>
      </c>
      <c r="GB1153" t="s">
        <v>22924</v>
      </c>
      <c r="GC1153" s="46">
        <v>0</v>
      </c>
      <c r="GD1153" s="113"/>
      <c r="GE1153" s="113"/>
      <c r="GF1153" s="113"/>
      <c r="GG1153" s="113"/>
      <c r="GH1153" s="113"/>
      <c r="GI1153" s="46">
        <v>0</v>
      </c>
      <c r="GJ1153" s="113"/>
      <c r="GK1153" s="113"/>
      <c r="GL1153" s="113"/>
      <c r="GM1153" s="113"/>
      <c r="GN1153" s="113"/>
      <c r="GO1153" s="46">
        <v>0</v>
      </c>
      <c r="GP1153" s="113"/>
      <c r="GQ1153" s="113"/>
      <c r="GR1153" s="113"/>
      <c r="GS1153" s="113"/>
      <c r="GT1153" s="113"/>
      <c r="GU1153" s="46">
        <v>0</v>
      </c>
      <c r="GV1153" s="113"/>
      <c r="GW1153" s="113"/>
      <c r="GX1153" s="113"/>
      <c r="GY1153" s="113"/>
      <c r="GZ1153" s="113"/>
      <c r="HA1153" s="46">
        <v>0</v>
      </c>
      <c r="HB1153" s="113"/>
      <c r="HC1153" s="113"/>
      <c r="HD1153" s="113"/>
      <c r="HE1153" s="113"/>
      <c r="HF1153" s="113"/>
      <c r="HG1153" s="46">
        <v>0</v>
      </c>
      <c r="HH1153" s="113"/>
      <c r="HI1153" s="113"/>
      <c r="HJ1153" s="113"/>
      <c r="HK1153" s="113"/>
      <c r="HL1153" s="113"/>
      <c r="HM1153" s="121"/>
      <c r="HN1153" s="121"/>
      <c r="LM1153" t="str">
        <v/>
      </c>
      <c r="LN1153" t="str">
        <v/>
      </c>
      <c r="LO1153" t="str">
        <v/>
      </c>
    </row>
    <row r="1154" spans="30:327">
      <c r="AD1154" t="s">
        <v>18300</v>
      </c>
      <c r="AE1154" t="s">
        <v>22925</v>
      </c>
      <c r="AF1154" s="46">
        <v>0</v>
      </c>
      <c r="AG1154" s="113"/>
      <c r="AH1154" s="113"/>
      <c r="AI1154" s="113"/>
      <c r="AJ1154" s="113"/>
      <c r="AK1154" s="113"/>
      <c r="AL1154" s="46">
        <v>0</v>
      </c>
      <c r="AM1154" s="113"/>
      <c r="AN1154" s="113"/>
      <c r="AO1154" s="113"/>
      <c r="AP1154" s="113"/>
      <c r="AQ1154" s="113"/>
      <c r="AR1154" s="46">
        <v>0</v>
      </c>
      <c r="AS1154" s="113"/>
      <c r="AT1154" s="113"/>
      <c r="AU1154" s="113"/>
      <c r="AV1154" s="113"/>
      <c r="AW1154" s="113"/>
      <c r="AX1154" s="46">
        <v>0</v>
      </c>
      <c r="AY1154" s="113"/>
      <c r="AZ1154" s="113"/>
      <c r="BA1154" s="113"/>
      <c r="BB1154" s="113"/>
      <c r="BC1154" s="113"/>
      <c r="BD1154" s="46">
        <v>0</v>
      </c>
      <c r="BE1154" s="113"/>
      <c r="BF1154" s="113"/>
      <c r="BG1154" s="113"/>
      <c r="BH1154" s="113"/>
      <c r="BI1154" s="113"/>
      <c r="BJ1154" s="46">
        <v>0</v>
      </c>
      <c r="BK1154" s="113"/>
      <c r="BL1154" s="113"/>
      <c r="BM1154" s="113"/>
      <c r="BN1154" s="113"/>
      <c r="BO1154" s="113"/>
      <c r="BP1154" s="121"/>
      <c r="BQ1154" s="121"/>
      <c r="GA1154" t="s">
        <v>18300</v>
      </c>
      <c r="GB1154" t="s">
        <v>22925</v>
      </c>
      <c r="GC1154" s="46">
        <v>0</v>
      </c>
      <c r="GD1154" s="113"/>
      <c r="GE1154" s="113"/>
      <c r="GF1154" s="113"/>
      <c r="GG1154" s="113"/>
      <c r="GH1154" s="113"/>
      <c r="GI1154" s="46">
        <v>0</v>
      </c>
      <c r="GJ1154" s="113"/>
      <c r="GK1154" s="113"/>
      <c r="GL1154" s="113"/>
      <c r="GM1154" s="113"/>
      <c r="GN1154" s="113"/>
      <c r="GO1154" s="46">
        <v>0</v>
      </c>
      <c r="GP1154" s="113"/>
      <c r="GQ1154" s="113"/>
      <c r="GR1154" s="113"/>
      <c r="GS1154" s="113"/>
      <c r="GT1154" s="113"/>
      <c r="GU1154" s="46">
        <v>0</v>
      </c>
      <c r="GV1154" s="113"/>
      <c r="GW1154" s="113"/>
      <c r="GX1154" s="113"/>
      <c r="GY1154" s="113"/>
      <c r="GZ1154" s="113"/>
      <c r="HA1154" s="46">
        <v>0</v>
      </c>
      <c r="HB1154" s="113"/>
      <c r="HC1154" s="113"/>
      <c r="HD1154" s="113"/>
      <c r="HE1154" s="113"/>
      <c r="HF1154" s="113"/>
      <c r="HG1154" s="46">
        <v>0</v>
      </c>
      <c r="HH1154" s="113"/>
      <c r="HI1154" s="113"/>
      <c r="HJ1154" s="113"/>
      <c r="HK1154" s="113"/>
      <c r="HL1154" s="113"/>
      <c r="HM1154" s="121"/>
      <c r="HN1154" s="121"/>
      <c r="LM1154" t="str">
        <v/>
      </c>
      <c r="LN1154" t="str">
        <v/>
      </c>
      <c r="LO1154" t="str">
        <v/>
      </c>
    </row>
    <row r="1155" spans="30:327">
      <c r="AD1155" t="s">
        <v>18300</v>
      </c>
      <c r="AE1155" t="s">
        <v>22926</v>
      </c>
      <c r="AF1155" s="46">
        <v>0</v>
      </c>
      <c r="AG1155" s="113"/>
      <c r="AH1155" s="113"/>
      <c r="AI1155" s="113"/>
      <c r="AJ1155" s="113"/>
      <c r="AK1155" s="113"/>
      <c r="AL1155" s="46">
        <v>0</v>
      </c>
      <c r="AM1155" s="113"/>
      <c r="AN1155" s="113"/>
      <c r="AO1155" s="113"/>
      <c r="AP1155" s="113"/>
      <c r="AQ1155" s="113"/>
      <c r="AR1155" s="46">
        <v>0</v>
      </c>
      <c r="AS1155" s="113"/>
      <c r="AT1155" s="113"/>
      <c r="AU1155" s="113"/>
      <c r="AV1155" s="113"/>
      <c r="AW1155" s="113"/>
      <c r="AX1155" s="46">
        <v>0</v>
      </c>
      <c r="AY1155" s="113"/>
      <c r="AZ1155" s="113"/>
      <c r="BA1155" s="113"/>
      <c r="BB1155" s="113"/>
      <c r="BC1155" s="113"/>
      <c r="BD1155" s="46">
        <v>0</v>
      </c>
      <c r="BE1155" s="113"/>
      <c r="BF1155" s="113"/>
      <c r="BG1155" s="113"/>
      <c r="BH1155" s="113"/>
      <c r="BI1155" s="113"/>
      <c r="BJ1155" s="46">
        <v>0</v>
      </c>
      <c r="BK1155" s="113"/>
      <c r="BL1155" s="113"/>
      <c r="BM1155" s="113"/>
      <c r="BN1155" s="113"/>
      <c r="BO1155" s="113"/>
      <c r="BP1155" s="121"/>
      <c r="BQ1155" s="121"/>
      <c r="GA1155" t="s">
        <v>18300</v>
      </c>
      <c r="GB1155" t="s">
        <v>22926</v>
      </c>
      <c r="GC1155" s="46">
        <v>0</v>
      </c>
      <c r="GD1155" s="113"/>
      <c r="GE1155" s="113"/>
      <c r="GF1155" s="113"/>
      <c r="GG1155" s="113"/>
      <c r="GH1155" s="113"/>
      <c r="GI1155" s="46">
        <v>0</v>
      </c>
      <c r="GJ1155" s="113"/>
      <c r="GK1155" s="113"/>
      <c r="GL1155" s="113"/>
      <c r="GM1155" s="113"/>
      <c r="GN1155" s="113"/>
      <c r="GO1155" s="46">
        <v>0</v>
      </c>
      <c r="GP1155" s="113"/>
      <c r="GQ1155" s="113"/>
      <c r="GR1155" s="113"/>
      <c r="GS1155" s="113"/>
      <c r="GT1155" s="113"/>
      <c r="GU1155" s="46">
        <v>0</v>
      </c>
      <c r="GV1155" s="113"/>
      <c r="GW1155" s="113"/>
      <c r="GX1155" s="113"/>
      <c r="GY1155" s="113"/>
      <c r="GZ1155" s="113"/>
      <c r="HA1155" s="46">
        <v>0</v>
      </c>
      <c r="HB1155" s="113"/>
      <c r="HC1155" s="113"/>
      <c r="HD1155" s="113"/>
      <c r="HE1155" s="113"/>
      <c r="HF1155" s="113"/>
      <c r="HG1155" s="46">
        <v>0</v>
      </c>
      <c r="HH1155" s="113"/>
      <c r="HI1155" s="113"/>
      <c r="HJ1155" s="113"/>
      <c r="HK1155" s="113"/>
      <c r="HL1155" s="113"/>
      <c r="HM1155" s="121"/>
      <c r="HN1155" s="121"/>
      <c r="LM1155" t="str">
        <v/>
      </c>
      <c r="LN1155" t="str">
        <v/>
      </c>
      <c r="LO1155" t="str">
        <v/>
      </c>
    </row>
    <row r="1156" spans="30:327">
      <c r="AD1156" t="s">
        <v>18300</v>
      </c>
      <c r="AE1156" t="s">
        <v>22927</v>
      </c>
      <c r="AF1156" s="46">
        <v>0</v>
      </c>
      <c r="AG1156" s="113"/>
      <c r="AH1156" s="113"/>
      <c r="AI1156" s="113"/>
      <c r="AJ1156" s="113"/>
      <c r="AK1156" s="113"/>
      <c r="AL1156" s="46">
        <v>0</v>
      </c>
      <c r="AM1156" s="113"/>
      <c r="AN1156" s="113"/>
      <c r="AO1156" s="113"/>
      <c r="AP1156" s="113"/>
      <c r="AQ1156" s="113"/>
      <c r="AR1156" s="46">
        <v>0</v>
      </c>
      <c r="AS1156" s="113"/>
      <c r="AT1156" s="113"/>
      <c r="AU1156" s="113"/>
      <c r="AV1156" s="113"/>
      <c r="AW1156" s="113"/>
      <c r="AX1156" s="46">
        <v>0</v>
      </c>
      <c r="AY1156" s="113"/>
      <c r="AZ1156" s="113"/>
      <c r="BA1156" s="113"/>
      <c r="BB1156" s="113"/>
      <c r="BC1156" s="113"/>
      <c r="BD1156" s="46">
        <v>0</v>
      </c>
      <c r="BE1156" s="113"/>
      <c r="BF1156" s="113"/>
      <c r="BG1156" s="113"/>
      <c r="BH1156" s="113"/>
      <c r="BI1156" s="113"/>
      <c r="BJ1156" s="46">
        <v>0</v>
      </c>
      <c r="BK1156" s="113"/>
      <c r="BL1156" s="113"/>
      <c r="BM1156" s="113"/>
      <c r="BN1156" s="113"/>
      <c r="BO1156" s="113"/>
      <c r="BP1156" s="121"/>
      <c r="BQ1156" s="121"/>
      <c r="GA1156" t="s">
        <v>18300</v>
      </c>
      <c r="GB1156" t="s">
        <v>22927</v>
      </c>
      <c r="GC1156" s="46">
        <v>0</v>
      </c>
      <c r="GD1156" s="113"/>
      <c r="GE1156" s="113"/>
      <c r="GF1156" s="113"/>
      <c r="GG1156" s="113"/>
      <c r="GH1156" s="113"/>
      <c r="GI1156" s="46">
        <v>0</v>
      </c>
      <c r="GJ1156" s="113"/>
      <c r="GK1156" s="113"/>
      <c r="GL1156" s="113"/>
      <c r="GM1156" s="113"/>
      <c r="GN1156" s="113"/>
      <c r="GO1156" s="46">
        <v>0</v>
      </c>
      <c r="GP1156" s="113"/>
      <c r="GQ1156" s="113"/>
      <c r="GR1156" s="113"/>
      <c r="GS1156" s="113"/>
      <c r="GT1156" s="113"/>
      <c r="GU1156" s="46">
        <v>0</v>
      </c>
      <c r="GV1156" s="113"/>
      <c r="GW1156" s="113"/>
      <c r="GX1156" s="113"/>
      <c r="GY1156" s="113"/>
      <c r="GZ1156" s="113"/>
      <c r="HA1156" s="46">
        <v>0</v>
      </c>
      <c r="HB1156" s="113"/>
      <c r="HC1156" s="113"/>
      <c r="HD1156" s="113"/>
      <c r="HE1156" s="113"/>
      <c r="HF1156" s="113"/>
      <c r="HG1156" s="46">
        <v>0</v>
      </c>
      <c r="HH1156" s="113"/>
      <c r="HI1156" s="113"/>
      <c r="HJ1156" s="113"/>
      <c r="HK1156" s="113"/>
      <c r="HL1156" s="113"/>
      <c r="HM1156" s="121"/>
      <c r="HN1156" s="121"/>
      <c r="LM1156" t="str">
        <v/>
      </c>
      <c r="LN1156" t="str">
        <v/>
      </c>
      <c r="LO1156" t="str">
        <v/>
      </c>
    </row>
    <row r="1157" spans="30:327">
      <c r="AD1157" t="s">
        <v>18300</v>
      </c>
      <c r="AE1157" t="s">
        <v>22928</v>
      </c>
      <c r="AF1157" s="46">
        <v>0</v>
      </c>
      <c r="AG1157" s="113"/>
      <c r="AH1157" s="113"/>
      <c r="AI1157" s="113"/>
      <c r="AJ1157" s="113"/>
      <c r="AK1157" s="113"/>
      <c r="AL1157" s="46">
        <v>0</v>
      </c>
      <c r="AM1157" s="113"/>
      <c r="AN1157" s="113"/>
      <c r="AO1157" s="113"/>
      <c r="AP1157" s="113"/>
      <c r="AQ1157" s="113"/>
      <c r="AR1157" s="46">
        <v>0</v>
      </c>
      <c r="AS1157" s="113"/>
      <c r="AT1157" s="113"/>
      <c r="AU1157" s="113"/>
      <c r="AV1157" s="113"/>
      <c r="AW1157" s="113"/>
      <c r="AX1157" s="46">
        <v>0</v>
      </c>
      <c r="AY1157" s="113"/>
      <c r="AZ1157" s="113"/>
      <c r="BA1157" s="113"/>
      <c r="BB1157" s="113"/>
      <c r="BC1157" s="113"/>
      <c r="BD1157" s="46">
        <v>0</v>
      </c>
      <c r="BE1157" s="113"/>
      <c r="BF1157" s="113"/>
      <c r="BG1157" s="113"/>
      <c r="BH1157" s="113"/>
      <c r="BI1157" s="113"/>
      <c r="BJ1157" s="46">
        <v>0</v>
      </c>
      <c r="BK1157" s="113"/>
      <c r="BL1157" s="113"/>
      <c r="BM1157" s="113"/>
      <c r="BN1157" s="113"/>
      <c r="BO1157" s="113"/>
      <c r="BP1157" s="121"/>
      <c r="BQ1157" s="121"/>
      <c r="GA1157" t="s">
        <v>18300</v>
      </c>
      <c r="GB1157" t="s">
        <v>22928</v>
      </c>
      <c r="GC1157" s="46">
        <v>0</v>
      </c>
      <c r="GD1157" s="113"/>
      <c r="GE1157" s="113"/>
      <c r="GF1157" s="113"/>
      <c r="GG1157" s="113"/>
      <c r="GH1157" s="113"/>
      <c r="GI1157" s="46">
        <v>0</v>
      </c>
      <c r="GJ1157" s="113"/>
      <c r="GK1157" s="113"/>
      <c r="GL1157" s="113"/>
      <c r="GM1157" s="113"/>
      <c r="GN1157" s="113"/>
      <c r="GO1157" s="46">
        <v>0</v>
      </c>
      <c r="GP1157" s="113"/>
      <c r="GQ1157" s="113"/>
      <c r="GR1157" s="113"/>
      <c r="GS1157" s="113"/>
      <c r="GT1157" s="113"/>
      <c r="GU1157" s="46">
        <v>0</v>
      </c>
      <c r="GV1157" s="113"/>
      <c r="GW1157" s="113"/>
      <c r="GX1157" s="113"/>
      <c r="GY1157" s="113"/>
      <c r="GZ1157" s="113"/>
      <c r="HA1157" s="46">
        <v>0</v>
      </c>
      <c r="HB1157" s="113"/>
      <c r="HC1157" s="113"/>
      <c r="HD1157" s="113"/>
      <c r="HE1157" s="113"/>
      <c r="HF1157" s="113"/>
      <c r="HG1157" s="46">
        <v>0</v>
      </c>
      <c r="HH1157" s="113"/>
      <c r="HI1157" s="113"/>
      <c r="HJ1157" s="113"/>
      <c r="HK1157" s="113"/>
      <c r="HL1157" s="113"/>
      <c r="HM1157" s="121"/>
      <c r="HN1157" s="121"/>
      <c r="LM1157" t="str">
        <v/>
      </c>
      <c r="LN1157" t="str">
        <v/>
      </c>
      <c r="LO1157" t="str">
        <v/>
      </c>
    </row>
    <row r="1158" spans="30:327">
      <c r="AD1158" t="s">
        <v>18300</v>
      </c>
      <c r="AE1158" t="s">
        <v>22929</v>
      </c>
      <c r="AF1158" s="46">
        <v>0</v>
      </c>
      <c r="AG1158" s="113"/>
      <c r="AH1158" s="113"/>
      <c r="AI1158" s="113"/>
      <c r="AJ1158" s="113"/>
      <c r="AK1158" s="113"/>
      <c r="AL1158" s="46">
        <v>0</v>
      </c>
      <c r="AM1158" s="113"/>
      <c r="AN1158" s="113"/>
      <c r="AO1158" s="113"/>
      <c r="AP1158" s="113"/>
      <c r="AQ1158" s="113"/>
      <c r="AR1158" s="46">
        <v>0</v>
      </c>
      <c r="AS1158" s="113"/>
      <c r="AT1158" s="113"/>
      <c r="AU1158" s="113"/>
      <c r="AV1158" s="113"/>
      <c r="AW1158" s="113"/>
      <c r="AX1158" s="46">
        <v>0</v>
      </c>
      <c r="AY1158" s="113"/>
      <c r="AZ1158" s="113"/>
      <c r="BA1158" s="113"/>
      <c r="BB1158" s="113"/>
      <c r="BC1158" s="113"/>
      <c r="BD1158" s="46">
        <v>0</v>
      </c>
      <c r="BE1158" s="113"/>
      <c r="BF1158" s="113"/>
      <c r="BG1158" s="113"/>
      <c r="BH1158" s="113"/>
      <c r="BI1158" s="113"/>
      <c r="BJ1158" s="46">
        <v>0</v>
      </c>
      <c r="BK1158" s="113"/>
      <c r="BL1158" s="113"/>
      <c r="BM1158" s="113"/>
      <c r="BN1158" s="113"/>
      <c r="BO1158" s="113"/>
      <c r="BP1158" s="121"/>
      <c r="BQ1158" s="121"/>
      <c r="GA1158" t="s">
        <v>18300</v>
      </c>
      <c r="GB1158" t="s">
        <v>22929</v>
      </c>
      <c r="GC1158" s="46">
        <v>0</v>
      </c>
      <c r="GD1158" s="113"/>
      <c r="GE1158" s="113"/>
      <c r="GF1158" s="113"/>
      <c r="GG1158" s="113"/>
      <c r="GH1158" s="113"/>
      <c r="GI1158" s="46">
        <v>0</v>
      </c>
      <c r="GJ1158" s="113"/>
      <c r="GK1158" s="113"/>
      <c r="GL1158" s="113"/>
      <c r="GM1158" s="113"/>
      <c r="GN1158" s="113"/>
      <c r="GO1158" s="46">
        <v>0</v>
      </c>
      <c r="GP1158" s="113"/>
      <c r="GQ1158" s="113"/>
      <c r="GR1158" s="113"/>
      <c r="GS1158" s="113"/>
      <c r="GT1158" s="113"/>
      <c r="GU1158" s="46">
        <v>0</v>
      </c>
      <c r="GV1158" s="113"/>
      <c r="GW1158" s="113"/>
      <c r="GX1158" s="113"/>
      <c r="GY1158" s="113"/>
      <c r="GZ1158" s="113"/>
      <c r="HA1158" s="46">
        <v>0</v>
      </c>
      <c r="HB1158" s="113"/>
      <c r="HC1158" s="113"/>
      <c r="HD1158" s="113"/>
      <c r="HE1158" s="113"/>
      <c r="HF1158" s="113"/>
      <c r="HG1158" s="46">
        <v>0</v>
      </c>
      <c r="HH1158" s="113"/>
      <c r="HI1158" s="113"/>
      <c r="HJ1158" s="113"/>
      <c r="HK1158" s="113"/>
      <c r="HL1158" s="113"/>
      <c r="HM1158" s="121"/>
      <c r="HN1158" s="121"/>
      <c r="LM1158" t="str">
        <v/>
      </c>
      <c r="LN1158" t="str">
        <v/>
      </c>
      <c r="LO1158" t="str">
        <v/>
      </c>
    </row>
    <row r="1159" spans="30:327">
      <c r="AD1159" t="s">
        <v>18300</v>
      </c>
      <c r="AE1159" t="s">
        <v>22930</v>
      </c>
      <c r="AF1159" s="46">
        <v>0</v>
      </c>
      <c r="AG1159" s="113"/>
      <c r="AH1159" s="113"/>
      <c r="AI1159" s="113"/>
      <c r="AJ1159" s="113"/>
      <c r="AK1159" s="113"/>
      <c r="AL1159" s="46">
        <v>0</v>
      </c>
      <c r="AM1159" s="113"/>
      <c r="AN1159" s="113"/>
      <c r="AO1159" s="113"/>
      <c r="AP1159" s="113"/>
      <c r="AQ1159" s="113"/>
      <c r="AR1159" s="46">
        <v>0</v>
      </c>
      <c r="AS1159" s="113"/>
      <c r="AT1159" s="113"/>
      <c r="AU1159" s="113"/>
      <c r="AV1159" s="113"/>
      <c r="AW1159" s="113"/>
      <c r="AX1159" s="46">
        <v>0</v>
      </c>
      <c r="AY1159" s="113"/>
      <c r="AZ1159" s="113"/>
      <c r="BA1159" s="113"/>
      <c r="BB1159" s="113"/>
      <c r="BC1159" s="113"/>
      <c r="BD1159" s="46">
        <v>0</v>
      </c>
      <c r="BE1159" s="113"/>
      <c r="BF1159" s="113"/>
      <c r="BG1159" s="113"/>
      <c r="BH1159" s="113"/>
      <c r="BI1159" s="113"/>
      <c r="BJ1159" s="46">
        <v>0</v>
      </c>
      <c r="BK1159" s="113"/>
      <c r="BL1159" s="113"/>
      <c r="BM1159" s="113"/>
      <c r="BN1159" s="113"/>
      <c r="BO1159" s="113"/>
      <c r="BP1159" s="121"/>
      <c r="BQ1159" s="121"/>
      <c r="GA1159" t="s">
        <v>18300</v>
      </c>
      <c r="GB1159" t="s">
        <v>22930</v>
      </c>
      <c r="GC1159" s="46">
        <v>0</v>
      </c>
      <c r="GD1159" s="113"/>
      <c r="GE1159" s="113"/>
      <c r="GF1159" s="113"/>
      <c r="GG1159" s="113"/>
      <c r="GH1159" s="113"/>
      <c r="GI1159" s="46">
        <v>0</v>
      </c>
      <c r="GJ1159" s="113"/>
      <c r="GK1159" s="113"/>
      <c r="GL1159" s="113"/>
      <c r="GM1159" s="113"/>
      <c r="GN1159" s="113"/>
      <c r="GO1159" s="46">
        <v>0</v>
      </c>
      <c r="GP1159" s="113"/>
      <c r="GQ1159" s="113"/>
      <c r="GR1159" s="113"/>
      <c r="GS1159" s="113"/>
      <c r="GT1159" s="113"/>
      <c r="GU1159" s="46">
        <v>0</v>
      </c>
      <c r="GV1159" s="113"/>
      <c r="GW1159" s="113"/>
      <c r="GX1159" s="113"/>
      <c r="GY1159" s="113"/>
      <c r="GZ1159" s="113"/>
      <c r="HA1159" s="46">
        <v>0</v>
      </c>
      <c r="HB1159" s="113"/>
      <c r="HC1159" s="113"/>
      <c r="HD1159" s="113"/>
      <c r="HE1159" s="113"/>
      <c r="HF1159" s="113"/>
      <c r="HG1159" s="46">
        <v>0</v>
      </c>
      <c r="HH1159" s="113"/>
      <c r="HI1159" s="113"/>
      <c r="HJ1159" s="113"/>
      <c r="HK1159" s="113"/>
      <c r="HL1159" s="113"/>
      <c r="HM1159" s="121"/>
      <c r="HN1159" s="121"/>
      <c r="LM1159" t="str">
        <v/>
      </c>
      <c r="LN1159" t="str">
        <v/>
      </c>
      <c r="LO1159" t="str">
        <v/>
      </c>
    </row>
    <row r="1160" spans="30:327">
      <c r="AD1160" t="s">
        <v>18300</v>
      </c>
      <c r="AE1160" t="s">
        <v>22931</v>
      </c>
      <c r="AF1160" s="46">
        <v>0</v>
      </c>
      <c r="AG1160" s="113"/>
      <c r="AH1160" s="113"/>
      <c r="AI1160" s="113"/>
      <c r="AJ1160" s="113"/>
      <c r="AK1160" s="113"/>
      <c r="AL1160" s="46">
        <v>0</v>
      </c>
      <c r="AM1160" s="113"/>
      <c r="AN1160" s="113"/>
      <c r="AO1160" s="113"/>
      <c r="AP1160" s="113"/>
      <c r="AQ1160" s="113"/>
      <c r="AR1160" s="46">
        <v>0</v>
      </c>
      <c r="AS1160" s="113"/>
      <c r="AT1160" s="113"/>
      <c r="AU1160" s="113"/>
      <c r="AV1160" s="113"/>
      <c r="AW1160" s="113"/>
      <c r="AX1160" s="46">
        <v>0</v>
      </c>
      <c r="AY1160" s="113"/>
      <c r="AZ1160" s="113"/>
      <c r="BA1160" s="113"/>
      <c r="BB1160" s="113"/>
      <c r="BC1160" s="113"/>
      <c r="BD1160" s="46">
        <v>0</v>
      </c>
      <c r="BE1160" s="113"/>
      <c r="BF1160" s="113"/>
      <c r="BG1160" s="113"/>
      <c r="BH1160" s="113"/>
      <c r="BI1160" s="113"/>
      <c r="BJ1160" s="46">
        <v>0</v>
      </c>
      <c r="BK1160" s="113"/>
      <c r="BL1160" s="113"/>
      <c r="BM1160" s="113"/>
      <c r="BN1160" s="113"/>
      <c r="BO1160" s="113"/>
      <c r="BP1160" s="121"/>
      <c r="BQ1160" s="121"/>
      <c r="GA1160" t="s">
        <v>18300</v>
      </c>
      <c r="GB1160" t="s">
        <v>22931</v>
      </c>
      <c r="GC1160" s="46">
        <v>0</v>
      </c>
      <c r="GD1160" s="113"/>
      <c r="GE1160" s="113"/>
      <c r="GF1160" s="113"/>
      <c r="GG1160" s="113"/>
      <c r="GH1160" s="113"/>
      <c r="GI1160" s="46">
        <v>0</v>
      </c>
      <c r="GJ1160" s="113"/>
      <c r="GK1160" s="113"/>
      <c r="GL1160" s="113"/>
      <c r="GM1160" s="113"/>
      <c r="GN1160" s="113"/>
      <c r="GO1160" s="46">
        <v>0</v>
      </c>
      <c r="GP1160" s="113"/>
      <c r="GQ1160" s="113"/>
      <c r="GR1160" s="113"/>
      <c r="GS1160" s="113"/>
      <c r="GT1160" s="113"/>
      <c r="GU1160" s="46">
        <v>0</v>
      </c>
      <c r="GV1160" s="113"/>
      <c r="GW1160" s="113"/>
      <c r="GX1160" s="113"/>
      <c r="GY1160" s="113"/>
      <c r="GZ1160" s="113"/>
      <c r="HA1160" s="46">
        <v>0</v>
      </c>
      <c r="HB1160" s="113"/>
      <c r="HC1160" s="113"/>
      <c r="HD1160" s="113"/>
      <c r="HE1160" s="113"/>
      <c r="HF1160" s="113"/>
      <c r="HG1160" s="46">
        <v>0</v>
      </c>
      <c r="HH1160" s="113"/>
      <c r="HI1160" s="113"/>
      <c r="HJ1160" s="113"/>
      <c r="HK1160" s="113"/>
      <c r="HL1160" s="113"/>
      <c r="HM1160" s="121"/>
      <c r="HN1160" s="121"/>
      <c r="LM1160" t="str">
        <v/>
      </c>
      <c r="LN1160" t="str">
        <v/>
      </c>
      <c r="LO1160" t="str">
        <v/>
      </c>
    </row>
    <row r="1161" spans="30:327">
      <c r="AD1161" t="s">
        <v>18300</v>
      </c>
      <c r="AE1161" t="s">
        <v>22932</v>
      </c>
      <c r="AF1161" s="46">
        <v>0</v>
      </c>
      <c r="AG1161" s="113"/>
      <c r="AH1161" s="113"/>
      <c r="AI1161" s="113"/>
      <c r="AJ1161" s="113"/>
      <c r="AK1161" s="113"/>
      <c r="AL1161" s="46">
        <v>0</v>
      </c>
      <c r="AM1161" s="113"/>
      <c r="AN1161" s="113"/>
      <c r="AO1161" s="113"/>
      <c r="AP1161" s="113"/>
      <c r="AQ1161" s="113"/>
      <c r="AR1161" s="46">
        <v>0</v>
      </c>
      <c r="AS1161" s="113"/>
      <c r="AT1161" s="113"/>
      <c r="AU1161" s="113"/>
      <c r="AV1161" s="113"/>
      <c r="AW1161" s="113"/>
      <c r="AX1161" s="46">
        <v>0</v>
      </c>
      <c r="AY1161" s="113"/>
      <c r="AZ1161" s="113"/>
      <c r="BA1161" s="113"/>
      <c r="BB1161" s="113"/>
      <c r="BC1161" s="113"/>
      <c r="BD1161" s="46">
        <v>0</v>
      </c>
      <c r="BE1161" s="113"/>
      <c r="BF1161" s="113"/>
      <c r="BG1161" s="113"/>
      <c r="BH1161" s="113"/>
      <c r="BI1161" s="113"/>
      <c r="BJ1161" s="46">
        <v>0</v>
      </c>
      <c r="BK1161" s="113"/>
      <c r="BL1161" s="113"/>
      <c r="BM1161" s="113"/>
      <c r="BN1161" s="113"/>
      <c r="BO1161" s="113"/>
      <c r="BP1161" s="121"/>
      <c r="BQ1161" s="121"/>
      <c r="GA1161" t="s">
        <v>18300</v>
      </c>
      <c r="GB1161" t="s">
        <v>22932</v>
      </c>
      <c r="GC1161" s="46">
        <v>0</v>
      </c>
      <c r="GD1161" s="113"/>
      <c r="GE1161" s="113"/>
      <c r="GF1161" s="113"/>
      <c r="GG1161" s="113"/>
      <c r="GH1161" s="113"/>
      <c r="GI1161" s="46">
        <v>0</v>
      </c>
      <c r="GJ1161" s="113"/>
      <c r="GK1161" s="113"/>
      <c r="GL1161" s="113"/>
      <c r="GM1161" s="113"/>
      <c r="GN1161" s="113"/>
      <c r="GO1161" s="46">
        <v>0</v>
      </c>
      <c r="GP1161" s="113"/>
      <c r="GQ1161" s="113"/>
      <c r="GR1161" s="113"/>
      <c r="GS1161" s="113"/>
      <c r="GT1161" s="113"/>
      <c r="GU1161" s="46">
        <v>0</v>
      </c>
      <c r="GV1161" s="113"/>
      <c r="GW1161" s="113"/>
      <c r="GX1161" s="113"/>
      <c r="GY1161" s="113"/>
      <c r="GZ1161" s="113"/>
      <c r="HA1161" s="46">
        <v>0</v>
      </c>
      <c r="HB1161" s="113"/>
      <c r="HC1161" s="113"/>
      <c r="HD1161" s="113"/>
      <c r="HE1161" s="113"/>
      <c r="HF1161" s="113"/>
      <c r="HG1161" s="46">
        <v>0</v>
      </c>
      <c r="HH1161" s="113"/>
      <c r="HI1161" s="113"/>
      <c r="HJ1161" s="113"/>
      <c r="HK1161" s="113"/>
      <c r="HL1161" s="113"/>
      <c r="HM1161" s="121"/>
      <c r="HN1161" s="121"/>
      <c r="LM1161" t="str">
        <v/>
      </c>
      <c r="LN1161" t="str">
        <v/>
      </c>
      <c r="LO1161" t="str">
        <v/>
      </c>
    </row>
    <row r="1162" spans="30:327">
      <c r="AD1162" t="s">
        <v>18300</v>
      </c>
      <c r="AE1162" t="s">
        <v>22933</v>
      </c>
      <c r="AF1162" s="46">
        <v>0</v>
      </c>
      <c r="AG1162" s="113"/>
      <c r="AH1162" s="113"/>
      <c r="AI1162" s="113"/>
      <c r="AJ1162" s="113"/>
      <c r="AK1162" s="113"/>
      <c r="AL1162" s="46">
        <v>0</v>
      </c>
      <c r="AM1162" s="113"/>
      <c r="AN1162" s="113"/>
      <c r="AO1162" s="113"/>
      <c r="AP1162" s="113"/>
      <c r="AQ1162" s="113"/>
      <c r="AR1162" s="46">
        <v>0</v>
      </c>
      <c r="AS1162" s="113"/>
      <c r="AT1162" s="113"/>
      <c r="AU1162" s="113"/>
      <c r="AV1162" s="113"/>
      <c r="AW1162" s="113"/>
      <c r="AX1162" s="46">
        <v>0</v>
      </c>
      <c r="AY1162" s="113"/>
      <c r="AZ1162" s="113"/>
      <c r="BA1162" s="113"/>
      <c r="BB1162" s="113"/>
      <c r="BC1162" s="113"/>
      <c r="BD1162" s="46">
        <v>0</v>
      </c>
      <c r="BE1162" s="113"/>
      <c r="BF1162" s="113"/>
      <c r="BG1162" s="113"/>
      <c r="BH1162" s="113"/>
      <c r="BI1162" s="113"/>
      <c r="BJ1162" s="46">
        <v>0</v>
      </c>
      <c r="BK1162" s="113"/>
      <c r="BL1162" s="113"/>
      <c r="BM1162" s="113"/>
      <c r="BN1162" s="113"/>
      <c r="BO1162" s="113"/>
      <c r="BP1162" s="121"/>
      <c r="BQ1162" s="121"/>
      <c r="GA1162" t="s">
        <v>18300</v>
      </c>
      <c r="GB1162" t="s">
        <v>22933</v>
      </c>
      <c r="GC1162" s="46">
        <v>0</v>
      </c>
      <c r="GD1162" s="113"/>
      <c r="GE1162" s="113"/>
      <c r="GF1162" s="113"/>
      <c r="GG1162" s="113"/>
      <c r="GH1162" s="113"/>
      <c r="GI1162" s="46">
        <v>0</v>
      </c>
      <c r="GJ1162" s="113"/>
      <c r="GK1162" s="113"/>
      <c r="GL1162" s="113"/>
      <c r="GM1162" s="113"/>
      <c r="GN1162" s="113"/>
      <c r="GO1162" s="46">
        <v>0</v>
      </c>
      <c r="GP1162" s="113"/>
      <c r="GQ1162" s="113"/>
      <c r="GR1162" s="113"/>
      <c r="GS1162" s="113"/>
      <c r="GT1162" s="113"/>
      <c r="GU1162" s="46">
        <v>0</v>
      </c>
      <c r="GV1162" s="113"/>
      <c r="GW1162" s="113"/>
      <c r="GX1162" s="113"/>
      <c r="GY1162" s="113"/>
      <c r="GZ1162" s="113"/>
      <c r="HA1162" s="46">
        <v>0</v>
      </c>
      <c r="HB1162" s="113"/>
      <c r="HC1162" s="113"/>
      <c r="HD1162" s="113"/>
      <c r="HE1162" s="113"/>
      <c r="HF1162" s="113"/>
      <c r="HG1162" s="46">
        <v>0</v>
      </c>
      <c r="HH1162" s="113"/>
      <c r="HI1162" s="113"/>
      <c r="HJ1162" s="113"/>
      <c r="HK1162" s="113"/>
      <c r="HL1162" s="113"/>
      <c r="HM1162" s="121"/>
      <c r="HN1162" s="121"/>
      <c r="LM1162" t="str">
        <v/>
      </c>
      <c r="LN1162" t="str">
        <v/>
      </c>
      <c r="LO1162" t="str">
        <v/>
      </c>
    </row>
    <row r="1163" spans="30:327">
      <c r="AD1163" t="s">
        <v>18300</v>
      </c>
      <c r="AE1163" t="s">
        <v>22934</v>
      </c>
      <c r="AF1163" s="46">
        <v>0</v>
      </c>
      <c r="AG1163" s="113"/>
      <c r="AH1163" s="113"/>
      <c r="AI1163" s="113"/>
      <c r="AJ1163" s="113"/>
      <c r="AK1163" s="113"/>
      <c r="AL1163" s="46">
        <v>0</v>
      </c>
      <c r="AM1163" s="113"/>
      <c r="AN1163" s="113"/>
      <c r="AO1163" s="113"/>
      <c r="AP1163" s="113"/>
      <c r="AQ1163" s="113"/>
      <c r="AR1163" s="46">
        <v>0</v>
      </c>
      <c r="AS1163" s="113"/>
      <c r="AT1163" s="113"/>
      <c r="AU1163" s="113"/>
      <c r="AV1163" s="113"/>
      <c r="AW1163" s="113"/>
      <c r="AX1163" s="46">
        <v>0</v>
      </c>
      <c r="AY1163" s="113"/>
      <c r="AZ1163" s="113"/>
      <c r="BA1163" s="113"/>
      <c r="BB1163" s="113"/>
      <c r="BC1163" s="113"/>
      <c r="BD1163" s="46">
        <v>0</v>
      </c>
      <c r="BE1163" s="113"/>
      <c r="BF1163" s="113"/>
      <c r="BG1163" s="113"/>
      <c r="BH1163" s="113"/>
      <c r="BI1163" s="113"/>
      <c r="BJ1163" s="46">
        <v>0</v>
      </c>
      <c r="BK1163" s="113"/>
      <c r="BL1163" s="113"/>
      <c r="BM1163" s="113"/>
      <c r="BN1163" s="113"/>
      <c r="BO1163" s="113"/>
      <c r="BP1163" s="121"/>
      <c r="BQ1163" s="121"/>
      <c r="GA1163" t="s">
        <v>18300</v>
      </c>
      <c r="GB1163" t="s">
        <v>22934</v>
      </c>
      <c r="GC1163" s="46">
        <v>0</v>
      </c>
      <c r="GD1163" s="113"/>
      <c r="GE1163" s="113"/>
      <c r="GF1163" s="113"/>
      <c r="GG1163" s="113"/>
      <c r="GH1163" s="113"/>
      <c r="GI1163" s="46">
        <v>0</v>
      </c>
      <c r="GJ1163" s="113"/>
      <c r="GK1163" s="113"/>
      <c r="GL1163" s="113"/>
      <c r="GM1163" s="113"/>
      <c r="GN1163" s="113"/>
      <c r="GO1163" s="46">
        <v>0</v>
      </c>
      <c r="GP1163" s="113"/>
      <c r="GQ1163" s="113"/>
      <c r="GR1163" s="113"/>
      <c r="GS1163" s="113"/>
      <c r="GT1163" s="113"/>
      <c r="GU1163" s="46">
        <v>0</v>
      </c>
      <c r="GV1163" s="113"/>
      <c r="GW1163" s="113"/>
      <c r="GX1163" s="113"/>
      <c r="GY1163" s="113"/>
      <c r="GZ1163" s="113"/>
      <c r="HA1163" s="46">
        <v>0</v>
      </c>
      <c r="HB1163" s="113"/>
      <c r="HC1163" s="113"/>
      <c r="HD1163" s="113"/>
      <c r="HE1163" s="113"/>
      <c r="HF1163" s="113"/>
      <c r="HG1163" s="46">
        <v>0</v>
      </c>
      <c r="HH1163" s="113"/>
      <c r="HI1163" s="113"/>
      <c r="HJ1163" s="113"/>
      <c r="HK1163" s="113"/>
      <c r="HL1163" s="113"/>
      <c r="HM1163" s="121"/>
      <c r="HN1163" s="121"/>
      <c r="LM1163" t="str">
        <v/>
      </c>
      <c r="LN1163" t="str">
        <v/>
      </c>
      <c r="LO1163" t="str">
        <v/>
      </c>
    </row>
    <row r="1164" spans="30:327">
      <c r="AD1164" t="s">
        <v>18300</v>
      </c>
      <c r="AE1164" t="s">
        <v>22935</v>
      </c>
      <c r="AF1164" s="46">
        <v>0</v>
      </c>
      <c r="AG1164" s="113"/>
      <c r="AH1164" s="113"/>
      <c r="AI1164" s="113"/>
      <c r="AJ1164" s="113"/>
      <c r="AK1164" s="113"/>
      <c r="AL1164" s="46">
        <v>0</v>
      </c>
      <c r="AM1164" s="113"/>
      <c r="AN1164" s="113"/>
      <c r="AO1164" s="113"/>
      <c r="AP1164" s="113"/>
      <c r="AQ1164" s="113"/>
      <c r="AR1164" s="46">
        <v>0</v>
      </c>
      <c r="AS1164" s="113"/>
      <c r="AT1164" s="113"/>
      <c r="AU1164" s="113"/>
      <c r="AV1164" s="113"/>
      <c r="AW1164" s="113"/>
      <c r="AX1164" s="46">
        <v>0</v>
      </c>
      <c r="AY1164" s="113"/>
      <c r="AZ1164" s="113"/>
      <c r="BA1164" s="113"/>
      <c r="BB1164" s="113"/>
      <c r="BC1164" s="113"/>
      <c r="BD1164" s="46">
        <v>0</v>
      </c>
      <c r="BE1164" s="113"/>
      <c r="BF1164" s="113"/>
      <c r="BG1164" s="113"/>
      <c r="BH1164" s="113"/>
      <c r="BI1164" s="113"/>
      <c r="BJ1164" s="46">
        <v>0</v>
      </c>
      <c r="BK1164" s="113"/>
      <c r="BL1164" s="113"/>
      <c r="BM1164" s="113"/>
      <c r="BN1164" s="113"/>
      <c r="BO1164" s="113"/>
      <c r="BP1164" s="121"/>
      <c r="BQ1164" s="121"/>
      <c r="GA1164" t="s">
        <v>18300</v>
      </c>
      <c r="GB1164" t="s">
        <v>22935</v>
      </c>
      <c r="GC1164" s="46">
        <v>0</v>
      </c>
      <c r="GD1164" s="113"/>
      <c r="GE1164" s="113"/>
      <c r="GF1164" s="113"/>
      <c r="GG1164" s="113"/>
      <c r="GH1164" s="113"/>
      <c r="GI1164" s="46">
        <v>0</v>
      </c>
      <c r="GJ1164" s="113"/>
      <c r="GK1164" s="113"/>
      <c r="GL1164" s="113"/>
      <c r="GM1164" s="113"/>
      <c r="GN1164" s="113"/>
      <c r="GO1164" s="46">
        <v>0</v>
      </c>
      <c r="GP1164" s="113"/>
      <c r="GQ1164" s="113"/>
      <c r="GR1164" s="113"/>
      <c r="GS1164" s="113"/>
      <c r="GT1164" s="113"/>
      <c r="GU1164" s="46">
        <v>0</v>
      </c>
      <c r="GV1164" s="113"/>
      <c r="GW1164" s="113"/>
      <c r="GX1164" s="113"/>
      <c r="GY1164" s="113"/>
      <c r="GZ1164" s="113"/>
      <c r="HA1164" s="46">
        <v>0</v>
      </c>
      <c r="HB1164" s="113"/>
      <c r="HC1164" s="113"/>
      <c r="HD1164" s="113"/>
      <c r="HE1164" s="113"/>
      <c r="HF1164" s="113"/>
      <c r="HG1164" s="46">
        <v>0</v>
      </c>
      <c r="HH1164" s="113"/>
      <c r="HI1164" s="113"/>
      <c r="HJ1164" s="113"/>
      <c r="HK1164" s="113"/>
      <c r="HL1164" s="113"/>
      <c r="HM1164" s="121"/>
      <c r="HN1164" s="121"/>
      <c r="LM1164" t="str">
        <v/>
      </c>
      <c r="LN1164" t="str">
        <v/>
      </c>
      <c r="LO1164" t="str">
        <v/>
      </c>
    </row>
    <row r="1165" spans="30:327">
      <c r="AD1165" t="s">
        <v>18300</v>
      </c>
      <c r="AE1165" t="s">
        <v>22936</v>
      </c>
      <c r="AF1165" s="46">
        <v>0</v>
      </c>
      <c r="AG1165" s="113"/>
      <c r="AH1165" s="113"/>
      <c r="AI1165" s="113"/>
      <c r="AJ1165" s="113"/>
      <c r="AK1165" s="113"/>
      <c r="AL1165" s="46">
        <v>0</v>
      </c>
      <c r="AM1165" s="113"/>
      <c r="AN1165" s="113"/>
      <c r="AO1165" s="113"/>
      <c r="AP1165" s="113"/>
      <c r="AQ1165" s="113"/>
      <c r="AR1165" s="46">
        <v>0</v>
      </c>
      <c r="AS1165" s="113"/>
      <c r="AT1165" s="113"/>
      <c r="AU1165" s="113"/>
      <c r="AV1165" s="113"/>
      <c r="AW1165" s="113"/>
      <c r="AX1165" s="46">
        <v>0</v>
      </c>
      <c r="AY1165" s="113"/>
      <c r="AZ1165" s="113"/>
      <c r="BA1165" s="113"/>
      <c r="BB1165" s="113"/>
      <c r="BC1165" s="113"/>
      <c r="BD1165" s="46">
        <v>0</v>
      </c>
      <c r="BE1165" s="113"/>
      <c r="BF1165" s="113"/>
      <c r="BG1165" s="113"/>
      <c r="BH1165" s="113"/>
      <c r="BI1165" s="113"/>
      <c r="BJ1165" s="46">
        <v>0</v>
      </c>
      <c r="BK1165" s="113"/>
      <c r="BL1165" s="113"/>
      <c r="BM1165" s="113"/>
      <c r="BN1165" s="113"/>
      <c r="BO1165" s="113"/>
      <c r="BP1165" s="121"/>
      <c r="BQ1165" s="121"/>
      <c r="GA1165" t="s">
        <v>18300</v>
      </c>
      <c r="GB1165" t="s">
        <v>22936</v>
      </c>
      <c r="GC1165" s="46">
        <v>0</v>
      </c>
      <c r="GD1165" s="113"/>
      <c r="GE1165" s="113"/>
      <c r="GF1165" s="113"/>
      <c r="GG1165" s="113"/>
      <c r="GH1165" s="113"/>
      <c r="GI1165" s="46">
        <v>0</v>
      </c>
      <c r="GJ1165" s="113"/>
      <c r="GK1165" s="113"/>
      <c r="GL1165" s="113"/>
      <c r="GM1165" s="113"/>
      <c r="GN1165" s="113"/>
      <c r="GO1165" s="46">
        <v>0</v>
      </c>
      <c r="GP1165" s="113"/>
      <c r="GQ1165" s="113"/>
      <c r="GR1165" s="113"/>
      <c r="GS1165" s="113"/>
      <c r="GT1165" s="113"/>
      <c r="GU1165" s="46">
        <v>0</v>
      </c>
      <c r="GV1165" s="113"/>
      <c r="GW1165" s="113"/>
      <c r="GX1165" s="113"/>
      <c r="GY1165" s="113"/>
      <c r="GZ1165" s="113"/>
      <c r="HA1165" s="46">
        <v>0</v>
      </c>
      <c r="HB1165" s="113"/>
      <c r="HC1165" s="113"/>
      <c r="HD1165" s="113"/>
      <c r="HE1165" s="113"/>
      <c r="HF1165" s="113"/>
      <c r="HG1165" s="46">
        <v>0</v>
      </c>
      <c r="HH1165" s="113"/>
      <c r="HI1165" s="113"/>
      <c r="HJ1165" s="113"/>
      <c r="HK1165" s="113"/>
      <c r="HL1165" s="113"/>
      <c r="HM1165" s="121"/>
      <c r="HN1165" s="121"/>
      <c r="LM1165" t="str">
        <v/>
      </c>
      <c r="LN1165" t="str">
        <v/>
      </c>
      <c r="LO1165" t="str">
        <v/>
      </c>
    </row>
    <row r="1166" spans="30:327">
      <c r="AD1166" t="s">
        <v>18300</v>
      </c>
      <c r="AE1166" t="s">
        <v>22937</v>
      </c>
      <c r="AF1166" s="46">
        <v>0</v>
      </c>
      <c r="AG1166" s="113"/>
      <c r="AH1166" s="113"/>
      <c r="AI1166" s="113"/>
      <c r="AJ1166" s="113"/>
      <c r="AK1166" s="113"/>
      <c r="AL1166" s="46">
        <v>0</v>
      </c>
      <c r="AM1166" s="113"/>
      <c r="AN1166" s="113"/>
      <c r="AO1166" s="113"/>
      <c r="AP1166" s="113"/>
      <c r="AQ1166" s="113"/>
      <c r="AR1166" s="46">
        <v>0</v>
      </c>
      <c r="AS1166" s="113"/>
      <c r="AT1166" s="113"/>
      <c r="AU1166" s="113"/>
      <c r="AV1166" s="113"/>
      <c r="AW1166" s="113"/>
      <c r="AX1166" s="46">
        <v>0</v>
      </c>
      <c r="AY1166" s="113"/>
      <c r="AZ1166" s="113"/>
      <c r="BA1166" s="113"/>
      <c r="BB1166" s="113"/>
      <c r="BC1166" s="113"/>
      <c r="BD1166" s="46">
        <v>0</v>
      </c>
      <c r="BE1166" s="113"/>
      <c r="BF1166" s="113"/>
      <c r="BG1166" s="113"/>
      <c r="BH1166" s="113"/>
      <c r="BI1166" s="113"/>
      <c r="BJ1166" s="46">
        <v>0</v>
      </c>
      <c r="BK1166" s="113"/>
      <c r="BL1166" s="113"/>
      <c r="BM1166" s="113"/>
      <c r="BN1166" s="113"/>
      <c r="BO1166" s="113"/>
      <c r="BP1166" s="121"/>
      <c r="BQ1166" s="121"/>
      <c r="GA1166" t="s">
        <v>18300</v>
      </c>
      <c r="GB1166" t="s">
        <v>22937</v>
      </c>
      <c r="GC1166" s="46">
        <v>0</v>
      </c>
      <c r="GD1166" s="113"/>
      <c r="GE1166" s="113"/>
      <c r="GF1166" s="113"/>
      <c r="GG1166" s="113"/>
      <c r="GH1166" s="113"/>
      <c r="GI1166" s="46">
        <v>0</v>
      </c>
      <c r="GJ1166" s="113"/>
      <c r="GK1166" s="113"/>
      <c r="GL1166" s="113"/>
      <c r="GM1166" s="113"/>
      <c r="GN1166" s="113"/>
      <c r="GO1166" s="46">
        <v>0</v>
      </c>
      <c r="GP1166" s="113"/>
      <c r="GQ1166" s="113"/>
      <c r="GR1166" s="113"/>
      <c r="GS1166" s="113"/>
      <c r="GT1166" s="113"/>
      <c r="GU1166" s="46">
        <v>0</v>
      </c>
      <c r="GV1166" s="113"/>
      <c r="GW1166" s="113"/>
      <c r="GX1166" s="113"/>
      <c r="GY1166" s="113"/>
      <c r="GZ1166" s="113"/>
      <c r="HA1166" s="46">
        <v>0</v>
      </c>
      <c r="HB1166" s="113"/>
      <c r="HC1166" s="113"/>
      <c r="HD1166" s="113"/>
      <c r="HE1166" s="113"/>
      <c r="HF1166" s="113"/>
      <c r="HG1166" s="46">
        <v>0</v>
      </c>
      <c r="HH1166" s="113"/>
      <c r="HI1166" s="113"/>
      <c r="HJ1166" s="113"/>
      <c r="HK1166" s="113"/>
      <c r="HL1166" s="113"/>
      <c r="HM1166" s="121"/>
      <c r="HN1166" s="121"/>
      <c r="LM1166" t="str">
        <v/>
      </c>
      <c r="LN1166" t="str">
        <v/>
      </c>
      <c r="LO1166" t="str">
        <v/>
      </c>
    </row>
    <row r="1167" spans="30:327">
      <c r="AD1167" t="s">
        <v>18300</v>
      </c>
      <c r="AE1167" t="s">
        <v>22938</v>
      </c>
      <c r="AF1167" s="46">
        <v>0</v>
      </c>
      <c r="AG1167" s="113"/>
      <c r="AH1167" s="113"/>
      <c r="AI1167" s="113"/>
      <c r="AJ1167" s="113"/>
      <c r="AK1167" s="113"/>
      <c r="AL1167" s="46">
        <v>0</v>
      </c>
      <c r="AM1167" s="113"/>
      <c r="AN1167" s="113"/>
      <c r="AO1167" s="113"/>
      <c r="AP1167" s="113"/>
      <c r="AQ1167" s="113"/>
      <c r="AR1167" s="46">
        <v>0</v>
      </c>
      <c r="AS1167" s="113"/>
      <c r="AT1167" s="113"/>
      <c r="AU1167" s="113"/>
      <c r="AV1167" s="113"/>
      <c r="AW1167" s="113"/>
      <c r="AX1167" s="46">
        <v>0</v>
      </c>
      <c r="AY1167" s="113"/>
      <c r="AZ1167" s="113"/>
      <c r="BA1167" s="113"/>
      <c r="BB1167" s="113"/>
      <c r="BC1167" s="113"/>
      <c r="BD1167" s="46">
        <v>0</v>
      </c>
      <c r="BE1167" s="113"/>
      <c r="BF1167" s="113"/>
      <c r="BG1167" s="113"/>
      <c r="BH1167" s="113"/>
      <c r="BI1167" s="113"/>
      <c r="BJ1167" s="46">
        <v>0</v>
      </c>
      <c r="BK1167" s="113"/>
      <c r="BL1167" s="113"/>
      <c r="BM1167" s="113"/>
      <c r="BN1167" s="113"/>
      <c r="BO1167" s="113"/>
      <c r="BP1167" s="121"/>
      <c r="BQ1167" s="121"/>
      <c r="GA1167" t="s">
        <v>18300</v>
      </c>
      <c r="GB1167" t="s">
        <v>22938</v>
      </c>
      <c r="GC1167" s="46">
        <v>0</v>
      </c>
      <c r="GD1167" s="113"/>
      <c r="GE1167" s="113"/>
      <c r="GF1167" s="113"/>
      <c r="GG1167" s="113"/>
      <c r="GH1167" s="113"/>
      <c r="GI1167" s="46">
        <v>0</v>
      </c>
      <c r="GJ1167" s="113"/>
      <c r="GK1167" s="113"/>
      <c r="GL1167" s="113"/>
      <c r="GM1167" s="113"/>
      <c r="GN1167" s="113"/>
      <c r="GO1167" s="46">
        <v>0</v>
      </c>
      <c r="GP1167" s="113"/>
      <c r="GQ1167" s="113"/>
      <c r="GR1167" s="113"/>
      <c r="GS1167" s="113"/>
      <c r="GT1167" s="113"/>
      <c r="GU1167" s="46">
        <v>0</v>
      </c>
      <c r="GV1167" s="113"/>
      <c r="GW1167" s="113"/>
      <c r="GX1167" s="113"/>
      <c r="GY1167" s="113"/>
      <c r="GZ1167" s="113"/>
      <c r="HA1167" s="46">
        <v>0</v>
      </c>
      <c r="HB1167" s="113"/>
      <c r="HC1167" s="113"/>
      <c r="HD1167" s="113"/>
      <c r="HE1167" s="113"/>
      <c r="HF1167" s="113"/>
      <c r="HG1167" s="46">
        <v>0</v>
      </c>
      <c r="HH1167" s="113"/>
      <c r="HI1167" s="113"/>
      <c r="HJ1167" s="113"/>
      <c r="HK1167" s="113"/>
      <c r="HL1167" s="113"/>
      <c r="HM1167" s="121"/>
      <c r="HN1167" s="121"/>
      <c r="LM1167" t="str">
        <v/>
      </c>
      <c r="LN1167" t="str">
        <v/>
      </c>
      <c r="LO1167" t="str">
        <v/>
      </c>
    </row>
    <row r="1168" spans="30:327">
      <c r="AD1168" t="s">
        <v>18300</v>
      </c>
      <c r="AE1168" t="s">
        <v>22939</v>
      </c>
      <c r="AF1168" s="46">
        <v>0</v>
      </c>
      <c r="AG1168" s="113"/>
      <c r="AH1168" s="113"/>
      <c r="AI1168" s="113"/>
      <c r="AJ1168" s="113"/>
      <c r="AK1168" s="113"/>
      <c r="AL1168" s="46">
        <v>0</v>
      </c>
      <c r="AM1168" s="113"/>
      <c r="AN1168" s="113"/>
      <c r="AO1168" s="113"/>
      <c r="AP1168" s="113"/>
      <c r="AQ1168" s="113"/>
      <c r="AR1168" s="46">
        <v>0</v>
      </c>
      <c r="AS1168" s="113"/>
      <c r="AT1168" s="113"/>
      <c r="AU1168" s="113"/>
      <c r="AV1168" s="113"/>
      <c r="AW1168" s="113"/>
      <c r="AX1168" s="46">
        <v>0</v>
      </c>
      <c r="AY1168" s="113"/>
      <c r="AZ1168" s="113"/>
      <c r="BA1168" s="113"/>
      <c r="BB1168" s="113"/>
      <c r="BC1168" s="113"/>
      <c r="BD1168" s="46">
        <v>0</v>
      </c>
      <c r="BE1168" s="113"/>
      <c r="BF1168" s="113"/>
      <c r="BG1168" s="113"/>
      <c r="BH1168" s="113"/>
      <c r="BI1168" s="113"/>
      <c r="BJ1168" s="46">
        <v>0</v>
      </c>
      <c r="BK1168" s="113"/>
      <c r="BL1168" s="113"/>
      <c r="BM1168" s="113"/>
      <c r="BN1168" s="113"/>
      <c r="BO1168" s="113"/>
      <c r="BP1168" s="121"/>
      <c r="BQ1168" s="121"/>
      <c r="GA1168" t="s">
        <v>18300</v>
      </c>
      <c r="GB1168" t="s">
        <v>22939</v>
      </c>
      <c r="GC1168" s="46">
        <v>0</v>
      </c>
      <c r="GD1168" s="113"/>
      <c r="GE1168" s="113"/>
      <c r="GF1168" s="113"/>
      <c r="GG1168" s="113"/>
      <c r="GH1168" s="113"/>
      <c r="GI1168" s="46">
        <v>0</v>
      </c>
      <c r="GJ1168" s="113"/>
      <c r="GK1168" s="113"/>
      <c r="GL1168" s="113"/>
      <c r="GM1168" s="113"/>
      <c r="GN1168" s="113"/>
      <c r="GO1168" s="46">
        <v>0</v>
      </c>
      <c r="GP1168" s="113"/>
      <c r="GQ1168" s="113"/>
      <c r="GR1168" s="113"/>
      <c r="GS1168" s="113"/>
      <c r="GT1168" s="113"/>
      <c r="GU1168" s="46">
        <v>0</v>
      </c>
      <c r="GV1168" s="113"/>
      <c r="GW1168" s="113"/>
      <c r="GX1168" s="113"/>
      <c r="GY1168" s="113"/>
      <c r="GZ1168" s="113"/>
      <c r="HA1168" s="46">
        <v>0</v>
      </c>
      <c r="HB1168" s="113"/>
      <c r="HC1168" s="113"/>
      <c r="HD1168" s="113"/>
      <c r="HE1168" s="113"/>
      <c r="HF1168" s="113"/>
      <c r="HG1168" s="46">
        <v>0</v>
      </c>
      <c r="HH1168" s="113"/>
      <c r="HI1168" s="113"/>
      <c r="HJ1168" s="113"/>
      <c r="HK1168" s="113"/>
      <c r="HL1168" s="113"/>
      <c r="HM1168" s="121"/>
      <c r="HN1168" s="121"/>
      <c r="LM1168" t="str">
        <v/>
      </c>
      <c r="LN1168" t="str">
        <v/>
      </c>
      <c r="LO1168" t="str">
        <v/>
      </c>
    </row>
    <row r="1169" spans="30:327">
      <c r="AD1169" t="s">
        <v>18300</v>
      </c>
      <c r="AE1169" t="s">
        <v>22940</v>
      </c>
      <c r="AF1169" s="46">
        <v>0</v>
      </c>
      <c r="AG1169" s="113"/>
      <c r="AH1169" s="113"/>
      <c r="AI1169" s="113"/>
      <c r="AJ1169" s="113"/>
      <c r="AK1169" s="113"/>
      <c r="AL1169" s="46">
        <v>0</v>
      </c>
      <c r="AM1169" s="113"/>
      <c r="AN1169" s="113"/>
      <c r="AO1169" s="113"/>
      <c r="AP1169" s="113"/>
      <c r="AQ1169" s="113"/>
      <c r="AR1169" s="46">
        <v>0</v>
      </c>
      <c r="AS1169" s="113"/>
      <c r="AT1169" s="113"/>
      <c r="AU1169" s="113"/>
      <c r="AV1169" s="113"/>
      <c r="AW1169" s="113"/>
      <c r="AX1169" s="46">
        <v>0</v>
      </c>
      <c r="AY1169" s="113"/>
      <c r="AZ1169" s="113"/>
      <c r="BA1169" s="113"/>
      <c r="BB1169" s="113"/>
      <c r="BC1169" s="113"/>
      <c r="BD1169" s="46">
        <v>0</v>
      </c>
      <c r="BE1169" s="113"/>
      <c r="BF1169" s="113"/>
      <c r="BG1169" s="113"/>
      <c r="BH1169" s="113"/>
      <c r="BI1169" s="113"/>
      <c r="BJ1169" s="46">
        <v>0</v>
      </c>
      <c r="BK1169" s="113"/>
      <c r="BL1169" s="113"/>
      <c r="BM1169" s="113"/>
      <c r="BN1169" s="113"/>
      <c r="BO1169" s="113"/>
      <c r="BP1169" s="121"/>
      <c r="BQ1169" s="121"/>
      <c r="GA1169" t="s">
        <v>18300</v>
      </c>
      <c r="GB1169" t="s">
        <v>22940</v>
      </c>
      <c r="GC1169" s="46">
        <v>0</v>
      </c>
      <c r="GD1169" s="113"/>
      <c r="GE1169" s="113"/>
      <c r="GF1169" s="113"/>
      <c r="GG1169" s="113"/>
      <c r="GH1169" s="113"/>
      <c r="GI1169" s="46">
        <v>0</v>
      </c>
      <c r="GJ1169" s="113"/>
      <c r="GK1169" s="113"/>
      <c r="GL1169" s="113"/>
      <c r="GM1169" s="113"/>
      <c r="GN1169" s="113"/>
      <c r="GO1169" s="46">
        <v>0</v>
      </c>
      <c r="GP1169" s="113"/>
      <c r="GQ1169" s="113"/>
      <c r="GR1169" s="113"/>
      <c r="GS1169" s="113"/>
      <c r="GT1169" s="113"/>
      <c r="GU1169" s="46">
        <v>0</v>
      </c>
      <c r="GV1169" s="113"/>
      <c r="GW1169" s="113"/>
      <c r="GX1169" s="113"/>
      <c r="GY1169" s="113"/>
      <c r="GZ1169" s="113"/>
      <c r="HA1169" s="46">
        <v>0</v>
      </c>
      <c r="HB1169" s="113"/>
      <c r="HC1169" s="113"/>
      <c r="HD1169" s="113"/>
      <c r="HE1169" s="113"/>
      <c r="HF1169" s="113"/>
      <c r="HG1169" s="46">
        <v>0</v>
      </c>
      <c r="HH1169" s="113"/>
      <c r="HI1169" s="113"/>
      <c r="HJ1169" s="113"/>
      <c r="HK1169" s="113"/>
      <c r="HL1169" s="113"/>
      <c r="HM1169" s="121"/>
      <c r="HN1169" s="121"/>
      <c r="LM1169" t="str">
        <v/>
      </c>
      <c r="LN1169" t="str">
        <v/>
      </c>
      <c r="LO1169" t="str">
        <v/>
      </c>
    </row>
    <row r="1170" spans="30:327">
      <c r="AD1170" t="s">
        <v>18300</v>
      </c>
      <c r="AE1170" t="s">
        <v>22941</v>
      </c>
      <c r="AF1170" s="46">
        <v>0</v>
      </c>
      <c r="AG1170" s="113"/>
      <c r="AH1170" s="113"/>
      <c r="AI1170" s="113"/>
      <c r="AJ1170" s="113"/>
      <c r="AK1170" s="113"/>
      <c r="AL1170" s="46">
        <v>0</v>
      </c>
      <c r="AM1170" s="113"/>
      <c r="AN1170" s="113"/>
      <c r="AO1170" s="113"/>
      <c r="AP1170" s="113"/>
      <c r="AQ1170" s="113"/>
      <c r="AR1170" s="46">
        <v>0</v>
      </c>
      <c r="AS1170" s="113"/>
      <c r="AT1170" s="113"/>
      <c r="AU1170" s="113"/>
      <c r="AV1170" s="113"/>
      <c r="AW1170" s="113"/>
      <c r="AX1170" s="46">
        <v>0</v>
      </c>
      <c r="AY1170" s="113"/>
      <c r="AZ1170" s="113"/>
      <c r="BA1170" s="113"/>
      <c r="BB1170" s="113"/>
      <c r="BC1170" s="113"/>
      <c r="BD1170" s="46">
        <v>0</v>
      </c>
      <c r="BE1170" s="113"/>
      <c r="BF1170" s="113"/>
      <c r="BG1170" s="113"/>
      <c r="BH1170" s="113"/>
      <c r="BI1170" s="113"/>
      <c r="BJ1170" s="46">
        <v>0</v>
      </c>
      <c r="BK1170" s="113"/>
      <c r="BL1170" s="113"/>
      <c r="BM1170" s="113"/>
      <c r="BN1170" s="113"/>
      <c r="BO1170" s="113"/>
      <c r="BP1170" s="121"/>
      <c r="BQ1170" s="121"/>
      <c r="GA1170" t="s">
        <v>18300</v>
      </c>
      <c r="GB1170" t="s">
        <v>22941</v>
      </c>
      <c r="GC1170" s="46">
        <v>0</v>
      </c>
      <c r="GD1170" s="113"/>
      <c r="GE1170" s="113"/>
      <c r="GF1170" s="113"/>
      <c r="GG1170" s="113"/>
      <c r="GH1170" s="113"/>
      <c r="GI1170" s="46">
        <v>0</v>
      </c>
      <c r="GJ1170" s="113"/>
      <c r="GK1170" s="113"/>
      <c r="GL1170" s="113"/>
      <c r="GM1170" s="113"/>
      <c r="GN1170" s="113"/>
      <c r="GO1170" s="46">
        <v>0</v>
      </c>
      <c r="GP1170" s="113"/>
      <c r="GQ1170" s="113"/>
      <c r="GR1170" s="113"/>
      <c r="GS1170" s="113"/>
      <c r="GT1170" s="113"/>
      <c r="GU1170" s="46">
        <v>0</v>
      </c>
      <c r="GV1170" s="113"/>
      <c r="GW1170" s="113"/>
      <c r="GX1170" s="113"/>
      <c r="GY1170" s="113"/>
      <c r="GZ1170" s="113"/>
      <c r="HA1170" s="46">
        <v>0</v>
      </c>
      <c r="HB1170" s="113"/>
      <c r="HC1170" s="113"/>
      <c r="HD1170" s="113"/>
      <c r="HE1170" s="113"/>
      <c r="HF1170" s="113"/>
      <c r="HG1170" s="46">
        <v>0</v>
      </c>
      <c r="HH1170" s="113"/>
      <c r="HI1170" s="113"/>
      <c r="HJ1170" s="113"/>
      <c r="HK1170" s="113"/>
      <c r="HL1170" s="113"/>
      <c r="HM1170" s="121"/>
      <c r="HN1170" s="121"/>
      <c r="LM1170" t="str">
        <v/>
      </c>
      <c r="LN1170" t="str">
        <v/>
      </c>
      <c r="LO1170" t="str">
        <v/>
      </c>
    </row>
    <row r="1171" spans="30:327">
      <c r="AD1171" t="s">
        <v>18300</v>
      </c>
      <c r="AE1171" t="s">
        <v>22942</v>
      </c>
      <c r="AF1171" s="46">
        <v>0</v>
      </c>
      <c r="AG1171" s="113"/>
      <c r="AH1171" s="113"/>
      <c r="AI1171" s="113"/>
      <c r="AJ1171" s="113"/>
      <c r="AK1171" s="113"/>
      <c r="AL1171" s="46">
        <v>0</v>
      </c>
      <c r="AM1171" s="113"/>
      <c r="AN1171" s="113"/>
      <c r="AO1171" s="113"/>
      <c r="AP1171" s="113"/>
      <c r="AQ1171" s="113"/>
      <c r="AR1171" s="46">
        <v>0</v>
      </c>
      <c r="AS1171" s="113"/>
      <c r="AT1171" s="113"/>
      <c r="AU1171" s="113"/>
      <c r="AV1171" s="113"/>
      <c r="AW1171" s="113"/>
      <c r="AX1171" s="46">
        <v>0</v>
      </c>
      <c r="AY1171" s="113"/>
      <c r="AZ1171" s="113"/>
      <c r="BA1171" s="113"/>
      <c r="BB1171" s="113"/>
      <c r="BC1171" s="113"/>
      <c r="BD1171" s="46">
        <v>0</v>
      </c>
      <c r="BE1171" s="113"/>
      <c r="BF1171" s="113"/>
      <c r="BG1171" s="113"/>
      <c r="BH1171" s="113"/>
      <c r="BI1171" s="113"/>
      <c r="BJ1171" s="46">
        <v>0</v>
      </c>
      <c r="BK1171" s="113"/>
      <c r="BL1171" s="113"/>
      <c r="BM1171" s="113"/>
      <c r="BN1171" s="113"/>
      <c r="BO1171" s="113"/>
      <c r="BP1171" s="121"/>
      <c r="BQ1171" s="121"/>
      <c r="GA1171" t="s">
        <v>18300</v>
      </c>
      <c r="GB1171" t="s">
        <v>22942</v>
      </c>
      <c r="GC1171" s="46">
        <v>0</v>
      </c>
      <c r="GD1171" s="113"/>
      <c r="GE1171" s="113"/>
      <c r="GF1171" s="113"/>
      <c r="GG1171" s="113"/>
      <c r="GH1171" s="113"/>
      <c r="GI1171" s="46">
        <v>0</v>
      </c>
      <c r="GJ1171" s="113"/>
      <c r="GK1171" s="113"/>
      <c r="GL1171" s="113"/>
      <c r="GM1171" s="113"/>
      <c r="GN1171" s="113"/>
      <c r="GO1171" s="46">
        <v>0</v>
      </c>
      <c r="GP1171" s="113"/>
      <c r="GQ1171" s="113"/>
      <c r="GR1171" s="113"/>
      <c r="GS1171" s="113"/>
      <c r="GT1171" s="113"/>
      <c r="GU1171" s="46">
        <v>0</v>
      </c>
      <c r="GV1171" s="113"/>
      <c r="GW1171" s="113"/>
      <c r="GX1171" s="113"/>
      <c r="GY1171" s="113"/>
      <c r="GZ1171" s="113"/>
      <c r="HA1171" s="46">
        <v>0</v>
      </c>
      <c r="HB1171" s="113"/>
      <c r="HC1171" s="113"/>
      <c r="HD1171" s="113"/>
      <c r="HE1171" s="113"/>
      <c r="HF1171" s="113"/>
      <c r="HG1171" s="46">
        <v>0</v>
      </c>
      <c r="HH1171" s="113"/>
      <c r="HI1171" s="113"/>
      <c r="HJ1171" s="113"/>
      <c r="HK1171" s="113"/>
      <c r="HL1171" s="113"/>
      <c r="HM1171" s="121"/>
      <c r="HN1171" s="121"/>
      <c r="LM1171" t="str">
        <v/>
      </c>
      <c r="LN1171" t="str">
        <v/>
      </c>
      <c r="LO1171" t="str">
        <v/>
      </c>
    </row>
    <row r="1172" spans="30:327">
      <c r="AD1172" t="s">
        <v>18300</v>
      </c>
      <c r="AE1172" t="s">
        <v>22943</v>
      </c>
      <c r="AF1172" s="46">
        <v>0</v>
      </c>
      <c r="AG1172" s="113"/>
      <c r="AH1172" s="113"/>
      <c r="AI1172" s="113"/>
      <c r="AJ1172" s="113"/>
      <c r="AK1172" s="113"/>
      <c r="AL1172" s="46">
        <v>0</v>
      </c>
      <c r="AM1172" s="113"/>
      <c r="AN1172" s="113"/>
      <c r="AO1172" s="113"/>
      <c r="AP1172" s="113"/>
      <c r="AQ1172" s="113"/>
      <c r="AR1172" s="46">
        <v>0</v>
      </c>
      <c r="AS1172" s="113"/>
      <c r="AT1172" s="113"/>
      <c r="AU1172" s="113"/>
      <c r="AV1172" s="113"/>
      <c r="AW1172" s="113"/>
      <c r="AX1172" s="46">
        <v>0</v>
      </c>
      <c r="AY1172" s="113"/>
      <c r="AZ1172" s="113"/>
      <c r="BA1172" s="113"/>
      <c r="BB1172" s="113"/>
      <c r="BC1172" s="113"/>
      <c r="BD1172" s="46">
        <v>0</v>
      </c>
      <c r="BE1172" s="113"/>
      <c r="BF1172" s="113"/>
      <c r="BG1172" s="113"/>
      <c r="BH1172" s="113"/>
      <c r="BI1172" s="113"/>
      <c r="BJ1172" s="46">
        <v>0</v>
      </c>
      <c r="BK1172" s="113"/>
      <c r="BL1172" s="113"/>
      <c r="BM1172" s="113"/>
      <c r="BN1172" s="113"/>
      <c r="BO1172" s="113"/>
      <c r="BP1172" s="121"/>
      <c r="BQ1172" s="121"/>
      <c r="GA1172" t="s">
        <v>18300</v>
      </c>
      <c r="GB1172" t="s">
        <v>22943</v>
      </c>
      <c r="GC1172" s="46">
        <v>0</v>
      </c>
      <c r="GD1172" s="113"/>
      <c r="GE1172" s="113"/>
      <c r="GF1172" s="113"/>
      <c r="GG1172" s="113"/>
      <c r="GH1172" s="113"/>
      <c r="GI1172" s="46">
        <v>0</v>
      </c>
      <c r="GJ1172" s="113"/>
      <c r="GK1172" s="113"/>
      <c r="GL1172" s="113"/>
      <c r="GM1172" s="113"/>
      <c r="GN1172" s="113"/>
      <c r="GO1172" s="46">
        <v>0</v>
      </c>
      <c r="GP1172" s="113"/>
      <c r="GQ1172" s="113"/>
      <c r="GR1172" s="113"/>
      <c r="GS1172" s="113"/>
      <c r="GT1172" s="113"/>
      <c r="GU1172" s="46">
        <v>0</v>
      </c>
      <c r="GV1172" s="113"/>
      <c r="GW1172" s="113"/>
      <c r="GX1172" s="113"/>
      <c r="GY1172" s="113"/>
      <c r="GZ1172" s="113"/>
      <c r="HA1172" s="46">
        <v>0</v>
      </c>
      <c r="HB1172" s="113"/>
      <c r="HC1172" s="113"/>
      <c r="HD1172" s="113"/>
      <c r="HE1172" s="113"/>
      <c r="HF1172" s="113"/>
      <c r="HG1172" s="46">
        <v>0</v>
      </c>
      <c r="HH1172" s="113"/>
      <c r="HI1172" s="113"/>
      <c r="HJ1172" s="113"/>
      <c r="HK1172" s="113"/>
      <c r="HL1172" s="113"/>
      <c r="HM1172" s="121"/>
      <c r="HN1172" s="121"/>
      <c r="LM1172" t="str">
        <v/>
      </c>
      <c r="LN1172" t="str">
        <v/>
      </c>
      <c r="LO1172" t="str">
        <v/>
      </c>
    </row>
    <row r="1173" spans="30:327">
      <c r="AD1173" t="s">
        <v>18300</v>
      </c>
      <c r="AE1173" t="s">
        <v>22944</v>
      </c>
      <c r="AF1173" s="46">
        <v>0</v>
      </c>
      <c r="AG1173" s="113"/>
      <c r="AH1173" s="113"/>
      <c r="AI1173" s="113"/>
      <c r="AJ1173" s="113"/>
      <c r="AK1173" s="113"/>
      <c r="AL1173" s="46">
        <v>0</v>
      </c>
      <c r="AM1173" s="113"/>
      <c r="AN1173" s="113"/>
      <c r="AO1173" s="113"/>
      <c r="AP1173" s="113"/>
      <c r="AQ1173" s="113"/>
      <c r="AR1173" s="46">
        <v>0</v>
      </c>
      <c r="AS1173" s="113"/>
      <c r="AT1173" s="113"/>
      <c r="AU1173" s="113"/>
      <c r="AV1173" s="113"/>
      <c r="AW1173" s="113"/>
      <c r="AX1173" s="46">
        <v>0</v>
      </c>
      <c r="AY1173" s="113"/>
      <c r="AZ1173" s="113"/>
      <c r="BA1173" s="113"/>
      <c r="BB1173" s="113"/>
      <c r="BC1173" s="113"/>
      <c r="BD1173" s="46">
        <v>0</v>
      </c>
      <c r="BE1173" s="113"/>
      <c r="BF1173" s="113"/>
      <c r="BG1173" s="113"/>
      <c r="BH1173" s="113"/>
      <c r="BI1173" s="113"/>
      <c r="BJ1173" s="46">
        <v>0</v>
      </c>
      <c r="BK1173" s="113"/>
      <c r="BL1173" s="113"/>
      <c r="BM1173" s="113"/>
      <c r="BN1173" s="113"/>
      <c r="BO1173" s="113"/>
      <c r="BP1173" s="121"/>
      <c r="BQ1173" s="121"/>
      <c r="GA1173" t="s">
        <v>18300</v>
      </c>
      <c r="GB1173" t="s">
        <v>22944</v>
      </c>
      <c r="GC1173" s="46">
        <v>0</v>
      </c>
      <c r="GD1173" s="113"/>
      <c r="GE1173" s="113"/>
      <c r="GF1173" s="113"/>
      <c r="GG1173" s="113"/>
      <c r="GH1173" s="113"/>
      <c r="GI1173" s="46">
        <v>0</v>
      </c>
      <c r="GJ1173" s="113"/>
      <c r="GK1173" s="113"/>
      <c r="GL1173" s="113"/>
      <c r="GM1173" s="113"/>
      <c r="GN1173" s="113"/>
      <c r="GO1173" s="46">
        <v>0</v>
      </c>
      <c r="GP1173" s="113"/>
      <c r="GQ1173" s="113"/>
      <c r="GR1173" s="113"/>
      <c r="GS1173" s="113"/>
      <c r="GT1173" s="113"/>
      <c r="GU1173" s="46">
        <v>0</v>
      </c>
      <c r="GV1173" s="113"/>
      <c r="GW1173" s="113"/>
      <c r="GX1173" s="113"/>
      <c r="GY1173" s="113"/>
      <c r="GZ1173" s="113"/>
      <c r="HA1173" s="46">
        <v>0</v>
      </c>
      <c r="HB1173" s="113"/>
      <c r="HC1173" s="113"/>
      <c r="HD1173" s="113"/>
      <c r="HE1173" s="113"/>
      <c r="HF1173" s="113"/>
      <c r="HG1173" s="46">
        <v>0</v>
      </c>
      <c r="HH1173" s="113"/>
      <c r="HI1173" s="113"/>
      <c r="HJ1173" s="113"/>
      <c r="HK1173" s="113"/>
      <c r="HL1173" s="113"/>
      <c r="HM1173" s="121"/>
      <c r="HN1173" s="121"/>
      <c r="LM1173" t="str">
        <v/>
      </c>
      <c r="LN1173" t="str">
        <v/>
      </c>
      <c r="LO1173" t="str">
        <v/>
      </c>
    </row>
    <row r="1174" spans="30:327">
      <c r="AD1174" t="s">
        <v>18300</v>
      </c>
      <c r="AE1174" t="s">
        <v>22945</v>
      </c>
      <c r="AF1174" s="46">
        <v>0</v>
      </c>
      <c r="AG1174" s="113"/>
      <c r="AH1174" s="113"/>
      <c r="AI1174" s="113"/>
      <c r="AJ1174" s="113"/>
      <c r="AK1174" s="113"/>
      <c r="AL1174" s="46">
        <v>0</v>
      </c>
      <c r="AM1174" s="113"/>
      <c r="AN1174" s="113"/>
      <c r="AO1174" s="113"/>
      <c r="AP1174" s="113"/>
      <c r="AQ1174" s="113"/>
      <c r="AR1174" s="46">
        <v>0</v>
      </c>
      <c r="AS1174" s="113"/>
      <c r="AT1174" s="113"/>
      <c r="AU1174" s="113"/>
      <c r="AV1174" s="113"/>
      <c r="AW1174" s="113"/>
      <c r="AX1174" s="46">
        <v>0</v>
      </c>
      <c r="AY1174" s="113"/>
      <c r="AZ1174" s="113"/>
      <c r="BA1174" s="113"/>
      <c r="BB1174" s="113"/>
      <c r="BC1174" s="113"/>
      <c r="BD1174" s="46">
        <v>0</v>
      </c>
      <c r="BE1174" s="113"/>
      <c r="BF1174" s="113"/>
      <c r="BG1174" s="113"/>
      <c r="BH1174" s="113"/>
      <c r="BI1174" s="113"/>
      <c r="BJ1174" s="46">
        <v>0</v>
      </c>
      <c r="BK1174" s="113"/>
      <c r="BL1174" s="113"/>
      <c r="BM1174" s="113"/>
      <c r="BN1174" s="113"/>
      <c r="BO1174" s="113"/>
      <c r="BP1174" s="121"/>
      <c r="BQ1174" s="121"/>
      <c r="GA1174" t="s">
        <v>18300</v>
      </c>
      <c r="GB1174" t="s">
        <v>22945</v>
      </c>
      <c r="GC1174" s="46">
        <v>0</v>
      </c>
      <c r="GD1174" s="113"/>
      <c r="GE1174" s="113"/>
      <c r="GF1174" s="113"/>
      <c r="GG1174" s="113"/>
      <c r="GH1174" s="113"/>
      <c r="GI1174" s="46">
        <v>0</v>
      </c>
      <c r="GJ1174" s="113"/>
      <c r="GK1174" s="113"/>
      <c r="GL1174" s="113"/>
      <c r="GM1174" s="113"/>
      <c r="GN1174" s="113"/>
      <c r="GO1174" s="46">
        <v>0</v>
      </c>
      <c r="GP1174" s="113"/>
      <c r="GQ1174" s="113"/>
      <c r="GR1174" s="113"/>
      <c r="GS1174" s="113"/>
      <c r="GT1174" s="113"/>
      <c r="GU1174" s="46">
        <v>0</v>
      </c>
      <c r="GV1174" s="113"/>
      <c r="GW1174" s="113"/>
      <c r="GX1174" s="113"/>
      <c r="GY1174" s="113"/>
      <c r="GZ1174" s="113"/>
      <c r="HA1174" s="46">
        <v>0</v>
      </c>
      <c r="HB1174" s="113"/>
      <c r="HC1174" s="113"/>
      <c r="HD1174" s="113"/>
      <c r="HE1174" s="113"/>
      <c r="HF1174" s="113"/>
      <c r="HG1174" s="46">
        <v>0</v>
      </c>
      <c r="HH1174" s="113"/>
      <c r="HI1174" s="113"/>
      <c r="HJ1174" s="113"/>
      <c r="HK1174" s="113"/>
      <c r="HL1174" s="113"/>
      <c r="HM1174" s="121"/>
      <c r="HN1174" s="121"/>
      <c r="LM1174" t="str">
        <v/>
      </c>
      <c r="LN1174" t="str">
        <v/>
      </c>
      <c r="LO1174" t="str">
        <v/>
      </c>
    </row>
    <row r="1175" spans="30:327">
      <c r="AD1175" t="s">
        <v>18300</v>
      </c>
      <c r="AE1175" t="s">
        <v>22946</v>
      </c>
      <c r="AF1175" s="46">
        <v>0</v>
      </c>
      <c r="AG1175" s="113"/>
      <c r="AH1175" s="113"/>
      <c r="AI1175" s="113"/>
      <c r="AJ1175" s="113"/>
      <c r="AK1175" s="113"/>
      <c r="AL1175" s="46">
        <v>0</v>
      </c>
      <c r="AM1175" s="113"/>
      <c r="AN1175" s="113"/>
      <c r="AO1175" s="113"/>
      <c r="AP1175" s="113"/>
      <c r="AQ1175" s="113"/>
      <c r="AR1175" s="46">
        <v>0</v>
      </c>
      <c r="AS1175" s="113"/>
      <c r="AT1175" s="113"/>
      <c r="AU1175" s="113"/>
      <c r="AV1175" s="113"/>
      <c r="AW1175" s="113"/>
      <c r="AX1175" s="46">
        <v>0</v>
      </c>
      <c r="AY1175" s="113"/>
      <c r="AZ1175" s="113"/>
      <c r="BA1175" s="113"/>
      <c r="BB1175" s="113"/>
      <c r="BC1175" s="113"/>
      <c r="BD1175" s="46">
        <v>0</v>
      </c>
      <c r="BE1175" s="113"/>
      <c r="BF1175" s="113"/>
      <c r="BG1175" s="113"/>
      <c r="BH1175" s="113"/>
      <c r="BI1175" s="113"/>
      <c r="BJ1175" s="46">
        <v>0</v>
      </c>
      <c r="BK1175" s="113"/>
      <c r="BL1175" s="113"/>
      <c r="BM1175" s="113"/>
      <c r="BN1175" s="113"/>
      <c r="BO1175" s="113"/>
      <c r="BP1175" s="121"/>
      <c r="BQ1175" s="121"/>
      <c r="GA1175" t="s">
        <v>18300</v>
      </c>
      <c r="GB1175" t="s">
        <v>22946</v>
      </c>
      <c r="GC1175" s="46">
        <v>0</v>
      </c>
      <c r="GD1175" s="113"/>
      <c r="GE1175" s="113"/>
      <c r="GF1175" s="113"/>
      <c r="GG1175" s="113"/>
      <c r="GH1175" s="113"/>
      <c r="GI1175" s="46">
        <v>0</v>
      </c>
      <c r="GJ1175" s="113"/>
      <c r="GK1175" s="113"/>
      <c r="GL1175" s="113"/>
      <c r="GM1175" s="113"/>
      <c r="GN1175" s="113"/>
      <c r="GO1175" s="46">
        <v>0</v>
      </c>
      <c r="GP1175" s="113"/>
      <c r="GQ1175" s="113"/>
      <c r="GR1175" s="113"/>
      <c r="GS1175" s="113"/>
      <c r="GT1175" s="113"/>
      <c r="GU1175" s="46">
        <v>0</v>
      </c>
      <c r="GV1175" s="113"/>
      <c r="GW1175" s="113"/>
      <c r="GX1175" s="113"/>
      <c r="GY1175" s="113"/>
      <c r="GZ1175" s="113"/>
      <c r="HA1175" s="46">
        <v>0</v>
      </c>
      <c r="HB1175" s="113"/>
      <c r="HC1175" s="113"/>
      <c r="HD1175" s="113"/>
      <c r="HE1175" s="113"/>
      <c r="HF1175" s="113"/>
      <c r="HG1175" s="46">
        <v>0</v>
      </c>
      <c r="HH1175" s="113"/>
      <c r="HI1175" s="113"/>
      <c r="HJ1175" s="113"/>
      <c r="HK1175" s="113"/>
      <c r="HL1175" s="113"/>
      <c r="HM1175" s="121"/>
      <c r="HN1175" s="121"/>
      <c r="LM1175" t="str">
        <v/>
      </c>
      <c r="LN1175" t="str">
        <v/>
      </c>
      <c r="LO1175" t="str">
        <v/>
      </c>
    </row>
    <row r="1176" spans="30:327">
      <c r="AD1176" t="s">
        <v>18300</v>
      </c>
      <c r="AE1176" t="s">
        <v>22947</v>
      </c>
      <c r="AF1176" s="46">
        <v>0</v>
      </c>
      <c r="AG1176" s="113"/>
      <c r="AH1176" s="113"/>
      <c r="AI1176" s="113"/>
      <c r="AJ1176" s="113"/>
      <c r="AK1176" s="113"/>
      <c r="AL1176" s="46">
        <v>0</v>
      </c>
      <c r="AM1176" s="113"/>
      <c r="AN1176" s="113"/>
      <c r="AO1176" s="113"/>
      <c r="AP1176" s="113"/>
      <c r="AQ1176" s="113"/>
      <c r="AR1176" s="46">
        <v>0</v>
      </c>
      <c r="AS1176" s="113"/>
      <c r="AT1176" s="113"/>
      <c r="AU1176" s="113"/>
      <c r="AV1176" s="113"/>
      <c r="AW1176" s="113"/>
      <c r="AX1176" s="46">
        <v>0</v>
      </c>
      <c r="AY1176" s="113"/>
      <c r="AZ1176" s="113"/>
      <c r="BA1176" s="113"/>
      <c r="BB1176" s="113"/>
      <c r="BC1176" s="113"/>
      <c r="BD1176" s="46">
        <v>0</v>
      </c>
      <c r="BE1176" s="113"/>
      <c r="BF1176" s="113"/>
      <c r="BG1176" s="113"/>
      <c r="BH1176" s="113"/>
      <c r="BI1176" s="113"/>
      <c r="BJ1176" s="46">
        <v>0</v>
      </c>
      <c r="BK1176" s="113"/>
      <c r="BL1176" s="113"/>
      <c r="BM1176" s="113"/>
      <c r="BN1176" s="113"/>
      <c r="BO1176" s="113"/>
      <c r="BP1176" s="121"/>
      <c r="BQ1176" s="121"/>
      <c r="GA1176" t="s">
        <v>18300</v>
      </c>
      <c r="GB1176" t="s">
        <v>22947</v>
      </c>
      <c r="GC1176" s="46">
        <v>0</v>
      </c>
      <c r="GD1176" s="113"/>
      <c r="GE1176" s="113"/>
      <c r="GF1176" s="113"/>
      <c r="GG1176" s="113"/>
      <c r="GH1176" s="113"/>
      <c r="GI1176" s="46">
        <v>0</v>
      </c>
      <c r="GJ1176" s="113"/>
      <c r="GK1176" s="113"/>
      <c r="GL1176" s="113"/>
      <c r="GM1176" s="113"/>
      <c r="GN1176" s="113"/>
      <c r="GO1176" s="46">
        <v>0</v>
      </c>
      <c r="GP1176" s="113"/>
      <c r="GQ1176" s="113"/>
      <c r="GR1176" s="113"/>
      <c r="GS1176" s="113"/>
      <c r="GT1176" s="113"/>
      <c r="GU1176" s="46">
        <v>0</v>
      </c>
      <c r="GV1176" s="113"/>
      <c r="GW1176" s="113"/>
      <c r="GX1176" s="113"/>
      <c r="GY1176" s="113"/>
      <c r="GZ1176" s="113"/>
      <c r="HA1176" s="46">
        <v>0</v>
      </c>
      <c r="HB1176" s="113"/>
      <c r="HC1176" s="113"/>
      <c r="HD1176" s="113"/>
      <c r="HE1176" s="113"/>
      <c r="HF1176" s="113"/>
      <c r="HG1176" s="46">
        <v>0</v>
      </c>
      <c r="HH1176" s="113"/>
      <c r="HI1176" s="113"/>
      <c r="HJ1176" s="113"/>
      <c r="HK1176" s="113"/>
      <c r="HL1176" s="113"/>
      <c r="HM1176" s="121"/>
      <c r="HN1176" s="121"/>
      <c r="LM1176" t="str">
        <v/>
      </c>
      <c r="LN1176" t="str">
        <v/>
      </c>
      <c r="LO1176" t="str">
        <v/>
      </c>
    </row>
    <row r="1177" spans="30:327">
      <c r="AD1177" t="s">
        <v>18300</v>
      </c>
      <c r="AE1177" t="s">
        <v>22948</v>
      </c>
      <c r="AF1177" s="46">
        <v>0</v>
      </c>
      <c r="AG1177" s="113"/>
      <c r="AH1177" s="113"/>
      <c r="AI1177" s="113"/>
      <c r="AJ1177" s="113"/>
      <c r="AK1177" s="113"/>
      <c r="AL1177" s="46">
        <v>0</v>
      </c>
      <c r="AM1177" s="113"/>
      <c r="AN1177" s="113"/>
      <c r="AO1177" s="113"/>
      <c r="AP1177" s="113"/>
      <c r="AQ1177" s="113"/>
      <c r="AR1177" s="46">
        <v>0</v>
      </c>
      <c r="AS1177" s="113"/>
      <c r="AT1177" s="113"/>
      <c r="AU1177" s="113"/>
      <c r="AV1177" s="113"/>
      <c r="AW1177" s="113"/>
      <c r="AX1177" s="46">
        <v>0</v>
      </c>
      <c r="AY1177" s="113"/>
      <c r="AZ1177" s="113"/>
      <c r="BA1177" s="113"/>
      <c r="BB1177" s="113"/>
      <c r="BC1177" s="113"/>
      <c r="BD1177" s="46">
        <v>0</v>
      </c>
      <c r="BE1177" s="113"/>
      <c r="BF1177" s="113"/>
      <c r="BG1177" s="113"/>
      <c r="BH1177" s="113"/>
      <c r="BI1177" s="113"/>
      <c r="BJ1177" s="46">
        <v>0</v>
      </c>
      <c r="BK1177" s="113"/>
      <c r="BL1177" s="113"/>
      <c r="BM1177" s="113"/>
      <c r="BN1177" s="113"/>
      <c r="BO1177" s="113"/>
      <c r="BP1177" s="121"/>
      <c r="BQ1177" s="121"/>
      <c r="GA1177" t="s">
        <v>18300</v>
      </c>
      <c r="GB1177" t="s">
        <v>22948</v>
      </c>
      <c r="GC1177" s="46">
        <v>0</v>
      </c>
      <c r="GD1177" s="113"/>
      <c r="GE1177" s="113"/>
      <c r="GF1177" s="113"/>
      <c r="GG1177" s="113"/>
      <c r="GH1177" s="113"/>
      <c r="GI1177" s="46">
        <v>0</v>
      </c>
      <c r="GJ1177" s="113"/>
      <c r="GK1177" s="113"/>
      <c r="GL1177" s="113"/>
      <c r="GM1177" s="113"/>
      <c r="GN1177" s="113"/>
      <c r="GO1177" s="46">
        <v>0</v>
      </c>
      <c r="GP1177" s="113"/>
      <c r="GQ1177" s="113"/>
      <c r="GR1177" s="113"/>
      <c r="GS1177" s="113"/>
      <c r="GT1177" s="113"/>
      <c r="GU1177" s="46">
        <v>0</v>
      </c>
      <c r="GV1177" s="113"/>
      <c r="GW1177" s="113"/>
      <c r="GX1177" s="113"/>
      <c r="GY1177" s="113"/>
      <c r="GZ1177" s="113"/>
      <c r="HA1177" s="46">
        <v>0</v>
      </c>
      <c r="HB1177" s="113"/>
      <c r="HC1177" s="113"/>
      <c r="HD1177" s="113"/>
      <c r="HE1177" s="113"/>
      <c r="HF1177" s="113"/>
      <c r="HG1177" s="46">
        <v>0</v>
      </c>
      <c r="HH1177" s="113"/>
      <c r="HI1177" s="113"/>
      <c r="HJ1177" s="113"/>
      <c r="HK1177" s="113"/>
      <c r="HL1177" s="113"/>
      <c r="HM1177" s="121"/>
      <c r="HN1177" s="121"/>
      <c r="LM1177" t="str">
        <v/>
      </c>
      <c r="LN1177" t="str">
        <v/>
      </c>
      <c r="LO1177" t="str">
        <v/>
      </c>
    </row>
    <row r="1178" spans="30:327">
      <c r="AD1178" t="s">
        <v>18300</v>
      </c>
      <c r="AE1178" t="s">
        <v>22949</v>
      </c>
      <c r="AF1178" s="46">
        <v>0</v>
      </c>
      <c r="AG1178" s="113"/>
      <c r="AH1178" s="113"/>
      <c r="AI1178" s="113"/>
      <c r="AJ1178" s="113"/>
      <c r="AK1178" s="113"/>
      <c r="AL1178" s="46">
        <v>0</v>
      </c>
      <c r="AM1178" s="113"/>
      <c r="AN1178" s="113"/>
      <c r="AO1178" s="113"/>
      <c r="AP1178" s="113"/>
      <c r="AQ1178" s="113"/>
      <c r="AR1178" s="46">
        <v>0</v>
      </c>
      <c r="AS1178" s="113"/>
      <c r="AT1178" s="113"/>
      <c r="AU1178" s="113"/>
      <c r="AV1178" s="113"/>
      <c r="AW1178" s="113"/>
      <c r="AX1178" s="46">
        <v>0</v>
      </c>
      <c r="AY1178" s="113"/>
      <c r="AZ1178" s="113"/>
      <c r="BA1178" s="113"/>
      <c r="BB1178" s="113"/>
      <c r="BC1178" s="113"/>
      <c r="BD1178" s="46">
        <v>0</v>
      </c>
      <c r="BE1178" s="113"/>
      <c r="BF1178" s="113"/>
      <c r="BG1178" s="113"/>
      <c r="BH1178" s="113"/>
      <c r="BI1178" s="113"/>
      <c r="BJ1178" s="46">
        <v>0</v>
      </c>
      <c r="BK1178" s="113"/>
      <c r="BL1178" s="113"/>
      <c r="BM1178" s="113"/>
      <c r="BN1178" s="113"/>
      <c r="BO1178" s="113"/>
      <c r="BP1178" s="121"/>
      <c r="BQ1178" s="121"/>
      <c r="GA1178" t="s">
        <v>18300</v>
      </c>
      <c r="GB1178" t="s">
        <v>22949</v>
      </c>
      <c r="GC1178" s="46">
        <v>0</v>
      </c>
      <c r="GD1178" s="113"/>
      <c r="GE1178" s="113"/>
      <c r="GF1178" s="113"/>
      <c r="GG1178" s="113"/>
      <c r="GH1178" s="113"/>
      <c r="GI1178" s="46">
        <v>0</v>
      </c>
      <c r="GJ1178" s="113"/>
      <c r="GK1178" s="113"/>
      <c r="GL1178" s="113"/>
      <c r="GM1178" s="113"/>
      <c r="GN1178" s="113"/>
      <c r="GO1178" s="46">
        <v>0</v>
      </c>
      <c r="GP1178" s="113"/>
      <c r="GQ1178" s="113"/>
      <c r="GR1178" s="113"/>
      <c r="GS1178" s="113"/>
      <c r="GT1178" s="113"/>
      <c r="GU1178" s="46">
        <v>0</v>
      </c>
      <c r="GV1178" s="113"/>
      <c r="GW1178" s="113"/>
      <c r="GX1178" s="113"/>
      <c r="GY1178" s="113"/>
      <c r="GZ1178" s="113"/>
      <c r="HA1178" s="46">
        <v>0</v>
      </c>
      <c r="HB1178" s="113"/>
      <c r="HC1178" s="113"/>
      <c r="HD1178" s="113"/>
      <c r="HE1178" s="113"/>
      <c r="HF1178" s="113"/>
      <c r="HG1178" s="46">
        <v>0</v>
      </c>
      <c r="HH1178" s="113"/>
      <c r="HI1178" s="113"/>
      <c r="HJ1178" s="113"/>
      <c r="HK1178" s="113"/>
      <c r="HL1178" s="113"/>
      <c r="HM1178" s="121"/>
      <c r="HN1178" s="121"/>
      <c r="LM1178" t="str">
        <v/>
      </c>
      <c r="LN1178" t="str">
        <v/>
      </c>
      <c r="LO1178" t="str">
        <v/>
      </c>
    </row>
    <row r="1179" spans="30:327">
      <c r="AD1179" t="s">
        <v>18300</v>
      </c>
      <c r="AE1179" t="s">
        <v>22950</v>
      </c>
      <c r="AF1179" s="46">
        <v>0</v>
      </c>
      <c r="AG1179" s="113"/>
      <c r="AH1179" s="113"/>
      <c r="AI1179" s="113"/>
      <c r="AJ1179" s="113"/>
      <c r="AK1179" s="113"/>
      <c r="AL1179" s="46">
        <v>0</v>
      </c>
      <c r="AM1179" s="113"/>
      <c r="AN1179" s="113"/>
      <c r="AO1179" s="113"/>
      <c r="AP1179" s="113"/>
      <c r="AQ1179" s="113"/>
      <c r="AR1179" s="46">
        <v>0</v>
      </c>
      <c r="AS1179" s="113"/>
      <c r="AT1179" s="113"/>
      <c r="AU1179" s="113"/>
      <c r="AV1179" s="113"/>
      <c r="AW1179" s="113"/>
      <c r="AX1179" s="46">
        <v>0</v>
      </c>
      <c r="AY1179" s="113"/>
      <c r="AZ1179" s="113"/>
      <c r="BA1179" s="113"/>
      <c r="BB1179" s="113"/>
      <c r="BC1179" s="113"/>
      <c r="BD1179" s="46">
        <v>0</v>
      </c>
      <c r="BE1179" s="113"/>
      <c r="BF1179" s="113"/>
      <c r="BG1179" s="113"/>
      <c r="BH1179" s="113"/>
      <c r="BI1179" s="113"/>
      <c r="BJ1179" s="46">
        <v>0</v>
      </c>
      <c r="BK1179" s="113"/>
      <c r="BL1179" s="113"/>
      <c r="BM1179" s="113"/>
      <c r="BN1179" s="113"/>
      <c r="BO1179" s="113"/>
      <c r="BP1179" s="121"/>
      <c r="BQ1179" s="121"/>
      <c r="GA1179" t="s">
        <v>18300</v>
      </c>
      <c r="GB1179" t="s">
        <v>22950</v>
      </c>
      <c r="GC1179" s="46">
        <v>0</v>
      </c>
      <c r="GD1179" s="113"/>
      <c r="GE1179" s="113"/>
      <c r="GF1179" s="113"/>
      <c r="GG1179" s="113"/>
      <c r="GH1179" s="113"/>
      <c r="GI1179" s="46">
        <v>0</v>
      </c>
      <c r="GJ1179" s="113"/>
      <c r="GK1179" s="113"/>
      <c r="GL1179" s="113"/>
      <c r="GM1179" s="113"/>
      <c r="GN1179" s="113"/>
      <c r="GO1179" s="46">
        <v>0</v>
      </c>
      <c r="GP1179" s="113"/>
      <c r="GQ1179" s="113"/>
      <c r="GR1179" s="113"/>
      <c r="GS1179" s="113"/>
      <c r="GT1179" s="113"/>
      <c r="GU1179" s="46">
        <v>0</v>
      </c>
      <c r="GV1179" s="113"/>
      <c r="GW1179" s="113"/>
      <c r="GX1179" s="113"/>
      <c r="GY1179" s="113"/>
      <c r="GZ1179" s="113"/>
      <c r="HA1179" s="46">
        <v>0</v>
      </c>
      <c r="HB1179" s="113"/>
      <c r="HC1179" s="113"/>
      <c r="HD1179" s="113"/>
      <c r="HE1179" s="113"/>
      <c r="HF1179" s="113"/>
      <c r="HG1179" s="46">
        <v>0</v>
      </c>
      <c r="HH1179" s="113"/>
      <c r="HI1179" s="113"/>
      <c r="HJ1179" s="113"/>
      <c r="HK1179" s="113"/>
      <c r="HL1179" s="113"/>
      <c r="HM1179" s="121"/>
      <c r="HN1179" s="121"/>
      <c r="LM1179" t="str">
        <v/>
      </c>
      <c r="LN1179" t="str">
        <v/>
      </c>
      <c r="LO1179" t="str">
        <v/>
      </c>
    </row>
    <row r="1180" spans="30:327">
      <c r="AD1180" t="s">
        <v>18300</v>
      </c>
      <c r="AE1180" t="s">
        <v>22951</v>
      </c>
      <c r="AF1180" s="46">
        <v>0</v>
      </c>
      <c r="AG1180" s="113"/>
      <c r="AH1180" s="113"/>
      <c r="AI1180" s="113"/>
      <c r="AJ1180" s="113"/>
      <c r="AK1180" s="113"/>
      <c r="AL1180" s="46">
        <v>0</v>
      </c>
      <c r="AM1180" s="113"/>
      <c r="AN1180" s="113"/>
      <c r="AO1180" s="113"/>
      <c r="AP1180" s="113"/>
      <c r="AQ1180" s="113"/>
      <c r="AR1180" s="46">
        <v>0</v>
      </c>
      <c r="AS1180" s="113"/>
      <c r="AT1180" s="113"/>
      <c r="AU1180" s="113"/>
      <c r="AV1180" s="113"/>
      <c r="AW1180" s="113"/>
      <c r="AX1180" s="46">
        <v>0</v>
      </c>
      <c r="AY1180" s="113"/>
      <c r="AZ1180" s="113"/>
      <c r="BA1180" s="113"/>
      <c r="BB1180" s="113"/>
      <c r="BC1180" s="113"/>
      <c r="BD1180" s="46">
        <v>0</v>
      </c>
      <c r="BE1180" s="113"/>
      <c r="BF1180" s="113"/>
      <c r="BG1180" s="113"/>
      <c r="BH1180" s="113"/>
      <c r="BI1180" s="113"/>
      <c r="BJ1180" s="46">
        <v>0</v>
      </c>
      <c r="BK1180" s="113"/>
      <c r="BL1180" s="113"/>
      <c r="BM1180" s="113"/>
      <c r="BN1180" s="113"/>
      <c r="BO1180" s="113"/>
      <c r="BP1180" s="121"/>
      <c r="BQ1180" s="121"/>
      <c r="GA1180" t="s">
        <v>18300</v>
      </c>
      <c r="GB1180" t="s">
        <v>22951</v>
      </c>
      <c r="GC1180" s="46">
        <v>0</v>
      </c>
      <c r="GD1180" s="113"/>
      <c r="GE1180" s="113"/>
      <c r="GF1180" s="113"/>
      <c r="GG1180" s="113"/>
      <c r="GH1180" s="113"/>
      <c r="GI1180" s="46">
        <v>0</v>
      </c>
      <c r="GJ1180" s="113"/>
      <c r="GK1180" s="113"/>
      <c r="GL1180" s="113"/>
      <c r="GM1180" s="113"/>
      <c r="GN1180" s="113"/>
      <c r="GO1180" s="46">
        <v>0</v>
      </c>
      <c r="GP1180" s="113"/>
      <c r="GQ1180" s="113"/>
      <c r="GR1180" s="113"/>
      <c r="GS1180" s="113"/>
      <c r="GT1180" s="113"/>
      <c r="GU1180" s="46">
        <v>0</v>
      </c>
      <c r="GV1180" s="113"/>
      <c r="GW1180" s="113"/>
      <c r="GX1180" s="113"/>
      <c r="GY1180" s="113"/>
      <c r="GZ1180" s="113"/>
      <c r="HA1180" s="46">
        <v>0</v>
      </c>
      <c r="HB1180" s="113"/>
      <c r="HC1180" s="113"/>
      <c r="HD1180" s="113"/>
      <c r="HE1180" s="113"/>
      <c r="HF1180" s="113"/>
      <c r="HG1180" s="46">
        <v>0</v>
      </c>
      <c r="HH1180" s="113"/>
      <c r="HI1180" s="113"/>
      <c r="HJ1180" s="113"/>
      <c r="HK1180" s="113"/>
      <c r="HL1180" s="113"/>
      <c r="HM1180" s="121"/>
      <c r="HN1180" s="121"/>
      <c r="LM1180" t="str">
        <v/>
      </c>
      <c r="LN1180" t="str">
        <v/>
      </c>
      <c r="LO1180" t="str">
        <v/>
      </c>
    </row>
    <row r="1181" spans="30:327">
      <c r="AD1181" t="s">
        <v>18300</v>
      </c>
      <c r="AE1181" t="s">
        <v>22952</v>
      </c>
      <c r="AF1181" s="46">
        <v>0</v>
      </c>
      <c r="AG1181" s="113"/>
      <c r="AH1181" s="113"/>
      <c r="AI1181" s="113"/>
      <c r="AJ1181" s="113"/>
      <c r="AK1181" s="113"/>
      <c r="AL1181" s="46">
        <v>0</v>
      </c>
      <c r="AM1181" s="113"/>
      <c r="AN1181" s="113"/>
      <c r="AO1181" s="113"/>
      <c r="AP1181" s="113"/>
      <c r="AQ1181" s="113"/>
      <c r="AR1181" s="46">
        <v>0</v>
      </c>
      <c r="AS1181" s="113"/>
      <c r="AT1181" s="113"/>
      <c r="AU1181" s="113"/>
      <c r="AV1181" s="113"/>
      <c r="AW1181" s="113"/>
      <c r="AX1181" s="46">
        <v>0</v>
      </c>
      <c r="AY1181" s="113"/>
      <c r="AZ1181" s="113"/>
      <c r="BA1181" s="113"/>
      <c r="BB1181" s="113"/>
      <c r="BC1181" s="113"/>
      <c r="BD1181" s="46">
        <v>0</v>
      </c>
      <c r="BE1181" s="113"/>
      <c r="BF1181" s="113"/>
      <c r="BG1181" s="113"/>
      <c r="BH1181" s="113"/>
      <c r="BI1181" s="113"/>
      <c r="BJ1181" s="46">
        <v>0</v>
      </c>
      <c r="BK1181" s="113"/>
      <c r="BL1181" s="113"/>
      <c r="BM1181" s="113"/>
      <c r="BN1181" s="113"/>
      <c r="BO1181" s="113"/>
      <c r="BP1181" s="121"/>
      <c r="BQ1181" s="121"/>
      <c r="GA1181" t="s">
        <v>18300</v>
      </c>
      <c r="GB1181" t="s">
        <v>22952</v>
      </c>
      <c r="GC1181" s="46">
        <v>0</v>
      </c>
      <c r="GD1181" s="113"/>
      <c r="GE1181" s="113"/>
      <c r="GF1181" s="113"/>
      <c r="GG1181" s="113"/>
      <c r="GH1181" s="113"/>
      <c r="GI1181" s="46">
        <v>0</v>
      </c>
      <c r="GJ1181" s="113"/>
      <c r="GK1181" s="113"/>
      <c r="GL1181" s="113"/>
      <c r="GM1181" s="113"/>
      <c r="GN1181" s="113"/>
      <c r="GO1181" s="46">
        <v>0</v>
      </c>
      <c r="GP1181" s="113"/>
      <c r="GQ1181" s="113"/>
      <c r="GR1181" s="113"/>
      <c r="GS1181" s="113"/>
      <c r="GT1181" s="113"/>
      <c r="GU1181" s="46">
        <v>0</v>
      </c>
      <c r="GV1181" s="113"/>
      <c r="GW1181" s="113"/>
      <c r="GX1181" s="113"/>
      <c r="GY1181" s="113"/>
      <c r="GZ1181" s="113"/>
      <c r="HA1181" s="46">
        <v>0</v>
      </c>
      <c r="HB1181" s="113"/>
      <c r="HC1181" s="113"/>
      <c r="HD1181" s="113"/>
      <c r="HE1181" s="113"/>
      <c r="HF1181" s="113"/>
      <c r="HG1181" s="46">
        <v>0</v>
      </c>
      <c r="HH1181" s="113"/>
      <c r="HI1181" s="113"/>
      <c r="HJ1181" s="113"/>
      <c r="HK1181" s="113"/>
      <c r="HL1181" s="113"/>
      <c r="HM1181" s="121"/>
      <c r="HN1181" s="121"/>
      <c r="LM1181" t="str">
        <v/>
      </c>
      <c r="LN1181" t="str">
        <v/>
      </c>
      <c r="LO1181" t="str">
        <v/>
      </c>
    </row>
    <row r="1182" spans="30:327">
      <c r="AD1182" t="s">
        <v>18300</v>
      </c>
      <c r="AE1182" t="s">
        <v>22953</v>
      </c>
      <c r="AF1182" s="46">
        <v>0</v>
      </c>
      <c r="AG1182" s="113"/>
      <c r="AH1182" s="113"/>
      <c r="AI1182" s="113"/>
      <c r="AJ1182" s="113"/>
      <c r="AK1182" s="113"/>
      <c r="AL1182" s="46">
        <v>0</v>
      </c>
      <c r="AM1182" s="113"/>
      <c r="AN1182" s="113"/>
      <c r="AO1182" s="113"/>
      <c r="AP1182" s="113"/>
      <c r="AQ1182" s="113"/>
      <c r="AR1182" s="46">
        <v>0</v>
      </c>
      <c r="AS1182" s="113"/>
      <c r="AT1182" s="113"/>
      <c r="AU1182" s="113"/>
      <c r="AV1182" s="113"/>
      <c r="AW1182" s="113"/>
      <c r="AX1182" s="46">
        <v>0</v>
      </c>
      <c r="AY1182" s="113"/>
      <c r="AZ1182" s="113"/>
      <c r="BA1182" s="113"/>
      <c r="BB1182" s="113"/>
      <c r="BC1182" s="113"/>
      <c r="BD1182" s="46">
        <v>0</v>
      </c>
      <c r="BE1182" s="113"/>
      <c r="BF1182" s="113"/>
      <c r="BG1182" s="113"/>
      <c r="BH1182" s="113"/>
      <c r="BI1182" s="113"/>
      <c r="BJ1182" s="46">
        <v>0</v>
      </c>
      <c r="BK1182" s="113"/>
      <c r="BL1182" s="113"/>
      <c r="BM1182" s="113"/>
      <c r="BN1182" s="113"/>
      <c r="BO1182" s="113"/>
      <c r="BP1182" s="121"/>
      <c r="BQ1182" s="121"/>
      <c r="GA1182" t="s">
        <v>18300</v>
      </c>
      <c r="GB1182" t="s">
        <v>22953</v>
      </c>
      <c r="GC1182" s="46">
        <v>0</v>
      </c>
      <c r="GD1182" s="113"/>
      <c r="GE1182" s="113"/>
      <c r="GF1182" s="113"/>
      <c r="GG1182" s="113"/>
      <c r="GH1182" s="113"/>
      <c r="GI1182" s="46">
        <v>0</v>
      </c>
      <c r="GJ1182" s="113"/>
      <c r="GK1182" s="113"/>
      <c r="GL1182" s="113"/>
      <c r="GM1182" s="113"/>
      <c r="GN1182" s="113"/>
      <c r="GO1182" s="46">
        <v>0</v>
      </c>
      <c r="GP1182" s="113"/>
      <c r="GQ1182" s="113"/>
      <c r="GR1182" s="113"/>
      <c r="GS1182" s="113"/>
      <c r="GT1182" s="113"/>
      <c r="GU1182" s="46">
        <v>0</v>
      </c>
      <c r="GV1182" s="113"/>
      <c r="GW1182" s="113"/>
      <c r="GX1182" s="113"/>
      <c r="GY1182" s="113"/>
      <c r="GZ1182" s="113"/>
      <c r="HA1182" s="46">
        <v>0</v>
      </c>
      <c r="HB1182" s="113"/>
      <c r="HC1182" s="113"/>
      <c r="HD1182" s="113"/>
      <c r="HE1182" s="113"/>
      <c r="HF1182" s="113"/>
      <c r="HG1182" s="46">
        <v>0</v>
      </c>
      <c r="HH1182" s="113"/>
      <c r="HI1182" s="113"/>
      <c r="HJ1182" s="113"/>
      <c r="HK1182" s="113"/>
      <c r="HL1182" s="113"/>
      <c r="HM1182" s="121"/>
      <c r="HN1182" s="121"/>
      <c r="LM1182" t="str">
        <v/>
      </c>
      <c r="LN1182" t="str">
        <v/>
      </c>
      <c r="LO1182" t="str">
        <v/>
      </c>
    </row>
    <row r="1183" spans="30:327">
      <c r="AD1183" t="s">
        <v>18300</v>
      </c>
      <c r="AE1183" t="s">
        <v>22954</v>
      </c>
      <c r="AF1183" s="46">
        <v>0</v>
      </c>
      <c r="AG1183" s="113"/>
      <c r="AH1183" s="113"/>
      <c r="AI1183" s="113"/>
      <c r="AJ1183" s="113"/>
      <c r="AK1183" s="113"/>
      <c r="AL1183" s="46">
        <v>0</v>
      </c>
      <c r="AM1183" s="113"/>
      <c r="AN1183" s="113"/>
      <c r="AO1183" s="113"/>
      <c r="AP1183" s="113"/>
      <c r="AQ1183" s="113"/>
      <c r="AR1183" s="46">
        <v>0</v>
      </c>
      <c r="AS1183" s="113"/>
      <c r="AT1183" s="113"/>
      <c r="AU1183" s="113"/>
      <c r="AV1183" s="113"/>
      <c r="AW1183" s="113"/>
      <c r="AX1183" s="46">
        <v>0</v>
      </c>
      <c r="AY1183" s="113"/>
      <c r="AZ1183" s="113"/>
      <c r="BA1183" s="113"/>
      <c r="BB1183" s="113"/>
      <c r="BC1183" s="113"/>
      <c r="BD1183" s="46">
        <v>0</v>
      </c>
      <c r="BE1183" s="113"/>
      <c r="BF1183" s="113"/>
      <c r="BG1183" s="113"/>
      <c r="BH1183" s="113"/>
      <c r="BI1183" s="113"/>
      <c r="BJ1183" s="46">
        <v>0</v>
      </c>
      <c r="BK1183" s="113"/>
      <c r="BL1183" s="113"/>
      <c r="BM1183" s="113"/>
      <c r="BN1183" s="113"/>
      <c r="BO1183" s="113"/>
      <c r="BP1183" s="121"/>
      <c r="BQ1183" s="121"/>
      <c r="GA1183" t="s">
        <v>18300</v>
      </c>
      <c r="GB1183" t="s">
        <v>22954</v>
      </c>
      <c r="GC1183" s="46">
        <v>0</v>
      </c>
      <c r="GD1183" s="113"/>
      <c r="GE1183" s="113"/>
      <c r="GF1183" s="113"/>
      <c r="GG1183" s="113"/>
      <c r="GH1183" s="113"/>
      <c r="GI1183" s="46">
        <v>0</v>
      </c>
      <c r="GJ1183" s="113"/>
      <c r="GK1183" s="113"/>
      <c r="GL1183" s="113"/>
      <c r="GM1183" s="113"/>
      <c r="GN1183" s="113"/>
      <c r="GO1183" s="46">
        <v>0</v>
      </c>
      <c r="GP1183" s="113"/>
      <c r="GQ1183" s="113"/>
      <c r="GR1183" s="113"/>
      <c r="GS1183" s="113"/>
      <c r="GT1183" s="113"/>
      <c r="GU1183" s="46">
        <v>0</v>
      </c>
      <c r="GV1183" s="113"/>
      <c r="GW1183" s="113"/>
      <c r="GX1183" s="113"/>
      <c r="GY1183" s="113"/>
      <c r="GZ1183" s="113"/>
      <c r="HA1183" s="46">
        <v>0</v>
      </c>
      <c r="HB1183" s="113"/>
      <c r="HC1183" s="113"/>
      <c r="HD1183" s="113"/>
      <c r="HE1183" s="113"/>
      <c r="HF1183" s="113"/>
      <c r="HG1183" s="46">
        <v>0</v>
      </c>
      <c r="HH1183" s="113"/>
      <c r="HI1183" s="113"/>
      <c r="HJ1183" s="113"/>
      <c r="HK1183" s="113"/>
      <c r="HL1183" s="113"/>
      <c r="HM1183" s="121"/>
      <c r="HN1183" s="121"/>
      <c r="LM1183" t="str">
        <v/>
      </c>
      <c r="LN1183" t="str">
        <v/>
      </c>
      <c r="LO1183" t="str">
        <v/>
      </c>
    </row>
    <row r="1184" spans="30:327">
      <c r="AD1184" t="s">
        <v>18300</v>
      </c>
      <c r="AE1184" t="s">
        <v>22955</v>
      </c>
      <c r="AF1184" s="46">
        <v>0</v>
      </c>
      <c r="AG1184" s="113"/>
      <c r="AH1184" s="113"/>
      <c r="AI1184" s="113"/>
      <c r="AJ1184" s="113"/>
      <c r="AK1184" s="113"/>
      <c r="AL1184" s="46">
        <v>0</v>
      </c>
      <c r="AM1184" s="113"/>
      <c r="AN1184" s="113"/>
      <c r="AO1184" s="113"/>
      <c r="AP1184" s="113"/>
      <c r="AQ1184" s="113"/>
      <c r="AR1184" s="46">
        <v>0</v>
      </c>
      <c r="AS1184" s="113"/>
      <c r="AT1184" s="113"/>
      <c r="AU1184" s="113"/>
      <c r="AV1184" s="113"/>
      <c r="AW1184" s="113"/>
      <c r="AX1184" s="46">
        <v>0</v>
      </c>
      <c r="AY1184" s="113"/>
      <c r="AZ1184" s="113"/>
      <c r="BA1184" s="113"/>
      <c r="BB1184" s="113"/>
      <c r="BC1184" s="113"/>
      <c r="BD1184" s="46">
        <v>0</v>
      </c>
      <c r="BE1184" s="113"/>
      <c r="BF1184" s="113"/>
      <c r="BG1184" s="113"/>
      <c r="BH1184" s="113"/>
      <c r="BI1184" s="113"/>
      <c r="BJ1184" s="46">
        <v>0</v>
      </c>
      <c r="BK1184" s="113"/>
      <c r="BL1184" s="113"/>
      <c r="BM1184" s="113"/>
      <c r="BN1184" s="113"/>
      <c r="BO1184" s="113"/>
      <c r="BP1184" s="121"/>
      <c r="BQ1184" s="121"/>
      <c r="GA1184" t="s">
        <v>18300</v>
      </c>
      <c r="GB1184" t="s">
        <v>22955</v>
      </c>
      <c r="GC1184" s="46">
        <v>0</v>
      </c>
      <c r="GD1184" s="113"/>
      <c r="GE1184" s="113"/>
      <c r="GF1184" s="113"/>
      <c r="GG1184" s="113"/>
      <c r="GH1184" s="113"/>
      <c r="GI1184" s="46">
        <v>0</v>
      </c>
      <c r="GJ1184" s="113"/>
      <c r="GK1184" s="113"/>
      <c r="GL1184" s="113"/>
      <c r="GM1184" s="113"/>
      <c r="GN1184" s="113"/>
      <c r="GO1184" s="46">
        <v>0</v>
      </c>
      <c r="GP1184" s="113"/>
      <c r="GQ1184" s="113"/>
      <c r="GR1184" s="113"/>
      <c r="GS1184" s="113"/>
      <c r="GT1184" s="113"/>
      <c r="GU1184" s="46">
        <v>0</v>
      </c>
      <c r="GV1184" s="113"/>
      <c r="GW1184" s="113"/>
      <c r="GX1184" s="113"/>
      <c r="GY1184" s="113"/>
      <c r="GZ1184" s="113"/>
      <c r="HA1184" s="46">
        <v>0</v>
      </c>
      <c r="HB1184" s="113"/>
      <c r="HC1184" s="113"/>
      <c r="HD1184" s="113"/>
      <c r="HE1184" s="113"/>
      <c r="HF1184" s="113"/>
      <c r="HG1184" s="46">
        <v>0</v>
      </c>
      <c r="HH1184" s="113"/>
      <c r="HI1184" s="113"/>
      <c r="HJ1184" s="113"/>
      <c r="HK1184" s="113"/>
      <c r="HL1184" s="113"/>
      <c r="HM1184" s="121"/>
      <c r="HN1184" s="121"/>
      <c r="LM1184" t="str">
        <v/>
      </c>
      <c r="LN1184" t="str">
        <v/>
      </c>
      <c r="LO1184" t="str">
        <v/>
      </c>
    </row>
    <row r="1185" spans="30:327">
      <c r="AD1185" t="s">
        <v>18300</v>
      </c>
      <c r="AE1185" t="s">
        <v>22956</v>
      </c>
      <c r="AF1185" s="46">
        <v>0</v>
      </c>
      <c r="AG1185" s="113"/>
      <c r="AH1185" s="113"/>
      <c r="AI1185" s="113"/>
      <c r="AJ1185" s="113"/>
      <c r="AK1185" s="113"/>
      <c r="AL1185" s="46">
        <v>0</v>
      </c>
      <c r="AM1185" s="113"/>
      <c r="AN1185" s="113"/>
      <c r="AO1185" s="113"/>
      <c r="AP1185" s="113"/>
      <c r="AQ1185" s="113"/>
      <c r="AR1185" s="46">
        <v>0</v>
      </c>
      <c r="AS1185" s="113"/>
      <c r="AT1185" s="113"/>
      <c r="AU1185" s="113"/>
      <c r="AV1185" s="113"/>
      <c r="AW1185" s="113"/>
      <c r="AX1185" s="46">
        <v>0</v>
      </c>
      <c r="AY1185" s="113"/>
      <c r="AZ1185" s="113"/>
      <c r="BA1185" s="113"/>
      <c r="BB1185" s="113"/>
      <c r="BC1185" s="113"/>
      <c r="BD1185" s="46">
        <v>0</v>
      </c>
      <c r="BE1185" s="113"/>
      <c r="BF1185" s="113"/>
      <c r="BG1185" s="113"/>
      <c r="BH1185" s="113"/>
      <c r="BI1185" s="113"/>
      <c r="BJ1185" s="46">
        <v>0</v>
      </c>
      <c r="BK1185" s="113"/>
      <c r="BL1185" s="113"/>
      <c r="BM1185" s="113"/>
      <c r="BN1185" s="113"/>
      <c r="BO1185" s="113"/>
      <c r="BP1185" s="121"/>
      <c r="BQ1185" s="121"/>
      <c r="GA1185" t="s">
        <v>18300</v>
      </c>
      <c r="GB1185" t="s">
        <v>22956</v>
      </c>
      <c r="GC1185" s="46">
        <v>0</v>
      </c>
      <c r="GD1185" s="113"/>
      <c r="GE1185" s="113"/>
      <c r="GF1185" s="113"/>
      <c r="GG1185" s="113"/>
      <c r="GH1185" s="113"/>
      <c r="GI1185" s="46">
        <v>0</v>
      </c>
      <c r="GJ1185" s="113"/>
      <c r="GK1185" s="113"/>
      <c r="GL1185" s="113"/>
      <c r="GM1185" s="113"/>
      <c r="GN1185" s="113"/>
      <c r="GO1185" s="46">
        <v>0</v>
      </c>
      <c r="GP1185" s="113"/>
      <c r="GQ1185" s="113"/>
      <c r="GR1185" s="113"/>
      <c r="GS1185" s="113"/>
      <c r="GT1185" s="113"/>
      <c r="GU1185" s="46">
        <v>0</v>
      </c>
      <c r="GV1185" s="113"/>
      <c r="GW1185" s="113"/>
      <c r="GX1185" s="113"/>
      <c r="GY1185" s="113"/>
      <c r="GZ1185" s="113"/>
      <c r="HA1185" s="46">
        <v>0</v>
      </c>
      <c r="HB1185" s="113"/>
      <c r="HC1185" s="113"/>
      <c r="HD1185" s="113"/>
      <c r="HE1185" s="113"/>
      <c r="HF1185" s="113"/>
      <c r="HG1185" s="46">
        <v>0</v>
      </c>
      <c r="HH1185" s="113"/>
      <c r="HI1185" s="113"/>
      <c r="HJ1185" s="113"/>
      <c r="HK1185" s="113"/>
      <c r="HL1185" s="113"/>
      <c r="HM1185" s="121"/>
      <c r="HN1185" s="121"/>
      <c r="LM1185" t="str">
        <v/>
      </c>
      <c r="LN1185" t="str">
        <v/>
      </c>
      <c r="LO1185" t="str">
        <v/>
      </c>
    </row>
    <row r="1186" spans="30:327">
      <c r="AD1186" t="s">
        <v>18300</v>
      </c>
      <c r="AE1186" t="s">
        <v>22957</v>
      </c>
      <c r="AF1186" s="46">
        <v>0</v>
      </c>
      <c r="AG1186" s="113"/>
      <c r="AH1186" s="113"/>
      <c r="AI1186" s="113"/>
      <c r="AJ1186" s="113"/>
      <c r="AK1186" s="113"/>
      <c r="AL1186" s="46">
        <v>0</v>
      </c>
      <c r="AM1186" s="113"/>
      <c r="AN1186" s="113"/>
      <c r="AO1186" s="113"/>
      <c r="AP1186" s="113"/>
      <c r="AQ1186" s="113"/>
      <c r="AR1186" s="46">
        <v>0</v>
      </c>
      <c r="AS1186" s="113"/>
      <c r="AT1186" s="113"/>
      <c r="AU1186" s="113"/>
      <c r="AV1186" s="113"/>
      <c r="AW1186" s="113"/>
      <c r="AX1186" s="46">
        <v>0</v>
      </c>
      <c r="AY1186" s="113"/>
      <c r="AZ1186" s="113"/>
      <c r="BA1186" s="113"/>
      <c r="BB1186" s="113"/>
      <c r="BC1186" s="113"/>
      <c r="BD1186" s="46">
        <v>0</v>
      </c>
      <c r="BE1186" s="113"/>
      <c r="BF1186" s="113"/>
      <c r="BG1186" s="113"/>
      <c r="BH1186" s="113"/>
      <c r="BI1186" s="113"/>
      <c r="BJ1186" s="46">
        <v>0</v>
      </c>
      <c r="BK1186" s="113"/>
      <c r="BL1186" s="113"/>
      <c r="BM1186" s="113"/>
      <c r="BN1186" s="113"/>
      <c r="BO1186" s="113"/>
      <c r="BP1186" s="121"/>
      <c r="BQ1186" s="121"/>
      <c r="GA1186" t="s">
        <v>18300</v>
      </c>
      <c r="GB1186" t="s">
        <v>22957</v>
      </c>
      <c r="GC1186" s="46">
        <v>0</v>
      </c>
      <c r="GD1186" s="113"/>
      <c r="GE1186" s="113"/>
      <c r="GF1186" s="113"/>
      <c r="GG1186" s="113"/>
      <c r="GH1186" s="113"/>
      <c r="GI1186" s="46">
        <v>0</v>
      </c>
      <c r="GJ1186" s="113"/>
      <c r="GK1186" s="113"/>
      <c r="GL1186" s="113"/>
      <c r="GM1186" s="113"/>
      <c r="GN1186" s="113"/>
      <c r="GO1186" s="46">
        <v>0</v>
      </c>
      <c r="GP1186" s="113"/>
      <c r="GQ1186" s="113"/>
      <c r="GR1186" s="113"/>
      <c r="GS1186" s="113"/>
      <c r="GT1186" s="113"/>
      <c r="GU1186" s="46">
        <v>0</v>
      </c>
      <c r="GV1186" s="113"/>
      <c r="GW1186" s="113"/>
      <c r="GX1186" s="113"/>
      <c r="GY1186" s="113"/>
      <c r="GZ1186" s="113"/>
      <c r="HA1186" s="46">
        <v>0</v>
      </c>
      <c r="HB1186" s="113"/>
      <c r="HC1186" s="113"/>
      <c r="HD1186" s="113"/>
      <c r="HE1186" s="113"/>
      <c r="HF1186" s="113"/>
      <c r="HG1186" s="46">
        <v>0</v>
      </c>
      <c r="HH1186" s="113"/>
      <c r="HI1186" s="113"/>
      <c r="HJ1186" s="113"/>
      <c r="HK1186" s="113"/>
      <c r="HL1186" s="113"/>
      <c r="HM1186" s="121"/>
      <c r="HN1186" s="121"/>
      <c r="LM1186" t="str">
        <v/>
      </c>
      <c r="LN1186" t="str">
        <v/>
      </c>
      <c r="LO1186" t="str">
        <v/>
      </c>
    </row>
    <row r="1187" spans="30:327">
      <c r="AD1187" t="s">
        <v>18300</v>
      </c>
      <c r="AE1187" t="s">
        <v>22958</v>
      </c>
      <c r="AF1187" s="46">
        <v>0</v>
      </c>
      <c r="AG1187" s="113"/>
      <c r="AH1187" s="113"/>
      <c r="AI1187" s="113"/>
      <c r="AJ1187" s="113"/>
      <c r="AK1187" s="113"/>
      <c r="AL1187" s="46">
        <v>0</v>
      </c>
      <c r="AM1187" s="113"/>
      <c r="AN1187" s="113"/>
      <c r="AO1187" s="113"/>
      <c r="AP1187" s="113"/>
      <c r="AQ1187" s="113"/>
      <c r="AR1187" s="46">
        <v>0</v>
      </c>
      <c r="AS1187" s="113"/>
      <c r="AT1187" s="113"/>
      <c r="AU1187" s="113"/>
      <c r="AV1187" s="113"/>
      <c r="AW1187" s="113"/>
      <c r="AX1187" s="46">
        <v>0</v>
      </c>
      <c r="AY1187" s="113"/>
      <c r="AZ1187" s="113"/>
      <c r="BA1187" s="113"/>
      <c r="BB1187" s="113"/>
      <c r="BC1187" s="113"/>
      <c r="BD1187" s="46">
        <v>0</v>
      </c>
      <c r="BE1187" s="113"/>
      <c r="BF1187" s="113"/>
      <c r="BG1187" s="113"/>
      <c r="BH1187" s="113"/>
      <c r="BI1187" s="113"/>
      <c r="BJ1187" s="46">
        <v>0</v>
      </c>
      <c r="BK1187" s="113"/>
      <c r="BL1187" s="113"/>
      <c r="BM1187" s="113"/>
      <c r="BN1187" s="113"/>
      <c r="BO1187" s="113"/>
      <c r="BP1187" s="121"/>
      <c r="BQ1187" s="121"/>
      <c r="GA1187" t="s">
        <v>18300</v>
      </c>
      <c r="GB1187" t="s">
        <v>22958</v>
      </c>
      <c r="GC1187" s="46">
        <v>0</v>
      </c>
      <c r="GD1187" s="113"/>
      <c r="GE1187" s="113"/>
      <c r="GF1187" s="113"/>
      <c r="GG1187" s="113"/>
      <c r="GH1187" s="113"/>
      <c r="GI1187" s="46">
        <v>0</v>
      </c>
      <c r="GJ1187" s="113"/>
      <c r="GK1187" s="113"/>
      <c r="GL1187" s="113"/>
      <c r="GM1187" s="113"/>
      <c r="GN1187" s="113"/>
      <c r="GO1187" s="46">
        <v>0</v>
      </c>
      <c r="GP1187" s="113"/>
      <c r="GQ1187" s="113"/>
      <c r="GR1187" s="113"/>
      <c r="GS1187" s="113"/>
      <c r="GT1187" s="113"/>
      <c r="GU1187" s="46">
        <v>0</v>
      </c>
      <c r="GV1187" s="113"/>
      <c r="GW1187" s="113"/>
      <c r="GX1187" s="113"/>
      <c r="GY1187" s="113"/>
      <c r="GZ1187" s="113"/>
      <c r="HA1187" s="46">
        <v>0</v>
      </c>
      <c r="HB1187" s="113"/>
      <c r="HC1187" s="113"/>
      <c r="HD1187" s="113"/>
      <c r="HE1187" s="113"/>
      <c r="HF1187" s="113"/>
      <c r="HG1187" s="46">
        <v>0</v>
      </c>
      <c r="HH1187" s="113"/>
      <c r="HI1187" s="113"/>
      <c r="HJ1187" s="113"/>
      <c r="HK1187" s="113"/>
      <c r="HL1187" s="113"/>
      <c r="HM1187" s="121"/>
      <c r="HN1187" s="121"/>
      <c r="LM1187" t="str">
        <v/>
      </c>
      <c r="LN1187" t="str">
        <v/>
      </c>
      <c r="LO1187" t="str">
        <v/>
      </c>
    </row>
    <row r="1188" spans="30:327">
      <c r="AD1188" t="s">
        <v>18300</v>
      </c>
      <c r="AE1188" t="s">
        <v>22959</v>
      </c>
      <c r="AF1188" s="46">
        <v>0</v>
      </c>
      <c r="AG1188" s="113"/>
      <c r="AH1188" s="113"/>
      <c r="AI1188" s="113"/>
      <c r="AJ1188" s="113"/>
      <c r="AK1188" s="113"/>
      <c r="AL1188" s="46">
        <v>0</v>
      </c>
      <c r="AM1188" s="113"/>
      <c r="AN1188" s="113"/>
      <c r="AO1188" s="113"/>
      <c r="AP1188" s="113"/>
      <c r="AQ1188" s="113"/>
      <c r="AR1188" s="46">
        <v>0</v>
      </c>
      <c r="AS1188" s="113"/>
      <c r="AT1188" s="113"/>
      <c r="AU1188" s="113"/>
      <c r="AV1188" s="113"/>
      <c r="AW1188" s="113"/>
      <c r="AX1188" s="46">
        <v>0</v>
      </c>
      <c r="AY1188" s="113"/>
      <c r="AZ1188" s="113"/>
      <c r="BA1188" s="113"/>
      <c r="BB1188" s="113"/>
      <c r="BC1188" s="113"/>
      <c r="BD1188" s="46">
        <v>0</v>
      </c>
      <c r="BE1188" s="113"/>
      <c r="BF1188" s="113"/>
      <c r="BG1188" s="113"/>
      <c r="BH1188" s="113"/>
      <c r="BI1188" s="113"/>
      <c r="BJ1188" s="46">
        <v>0</v>
      </c>
      <c r="BK1188" s="113"/>
      <c r="BL1188" s="113"/>
      <c r="BM1188" s="113"/>
      <c r="BN1188" s="113"/>
      <c r="BO1188" s="113"/>
      <c r="BP1188" s="121"/>
      <c r="BQ1188" s="121"/>
      <c r="GA1188" t="s">
        <v>18300</v>
      </c>
      <c r="GB1188" t="s">
        <v>22959</v>
      </c>
      <c r="GC1188" s="46">
        <v>0</v>
      </c>
      <c r="GD1188" s="113"/>
      <c r="GE1188" s="113"/>
      <c r="GF1188" s="113"/>
      <c r="GG1188" s="113"/>
      <c r="GH1188" s="113"/>
      <c r="GI1188" s="46">
        <v>0</v>
      </c>
      <c r="GJ1188" s="113"/>
      <c r="GK1188" s="113"/>
      <c r="GL1188" s="113"/>
      <c r="GM1188" s="113"/>
      <c r="GN1188" s="113"/>
      <c r="GO1188" s="46">
        <v>0</v>
      </c>
      <c r="GP1188" s="113"/>
      <c r="GQ1188" s="113"/>
      <c r="GR1188" s="113"/>
      <c r="GS1188" s="113"/>
      <c r="GT1188" s="113"/>
      <c r="GU1188" s="46">
        <v>0</v>
      </c>
      <c r="GV1188" s="113"/>
      <c r="GW1188" s="113"/>
      <c r="GX1188" s="113"/>
      <c r="GY1188" s="113"/>
      <c r="GZ1188" s="113"/>
      <c r="HA1188" s="46">
        <v>0</v>
      </c>
      <c r="HB1188" s="113"/>
      <c r="HC1188" s="113"/>
      <c r="HD1188" s="113"/>
      <c r="HE1188" s="113"/>
      <c r="HF1188" s="113"/>
      <c r="HG1188" s="46">
        <v>0</v>
      </c>
      <c r="HH1188" s="113"/>
      <c r="HI1188" s="113"/>
      <c r="HJ1188" s="113"/>
      <c r="HK1188" s="113"/>
      <c r="HL1188" s="113"/>
      <c r="HM1188" s="121"/>
      <c r="HN1188" s="121"/>
      <c r="LM1188" t="str">
        <v/>
      </c>
      <c r="LN1188" t="str">
        <v/>
      </c>
      <c r="LO1188" t="str">
        <v/>
      </c>
    </row>
    <row r="1189" spans="30:327">
      <c r="AD1189" t="s">
        <v>18300</v>
      </c>
      <c r="AE1189" t="s">
        <v>22960</v>
      </c>
      <c r="AF1189" s="46">
        <v>0</v>
      </c>
      <c r="AG1189" s="113"/>
      <c r="AH1189" s="113"/>
      <c r="AI1189" s="113"/>
      <c r="AJ1189" s="113"/>
      <c r="AK1189" s="113"/>
      <c r="AL1189" s="46">
        <v>0</v>
      </c>
      <c r="AM1189" s="113"/>
      <c r="AN1189" s="113"/>
      <c r="AO1189" s="113"/>
      <c r="AP1189" s="113"/>
      <c r="AQ1189" s="113"/>
      <c r="AR1189" s="46">
        <v>0</v>
      </c>
      <c r="AS1189" s="113"/>
      <c r="AT1189" s="113"/>
      <c r="AU1189" s="113"/>
      <c r="AV1189" s="113"/>
      <c r="AW1189" s="113"/>
      <c r="AX1189" s="46">
        <v>0</v>
      </c>
      <c r="AY1189" s="113"/>
      <c r="AZ1189" s="113"/>
      <c r="BA1189" s="113"/>
      <c r="BB1189" s="113"/>
      <c r="BC1189" s="113"/>
      <c r="BD1189" s="46">
        <v>0</v>
      </c>
      <c r="BE1189" s="113"/>
      <c r="BF1189" s="113"/>
      <c r="BG1189" s="113"/>
      <c r="BH1189" s="113"/>
      <c r="BI1189" s="113"/>
      <c r="BJ1189" s="46">
        <v>0</v>
      </c>
      <c r="BK1189" s="113"/>
      <c r="BL1189" s="113"/>
      <c r="BM1189" s="113"/>
      <c r="BN1189" s="113"/>
      <c r="BO1189" s="113"/>
      <c r="BP1189" s="121"/>
      <c r="BQ1189" s="121"/>
      <c r="GA1189" t="s">
        <v>18300</v>
      </c>
      <c r="GB1189" t="s">
        <v>22960</v>
      </c>
      <c r="GC1189" s="46">
        <v>0</v>
      </c>
      <c r="GD1189" s="113"/>
      <c r="GE1189" s="113"/>
      <c r="GF1189" s="113"/>
      <c r="GG1189" s="113"/>
      <c r="GH1189" s="113"/>
      <c r="GI1189" s="46">
        <v>0</v>
      </c>
      <c r="GJ1189" s="113"/>
      <c r="GK1189" s="113"/>
      <c r="GL1189" s="113"/>
      <c r="GM1189" s="113"/>
      <c r="GN1189" s="113"/>
      <c r="GO1189" s="46">
        <v>0</v>
      </c>
      <c r="GP1189" s="113"/>
      <c r="GQ1189" s="113"/>
      <c r="GR1189" s="113"/>
      <c r="GS1189" s="113"/>
      <c r="GT1189" s="113"/>
      <c r="GU1189" s="46">
        <v>0</v>
      </c>
      <c r="GV1189" s="113"/>
      <c r="GW1189" s="113"/>
      <c r="GX1189" s="113"/>
      <c r="GY1189" s="113"/>
      <c r="GZ1189" s="113"/>
      <c r="HA1189" s="46">
        <v>0</v>
      </c>
      <c r="HB1189" s="113"/>
      <c r="HC1189" s="113"/>
      <c r="HD1189" s="113"/>
      <c r="HE1189" s="113"/>
      <c r="HF1189" s="113"/>
      <c r="HG1189" s="46">
        <v>0</v>
      </c>
      <c r="HH1189" s="113"/>
      <c r="HI1189" s="113"/>
      <c r="HJ1189" s="113"/>
      <c r="HK1189" s="113"/>
      <c r="HL1189" s="113"/>
      <c r="HM1189" s="121"/>
      <c r="HN1189" s="121"/>
      <c r="LM1189" t="str">
        <v/>
      </c>
      <c r="LN1189" t="str">
        <v/>
      </c>
      <c r="LO1189" t="str">
        <v/>
      </c>
    </row>
    <row r="1190" spans="30:327">
      <c r="AD1190" t="s">
        <v>18300</v>
      </c>
      <c r="AE1190" t="s">
        <v>22961</v>
      </c>
      <c r="AF1190" s="46">
        <v>0</v>
      </c>
      <c r="AG1190" s="113"/>
      <c r="AH1190" s="113"/>
      <c r="AI1190" s="113"/>
      <c r="AJ1190" s="113"/>
      <c r="AK1190" s="113"/>
      <c r="AL1190" s="46">
        <v>0</v>
      </c>
      <c r="AM1190" s="113"/>
      <c r="AN1190" s="113"/>
      <c r="AO1190" s="113"/>
      <c r="AP1190" s="113"/>
      <c r="AQ1190" s="113"/>
      <c r="AR1190" s="46">
        <v>0</v>
      </c>
      <c r="AS1190" s="113"/>
      <c r="AT1190" s="113"/>
      <c r="AU1190" s="113"/>
      <c r="AV1190" s="113"/>
      <c r="AW1190" s="113"/>
      <c r="AX1190" s="46">
        <v>0</v>
      </c>
      <c r="AY1190" s="113"/>
      <c r="AZ1190" s="113"/>
      <c r="BA1190" s="113"/>
      <c r="BB1190" s="113"/>
      <c r="BC1190" s="113"/>
      <c r="BD1190" s="46">
        <v>0</v>
      </c>
      <c r="BE1190" s="113"/>
      <c r="BF1190" s="113"/>
      <c r="BG1190" s="113"/>
      <c r="BH1190" s="113"/>
      <c r="BI1190" s="113"/>
      <c r="BJ1190" s="46">
        <v>0</v>
      </c>
      <c r="BK1190" s="113"/>
      <c r="BL1190" s="113"/>
      <c r="BM1190" s="113"/>
      <c r="BN1190" s="113"/>
      <c r="BO1190" s="113"/>
      <c r="BP1190" s="121"/>
      <c r="BQ1190" s="121"/>
      <c r="GA1190" t="s">
        <v>18300</v>
      </c>
      <c r="GB1190" t="s">
        <v>22961</v>
      </c>
      <c r="GC1190" s="46">
        <v>0</v>
      </c>
      <c r="GD1190" s="113"/>
      <c r="GE1190" s="113"/>
      <c r="GF1190" s="113"/>
      <c r="GG1190" s="113"/>
      <c r="GH1190" s="113"/>
      <c r="GI1190" s="46">
        <v>0</v>
      </c>
      <c r="GJ1190" s="113"/>
      <c r="GK1190" s="113"/>
      <c r="GL1190" s="113"/>
      <c r="GM1190" s="113"/>
      <c r="GN1190" s="113"/>
      <c r="GO1190" s="46">
        <v>0</v>
      </c>
      <c r="GP1190" s="113"/>
      <c r="GQ1190" s="113"/>
      <c r="GR1190" s="113"/>
      <c r="GS1190" s="113"/>
      <c r="GT1190" s="113"/>
      <c r="GU1190" s="46">
        <v>0</v>
      </c>
      <c r="GV1190" s="113"/>
      <c r="GW1190" s="113"/>
      <c r="GX1190" s="113"/>
      <c r="GY1190" s="113"/>
      <c r="GZ1190" s="113"/>
      <c r="HA1190" s="46">
        <v>0</v>
      </c>
      <c r="HB1190" s="113"/>
      <c r="HC1190" s="113"/>
      <c r="HD1190" s="113"/>
      <c r="HE1190" s="113"/>
      <c r="HF1190" s="113"/>
      <c r="HG1190" s="46">
        <v>0</v>
      </c>
      <c r="HH1190" s="113"/>
      <c r="HI1190" s="113"/>
      <c r="HJ1190" s="113"/>
      <c r="HK1190" s="113"/>
      <c r="HL1190" s="113"/>
      <c r="HM1190" s="121"/>
      <c r="HN1190" s="121"/>
      <c r="LM1190" t="str">
        <v/>
      </c>
      <c r="LN1190" t="str">
        <v/>
      </c>
      <c r="LO1190" t="str">
        <v/>
      </c>
    </row>
    <row r="1191" spans="30:327">
      <c r="AD1191" t="s">
        <v>18300</v>
      </c>
      <c r="AE1191" t="s">
        <v>22962</v>
      </c>
      <c r="AF1191" s="46">
        <v>0</v>
      </c>
      <c r="AG1191" s="113"/>
      <c r="AH1191" s="113"/>
      <c r="AI1191" s="113"/>
      <c r="AJ1191" s="113"/>
      <c r="AK1191" s="113"/>
      <c r="AL1191" s="46">
        <v>0</v>
      </c>
      <c r="AM1191" s="113"/>
      <c r="AN1191" s="113"/>
      <c r="AO1191" s="113"/>
      <c r="AP1191" s="113"/>
      <c r="AQ1191" s="113"/>
      <c r="AR1191" s="46">
        <v>0</v>
      </c>
      <c r="AS1191" s="113"/>
      <c r="AT1191" s="113"/>
      <c r="AU1191" s="113"/>
      <c r="AV1191" s="113"/>
      <c r="AW1191" s="113"/>
      <c r="AX1191" s="46">
        <v>0</v>
      </c>
      <c r="AY1191" s="113"/>
      <c r="AZ1191" s="113"/>
      <c r="BA1191" s="113"/>
      <c r="BB1191" s="113"/>
      <c r="BC1191" s="113"/>
      <c r="BD1191" s="46">
        <v>0</v>
      </c>
      <c r="BE1191" s="113"/>
      <c r="BF1191" s="113"/>
      <c r="BG1191" s="113"/>
      <c r="BH1191" s="113"/>
      <c r="BI1191" s="113"/>
      <c r="BJ1191" s="46">
        <v>0</v>
      </c>
      <c r="BK1191" s="113"/>
      <c r="BL1191" s="113"/>
      <c r="BM1191" s="113"/>
      <c r="BN1191" s="113"/>
      <c r="BO1191" s="113"/>
      <c r="BP1191" s="121"/>
      <c r="BQ1191" s="121"/>
      <c r="GA1191" t="s">
        <v>18300</v>
      </c>
      <c r="GB1191" t="s">
        <v>22962</v>
      </c>
      <c r="GC1191" s="46">
        <v>0</v>
      </c>
      <c r="GD1191" s="113"/>
      <c r="GE1191" s="113"/>
      <c r="GF1191" s="113"/>
      <c r="GG1191" s="113"/>
      <c r="GH1191" s="113"/>
      <c r="GI1191" s="46">
        <v>0</v>
      </c>
      <c r="GJ1191" s="113"/>
      <c r="GK1191" s="113"/>
      <c r="GL1191" s="113"/>
      <c r="GM1191" s="113"/>
      <c r="GN1191" s="113"/>
      <c r="GO1191" s="46">
        <v>0</v>
      </c>
      <c r="GP1191" s="113"/>
      <c r="GQ1191" s="113"/>
      <c r="GR1191" s="113"/>
      <c r="GS1191" s="113"/>
      <c r="GT1191" s="113"/>
      <c r="GU1191" s="46">
        <v>0</v>
      </c>
      <c r="GV1191" s="113"/>
      <c r="GW1191" s="113"/>
      <c r="GX1191" s="113"/>
      <c r="GY1191" s="113"/>
      <c r="GZ1191" s="113"/>
      <c r="HA1191" s="46">
        <v>0</v>
      </c>
      <c r="HB1191" s="113"/>
      <c r="HC1191" s="113"/>
      <c r="HD1191" s="113"/>
      <c r="HE1191" s="113"/>
      <c r="HF1191" s="113"/>
      <c r="HG1191" s="46">
        <v>0</v>
      </c>
      <c r="HH1191" s="113"/>
      <c r="HI1191" s="113"/>
      <c r="HJ1191" s="113"/>
      <c r="HK1191" s="113"/>
      <c r="HL1191" s="113"/>
      <c r="HM1191" s="121"/>
      <c r="HN1191" s="121"/>
      <c r="LM1191" t="str">
        <v/>
      </c>
      <c r="LN1191" t="str">
        <v/>
      </c>
      <c r="LO1191" t="str">
        <v/>
      </c>
    </row>
    <row r="1192" spans="30:327">
      <c r="AD1192" t="s">
        <v>18300</v>
      </c>
      <c r="AE1192" t="s">
        <v>22963</v>
      </c>
      <c r="AF1192" s="46">
        <v>0</v>
      </c>
      <c r="AG1192" s="113"/>
      <c r="AH1192" s="113"/>
      <c r="AI1192" s="113"/>
      <c r="AJ1192" s="113"/>
      <c r="AK1192" s="113"/>
      <c r="AL1192" s="46">
        <v>0</v>
      </c>
      <c r="AM1192" s="113"/>
      <c r="AN1192" s="113"/>
      <c r="AO1192" s="113"/>
      <c r="AP1192" s="113"/>
      <c r="AQ1192" s="113"/>
      <c r="AR1192" s="46">
        <v>0</v>
      </c>
      <c r="AS1192" s="113"/>
      <c r="AT1192" s="113"/>
      <c r="AU1192" s="113"/>
      <c r="AV1192" s="113"/>
      <c r="AW1192" s="113"/>
      <c r="AX1192" s="46">
        <v>0</v>
      </c>
      <c r="AY1192" s="113"/>
      <c r="AZ1192" s="113"/>
      <c r="BA1192" s="113"/>
      <c r="BB1192" s="113"/>
      <c r="BC1192" s="113"/>
      <c r="BD1192" s="46">
        <v>0</v>
      </c>
      <c r="BE1192" s="113"/>
      <c r="BF1192" s="113"/>
      <c r="BG1192" s="113"/>
      <c r="BH1192" s="113"/>
      <c r="BI1192" s="113"/>
      <c r="BJ1192" s="46">
        <v>0</v>
      </c>
      <c r="BK1192" s="113"/>
      <c r="BL1192" s="113"/>
      <c r="BM1192" s="113"/>
      <c r="BN1192" s="113"/>
      <c r="BO1192" s="113"/>
      <c r="BP1192" s="121"/>
      <c r="BQ1192" s="121"/>
      <c r="GA1192" t="s">
        <v>18300</v>
      </c>
      <c r="GB1192" t="s">
        <v>22963</v>
      </c>
      <c r="GC1192" s="46">
        <v>0</v>
      </c>
      <c r="GD1192" s="113"/>
      <c r="GE1192" s="113"/>
      <c r="GF1192" s="113"/>
      <c r="GG1192" s="113"/>
      <c r="GH1192" s="113"/>
      <c r="GI1192" s="46">
        <v>0</v>
      </c>
      <c r="GJ1192" s="113"/>
      <c r="GK1192" s="113"/>
      <c r="GL1192" s="113"/>
      <c r="GM1192" s="113"/>
      <c r="GN1192" s="113"/>
      <c r="GO1192" s="46">
        <v>0</v>
      </c>
      <c r="GP1192" s="113"/>
      <c r="GQ1192" s="113"/>
      <c r="GR1192" s="113"/>
      <c r="GS1192" s="113"/>
      <c r="GT1192" s="113"/>
      <c r="GU1192" s="46">
        <v>0</v>
      </c>
      <c r="GV1192" s="113"/>
      <c r="GW1192" s="113"/>
      <c r="GX1192" s="113"/>
      <c r="GY1192" s="113"/>
      <c r="GZ1192" s="113"/>
      <c r="HA1192" s="46">
        <v>0</v>
      </c>
      <c r="HB1192" s="113"/>
      <c r="HC1192" s="113"/>
      <c r="HD1192" s="113"/>
      <c r="HE1192" s="113"/>
      <c r="HF1192" s="113"/>
      <c r="HG1192" s="46">
        <v>0</v>
      </c>
      <c r="HH1192" s="113"/>
      <c r="HI1192" s="113"/>
      <c r="HJ1192" s="113"/>
      <c r="HK1192" s="113"/>
      <c r="HL1192" s="113"/>
      <c r="HM1192" s="121"/>
      <c r="HN1192" s="121"/>
      <c r="LM1192" t="str">
        <v/>
      </c>
      <c r="LN1192" t="str">
        <v/>
      </c>
      <c r="LO1192" t="str">
        <v/>
      </c>
    </row>
    <row r="1193" spans="30:327">
      <c r="AD1193" t="s">
        <v>18300</v>
      </c>
      <c r="AE1193" t="s">
        <v>22964</v>
      </c>
      <c r="AF1193" s="46">
        <v>0</v>
      </c>
      <c r="AG1193" s="113"/>
      <c r="AH1193" s="113"/>
      <c r="AI1193" s="113"/>
      <c r="AJ1193" s="113"/>
      <c r="AK1193" s="113"/>
      <c r="AL1193" s="46">
        <v>0</v>
      </c>
      <c r="AM1193" s="113"/>
      <c r="AN1193" s="113"/>
      <c r="AO1193" s="113"/>
      <c r="AP1193" s="113"/>
      <c r="AQ1193" s="113"/>
      <c r="AR1193" s="46">
        <v>0</v>
      </c>
      <c r="AS1193" s="113"/>
      <c r="AT1193" s="113"/>
      <c r="AU1193" s="113"/>
      <c r="AV1193" s="113"/>
      <c r="AW1193" s="113"/>
      <c r="AX1193" s="46">
        <v>0</v>
      </c>
      <c r="AY1193" s="113"/>
      <c r="AZ1193" s="113"/>
      <c r="BA1193" s="113"/>
      <c r="BB1193" s="113"/>
      <c r="BC1193" s="113"/>
      <c r="BD1193" s="46">
        <v>0</v>
      </c>
      <c r="BE1193" s="113"/>
      <c r="BF1193" s="113"/>
      <c r="BG1193" s="113"/>
      <c r="BH1193" s="113"/>
      <c r="BI1193" s="113"/>
      <c r="BJ1193" s="46">
        <v>0</v>
      </c>
      <c r="BK1193" s="113"/>
      <c r="BL1193" s="113"/>
      <c r="BM1193" s="113"/>
      <c r="BN1193" s="113"/>
      <c r="BO1193" s="113"/>
      <c r="BP1193" s="121"/>
      <c r="BQ1193" s="121"/>
      <c r="GA1193" t="s">
        <v>18300</v>
      </c>
      <c r="GB1193" t="s">
        <v>22964</v>
      </c>
      <c r="GC1193" s="46">
        <v>0</v>
      </c>
      <c r="GD1193" s="113"/>
      <c r="GE1193" s="113"/>
      <c r="GF1193" s="113"/>
      <c r="GG1193" s="113"/>
      <c r="GH1193" s="113"/>
      <c r="GI1193" s="46">
        <v>0</v>
      </c>
      <c r="GJ1193" s="113"/>
      <c r="GK1193" s="113"/>
      <c r="GL1193" s="113"/>
      <c r="GM1193" s="113"/>
      <c r="GN1193" s="113"/>
      <c r="GO1193" s="46">
        <v>0</v>
      </c>
      <c r="GP1193" s="113"/>
      <c r="GQ1193" s="113"/>
      <c r="GR1193" s="113"/>
      <c r="GS1193" s="113"/>
      <c r="GT1193" s="113"/>
      <c r="GU1193" s="46">
        <v>0</v>
      </c>
      <c r="GV1193" s="113"/>
      <c r="GW1193" s="113"/>
      <c r="GX1193" s="113"/>
      <c r="GY1193" s="113"/>
      <c r="GZ1193" s="113"/>
      <c r="HA1193" s="46">
        <v>0</v>
      </c>
      <c r="HB1193" s="113"/>
      <c r="HC1193" s="113"/>
      <c r="HD1193" s="113"/>
      <c r="HE1193" s="113"/>
      <c r="HF1193" s="113"/>
      <c r="HG1193" s="46">
        <v>0</v>
      </c>
      <c r="HH1193" s="113"/>
      <c r="HI1193" s="113"/>
      <c r="HJ1193" s="113"/>
      <c r="HK1193" s="113"/>
      <c r="HL1193" s="113"/>
      <c r="HM1193" s="121"/>
      <c r="HN1193" s="121"/>
      <c r="LM1193" t="str">
        <v/>
      </c>
      <c r="LN1193" t="str">
        <v/>
      </c>
      <c r="LO1193" t="str">
        <v/>
      </c>
    </row>
    <row r="1194" spans="30:327">
      <c r="AD1194" t="s">
        <v>18300</v>
      </c>
      <c r="AE1194" t="s">
        <v>22965</v>
      </c>
      <c r="AF1194" s="46">
        <v>0</v>
      </c>
      <c r="AG1194" s="113"/>
      <c r="AH1194" s="113"/>
      <c r="AI1194" s="113"/>
      <c r="AJ1194" s="113"/>
      <c r="AK1194" s="113"/>
      <c r="AL1194" s="46">
        <v>0</v>
      </c>
      <c r="AM1194" s="113"/>
      <c r="AN1194" s="113"/>
      <c r="AO1194" s="113"/>
      <c r="AP1194" s="113"/>
      <c r="AQ1194" s="113"/>
      <c r="AR1194" s="46">
        <v>0</v>
      </c>
      <c r="AS1194" s="113"/>
      <c r="AT1194" s="113"/>
      <c r="AU1194" s="113"/>
      <c r="AV1194" s="113"/>
      <c r="AW1194" s="113"/>
      <c r="AX1194" s="46">
        <v>0</v>
      </c>
      <c r="AY1194" s="113"/>
      <c r="AZ1194" s="113"/>
      <c r="BA1194" s="113"/>
      <c r="BB1194" s="113"/>
      <c r="BC1194" s="113"/>
      <c r="BD1194" s="46">
        <v>0</v>
      </c>
      <c r="BE1194" s="113"/>
      <c r="BF1194" s="113"/>
      <c r="BG1194" s="113"/>
      <c r="BH1194" s="113"/>
      <c r="BI1194" s="113"/>
      <c r="BJ1194" s="46">
        <v>0</v>
      </c>
      <c r="BK1194" s="113"/>
      <c r="BL1194" s="113"/>
      <c r="BM1194" s="113"/>
      <c r="BN1194" s="113"/>
      <c r="BO1194" s="113"/>
      <c r="BP1194" s="121"/>
      <c r="BQ1194" s="121"/>
      <c r="GA1194" t="s">
        <v>18300</v>
      </c>
      <c r="GB1194" t="s">
        <v>22965</v>
      </c>
      <c r="GC1194" s="46">
        <v>0</v>
      </c>
      <c r="GD1194" s="113"/>
      <c r="GE1194" s="113"/>
      <c r="GF1194" s="113"/>
      <c r="GG1194" s="113"/>
      <c r="GH1194" s="113"/>
      <c r="GI1194" s="46">
        <v>0</v>
      </c>
      <c r="GJ1194" s="113"/>
      <c r="GK1194" s="113"/>
      <c r="GL1194" s="113"/>
      <c r="GM1194" s="113"/>
      <c r="GN1194" s="113"/>
      <c r="GO1194" s="46">
        <v>0</v>
      </c>
      <c r="GP1194" s="113"/>
      <c r="GQ1194" s="113"/>
      <c r="GR1194" s="113"/>
      <c r="GS1194" s="113"/>
      <c r="GT1194" s="113"/>
      <c r="GU1194" s="46">
        <v>0</v>
      </c>
      <c r="GV1194" s="113"/>
      <c r="GW1194" s="113"/>
      <c r="GX1194" s="113"/>
      <c r="GY1194" s="113"/>
      <c r="GZ1194" s="113"/>
      <c r="HA1194" s="46">
        <v>0</v>
      </c>
      <c r="HB1194" s="113"/>
      <c r="HC1194" s="113"/>
      <c r="HD1194" s="113"/>
      <c r="HE1194" s="113"/>
      <c r="HF1194" s="113"/>
      <c r="HG1194" s="46">
        <v>0</v>
      </c>
      <c r="HH1194" s="113"/>
      <c r="HI1194" s="113"/>
      <c r="HJ1194" s="113"/>
      <c r="HK1194" s="113"/>
      <c r="HL1194" s="113"/>
      <c r="HM1194" s="121"/>
      <c r="HN1194" s="121"/>
      <c r="LM1194" t="str">
        <v/>
      </c>
      <c r="LN1194" t="str">
        <v/>
      </c>
      <c r="LO1194" t="str">
        <v/>
      </c>
    </row>
    <row r="1195" spans="30:327">
      <c r="AD1195" t="s">
        <v>18300</v>
      </c>
      <c r="AE1195" t="s">
        <v>22966</v>
      </c>
      <c r="AF1195" s="46">
        <v>0</v>
      </c>
      <c r="AG1195" s="113"/>
      <c r="AH1195" s="113"/>
      <c r="AI1195" s="113"/>
      <c r="AJ1195" s="113"/>
      <c r="AK1195" s="113"/>
      <c r="AL1195" s="46">
        <v>0</v>
      </c>
      <c r="AM1195" s="113"/>
      <c r="AN1195" s="113"/>
      <c r="AO1195" s="113"/>
      <c r="AP1195" s="113"/>
      <c r="AQ1195" s="113"/>
      <c r="AR1195" s="46">
        <v>0</v>
      </c>
      <c r="AS1195" s="113"/>
      <c r="AT1195" s="113"/>
      <c r="AU1195" s="113"/>
      <c r="AV1195" s="113"/>
      <c r="AW1195" s="113"/>
      <c r="AX1195" s="46">
        <v>0</v>
      </c>
      <c r="AY1195" s="113"/>
      <c r="AZ1195" s="113"/>
      <c r="BA1195" s="113"/>
      <c r="BB1195" s="113"/>
      <c r="BC1195" s="113"/>
      <c r="BD1195" s="46">
        <v>0</v>
      </c>
      <c r="BE1195" s="113"/>
      <c r="BF1195" s="113"/>
      <c r="BG1195" s="113"/>
      <c r="BH1195" s="113"/>
      <c r="BI1195" s="113"/>
      <c r="BJ1195" s="46">
        <v>0</v>
      </c>
      <c r="BK1195" s="113"/>
      <c r="BL1195" s="113"/>
      <c r="BM1195" s="113"/>
      <c r="BN1195" s="113"/>
      <c r="BO1195" s="113"/>
      <c r="BP1195" s="121"/>
      <c r="BQ1195" s="121"/>
      <c r="GA1195" t="s">
        <v>18300</v>
      </c>
      <c r="GB1195" t="s">
        <v>22966</v>
      </c>
      <c r="GC1195" s="46">
        <v>0</v>
      </c>
      <c r="GD1195" s="113"/>
      <c r="GE1195" s="113"/>
      <c r="GF1195" s="113"/>
      <c r="GG1195" s="113"/>
      <c r="GH1195" s="113"/>
      <c r="GI1195" s="46">
        <v>0</v>
      </c>
      <c r="GJ1195" s="113"/>
      <c r="GK1195" s="113"/>
      <c r="GL1195" s="113"/>
      <c r="GM1195" s="113"/>
      <c r="GN1195" s="113"/>
      <c r="GO1195" s="46">
        <v>0</v>
      </c>
      <c r="GP1195" s="113"/>
      <c r="GQ1195" s="113"/>
      <c r="GR1195" s="113"/>
      <c r="GS1195" s="113"/>
      <c r="GT1195" s="113"/>
      <c r="GU1195" s="46">
        <v>0</v>
      </c>
      <c r="GV1195" s="113"/>
      <c r="GW1195" s="113"/>
      <c r="GX1195" s="113"/>
      <c r="GY1195" s="113"/>
      <c r="GZ1195" s="113"/>
      <c r="HA1195" s="46">
        <v>0</v>
      </c>
      <c r="HB1195" s="113"/>
      <c r="HC1195" s="113"/>
      <c r="HD1195" s="113"/>
      <c r="HE1195" s="113"/>
      <c r="HF1195" s="113"/>
      <c r="HG1195" s="46">
        <v>0</v>
      </c>
      <c r="HH1195" s="113"/>
      <c r="HI1195" s="113"/>
      <c r="HJ1195" s="113"/>
      <c r="HK1195" s="113"/>
      <c r="HL1195" s="113"/>
      <c r="HM1195" s="121"/>
      <c r="HN1195" s="121"/>
      <c r="LM1195" t="str">
        <v/>
      </c>
      <c r="LN1195" t="str">
        <v/>
      </c>
      <c r="LO1195" t="str">
        <v/>
      </c>
    </row>
    <row r="1196" spans="30:327">
      <c r="AD1196" t="s">
        <v>18300</v>
      </c>
      <c r="AE1196" t="s">
        <v>22967</v>
      </c>
      <c r="AF1196" s="46">
        <v>0</v>
      </c>
      <c r="AG1196" s="113"/>
      <c r="AH1196" s="113"/>
      <c r="AI1196" s="113"/>
      <c r="AJ1196" s="113"/>
      <c r="AK1196" s="113"/>
      <c r="AL1196" s="46">
        <v>0</v>
      </c>
      <c r="AM1196" s="113"/>
      <c r="AN1196" s="113"/>
      <c r="AO1196" s="113"/>
      <c r="AP1196" s="113"/>
      <c r="AQ1196" s="113"/>
      <c r="AR1196" s="46">
        <v>0</v>
      </c>
      <c r="AS1196" s="113"/>
      <c r="AT1196" s="113"/>
      <c r="AU1196" s="113"/>
      <c r="AV1196" s="113"/>
      <c r="AW1196" s="113"/>
      <c r="AX1196" s="46">
        <v>0</v>
      </c>
      <c r="AY1196" s="113"/>
      <c r="AZ1196" s="113"/>
      <c r="BA1196" s="113"/>
      <c r="BB1196" s="113"/>
      <c r="BC1196" s="113"/>
      <c r="BD1196" s="46">
        <v>0</v>
      </c>
      <c r="BE1196" s="113"/>
      <c r="BF1196" s="113"/>
      <c r="BG1196" s="113"/>
      <c r="BH1196" s="113"/>
      <c r="BI1196" s="113"/>
      <c r="BJ1196" s="46">
        <v>0</v>
      </c>
      <c r="BK1196" s="113"/>
      <c r="BL1196" s="113"/>
      <c r="BM1196" s="113"/>
      <c r="BN1196" s="113"/>
      <c r="BO1196" s="113"/>
      <c r="BP1196" s="121"/>
      <c r="BQ1196" s="121"/>
      <c r="GA1196" t="s">
        <v>18300</v>
      </c>
      <c r="GB1196" t="s">
        <v>22967</v>
      </c>
      <c r="GC1196" s="46">
        <v>0</v>
      </c>
      <c r="GD1196" s="113"/>
      <c r="GE1196" s="113"/>
      <c r="GF1196" s="113"/>
      <c r="GG1196" s="113"/>
      <c r="GH1196" s="113"/>
      <c r="GI1196" s="46">
        <v>0</v>
      </c>
      <c r="GJ1196" s="113"/>
      <c r="GK1196" s="113"/>
      <c r="GL1196" s="113"/>
      <c r="GM1196" s="113"/>
      <c r="GN1196" s="113"/>
      <c r="GO1196" s="46">
        <v>0</v>
      </c>
      <c r="GP1196" s="113"/>
      <c r="GQ1196" s="113"/>
      <c r="GR1196" s="113"/>
      <c r="GS1196" s="113"/>
      <c r="GT1196" s="113"/>
      <c r="GU1196" s="46">
        <v>0</v>
      </c>
      <c r="GV1196" s="113"/>
      <c r="GW1196" s="113"/>
      <c r="GX1196" s="113"/>
      <c r="GY1196" s="113"/>
      <c r="GZ1196" s="113"/>
      <c r="HA1196" s="46">
        <v>0</v>
      </c>
      <c r="HB1196" s="113"/>
      <c r="HC1196" s="113"/>
      <c r="HD1196" s="113"/>
      <c r="HE1196" s="113"/>
      <c r="HF1196" s="113"/>
      <c r="HG1196" s="46">
        <v>0</v>
      </c>
      <c r="HH1196" s="113"/>
      <c r="HI1196" s="113"/>
      <c r="HJ1196" s="113"/>
      <c r="HK1196" s="113"/>
      <c r="HL1196" s="113"/>
      <c r="HM1196" s="121"/>
      <c r="HN1196" s="121"/>
      <c r="LM1196" t="str">
        <v/>
      </c>
      <c r="LN1196" t="str">
        <v/>
      </c>
      <c r="LO1196" t="str">
        <v/>
      </c>
    </row>
    <row r="1197" spans="30:327">
      <c r="AD1197" t="s">
        <v>18300</v>
      </c>
      <c r="AE1197" t="s">
        <v>22968</v>
      </c>
      <c r="AF1197" s="46">
        <v>0</v>
      </c>
      <c r="AG1197" s="113"/>
      <c r="AH1197" s="113"/>
      <c r="AI1197" s="113"/>
      <c r="AJ1197" s="113"/>
      <c r="AK1197" s="113"/>
      <c r="AL1197" s="46">
        <v>0</v>
      </c>
      <c r="AM1197" s="113"/>
      <c r="AN1197" s="113"/>
      <c r="AO1197" s="113"/>
      <c r="AP1197" s="113"/>
      <c r="AQ1197" s="113"/>
      <c r="AR1197" s="46">
        <v>0</v>
      </c>
      <c r="AS1197" s="113"/>
      <c r="AT1197" s="113"/>
      <c r="AU1197" s="113"/>
      <c r="AV1197" s="113"/>
      <c r="AW1197" s="113"/>
      <c r="AX1197" s="46">
        <v>0</v>
      </c>
      <c r="AY1197" s="113"/>
      <c r="AZ1197" s="113"/>
      <c r="BA1197" s="113"/>
      <c r="BB1197" s="113"/>
      <c r="BC1197" s="113"/>
      <c r="BD1197" s="46">
        <v>0</v>
      </c>
      <c r="BE1197" s="113"/>
      <c r="BF1197" s="113"/>
      <c r="BG1197" s="113"/>
      <c r="BH1197" s="113"/>
      <c r="BI1197" s="113"/>
      <c r="BJ1197" s="46">
        <v>0</v>
      </c>
      <c r="BK1197" s="113"/>
      <c r="BL1197" s="113"/>
      <c r="BM1197" s="113"/>
      <c r="BN1197" s="113"/>
      <c r="BO1197" s="113"/>
      <c r="BP1197" s="121"/>
      <c r="BQ1197" s="121"/>
      <c r="GA1197" t="s">
        <v>18300</v>
      </c>
      <c r="GB1197" t="s">
        <v>22968</v>
      </c>
      <c r="GC1197" s="46">
        <v>0</v>
      </c>
      <c r="GD1197" s="113"/>
      <c r="GE1197" s="113"/>
      <c r="GF1197" s="113"/>
      <c r="GG1197" s="113"/>
      <c r="GH1197" s="113"/>
      <c r="GI1197" s="46">
        <v>0</v>
      </c>
      <c r="GJ1197" s="113"/>
      <c r="GK1197" s="113"/>
      <c r="GL1197" s="113"/>
      <c r="GM1197" s="113"/>
      <c r="GN1197" s="113"/>
      <c r="GO1197" s="46">
        <v>0</v>
      </c>
      <c r="GP1197" s="113"/>
      <c r="GQ1197" s="113"/>
      <c r="GR1197" s="113"/>
      <c r="GS1197" s="113"/>
      <c r="GT1197" s="113"/>
      <c r="GU1197" s="46">
        <v>0</v>
      </c>
      <c r="GV1197" s="113"/>
      <c r="GW1197" s="113"/>
      <c r="GX1197" s="113"/>
      <c r="GY1197" s="113"/>
      <c r="GZ1197" s="113"/>
      <c r="HA1197" s="46">
        <v>0</v>
      </c>
      <c r="HB1197" s="113"/>
      <c r="HC1197" s="113"/>
      <c r="HD1197" s="113"/>
      <c r="HE1197" s="113"/>
      <c r="HF1197" s="113"/>
      <c r="HG1197" s="46">
        <v>0</v>
      </c>
      <c r="HH1197" s="113"/>
      <c r="HI1197" s="113"/>
      <c r="HJ1197" s="113"/>
      <c r="HK1197" s="113"/>
      <c r="HL1197" s="113"/>
      <c r="HM1197" s="121"/>
      <c r="HN1197" s="121"/>
      <c r="LM1197" t="str">
        <v/>
      </c>
      <c r="LN1197" t="str">
        <v/>
      </c>
      <c r="LO1197" t="str">
        <v/>
      </c>
    </row>
    <row r="1198" spans="30:327">
      <c r="AD1198" t="s">
        <v>18300</v>
      </c>
      <c r="AE1198" t="s">
        <v>22969</v>
      </c>
      <c r="AF1198" s="46">
        <v>0</v>
      </c>
      <c r="AG1198" s="113"/>
      <c r="AH1198" s="113"/>
      <c r="AI1198" s="113"/>
      <c r="AJ1198" s="113"/>
      <c r="AK1198" s="113"/>
      <c r="AL1198" s="46">
        <v>0</v>
      </c>
      <c r="AM1198" s="113"/>
      <c r="AN1198" s="113"/>
      <c r="AO1198" s="113"/>
      <c r="AP1198" s="113"/>
      <c r="AQ1198" s="113"/>
      <c r="AR1198" s="46">
        <v>0</v>
      </c>
      <c r="AS1198" s="113"/>
      <c r="AT1198" s="113"/>
      <c r="AU1198" s="113"/>
      <c r="AV1198" s="113"/>
      <c r="AW1198" s="113"/>
      <c r="AX1198" s="46">
        <v>0</v>
      </c>
      <c r="AY1198" s="113"/>
      <c r="AZ1198" s="113"/>
      <c r="BA1198" s="113"/>
      <c r="BB1198" s="113"/>
      <c r="BC1198" s="113"/>
      <c r="BD1198" s="46">
        <v>0</v>
      </c>
      <c r="BE1198" s="113"/>
      <c r="BF1198" s="113"/>
      <c r="BG1198" s="113"/>
      <c r="BH1198" s="113"/>
      <c r="BI1198" s="113"/>
      <c r="BJ1198" s="46">
        <v>0</v>
      </c>
      <c r="BK1198" s="113"/>
      <c r="BL1198" s="113"/>
      <c r="BM1198" s="113"/>
      <c r="BN1198" s="113"/>
      <c r="BO1198" s="113"/>
      <c r="BP1198" s="121"/>
      <c r="BQ1198" s="121"/>
      <c r="GA1198" t="s">
        <v>18300</v>
      </c>
      <c r="GB1198" t="s">
        <v>22969</v>
      </c>
      <c r="GC1198" s="46">
        <v>0</v>
      </c>
      <c r="GD1198" s="113"/>
      <c r="GE1198" s="113"/>
      <c r="GF1198" s="113"/>
      <c r="GG1198" s="113"/>
      <c r="GH1198" s="113"/>
      <c r="GI1198" s="46">
        <v>0</v>
      </c>
      <c r="GJ1198" s="113"/>
      <c r="GK1198" s="113"/>
      <c r="GL1198" s="113"/>
      <c r="GM1198" s="113"/>
      <c r="GN1198" s="113"/>
      <c r="GO1198" s="46">
        <v>0</v>
      </c>
      <c r="GP1198" s="113"/>
      <c r="GQ1198" s="113"/>
      <c r="GR1198" s="113"/>
      <c r="GS1198" s="113"/>
      <c r="GT1198" s="113"/>
      <c r="GU1198" s="46">
        <v>0</v>
      </c>
      <c r="GV1198" s="113"/>
      <c r="GW1198" s="113"/>
      <c r="GX1198" s="113"/>
      <c r="GY1198" s="113"/>
      <c r="GZ1198" s="113"/>
      <c r="HA1198" s="46">
        <v>0</v>
      </c>
      <c r="HB1198" s="113"/>
      <c r="HC1198" s="113"/>
      <c r="HD1198" s="113"/>
      <c r="HE1198" s="113"/>
      <c r="HF1198" s="113"/>
      <c r="HG1198" s="46">
        <v>0</v>
      </c>
      <c r="HH1198" s="113"/>
      <c r="HI1198" s="113"/>
      <c r="HJ1198" s="113"/>
      <c r="HK1198" s="113"/>
      <c r="HL1198" s="113"/>
      <c r="HM1198" s="121"/>
      <c r="HN1198" s="121"/>
      <c r="LM1198" t="str">
        <v/>
      </c>
      <c r="LN1198" t="str">
        <v/>
      </c>
      <c r="LO1198" t="str">
        <v/>
      </c>
    </row>
    <row r="1199" spans="30:327">
      <c r="AD1199" t="s">
        <v>18300</v>
      </c>
      <c r="AE1199" t="s">
        <v>22970</v>
      </c>
      <c r="AF1199" s="46">
        <v>0</v>
      </c>
      <c r="AG1199" s="113"/>
      <c r="AH1199" s="113"/>
      <c r="AI1199" s="113"/>
      <c r="AJ1199" s="113"/>
      <c r="AK1199" s="113"/>
      <c r="AL1199" s="46">
        <v>0</v>
      </c>
      <c r="AM1199" s="113"/>
      <c r="AN1199" s="113"/>
      <c r="AO1199" s="113"/>
      <c r="AP1199" s="113"/>
      <c r="AQ1199" s="113"/>
      <c r="AR1199" s="46">
        <v>0</v>
      </c>
      <c r="AS1199" s="113"/>
      <c r="AT1199" s="113"/>
      <c r="AU1199" s="113"/>
      <c r="AV1199" s="113"/>
      <c r="AW1199" s="113"/>
      <c r="AX1199" s="46">
        <v>0</v>
      </c>
      <c r="AY1199" s="113"/>
      <c r="AZ1199" s="113"/>
      <c r="BA1199" s="113"/>
      <c r="BB1199" s="113"/>
      <c r="BC1199" s="113"/>
      <c r="BD1199" s="46">
        <v>0</v>
      </c>
      <c r="BE1199" s="113"/>
      <c r="BF1199" s="113"/>
      <c r="BG1199" s="113"/>
      <c r="BH1199" s="113"/>
      <c r="BI1199" s="113"/>
      <c r="BJ1199" s="46">
        <v>0</v>
      </c>
      <c r="BK1199" s="113"/>
      <c r="BL1199" s="113"/>
      <c r="BM1199" s="113"/>
      <c r="BN1199" s="113"/>
      <c r="BO1199" s="113"/>
      <c r="BP1199" s="121"/>
      <c r="BQ1199" s="121"/>
      <c r="GA1199" t="s">
        <v>18300</v>
      </c>
      <c r="GB1199" t="s">
        <v>22970</v>
      </c>
      <c r="GC1199" s="46">
        <v>0</v>
      </c>
      <c r="GD1199" s="113"/>
      <c r="GE1199" s="113"/>
      <c r="GF1199" s="113"/>
      <c r="GG1199" s="113"/>
      <c r="GH1199" s="113"/>
      <c r="GI1199" s="46">
        <v>0</v>
      </c>
      <c r="GJ1199" s="113"/>
      <c r="GK1199" s="113"/>
      <c r="GL1199" s="113"/>
      <c r="GM1199" s="113"/>
      <c r="GN1199" s="113"/>
      <c r="GO1199" s="46">
        <v>0</v>
      </c>
      <c r="GP1199" s="113"/>
      <c r="GQ1199" s="113"/>
      <c r="GR1199" s="113"/>
      <c r="GS1199" s="113"/>
      <c r="GT1199" s="113"/>
      <c r="GU1199" s="46">
        <v>0</v>
      </c>
      <c r="GV1199" s="113"/>
      <c r="GW1199" s="113"/>
      <c r="GX1199" s="113"/>
      <c r="GY1199" s="113"/>
      <c r="GZ1199" s="113"/>
      <c r="HA1199" s="46">
        <v>0</v>
      </c>
      <c r="HB1199" s="113"/>
      <c r="HC1199" s="113"/>
      <c r="HD1199" s="113"/>
      <c r="HE1199" s="113"/>
      <c r="HF1199" s="113"/>
      <c r="HG1199" s="46">
        <v>0</v>
      </c>
      <c r="HH1199" s="113"/>
      <c r="HI1199" s="113"/>
      <c r="HJ1199" s="113"/>
      <c r="HK1199" s="113"/>
      <c r="HL1199" s="113"/>
      <c r="HM1199" s="121"/>
      <c r="HN1199" s="121"/>
      <c r="LM1199" t="str">
        <v/>
      </c>
      <c r="LN1199" t="str">
        <v/>
      </c>
      <c r="LO1199" t="str">
        <v/>
      </c>
    </row>
    <row r="1200" spans="30:327">
      <c r="AD1200" t="s">
        <v>18300</v>
      </c>
      <c r="AE1200" t="s">
        <v>22971</v>
      </c>
      <c r="AF1200" s="46">
        <v>0</v>
      </c>
      <c r="AG1200" s="113"/>
      <c r="AH1200" s="113"/>
      <c r="AI1200" s="113"/>
      <c r="AJ1200" s="113"/>
      <c r="AK1200" s="113"/>
      <c r="AL1200" s="46">
        <v>0</v>
      </c>
      <c r="AM1200" s="113"/>
      <c r="AN1200" s="113"/>
      <c r="AO1200" s="113"/>
      <c r="AP1200" s="113"/>
      <c r="AQ1200" s="113"/>
      <c r="AR1200" s="46">
        <v>0</v>
      </c>
      <c r="AS1200" s="113"/>
      <c r="AT1200" s="113"/>
      <c r="AU1200" s="113"/>
      <c r="AV1200" s="113"/>
      <c r="AW1200" s="113"/>
      <c r="AX1200" s="46">
        <v>0</v>
      </c>
      <c r="AY1200" s="113"/>
      <c r="AZ1200" s="113"/>
      <c r="BA1200" s="113"/>
      <c r="BB1200" s="113"/>
      <c r="BC1200" s="113"/>
      <c r="BD1200" s="46">
        <v>0</v>
      </c>
      <c r="BE1200" s="113"/>
      <c r="BF1200" s="113"/>
      <c r="BG1200" s="113"/>
      <c r="BH1200" s="113"/>
      <c r="BI1200" s="113"/>
      <c r="BJ1200" s="46">
        <v>0</v>
      </c>
      <c r="BK1200" s="113"/>
      <c r="BL1200" s="113"/>
      <c r="BM1200" s="113"/>
      <c r="BN1200" s="113"/>
      <c r="BO1200" s="113"/>
      <c r="BP1200" s="121"/>
      <c r="BQ1200" s="121"/>
      <c r="GA1200" t="s">
        <v>18300</v>
      </c>
      <c r="GB1200" t="s">
        <v>22971</v>
      </c>
      <c r="GC1200" s="46">
        <v>0</v>
      </c>
      <c r="GD1200" s="113"/>
      <c r="GE1200" s="113"/>
      <c r="GF1200" s="113"/>
      <c r="GG1200" s="113"/>
      <c r="GH1200" s="113"/>
      <c r="GI1200" s="46">
        <v>0</v>
      </c>
      <c r="GJ1200" s="113"/>
      <c r="GK1200" s="113"/>
      <c r="GL1200" s="113"/>
      <c r="GM1200" s="113"/>
      <c r="GN1200" s="113"/>
      <c r="GO1200" s="46">
        <v>0</v>
      </c>
      <c r="GP1200" s="113"/>
      <c r="GQ1200" s="113"/>
      <c r="GR1200" s="113"/>
      <c r="GS1200" s="113"/>
      <c r="GT1200" s="113"/>
      <c r="GU1200" s="46">
        <v>0</v>
      </c>
      <c r="GV1200" s="113"/>
      <c r="GW1200" s="113"/>
      <c r="GX1200" s="113"/>
      <c r="GY1200" s="113"/>
      <c r="GZ1200" s="113"/>
      <c r="HA1200" s="46">
        <v>0</v>
      </c>
      <c r="HB1200" s="113"/>
      <c r="HC1200" s="113"/>
      <c r="HD1200" s="113"/>
      <c r="HE1200" s="113"/>
      <c r="HF1200" s="113"/>
      <c r="HG1200" s="46">
        <v>0</v>
      </c>
      <c r="HH1200" s="113"/>
      <c r="HI1200" s="113"/>
      <c r="HJ1200" s="113"/>
      <c r="HK1200" s="113"/>
      <c r="HL1200" s="113"/>
      <c r="HM1200" s="121"/>
      <c r="HN1200" s="121"/>
      <c r="LM1200" t="str">
        <v/>
      </c>
      <c r="LN1200" t="str">
        <v/>
      </c>
      <c r="LO1200" t="str">
        <v/>
      </c>
    </row>
    <row r="1201" spans="30:327">
      <c r="AD1201" t="s">
        <v>18300</v>
      </c>
      <c r="AE1201" t="s">
        <v>22972</v>
      </c>
      <c r="AF1201" s="46">
        <v>0</v>
      </c>
      <c r="AG1201" s="113"/>
      <c r="AH1201" s="113"/>
      <c r="AI1201" s="113"/>
      <c r="AJ1201" s="113"/>
      <c r="AK1201" s="113"/>
      <c r="AL1201" s="46">
        <v>0</v>
      </c>
      <c r="AM1201" s="113"/>
      <c r="AN1201" s="113"/>
      <c r="AO1201" s="113"/>
      <c r="AP1201" s="113"/>
      <c r="AQ1201" s="113"/>
      <c r="AR1201" s="46">
        <v>0</v>
      </c>
      <c r="AS1201" s="113"/>
      <c r="AT1201" s="113"/>
      <c r="AU1201" s="113"/>
      <c r="AV1201" s="113"/>
      <c r="AW1201" s="113"/>
      <c r="AX1201" s="46">
        <v>0</v>
      </c>
      <c r="AY1201" s="113"/>
      <c r="AZ1201" s="113"/>
      <c r="BA1201" s="113"/>
      <c r="BB1201" s="113"/>
      <c r="BC1201" s="113"/>
      <c r="BD1201" s="46">
        <v>0</v>
      </c>
      <c r="BE1201" s="113"/>
      <c r="BF1201" s="113"/>
      <c r="BG1201" s="113"/>
      <c r="BH1201" s="113"/>
      <c r="BI1201" s="113"/>
      <c r="BJ1201" s="46">
        <v>0</v>
      </c>
      <c r="BK1201" s="113"/>
      <c r="BL1201" s="113"/>
      <c r="BM1201" s="113"/>
      <c r="BN1201" s="113"/>
      <c r="BO1201" s="113"/>
      <c r="BP1201" s="121"/>
      <c r="BQ1201" s="121"/>
      <c r="GA1201" t="s">
        <v>18300</v>
      </c>
      <c r="GB1201" t="s">
        <v>22972</v>
      </c>
      <c r="GC1201" s="46">
        <v>0</v>
      </c>
      <c r="GD1201" s="113"/>
      <c r="GE1201" s="113"/>
      <c r="GF1201" s="113"/>
      <c r="GG1201" s="113"/>
      <c r="GH1201" s="113"/>
      <c r="GI1201" s="46">
        <v>0</v>
      </c>
      <c r="GJ1201" s="113"/>
      <c r="GK1201" s="113"/>
      <c r="GL1201" s="113"/>
      <c r="GM1201" s="113"/>
      <c r="GN1201" s="113"/>
      <c r="GO1201" s="46">
        <v>0</v>
      </c>
      <c r="GP1201" s="113"/>
      <c r="GQ1201" s="113"/>
      <c r="GR1201" s="113"/>
      <c r="GS1201" s="113"/>
      <c r="GT1201" s="113"/>
      <c r="GU1201" s="46">
        <v>0</v>
      </c>
      <c r="GV1201" s="113"/>
      <c r="GW1201" s="113"/>
      <c r="GX1201" s="113"/>
      <c r="GY1201" s="113"/>
      <c r="GZ1201" s="113"/>
      <c r="HA1201" s="46">
        <v>0</v>
      </c>
      <c r="HB1201" s="113"/>
      <c r="HC1201" s="113"/>
      <c r="HD1201" s="113"/>
      <c r="HE1201" s="113"/>
      <c r="HF1201" s="113"/>
      <c r="HG1201" s="46">
        <v>0</v>
      </c>
      <c r="HH1201" s="113"/>
      <c r="HI1201" s="113"/>
      <c r="HJ1201" s="113"/>
      <c r="HK1201" s="113"/>
      <c r="HL1201" s="113"/>
      <c r="HM1201" s="121"/>
      <c r="HN1201" s="121"/>
      <c r="LM1201" t="str">
        <v/>
      </c>
      <c r="LN1201" t="str">
        <v/>
      </c>
      <c r="LO1201" t="str">
        <v/>
      </c>
    </row>
    <row r="1202" spans="30:327">
      <c r="AD1202" t="s">
        <v>18300</v>
      </c>
      <c r="AE1202" t="s">
        <v>22973</v>
      </c>
      <c r="AF1202" s="46">
        <v>0</v>
      </c>
      <c r="AG1202" s="113"/>
      <c r="AH1202" s="113"/>
      <c r="AI1202" s="113"/>
      <c r="AJ1202" s="113"/>
      <c r="AK1202" s="113"/>
      <c r="AL1202" s="46">
        <v>0</v>
      </c>
      <c r="AM1202" s="113"/>
      <c r="AN1202" s="113"/>
      <c r="AO1202" s="113"/>
      <c r="AP1202" s="113"/>
      <c r="AQ1202" s="113"/>
      <c r="AR1202" s="46">
        <v>0</v>
      </c>
      <c r="AS1202" s="113"/>
      <c r="AT1202" s="113"/>
      <c r="AU1202" s="113"/>
      <c r="AV1202" s="113"/>
      <c r="AW1202" s="113"/>
      <c r="AX1202" s="46">
        <v>0</v>
      </c>
      <c r="AY1202" s="113"/>
      <c r="AZ1202" s="113"/>
      <c r="BA1202" s="113"/>
      <c r="BB1202" s="113"/>
      <c r="BC1202" s="113"/>
      <c r="BD1202" s="46">
        <v>0</v>
      </c>
      <c r="BE1202" s="113"/>
      <c r="BF1202" s="113"/>
      <c r="BG1202" s="113"/>
      <c r="BH1202" s="113"/>
      <c r="BI1202" s="113"/>
      <c r="BJ1202" s="46">
        <v>0</v>
      </c>
      <c r="BK1202" s="113"/>
      <c r="BL1202" s="113"/>
      <c r="BM1202" s="113"/>
      <c r="BN1202" s="113"/>
      <c r="BO1202" s="113"/>
      <c r="BP1202" s="121"/>
      <c r="BQ1202" s="121"/>
      <c r="GA1202" t="s">
        <v>18300</v>
      </c>
      <c r="GB1202" t="s">
        <v>22973</v>
      </c>
      <c r="GC1202" s="46">
        <v>0</v>
      </c>
      <c r="GD1202" s="113"/>
      <c r="GE1202" s="113"/>
      <c r="GF1202" s="113"/>
      <c r="GG1202" s="113"/>
      <c r="GH1202" s="113"/>
      <c r="GI1202" s="46">
        <v>0</v>
      </c>
      <c r="GJ1202" s="113"/>
      <c r="GK1202" s="113"/>
      <c r="GL1202" s="113"/>
      <c r="GM1202" s="113"/>
      <c r="GN1202" s="113"/>
      <c r="GO1202" s="46">
        <v>0</v>
      </c>
      <c r="GP1202" s="113"/>
      <c r="GQ1202" s="113"/>
      <c r="GR1202" s="113"/>
      <c r="GS1202" s="113"/>
      <c r="GT1202" s="113"/>
      <c r="GU1202" s="46">
        <v>0</v>
      </c>
      <c r="GV1202" s="113"/>
      <c r="GW1202" s="113"/>
      <c r="GX1202" s="113"/>
      <c r="GY1202" s="113"/>
      <c r="GZ1202" s="113"/>
      <c r="HA1202" s="46">
        <v>0</v>
      </c>
      <c r="HB1202" s="113"/>
      <c r="HC1202" s="113"/>
      <c r="HD1202" s="113"/>
      <c r="HE1202" s="113"/>
      <c r="HF1202" s="113"/>
      <c r="HG1202" s="46">
        <v>0</v>
      </c>
      <c r="HH1202" s="113"/>
      <c r="HI1202" s="113"/>
      <c r="HJ1202" s="113"/>
      <c r="HK1202" s="113"/>
      <c r="HL1202" s="113"/>
      <c r="HM1202" s="121"/>
      <c r="HN1202" s="121"/>
      <c r="LM1202" t="str">
        <v/>
      </c>
      <c r="LN1202" t="str">
        <v/>
      </c>
      <c r="LO1202" t="str">
        <v/>
      </c>
    </row>
    <row r="1203" spans="30:327">
      <c r="AD1203" t="s">
        <v>18300</v>
      </c>
      <c r="AE1203" t="s">
        <v>22974</v>
      </c>
      <c r="AF1203" s="46">
        <v>0</v>
      </c>
      <c r="AG1203" s="113"/>
      <c r="AH1203" s="113"/>
      <c r="AI1203" s="113"/>
      <c r="AJ1203" s="113"/>
      <c r="AK1203" s="113"/>
      <c r="AL1203" s="46">
        <v>0</v>
      </c>
      <c r="AM1203" s="113"/>
      <c r="AN1203" s="113"/>
      <c r="AO1203" s="113"/>
      <c r="AP1203" s="113"/>
      <c r="AQ1203" s="113"/>
      <c r="AR1203" s="46">
        <v>0</v>
      </c>
      <c r="AS1203" s="113"/>
      <c r="AT1203" s="113"/>
      <c r="AU1203" s="113"/>
      <c r="AV1203" s="113"/>
      <c r="AW1203" s="113"/>
      <c r="AX1203" s="46">
        <v>0</v>
      </c>
      <c r="AY1203" s="113"/>
      <c r="AZ1203" s="113"/>
      <c r="BA1203" s="113"/>
      <c r="BB1203" s="113"/>
      <c r="BC1203" s="113"/>
      <c r="BD1203" s="46">
        <v>0</v>
      </c>
      <c r="BE1203" s="113"/>
      <c r="BF1203" s="113"/>
      <c r="BG1203" s="113"/>
      <c r="BH1203" s="113"/>
      <c r="BI1203" s="113"/>
      <c r="BJ1203" s="46">
        <v>0</v>
      </c>
      <c r="BK1203" s="113"/>
      <c r="BL1203" s="113"/>
      <c r="BM1203" s="113"/>
      <c r="BN1203" s="113"/>
      <c r="BO1203" s="113"/>
      <c r="BP1203" s="121"/>
      <c r="BQ1203" s="121"/>
      <c r="GA1203" t="s">
        <v>18300</v>
      </c>
      <c r="GB1203" t="s">
        <v>22974</v>
      </c>
      <c r="GC1203" s="46">
        <v>0</v>
      </c>
      <c r="GD1203" s="113"/>
      <c r="GE1203" s="113"/>
      <c r="GF1203" s="113"/>
      <c r="GG1203" s="113"/>
      <c r="GH1203" s="113"/>
      <c r="GI1203" s="46">
        <v>0</v>
      </c>
      <c r="GJ1203" s="113"/>
      <c r="GK1203" s="113"/>
      <c r="GL1203" s="113"/>
      <c r="GM1203" s="113"/>
      <c r="GN1203" s="113"/>
      <c r="GO1203" s="46">
        <v>0</v>
      </c>
      <c r="GP1203" s="113"/>
      <c r="GQ1203" s="113"/>
      <c r="GR1203" s="113"/>
      <c r="GS1203" s="113"/>
      <c r="GT1203" s="113"/>
      <c r="GU1203" s="46">
        <v>0</v>
      </c>
      <c r="GV1203" s="113"/>
      <c r="GW1203" s="113"/>
      <c r="GX1203" s="113"/>
      <c r="GY1203" s="113"/>
      <c r="GZ1203" s="113"/>
      <c r="HA1203" s="46">
        <v>0</v>
      </c>
      <c r="HB1203" s="113"/>
      <c r="HC1203" s="113"/>
      <c r="HD1203" s="113"/>
      <c r="HE1203" s="113"/>
      <c r="HF1203" s="113"/>
      <c r="HG1203" s="46">
        <v>0</v>
      </c>
      <c r="HH1203" s="113"/>
      <c r="HI1203" s="113"/>
      <c r="HJ1203" s="113"/>
      <c r="HK1203" s="113"/>
      <c r="HL1203" s="113"/>
      <c r="HM1203" s="121"/>
      <c r="HN1203" s="121"/>
      <c r="LM1203" t="str">
        <v/>
      </c>
      <c r="LN1203" t="str">
        <v/>
      </c>
      <c r="LO1203" t="str">
        <v/>
      </c>
    </row>
    <row r="1204" spans="30:327">
      <c r="AD1204" t="s">
        <v>18300</v>
      </c>
      <c r="AE1204" t="s">
        <v>22975</v>
      </c>
      <c r="AF1204" s="46">
        <v>0</v>
      </c>
      <c r="AG1204" s="113"/>
      <c r="AH1204" s="113"/>
      <c r="AI1204" s="113"/>
      <c r="AJ1204" s="113"/>
      <c r="AK1204" s="113"/>
      <c r="AL1204" s="46">
        <v>0</v>
      </c>
      <c r="AM1204" s="113"/>
      <c r="AN1204" s="113"/>
      <c r="AO1204" s="113"/>
      <c r="AP1204" s="113"/>
      <c r="AQ1204" s="113"/>
      <c r="AR1204" s="46">
        <v>0</v>
      </c>
      <c r="AS1204" s="113"/>
      <c r="AT1204" s="113"/>
      <c r="AU1204" s="113"/>
      <c r="AV1204" s="113"/>
      <c r="AW1204" s="113"/>
      <c r="AX1204" s="46">
        <v>0</v>
      </c>
      <c r="AY1204" s="113"/>
      <c r="AZ1204" s="113"/>
      <c r="BA1204" s="113"/>
      <c r="BB1204" s="113"/>
      <c r="BC1204" s="113"/>
      <c r="BD1204" s="46">
        <v>0</v>
      </c>
      <c r="BE1204" s="113"/>
      <c r="BF1204" s="113"/>
      <c r="BG1204" s="113"/>
      <c r="BH1204" s="113"/>
      <c r="BI1204" s="113"/>
      <c r="BJ1204" s="46">
        <v>0</v>
      </c>
      <c r="BK1204" s="113"/>
      <c r="BL1204" s="113"/>
      <c r="BM1204" s="113"/>
      <c r="BN1204" s="113"/>
      <c r="BO1204" s="113"/>
      <c r="BP1204" s="121"/>
      <c r="BQ1204" s="121"/>
      <c r="GA1204" t="s">
        <v>18300</v>
      </c>
      <c r="GB1204" t="s">
        <v>22975</v>
      </c>
      <c r="GC1204" s="46">
        <v>0</v>
      </c>
      <c r="GD1204" s="113"/>
      <c r="GE1204" s="113"/>
      <c r="GF1204" s="113"/>
      <c r="GG1204" s="113"/>
      <c r="GH1204" s="113"/>
      <c r="GI1204" s="46">
        <v>0</v>
      </c>
      <c r="GJ1204" s="113"/>
      <c r="GK1204" s="113"/>
      <c r="GL1204" s="113"/>
      <c r="GM1204" s="113"/>
      <c r="GN1204" s="113"/>
      <c r="GO1204" s="46">
        <v>0</v>
      </c>
      <c r="GP1204" s="113"/>
      <c r="GQ1204" s="113"/>
      <c r="GR1204" s="113"/>
      <c r="GS1204" s="113"/>
      <c r="GT1204" s="113"/>
      <c r="GU1204" s="46">
        <v>0</v>
      </c>
      <c r="GV1204" s="113"/>
      <c r="GW1204" s="113"/>
      <c r="GX1204" s="113"/>
      <c r="GY1204" s="113"/>
      <c r="GZ1204" s="113"/>
      <c r="HA1204" s="46">
        <v>0</v>
      </c>
      <c r="HB1204" s="113"/>
      <c r="HC1204" s="113"/>
      <c r="HD1204" s="113"/>
      <c r="HE1204" s="113"/>
      <c r="HF1204" s="113"/>
      <c r="HG1204" s="46">
        <v>0</v>
      </c>
      <c r="HH1204" s="113"/>
      <c r="HI1204" s="113"/>
      <c r="HJ1204" s="113"/>
      <c r="HK1204" s="113"/>
      <c r="HL1204" s="113"/>
      <c r="HM1204" s="121"/>
      <c r="HN1204" s="121"/>
      <c r="LM1204" t="str">
        <v/>
      </c>
      <c r="LN1204" t="str">
        <v/>
      </c>
      <c r="LO1204" t="str">
        <v/>
      </c>
    </row>
    <row r="1205" spans="30:327">
      <c r="AD1205" t="s">
        <v>18300</v>
      </c>
      <c r="AE1205" t="s">
        <v>22976</v>
      </c>
      <c r="AF1205" s="46">
        <v>0</v>
      </c>
      <c r="AG1205" s="113"/>
      <c r="AH1205" s="113"/>
      <c r="AI1205" s="113"/>
      <c r="AJ1205" s="113"/>
      <c r="AK1205" s="113"/>
      <c r="AL1205" s="46">
        <v>0</v>
      </c>
      <c r="AM1205" s="113"/>
      <c r="AN1205" s="113"/>
      <c r="AO1205" s="113"/>
      <c r="AP1205" s="113"/>
      <c r="AQ1205" s="113"/>
      <c r="AR1205" s="46">
        <v>0</v>
      </c>
      <c r="AS1205" s="113"/>
      <c r="AT1205" s="113"/>
      <c r="AU1205" s="113"/>
      <c r="AV1205" s="113"/>
      <c r="AW1205" s="113"/>
      <c r="AX1205" s="46">
        <v>0</v>
      </c>
      <c r="AY1205" s="113"/>
      <c r="AZ1205" s="113"/>
      <c r="BA1205" s="113"/>
      <c r="BB1205" s="113"/>
      <c r="BC1205" s="113"/>
      <c r="BD1205" s="46">
        <v>0</v>
      </c>
      <c r="BE1205" s="113"/>
      <c r="BF1205" s="113"/>
      <c r="BG1205" s="113"/>
      <c r="BH1205" s="113"/>
      <c r="BI1205" s="113"/>
      <c r="BJ1205" s="46">
        <v>0</v>
      </c>
      <c r="BK1205" s="113"/>
      <c r="BL1205" s="113"/>
      <c r="BM1205" s="113"/>
      <c r="BN1205" s="113"/>
      <c r="BO1205" s="113"/>
      <c r="BP1205" s="121"/>
      <c r="BQ1205" s="121"/>
      <c r="GA1205" t="s">
        <v>18300</v>
      </c>
      <c r="GB1205" t="s">
        <v>22976</v>
      </c>
      <c r="GC1205" s="46">
        <v>0</v>
      </c>
      <c r="GD1205" s="113"/>
      <c r="GE1205" s="113"/>
      <c r="GF1205" s="113"/>
      <c r="GG1205" s="113"/>
      <c r="GH1205" s="113"/>
      <c r="GI1205" s="46">
        <v>0</v>
      </c>
      <c r="GJ1205" s="113"/>
      <c r="GK1205" s="113"/>
      <c r="GL1205" s="113"/>
      <c r="GM1205" s="113"/>
      <c r="GN1205" s="113"/>
      <c r="GO1205" s="46">
        <v>0</v>
      </c>
      <c r="GP1205" s="113"/>
      <c r="GQ1205" s="113"/>
      <c r="GR1205" s="113"/>
      <c r="GS1205" s="113"/>
      <c r="GT1205" s="113"/>
      <c r="GU1205" s="46">
        <v>0</v>
      </c>
      <c r="GV1205" s="113"/>
      <c r="GW1205" s="113"/>
      <c r="GX1205" s="113"/>
      <c r="GY1205" s="113"/>
      <c r="GZ1205" s="113"/>
      <c r="HA1205" s="46">
        <v>0</v>
      </c>
      <c r="HB1205" s="113"/>
      <c r="HC1205" s="113"/>
      <c r="HD1205" s="113"/>
      <c r="HE1205" s="113"/>
      <c r="HF1205" s="113"/>
      <c r="HG1205" s="46">
        <v>0</v>
      </c>
      <c r="HH1205" s="113"/>
      <c r="HI1205" s="113"/>
      <c r="HJ1205" s="113"/>
      <c r="HK1205" s="113"/>
      <c r="HL1205" s="113"/>
      <c r="HM1205" s="121"/>
      <c r="HN1205" s="121"/>
      <c r="LM1205" t="str">
        <v/>
      </c>
      <c r="LN1205" t="str">
        <v/>
      </c>
      <c r="LO1205" t="str">
        <v/>
      </c>
    </row>
    <row r="1206" spans="30:327">
      <c r="AD1206" t="s">
        <v>18300</v>
      </c>
      <c r="AE1206" t="s">
        <v>22977</v>
      </c>
      <c r="AF1206" s="46">
        <v>0</v>
      </c>
      <c r="AG1206" s="113"/>
      <c r="AH1206" s="113"/>
      <c r="AI1206" s="113"/>
      <c r="AJ1206" s="113"/>
      <c r="AK1206" s="113"/>
      <c r="AL1206" s="46">
        <v>0</v>
      </c>
      <c r="AM1206" s="113"/>
      <c r="AN1206" s="113"/>
      <c r="AO1206" s="113"/>
      <c r="AP1206" s="113"/>
      <c r="AQ1206" s="113"/>
      <c r="AR1206" s="46">
        <v>0</v>
      </c>
      <c r="AS1206" s="113"/>
      <c r="AT1206" s="113"/>
      <c r="AU1206" s="113"/>
      <c r="AV1206" s="113"/>
      <c r="AW1206" s="113"/>
      <c r="AX1206" s="46">
        <v>0</v>
      </c>
      <c r="AY1206" s="113"/>
      <c r="AZ1206" s="113"/>
      <c r="BA1206" s="113"/>
      <c r="BB1206" s="113"/>
      <c r="BC1206" s="113"/>
      <c r="BD1206" s="46">
        <v>0</v>
      </c>
      <c r="BE1206" s="113"/>
      <c r="BF1206" s="113"/>
      <c r="BG1206" s="113"/>
      <c r="BH1206" s="113"/>
      <c r="BI1206" s="113"/>
      <c r="BJ1206" s="46">
        <v>0</v>
      </c>
      <c r="BK1206" s="113"/>
      <c r="BL1206" s="113"/>
      <c r="BM1206" s="113"/>
      <c r="BN1206" s="113"/>
      <c r="BO1206" s="113"/>
      <c r="BP1206" s="121"/>
      <c r="BQ1206" s="121"/>
      <c r="GA1206" t="s">
        <v>18300</v>
      </c>
      <c r="GB1206" t="s">
        <v>22977</v>
      </c>
      <c r="GC1206" s="46">
        <v>0</v>
      </c>
      <c r="GD1206" s="113"/>
      <c r="GE1206" s="113"/>
      <c r="GF1206" s="113"/>
      <c r="GG1206" s="113"/>
      <c r="GH1206" s="113"/>
      <c r="GI1206" s="46">
        <v>0</v>
      </c>
      <c r="GJ1206" s="113"/>
      <c r="GK1206" s="113"/>
      <c r="GL1206" s="113"/>
      <c r="GM1206" s="113"/>
      <c r="GN1206" s="113"/>
      <c r="GO1206" s="46">
        <v>0</v>
      </c>
      <c r="GP1206" s="113"/>
      <c r="GQ1206" s="113"/>
      <c r="GR1206" s="113"/>
      <c r="GS1206" s="113"/>
      <c r="GT1206" s="113"/>
      <c r="GU1206" s="46">
        <v>0</v>
      </c>
      <c r="GV1206" s="113"/>
      <c r="GW1206" s="113"/>
      <c r="GX1206" s="113"/>
      <c r="GY1206" s="113"/>
      <c r="GZ1206" s="113"/>
      <c r="HA1206" s="46">
        <v>0</v>
      </c>
      <c r="HB1206" s="113"/>
      <c r="HC1206" s="113"/>
      <c r="HD1206" s="113"/>
      <c r="HE1206" s="113"/>
      <c r="HF1206" s="113"/>
      <c r="HG1206" s="46">
        <v>0</v>
      </c>
      <c r="HH1206" s="113"/>
      <c r="HI1206" s="113"/>
      <c r="HJ1206" s="113"/>
      <c r="HK1206" s="113"/>
      <c r="HL1206" s="113"/>
      <c r="HM1206" s="121"/>
      <c r="HN1206" s="121"/>
      <c r="LM1206" t="str">
        <v/>
      </c>
      <c r="LN1206" t="str">
        <v/>
      </c>
      <c r="LO1206" t="str">
        <v/>
      </c>
    </row>
    <row r="1207" spans="30:327">
      <c r="AD1207" t="s">
        <v>18300</v>
      </c>
      <c r="AE1207" t="s">
        <v>22978</v>
      </c>
      <c r="AF1207" s="46">
        <v>0</v>
      </c>
      <c r="AG1207" s="113"/>
      <c r="AH1207" s="113"/>
      <c r="AI1207" s="113"/>
      <c r="AJ1207" s="113"/>
      <c r="AK1207" s="113"/>
      <c r="AL1207" s="46">
        <v>0</v>
      </c>
      <c r="AM1207" s="113"/>
      <c r="AN1207" s="113"/>
      <c r="AO1207" s="113"/>
      <c r="AP1207" s="113"/>
      <c r="AQ1207" s="113"/>
      <c r="AR1207" s="46">
        <v>0</v>
      </c>
      <c r="AS1207" s="113"/>
      <c r="AT1207" s="113"/>
      <c r="AU1207" s="113"/>
      <c r="AV1207" s="113"/>
      <c r="AW1207" s="113"/>
      <c r="AX1207" s="46">
        <v>0</v>
      </c>
      <c r="AY1207" s="113"/>
      <c r="AZ1207" s="113"/>
      <c r="BA1207" s="113"/>
      <c r="BB1207" s="113"/>
      <c r="BC1207" s="113"/>
      <c r="BD1207" s="46">
        <v>0</v>
      </c>
      <c r="BE1207" s="113"/>
      <c r="BF1207" s="113"/>
      <c r="BG1207" s="113"/>
      <c r="BH1207" s="113"/>
      <c r="BI1207" s="113"/>
      <c r="BJ1207" s="46">
        <v>0</v>
      </c>
      <c r="BK1207" s="113"/>
      <c r="BL1207" s="113"/>
      <c r="BM1207" s="113"/>
      <c r="BN1207" s="113"/>
      <c r="BO1207" s="113"/>
      <c r="BP1207" s="121"/>
      <c r="BQ1207" s="121"/>
      <c r="GA1207" t="s">
        <v>18300</v>
      </c>
      <c r="GB1207" t="s">
        <v>22978</v>
      </c>
      <c r="GC1207" s="46">
        <v>0</v>
      </c>
      <c r="GD1207" s="113"/>
      <c r="GE1207" s="113"/>
      <c r="GF1207" s="113"/>
      <c r="GG1207" s="113"/>
      <c r="GH1207" s="113"/>
      <c r="GI1207" s="46">
        <v>0</v>
      </c>
      <c r="GJ1207" s="113"/>
      <c r="GK1207" s="113"/>
      <c r="GL1207" s="113"/>
      <c r="GM1207" s="113"/>
      <c r="GN1207" s="113"/>
      <c r="GO1207" s="46">
        <v>0</v>
      </c>
      <c r="GP1207" s="113"/>
      <c r="GQ1207" s="113"/>
      <c r="GR1207" s="113"/>
      <c r="GS1207" s="113"/>
      <c r="GT1207" s="113"/>
      <c r="GU1207" s="46">
        <v>0</v>
      </c>
      <c r="GV1207" s="113"/>
      <c r="GW1207" s="113"/>
      <c r="GX1207" s="113"/>
      <c r="GY1207" s="113"/>
      <c r="GZ1207" s="113"/>
      <c r="HA1207" s="46">
        <v>0</v>
      </c>
      <c r="HB1207" s="113"/>
      <c r="HC1207" s="113"/>
      <c r="HD1207" s="113"/>
      <c r="HE1207" s="113"/>
      <c r="HF1207" s="113"/>
      <c r="HG1207" s="46">
        <v>0</v>
      </c>
      <c r="HH1207" s="113"/>
      <c r="HI1207" s="113"/>
      <c r="HJ1207" s="113"/>
      <c r="HK1207" s="113"/>
      <c r="HL1207" s="113"/>
      <c r="HM1207" s="121"/>
      <c r="HN1207" s="121"/>
      <c r="LM1207" t="str">
        <v/>
      </c>
      <c r="LN1207" t="str">
        <v/>
      </c>
      <c r="LO1207" t="str">
        <v/>
      </c>
    </row>
    <row r="1208" spans="30:327">
      <c r="AD1208" t="s">
        <v>18300</v>
      </c>
      <c r="AE1208" t="s">
        <v>22979</v>
      </c>
      <c r="AF1208" s="46">
        <v>0</v>
      </c>
      <c r="AG1208" s="113"/>
      <c r="AH1208" s="113"/>
      <c r="AI1208" s="113"/>
      <c r="AJ1208" s="113"/>
      <c r="AK1208" s="113"/>
      <c r="AL1208" s="46">
        <v>0</v>
      </c>
      <c r="AM1208" s="113"/>
      <c r="AN1208" s="113"/>
      <c r="AO1208" s="113"/>
      <c r="AP1208" s="113"/>
      <c r="AQ1208" s="113"/>
      <c r="AR1208" s="46">
        <v>0</v>
      </c>
      <c r="AS1208" s="113"/>
      <c r="AT1208" s="113"/>
      <c r="AU1208" s="113"/>
      <c r="AV1208" s="113"/>
      <c r="AW1208" s="113"/>
      <c r="AX1208" s="46">
        <v>0</v>
      </c>
      <c r="AY1208" s="113"/>
      <c r="AZ1208" s="113"/>
      <c r="BA1208" s="113"/>
      <c r="BB1208" s="113"/>
      <c r="BC1208" s="113"/>
      <c r="BD1208" s="46">
        <v>0</v>
      </c>
      <c r="BE1208" s="113"/>
      <c r="BF1208" s="113"/>
      <c r="BG1208" s="113"/>
      <c r="BH1208" s="113"/>
      <c r="BI1208" s="113"/>
      <c r="BJ1208" s="46">
        <v>0</v>
      </c>
      <c r="BK1208" s="113"/>
      <c r="BL1208" s="113"/>
      <c r="BM1208" s="113"/>
      <c r="BN1208" s="113"/>
      <c r="BO1208" s="113"/>
      <c r="BP1208" s="121"/>
      <c r="BQ1208" s="121"/>
      <c r="GA1208" t="s">
        <v>18300</v>
      </c>
      <c r="GB1208" t="s">
        <v>22979</v>
      </c>
      <c r="GC1208" s="46">
        <v>0</v>
      </c>
      <c r="GD1208" s="113"/>
      <c r="GE1208" s="113"/>
      <c r="GF1208" s="113"/>
      <c r="GG1208" s="113"/>
      <c r="GH1208" s="113"/>
      <c r="GI1208" s="46">
        <v>0</v>
      </c>
      <c r="GJ1208" s="113"/>
      <c r="GK1208" s="113"/>
      <c r="GL1208" s="113"/>
      <c r="GM1208" s="113"/>
      <c r="GN1208" s="113"/>
      <c r="GO1208" s="46">
        <v>0</v>
      </c>
      <c r="GP1208" s="113"/>
      <c r="GQ1208" s="113"/>
      <c r="GR1208" s="113"/>
      <c r="GS1208" s="113"/>
      <c r="GT1208" s="113"/>
      <c r="GU1208" s="46">
        <v>0</v>
      </c>
      <c r="GV1208" s="113"/>
      <c r="GW1208" s="113"/>
      <c r="GX1208" s="113"/>
      <c r="GY1208" s="113"/>
      <c r="GZ1208" s="113"/>
      <c r="HA1208" s="46">
        <v>0</v>
      </c>
      <c r="HB1208" s="113"/>
      <c r="HC1208" s="113"/>
      <c r="HD1208" s="113"/>
      <c r="HE1208" s="113"/>
      <c r="HF1208" s="113"/>
      <c r="HG1208" s="46">
        <v>0</v>
      </c>
      <c r="HH1208" s="113"/>
      <c r="HI1208" s="113"/>
      <c r="HJ1208" s="113"/>
      <c r="HK1208" s="113"/>
      <c r="HL1208" s="113"/>
      <c r="HM1208" s="121"/>
      <c r="HN1208" s="121"/>
      <c r="LM1208" t="str">
        <v/>
      </c>
      <c r="LN1208" t="str">
        <v/>
      </c>
      <c r="LO1208" t="str">
        <v/>
      </c>
    </row>
    <row r="1209" spans="30:327">
      <c r="AD1209" t="s">
        <v>18300</v>
      </c>
      <c r="AE1209" t="s">
        <v>22980</v>
      </c>
      <c r="AF1209" s="46">
        <v>0</v>
      </c>
      <c r="AG1209" s="113"/>
      <c r="AH1209" s="113"/>
      <c r="AI1209" s="113"/>
      <c r="AJ1209" s="113"/>
      <c r="AK1209" s="113"/>
      <c r="AL1209" s="46">
        <v>0</v>
      </c>
      <c r="AM1209" s="113"/>
      <c r="AN1209" s="113"/>
      <c r="AO1209" s="113"/>
      <c r="AP1209" s="113"/>
      <c r="AQ1209" s="113"/>
      <c r="AR1209" s="46">
        <v>0</v>
      </c>
      <c r="AS1209" s="113"/>
      <c r="AT1209" s="113"/>
      <c r="AU1209" s="113"/>
      <c r="AV1209" s="113"/>
      <c r="AW1209" s="113"/>
      <c r="AX1209" s="46">
        <v>0</v>
      </c>
      <c r="AY1209" s="113"/>
      <c r="AZ1209" s="113"/>
      <c r="BA1209" s="113"/>
      <c r="BB1209" s="113"/>
      <c r="BC1209" s="113"/>
      <c r="BD1209" s="46">
        <v>0</v>
      </c>
      <c r="BE1209" s="113"/>
      <c r="BF1209" s="113"/>
      <c r="BG1209" s="113"/>
      <c r="BH1209" s="113"/>
      <c r="BI1209" s="113"/>
      <c r="BJ1209" s="46">
        <v>0</v>
      </c>
      <c r="BK1209" s="113"/>
      <c r="BL1209" s="113"/>
      <c r="BM1209" s="113"/>
      <c r="BN1209" s="113"/>
      <c r="BO1209" s="113"/>
      <c r="BP1209" s="121"/>
      <c r="BQ1209" s="121"/>
      <c r="GA1209" t="s">
        <v>18300</v>
      </c>
      <c r="GB1209" t="s">
        <v>22980</v>
      </c>
      <c r="GC1209" s="46">
        <v>0</v>
      </c>
      <c r="GD1209" s="113"/>
      <c r="GE1209" s="113"/>
      <c r="GF1209" s="113"/>
      <c r="GG1209" s="113"/>
      <c r="GH1209" s="113"/>
      <c r="GI1209" s="46">
        <v>0</v>
      </c>
      <c r="GJ1209" s="113"/>
      <c r="GK1209" s="113"/>
      <c r="GL1209" s="113"/>
      <c r="GM1209" s="113"/>
      <c r="GN1209" s="113"/>
      <c r="GO1209" s="46">
        <v>0</v>
      </c>
      <c r="GP1209" s="113"/>
      <c r="GQ1209" s="113"/>
      <c r="GR1209" s="113"/>
      <c r="GS1209" s="113"/>
      <c r="GT1209" s="113"/>
      <c r="GU1209" s="46">
        <v>0</v>
      </c>
      <c r="GV1209" s="113"/>
      <c r="GW1209" s="113"/>
      <c r="GX1209" s="113"/>
      <c r="GY1209" s="113"/>
      <c r="GZ1209" s="113"/>
      <c r="HA1209" s="46">
        <v>0</v>
      </c>
      <c r="HB1209" s="113"/>
      <c r="HC1209" s="113"/>
      <c r="HD1209" s="113"/>
      <c r="HE1209" s="113"/>
      <c r="HF1209" s="113"/>
      <c r="HG1209" s="46">
        <v>0</v>
      </c>
      <c r="HH1209" s="113"/>
      <c r="HI1209" s="113"/>
      <c r="HJ1209" s="113"/>
      <c r="HK1209" s="113"/>
      <c r="HL1209" s="113"/>
      <c r="HM1209" s="121"/>
      <c r="HN1209" s="121"/>
      <c r="LM1209" t="str">
        <v/>
      </c>
      <c r="LN1209" t="str">
        <v/>
      </c>
      <c r="LO1209" t="str">
        <v/>
      </c>
    </row>
    <row r="1210" spans="30:327">
      <c r="AD1210" t="s">
        <v>18300</v>
      </c>
      <c r="AE1210" t="s">
        <v>22981</v>
      </c>
      <c r="AF1210" s="46">
        <v>0</v>
      </c>
      <c r="AG1210" s="113"/>
      <c r="AH1210" s="113"/>
      <c r="AI1210" s="113"/>
      <c r="AJ1210" s="113"/>
      <c r="AK1210" s="113"/>
      <c r="AL1210" s="46">
        <v>0</v>
      </c>
      <c r="AM1210" s="113"/>
      <c r="AN1210" s="113"/>
      <c r="AO1210" s="113"/>
      <c r="AP1210" s="113"/>
      <c r="AQ1210" s="113"/>
      <c r="AR1210" s="46">
        <v>0</v>
      </c>
      <c r="AS1210" s="113"/>
      <c r="AT1210" s="113"/>
      <c r="AU1210" s="113"/>
      <c r="AV1210" s="113"/>
      <c r="AW1210" s="113"/>
      <c r="AX1210" s="46">
        <v>0</v>
      </c>
      <c r="AY1210" s="113"/>
      <c r="AZ1210" s="113"/>
      <c r="BA1210" s="113"/>
      <c r="BB1210" s="113"/>
      <c r="BC1210" s="113"/>
      <c r="BD1210" s="46">
        <v>0</v>
      </c>
      <c r="BE1210" s="113"/>
      <c r="BF1210" s="113"/>
      <c r="BG1210" s="113"/>
      <c r="BH1210" s="113"/>
      <c r="BI1210" s="113"/>
      <c r="BJ1210" s="46">
        <v>0</v>
      </c>
      <c r="BK1210" s="113"/>
      <c r="BL1210" s="113"/>
      <c r="BM1210" s="113"/>
      <c r="BN1210" s="113"/>
      <c r="BO1210" s="113"/>
      <c r="BP1210" s="121"/>
      <c r="BQ1210" s="121"/>
      <c r="GA1210" t="s">
        <v>18300</v>
      </c>
      <c r="GB1210" t="s">
        <v>22981</v>
      </c>
      <c r="GC1210" s="46">
        <v>0</v>
      </c>
      <c r="GD1210" s="113"/>
      <c r="GE1210" s="113"/>
      <c r="GF1210" s="113"/>
      <c r="GG1210" s="113"/>
      <c r="GH1210" s="113"/>
      <c r="GI1210" s="46">
        <v>0</v>
      </c>
      <c r="GJ1210" s="113"/>
      <c r="GK1210" s="113"/>
      <c r="GL1210" s="113"/>
      <c r="GM1210" s="113"/>
      <c r="GN1210" s="113"/>
      <c r="GO1210" s="46">
        <v>0</v>
      </c>
      <c r="GP1210" s="113"/>
      <c r="GQ1210" s="113"/>
      <c r="GR1210" s="113"/>
      <c r="GS1210" s="113"/>
      <c r="GT1210" s="113"/>
      <c r="GU1210" s="46">
        <v>0</v>
      </c>
      <c r="GV1210" s="113"/>
      <c r="GW1210" s="113"/>
      <c r="GX1210" s="113"/>
      <c r="GY1210" s="113"/>
      <c r="GZ1210" s="113"/>
      <c r="HA1210" s="46">
        <v>0</v>
      </c>
      <c r="HB1210" s="113"/>
      <c r="HC1210" s="113"/>
      <c r="HD1210" s="113"/>
      <c r="HE1210" s="113"/>
      <c r="HF1210" s="113"/>
      <c r="HG1210" s="46">
        <v>0</v>
      </c>
      <c r="HH1210" s="113"/>
      <c r="HI1210" s="113"/>
      <c r="HJ1210" s="113"/>
      <c r="HK1210" s="113"/>
      <c r="HL1210" s="113"/>
      <c r="HM1210" s="121"/>
      <c r="HN1210" s="121"/>
      <c r="LM1210" t="str">
        <v/>
      </c>
      <c r="LN1210" t="str">
        <v/>
      </c>
      <c r="LO1210" t="str">
        <v/>
      </c>
    </row>
    <row r="1211" spans="30:327">
      <c r="AD1211" t="s">
        <v>18300</v>
      </c>
      <c r="AE1211" t="s">
        <v>22982</v>
      </c>
      <c r="AF1211" s="46">
        <v>0</v>
      </c>
      <c r="AG1211" s="113"/>
      <c r="AH1211" s="113"/>
      <c r="AI1211" s="113"/>
      <c r="AJ1211" s="113"/>
      <c r="AK1211" s="113"/>
      <c r="AL1211" s="46">
        <v>0</v>
      </c>
      <c r="AM1211" s="113"/>
      <c r="AN1211" s="113"/>
      <c r="AO1211" s="113"/>
      <c r="AP1211" s="113"/>
      <c r="AQ1211" s="113"/>
      <c r="AR1211" s="46">
        <v>0</v>
      </c>
      <c r="AS1211" s="113"/>
      <c r="AT1211" s="113"/>
      <c r="AU1211" s="113"/>
      <c r="AV1211" s="113"/>
      <c r="AW1211" s="113"/>
      <c r="AX1211" s="46">
        <v>0</v>
      </c>
      <c r="AY1211" s="113"/>
      <c r="AZ1211" s="113"/>
      <c r="BA1211" s="113"/>
      <c r="BB1211" s="113"/>
      <c r="BC1211" s="113"/>
      <c r="BD1211" s="46">
        <v>0</v>
      </c>
      <c r="BE1211" s="113"/>
      <c r="BF1211" s="113"/>
      <c r="BG1211" s="113"/>
      <c r="BH1211" s="113"/>
      <c r="BI1211" s="113"/>
      <c r="BJ1211" s="46">
        <v>0</v>
      </c>
      <c r="BK1211" s="113"/>
      <c r="BL1211" s="113"/>
      <c r="BM1211" s="113"/>
      <c r="BN1211" s="113"/>
      <c r="BO1211" s="113"/>
      <c r="BP1211" s="121"/>
      <c r="BQ1211" s="121"/>
      <c r="GA1211" t="s">
        <v>18300</v>
      </c>
      <c r="GB1211" t="s">
        <v>22982</v>
      </c>
      <c r="GC1211" s="46">
        <v>0</v>
      </c>
      <c r="GD1211" s="113"/>
      <c r="GE1211" s="113"/>
      <c r="GF1211" s="113"/>
      <c r="GG1211" s="113"/>
      <c r="GH1211" s="113"/>
      <c r="GI1211" s="46">
        <v>0</v>
      </c>
      <c r="GJ1211" s="113"/>
      <c r="GK1211" s="113"/>
      <c r="GL1211" s="113"/>
      <c r="GM1211" s="113"/>
      <c r="GN1211" s="113"/>
      <c r="GO1211" s="46">
        <v>0</v>
      </c>
      <c r="GP1211" s="113"/>
      <c r="GQ1211" s="113"/>
      <c r="GR1211" s="113"/>
      <c r="GS1211" s="113"/>
      <c r="GT1211" s="113"/>
      <c r="GU1211" s="46">
        <v>0</v>
      </c>
      <c r="GV1211" s="113"/>
      <c r="GW1211" s="113"/>
      <c r="GX1211" s="113"/>
      <c r="GY1211" s="113"/>
      <c r="GZ1211" s="113"/>
      <c r="HA1211" s="46">
        <v>0</v>
      </c>
      <c r="HB1211" s="113"/>
      <c r="HC1211" s="113"/>
      <c r="HD1211" s="113"/>
      <c r="HE1211" s="113"/>
      <c r="HF1211" s="113"/>
      <c r="HG1211" s="46">
        <v>0</v>
      </c>
      <c r="HH1211" s="113"/>
      <c r="HI1211" s="113"/>
      <c r="HJ1211" s="113"/>
      <c r="HK1211" s="113"/>
      <c r="HL1211" s="113"/>
      <c r="HM1211" s="121"/>
      <c r="HN1211" s="121"/>
      <c r="LM1211" t="str">
        <v/>
      </c>
      <c r="LN1211" t="str">
        <v/>
      </c>
      <c r="LO1211" t="str">
        <v/>
      </c>
    </row>
    <row r="1212" spans="30:327">
      <c r="AD1212" t="s">
        <v>18300</v>
      </c>
      <c r="AE1212" t="s">
        <v>22983</v>
      </c>
      <c r="AF1212" s="46">
        <v>0</v>
      </c>
      <c r="AG1212" s="113"/>
      <c r="AH1212" s="113"/>
      <c r="AI1212" s="113"/>
      <c r="AJ1212" s="113"/>
      <c r="AK1212" s="113"/>
      <c r="AL1212" s="46">
        <v>0</v>
      </c>
      <c r="AM1212" s="113"/>
      <c r="AN1212" s="113"/>
      <c r="AO1212" s="113"/>
      <c r="AP1212" s="113"/>
      <c r="AQ1212" s="113"/>
      <c r="AR1212" s="46">
        <v>0</v>
      </c>
      <c r="AS1212" s="113"/>
      <c r="AT1212" s="113"/>
      <c r="AU1212" s="113"/>
      <c r="AV1212" s="113"/>
      <c r="AW1212" s="113"/>
      <c r="AX1212" s="46">
        <v>0</v>
      </c>
      <c r="AY1212" s="113"/>
      <c r="AZ1212" s="113"/>
      <c r="BA1212" s="113"/>
      <c r="BB1212" s="113"/>
      <c r="BC1212" s="113"/>
      <c r="BD1212" s="46">
        <v>0</v>
      </c>
      <c r="BE1212" s="113"/>
      <c r="BF1212" s="113"/>
      <c r="BG1212" s="113"/>
      <c r="BH1212" s="113"/>
      <c r="BI1212" s="113"/>
      <c r="BJ1212" s="46">
        <v>0</v>
      </c>
      <c r="BK1212" s="113"/>
      <c r="BL1212" s="113"/>
      <c r="BM1212" s="113"/>
      <c r="BN1212" s="113"/>
      <c r="BO1212" s="113"/>
      <c r="BP1212" s="121"/>
      <c r="BQ1212" s="121"/>
      <c r="GA1212" t="s">
        <v>18300</v>
      </c>
      <c r="GB1212" t="s">
        <v>22983</v>
      </c>
      <c r="GC1212" s="46">
        <v>0</v>
      </c>
      <c r="GD1212" s="113"/>
      <c r="GE1212" s="113"/>
      <c r="GF1212" s="113"/>
      <c r="GG1212" s="113"/>
      <c r="GH1212" s="113"/>
      <c r="GI1212" s="46">
        <v>0</v>
      </c>
      <c r="GJ1212" s="113"/>
      <c r="GK1212" s="113"/>
      <c r="GL1212" s="113"/>
      <c r="GM1212" s="113"/>
      <c r="GN1212" s="113"/>
      <c r="GO1212" s="46">
        <v>0</v>
      </c>
      <c r="GP1212" s="113"/>
      <c r="GQ1212" s="113"/>
      <c r="GR1212" s="113"/>
      <c r="GS1212" s="113"/>
      <c r="GT1212" s="113"/>
      <c r="GU1212" s="46">
        <v>0</v>
      </c>
      <c r="GV1212" s="113"/>
      <c r="GW1212" s="113"/>
      <c r="GX1212" s="113"/>
      <c r="GY1212" s="113"/>
      <c r="GZ1212" s="113"/>
      <c r="HA1212" s="46">
        <v>0</v>
      </c>
      <c r="HB1212" s="113"/>
      <c r="HC1212" s="113"/>
      <c r="HD1212" s="113"/>
      <c r="HE1212" s="113"/>
      <c r="HF1212" s="113"/>
      <c r="HG1212" s="46">
        <v>0</v>
      </c>
      <c r="HH1212" s="113"/>
      <c r="HI1212" s="113"/>
      <c r="HJ1212" s="113"/>
      <c r="HK1212" s="113"/>
      <c r="HL1212" s="113"/>
      <c r="HM1212" s="121"/>
      <c r="HN1212" s="121"/>
      <c r="LM1212" t="str">
        <v/>
      </c>
      <c r="LN1212" t="str">
        <v/>
      </c>
      <c r="LO1212" t="str">
        <v/>
      </c>
    </row>
    <row r="1213" spans="30:327">
      <c r="AD1213" t="s">
        <v>18300</v>
      </c>
      <c r="AE1213" t="s">
        <v>22984</v>
      </c>
      <c r="AF1213" s="46">
        <v>0</v>
      </c>
      <c r="AG1213" s="113"/>
      <c r="AH1213" s="113"/>
      <c r="AI1213" s="113"/>
      <c r="AJ1213" s="113"/>
      <c r="AK1213" s="113"/>
      <c r="AL1213" s="46">
        <v>0</v>
      </c>
      <c r="AM1213" s="113"/>
      <c r="AN1213" s="113"/>
      <c r="AO1213" s="113"/>
      <c r="AP1213" s="113"/>
      <c r="AQ1213" s="113"/>
      <c r="AR1213" s="46">
        <v>0</v>
      </c>
      <c r="AS1213" s="113"/>
      <c r="AT1213" s="113"/>
      <c r="AU1213" s="113"/>
      <c r="AV1213" s="113"/>
      <c r="AW1213" s="113"/>
      <c r="AX1213" s="46">
        <v>0</v>
      </c>
      <c r="AY1213" s="113"/>
      <c r="AZ1213" s="113"/>
      <c r="BA1213" s="113"/>
      <c r="BB1213" s="113"/>
      <c r="BC1213" s="113"/>
      <c r="BD1213" s="46">
        <v>0</v>
      </c>
      <c r="BE1213" s="113"/>
      <c r="BF1213" s="113"/>
      <c r="BG1213" s="113"/>
      <c r="BH1213" s="113"/>
      <c r="BI1213" s="113"/>
      <c r="BJ1213" s="46">
        <v>0</v>
      </c>
      <c r="BK1213" s="113"/>
      <c r="BL1213" s="113"/>
      <c r="BM1213" s="113"/>
      <c r="BN1213" s="113"/>
      <c r="BO1213" s="113"/>
      <c r="BP1213" s="121"/>
      <c r="BQ1213" s="121"/>
      <c r="GA1213" t="s">
        <v>18300</v>
      </c>
      <c r="GB1213" t="s">
        <v>22984</v>
      </c>
      <c r="GC1213" s="46">
        <v>0</v>
      </c>
      <c r="GD1213" s="113"/>
      <c r="GE1213" s="113"/>
      <c r="GF1213" s="113"/>
      <c r="GG1213" s="113"/>
      <c r="GH1213" s="113"/>
      <c r="GI1213" s="46">
        <v>0</v>
      </c>
      <c r="GJ1213" s="113"/>
      <c r="GK1213" s="113"/>
      <c r="GL1213" s="113"/>
      <c r="GM1213" s="113"/>
      <c r="GN1213" s="113"/>
      <c r="GO1213" s="46">
        <v>0</v>
      </c>
      <c r="GP1213" s="113"/>
      <c r="GQ1213" s="113"/>
      <c r="GR1213" s="113"/>
      <c r="GS1213" s="113"/>
      <c r="GT1213" s="113"/>
      <c r="GU1213" s="46">
        <v>0</v>
      </c>
      <c r="GV1213" s="113"/>
      <c r="GW1213" s="113"/>
      <c r="GX1213" s="113"/>
      <c r="GY1213" s="113"/>
      <c r="GZ1213" s="113"/>
      <c r="HA1213" s="46">
        <v>0</v>
      </c>
      <c r="HB1213" s="113"/>
      <c r="HC1213" s="113"/>
      <c r="HD1213" s="113"/>
      <c r="HE1213" s="113"/>
      <c r="HF1213" s="113"/>
      <c r="HG1213" s="46">
        <v>0</v>
      </c>
      <c r="HH1213" s="113"/>
      <c r="HI1213" s="113"/>
      <c r="HJ1213" s="113"/>
      <c r="HK1213" s="113"/>
      <c r="HL1213" s="113"/>
      <c r="HM1213" s="121"/>
      <c r="HN1213" s="121"/>
      <c r="LM1213" t="str">
        <v/>
      </c>
      <c r="LN1213" t="str">
        <v/>
      </c>
      <c r="LO1213" t="str">
        <v/>
      </c>
    </row>
    <row r="1214" spans="30:327">
      <c r="AD1214" t="s">
        <v>18300</v>
      </c>
      <c r="AE1214" t="s">
        <v>22985</v>
      </c>
      <c r="AF1214" s="46">
        <v>0</v>
      </c>
      <c r="AG1214" s="113"/>
      <c r="AH1214" s="113"/>
      <c r="AI1214" s="113"/>
      <c r="AJ1214" s="113"/>
      <c r="AK1214" s="113"/>
      <c r="AL1214" s="46">
        <v>0</v>
      </c>
      <c r="AM1214" s="113"/>
      <c r="AN1214" s="113"/>
      <c r="AO1214" s="113"/>
      <c r="AP1214" s="113"/>
      <c r="AQ1214" s="113"/>
      <c r="AR1214" s="46">
        <v>0</v>
      </c>
      <c r="AS1214" s="113"/>
      <c r="AT1214" s="113"/>
      <c r="AU1214" s="113"/>
      <c r="AV1214" s="113"/>
      <c r="AW1214" s="113"/>
      <c r="AX1214" s="46">
        <v>0</v>
      </c>
      <c r="AY1214" s="113"/>
      <c r="AZ1214" s="113"/>
      <c r="BA1214" s="113"/>
      <c r="BB1214" s="113"/>
      <c r="BC1214" s="113"/>
      <c r="BD1214" s="46">
        <v>0</v>
      </c>
      <c r="BE1214" s="113"/>
      <c r="BF1214" s="113"/>
      <c r="BG1214" s="113"/>
      <c r="BH1214" s="113"/>
      <c r="BI1214" s="113"/>
      <c r="BJ1214" s="46">
        <v>0</v>
      </c>
      <c r="BK1214" s="113"/>
      <c r="BL1214" s="113"/>
      <c r="BM1214" s="113"/>
      <c r="BN1214" s="113"/>
      <c r="BO1214" s="113"/>
      <c r="BP1214" s="121"/>
      <c r="BQ1214" s="121"/>
      <c r="GA1214" t="s">
        <v>18300</v>
      </c>
      <c r="GB1214" t="s">
        <v>22985</v>
      </c>
      <c r="GC1214" s="46">
        <v>0</v>
      </c>
      <c r="GD1214" s="113"/>
      <c r="GE1214" s="113"/>
      <c r="GF1214" s="113"/>
      <c r="GG1214" s="113"/>
      <c r="GH1214" s="113"/>
      <c r="GI1214" s="46">
        <v>0</v>
      </c>
      <c r="GJ1214" s="113"/>
      <c r="GK1214" s="113"/>
      <c r="GL1214" s="113"/>
      <c r="GM1214" s="113"/>
      <c r="GN1214" s="113"/>
      <c r="GO1214" s="46">
        <v>0</v>
      </c>
      <c r="GP1214" s="113"/>
      <c r="GQ1214" s="113"/>
      <c r="GR1214" s="113"/>
      <c r="GS1214" s="113"/>
      <c r="GT1214" s="113"/>
      <c r="GU1214" s="46">
        <v>0</v>
      </c>
      <c r="GV1214" s="113"/>
      <c r="GW1214" s="113"/>
      <c r="GX1214" s="113"/>
      <c r="GY1214" s="113"/>
      <c r="GZ1214" s="113"/>
      <c r="HA1214" s="46">
        <v>0</v>
      </c>
      <c r="HB1214" s="113"/>
      <c r="HC1214" s="113"/>
      <c r="HD1214" s="113"/>
      <c r="HE1214" s="113"/>
      <c r="HF1214" s="113"/>
      <c r="HG1214" s="46">
        <v>0</v>
      </c>
      <c r="HH1214" s="113"/>
      <c r="HI1214" s="113"/>
      <c r="HJ1214" s="113"/>
      <c r="HK1214" s="113"/>
      <c r="HL1214" s="113"/>
      <c r="HM1214" s="121"/>
      <c r="HN1214" s="121"/>
      <c r="LM1214" t="str">
        <v/>
      </c>
      <c r="LN1214" t="str">
        <v/>
      </c>
      <c r="LO1214" t="str">
        <v/>
      </c>
    </row>
    <row r="1215" spans="30:327">
      <c r="AD1215" t="s">
        <v>18300</v>
      </c>
      <c r="AE1215" t="s">
        <v>22986</v>
      </c>
      <c r="AF1215" s="46">
        <v>0</v>
      </c>
      <c r="AG1215" s="113"/>
      <c r="AH1215" s="113"/>
      <c r="AI1215" s="113"/>
      <c r="AJ1215" s="113"/>
      <c r="AK1215" s="113"/>
      <c r="AL1215" s="46">
        <v>0</v>
      </c>
      <c r="AM1215" s="113"/>
      <c r="AN1215" s="113"/>
      <c r="AO1215" s="113"/>
      <c r="AP1215" s="113"/>
      <c r="AQ1215" s="113"/>
      <c r="AR1215" s="46">
        <v>0</v>
      </c>
      <c r="AS1215" s="113"/>
      <c r="AT1215" s="113"/>
      <c r="AU1215" s="113"/>
      <c r="AV1215" s="113"/>
      <c r="AW1215" s="113"/>
      <c r="AX1215" s="46">
        <v>0</v>
      </c>
      <c r="AY1215" s="113"/>
      <c r="AZ1215" s="113"/>
      <c r="BA1215" s="113"/>
      <c r="BB1215" s="113"/>
      <c r="BC1215" s="113"/>
      <c r="BD1215" s="46">
        <v>0</v>
      </c>
      <c r="BE1215" s="113"/>
      <c r="BF1215" s="113"/>
      <c r="BG1215" s="113"/>
      <c r="BH1215" s="113"/>
      <c r="BI1215" s="113"/>
      <c r="BJ1215" s="46">
        <v>0</v>
      </c>
      <c r="BK1215" s="113"/>
      <c r="BL1215" s="113"/>
      <c r="BM1215" s="113"/>
      <c r="BN1215" s="113"/>
      <c r="BO1215" s="113"/>
      <c r="BP1215" s="121"/>
      <c r="BQ1215" s="121"/>
      <c r="GA1215" t="s">
        <v>18300</v>
      </c>
      <c r="GB1215" t="s">
        <v>22986</v>
      </c>
      <c r="GC1215" s="46">
        <v>0</v>
      </c>
      <c r="GD1215" s="113"/>
      <c r="GE1215" s="113"/>
      <c r="GF1215" s="113"/>
      <c r="GG1215" s="113"/>
      <c r="GH1215" s="113"/>
      <c r="GI1215" s="46">
        <v>0</v>
      </c>
      <c r="GJ1215" s="113"/>
      <c r="GK1215" s="113"/>
      <c r="GL1215" s="113"/>
      <c r="GM1215" s="113"/>
      <c r="GN1215" s="113"/>
      <c r="GO1215" s="46">
        <v>0</v>
      </c>
      <c r="GP1215" s="113"/>
      <c r="GQ1215" s="113"/>
      <c r="GR1215" s="113"/>
      <c r="GS1215" s="113"/>
      <c r="GT1215" s="113"/>
      <c r="GU1215" s="46">
        <v>0</v>
      </c>
      <c r="GV1215" s="113"/>
      <c r="GW1215" s="113"/>
      <c r="GX1215" s="113"/>
      <c r="GY1215" s="113"/>
      <c r="GZ1215" s="113"/>
      <c r="HA1215" s="46">
        <v>0</v>
      </c>
      <c r="HB1215" s="113"/>
      <c r="HC1215" s="113"/>
      <c r="HD1215" s="113"/>
      <c r="HE1215" s="113"/>
      <c r="HF1215" s="113"/>
      <c r="HG1215" s="46">
        <v>0</v>
      </c>
      <c r="HH1215" s="113"/>
      <c r="HI1215" s="113"/>
      <c r="HJ1215" s="113"/>
      <c r="HK1215" s="113"/>
      <c r="HL1215" s="113"/>
      <c r="HM1215" s="121"/>
      <c r="HN1215" s="121"/>
      <c r="LM1215" t="str">
        <v/>
      </c>
      <c r="LN1215" t="str">
        <v/>
      </c>
      <c r="LO1215" t="str">
        <v/>
      </c>
    </row>
    <row r="1216" spans="30:327">
      <c r="AD1216" t="s">
        <v>18300</v>
      </c>
      <c r="AE1216" t="s">
        <v>22987</v>
      </c>
      <c r="AF1216" s="46">
        <v>0</v>
      </c>
      <c r="AG1216" s="113"/>
      <c r="AH1216" s="113"/>
      <c r="AI1216" s="113"/>
      <c r="AJ1216" s="113"/>
      <c r="AK1216" s="113"/>
      <c r="AL1216" s="46">
        <v>0</v>
      </c>
      <c r="AM1216" s="113"/>
      <c r="AN1216" s="113"/>
      <c r="AO1216" s="113"/>
      <c r="AP1216" s="113"/>
      <c r="AQ1216" s="113"/>
      <c r="AR1216" s="46">
        <v>0</v>
      </c>
      <c r="AS1216" s="113"/>
      <c r="AT1216" s="113"/>
      <c r="AU1216" s="113"/>
      <c r="AV1216" s="113"/>
      <c r="AW1216" s="113"/>
      <c r="AX1216" s="46">
        <v>0</v>
      </c>
      <c r="AY1216" s="113"/>
      <c r="AZ1216" s="113"/>
      <c r="BA1216" s="113"/>
      <c r="BB1216" s="113"/>
      <c r="BC1216" s="113"/>
      <c r="BD1216" s="46">
        <v>0</v>
      </c>
      <c r="BE1216" s="113"/>
      <c r="BF1216" s="113"/>
      <c r="BG1216" s="113"/>
      <c r="BH1216" s="113"/>
      <c r="BI1216" s="113"/>
      <c r="BJ1216" s="46">
        <v>0</v>
      </c>
      <c r="BK1216" s="113"/>
      <c r="BL1216" s="113"/>
      <c r="BM1216" s="113"/>
      <c r="BN1216" s="113"/>
      <c r="BO1216" s="113"/>
      <c r="BP1216" s="121"/>
      <c r="BQ1216" s="121"/>
      <c r="GA1216" t="s">
        <v>18300</v>
      </c>
      <c r="GB1216" t="s">
        <v>22987</v>
      </c>
      <c r="GC1216" s="46">
        <v>0</v>
      </c>
      <c r="GD1216" s="113"/>
      <c r="GE1216" s="113"/>
      <c r="GF1216" s="113"/>
      <c r="GG1216" s="113"/>
      <c r="GH1216" s="113"/>
      <c r="GI1216" s="46">
        <v>0</v>
      </c>
      <c r="GJ1216" s="113"/>
      <c r="GK1216" s="113"/>
      <c r="GL1216" s="113"/>
      <c r="GM1216" s="113"/>
      <c r="GN1216" s="113"/>
      <c r="GO1216" s="46">
        <v>0</v>
      </c>
      <c r="GP1216" s="113"/>
      <c r="GQ1216" s="113"/>
      <c r="GR1216" s="113"/>
      <c r="GS1216" s="113"/>
      <c r="GT1216" s="113"/>
      <c r="GU1216" s="46">
        <v>0</v>
      </c>
      <c r="GV1216" s="113"/>
      <c r="GW1216" s="113"/>
      <c r="GX1216" s="113"/>
      <c r="GY1216" s="113"/>
      <c r="GZ1216" s="113"/>
      <c r="HA1216" s="46">
        <v>0</v>
      </c>
      <c r="HB1216" s="113"/>
      <c r="HC1216" s="113"/>
      <c r="HD1216" s="113"/>
      <c r="HE1216" s="113"/>
      <c r="HF1216" s="113"/>
      <c r="HG1216" s="46">
        <v>0</v>
      </c>
      <c r="HH1216" s="113"/>
      <c r="HI1216" s="113"/>
      <c r="HJ1216" s="113"/>
      <c r="HK1216" s="113"/>
      <c r="HL1216" s="113"/>
      <c r="HM1216" s="121"/>
      <c r="HN1216" s="121"/>
      <c r="LM1216" t="str">
        <v/>
      </c>
      <c r="LN1216" t="str">
        <v/>
      </c>
      <c r="LO1216" t="str">
        <v/>
      </c>
    </row>
    <row r="1217" spans="30:327">
      <c r="AD1217" t="s">
        <v>18300</v>
      </c>
      <c r="AE1217" t="s">
        <v>22988</v>
      </c>
      <c r="AF1217" s="46">
        <v>0</v>
      </c>
      <c r="AG1217" s="113"/>
      <c r="AH1217" s="113"/>
      <c r="AI1217" s="113"/>
      <c r="AJ1217" s="113"/>
      <c r="AK1217" s="113"/>
      <c r="AL1217" s="46">
        <v>0</v>
      </c>
      <c r="AM1217" s="113"/>
      <c r="AN1217" s="113"/>
      <c r="AO1217" s="113"/>
      <c r="AP1217" s="113"/>
      <c r="AQ1217" s="113"/>
      <c r="AR1217" s="46">
        <v>0</v>
      </c>
      <c r="AS1217" s="113"/>
      <c r="AT1217" s="113"/>
      <c r="AU1217" s="113"/>
      <c r="AV1217" s="113"/>
      <c r="AW1217" s="113"/>
      <c r="AX1217" s="46">
        <v>0</v>
      </c>
      <c r="AY1217" s="113"/>
      <c r="AZ1217" s="113"/>
      <c r="BA1217" s="113"/>
      <c r="BB1217" s="113"/>
      <c r="BC1217" s="113"/>
      <c r="BD1217" s="46">
        <v>0</v>
      </c>
      <c r="BE1217" s="113"/>
      <c r="BF1217" s="113"/>
      <c r="BG1217" s="113"/>
      <c r="BH1217" s="113"/>
      <c r="BI1217" s="113"/>
      <c r="BJ1217" s="46">
        <v>0</v>
      </c>
      <c r="BK1217" s="113"/>
      <c r="BL1217" s="113"/>
      <c r="BM1217" s="113"/>
      <c r="BN1217" s="113"/>
      <c r="BO1217" s="113"/>
      <c r="BP1217" s="121"/>
      <c r="BQ1217" s="121"/>
      <c r="GA1217" t="s">
        <v>18300</v>
      </c>
      <c r="GB1217" t="s">
        <v>22988</v>
      </c>
      <c r="GC1217" s="46">
        <v>0</v>
      </c>
      <c r="GD1217" s="113"/>
      <c r="GE1217" s="113"/>
      <c r="GF1217" s="113"/>
      <c r="GG1217" s="113"/>
      <c r="GH1217" s="113"/>
      <c r="GI1217" s="46">
        <v>0</v>
      </c>
      <c r="GJ1217" s="113"/>
      <c r="GK1217" s="113"/>
      <c r="GL1217" s="113"/>
      <c r="GM1217" s="113"/>
      <c r="GN1217" s="113"/>
      <c r="GO1217" s="46">
        <v>0</v>
      </c>
      <c r="GP1217" s="113"/>
      <c r="GQ1217" s="113"/>
      <c r="GR1217" s="113"/>
      <c r="GS1217" s="113"/>
      <c r="GT1217" s="113"/>
      <c r="GU1217" s="46">
        <v>0</v>
      </c>
      <c r="GV1217" s="113"/>
      <c r="GW1217" s="113"/>
      <c r="GX1217" s="113"/>
      <c r="GY1217" s="113"/>
      <c r="GZ1217" s="113"/>
      <c r="HA1217" s="46">
        <v>0</v>
      </c>
      <c r="HB1217" s="113"/>
      <c r="HC1217" s="113"/>
      <c r="HD1217" s="113"/>
      <c r="HE1217" s="113"/>
      <c r="HF1217" s="113"/>
      <c r="HG1217" s="46">
        <v>0</v>
      </c>
      <c r="HH1217" s="113"/>
      <c r="HI1217" s="113"/>
      <c r="HJ1217" s="113"/>
      <c r="HK1217" s="113"/>
      <c r="HL1217" s="113"/>
      <c r="HM1217" s="121"/>
      <c r="HN1217" s="121"/>
      <c r="LM1217" t="str">
        <v/>
      </c>
      <c r="LN1217" t="str">
        <v/>
      </c>
      <c r="LO1217" t="str">
        <v/>
      </c>
    </row>
    <row r="1218" spans="30:327">
      <c r="AD1218" t="s">
        <v>18300</v>
      </c>
      <c r="AE1218" t="s">
        <v>22989</v>
      </c>
      <c r="AF1218" s="46">
        <v>0</v>
      </c>
      <c r="AG1218" s="113"/>
      <c r="AH1218" s="113"/>
      <c r="AI1218" s="113"/>
      <c r="AJ1218" s="113"/>
      <c r="AK1218" s="113"/>
      <c r="AL1218" s="46">
        <v>0</v>
      </c>
      <c r="AM1218" s="113"/>
      <c r="AN1218" s="113"/>
      <c r="AO1218" s="113"/>
      <c r="AP1218" s="113"/>
      <c r="AQ1218" s="113"/>
      <c r="AR1218" s="46">
        <v>0</v>
      </c>
      <c r="AS1218" s="113"/>
      <c r="AT1218" s="113"/>
      <c r="AU1218" s="113"/>
      <c r="AV1218" s="113"/>
      <c r="AW1218" s="113"/>
      <c r="AX1218" s="46">
        <v>0</v>
      </c>
      <c r="AY1218" s="113"/>
      <c r="AZ1218" s="113"/>
      <c r="BA1218" s="113"/>
      <c r="BB1218" s="113"/>
      <c r="BC1218" s="113"/>
      <c r="BD1218" s="46">
        <v>0</v>
      </c>
      <c r="BE1218" s="113"/>
      <c r="BF1218" s="113"/>
      <c r="BG1218" s="113"/>
      <c r="BH1218" s="113"/>
      <c r="BI1218" s="113"/>
      <c r="BJ1218" s="46">
        <v>0</v>
      </c>
      <c r="BK1218" s="113"/>
      <c r="BL1218" s="113"/>
      <c r="BM1218" s="113"/>
      <c r="BN1218" s="113"/>
      <c r="BO1218" s="113"/>
      <c r="BP1218" s="121"/>
      <c r="BQ1218" s="121"/>
      <c r="GA1218" t="s">
        <v>18300</v>
      </c>
      <c r="GB1218" t="s">
        <v>22989</v>
      </c>
      <c r="GC1218" s="46">
        <v>0</v>
      </c>
      <c r="GD1218" s="113"/>
      <c r="GE1218" s="113"/>
      <c r="GF1218" s="113"/>
      <c r="GG1218" s="113"/>
      <c r="GH1218" s="113"/>
      <c r="GI1218" s="46">
        <v>0</v>
      </c>
      <c r="GJ1218" s="113"/>
      <c r="GK1218" s="113"/>
      <c r="GL1218" s="113"/>
      <c r="GM1218" s="113"/>
      <c r="GN1218" s="113"/>
      <c r="GO1218" s="46">
        <v>0</v>
      </c>
      <c r="GP1218" s="113"/>
      <c r="GQ1218" s="113"/>
      <c r="GR1218" s="113"/>
      <c r="GS1218" s="113"/>
      <c r="GT1218" s="113"/>
      <c r="GU1218" s="46">
        <v>0</v>
      </c>
      <c r="GV1218" s="113"/>
      <c r="GW1218" s="113"/>
      <c r="GX1218" s="113"/>
      <c r="GY1218" s="113"/>
      <c r="GZ1218" s="113"/>
      <c r="HA1218" s="46">
        <v>0</v>
      </c>
      <c r="HB1218" s="113"/>
      <c r="HC1218" s="113"/>
      <c r="HD1218" s="113"/>
      <c r="HE1218" s="113"/>
      <c r="HF1218" s="113"/>
      <c r="HG1218" s="46">
        <v>0</v>
      </c>
      <c r="HH1218" s="113"/>
      <c r="HI1218" s="113"/>
      <c r="HJ1218" s="113"/>
      <c r="HK1218" s="113"/>
      <c r="HL1218" s="113"/>
      <c r="HM1218" s="121"/>
      <c r="HN1218" s="121"/>
      <c r="LM1218" t="str">
        <v/>
      </c>
      <c r="LN1218" t="str">
        <v/>
      </c>
      <c r="LO1218" t="str">
        <v/>
      </c>
    </row>
    <row r="1219" spans="30:327">
      <c r="AD1219" t="s">
        <v>18300</v>
      </c>
      <c r="AE1219" t="s">
        <v>22990</v>
      </c>
      <c r="AF1219" s="46">
        <v>0</v>
      </c>
      <c r="AG1219" s="113"/>
      <c r="AH1219" s="113"/>
      <c r="AI1219" s="113"/>
      <c r="AJ1219" s="113"/>
      <c r="AK1219" s="113"/>
      <c r="AL1219" s="46">
        <v>0</v>
      </c>
      <c r="AM1219" s="113"/>
      <c r="AN1219" s="113"/>
      <c r="AO1219" s="113"/>
      <c r="AP1219" s="113"/>
      <c r="AQ1219" s="113"/>
      <c r="AR1219" s="46">
        <v>0</v>
      </c>
      <c r="AS1219" s="113"/>
      <c r="AT1219" s="113"/>
      <c r="AU1219" s="113"/>
      <c r="AV1219" s="113"/>
      <c r="AW1219" s="113"/>
      <c r="AX1219" s="46">
        <v>0</v>
      </c>
      <c r="AY1219" s="113"/>
      <c r="AZ1219" s="113"/>
      <c r="BA1219" s="113"/>
      <c r="BB1219" s="113"/>
      <c r="BC1219" s="113"/>
      <c r="BD1219" s="46">
        <v>0</v>
      </c>
      <c r="BE1219" s="113"/>
      <c r="BF1219" s="113"/>
      <c r="BG1219" s="113"/>
      <c r="BH1219" s="113"/>
      <c r="BI1219" s="113"/>
      <c r="BJ1219" s="46">
        <v>0</v>
      </c>
      <c r="BK1219" s="113"/>
      <c r="BL1219" s="113"/>
      <c r="BM1219" s="113"/>
      <c r="BN1219" s="113"/>
      <c r="BO1219" s="113"/>
      <c r="BP1219" s="121"/>
      <c r="BQ1219" s="121"/>
      <c r="GA1219" t="s">
        <v>18300</v>
      </c>
      <c r="GB1219" t="s">
        <v>22990</v>
      </c>
      <c r="GC1219" s="46">
        <v>0</v>
      </c>
      <c r="GD1219" s="113"/>
      <c r="GE1219" s="113"/>
      <c r="GF1219" s="113"/>
      <c r="GG1219" s="113"/>
      <c r="GH1219" s="113"/>
      <c r="GI1219" s="46">
        <v>0</v>
      </c>
      <c r="GJ1219" s="113"/>
      <c r="GK1219" s="113"/>
      <c r="GL1219" s="113"/>
      <c r="GM1219" s="113"/>
      <c r="GN1219" s="113"/>
      <c r="GO1219" s="46">
        <v>0</v>
      </c>
      <c r="GP1219" s="113"/>
      <c r="GQ1219" s="113"/>
      <c r="GR1219" s="113"/>
      <c r="GS1219" s="113"/>
      <c r="GT1219" s="113"/>
      <c r="GU1219" s="46">
        <v>0</v>
      </c>
      <c r="GV1219" s="113"/>
      <c r="GW1219" s="113"/>
      <c r="GX1219" s="113"/>
      <c r="GY1219" s="113"/>
      <c r="GZ1219" s="113"/>
      <c r="HA1219" s="46">
        <v>0</v>
      </c>
      <c r="HB1219" s="113"/>
      <c r="HC1219" s="113"/>
      <c r="HD1219" s="113"/>
      <c r="HE1219" s="113"/>
      <c r="HF1219" s="113"/>
      <c r="HG1219" s="46">
        <v>0</v>
      </c>
      <c r="HH1219" s="113"/>
      <c r="HI1219" s="113"/>
      <c r="HJ1219" s="113"/>
      <c r="HK1219" s="113"/>
      <c r="HL1219" s="113"/>
      <c r="HM1219" s="121"/>
      <c r="HN1219" s="121"/>
      <c r="LM1219" t="str">
        <v/>
      </c>
      <c r="LN1219" t="str">
        <v/>
      </c>
      <c r="LO1219" t="str">
        <v/>
      </c>
    </row>
    <row r="1220" spans="30:327">
      <c r="AD1220" t="s">
        <v>18300</v>
      </c>
      <c r="AE1220" t="s">
        <v>22991</v>
      </c>
      <c r="AF1220" s="46">
        <v>0</v>
      </c>
      <c r="AG1220" s="113"/>
      <c r="AH1220" s="113"/>
      <c r="AI1220" s="113"/>
      <c r="AJ1220" s="113"/>
      <c r="AK1220" s="113"/>
      <c r="AL1220" s="46">
        <v>0</v>
      </c>
      <c r="AM1220" s="113"/>
      <c r="AN1220" s="113"/>
      <c r="AO1220" s="113"/>
      <c r="AP1220" s="113"/>
      <c r="AQ1220" s="113"/>
      <c r="AR1220" s="46">
        <v>0</v>
      </c>
      <c r="AS1220" s="113"/>
      <c r="AT1220" s="113"/>
      <c r="AU1220" s="113"/>
      <c r="AV1220" s="113"/>
      <c r="AW1220" s="113"/>
      <c r="AX1220" s="46">
        <v>0</v>
      </c>
      <c r="AY1220" s="113"/>
      <c r="AZ1220" s="113"/>
      <c r="BA1220" s="113"/>
      <c r="BB1220" s="113"/>
      <c r="BC1220" s="113"/>
      <c r="BD1220" s="46">
        <v>0</v>
      </c>
      <c r="BE1220" s="113"/>
      <c r="BF1220" s="113"/>
      <c r="BG1220" s="113"/>
      <c r="BH1220" s="113"/>
      <c r="BI1220" s="113"/>
      <c r="BJ1220" s="46">
        <v>0</v>
      </c>
      <c r="BK1220" s="113"/>
      <c r="BL1220" s="113"/>
      <c r="BM1220" s="113"/>
      <c r="BN1220" s="113"/>
      <c r="BO1220" s="113"/>
      <c r="BP1220" s="121"/>
      <c r="BQ1220" s="121"/>
      <c r="GA1220" t="s">
        <v>18300</v>
      </c>
      <c r="GB1220" t="s">
        <v>22991</v>
      </c>
      <c r="GC1220" s="46">
        <v>0</v>
      </c>
      <c r="GD1220" s="113"/>
      <c r="GE1220" s="113"/>
      <c r="GF1220" s="113"/>
      <c r="GG1220" s="113"/>
      <c r="GH1220" s="113"/>
      <c r="GI1220" s="46">
        <v>0</v>
      </c>
      <c r="GJ1220" s="113"/>
      <c r="GK1220" s="113"/>
      <c r="GL1220" s="113"/>
      <c r="GM1220" s="113"/>
      <c r="GN1220" s="113"/>
      <c r="GO1220" s="46">
        <v>0</v>
      </c>
      <c r="GP1220" s="113"/>
      <c r="GQ1220" s="113"/>
      <c r="GR1220" s="113"/>
      <c r="GS1220" s="113"/>
      <c r="GT1220" s="113"/>
      <c r="GU1220" s="46">
        <v>0</v>
      </c>
      <c r="GV1220" s="113"/>
      <c r="GW1220" s="113"/>
      <c r="GX1220" s="113"/>
      <c r="GY1220" s="113"/>
      <c r="GZ1220" s="113"/>
      <c r="HA1220" s="46">
        <v>0</v>
      </c>
      <c r="HB1220" s="113"/>
      <c r="HC1220" s="113"/>
      <c r="HD1220" s="113"/>
      <c r="HE1220" s="113"/>
      <c r="HF1220" s="113"/>
      <c r="HG1220" s="46">
        <v>0</v>
      </c>
      <c r="HH1220" s="113"/>
      <c r="HI1220" s="113"/>
      <c r="HJ1220" s="113"/>
      <c r="HK1220" s="113"/>
      <c r="HL1220" s="113"/>
      <c r="HM1220" s="121"/>
      <c r="HN1220" s="121"/>
      <c r="LM1220" t="str">
        <v/>
      </c>
      <c r="LN1220" t="str">
        <v/>
      </c>
      <c r="LO1220" t="str">
        <v/>
      </c>
    </row>
    <row r="1221" spans="30:327">
      <c r="AD1221" t="s">
        <v>18300</v>
      </c>
      <c r="AE1221" t="s">
        <v>22992</v>
      </c>
      <c r="AF1221" s="46">
        <v>0</v>
      </c>
      <c r="AG1221" s="113"/>
      <c r="AH1221" s="113"/>
      <c r="AI1221" s="113"/>
      <c r="AJ1221" s="113"/>
      <c r="AK1221" s="113"/>
      <c r="AL1221" s="46">
        <v>0</v>
      </c>
      <c r="AM1221" s="113"/>
      <c r="AN1221" s="113"/>
      <c r="AO1221" s="113"/>
      <c r="AP1221" s="113"/>
      <c r="AQ1221" s="113"/>
      <c r="AR1221" s="46">
        <v>0</v>
      </c>
      <c r="AS1221" s="113"/>
      <c r="AT1221" s="113"/>
      <c r="AU1221" s="113"/>
      <c r="AV1221" s="113"/>
      <c r="AW1221" s="113"/>
      <c r="AX1221" s="46">
        <v>0</v>
      </c>
      <c r="AY1221" s="113"/>
      <c r="AZ1221" s="113"/>
      <c r="BA1221" s="113"/>
      <c r="BB1221" s="113"/>
      <c r="BC1221" s="113"/>
      <c r="BD1221" s="46">
        <v>0</v>
      </c>
      <c r="BE1221" s="113"/>
      <c r="BF1221" s="113"/>
      <c r="BG1221" s="113"/>
      <c r="BH1221" s="113"/>
      <c r="BI1221" s="113"/>
      <c r="BJ1221" s="46">
        <v>0</v>
      </c>
      <c r="BK1221" s="113"/>
      <c r="BL1221" s="113"/>
      <c r="BM1221" s="113"/>
      <c r="BN1221" s="113"/>
      <c r="BO1221" s="113"/>
      <c r="BP1221" s="121"/>
      <c r="BQ1221" s="121"/>
      <c r="GA1221" t="s">
        <v>18300</v>
      </c>
      <c r="GB1221" t="s">
        <v>22992</v>
      </c>
      <c r="GC1221" s="46">
        <v>0</v>
      </c>
      <c r="GD1221" s="113"/>
      <c r="GE1221" s="113"/>
      <c r="GF1221" s="113"/>
      <c r="GG1221" s="113"/>
      <c r="GH1221" s="113"/>
      <c r="GI1221" s="46">
        <v>0</v>
      </c>
      <c r="GJ1221" s="113"/>
      <c r="GK1221" s="113"/>
      <c r="GL1221" s="113"/>
      <c r="GM1221" s="113"/>
      <c r="GN1221" s="113"/>
      <c r="GO1221" s="46">
        <v>0</v>
      </c>
      <c r="GP1221" s="113"/>
      <c r="GQ1221" s="113"/>
      <c r="GR1221" s="113"/>
      <c r="GS1221" s="113"/>
      <c r="GT1221" s="113"/>
      <c r="GU1221" s="46">
        <v>0</v>
      </c>
      <c r="GV1221" s="113"/>
      <c r="GW1221" s="113"/>
      <c r="GX1221" s="113"/>
      <c r="GY1221" s="113"/>
      <c r="GZ1221" s="113"/>
      <c r="HA1221" s="46">
        <v>0</v>
      </c>
      <c r="HB1221" s="113"/>
      <c r="HC1221" s="113"/>
      <c r="HD1221" s="113"/>
      <c r="HE1221" s="113"/>
      <c r="HF1221" s="113"/>
      <c r="HG1221" s="46">
        <v>0</v>
      </c>
      <c r="HH1221" s="113"/>
      <c r="HI1221" s="113"/>
      <c r="HJ1221" s="113"/>
      <c r="HK1221" s="113"/>
      <c r="HL1221" s="113"/>
      <c r="HM1221" s="121"/>
      <c r="HN1221" s="121"/>
      <c r="LM1221" t="str">
        <v/>
      </c>
      <c r="LN1221" t="str">
        <v/>
      </c>
      <c r="LO1221" t="str">
        <v/>
      </c>
    </row>
    <row r="1222" spans="30:327">
      <c r="AD1222" t="s">
        <v>18300</v>
      </c>
      <c r="AE1222" t="s">
        <v>22993</v>
      </c>
      <c r="AF1222" s="46">
        <v>0</v>
      </c>
      <c r="AG1222" s="113"/>
      <c r="AH1222" s="113"/>
      <c r="AI1222" s="113"/>
      <c r="AJ1222" s="113"/>
      <c r="AK1222" s="113"/>
      <c r="AL1222" s="46">
        <v>0</v>
      </c>
      <c r="AM1222" s="113"/>
      <c r="AN1222" s="113"/>
      <c r="AO1222" s="113"/>
      <c r="AP1222" s="113"/>
      <c r="AQ1222" s="113"/>
      <c r="AR1222" s="46">
        <v>0</v>
      </c>
      <c r="AS1222" s="113"/>
      <c r="AT1222" s="113"/>
      <c r="AU1222" s="113"/>
      <c r="AV1222" s="113"/>
      <c r="AW1222" s="113"/>
      <c r="AX1222" s="46">
        <v>0</v>
      </c>
      <c r="AY1222" s="113"/>
      <c r="AZ1222" s="113"/>
      <c r="BA1222" s="113"/>
      <c r="BB1222" s="113"/>
      <c r="BC1222" s="113"/>
      <c r="BD1222" s="46">
        <v>0</v>
      </c>
      <c r="BE1222" s="113"/>
      <c r="BF1222" s="113"/>
      <c r="BG1222" s="113"/>
      <c r="BH1222" s="113"/>
      <c r="BI1222" s="113"/>
      <c r="BJ1222" s="46">
        <v>0</v>
      </c>
      <c r="BK1222" s="113"/>
      <c r="BL1222" s="113"/>
      <c r="BM1222" s="113"/>
      <c r="BN1222" s="113"/>
      <c r="BO1222" s="113"/>
      <c r="BP1222" s="121"/>
      <c r="BQ1222" s="121"/>
      <c r="GA1222" t="s">
        <v>18300</v>
      </c>
      <c r="GB1222" t="s">
        <v>22993</v>
      </c>
      <c r="GC1222" s="46">
        <v>0</v>
      </c>
      <c r="GD1222" s="113"/>
      <c r="GE1222" s="113"/>
      <c r="GF1222" s="113"/>
      <c r="GG1222" s="113"/>
      <c r="GH1222" s="113"/>
      <c r="GI1222" s="46">
        <v>0</v>
      </c>
      <c r="GJ1222" s="113"/>
      <c r="GK1222" s="113"/>
      <c r="GL1222" s="113"/>
      <c r="GM1222" s="113"/>
      <c r="GN1222" s="113"/>
      <c r="GO1222" s="46">
        <v>0</v>
      </c>
      <c r="GP1222" s="113"/>
      <c r="GQ1222" s="113"/>
      <c r="GR1222" s="113"/>
      <c r="GS1222" s="113"/>
      <c r="GT1222" s="113"/>
      <c r="GU1222" s="46">
        <v>0</v>
      </c>
      <c r="GV1222" s="113"/>
      <c r="GW1222" s="113"/>
      <c r="GX1222" s="113"/>
      <c r="GY1222" s="113"/>
      <c r="GZ1222" s="113"/>
      <c r="HA1222" s="46">
        <v>0</v>
      </c>
      <c r="HB1222" s="113"/>
      <c r="HC1222" s="113"/>
      <c r="HD1222" s="113"/>
      <c r="HE1222" s="113"/>
      <c r="HF1222" s="113"/>
      <c r="HG1222" s="46">
        <v>0</v>
      </c>
      <c r="HH1222" s="113"/>
      <c r="HI1222" s="113"/>
      <c r="HJ1222" s="113"/>
      <c r="HK1222" s="113"/>
      <c r="HL1222" s="113"/>
      <c r="HM1222" s="121"/>
      <c r="HN1222" s="121"/>
      <c r="LM1222" t="str">
        <v/>
      </c>
      <c r="LN1222" t="str">
        <v/>
      </c>
      <c r="LO1222" t="str">
        <v/>
      </c>
    </row>
    <row r="1223" spans="30:327">
      <c r="AD1223" t="s">
        <v>18300</v>
      </c>
      <c r="AE1223" t="s">
        <v>22994</v>
      </c>
      <c r="AF1223" s="46">
        <v>0</v>
      </c>
      <c r="AG1223" s="113"/>
      <c r="AH1223" s="113"/>
      <c r="AI1223" s="113"/>
      <c r="AJ1223" s="113"/>
      <c r="AK1223" s="113"/>
      <c r="AL1223" s="46">
        <v>0</v>
      </c>
      <c r="AM1223" s="113"/>
      <c r="AN1223" s="113"/>
      <c r="AO1223" s="113"/>
      <c r="AP1223" s="113"/>
      <c r="AQ1223" s="113"/>
      <c r="AR1223" s="46">
        <v>0</v>
      </c>
      <c r="AS1223" s="113"/>
      <c r="AT1223" s="113"/>
      <c r="AU1223" s="113"/>
      <c r="AV1223" s="113"/>
      <c r="AW1223" s="113"/>
      <c r="AX1223" s="46">
        <v>0</v>
      </c>
      <c r="AY1223" s="113"/>
      <c r="AZ1223" s="113"/>
      <c r="BA1223" s="113"/>
      <c r="BB1223" s="113"/>
      <c r="BC1223" s="113"/>
      <c r="BD1223" s="46">
        <v>0</v>
      </c>
      <c r="BE1223" s="113"/>
      <c r="BF1223" s="113"/>
      <c r="BG1223" s="113"/>
      <c r="BH1223" s="113"/>
      <c r="BI1223" s="113"/>
      <c r="BJ1223" s="46">
        <v>0</v>
      </c>
      <c r="BK1223" s="113"/>
      <c r="BL1223" s="113"/>
      <c r="BM1223" s="113"/>
      <c r="BN1223" s="113"/>
      <c r="BO1223" s="113"/>
      <c r="BP1223" s="121"/>
      <c r="BQ1223" s="121"/>
      <c r="GA1223" t="s">
        <v>18300</v>
      </c>
      <c r="GB1223" t="s">
        <v>22994</v>
      </c>
      <c r="GC1223" s="46">
        <v>0</v>
      </c>
      <c r="GD1223" s="113"/>
      <c r="GE1223" s="113"/>
      <c r="GF1223" s="113"/>
      <c r="GG1223" s="113"/>
      <c r="GH1223" s="113"/>
      <c r="GI1223" s="46">
        <v>0</v>
      </c>
      <c r="GJ1223" s="113"/>
      <c r="GK1223" s="113"/>
      <c r="GL1223" s="113"/>
      <c r="GM1223" s="113"/>
      <c r="GN1223" s="113"/>
      <c r="GO1223" s="46">
        <v>0</v>
      </c>
      <c r="GP1223" s="113"/>
      <c r="GQ1223" s="113"/>
      <c r="GR1223" s="113"/>
      <c r="GS1223" s="113"/>
      <c r="GT1223" s="113"/>
      <c r="GU1223" s="46">
        <v>0</v>
      </c>
      <c r="GV1223" s="113"/>
      <c r="GW1223" s="113"/>
      <c r="GX1223" s="113"/>
      <c r="GY1223" s="113"/>
      <c r="GZ1223" s="113"/>
      <c r="HA1223" s="46">
        <v>0</v>
      </c>
      <c r="HB1223" s="113"/>
      <c r="HC1223" s="113"/>
      <c r="HD1223" s="113"/>
      <c r="HE1223" s="113"/>
      <c r="HF1223" s="113"/>
      <c r="HG1223" s="46">
        <v>0</v>
      </c>
      <c r="HH1223" s="113"/>
      <c r="HI1223" s="113"/>
      <c r="HJ1223" s="113"/>
      <c r="HK1223" s="113"/>
      <c r="HL1223" s="113"/>
      <c r="HM1223" s="121"/>
      <c r="HN1223" s="121"/>
      <c r="LM1223" t="str">
        <v/>
      </c>
      <c r="LN1223" t="str">
        <v/>
      </c>
      <c r="LO1223" t="str">
        <v/>
      </c>
    </row>
    <row r="1224" spans="30:327">
      <c r="AD1224" t="s">
        <v>18300</v>
      </c>
      <c r="AE1224" t="s">
        <v>22995</v>
      </c>
      <c r="AF1224" s="46">
        <v>0</v>
      </c>
      <c r="AG1224" s="113"/>
      <c r="AH1224" s="113"/>
      <c r="AI1224" s="113"/>
      <c r="AJ1224" s="113"/>
      <c r="AK1224" s="113"/>
      <c r="AL1224" s="46">
        <v>0</v>
      </c>
      <c r="AM1224" s="113"/>
      <c r="AN1224" s="113"/>
      <c r="AO1224" s="113"/>
      <c r="AP1224" s="113"/>
      <c r="AQ1224" s="113"/>
      <c r="AR1224" s="46">
        <v>0</v>
      </c>
      <c r="AS1224" s="113"/>
      <c r="AT1224" s="113"/>
      <c r="AU1224" s="113"/>
      <c r="AV1224" s="113"/>
      <c r="AW1224" s="113"/>
      <c r="AX1224" s="46">
        <v>0</v>
      </c>
      <c r="AY1224" s="113"/>
      <c r="AZ1224" s="113"/>
      <c r="BA1224" s="113"/>
      <c r="BB1224" s="113"/>
      <c r="BC1224" s="113"/>
      <c r="BD1224" s="46">
        <v>0</v>
      </c>
      <c r="BE1224" s="113"/>
      <c r="BF1224" s="113"/>
      <c r="BG1224" s="113"/>
      <c r="BH1224" s="113"/>
      <c r="BI1224" s="113"/>
      <c r="BJ1224" s="46">
        <v>0</v>
      </c>
      <c r="BK1224" s="113"/>
      <c r="BL1224" s="113"/>
      <c r="BM1224" s="113"/>
      <c r="BN1224" s="113"/>
      <c r="BO1224" s="113"/>
      <c r="BP1224" s="121"/>
      <c r="BQ1224" s="121"/>
      <c r="GA1224" t="s">
        <v>18300</v>
      </c>
      <c r="GB1224" t="s">
        <v>22995</v>
      </c>
      <c r="GC1224" s="46">
        <v>0</v>
      </c>
      <c r="GD1224" s="113"/>
      <c r="GE1224" s="113"/>
      <c r="GF1224" s="113"/>
      <c r="GG1224" s="113"/>
      <c r="GH1224" s="113"/>
      <c r="GI1224" s="46">
        <v>0</v>
      </c>
      <c r="GJ1224" s="113"/>
      <c r="GK1224" s="113"/>
      <c r="GL1224" s="113"/>
      <c r="GM1224" s="113"/>
      <c r="GN1224" s="113"/>
      <c r="GO1224" s="46">
        <v>0</v>
      </c>
      <c r="GP1224" s="113"/>
      <c r="GQ1224" s="113"/>
      <c r="GR1224" s="113"/>
      <c r="GS1224" s="113"/>
      <c r="GT1224" s="113"/>
      <c r="GU1224" s="46">
        <v>0</v>
      </c>
      <c r="GV1224" s="113"/>
      <c r="GW1224" s="113"/>
      <c r="GX1224" s="113"/>
      <c r="GY1224" s="113"/>
      <c r="GZ1224" s="113"/>
      <c r="HA1224" s="46">
        <v>0</v>
      </c>
      <c r="HB1224" s="113"/>
      <c r="HC1224" s="113"/>
      <c r="HD1224" s="113"/>
      <c r="HE1224" s="113"/>
      <c r="HF1224" s="113"/>
      <c r="HG1224" s="46">
        <v>0</v>
      </c>
      <c r="HH1224" s="113"/>
      <c r="HI1224" s="113"/>
      <c r="HJ1224" s="113"/>
      <c r="HK1224" s="113"/>
      <c r="HL1224" s="113"/>
      <c r="HM1224" s="121"/>
      <c r="HN1224" s="121"/>
      <c r="LM1224" t="str">
        <v/>
      </c>
      <c r="LN1224" t="str">
        <v/>
      </c>
      <c r="LO1224" t="str">
        <v/>
      </c>
    </row>
    <row r="1225" spans="30:327">
      <c r="AD1225" t="s">
        <v>18300</v>
      </c>
      <c r="AE1225" t="s">
        <v>22996</v>
      </c>
      <c r="AF1225" s="46">
        <v>0</v>
      </c>
      <c r="AG1225" s="113"/>
      <c r="AH1225" s="113"/>
      <c r="AI1225" s="113"/>
      <c r="AJ1225" s="113"/>
      <c r="AK1225" s="113"/>
      <c r="AL1225" s="46">
        <v>0</v>
      </c>
      <c r="AM1225" s="113"/>
      <c r="AN1225" s="113"/>
      <c r="AO1225" s="113"/>
      <c r="AP1225" s="113"/>
      <c r="AQ1225" s="113"/>
      <c r="AR1225" s="46">
        <v>0</v>
      </c>
      <c r="AS1225" s="113"/>
      <c r="AT1225" s="113"/>
      <c r="AU1225" s="113"/>
      <c r="AV1225" s="113"/>
      <c r="AW1225" s="113"/>
      <c r="AX1225" s="46">
        <v>0</v>
      </c>
      <c r="AY1225" s="113"/>
      <c r="AZ1225" s="113"/>
      <c r="BA1225" s="113"/>
      <c r="BB1225" s="113"/>
      <c r="BC1225" s="113"/>
      <c r="BD1225" s="46">
        <v>0</v>
      </c>
      <c r="BE1225" s="113"/>
      <c r="BF1225" s="113"/>
      <c r="BG1225" s="113"/>
      <c r="BH1225" s="113"/>
      <c r="BI1225" s="113"/>
      <c r="BJ1225" s="46">
        <v>0</v>
      </c>
      <c r="BK1225" s="113"/>
      <c r="BL1225" s="113"/>
      <c r="BM1225" s="113"/>
      <c r="BN1225" s="113"/>
      <c r="BO1225" s="113"/>
      <c r="BP1225" s="121"/>
      <c r="BQ1225" s="121"/>
      <c r="GA1225" t="s">
        <v>18300</v>
      </c>
      <c r="GB1225" t="s">
        <v>22996</v>
      </c>
      <c r="GC1225" s="46">
        <v>0</v>
      </c>
      <c r="GD1225" s="113"/>
      <c r="GE1225" s="113"/>
      <c r="GF1225" s="113"/>
      <c r="GG1225" s="113"/>
      <c r="GH1225" s="113"/>
      <c r="GI1225" s="46">
        <v>0</v>
      </c>
      <c r="GJ1225" s="113"/>
      <c r="GK1225" s="113"/>
      <c r="GL1225" s="113"/>
      <c r="GM1225" s="113"/>
      <c r="GN1225" s="113"/>
      <c r="GO1225" s="46">
        <v>0</v>
      </c>
      <c r="GP1225" s="113"/>
      <c r="GQ1225" s="113"/>
      <c r="GR1225" s="113"/>
      <c r="GS1225" s="113"/>
      <c r="GT1225" s="113"/>
      <c r="GU1225" s="46">
        <v>0</v>
      </c>
      <c r="GV1225" s="113"/>
      <c r="GW1225" s="113"/>
      <c r="GX1225" s="113"/>
      <c r="GY1225" s="113"/>
      <c r="GZ1225" s="113"/>
      <c r="HA1225" s="46">
        <v>0</v>
      </c>
      <c r="HB1225" s="113"/>
      <c r="HC1225" s="113"/>
      <c r="HD1225" s="113"/>
      <c r="HE1225" s="113"/>
      <c r="HF1225" s="113"/>
      <c r="HG1225" s="46">
        <v>0</v>
      </c>
      <c r="HH1225" s="113"/>
      <c r="HI1225" s="113"/>
      <c r="HJ1225" s="113"/>
      <c r="HK1225" s="113"/>
      <c r="HL1225" s="113"/>
      <c r="HM1225" s="121"/>
      <c r="HN1225" s="121"/>
      <c r="LM1225" t="str">
        <v/>
      </c>
      <c r="LN1225" t="str">
        <v/>
      </c>
      <c r="LO1225" t="str">
        <v/>
      </c>
    </row>
    <row r="1226" spans="30:327">
      <c r="AD1226" t="s">
        <v>18300</v>
      </c>
      <c r="AE1226" t="s">
        <v>22997</v>
      </c>
      <c r="AF1226" s="46">
        <v>0</v>
      </c>
      <c r="AG1226" s="113"/>
      <c r="AH1226" s="113"/>
      <c r="AI1226" s="113"/>
      <c r="AJ1226" s="113"/>
      <c r="AK1226" s="113"/>
      <c r="AL1226" s="46">
        <v>0</v>
      </c>
      <c r="AM1226" s="113"/>
      <c r="AN1226" s="113"/>
      <c r="AO1226" s="113"/>
      <c r="AP1226" s="113"/>
      <c r="AQ1226" s="113"/>
      <c r="AR1226" s="46">
        <v>0</v>
      </c>
      <c r="AS1226" s="113"/>
      <c r="AT1226" s="113"/>
      <c r="AU1226" s="113"/>
      <c r="AV1226" s="113"/>
      <c r="AW1226" s="113"/>
      <c r="AX1226" s="46">
        <v>0</v>
      </c>
      <c r="AY1226" s="113"/>
      <c r="AZ1226" s="113"/>
      <c r="BA1226" s="113"/>
      <c r="BB1226" s="113"/>
      <c r="BC1226" s="113"/>
      <c r="BD1226" s="46">
        <v>0</v>
      </c>
      <c r="BE1226" s="113"/>
      <c r="BF1226" s="113"/>
      <c r="BG1226" s="113"/>
      <c r="BH1226" s="113"/>
      <c r="BI1226" s="113"/>
      <c r="BJ1226" s="46">
        <v>0</v>
      </c>
      <c r="BK1226" s="113"/>
      <c r="BL1226" s="113"/>
      <c r="BM1226" s="113"/>
      <c r="BN1226" s="113"/>
      <c r="BO1226" s="113"/>
      <c r="BP1226" s="121"/>
      <c r="BQ1226" s="121"/>
      <c r="GA1226" t="s">
        <v>18300</v>
      </c>
      <c r="GB1226" t="s">
        <v>22997</v>
      </c>
      <c r="GC1226" s="46">
        <v>0</v>
      </c>
      <c r="GD1226" s="113"/>
      <c r="GE1226" s="113"/>
      <c r="GF1226" s="113"/>
      <c r="GG1226" s="113"/>
      <c r="GH1226" s="113"/>
      <c r="GI1226" s="46">
        <v>0</v>
      </c>
      <c r="GJ1226" s="113"/>
      <c r="GK1226" s="113"/>
      <c r="GL1226" s="113"/>
      <c r="GM1226" s="113"/>
      <c r="GN1226" s="113"/>
      <c r="GO1226" s="46">
        <v>0</v>
      </c>
      <c r="GP1226" s="113"/>
      <c r="GQ1226" s="113"/>
      <c r="GR1226" s="113"/>
      <c r="GS1226" s="113"/>
      <c r="GT1226" s="113"/>
      <c r="GU1226" s="46">
        <v>0</v>
      </c>
      <c r="GV1226" s="113"/>
      <c r="GW1226" s="113"/>
      <c r="GX1226" s="113"/>
      <c r="GY1226" s="113"/>
      <c r="GZ1226" s="113"/>
      <c r="HA1226" s="46">
        <v>0</v>
      </c>
      <c r="HB1226" s="113"/>
      <c r="HC1226" s="113"/>
      <c r="HD1226" s="113"/>
      <c r="HE1226" s="113"/>
      <c r="HF1226" s="113"/>
      <c r="HG1226" s="46">
        <v>0</v>
      </c>
      <c r="HH1226" s="113"/>
      <c r="HI1226" s="113"/>
      <c r="HJ1226" s="113"/>
      <c r="HK1226" s="113"/>
      <c r="HL1226" s="113"/>
      <c r="HM1226" s="121"/>
      <c r="HN1226" s="121"/>
      <c r="LM1226" t="str">
        <v/>
      </c>
      <c r="LN1226" t="str">
        <v/>
      </c>
      <c r="LO1226" t="str">
        <v/>
      </c>
    </row>
    <row r="1227" spans="30:327">
      <c r="AD1227" t="s">
        <v>18300</v>
      </c>
      <c r="AE1227" t="s">
        <v>22998</v>
      </c>
      <c r="AF1227" s="46">
        <v>0</v>
      </c>
      <c r="AG1227" s="113"/>
      <c r="AH1227" s="113"/>
      <c r="AI1227" s="113"/>
      <c r="AJ1227" s="113"/>
      <c r="AK1227" s="113"/>
      <c r="AL1227" s="46">
        <v>0</v>
      </c>
      <c r="AM1227" s="113"/>
      <c r="AN1227" s="113"/>
      <c r="AO1227" s="113"/>
      <c r="AP1227" s="113"/>
      <c r="AQ1227" s="113"/>
      <c r="AR1227" s="46">
        <v>0</v>
      </c>
      <c r="AS1227" s="113"/>
      <c r="AT1227" s="113"/>
      <c r="AU1227" s="113"/>
      <c r="AV1227" s="113"/>
      <c r="AW1227" s="113"/>
      <c r="AX1227" s="46">
        <v>0</v>
      </c>
      <c r="AY1227" s="113"/>
      <c r="AZ1227" s="113"/>
      <c r="BA1227" s="113"/>
      <c r="BB1227" s="113"/>
      <c r="BC1227" s="113"/>
      <c r="BD1227" s="46">
        <v>0</v>
      </c>
      <c r="BE1227" s="113"/>
      <c r="BF1227" s="113"/>
      <c r="BG1227" s="113"/>
      <c r="BH1227" s="113"/>
      <c r="BI1227" s="113"/>
      <c r="BJ1227" s="46">
        <v>0</v>
      </c>
      <c r="BK1227" s="113"/>
      <c r="BL1227" s="113"/>
      <c r="BM1227" s="113"/>
      <c r="BN1227" s="113"/>
      <c r="BO1227" s="113"/>
      <c r="BP1227" s="121"/>
      <c r="BQ1227" s="121"/>
      <c r="GA1227" t="s">
        <v>18300</v>
      </c>
      <c r="GB1227" t="s">
        <v>22998</v>
      </c>
      <c r="GC1227" s="46">
        <v>0</v>
      </c>
      <c r="GD1227" s="113"/>
      <c r="GE1227" s="113"/>
      <c r="GF1227" s="113"/>
      <c r="GG1227" s="113"/>
      <c r="GH1227" s="113"/>
      <c r="GI1227" s="46">
        <v>0</v>
      </c>
      <c r="GJ1227" s="113"/>
      <c r="GK1227" s="113"/>
      <c r="GL1227" s="113"/>
      <c r="GM1227" s="113"/>
      <c r="GN1227" s="113"/>
      <c r="GO1227" s="46">
        <v>0</v>
      </c>
      <c r="GP1227" s="113"/>
      <c r="GQ1227" s="113"/>
      <c r="GR1227" s="113"/>
      <c r="GS1227" s="113"/>
      <c r="GT1227" s="113"/>
      <c r="GU1227" s="46">
        <v>0</v>
      </c>
      <c r="GV1227" s="113"/>
      <c r="GW1227" s="113"/>
      <c r="GX1227" s="113"/>
      <c r="GY1227" s="113"/>
      <c r="GZ1227" s="113"/>
      <c r="HA1227" s="46">
        <v>0</v>
      </c>
      <c r="HB1227" s="113"/>
      <c r="HC1227" s="113"/>
      <c r="HD1227" s="113"/>
      <c r="HE1227" s="113"/>
      <c r="HF1227" s="113"/>
      <c r="HG1227" s="46">
        <v>0</v>
      </c>
      <c r="HH1227" s="113"/>
      <c r="HI1227" s="113"/>
      <c r="HJ1227" s="113"/>
      <c r="HK1227" s="113"/>
      <c r="HL1227" s="113"/>
      <c r="HM1227" s="121"/>
      <c r="HN1227" s="121"/>
      <c r="LM1227" t="str">
        <v/>
      </c>
      <c r="LN1227" t="str">
        <v/>
      </c>
      <c r="LO1227" t="str">
        <v/>
      </c>
    </row>
    <row r="1228" spans="30:327">
      <c r="AD1228" t="s">
        <v>18300</v>
      </c>
      <c r="AE1228" t="s">
        <v>22999</v>
      </c>
      <c r="AF1228" s="46">
        <v>0</v>
      </c>
      <c r="AG1228" s="113"/>
      <c r="AH1228" s="113"/>
      <c r="AI1228" s="113"/>
      <c r="AJ1228" s="113"/>
      <c r="AK1228" s="113"/>
      <c r="AL1228" s="46">
        <v>0</v>
      </c>
      <c r="AM1228" s="113"/>
      <c r="AN1228" s="113"/>
      <c r="AO1228" s="113"/>
      <c r="AP1228" s="113"/>
      <c r="AQ1228" s="113"/>
      <c r="AR1228" s="46">
        <v>0</v>
      </c>
      <c r="AS1228" s="113"/>
      <c r="AT1228" s="113"/>
      <c r="AU1228" s="113"/>
      <c r="AV1228" s="113"/>
      <c r="AW1228" s="113"/>
      <c r="AX1228" s="46">
        <v>0</v>
      </c>
      <c r="AY1228" s="113"/>
      <c r="AZ1228" s="113"/>
      <c r="BA1228" s="113"/>
      <c r="BB1228" s="113"/>
      <c r="BC1228" s="113"/>
      <c r="BD1228" s="46">
        <v>0</v>
      </c>
      <c r="BE1228" s="113"/>
      <c r="BF1228" s="113"/>
      <c r="BG1228" s="113"/>
      <c r="BH1228" s="113"/>
      <c r="BI1228" s="113"/>
      <c r="BJ1228" s="46">
        <v>0</v>
      </c>
      <c r="BK1228" s="113"/>
      <c r="BL1228" s="113"/>
      <c r="BM1228" s="113"/>
      <c r="BN1228" s="113"/>
      <c r="BO1228" s="113"/>
      <c r="BP1228" s="121"/>
      <c r="BQ1228" s="121"/>
      <c r="GA1228" t="s">
        <v>18300</v>
      </c>
      <c r="GB1228" t="s">
        <v>22999</v>
      </c>
      <c r="GC1228" s="46">
        <v>0</v>
      </c>
      <c r="GD1228" s="113"/>
      <c r="GE1228" s="113"/>
      <c r="GF1228" s="113"/>
      <c r="GG1228" s="113"/>
      <c r="GH1228" s="113"/>
      <c r="GI1228" s="46">
        <v>0</v>
      </c>
      <c r="GJ1228" s="113"/>
      <c r="GK1228" s="113"/>
      <c r="GL1228" s="113"/>
      <c r="GM1228" s="113"/>
      <c r="GN1228" s="113"/>
      <c r="GO1228" s="46">
        <v>0</v>
      </c>
      <c r="GP1228" s="113"/>
      <c r="GQ1228" s="113"/>
      <c r="GR1228" s="113"/>
      <c r="GS1228" s="113"/>
      <c r="GT1228" s="113"/>
      <c r="GU1228" s="46">
        <v>0</v>
      </c>
      <c r="GV1228" s="113"/>
      <c r="GW1228" s="113"/>
      <c r="GX1228" s="113"/>
      <c r="GY1228" s="113"/>
      <c r="GZ1228" s="113"/>
      <c r="HA1228" s="46">
        <v>0</v>
      </c>
      <c r="HB1228" s="113"/>
      <c r="HC1228" s="113"/>
      <c r="HD1228" s="113"/>
      <c r="HE1228" s="113"/>
      <c r="HF1228" s="113"/>
      <c r="HG1228" s="46">
        <v>0</v>
      </c>
      <c r="HH1228" s="113"/>
      <c r="HI1228" s="113"/>
      <c r="HJ1228" s="113"/>
      <c r="HK1228" s="113"/>
      <c r="HL1228" s="113"/>
      <c r="HM1228" s="121"/>
      <c r="HN1228" s="121"/>
      <c r="LM1228" t="str">
        <v/>
      </c>
      <c r="LN1228" t="str">
        <v/>
      </c>
      <c r="LO1228" t="str">
        <v/>
      </c>
    </row>
    <row r="1229" spans="30:327">
      <c r="AD1229" t="s">
        <v>18300</v>
      </c>
      <c r="AE1229" t="s">
        <v>23000</v>
      </c>
      <c r="AF1229" s="46">
        <v>0</v>
      </c>
      <c r="AG1229" s="113"/>
      <c r="AH1229" s="113"/>
      <c r="AI1229" s="113"/>
      <c r="AJ1229" s="113"/>
      <c r="AK1229" s="113"/>
      <c r="AL1229" s="46">
        <v>0</v>
      </c>
      <c r="AM1229" s="113"/>
      <c r="AN1229" s="113"/>
      <c r="AO1229" s="113"/>
      <c r="AP1229" s="113"/>
      <c r="AQ1229" s="113"/>
      <c r="AR1229" s="46">
        <v>0</v>
      </c>
      <c r="AS1229" s="113"/>
      <c r="AT1229" s="113"/>
      <c r="AU1229" s="113"/>
      <c r="AV1229" s="113"/>
      <c r="AW1229" s="113"/>
      <c r="AX1229" s="46">
        <v>0</v>
      </c>
      <c r="AY1229" s="113"/>
      <c r="AZ1229" s="113"/>
      <c r="BA1229" s="113"/>
      <c r="BB1229" s="113"/>
      <c r="BC1229" s="113"/>
      <c r="BD1229" s="46">
        <v>0</v>
      </c>
      <c r="BE1229" s="113"/>
      <c r="BF1229" s="113"/>
      <c r="BG1229" s="113"/>
      <c r="BH1229" s="113"/>
      <c r="BI1229" s="113"/>
      <c r="BJ1229" s="46">
        <v>0</v>
      </c>
      <c r="BK1229" s="113"/>
      <c r="BL1229" s="113"/>
      <c r="BM1229" s="113"/>
      <c r="BN1229" s="113"/>
      <c r="BO1229" s="113"/>
      <c r="BP1229" s="121"/>
      <c r="BQ1229" s="121"/>
      <c r="GA1229" t="s">
        <v>18300</v>
      </c>
      <c r="GB1229" t="s">
        <v>23000</v>
      </c>
      <c r="GC1229" s="46">
        <v>0</v>
      </c>
      <c r="GD1229" s="113"/>
      <c r="GE1229" s="113"/>
      <c r="GF1229" s="113"/>
      <c r="GG1229" s="113"/>
      <c r="GH1229" s="113"/>
      <c r="GI1229" s="46">
        <v>0</v>
      </c>
      <c r="GJ1229" s="113"/>
      <c r="GK1229" s="113"/>
      <c r="GL1229" s="113"/>
      <c r="GM1229" s="113"/>
      <c r="GN1229" s="113"/>
      <c r="GO1229" s="46">
        <v>0</v>
      </c>
      <c r="GP1229" s="113"/>
      <c r="GQ1229" s="113"/>
      <c r="GR1229" s="113"/>
      <c r="GS1229" s="113"/>
      <c r="GT1229" s="113"/>
      <c r="GU1229" s="46">
        <v>0</v>
      </c>
      <c r="GV1229" s="113"/>
      <c r="GW1229" s="113"/>
      <c r="GX1229" s="113"/>
      <c r="GY1229" s="113"/>
      <c r="GZ1229" s="113"/>
      <c r="HA1229" s="46">
        <v>0</v>
      </c>
      <c r="HB1229" s="113"/>
      <c r="HC1229" s="113"/>
      <c r="HD1229" s="113"/>
      <c r="HE1229" s="113"/>
      <c r="HF1229" s="113"/>
      <c r="HG1229" s="46">
        <v>0</v>
      </c>
      <c r="HH1229" s="113"/>
      <c r="HI1229" s="113"/>
      <c r="HJ1229" s="113"/>
      <c r="HK1229" s="113"/>
      <c r="HL1229" s="113"/>
      <c r="HM1229" s="121"/>
      <c r="HN1229" s="121"/>
      <c r="LM1229" t="str">
        <v/>
      </c>
      <c r="LN1229" t="str">
        <v/>
      </c>
      <c r="LO1229" t="str">
        <v/>
      </c>
    </row>
    <row r="1230" spans="30:327">
      <c r="AD1230" t="s">
        <v>18300</v>
      </c>
      <c r="AE1230" t="s">
        <v>23001</v>
      </c>
      <c r="AF1230" s="46">
        <v>0</v>
      </c>
      <c r="AG1230" s="113"/>
      <c r="AH1230" s="113"/>
      <c r="AI1230" s="113"/>
      <c r="AJ1230" s="113"/>
      <c r="AK1230" s="113"/>
      <c r="AL1230" s="46">
        <v>0</v>
      </c>
      <c r="AM1230" s="113"/>
      <c r="AN1230" s="113"/>
      <c r="AO1230" s="113"/>
      <c r="AP1230" s="113"/>
      <c r="AQ1230" s="113"/>
      <c r="AR1230" s="46">
        <v>0</v>
      </c>
      <c r="AS1230" s="113"/>
      <c r="AT1230" s="113"/>
      <c r="AU1230" s="113"/>
      <c r="AV1230" s="113"/>
      <c r="AW1230" s="113"/>
      <c r="AX1230" s="46">
        <v>0</v>
      </c>
      <c r="AY1230" s="113"/>
      <c r="AZ1230" s="113"/>
      <c r="BA1230" s="113"/>
      <c r="BB1230" s="113"/>
      <c r="BC1230" s="113"/>
      <c r="BD1230" s="46">
        <v>0</v>
      </c>
      <c r="BE1230" s="113"/>
      <c r="BF1230" s="113"/>
      <c r="BG1230" s="113"/>
      <c r="BH1230" s="113"/>
      <c r="BI1230" s="113"/>
      <c r="BJ1230" s="46">
        <v>0</v>
      </c>
      <c r="BK1230" s="113"/>
      <c r="BL1230" s="113"/>
      <c r="BM1230" s="113"/>
      <c r="BN1230" s="113"/>
      <c r="BO1230" s="113"/>
      <c r="BP1230" s="121"/>
      <c r="BQ1230" s="121"/>
      <c r="GA1230" t="s">
        <v>18300</v>
      </c>
      <c r="GB1230" t="s">
        <v>23001</v>
      </c>
      <c r="GC1230" s="46">
        <v>0</v>
      </c>
      <c r="GD1230" s="113"/>
      <c r="GE1230" s="113"/>
      <c r="GF1230" s="113"/>
      <c r="GG1230" s="113"/>
      <c r="GH1230" s="113"/>
      <c r="GI1230" s="46">
        <v>0</v>
      </c>
      <c r="GJ1230" s="113"/>
      <c r="GK1230" s="113"/>
      <c r="GL1230" s="113"/>
      <c r="GM1230" s="113"/>
      <c r="GN1230" s="113"/>
      <c r="GO1230" s="46">
        <v>0</v>
      </c>
      <c r="GP1230" s="113"/>
      <c r="GQ1230" s="113"/>
      <c r="GR1230" s="113"/>
      <c r="GS1230" s="113"/>
      <c r="GT1230" s="113"/>
      <c r="GU1230" s="46">
        <v>0</v>
      </c>
      <c r="GV1230" s="113"/>
      <c r="GW1230" s="113"/>
      <c r="GX1230" s="113"/>
      <c r="GY1230" s="113"/>
      <c r="GZ1230" s="113"/>
      <c r="HA1230" s="46">
        <v>0</v>
      </c>
      <c r="HB1230" s="113"/>
      <c r="HC1230" s="113"/>
      <c r="HD1230" s="113"/>
      <c r="HE1230" s="113"/>
      <c r="HF1230" s="113"/>
      <c r="HG1230" s="46">
        <v>0</v>
      </c>
      <c r="HH1230" s="113"/>
      <c r="HI1230" s="113"/>
      <c r="HJ1230" s="113"/>
      <c r="HK1230" s="113"/>
      <c r="HL1230" s="113"/>
      <c r="HM1230" s="121"/>
      <c r="HN1230" s="121"/>
      <c r="LM1230" t="str">
        <v/>
      </c>
      <c r="LN1230" t="str">
        <v/>
      </c>
      <c r="LO1230" t="str">
        <v/>
      </c>
    </row>
    <row r="1231" spans="30:327">
      <c r="AD1231" t="s">
        <v>18300</v>
      </c>
      <c r="AE1231" t="s">
        <v>23002</v>
      </c>
      <c r="AF1231" s="46">
        <v>0</v>
      </c>
      <c r="AG1231" s="113"/>
      <c r="AH1231" s="113"/>
      <c r="AI1231" s="113"/>
      <c r="AJ1231" s="113"/>
      <c r="AK1231" s="113"/>
      <c r="AL1231" s="46">
        <v>0</v>
      </c>
      <c r="AM1231" s="113"/>
      <c r="AN1231" s="113"/>
      <c r="AO1231" s="113"/>
      <c r="AP1231" s="113"/>
      <c r="AQ1231" s="113"/>
      <c r="AR1231" s="46">
        <v>0</v>
      </c>
      <c r="AS1231" s="113"/>
      <c r="AT1231" s="113"/>
      <c r="AU1231" s="113"/>
      <c r="AV1231" s="113"/>
      <c r="AW1231" s="113"/>
      <c r="AX1231" s="46">
        <v>0</v>
      </c>
      <c r="AY1231" s="113"/>
      <c r="AZ1231" s="113"/>
      <c r="BA1231" s="113"/>
      <c r="BB1231" s="113"/>
      <c r="BC1231" s="113"/>
      <c r="BD1231" s="46">
        <v>0</v>
      </c>
      <c r="BE1231" s="113"/>
      <c r="BF1231" s="113"/>
      <c r="BG1231" s="113"/>
      <c r="BH1231" s="113"/>
      <c r="BI1231" s="113"/>
      <c r="BJ1231" s="46">
        <v>0</v>
      </c>
      <c r="BK1231" s="113"/>
      <c r="BL1231" s="113"/>
      <c r="BM1231" s="113"/>
      <c r="BN1231" s="113"/>
      <c r="BO1231" s="113"/>
      <c r="BP1231" s="121"/>
      <c r="BQ1231" s="121"/>
      <c r="GA1231" t="s">
        <v>18300</v>
      </c>
      <c r="GB1231" t="s">
        <v>23002</v>
      </c>
      <c r="GC1231" s="46">
        <v>0</v>
      </c>
      <c r="GD1231" s="113"/>
      <c r="GE1231" s="113"/>
      <c r="GF1231" s="113"/>
      <c r="GG1231" s="113"/>
      <c r="GH1231" s="113"/>
      <c r="GI1231" s="46">
        <v>0</v>
      </c>
      <c r="GJ1231" s="113"/>
      <c r="GK1231" s="113"/>
      <c r="GL1231" s="113"/>
      <c r="GM1231" s="113"/>
      <c r="GN1231" s="113"/>
      <c r="GO1231" s="46">
        <v>0</v>
      </c>
      <c r="GP1231" s="113"/>
      <c r="GQ1231" s="113"/>
      <c r="GR1231" s="113"/>
      <c r="GS1231" s="113"/>
      <c r="GT1231" s="113"/>
      <c r="GU1231" s="46">
        <v>0</v>
      </c>
      <c r="GV1231" s="113"/>
      <c r="GW1231" s="113"/>
      <c r="GX1231" s="113"/>
      <c r="GY1231" s="113"/>
      <c r="GZ1231" s="113"/>
      <c r="HA1231" s="46">
        <v>0</v>
      </c>
      <c r="HB1231" s="113"/>
      <c r="HC1231" s="113"/>
      <c r="HD1231" s="113"/>
      <c r="HE1231" s="113"/>
      <c r="HF1231" s="113"/>
      <c r="HG1231" s="46">
        <v>0</v>
      </c>
      <c r="HH1231" s="113"/>
      <c r="HI1231" s="113"/>
      <c r="HJ1231" s="113"/>
      <c r="HK1231" s="113"/>
      <c r="HL1231" s="113"/>
      <c r="HM1231" s="121"/>
      <c r="HN1231" s="121"/>
      <c r="LM1231" t="str">
        <v/>
      </c>
      <c r="LN1231" t="str">
        <v/>
      </c>
      <c r="LO1231" t="str">
        <v/>
      </c>
    </row>
    <row r="1232" spans="30:327">
      <c r="AD1232" t="s">
        <v>18300</v>
      </c>
      <c r="AE1232" t="s">
        <v>23003</v>
      </c>
      <c r="AF1232" s="46">
        <v>0</v>
      </c>
      <c r="AG1232" s="113"/>
      <c r="AH1232" s="113"/>
      <c r="AI1232" s="113"/>
      <c r="AJ1232" s="113"/>
      <c r="AK1232" s="113"/>
      <c r="AL1232" s="46">
        <v>0</v>
      </c>
      <c r="AM1232" s="113"/>
      <c r="AN1232" s="113"/>
      <c r="AO1232" s="113"/>
      <c r="AP1232" s="113"/>
      <c r="AQ1232" s="113"/>
      <c r="AR1232" s="46">
        <v>0</v>
      </c>
      <c r="AS1232" s="113"/>
      <c r="AT1232" s="113"/>
      <c r="AU1232" s="113"/>
      <c r="AV1232" s="113"/>
      <c r="AW1232" s="113"/>
      <c r="AX1232" s="46">
        <v>0</v>
      </c>
      <c r="AY1232" s="113"/>
      <c r="AZ1232" s="113"/>
      <c r="BA1232" s="113"/>
      <c r="BB1232" s="113"/>
      <c r="BC1232" s="113"/>
      <c r="BD1232" s="46">
        <v>0</v>
      </c>
      <c r="BE1232" s="113"/>
      <c r="BF1232" s="113"/>
      <c r="BG1232" s="113"/>
      <c r="BH1232" s="113"/>
      <c r="BI1232" s="113"/>
      <c r="BJ1232" s="46">
        <v>0</v>
      </c>
      <c r="BK1232" s="113"/>
      <c r="BL1232" s="113"/>
      <c r="BM1232" s="113"/>
      <c r="BN1232" s="113"/>
      <c r="BO1232" s="113"/>
      <c r="BP1232" s="121"/>
      <c r="BQ1232" s="121"/>
      <c r="GA1232" t="s">
        <v>18300</v>
      </c>
      <c r="GB1232" t="s">
        <v>23003</v>
      </c>
      <c r="GC1232" s="46">
        <v>0</v>
      </c>
      <c r="GD1232" s="113"/>
      <c r="GE1232" s="113"/>
      <c r="GF1232" s="113"/>
      <c r="GG1232" s="113"/>
      <c r="GH1232" s="113"/>
      <c r="GI1232" s="46">
        <v>0</v>
      </c>
      <c r="GJ1232" s="113"/>
      <c r="GK1232" s="113"/>
      <c r="GL1232" s="113"/>
      <c r="GM1232" s="113"/>
      <c r="GN1232" s="113"/>
      <c r="GO1232" s="46">
        <v>0</v>
      </c>
      <c r="GP1232" s="113"/>
      <c r="GQ1232" s="113"/>
      <c r="GR1232" s="113"/>
      <c r="GS1232" s="113"/>
      <c r="GT1232" s="113"/>
      <c r="GU1232" s="46">
        <v>0</v>
      </c>
      <c r="GV1232" s="113"/>
      <c r="GW1232" s="113"/>
      <c r="GX1232" s="113"/>
      <c r="GY1232" s="113"/>
      <c r="GZ1232" s="113"/>
      <c r="HA1232" s="46">
        <v>0</v>
      </c>
      <c r="HB1232" s="113"/>
      <c r="HC1232" s="113"/>
      <c r="HD1232" s="113"/>
      <c r="HE1232" s="113"/>
      <c r="HF1232" s="113"/>
      <c r="HG1232" s="46">
        <v>0</v>
      </c>
      <c r="HH1232" s="113"/>
      <c r="HI1232" s="113"/>
      <c r="HJ1232" s="113"/>
      <c r="HK1232" s="113"/>
      <c r="HL1232" s="113"/>
      <c r="HM1232" s="121"/>
      <c r="HN1232" s="121"/>
      <c r="LM1232" t="str">
        <v/>
      </c>
      <c r="LN1232" t="str">
        <v/>
      </c>
      <c r="LO1232" t="str">
        <v/>
      </c>
    </row>
    <row r="1233" spans="30:327">
      <c r="AD1233" t="s">
        <v>18300</v>
      </c>
      <c r="AE1233" t="s">
        <v>23004</v>
      </c>
      <c r="AF1233" s="46">
        <v>0</v>
      </c>
      <c r="AG1233" s="113"/>
      <c r="AH1233" s="113"/>
      <c r="AI1233" s="113"/>
      <c r="AJ1233" s="113"/>
      <c r="AK1233" s="113"/>
      <c r="AL1233" s="46">
        <v>0</v>
      </c>
      <c r="AM1233" s="113"/>
      <c r="AN1233" s="113"/>
      <c r="AO1233" s="113"/>
      <c r="AP1233" s="113"/>
      <c r="AQ1233" s="113"/>
      <c r="AR1233" s="46">
        <v>0</v>
      </c>
      <c r="AS1233" s="113"/>
      <c r="AT1233" s="113"/>
      <c r="AU1233" s="113"/>
      <c r="AV1233" s="113"/>
      <c r="AW1233" s="113"/>
      <c r="AX1233" s="46">
        <v>0</v>
      </c>
      <c r="AY1233" s="113"/>
      <c r="AZ1233" s="113"/>
      <c r="BA1233" s="113"/>
      <c r="BB1233" s="113"/>
      <c r="BC1233" s="113"/>
      <c r="BD1233" s="46">
        <v>0</v>
      </c>
      <c r="BE1233" s="113"/>
      <c r="BF1233" s="113"/>
      <c r="BG1233" s="113"/>
      <c r="BH1233" s="113"/>
      <c r="BI1233" s="113"/>
      <c r="BJ1233" s="46">
        <v>0</v>
      </c>
      <c r="BK1233" s="113"/>
      <c r="BL1233" s="113"/>
      <c r="BM1233" s="113"/>
      <c r="BN1233" s="113"/>
      <c r="BO1233" s="113"/>
      <c r="BP1233" s="121"/>
      <c r="BQ1233" s="121"/>
      <c r="GA1233" t="s">
        <v>18300</v>
      </c>
      <c r="GB1233" t="s">
        <v>23004</v>
      </c>
      <c r="GC1233" s="46">
        <v>0</v>
      </c>
      <c r="GD1233" s="113"/>
      <c r="GE1233" s="113"/>
      <c r="GF1233" s="113"/>
      <c r="GG1233" s="113"/>
      <c r="GH1233" s="113"/>
      <c r="GI1233" s="46">
        <v>0</v>
      </c>
      <c r="GJ1233" s="113"/>
      <c r="GK1233" s="113"/>
      <c r="GL1233" s="113"/>
      <c r="GM1233" s="113"/>
      <c r="GN1233" s="113"/>
      <c r="GO1233" s="46">
        <v>0</v>
      </c>
      <c r="GP1233" s="113"/>
      <c r="GQ1233" s="113"/>
      <c r="GR1233" s="113"/>
      <c r="GS1233" s="113"/>
      <c r="GT1233" s="113"/>
      <c r="GU1233" s="46">
        <v>0</v>
      </c>
      <c r="GV1233" s="113"/>
      <c r="GW1233" s="113"/>
      <c r="GX1233" s="113"/>
      <c r="GY1233" s="113"/>
      <c r="GZ1233" s="113"/>
      <c r="HA1233" s="46">
        <v>0</v>
      </c>
      <c r="HB1233" s="113"/>
      <c r="HC1233" s="113"/>
      <c r="HD1233" s="113"/>
      <c r="HE1233" s="113"/>
      <c r="HF1233" s="113"/>
      <c r="HG1233" s="46">
        <v>0</v>
      </c>
      <c r="HH1233" s="113"/>
      <c r="HI1233" s="113"/>
      <c r="HJ1233" s="113"/>
      <c r="HK1233" s="113"/>
      <c r="HL1233" s="113"/>
      <c r="HM1233" s="121"/>
      <c r="HN1233" s="121"/>
      <c r="LM1233" t="str">
        <v/>
      </c>
      <c r="LN1233" t="str">
        <v/>
      </c>
      <c r="LO1233" t="str">
        <v/>
      </c>
    </row>
    <row r="1234" spans="30:327">
      <c r="AD1234" t="s">
        <v>18300</v>
      </c>
      <c r="AE1234" t="s">
        <v>23005</v>
      </c>
      <c r="AF1234" s="46">
        <v>0</v>
      </c>
      <c r="AG1234" s="113"/>
      <c r="AH1234" s="113"/>
      <c r="AI1234" s="113"/>
      <c r="AJ1234" s="113"/>
      <c r="AK1234" s="113"/>
      <c r="AL1234" s="46">
        <v>0</v>
      </c>
      <c r="AM1234" s="113"/>
      <c r="AN1234" s="113"/>
      <c r="AO1234" s="113"/>
      <c r="AP1234" s="113"/>
      <c r="AQ1234" s="113"/>
      <c r="AR1234" s="46">
        <v>0</v>
      </c>
      <c r="AS1234" s="113"/>
      <c r="AT1234" s="113"/>
      <c r="AU1234" s="113"/>
      <c r="AV1234" s="113"/>
      <c r="AW1234" s="113"/>
      <c r="AX1234" s="46">
        <v>0</v>
      </c>
      <c r="AY1234" s="113"/>
      <c r="AZ1234" s="113"/>
      <c r="BA1234" s="113"/>
      <c r="BB1234" s="113"/>
      <c r="BC1234" s="113"/>
      <c r="BD1234" s="46">
        <v>0</v>
      </c>
      <c r="BE1234" s="113"/>
      <c r="BF1234" s="113"/>
      <c r="BG1234" s="113"/>
      <c r="BH1234" s="113"/>
      <c r="BI1234" s="113"/>
      <c r="BJ1234" s="46">
        <v>0</v>
      </c>
      <c r="BK1234" s="113"/>
      <c r="BL1234" s="113"/>
      <c r="BM1234" s="113"/>
      <c r="BN1234" s="113"/>
      <c r="BO1234" s="113"/>
      <c r="BP1234" s="121"/>
      <c r="BQ1234" s="121"/>
      <c r="GA1234" t="s">
        <v>18300</v>
      </c>
      <c r="GB1234" t="s">
        <v>23005</v>
      </c>
      <c r="GC1234" s="46">
        <v>0</v>
      </c>
      <c r="GD1234" s="113"/>
      <c r="GE1234" s="113"/>
      <c r="GF1234" s="113"/>
      <c r="GG1234" s="113"/>
      <c r="GH1234" s="113"/>
      <c r="GI1234" s="46">
        <v>0</v>
      </c>
      <c r="GJ1234" s="113"/>
      <c r="GK1234" s="113"/>
      <c r="GL1234" s="113"/>
      <c r="GM1234" s="113"/>
      <c r="GN1234" s="113"/>
      <c r="GO1234" s="46">
        <v>0</v>
      </c>
      <c r="GP1234" s="113"/>
      <c r="GQ1234" s="113"/>
      <c r="GR1234" s="113"/>
      <c r="GS1234" s="113"/>
      <c r="GT1234" s="113"/>
      <c r="GU1234" s="46">
        <v>0</v>
      </c>
      <c r="GV1234" s="113"/>
      <c r="GW1234" s="113"/>
      <c r="GX1234" s="113"/>
      <c r="GY1234" s="113"/>
      <c r="GZ1234" s="113"/>
      <c r="HA1234" s="46">
        <v>0</v>
      </c>
      <c r="HB1234" s="113"/>
      <c r="HC1234" s="113"/>
      <c r="HD1234" s="113"/>
      <c r="HE1234" s="113"/>
      <c r="HF1234" s="113"/>
      <c r="HG1234" s="46">
        <v>0</v>
      </c>
      <c r="HH1234" s="113"/>
      <c r="HI1234" s="113"/>
      <c r="HJ1234" s="113"/>
      <c r="HK1234" s="113"/>
      <c r="HL1234" s="113"/>
      <c r="HM1234" s="121"/>
      <c r="HN1234" s="121"/>
      <c r="LM1234" t="str">
        <v/>
      </c>
      <c r="LN1234" t="str">
        <v/>
      </c>
      <c r="LO1234" t="str">
        <v/>
      </c>
    </row>
    <row r="1235" spans="30:327">
      <c r="AD1235" t="s">
        <v>18300</v>
      </c>
      <c r="AE1235" t="s">
        <v>23006</v>
      </c>
      <c r="AF1235" s="46">
        <v>0</v>
      </c>
      <c r="AG1235" s="113"/>
      <c r="AH1235" s="113"/>
      <c r="AI1235" s="113"/>
      <c r="AJ1235" s="113"/>
      <c r="AK1235" s="113"/>
      <c r="AL1235" s="46">
        <v>0</v>
      </c>
      <c r="AM1235" s="113"/>
      <c r="AN1235" s="113"/>
      <c r="AO1235" s="113"/>
      <c r="AP1235" s="113"/>
      <c r="AQ1235" s="113"/>
      <c r="AR1235" s="46">
        <v>0</v>
      </c>
      <c r="AS1235" s="113"/>
      <c r="AT1235" s="113"/>
      <c r="AU1235" s="113"/>
      <c r="AV1235" s="113"/>
      <c r="AW1235" s="113"/>
      <c r="AX1235" s="46">
        <v>0</v>
      </c>
      <c r="AY1235" s="113"/>
      <c r="AZ1235" s="113"/>
      <c r="BA1235" s="113"/>
      <c r="BB1235" s="113"/>
      <c r="BC1235" s="113"/>
      <c r="BD1235" s="46">
        <v>0</v>
      </c>
      <c r="BE1235" s="113"/>
      <c r="BF1235" s="113"/>
      <c r="BG1235" s="113"/>
      <c r="BH1235" s="113"/>
      <c r="BI1235" s="113"/>
      <c r="BJ1235" s="46">
        <v>0</v>
      </c>
      <c r="BK1235" s="113"/>
      <c r="BL1235" s="113"/>
      <c r="BM1235" s="113"/>
      <c r="BN1235" s="113"/>
      <c r="BO1235" s="113"/>
      <c r="BP1235" s="121"/>
      <c r="BQ1235" s="121"/>
      <c r="GA1235" t="s">
        <v>18300</v>
      </c>
      <c r="GB1235" t="s">
        <v>23006</v>
      </c>
      <c r="GC1235" s="46">
        <v>0</v>
      </c>
      <c r="GD1235" s="113"/>
      <c r="GE1235" s="113"/>
      <c r="GF1235" s="113"/>
      <c r="GG1235" s="113"/>
      <c r="GH1235" s="113"/>
      <c r="GI1235" s="46">
        <v>0</v>
      </c>
      <c r="GJ1235" s="113"/>
      <c r="GK1235" s="113"/>
      <c r="GL1235" s="113"/>
      <c r="GM1235" s="113"/>
      <c r="GN1235" s="113"/>
      <c r="GO1235" s="46">
        <v>0</v>
      </c>
      <c r="GP1235" s="113"/>
      <c r="GQ1235" s="113"/>
      <c r="GR1235" s="113"/>
      <c r="GS1235" s="113"/>
      <c r="GT1235" s="113"/>
      <c r="GU1235" s="46">
        <v>0</v>
      </c>
      <c r="GV1235" s="113"/>
      <c r="GW1235" s="113"/>
      <c r="GX1235" s="113"/>
      <c r="GY1235" s="113"/>
      <c r="GZ1235" s="113"/>
      <c r="HA1235" s="46">
        <v>0</v>
      </c>
      <c r="HB1235" s="113"/>
      <c r="HC1235" s="113"/>
      <c r="HD1235" s="113"/>
      <c r="HE1235" s="113"/>
      <c r="HF1235" s="113"/>
      <c r="HG1235" s="46">
        <v>0</v>
      </c>
      <c r="HH1235" s="113"/>
      <c r="HI1235" s="113"/>
      <c r="HJ1235" s="113"/>
      <c r="HK1235" s="113"/>
      <c r="HL1235" s="113"/>
      <c r="HM1235" s="121"/>
      <c r="HN1235" s="121"/>
      <c r="LM1235" t="str">
        <v/>
      </c>
      <c r="LN1235" t="str">
        <v/>
      </c>
      <c r="LO1235" t="str">
        <v/>
      </c>
    </row>
    <row r="1236" spans="30:327">
      <c r="AD1236" t="s">
        <v>18300</v>
      </c>
      <c r="AE1236" t="s">
        <v>23007</v>
      </c>
      <c r="AF1236" s="46">
        <v>0</v>
      </c>
      <c r="AG1236" s="113"/>
      <c r="AH1236" s="113"/>
      <c r="AI1236" s="113"/>
      <c r="AJ1236" s="113"/>
      <c r="AK1236" s="113"/>
      <c r="AL1236" s="46">
        <v>0</v>
      </c>
      <c r="AM1236" s="113"/>
      <c r="AN1236" s="113"/>
      <c r="AO1236" s="113"/>
      <c r="AP1236" s="113"/>
      <c r="AQ1236" s="113"/>
      <c r="AR1236" s="46">
        <v>0</v>
      </c>
      <c r="AS1236" s="113"/>
      <c r="AT1236" s="113"/>
      <c r="AU1236" s="113"/>
      <c r="AV1236" s="113"/>
      <c r="AW1236" s="113"/>
      <c r="AX1236" s="46">
        <v>0</v>
      </c>
      <c r="AY1236" s="113"/>
      <c r="AZ1236" s="113"/>
      <c r="BA1236" s="113"/>
      <c r="BB1236" s="113"/>
      <c r="BC1236" s="113"/>
      <c r="BD1236" s="46">
        <v>0</v>
      </c>
      <c r="BE1236" s="113"/>
      <c r="BF1236" s="113"/>
      <c r="BG1236" s="113"/>
      <c r="BH1236" s="113"/>
      <c r="BI1236" s="113"/>
      <c r="BJ1236" s="46">
        <v>0</v>
      </c>
      <c r="BK1236" s="113"/>
      <c r="BL1236" s="113"/>
      <c r="BM1236" s="113"/>
      <c r="BN1236" s="113"/>
      <c r="BO1236" s="113"/>
      <c r="BP1236" s="121"/>
      <c r="BQ1236" s="121"/>
      <c r="GA1236" t="s">
        <v>18300</v>
      </c>
      <c r="GB1236" t="s">
        <v>23007</v>
      </c>
      <c r="GC1236" s="46">
        <v>0</v>
      </c>
      <c r="GD1236" s="113"/>
      <c r="GE1236" s="113"/>
      <c r="GF1236" s="113"/>
      <c r="GG1236" s="113"/>
      <c r="GH1236" s="113"/>
      <c r="GI1236" s="46">
        <v>0</v>
      </c>
      <c r="GJ1236" s="113"/>
      <c r="GK1236" s="113"/>
      <c r="GL1236" s="113"/>
      <c r="GM1236" s="113"/>
      <c r="GN1236" s="113"/>
      <c r="GO1236" s="46">
        <v>0</v>
      </c>
      <c r="GP1236" s="113"/>
      <c r="GQ1236" s="113"/>
      <c r="GR1236" s="113"/>
      <c r="GS1236" s="113"/>
      <c r="GT1236" s="113"/>
      <c r="GU1236" s="46">
        <v>0</v>
      </c>
      <c r="GV1236" s="113"/>
      <c r="GW1236" s="113"/>
      <c r="GX1236" s="113"/>
      <c r="GY1236" s="113"/>
      <c r="GZ1236" s="113"/>
      <c r="HA1236" s="46">
        <v>0</v>
      </c>
      <c r="HB1236" s="113"/>
      <c r="HC1236" s="113"/>
      <c r="HD1236" s="113"/>
      <c r="HE1236" s="113"/>
      <c r="HF1236" s="113"/>
      <c r="HG1236" s="46">
        <v>0</v>
      </c>
      <c r="HH1236" s="113"/>
      <c r="HI1236" s="113"/>
      <c r="HJ1236" s="113"/>
      <c r="HK1236" s="113"/>
      <c r="HL1236" s="113"/>
      <c r="HM1236" s="121"/>
      <c r="HN1236" s="121"/>
      <c r="LM1236" t="str">
        <v/>
      </c>
      <c r="LN1236" t="str">
        <v/>
      </c>
      <c r="LO1236" t="str">
        <v/>
      </c>
    </row>
    <row r="1237" spans="30:327">
      <c r="AD1237" t="s">
        <v>18300</v>
      </c>
      <c r="AE1237" t="s">
        <v>23008</v>
      </c>
      <c r="AF1237" s="46">
        <v>0</v>
      </c>
      <c r="AG1237" s="113"/>
      <c r="AH1237" s="113"/>
      <c r="AI1237" s="113"/>
      <c r="AJ1237" s="113"/>
      <c r="AK1237" s="113"/>
      <c r="AL1237" s="46">
        <v>0</v>
      </c>
      <c r="AM1237" s="113"/>
      <c r="AN1237" s="113"/>
      <c r="AO1237" s="113"/>
      <c r="AP1237" s="113"/>
      <c r="AQ1237" s="113"/>
      <c r="AR1237" s="46">
        <v>0</v>
      </c>
      <c r="AS1237" s="113"/>
      <c r="AT1237" s="113"/>
      <c r="AU1237" s="113"/>
      <c r="AV1237" s="113"/>
      <c r="AW1237" s="113"/>
      <c r="AX1237" s="46">
        <v>0</v>
      </c>
      <c r="AY1237" s="113"/>
      <c r="AZ1237" s="113"/>
      <c r="BA1237" s="113"/>
      <c r="BB1237" s="113"/>
      <c r="BC1237" s="113"/>
      <c r="BD1237" s="46">
        <v>0</v>
      </c>
      <c r="BE1237" s="113"/>
      <c r="BF1237" s="113"/>
      <c r="BG1237" s="113"/>
      <c r="BH1237" s="113"/>
      <c r="BI1237" s="113"/>
      <c r="BJ1237" s="46">
        <v>0</v>
      </c>
      <c r="BK1237" s="113"/>
      <c r="BL1237" s="113"/>
      <c r="BM1237" s="113"/>
      <c r="BN1237" s="113"/>
      <c r="BO1237" s="113"/>
      <c r="BP1237" s="121"/>
      <c r="BQ1237" s="121"/>
      <c r="GA1237" t="s">
        <v>18300</v>
      </c>
      <c r="GB1237" t="s">
        <v>23008</v>
      </c>
      <c r="GC1237" s="46">
        <v>0</v>
      </c>
      <c r="GD1237" s="113"/>
      <c r="GE1237" s="113"/>
      <c r="GF1237" s="113"/>
      <c r="GG1237" s="113"/>
      <c r="GH1237" s="113"/>
      <c r="GI1237" s="46">
        <v>0</v>
      </c>
      <c r="GJ1237" s="113"/>
      <c r="GK1237" s="113"/>
      <c r="GL1237" s="113"/>
      <c r="GM1237" s="113"/>
      <c r="GN1237" s="113"/>
      <c r="GO1237" s="46">
        <v>0</v>
      </c>
      <c r="GP1237" s="113"/>
      <c r="GQ1237" s="113"/>
      <c r="GR1237" s="113"/>
      <c r="GS1237" s="113"/>
      <c r="GT1237" s="113"/>
      <c r="GU1237" s="46">
        <v>0</v>
      </c>
      <c r="GV1237" s="113"/>
      <c r="GW1237" s="113"/>
      <c r="GX1237" s="113"/>
      <c r="GY1237" s="113"/>
      <c r="GZ1237" s="113"/>
      <c r="HA1237" s="46">
        <v>0</v>
      </c>
      <c r="HB1237" s="113"/>
      <c r="HC1237" s="113"/>
      <c r="HD1237" s="113"/>
      <c r="HE1237" s="113"/>
      <c r="HF1237" s="113"/>
      <c r="HG1237" s="46">
        <v>0</v>
      </c>
      <c r="HH1237" s="113"/>
      <c r="HI1237" s="113"/>
      <c r="HJ1237" s="113"/>
      <c r="HK1237" s="113"/>
      <c r="HL1237" s="113"/>
      <c r="HM1237" s="121"/>
      <c r="HN1237" s="121"/>
      <c r="LM1237" t="str">
        <v/>
      </c>
      <c r="LN1237" t="str">
        <v/>
      </c>
      <c r="LO1237" t="str">
        <v/>
      </c>
    </row>
    <row r="1238" spans="30:327">
      <c r="AD1238" t="s">
        <v>18300</v>
      </c>
      <c r="AE1238" t="s">
        <v>23009</v>
      </c>
      <c r="AF1238" s="46">
        <v>0</v>
      </c>
      <c r="AG1238" s="113"/>
      <c r="AH1238" s="113"/>
      <c r="AI1238" s="113"/>
      <c r="AJ1238" s="113"/>
      <c r="AK1238" s="113"/>
      <c r="AL1238" s="46">
        <v>0</v>
      </c>
      <c r="AM1238" s="113"/>
      <c r="AN1238" s="113"/>
      <c r="AO1238" s="113"/>
      <c r="AP1238" s="113"/>
      <c r="AQ1238" s="113"/>
      <c r="AR1238" s="46">
        <v>0</v>
      </c>
      <c r="AS1238" s="113"/>
      <c r="AT1238" s="113"/>
      <c r="AU1238" s="113"/>
      <c r="AV1238" s="113"/>
      <c r="AW1238" s="113"/>
      <c r="AX1238" s="46">
        <v>0</v>
      </c>
      <c r="AY1238" s="113"/>
      <c r="AZ1238" s="113"/>
      <c r="BA1238" s="113"/>
      <c r="BB1238" s="113"/>
      <c r="BC1238" s="113"/>
      <c r="BD1238" s="46">
        <v>0</v>
      </c>
      <c r="BE1238" s="113"/>
      <c r="BF1238" s="113"/>
      <c r="BG1238" s="113"/>
      <c r="BH1238" s="113"/>
      <c r="BI1238" s="113"/>
      <c r="BJ1238" s="46">
        <v>0</v>
      </c>
      <c r="BK1238" s="113"/>
      <c r="BL1238" s="113"/>
      <c r="BM1238" s="113"/>
      <c r="BN1238" s="113"/>
      <c r="BO1238" s="113"/>
      <c r="BP1238" s="121"/>
      <c r="BQ1238" s="121"/>
      <c r="GA1238" t="s">
        <v>18300</v>
      </c>
      <c r="GB1238" t="s">
        <v>23009</v>
      </c>
      <c r="GC1238" s="46">
        <v>0</v>
      </c>
      <c r="GD1238" s="113"/>
      <c r="GE1238" s="113"/>
      <c r="GF1238" s="113"/>
      <c r="GG1238" s="113"/>
      <c r="GH1238" s="113"/>
      <c r="GI1238" s="46">
        <v>0</v>
      </c>
      <c r="GJ1238" s="113"/>
      <c r="GK1238" s="113"/>
      <c r="GL1238" s="113"/>
      <c r="GM1238" s="113"/>
      <c r="GN1238" s="113"/>
      <c r="GO1238" s="46">
        <v>0</v>
      </c>
      <c r="GP1238" s="113"/>
      <c r="GQ1238" s="113"/>
      <c r="GR1238" s="113"/>
      <c r="GS1238" s="113"/>
      <c r="GT1238" s="113"/>
      <c r="GU1238" s="46">
        <v>0</v>
      </c>
      <c r="GV1238" s="113"/>
      <c r="GW1238" s="113"/>
      <c r="GX1238" s="113"/>
      <c r="GY1238" s="113"/>
      <c r="GZ1238" s="113"/>
      <c r="HA1238" s="46">
        <v>0</v>
      </c>
      <c r="HB1238" s="113"/>
      <c r="HC1238" s="113"/>
      <c r="HD1238" s="113"/>
      <c r="HE1238" s="113"/>
      <c r="HF1238" s="113"/>
      <c r="HG1238" s="46">
        <v>0</v>
      </c>
      <c r="HH1238" s="113"/>
      <c r="HI1238" s="113"/>
      <c r="HJ1238" s="113"/>
      <c r="HK1238" s="113"/>
      <c r="HL1238" s="113"/>
      <c r="HM1238" s="121"/>
      <c r="HN1238" s="121"/>
      <c r="LM1238" t="str">
        <v/>
      </c>
      <c r="LN1238" t="str">
        <v/>
      </c>
      <c r="LO1238" t="str">
        <v/>
      </c>
    </row>
    <row r="1239" spans="30:327">
      <c r="AD1239" t="s">
        <v>18300</v>
      </c>
      <c r="AE1239" t="s">
        <v>23010</v>
      </c>
      <c r="AF1239" s="46">
        <v>0</v>
      </c>
      <c r="AG1239" s="113"/>
      <c r="AH1239" s="113"/>
      <c r="AI1239" s="113"/>
      <c r="AJ1239" s="113"/>
      <c r="AK1239" s="113"/>
      <c r="AL1239" s="46">
        <v>0</v>
      </c>
      <c r="AM1239" s="113"/>
      <c r="AN1239" s="113"/>
      <c r="AO1239" s="113"/>
      <c r="AP1239" s="113"/>
      <c r="AQ1239" s="113"/>
      <c r="AR1239" s="46">
        <v>0</v>
      </c>
      <c r="AS1239" s="113"/>
      <c r="AT1239" s="113"/>
      <c r="AU1239" s="113"/>
      <c r="AV1239" s="113"/>
      <c r="AW1239" s="113"/>
      <c r="AX1239" s="46">
        <v>0</v>
      </c>
      <c r="AY1239" s="113"/>
      <c r="AZ1239" s="113"/>
      <c r="BA1239" s="113"/>
      <c r="BB1239" s="113"/>
      <c r="BC1239" s="113"/>
      <c r="BD1239" s="46">
        <v>0</v>
      </c>
      <c r="BE1239" s="113"/>
      <c r="BF1239" s="113"/>
      <c r="BG1239" s="113"/>
      <c r="BH1239" s="113"/>
      <c r="BI1239" s="113"/>
      <c r="BJ1239" s="46">
        <v>0</v>
      </c>
      <c r="BK1239" s="113"/>
      <c r="BL1239" s="113"/>
      <c r="BM1239" s="113"/>
      <c r="BN1239" s="113"/>
      <c r="BO1239" s="113"/>
      <c r="BP1239" s="121"/>
      <c r="BQ1239" s="121"/>
      <c r="GA1239" t="s">
        <v>18300</v>
      </c>
      <c r="GB1239" t="s">
        <v>23010</v>
      </c>
      <c r="GC1239" s="46">
        <v>0</v>
      </c>
      <c r="GD1239" s="113"/>
      <c r="GE1239" s="113"/>
      <c r="GF1239" s="113"/>
      <c r="GG1239" s="113"/>
      <c r="GH1239" s="113"/>
      <c r="GI1239" s="46">
        <v>0</v>
      </c>
      <c r="GJ1239" s="113"/>
      <c r="GK1239" s="113"/>
      <c r="GL1239" s="113"/>
      <c r="GM1239" s="113"/>
      <c r="GN1239" s="113"/>
      <c r="GO1239" s="46">
        <v>0</v>
      </c>
      <c r="GP1239" s="113"/>
      <c r="GQ1239" s="113"/>
      <c r="GR1239" s="113"/>
      <c r="GS1239" s="113"/>
      <c r="GT1239" s="113"/>
      <c r="GU1239" s="46">
        <v>0</v>
      </c>
      <c r="GV1239" s="113"/>
      <c r="GW1239" s="113"/>
      <c r="GX1239" s="113"/>
      <c r="GY1239" s="113"/>
      <c r="GZ1239" s="113"/>
      <c r="HA1239" s="46">
        <v>0</v>
      </c>
      <c r="HB1239" s="113"/>
      <c r="HC1239" s="113"/>
      <c r="HD1239" s="113"/>
      <c r="HE1239" s="113"/>
      <c r="HF1239" s="113"/>
      <c r="HG1239" s="46">
        <v>0</v>
      </c>
      <c r="HH1239" s="113"/>
      <c r="HI1239" s="113"/>
      <c r="HJ1239" s="113"/>
      <c r="HK1239" s="113"/>
      <c r="HL1239" s="113"/>
      <c r="HM1239" s="121"/>
      <c r="HN1239" s="121"/>
      <c r="LM1239" t="str">
        <v/>
      </c>
      <c r="LN1239" t="str">
        <v/>
      </c>
      <c r="LO1239" t="str">
        <v/>
      </c>
    </row>
    <row r="1240" spans="30:327">
      <c r="AD1240" t="s">
        <v>18300</v>
      </c>
      <c r="AE1240" t="s">
        <v>23011</v>
      </c>
      <c r="AF1240" s="46">
        <v>0</v>
      </c>
      <c r="AG1240" s="113"/>
      <c r="AH1240" s="113"/>
      <c r="AI1240" s="113"/>
      <c r="AJ1240" s="113"/>
      <c r="AK1240" s="113"/>
      <c r="AL1240" s="46">
        <v>0</v>
      </c>
      <c r="AM1240" s="113"/>
      <c r="AN1240" s="113"/>
      <c r="AO1240" s="113"/>
      <c r="AP1240" s="113"/>
      <c r="AQ1240" s="113"/>
      <c r="AR1240" s="46">
        <v>0</v>
      </c>
      <c r="AS1240" s="113"/>
      <c r="AT1240" s="113"/>
      <c r="AU1240" s="113"/>
      <c r="AV1240" s="113"/>
      <c r="AW1240" s="113"/>
      <c r="AX1240" s="46">
        <v>0</v>
      </c>
      <c r="AY1240" s="113"/>
      <c r="AZ1240" s="113"/>
      <c r="BA1240" s="113"/>
      <c r="BB1240" s="113"/>
      <c r="BC1240" s="113"/>
      <c r="BD1240" s="46">
        <v>0</v>
      </c>
      <c r="BE1240" s="113"/>
      <c r="BF1240" s="113"/>
      <c r="BG1240" s="113"/>
      <c r="BH1240" s="113"/>
      <c r="BI1240" s="113"/>
      <c r="BJ1240" s="46">
        <v>0</v>
      </c>
      <c r="BK1240" s="113"/>
      <c r="BL1240" s="113"/>
      <c r="BM1240" s="113"/>
      <c r="BN1240" s="113"/>
      <c r="BO1240" s="113"/>
      <c r="BP1240" s="121"/>
      <c r="BQ1240" s="121"/>
      <c r="GA1240" t="s">
        <v>18300</v>
      </c>
      <c r="GB1240" t="s">
        <v>23011</v>
      </c>
      <c r="GC1240" s="46">
        <v>0</v>
      </c>
      <c r="GD1240" s="113"/>
      <c r="GE1240" s="113"/>
      <c r="GF1240" s="113"/>
      <c r="GG1240" s="113"/>
      <c r="GH1240" s="113"/>
      <c r="GI1240" s="46">
        <v>0</v>
      </c>
      <c r="GJ1240" s="113"/>
      <c r="GK1240" s="113"/>
      <c r="GL1240" s="113"/>
      <c r="GM1240" s="113"/>
      <c r="GN1240" s="113"/>
      <c r="GO1240" s="46">
        <v>0</v>
      </c>
      <c r="GP1240" s="113"/>
      <c r="GQ1240" s="113"/>
      <c r="GR1240" s="113"/>
      <c r="GS1240" s="113"/>
      <c r="GT1240" s="113"/>
      <c r="GU1240" s="46">
        <v>0</v>
      </c>
      <c r="GV1240" s="113"/>
      <c r="GW1240" s="113"/>
      <c r="GX1240" s="113"/>
      <c r="GY1240" s="113"/>
      <c r="GZ1240" s="113"/>
      <c r="HA1240" s="46">
        <v>0</v>
      </c>
      <c r="HB1240" s="113"/>
      <c r="HC1240" s="113"/>
      <c r="HD1240" s="113"/>
      <c r="HE1240" s="113"/>
      <c r="HF1240" s="113"/>
      <c r="HG1240" s="46">
        <v>0</v>
      </c>
      <c r="HH1240" s="113"/>
      <c r="HI1240" s="113"/>
      <c r="HJ1240" s="113"/>
      <c r="HK1240" s="113"/>
      <c r="HL1240" s="113"/>
      <c r="HM1240" s="121"/>
      <c r="HN1240" s="121"/>
      <c r="LM1240" t="str">
        <v/>
      </c>
      <c r="LN1240" t="str">
        <v/>
      </c>
      <c r="LO1240" t="str">
        <v/>
      </c>
    </row>
    <row r="1241" spans="30:327">
      <c r="AD1241" t="s">
        <v>18300</v>
      </c>
      <c r="AE1241" t="s">
        <v>23012</v>
      </c>
      <c r="AF1241" s="46">
        <v>0</v>
      </c>
      <c r="AG1241" s="113"/>
      <c r="AH1241" s="113"/>
      <c r="AI1241" s="113"/>
      <c r="AJ1241" s="113"/>
      <c r="AK1241" s="113"/>
      <c r="AL1241" s="46">
        <v>0</v>
      </c>
      <c r="AM1241" s="113"/>
      <c r="AN1241" s="113"/>
      <c r="AO1241" s="113"/>
      <c r="AP1241" s="113"/>
      <c r="AQ1241" s="113"/>
      <c r="AR1241" s="46">
        <v>0</v>
      </c>
      <c r="AS1241" s="113"/>
      <c r="AT1241" s="113"/>
      <c r="AU1241" s="113"/>
      <c r="AV1241" s="113"/>
      <c r="AW1241" s="113"/>
      <c r="AX1241" s="46">
        <v>0</v>
      </c>
      <c r="AY1241" s="113"/>
      <c r="AZ1241" s="113"/>
      <c r="BA1241" s="113"/>
      <c r="BB1241" s="113"/>
      <c r="BC1241" s="113"/>
      <c r="BD1241" s="46">
        <v>0</v>
      </c>
      <c r="BE1241" s="113"/>
      <c r="BF1241" s="113"/>
      <c r="BG1241" s="113"/>
      <c r="BH1241" s="113"/>
      <c r="BI1241" s="113"/>
      <c r="BJ1241" s="46">
        <v>0</v>
      </c>
      <c r="BK1241" s="113"/>
      <c r="BL1241" s="113"/>
      <c r="BM1241" s="113"/>
      <c r="BN1241" s="113"/>
      <c r="BO1241" s="113"/>
      <c r="BP1241" s="121"/>
      <c r="BQ1241" s="121"/>
      <c r="GA1241" t="s">
        <v>18300</v>
      </c>
      <c r="GB1241" t="s">
        <v>23012</v>
      </c>
      <c r="GC1241" s="46">
        <v>0</v>
      </c>
      <c r="GD1241" s="113"/>
      <c r="GE1241" s="113"/>
      <c r="GF1241" s="113"/>
      <c r="GG1241" s="113"/>
      <c r="GH1241" s="113"/>
      <c r="GI1241" s="46">
        <v>0</v>
      </c>
      <c r="GJ1241" s="113"/>
      <c r="GK1241" s="113"/>
      <c r="GL1241" s="113"/>
      <c r="GM1241" s="113"/>
      <c r="GN1241" s="113"/>
      <c r="GO1241" s="46">
        <v>0</v>
      </c>
      <c r="GP1241" s="113"/>
      <c r="GQ1241" s="113"/>
      <c r="GR1241" s="113"/>
      <c r="GS1241" s="113"/>
      <c r="GT1241" s="113"/>
      <c r="GU1241" s="46">
        <v>0</v>
      </c>
      <c r="GV1241" s="113"/>
      <c r="GW1241" s="113"/>
      <c r="GX1241" s="113"/>
      <c r="GY1241" s="113"/>
      <c r="GZ1241" s="113"/>
      <c r="HA1241" s="46">
        <v>0</v>
      </c>
      <c r="HB1241" s="113"/>
      <c r="HC1241" s="113"/>
      <c r="HD1241" s="113"/>
      <c r="HE1241" s="113"/>
      <c r="HF1241" s="113"/>
      <c r="HG1241" s="46">
        <v>0</v>
      </c>
      <c r="HH1241" s="113"/>
      <c r="HI1241" s="113"/>
      <c r="HJ1241" s="113"/>
      <c r="HK1241" s="113"/>
      <c r="HL1241" s="113"/>
      <c r="HM1241" s="121"/>
      <c r="HN1241" s="121"/>
      <c r="LM1241" t="str">
        <v/>
      </c>
      <c r="LN1241" t="str">
        <v/>
      </c>
      <c r="LO1241" t="str">
        <v/>
      </c>
    </row>
    <row r="1242" spans="30:327">
      <c r="AD1242" t="s">
        <v>18300</v>
      </c>
      <c r="AE1242" t="s">
        <v>23013</v>
      </c>
      <c r="AF1242" s="46">
        <v>0</v>
      </c>
      <c r="AG1242" s="113"/>
      <c r="AH1242" s="113"/>
      <c r="AI1242" s="113"/>
      <c r="AJ1242" s="113"/>
      <c r="AK1242" s="113"/>
      <c r="AL1242" s="46">
        <v>0</v>
      </c>
      <c r="AM1242" s="113"/>
      <c r="AN1242" s="113"/>
      <c r="AO1242" s="113"/>
      <c r="AP1242" s="113"/>
      <c r="AQ1242" s="113"/>
      <c r="AR1242" s="46">
        <v>0</v>
      </c>
      <c r="AS1242" s="113"/>
      <c r="AT1242" s="113"/>
      <c r="AU1242" s="113"/>
      <c r="AV1242" s="113"/>
      <c r="AW1242" s="113"/>
      <c r="AX1242" s="46">
        <v>0</v>
      </c>
      <c r="AY1242" s="113"/>
      <c r="AZ1242" s="113"/>
      <c r="BA1242" s="113"/>
      <c r="BB1242" s="113"/>
      <c r="BC1242" s="113"/>
      <c r="BD1242" s="46">
        <v>0</v>
      </c>
      <c r="BE1242" s="113"/>
      <c r="BF1242" s="113"/>
      <c r="BG1242" s="113"/>
      <c r="BH1242" s="113"/>
      <c r="BI1242" s="113"/>
      <c r="BJ1242" s="46">
        <v>0</v>
      </c>
      <c r="BK1242" s="113"/>
      <c r="BL1242" s="113"/>
      <c r="BM1242" s="113"/>
      <c r="BN1242" s="113"/>
      <c r="BO1242" s="113"/>
      <c r="BP1242" s="121"/>
      <c r="BQ1242" s="121"/>
      <c r="GA1242" t="s">
        <v>18300</v>
      </c>
      <c r="GB1242" t="s">
        <v>23013</v>
      </c>
      <c r="GC1242" s="46">
        <v>0</v>
      </c>
      <c r="GD1242" s="113"/>
      <c r="GE1242" s="113"/>
      <c r="GF1242" s="113"/>
      <c r="GG1242" s="113"/>
      <c r="GH1242" s="113"/>
      <c r="GI1242" s="46">
        <v>0</v>
      </c>
      <c r="GJ1242" s="113"/>
      <c r="GK1242" s="113"/>
      <c r="GL1242" s="113"/>
      <c r="GM1242" s="113"/>
      <c r="GN1242" s="113"/>
      <c r="GO1242" s="46">
        <v>0</v>
      </c>
      <c r="GP1242" s="113"/>
      <c r="GQ1242" s="113"/>
      <c r="GR1242" s="113"/>
      <c r="GS1242" s="113"/>
      <c r="GT1242" s="113"/>
      <c r="GU1242" s="46">
        <v>0</v>
      </c>
      <c r="GV1242" s="113"/>
      <c r="GW1242" s="113"/>
      <c r="GX1242" s="113"/>
      <c r="GY1242" s="113"/>
      <c r="GZ1242" s="113"/>
      <c r="HA1242" s="46">
        <v>0</v>
      </c>
      <c r="HB1242" s="113"/>
      <c r="HC1242" s="113"/>
      <c r="HD1242" s="113"/>
      <c r="HE1242" s="113"/>
      <c r="HF1242" s="113"/>
      <c r="HG1242" s="46">
        <v>0</v>
      </c>
      <c r="HH1242" s="113"/>
      <c r="HI1242" s="113"/>
      <c r="HJ1242" s="113"/>
      <c r="HK1242" s="113"/>
      <c r="HL1242" s="113"/>
      <c r="HM1242" s="121"/>
      <c r="HN1242" s="121"/>
      <c r="LM1242" t="str">
        <v/>
      </c>
      <c r="LN1242" t="str">
        <v/>
      </c>
      <c r="LO1242" t="str">
        <v/>
      </c>
    </row>
    <row r="1243" spans="30:327">
      <c r="AD1243" t="s">
        <v>18300</v>
      </c>
      <c r="AE1243" t="s">
        <v>23014</v>
      </c>
      <c r="AF1243" s="46">
        <v>0</v>
      </c>
      <c r="AG1243" s="113"/>
      <c r="AH1243" s="113"/>
      <c r="AI1243" s="113"/>
      <c r="AJ1243" s="113"/>
      <c r="AK1243" s="113"/>
      <c r="AL1243" s="46">
        <v>0</v>
      </c>
      <c r="AM1243" s="113"/>
      <c r="AN1243" s="113"/>
      <c r="AO1243" s="113"/>
      <c r="AP1243" s="113"/>
      <c r="AQ1243" s="113"/>
      <c r="AR1243" s="46">
        <v>0</v>
      </c>
      <c r="AS1243" s="113"/>
      <c r="AT1243" s="113"/>
      <c r="AU1243" s="113"/>
      <c r="AV1243" s="113"/>
      <c r="AW1243" s="113"/>
      <c r="AX1243" s="46">
        <v>0</v>
      </c>
      <c r="AY1243" s="113"/>
      <c r="AZ1243" s="113"/>
      <c r="BA1243" s="113"/>
      <c r="BB1243" s="113"/>
      <c r="BC1243" s="113"/>
      <c r="BD1243" s="46">
        <v>0</v>
      </c>
      <c r="BE1243" s="113"/>
      <c r="BF1243" s="113"/>
      <c r="BG1243" s="113"/>
      <c r="BH1243" s="113"/>
      <c r="BI1243" s="113"/>
      <c r="BJ1243" s="46">
        <v>0</v>
      </c>
      <c r="BK1243" s="113"/>
      <c r="BL1243" s="113"/>
      <c r="BM1243" s="113"/>
      <c r="BN1243" s="113"/>
      <c r="BO1243" s="113"/>
      <c r="BP1243" s="121"/>
      <c r="BQ1243" s="121"/>
      <c r="GA1243" t="s">
        <v>18300</v>
      </c>
      <c r="GB1243" t="s">
        <v>23014</v>
      </c>
      <c r="GC1243" s="46">
        <v>0</v>
      </c>
      <c r="GD1243" s="113"/>
      <c r="GE1243" s="113"/>
      <c r="GF1243" s="113"/>
      <c r="GG1243" s="113"/>
      <c r="GH1243" s="113"/>
      <c r="GI1243" s="46">
        <v>0</v>
      </c>
      <c r="GJ1243" s="113"/>
      <c r="GK1243" s="113"/>
      <c r="GL1243" s="113"/>
      <c r="GM1243" s="113"/>
      <c r="GN1243" s="113"/>
      <c r="GO1243" s="46">
        <v>0</v>
      </c>
      <c r="GP1243" s="113"/>
      <c r="GQ1243" s="113"/>
      <c r="GR1243" s="113"/>
      <c r="GS1243" s="113"/>
      <c r="GT1243" s="113"/>
      <c r="GU1243" s="46">
        <v>0</v>
      </c>
      <c r="GV1243" s="113"/>
      <c r="GW1243" s="113"/>
      <c r="GX1243" s="113"/>
      <c r="GY1243" s="113"/>
      <c r="GZ1243" s="113"/>
      <c r="HA1243" s="46">
        <v>0</v>
      </c>
      <c r="HB1243" s="113"/>
      <c r="HC1243" s="113"/>
      <c r="HD1243" s="113"/>
      <c r="HE1243" s="113"/>
      <c r="HF1243" s="113"/>
      <c r="HG1243" s="46">
        <v>0</v>
      </c>
      <c r="HH1243" s="113"/>
      <c r="HI1243" s="113"/>
      <c r="HJ1243" s="113"/>
      <c r="HK1243" s="113"/>
      <c r="HL1243" s="113"/>
      <c r="HM1243" s="121"/>
      <c r="HN1243" s="121"/>
      <c r="LM1243" t="str">
        <v/>
      </c>
      <c r="LN1243" t="str">
        <v/>
      </c>
      <c r="LO1243" t="str">
        <v/>
      </c>
    </row>
    <row r="1244" spans="30:327">
      <c r="AD1244" t="s">
        <v>18300</v>
      </c>
      <c r="AE1244" t="s">
        <v>23015</v>
      </c>
      <c r="AF1244" s="46">
        <v>0</v>
      </c>
      <c r="AG1244" s="113"/>
      <c r="AH1244" s="113"/>
      <c r="AI1244" s="113"/>
      <c r="AJ1244" s="113"/>
      <c r="AK1244" s="113"/>
      <c r="AL1244" s="46">
        <v>0</v>
      </c>
      <c r="AM1244" s="113"/>
      <c r="AN1244" s="113"/>
      <c r="AO1244" s="113"/>
      <c r="AP1244" s="113"/>
      <c r="AQ1244" s="113"/>
      <c r="AR1244" s="46">
        <v>0</v>
      </c>
      <c r="AS1244" s="113"/>
      <c r="AT1244" s="113"/>
      <c r="AU1244" s="113"/>
      <c r="AV1244" s="113"/>
      <c r="AW1244" s="113"/>
      <c r="AX1244" s="46">
        <v>0</v>
      </c>
      <c r="AY1244" s="113"/>
      <c r="AZ1244" s="113"/>
      <c r="BA1244" s="113"/>
      <c r="BB1244" s="113"/>
      <c r="BC1244" s="113"/>
      <c r="BD1244" s="46">
        <v>0</v>
      </c>
      <c r="BE1244" s="113"/>
      <c r="BF1244" s="113"/>
      <c r="BG1244" s="113"/>
      <c r="BH1244" s="113"/>
      <c r="BI1244" s="113"/>
      <c r="BJ1244" s="46">
        <v>0</v>
      </c>
      <c r="BK1244" s="113"/>
      <c r="BL1244" s="113"/>
      <c r="BM1244" s="113"/>
      <c r="BN1244" s="113"/>
      <c r="BO1244" s="113"/>
      <c r="BP1244" s="121"/>
      <c r="BQ1244" s="121"/>
      <c r="GA1244" t="s">
        <v>18300</v>
      </c>
      <c r="GB1244" t="s">
        <v>23015</v>
      </c>
      <c r="GC1244" s="46">
        <v>0</v>
      </c>
      <c r="GD1244" s="113"/>
      <c r="GE1244" s="113"/>
      <c r="GF1244" s="113"/>
      <c r="GG1244" s="113"/>
      <c r="GH1244" s="113"/>
      <c r="GI1244" s="46">
        <v>0</v>
      </c>
      <c r="GJ1244" s="113"/>
      <c r="GK1244" s="113"/>
      <c r="GL1244" s="113"/>
      <c r="GM1244" s="113"/>
      <c r="GN1244" s="113"/>
      <c r="GO1244" s="46">
        <v>0</v>
      </c>
      <c r="GP1244" s="113"/>
      <c r="GQ1244" s="113"/>
      <c r="GR1244" s="113"/>
      <c r="GS1244" s="113"/>
      <c r="GT1244" s="113"/>
      <c r="GU1244" s="46">
        <v>0</v>
      </c>
      <c r="GV1244" s="113"/>
      <c r="GW1244" s="113"/>
      <c r="GX1244" s="113"/>
      <c r="GY1244" s="113"/>
      <c r="GZ1244" s="113"/>
      <c r="HA1244" s="46">
        <v>0</v>
      </c>
      <c r="HB1244" s="113"/>
      <c r="HC1244" s="113"/>
      <c r="HD1244" s="113"/>
      <c r="HE1244" s="113"/>
      <c r="HF1244" s="113"/>
      <c r="HG1244" s="46">
        <v>0</v>
      </c>
      <c r="HH1244" s="113"/>
      <c r="HI1244" s="113"/>
      <c r="HJ1244" s="113"/>
      <c r="HK1244" s="113"/>
      <c r="HL1244" s="113"/>
      <c r="HM1244" s="121"/>
      <c r="HN1244" s="121"/>
      <c r="LM1244" t="str">
        <v/>
      </c>
      <c r="LN1244" t="str">
        <v/>
      </c>
      <c r="LO1244" t="str">
        <v/>
      </c>
    </row>
    <row r="1245" spans="30:327">
      <c r="AD1245" t="s">
        <v>18300</v>
      </c>
      <c r="AE1245" t="s">
        <v>23016</v>
      </c>
      <c r="AF1245" s="46">
        <v>0</v>
      </c>
      <c r="AG1245" s="113"/>
      <c r="AH1245" s="113"/>
      <c r="AI1245" s="113"/>
      <c r="AJ1245" s="113"/>
      <c r="AK1245" s="113"/>
      <c r="AL1245" s="46">
        <v>0</v>
      </c>
      <c r="AM1245" s="113"/>
      <c r="AN1245" s="113"/>
      <c r="AO1245" s="113"/>
      <c r="AP1245" s="113"/>
      <c r="AQ1245" s="113"/>
      <c r="AR1245" s="46">
        <v>0</v>
      </c>
      <c r="AS1245" s="113"/>
      <c r="AT1245" s="113"/>
      <c r="AU1245" s="113"/>
      <c r="AV1245" s="113"/>
      <c r="AW1245" s="113"/>
      <c r="AX1245" s="46">
        <v>0</v>
      </c>
      <c r="AY1245" s="113"/>
      <c r="AZ1245" s="113"/>
      <c r="BA1245" s="113"/>
      <c r="BB1245" s="113"/>
      <c r="BC1245" s="113"/>
      <c r="BD1245" s="46">
        <v>0</v>
      </c>
      <c r="BE1245" s="113"/>
      <c r="BF1245" s="113"/>
      <c r="BG1245" s="113"/>
      <c r="BH1245" s="113"/>
      <c r="BI1245" s="113"/>
      <c r="BJ1245" s="46">
        <v>0</v>
      </c>
      <c r="BK1245" s="113"/>
      <c r="BL1245" s="113"/>
      <c r="BM1245" s="113"/>
      <c r="BN1245" s="113"/>
      <c r="BO1245" s="113"/>
      <c r="BP1245" s="121"/>
      <c r="BQ1245" s="121"/>
      <c r="GA1245" t="s">
        <v>18300</v>
      </c>
      <c r="GB1245" t="s">
        <v>23016</v>
      </c>
      <c r="GC1245" s="46">
        <v>0</v>
      </c>
      <c r="GD1245" s="113"/>
      <c r="GE1245" s="113"/>
      <c r="GF1245" s="113"/>
      <c r="GG1245" s="113"/>
      <c r="GH1245" s="113"/>
      <c r="GI1245" s="46">
        <v>0</v>
      </c>
      <c r="GJ1245" s="113"/>
      <c r="GK1245" s="113"/>
      <c r="GL1245" s="113"/>
      <c r="GM1245" s="113"/>
      <c r="GN1245" s="113"/>
      <c r="GO1245" s="46">
        <v>0</v>
      </c>
      <c r="GP1245" s="113"/>
      <c r="GQ1245" s="113"/>
      <c r="GR1245" s="113"/>
      <c r="GS1245" s="113"/>
      <c r="GT1245" s="113"/>
      <c r="GU1245" s="46">
        <v>0</v>
      </c>
      <c r="GV1245" s="113"/>
      <c r="GW1245" s="113"/>
      <c r="GX1245" s="113"/>
      <c r="GY1245" s="113"/>
      <c r="GZ1245" s="113"/>
      <c r="HA1245" s="46">
        <v>0</v>
      </c>
      <c r="HB1245" s="113"/>
      <c r="HC1245" s="113"/>
      <c r="HD1245" s="113"/>
      <c r="HE1245" s="113"/>
      <c r="HF1245" s="113"/>
      <c r="HG1245" s="46">
        <v>0</v>
      </c>
      <c r="HH1245" s="113"/>
      <c r="HI1245" s="113"/>
      <c r="HJ1245" s="113"/>
      <c r="HK1245" s="113"/>
      <c r="HL1245" s="113"/>
      <c r="HM1245" s="121"/>
      <c r="HN1245" s="121"/>
      <c r="LM1245" t="str">
        <v/>
      </c>
      <c r="LN1245" t="str">
        <v/>
      </c>
      <c r="LO1245" t="str">
        <v/>
      </c>
    </row>
    <row r="1246" spans="30:327">
      <c r="AD1246" t="s">
        <v>18300</v>
      </c>
      <c r="AE1246" t="s">
        <v>23017</v>
      </c>
      <c r="AF1246" s="46">
        <v>0</v>
      </c>
      <c r="AG1246" s="113"/>
      <c r="AH1246" s="113"/>
      <c r="AI1246" s="113"/>
      <c r="AJ1246" s="113"/>
      <c r="AK1246" s="113"/>
      <c r="AL1246" s="46">
        <v>0</v>
      </c>
      <c r="AM1246" s="113"/>
      <c r="AN1246" s="113"/>
      <c r="AO1246" s="113"/>
      <c r="AP1246" s="113"/>
      <c r="AQ1246" s="113"/>
      <c r="AR1246" s="46">
        <v>0</v>
      </c>
      <c r="AS1246" s="113"/>
      <c r="AT1246" s="113"/>
      <c r="AU1246" s="113"/>
      <c r="AV1246" s="113"/>
      <c r="AW1246" s="113"/>
      <c r="AX1246" s="46">
        <v>0</v>
      </c>
      <c r="AY1246" s="113"/>
      <c r="AZ1246" s="113"/>
      <c r="BA1246" s="113"/>
      <c r="BB1246" s="113"/>
      <c r="BC1246" s="113"/>
      <c r="BD1246" s="46">
        <v>0</v>
      </c>
      <c r="BE1246" s="113"/>
      <c r="BF1246" s="113"/>
      <c r="BG1246" s="113"/>
      <c r="BH1246" s="113"/>
      <c r="BI1246" s="113"/>
      <c r="BJ1246" s="46">
        <v>0</v>
      </c>
      <c r="BK1246" s="113"/>
      <c r="BL1246" s="113"/>
      <c r="BM1246" s="113"/>
      <c r="BN1246" s="113"/>
      <c r="BO1246" s="113"/>
      <c r="BP1246" s="121"/>
      <c r="BQ1246" s="121"/>
      <c r="GA1246" t="s">
        <v>18300</v>
      </c>
      <c r="GB1246" t="s">
        <v>23017</v>
      </c>
      <c r="GC1246" s="46">
        <v>0</v>
      </c>
      <c r="GD1246" s="113"/>
      <c r="GE1246" s="113"/>
      <c r="GF1246" s="113"/>
      <c r="GG1246" s="113"/>
      <c r="GH1246" s="113"/>
      <c r="GI1246" s="46">
        <v>0</v>
      </c>
      <c r="GJ1246" s="113"/>
      <c r="GK1246" s="113"/>
      <c r="GL1246" s="113"/>
      <c r="GM1246" s="113"/>
      <c r="GN1246" s="113"/>
      <c r="GO1246" s="46">
        <v>0</v>
      </c>
      <c r="GP1246" s="113"/>
      <c r="GQ1246" s="113"/>
      <c r="GR1246" s="113"/>
      <c r="GS1246" s="113"/>
      <c r="GT1246" s="113"/>
      <c r="GU1246" s="46">
        <v>0</v>
      </c>
      <c r="GV1246" s="113"/>
      <c r="GW1246" s="113"/>
      <c r="GX1246" s="113"/>
      <c r="GY1246" s="113"/>
      <c r="GZ1246" s="113"/>
      <c r="HA1246" s="46">
        <v>0</v>
      </c>
      <c r="HB1246" s="113"/>
      <c r="HC1246" s="113"/>
      <c r="HD1246" s="113"/>
      <c r="HE1246" s="113"/>
      <c r="HF1246" s="113"/>
      <c r="HG1246" s="46">
        <v>0</v>
      </c>
      <c r="HH1246" s="113"/>
      <c r="HI1246" s="113"/>
      <c r="HJ1246" s="113"/>
      <c r="HK1246" s="113"/>
      <c r="HL1246" s="113"/>
      <c r="HM1246" s="121"/>
      <c r="HN1246" s="121"/>
      <c r="LM1246" t="str">
        <v/>
      </c>
      <c r="LN1246" t="str">
        <v/>
      </c>
      <c r="LO1246" t="str">
        <v/>
      </c>
    </row>
    <row r="1247" spans="30:327">
      <c r="AD1247" t="s">
        <v>18300</v>
      </c>
      <c r="AE1247" t="s">
        <v>23018</v>
      </c>
      <c r="AF1247" s="46">
        <v>0</v>
      </c>
      <c r="AG1247" s="113"/>
      <c r="AH1247" s="113"/>
      <c r="AI1247" s="113"/>
      <c r="AJ1247" s="113"/>
      <c r="AK1247" s="113"/>
      <c r="AL1247" s="46">
        <v>0</v>
      </c>
      <c r="AM1247" s="113"/>
      <c r="AN1247" s="113"/>
      <c r="AO1247" s="113"/>
      <c r="AP1247" s="113"/>
      <c r="AQ1247" s="113"/>
      <c r="AR1247" s="46">
        <v>0</v>
      </c>
      <c r="AS1247" s="113"/>
      <c r="AT1247" s="113"/>
      <c r="AU1247" s="113"/>
      <c r="AV1247" s="113"/>
      <c r="AW1247" s="113"/>
      <c r="AX1247" s="46">
        <v>0</v>
      </c>
      <c r="AY1247" s="113"/>
      <c r="AZ1247" s="113"/>
      <c r="BA1247" s="113"/>
      <c r="BB1247" s="113"/>
      <c r="BC1247" s="113"/>
      <c r="BD1247" s="46">
        <v>0</v>
      </c>
      <c r="BE1247" s="113"/>
      <c r="BF1247" s="113"/>
      <c r="BG1247" s="113"/>
      <c r="BH1247" s="113"/>
      <c r="BI1247" s="113"/>
      <c r="BJ1247" s="46">
        <v>0</v>
      </c>
      <c r="BK1247" s="113"/>
      <c r="BL1247" s="113"/>
      <c r="BM1247" s="113"/>
      <c r="BN1247" s="113"/>
      <c r="BO1247" s="113"/>
      <c r="BP1247" s="121"/>
      <c r="BQ1247" s="121"/>
      <c r="GA1247" t="s">
        <v>18300</v>
      </c>
      <c r="GB1247" t="s">
        <v>23018</v>
      </c>
      <c r="GC1247" s="46">
        <v>0</v>
      </c>
      <c r="GD1247" s="113"/>
      <c r="GE1247" s="113"/>
      <c r="GF1247" s="113"/>
      <c r="GG1247" s="113"/>
      <c r="GH1247" s="113"/>
      <c r="GI1247" s="46">
        <v>0</v>
      </c>
      <c r="GJ1247" s="113"/>
      <c r="GK1247" s="113"/>
      <c r="GL1247" s="113"/>
      <c r="GM1247" s="113"/>
      <c r="GN1247" s="113"/>
      <c r="GO1247" s="46">
        <v>0</v>
      </c>
      <c r="GP1247" s="113"/>
      <c r="GQ1247" s="113"/>
      <c r="GR1247" s="113"/>
      <c r="GS1247" s="113"/>
      <c r="GT1247" s="113"/>
      <c r="GU1247" s="46">
        <v>0</v>
      </c>
      <c r="GV1247" s="113"/>
      <c r="GW1247" s="113"/>
      <c r="GX1247" s="113"/>
      <c r="GY1247" s="113"/>
      <c r="GZ1247" s="113"/>
      <c r="HA1247" s="46">
        <v>0</v>
      </c>
      <c r="HB1247" s="113"/>
      <c r="HC1247" s="113"/>
      <c r="HD1247" s="113"/>
      <c r="HE1247" s="113"/>
      <c r="HF1247" s="113"/>
      <c r="HG1247" s="46">
        <v>0</v>
      </c>
      <c r="HH1247" s="113"/>
      <c r="HI1247" s="113"/>
      <c r="HJ1247" s="113"/>
      <c r="HK1247" s="113"/>
      <c r="HL1247" s="113"/>
      <c r="HM1247" s="121"/>
      <c r="HN1247" s="121"/>
      <c r="LM1247" t="str">
        <v/>
      </c>
      <c r="LN1247" t="str">
        <v/>
      </c>
      <c r="LO1247" t="str">
        <v/>
      </c>
    </row>
    <row r="1248" spans="30:327">
      <c r="AD1248" t="s">
        <v>18300</v>
      </c>
      <c r="AE1248" t="s">
        <v>23019</v>
      </c>
      <c r="AF1248" s="46">
        <v>0</v>
      </c>
      <c r="AG1248" s="113"/>
      <c r="AH1248" s="113"/>
      <c r="AI1248" s="113"/>
      <c r="AJ1248" s="113"/>
      <c r="AK1248" s="113"/>
      <c r="AL1248" s="46">
        <v>0</v>
      </c>
      <c r="AM1248" s="113"/>
      <c r="AN1248" s="113"/>
      <c r="AO1248" s="113"/>
      <c r="AP1248" s="113"/>
      <c r="AQ1248" s="113"/>
      <c r="AR1248" s="46">
        <v>0</v>
      </c>
      <c r="AS1248" s="113"/>
      <c r="AT1248" s="113"/>
      <c r="AU1248" s="113"/>
      <c r="AV1248" s="113"/>
      <c r="AW1248" s="113"/>
      <c r="AX1248" s="46">
        <v>0</v>
      </c>
      <c r="AY1248" s="113"/>
      <c r="AZ1248" s="113"/>
      <c r="BA1248" s="113"/>
      <c r="BB1248" s="113"/>
      <c r="BC1248" s="113"/>
      <c r="BD1248" s="46">
        <v>0</v>
      </c>
      <c r="BE1248" s="113"/>
      <c r="BF1248" s="113"/>
      <c r="BG1248" s="113"/>
      <c r="BH1248" s="113"/>
      <c r="BI1248" s="113"/>
      <c r="BJ1248" s="46">
        <v>0</v>
      </c>
      <c r="BK1248" s="113"/>
      <c r="BL1248" s="113"/>
      <c r="BM1248" s="113"/>
      <c r="BN1248" s="113"/>
      <c r="BO1248" s="113"/>
      <c r="BP1248" s="121"/>
      <c r="BQ1248" s="121"/>
      <c r="GA1248" t="s">
        <v>18300</v>
      </c>
      <c r="GB1248" t="s">
        <v>23019</v>
      </c>
      <c r="GC1248" s="46">
        <v>0</v>
      </c>
      <c r="GD1248" s="113"/>
      <c r="GE1248" s="113"/>
      <c r="GF1248" s="113"/>
      <c r="GG1248" s="113"/>
      <c r="GH1248" s="113"/>
      <c r="GI1248" s="46">
        <v>0</v>
      </c>
      <c r="GJ1248" s="113"/>
      <c r="GK1248" s="113"/>
      <c r="GL1248" s="113"/>
      <c r="GM1248" s="113"/>
      <c r="GN1248" s="113"/>
      <c r="GO1248" s="46">
        <v>0</v>
      </c>
      <c r="GP1248" s="113"/>
      <c r="GQ1248" s="113"/>
      <c r="GR1248" s="113"/>
      <c r="GS1248" s="113"/>
      <c r="GT1248" s="113"/>
      <c r="GU1248" s="46">
        <v>0</v>
      </c>
      <c r="GV1248" s="113"/>
      <c r="GW1248" s="113"/>
      <c r="GX1248" s="113"/>
      <c r="GY1248" s="113"/>
      <c r="GZ1248" s="113"/>
      <c r="HA1248" s="46">
        <v>0</v>
      </c>
      <c r="HB1248" s="113"/>
      <c r="HC1248" s="113"/>
      <c r="HD1248" s="113"/>
      <c r="HE1248" s="113"/>
      <c r="HF1248" s="113"/>
      <c r="HG1248" s="46">
        <v>0</v>
      </c>
      <c r="HH1248" s="113"/>
      <c r="HI1248" s="113"/>
      <c r="HJ1248" s="113"/>
      <c r="HK1248" s="113"/>
      <c r="HL1248" s="113"/>
      <c r="HM1248" s="121"/>
      <c r="HN1248" s="121"/>
      <c r="LM1248" t="str">
        <v/>
      </c>
      <c r="LN1248" t="str">
        <v/>
      </c>
      <c r="LO1248" t="str">
        <v/>
      </c>
    </row>
    <row r="1249" spans="30:327">
      <c r="AD1249" t="s">
        <v>18300</v>
      </c>
      <c r="AE1249" t="s">
        <v>23020</v>
      </c>
      <c r="AF1249" s="46">
        <v>0</v>
      </c>
      <c r="AG1249" s="113"/>
      <c r="AH1249" s="113"/>
      <c r="AI1249" s="113"/>
      <c r="AJ1249" s="113"/>
      <c r="AK1249" s="113"/>
      <c r="AL1249" s="46">
        <v>0</v>
      </c>
      <c r="AM1249" s="113"/>
      <c r="AN1249" s="113"/>
      <c r="AO1249" s="113"/>
      <c r="AP1249" s="113"/>
      <c r="AQ1249" s="113"/>
      <c r="AR1249" s="46">
        <v>0</v>
      </c>
      <c r="AS1249" s="113"/>
      <c r="AT1249" s="113"/>
      <c r="AU1249" s="113"/>
      <c r="AV1249" s="113"/>
      <c r="AW1249" s="113"/>
      <c r="AX1249" s="46">
        <v>0</v>
      </c>
      <c r="AY1249" s="113"/>
      <c r="AZ1249" s="113"/>
      <c r="BA1249" s="113"/>
      <c r="BB1249" s="113"/>
      <c r="BC1249" s="113"/>
      <c r="BD1249" s="46">
        <v>0</v>
      </c>
      <c r="BE1249" s="113"/>
      <c r="BF1249" s="113"/>
      <c r="BG1249" s="113"/>
      <c r="BH1249" s="113"/>
      <c r="BI1249" s="113"/>
      <c r="BJ1249" s="46">
        <v>0</v>
      </c>
      <c r="BK1249" s="113"/>
      <c r="BL1249" s="113"/>
      <c r="BM1249" s="113"/>
      <c r="BN1249" s="113"/>
      <c r="BO1249" s="113"/>
      <c r="BP1249" s="121"/>
      <c r="BQ1249" s="121"/>
      <c r="GA1249" t="s">
        <v>18300</v>
      </c>
      <c r="GB1249" t="s">
        <v>23020</v>
      </c>
      <c r="GC1249" s="46">
        <v>0</v>
      </c>
      <c r="GD1249" s="113"/>
      <c r="GE1249" s="113"/>
      <c r="GF1249" s="113"/>
      <c r="GG1249" s="113"/>
      <c r="GH1249" s="113"/>
      <c r="GI1249" s="46">
        <v>0</v>
      </c>
      <c r="GJ1249" s="113"/>
      <c r="GK1249" s="113"/>
      <c r="GL1249" s="113"/>
      <c r="GM1249" s="113"/>
      <c r="GN1249" s="113"/>
      <c r="GO1249" s="46">
        <v>0</v>
      </c>
      <c r="GP1249" s="113"/>
      <c r="GQ1249" s="113"/>
      <c r="GR1249" s="113"/>
      <c r="GS1249" s="113"/>
      <c r="GT1249" s="113"/>
      <c r="GU1249" s="46">
        <v>0</v>
      </c>
      <c r="GV1249" s="113"/>
      <c r="GW1249" s="113"/>
      <c r="GX1249" s="113"/>
      <c r="GY1249" s="113"/>
      <c r="GZ1249" s="113"/>
      <c r="HA1249" s="46">
        <v>0</v>
      </c>
      <c r="HB1249" s="113"/>
      <c r="HC1249" s="113"/>
      <c r="HD1249" s="113"/>
      <c r="HE1249" s="113"/>
      <c r="HF1249" s="113"/>
      <c r="HG1249" s="46">
        <v>0</v>
      </c>
      <c r="HH1249" s="113"/>
      <c r="HI1249" s="113"/>
      <c r="HJ1249" s="113"/>
      <c r="HK1249" s="113"/>
      <c r="HL1249" s="113"/>
      <c r="HM1249" s="121"/>
      <c r="HN1249" s="121"/>
      <c r="LM1249" t="str">
        <v/>
      </c>
      <c r="LN1249" t="str">
        <v/>
      </c>
      <c r="LO1249" t="str">
        <v/>
      </c>
    </row>
    <row r="1250" spans="30:327">
      <c r="AD1250" t="s">
        <v>18300</v>
      </c>
      <c r="AE1250" t="s">
        <v>23021</v>
      </c>
      <c r="AF1250" s="46">
        <v>0</v>
      </c>
      <c r="AG1250" s="113"/>
      <c r="AH1250" s="113"/>
      <c r="AI1250" s="113"/>
      <c r="AJ1250" s="113"/>
      <c r="AK1250" s="113"/>
      <c r="AL1250" s="46">
        <v>0</v>
      </c>
      <c r="AM1250" s="113"/>
      <c r="AN1250" s="113"/>
      <c r="AO1250" s="113"/>
      <c r="AP1250" s="113"/>
      <c r="AQ1250" s="113"/>
      <c r="AR1250" s="46">
        <v>0</v>
      </c>
      <c r="AS1250" s="113"/>
      <c r="AT1250" s="113"/>
      <c r="AU1250" s="113"/>
      <c r="AV1250" s="113"/>
      <c r="AW1250" s="113"/>
      <c r="AX1250" s="46">
        <v>0</v>
      </c>
      <c r="AY1250" s="113"/>
      <c r="AZ1250" s="113"/>
      <c r="BA1250" s="113"/>
      <c r="BB1250" s="113"/>
      <c r="BC1250" s="113"/>
      <c r="BD1250" s="46">
        <v>0</v>
      </c>
      <c r="BE1250" s="113"/>
      <c r="BF1250" s="113"/>
      <c r="BG1250" s="113"/>
      <c r="BH1250" s="113"/>
      <c r="BI1250" s="113"/>
      <c r="BJ1250" s="46">
        <v>0</v>
      </c>
      <c r="BK1250" s="113"/>
      <c r="BL1250" s="113"/>
      <c r="BM1250" s="113"/>
      <c r="BN1250" s="113"/>
      <c r="BO1250" s="113"/>
      <c r="BP1250" s="121"/>
      <c r="BQ1250" s="121"/>
      <c r="GA1250" t="s">
        <v>18300</v>
      </c>
      <c r="GB1250" t="s">
        <v>23021</v>
      </c>
      <c r="GC1250" s="46">
        <v>0</v>
      </c>
      <c r="GD1250" s="113"/>
      <c r="GE1250" s="113"/>
      <c r="GF1250" s="113"/>
      <c r="GG1250" s="113"/>
      <c r="GH1250" s="113"/>
      <c r="GI1250" s="46">
        <v>0</v>
      </c>
      <c r="GJ1250" s="113"/>
      <c r="GK1250" s="113"/>
      <c r="GL1250" s="113"/>
      <c r="GM1250" s="113"/>
      <c r="GN1250" s="113"/>
      <c r="GO1250" s="46">
        <v>0</v>
      </c>
      <c r="GP1250" s="113"/>
      <c r="GQ1250" s="113"/>
      <c r="GR1250" s="113"/>
      <c r="GS1250" s="113"/>
      <c r="GT1250" s="113"/>
      <c r="GU1250" s="46">
        <v>0</v>
      </c>
      <c r="GV1250" s="113"/>
      <c r="GW1250" s="113"/>
      <c r="GX1250" s="113"/>
      <c r="GY1250" s="113"/>
      <c r="GZ1250" s="113"/>
      <c r="HA1250" s="46">
        <v>0</v>
      </c>
      <c r="HB1250" s="113"/>
      <c r="HC1250" s="113"/>
      <c r="HD1250" s="113"/>
      <c r="HE1250" s="113"/>
      <c r="HF1250" s="113"/>
      <c r="HG1250" s="46">
        <v>0</v>
      </c>
      <c r="HH1250" s="113"/>
      <c r="HI1250" s="113"/>
      <c r="HJ1250" s="113"/>
      <c r="HK1250" s="113"/>
      <c r="HL1250" s="113"/>
      <c r="HM1250" s="121"/>
      <c r="HN1250" s="121"/>
      <c r="LM1250" t="str">
        <v/>
      </c>
      <c r="LN1250" t="str">
        <v/>
      </c>
      <c r="LO1250" t="str">
        <v/>
      </c>
    </row>
    <row r="1251" spans="30:327">
      <c r="AD1251" t="s">
        <v>18300</v>
      </c>
      <c r="AE1251" t="s">
        <v>23022</v>
      </c>
      <c r="AF1251" s="46">
        <v>0</v>
      </c>
      <c r="AG1251" s="113"/>
      <c r="AH1251" s="113"/>
      <c r="AI1251" s="113"/>
      <c r="AJ1251" s="113"/>
      <c r="AK1251" s="113"/>
      <c r="AL1251" s="46">
        <v>0</v>
      </c>
      <c r="AM1251" s="113"/>
      <c r="AN1251" s="113"/>
      <c r="AO1251" s="113"/>
      <c r="AP1251" s="113"/>
      <c r="AQ1251" s="113"/>
      <c r="AR1251" s="46">
        <v>0</v>
      </c>
      <c r="AS1251" s="113"/>
      <c r="AT1251" s="113"/>
      <c r="AU1251" s="113"/>
      <c r="AV1251" s="113"/>
      <c r="AW1251" s="113"/>
      <c r="AX1251" s="46">
        <v>0</v>
      </c>
      <c r="AY1251" s="113"/>
      <c r="AZ1251" s="113"/>
      <c r="BA1251" s="113"/>
      <c r="BB1251" s="113"/>
      <c r="BC1251" s="113"/>
      <c r="BD1251" s="46">
        <v>0</v>
      </c>
      <c r="BE1251" s="113"/>
      <c r="BF1251" s="113"/>
      <c r="BG1251" s="113"/>
      <c r="BH1251" s="113"/>
      <c r="BI1251" s="113"/>
      <c r="BJ1251" s="46">
        <v>0</v>
      </c>
      <c r="BK1251" s="113"/>
      <c r="BL1251" s="113"/>
      <c r="BM1251" s="113"/>
      <c r="BN1251" s="113"/>
      <c r="BO1251" s="113"/>
      <c r="BP1251" s="121"/>
      <c r="BQ1251" s="121"/>
      <c r="GA1251" t="s">
        <v>18300</v>
      </c>
      <c r="GB1251" t="s">
        <v>23022</v>
      </c>
      <c r="GC1251" s="46">
        <v>0</v>
      </c>
      <c r="GD1251" s="113"/>
      <c r="GE1251" s="113"/>
      <c r="GF1251" s="113"/>
      <c r="GG1251" s="113"/>
      <c r="GH1251" s="113"/>
      <c r="GI1251" s="46">
        <v>0</v>
      </c>
      <c r="GJ1251" s="113"/>
      <c r="GK1251" s="113"/>
      <c r="GL1251" s="113"/>
      <c r="GM1251" s="113"/>
      <c r="GN1251" s="113"/>
      <c r="GO1251" s="46">
        <v>0</v>
      </c>
      <c r="GP1251" s="113"/>
      <c r="GQ1251" s="113"/>
      <c r="GR1251" s="113"/>
      <c r="GS1251" s="113"/>
      <c r="GT1251" s="113"/>
      <c r="GU1251" s="46">
        <v>0</v>
      </c>
      <c r="GV1251" s="113"/>
      <c r="GW1251" s="113"/>
      <c r="GX1251" s="113"/>
      <c r="GY1251" s="113"/>
      <c r="GZ1251" s="113"/>
      <c r="HA1251" s="46">
        <v>0</v>
      </c>
      <c r="HB1251" s="113"/>
      <c r="HC1251" s="113"/>
      <c r="HD1251" s="113"/>
      <c r="HE1251" s="113"/>
      <c r="HF1251" s="113"/>
      <c r="HG1251" s="46">
        <v>0</v>
      </c>
      <c r="HH1251" s="113"/>
      <c r="HI1251" s="113"/>
      <c r="HJ1251" s="113"/>
      <c r="HK1251" s="113"/>
      <c r="HL1251" s="113"/>
      <c r="HM1251" s="121"/>
      <c r="HN1251" s="121"/>
      <c r="LM1251" t="str">
        <v/>
      </c>
      <c r="LN1251" t="str">
        <v/>
      </c>
      <c r="LO1251" t="str">
        <v/>
      </c>
    </row>
    <row r="1252" spans="30:327">
      <c r="AD1252" t="s">
        <v>18300</v>
      </c>
      <c r="AE1252" t="s">
        <v>23023</v>
      </c>
      <c r="AF1252" s="46">
        <v>0</v>
      </c>
      <c r="AG1252" s="113"/>
      <c r="AH1252" s="113"/>
      <c r="AI1252" s="113"/>
      <c r="AJ1252" s="113"/>
      <c r="AK1252" s="113"/>
      <c r="AL1252" s="46">
        <v>0</v>
      </c>
      <c r="AM1252" s="113"/>
      <c r="AN1252" s="113"/>
      <c r="AO1252" s="113"/>
      <c r="AP1252" s="113"/>
      <c r="AQ1252" s="113"/>
      <c r="AR1252" s="46">
        <v>0</v>
      </c>
      <c r="AS1252" s="113"/>
      <c r="AT1252" s="113"/>
      <c r="AU1252" s="113"/>
      <c r="AV1252" s="113"/>
      <c r="AW1252" s="113"/>
      <c r="AX1252" s="46">
        <v>0</v>
      </c>
      <c r="AY1252" s="113"/>
      <c r="AZ1252" s="113"/>
      <c r="BA1252" s="113"/>
      <c r="BB1252" s="113"/>
      <c r="BC1252" s="113"/>
      <c r="BD1252" s="46">
        <v>0</v>
      </c>
      <c r="BE1252" s="113"/>
      <c r="BF1252" s="113"/>
      <c r="BG1252" s="113"/>
      <c r="BH1252" s="113"/>
      <c r="BI1252" s="113"/>
      <c r="BJ1252" s="46">
        <v>0</v>
      </c>
      <c r="BK1252" s="113"/>
      <c r="BL1252" s="113"/>
      <c r="BM1252" s="113"/>
      <c r="BN1252" s="113"/>
      <c r="BO1252" s="113"/>
      <c r="BP1252" s="121"/>
      <c r="BQ1252" s="121"/>
      <c r="GA1252" t="s">
        <v>18300</v>
      </c>
      <c r="GB1252" t="s">
        <v>23023</v>
      </c>
      <c r="GC1252" s="46">
        <v>0</v>
      </c>
      <c r="GD1252" s="113"/>
      <c r="GE1252" s="113"/>
      <c r="GF1252" s="113"/>
      <c r="GG1252" s="113"/>
      <c r="GH1252" s="113"/>
      <c r="GI1252" s="46">
        <v>0</v>
      </c>
      <c r="GJ1252" s="113"/>
      <c r="GK1252" s="113"/>
      <c r="GL1252" s="113"/>
      <c r="GM1252" s="113"/>
      <c r="GN1252" s="113"/>
      <c r="GO1252" s="46">
        <v>0</v>
      </c>
      <c r="GP1252" s="113"/>
      <c r="GQ1252" s="113"/>
      <c r="GR1252" s="113"/>
      <c r="GS1252" s="113"/>
      <c r="GT1252" s="113"/>
      <c r="GU1252" s="46">
        <v>0</v>
      </c>
      <c r="GV1252" s="113"/>
      <c r="GW1252" s="113"/>
      <c r="GX1252" s="113"/>
      <c r="GY1252" s="113"/>
      <c r="GZ1252" s="113"/>
      <c r="HA1252" s="46">
        <v>0</v>
      </c>
      <c r="HB1252" s="113"/>
      <c r="HC1252" s="113"/>
      <c r="HD1252" s="113"/>
      <c r="HE1252" s="113"/>
      <c r="HF1252" s="113"/>
      <c r="HG1252" s="46">
        <v>0</v>
      </c>
      <c r="HH1252" s="113"/>
      <c r="HI1252" s="113"/>
      <c r="HJ1252" s="113"/>
      <c r="HK1252" s="113"/>
      <c r="HL1252" s="113"/>
      <c r="HM1252" s="121"/>
      <c r="HN1252" s="121"/>
      <c r="LM1252" t="str">
        <v/>
      </c>
      <c r="LN1252" t="str">
        <v/>
      </c>
      <c r="LO1252" t="str">
        <v/>
      </c>
    </row>
    <row r="1253" spans="30:327">
      <c r="AD1253" t="s">
        <v>18300</v>
      </c>
      <c r="AE1253" t="s">
        <v>23024</v>
      </c>
      <c r="AF1253" s="46">
        <v>0</v>
      </c>
      <c r="AG1253" s="113"/>
      <c r="AH1253" s="113"/>
      <c r="AI1253" s="113"/>
      <c r="AJ1253" s="113"/>
      <c r="AK1253" s="113"/>
      <c r="AL1253" s="46">
        <v>0</v>
      </c>
      <c r="AM1253" s="113"/>
      <c r="AN1253" s="113"/>
      <c r="AO1253" s="113"/>
      <c r="AP1253" s="113"/>
      <c r="AQ1253" s="113"/>
      <c r="AR1253" s="46">
        <v>0</v>
      </c>
      <c r="AS1253" s="113"/>
      <c r="AT1253" s="113"/>
      <c r="AU1253" s="113"/>
      <c r="AV1253" s="113"/>
      <c r="AW1253" s="113"/>
      <c r="AX1253" s="46">
        <v>0</v>
      </c>
      <c r="AY1253" s="113"/>
      <c r="AZ1253" s="113"/>
      <c r="BA1253" s="113"/>
      <c r="BB1253" s="113"/>
      <c r="BC1253" s="113"/>
      <c r="BD1253" s="46">
        <v>0</v>
      </c>
      <c r="BE1253" s="113"/>
      <c r="BF1253" s="113"/>
      <c r="BG1253" s="113"/>
      <c r="BH1253" s="113"/>
      <c r="BI1253" s="113"/>
      <c r="BJ1253" s="46">
        <v>0</v>
      </c>
      <c r="BK1253" s="113"/>
      <c r="BL1253" s="113"/>
      <c r="BM1253" s="113"/>
      <c r="BN1253" s="113"/>
      <c r="BO1253" s="113"/>
      <c r="BP1253" s="121"/>
      <c r="BQ1253" s="121"/>
      <c r="GA1253" t="s">
        <v>18300</v>
      </c>
      <c r="GB1253" t="s">
        <v>23024</v>
      </c>
      <c r="GC1253" s="46">
        <v>0</v>
      </c>
      <c r="GD1253" s="113"/>
      <c r="GE1253" s="113"/>
      <c r="GF1253" s="113"/>
      <c r="GG1253" s="113"/>
      <c r="GH1253" s="113"/>
      <c r="GI1253" s="46">
        <v>0</v>
      </c>
      <c r="GJ1253" s="113"/>
      <c r="GK1253" s="113"/>
      <c r="GL1253" s="113"/>
      <c r="GM1253" s="113"/>
      <c r="GN1253" s="113"/>
      <c r="GO1253" s="46">
        <v>0</v>
      </c>
      <c r="GP1253" s="113"/>
      <c r="GQ1253" s="113"/>
      <c r="GR1253" s="113"/>
      <c r="GS1253" s="113"/>
      <c r="GT1253" s="113"/>
      <c r="GU1253" s="46">
        <v>0</v>
      </c>
      <c r="GV1253" s="113"/>
      <c r="GW1253" s="113"/>
      <c r="GX1253" s="113"/>
      <c r="GY1253" s="113"/>
      <c r="GZ1253" s="113"/>
      <c r="HA1253" s="46">
        <v>0</v>
      </c>
      <c r="HB1253" s="113"/>
      <c r="HC1253" s="113"/>
      <c r="HD1253" s="113"/>
      <c r="HE1253" s="113"/>
      <c r="HF1253" s="113"/>
      <c r="HG1253" s="46">
        <v>0</v>
      </c>
      <c r="HH1253" s="113"/>
      <c r="HI1253" s="113"/>
      <c r="HJ1253" s="113"/>
      <c r="HK1253" s="113"/>
      <c r="HL1253" s="113"/>
      <c r="HM1253" s="121"/>
      <c r="HN1253" s="121"/>
      <c r="LM1253" t="str">
        <v/>
      </c>
      <c r="LN1253" t="str">
        <v/>
      </c>
      <c r="LO1253" t="str">
        <v/>
      </c>
    </row>
    <row r="1254" spans="30:327">
      <c r="AD1254" t="s">
        <v>18300</v>
      </c>
      <c r="AE1254" t="s">
        <v>23025</v>
      </c>
      <c r="AF1254" s="46">
        <v>0</v>
      </c>
      <c r="AG1254" s="113"/>
      <c r="AH1254" s="113"/>
      <c r="AI1254" s="113"/>
      <c r="AJ1254" s="113"/>
      <c r="AK1254" s="113"/>
      <c r="AL1254" s="46">
        <v>0</v>
      </c>
      <c r="AM1254" s="113"/>
      <c r="AN1254" s="113"/>
      <c r="AO1254" s="113"/>
      <c r="AP1254" s="113"/>
      <c r="AQ1254" s="113"/>
      <c r="AR1254" s="46">
        <v>0</v>
      </c>
      <c r="AS1254" s="113"/>
      <c r="AT1254" s="113"/>
      <c r="AU1254" s="113"/>
      <c r="AV1254" s="113"/>
      <c r="AW1254" s="113"/>
      <c r="AX1254" s="46">
        <v>0</v>
      </c>
      <c r="AY1254" s="113"/>
      <c r="AZ1254" s="113"/>
      <c r="BA1254" s="113"/>
      <c r="BB1254" s="113"/>
      <c r="BC1254" s="113"/>
      <c r="BD1254" s="46">
        <v>0</v>
      </c>
      <c r="BE1254" s="113"/>
      <c r="BF1254" s="113"/>
      <c r="BG1254" s="113"/>
      <c r="BH1254" s="113"/>
      <c r="BI1254" s="113"/>
      <c r="BJ1254" s="46">
        <v>0</v>
      </c>
      <c r="BK1254" s="113"/>
      <c r="BL1254" s="113"/>
      <c r="BM1254" s="113"/>
      <c r="BN1254" s="113"/>
      <c r="BO1254" s="113"/>
      <c r="BP1254" s="121"/>
      <c r="BQ1254" s="121"/>
      <c r="GA1254" t="s">
        <v>18300</v>
      </c>
      <c r="GB1254" t="s">
        <v>23025</v>
      </c>
      <c r="GC1254" s="46">
        <v>0</v>
      </c>
      <c r="GD1254" s="113"/>
      <c r="GE1254" s="113"/>
      <c r="GF1254" s="113"/>
      <c r="GG1254" s="113"/>
      <c r="GH1254" s="113"/>
      <c r="GI1254" s="46">
        <v>0</v>
      </c>
      <c r="GJ1254" s="113"/>
      <c r="GK1254" s="113"/>
      <c r="GL1254" s="113"/>
      <c r="GM1254" s="113"/>
      <c r="GN1254" s="113"/>
      <c r="GO1254" s="46">
        <v>0</v>
      </c>
      <c r="GP1254" s="113"/>
      <c r="GQ1254" s="113"/>
      <c r="GR1254" s="113"/>
      <c r="GS1254" s="113"/>
      <c r="GT1254" s="113"/>
      <c r="GU1254" s="46">
        <v>0</v>
      </c>
      <c r="GV1254" s="113"/>
      <c r="GW1254" s="113"/>
      <c r="GX1254" s="113"/>
      <c r="GY1254" s="113"/>
      <c r="GZ1254" s="113"/>
      <c r="HA1254" s="46">
        <v>0</v>
      </c>
      <c r="HB1254" s="113"/>
      <c r="HC1254" s="113"/>
      <c r="HD1254" s="113"/>
      <c r="HE1254" s="113"/>
      <c r="HF1254" s="113"/>
      <c r="HG1254" s="46">
        <v>0</v>
      </c>
      <c r="HH1254" s="113"/>
      <c r="HI1254" s="113"/>
      <c r="HJ1254" s="113"/>
      <c r="HK1254" s="113"/>
      <c r="HL1254" s="113"/>
      <c r="HM1254" s="121"/>
      <c r="HN1254" s="121"/>
      <c r="LM1254" t="str">
        <v/>
      </c>
      <c r="LN1254" t="str">
        <v/>
      </c>
      <c r="LO1254" t="str">
        <v/>
      </c>
    </row>
    <row r="1255" spans="30:327">
      <c r="AD1255" t="s">
        <v>18300</v>
      </c>
      <c r="AE1255" t="s">
        <v>23026</v>
      </c>
      <c r="AF1255" s="46">
        <v>0</v>
      </c>
      <c r="AG1255" s="113"/>
      <c r="AH1255" s="113"/>
      <c r="AI1255" s="113"/>
      <c r="AJ1255" s="113"/>
      <c r="AK1255" s="113"/>
      <c r="AL1255" s="46">
        <v>0</v>
      </c>
      <c r="AM1255" s="113"/>
      <c r="AN1255" s="113"/>
      <c r="AO1255" s="113"/>
      <c r="AP1255" s="113"/>
      <c r="AQ1255" s="113"/>
      <c r="AR1255" s="46">
        <v>0</v>
      </c>
      <c r="AS1255" s="113"/>
      <c r="AT1255" s="113"/>
      <c r="AU1255" s="113"/>
      <c r="AV1255" s="113"/>
      <c r="AW1255" s="113"/>
      <c r="AX1255" s="46">
        <v>0</v>
      </c>
      <c r="AY1255" s="113"/>
      <c r="AZ1255" s="113"/>
      <c r="BA1255" s="113"/>
      <c r="BB1255" s="113"/>
      <c r="BC1255" s="113"/>
      <c r="BD1255" s="46">
        <v>0</v>
      </c>
      <c r="BE1255" s="113"/>
      <c r="BF1255" s="113"/>
      <c r="BG1255" s="113"/>
      <c r="BH1255" s="113"/>
      <c r="BI1255" s="113"/>
      <c r="BJ1255" s="46">
        <v>0</v>
      </c>
      <c r="BK1255" s="113"/>
      <c r="BL1255" s="113"/>
      <c r="BM1255" s="113"/>
      <c r="BN1255" s="113"/>
      <c r="BO1255" s="113"/>
      <c r="BP1255" s="121"/>
      <c r="BQ1255" s="121"/>
      <c r="GA1255" t="s">
        <v>18300</v>
      </c>
      <c r="GB1255" t="s">
        <v>23026</v>
      </c>
      <c r="GC1255" s="46">
        <v>0</v>
      </c>
      <c r="GD1255" s="113"/>
      <c r="GE1255" s="113"/>
      <c r="GF1255" s="113"/>
      <c r="GG1255" s="113"/>
      <c r="GH1255" s="113"/>
      <c r="GI1255" s="46">
        <v>0</v>
      </c>
      <c r="GJ1255" s="113"/>
      <c r="GK1255" s="113"/>
      <c r="GL1255" s="113"/>
      <c r="GM1255" s="113"/>
      <c r="GN1255" s="113"/>
      <c r="GO1255" s="46">
        <v>0</v>
      </c>
      <c r="GP1255" s="113"/>
      <c r="GQ1255" s="113"/>
      <c r="GR1255" s="113"/>
      <c r="GS1255" s="113"/>
      <c r="GT1255" s="113"/>
      <c r="GU1255" s="46">
        <v>0</v>
      </c>
      <c r="GV1255" s="113"/>
      <c r="GW1255" s="113"/>
      <c r="GX1255" s="113"/>
      <c r="GY1255" s="113"/>
      <c r="GZ1255" s="113"/>
      <c r="HA1255" s="46">
        <v>0</v>
      </c>
      <c r="HB1255" s="113"/>
      <c r="HC1255" s="113"/>
      <c r="HD1255" s="113"/>
      <c r="HE1255" s="113"/>
      <c r="HF1255" s="113"/>
      <c r="HG1255" s="46">
        <v>0</v>
      </c>
      <c r="HH1255" s="113"/>
      <c r="HI1255" s="113"/>
      <c r="HJ1255" s="113"/>
      <c r="HK1255" s="113"/>
      <c r="HL1255" s="113"/>
      <c r="HM1255" s="121"/>
      <c r="HN1255" s="121"/>
      <c r="LM1255" t="str">
        <v/>
      </c>
      <c r="LN1255" t="str">
        <v/>
      </c>
      <c r="LO1255" t="str">
        <v/>
      </c>
    </row>
    <row r="1256" spans="30:327">
      <c r="AD1256" t="s">
        <v>18300</v>
      </c>
      <c r="AE1256" t="s">
        <v>23027</v>
      </c>
      <c r="AF1256" s="46">
        <v>0</v>
      </c>
      <c r="AG1256" s="113"/>
      <c r="AH1256" s="113"/>
      <c r="AI1256" s="113"/>
      <c r="AJ1256" s="113"/>
      <c r="AK1256" s="113"/>
      <c r="AL1256" s="46">
        <v>0</v>
      </c>
      <c r="AM1256" s="113"/>
      <c r="AN1256" s="113"/>
      <c r="AO1256" s="113"/>
      <c r="AP1256" s="113"/>
      <c r="AQ1256" s="113"/>
      <c r="AR1256" s="46">
        <v>0</v>
      </c>
      <c r="AS1256" s="113"/>
      <c r="AT1256" s="113"/>
      <c r="AU1256" s="113"/>
      <c r="AV1256" s="113"/>
      <c r="AW1256" s="113"/>
      <c r="AX1256" s="46">
        <v>0</v>
      </c>
      <c r="AY1256" s="113"/>
      <c r="AZ1256" s="113"/>
      <c r="BA1256" s="113"/>
      <c r="BB1256" s="113"/>
      <c r="BC1256" s="113"/>
      <c r="BD1256" s="46">
        <v>0</v>
      </c>
      <c r="BE1256" s="113"/>
      <c r="BF1256" s="113"/>
      <c r="BG1256" s="113"/>
      <c r="BH1256" s="113"/>
      <c r="BI1256" s="113"/>
      <c r="BJ1256" s="46">
        <v>0</v>
      </c>
      <c r="BK1256" s="113"/>
      <c r="BL1256" s="113"/>
      <c r="BM1256" s="113"/>
      <c r="BN1256" s="113"/>
      <c r="BO1256" s="113"/>
      <c r="BP1256" s="121"/>
      <c r="BQ1256" s="121"/>
      <c r="GA1256" t="s">
        <v>18300</v>
      </c>
      <c r="GB1256" t="s">
        <v>23027</v>
      </c>
      <c r="GC1256" s="46">
        <v>0</v>
      </c>
      <c r="GD1256" s="113"/>
      <c r="GE1256" s="113"/>
      <c r="GF1256" s="113"/>
      <c r="GG1256" s="113"/>
      <c r="GH1256" s="113"/>
      <c r="GI1256" s="46">
        <v>0</v>
      </c>
      <c r="GJ1256" s="113"/>
      <c r="GK1256" s="113"/>
      <c r="GL1256" s="113"/>
      <c r="GM1256" s="113"/>
      <c r="GN1256" s="113"/>
      <c r="GO1256" s="46">
        <v>0</v>
      </c>
      <c r="GP1256" s="113"/>
      <c r="GQ1256" s="113"/>
      <c r="GR1256" s="113"/>
      <c r="GS1256" s="113"/>
      <c r="GT1256" s="113"/>
      <c r="GU1256" s="46">
        <v>0</v>
      </c>
      <c r="GV1256" s="113"/>
      <c r="GW1256" s="113"/>
      <c r="GX1256" s="113"/>
      <c r="GY1256" s="113"/>
      <c r="GZ1256" s="113"/>
      <c r="HA1256" s="46">
        <v>0</v>
      </c>
      <c r="HB1256" s="113"/>
      <c r="HC1256" s="113"/>
      <c r="HD1256" s="113"/>
      <c r="HE1256" s="113"/>
      <c r="HF1256" s="113"/>
      <c r="HG1256" s="46">
        <v>0</v>
      </c>
      <c r="HH1256" s="113"/>
      <c r="HI1256" s="113"/>
      <c r="HJ1256" s="113"/>
      <c r="HK1256" s="113"/>
      <c r="HL1256" s="113"/>
      <c r="HM1256" s="121"/>
      <c r="HN1256" s="121"/>
      <c r="LM1256" t="str">
        <v/>
      </c>
      <c r="LN1256" t="str">
        <v/>
      </c>
      <c r="LO1256" t="str">
        <v/>
      </c>
    </row>
    <row r="1257" spans="30:327">
      <c r="AD1257" t="s">
        <v>18300</v>
      </c>
      <c r="AE1257" t="s">
        <v>23028</v>
      </c>
      <c r="AF1257" s="46">
        <v>0</v>
      </c>
      <c r="AG1257" s="113"/>
      <c r="AH1257" s="113"/>
      <c r="AI1257" s="113"/>
      <c r="AJ1257" s="113"/>
      <c r="AK1257" s="113"/>
      <c r="AL1257" s="46">
        <v>0</v>
      </c>
      <c r="AM1257" s="113"/>
      <c r="AN1257" s="113"/>
      <c r="AO1257" s="113"/>
      <c r="AP1257" s="113"/>
      <c r="AQ1257" s="113"/>
      <c r="AR1257" s="46">
        <v>0</v>
      </c>
      <c r="AS1257" s="113"/>
      <c r="AT1257" s="113"/>
      <c r="AU1257" s="113"/>
      <c r="AV1257" s="113"/>
      <c r="AW1257" s="113"/>
      <c r="AX1257" s="46">
        <v>0</v>
      </c>
      <c r="AY1257" s="113"/>
      <c r="AZ1257" s="113"/>
      <c r="BA1257" s="113"/>
      <c r="BB1257" s="113"/>
      <c r="BC1257" s="113"/>
      <c r="BD1257" s="46">
        <v>0</v>
      </c>
      <c r="BE1257" s="113"/>
      <c r="BF1257" s="113"/>
      <c r="BG1257" s="113"/>
      <c r="BH1257" s="113"/>
      <c r="BI1257" s="113"/>
      <c r="BJ1257" s="46">
        <v>0</v>
      </c>
      <c r="BK1257" s="113"/>
      <c r="BL1257" s="113"/>
      <c r="BM1257" s="113"/>
      <c r="BN1257" s="113"/>
      <c r="BO1257" s="113"/>
      <c r="BP1257" s="121"/>
      <c r="BQ1257" s="121"/>
      <c r="GA1257" t="s">
        <v>18300</v>
      </c>
      <c r="GB1257" t="s">
        <v>23028</v>
      </c>
      <c r="GC1257" s="46">
        <v>0</v>
      </c>
      <c r="GD1257" s="113"/>
      <c r="GE1257" s="113"/>
      <c r="GF1257" s="113"/>
      <c r="GG1257" s="113"/>
      <c r="GH1257" s="113"/>
      <c r="GI1257" s="46">
        <v>0</v>
      </c>
      <c r="GJ1257" s="113"/>
      <c r="GK1257" s="113"/>
      <c r="GL1257" s="113"/>
      <c r="GM1257" s="113"/>
      <c r="GN1257" s="113"/>
      <c r="GO1257" s="46">
        <v>0</v>
      </c>
      <c r="GP1257" s="113"/>
      <c r="GQ1257" s="113"/>
      <c r="GR1257" s="113"/>
      <c r="GS1257" s="113"/>
      <c r="GT1257" s="113"/>
      <c r="GU1257" s="46">
        <v>0</v>
      </c>
      <c r="GV1257" s="113"/>
      <c r="GW1257" s="113"/>
      <c r="GX1257" s="113"/>
      <c r="GY1257" s="113"/>
      <c r="GZ1257" s="113"/>
      <c r="HA1257" s="46">
        <v>0</v>
      </c>
      <c r="HB1257" s="113"/>
      <c r="HC1257" s="113"/>
      <c r="HD1257" s="113"/>
      <c r="HE1257" s="113"/>
      <c r="HF1257" s="113"/>
      <c r="HG1257" s="46">
        <v>0</v>
      </c>
      <c r="HH1257" s="113"/>
      <c r="HI1257" s="113"/>
      <c r="HJ1257" s="113"/>
      <c r="HK1257" s="113"/>
      <c r="HL1257" s="113"/>
      <c r="HM1257" s="121"/>
      <c r="HN1257" s="121"/>
      <c r="LM1257" t="str">
        <v/>
      </c>
      <c r="LN1257" t="str">
        <v/>
      </c>
      <c r="LO1257" t="str">
        <v/>
      </c>
    </row>
    <row r="1258" spans="30:327">
      <c r="AD1258" t="s">
        <v>18300</v>
      </c>
      <c r="AE1258" t="s">
        <v>23029</v>
      </c>
      <c r="AF1258" s="46">
        <v>0</v>
      </c>
      <c r="AG1258" s="113"/>
      <c r="AH1258" s="113"/>
      <c r="AI1258" s="113"/>
      <c r="AJ1258" s="113"/>
      <c r="AK1258" s="113"/>
      <c r="AL1258" s="46">
        <v>0</v>
      </c>
      <c r="AM1258" s="113"/>
      <c r="AN1258" s="113"/>
      <c r="AO1258" s="113"/>
      <c r="AP1258" s="113"/>
      <c r="AQ1258" s="113"/>
      <c r="AR1258" s="46">
        <v>0</v>
      </c>
      <c r="AS1258" s="113"/>
      <c r="AT1258" s="113"/>
      <c r="AU1258" s="113"/>
      <c r="AV1258" s="113"/>
      <c r="AW1258" s="113"/>
      <c r="AX1258" s="46">
        <v>0</v>
      </c>
      <c r="AY1258" s="113"/>
      <c r="AZ1258" s="113"/>
      <c r="BA1258" s="113"/>
      <c r="BB1258" s="113"/>
      <c r="BC1258" s="113"/>
      <c r="BD1258" s="46">
        <v>0</v>
      </c>
      <c r="BE1258" s="113"/>
      <c r="BF1258" s="113"/>
      <c r="BG1258" s="113"/>
      <c r="BH1258" s="113"/>
      <c r="BI1258" s="113"/>
      <c r="BJ1258" s="46">
        <v>0</v>
      </c>
      <c r="BK1258" s="113"/>
      <c r="BL1258" s="113"/>
      <c r="BM1258" s="113"/>
      <c r="BN1258" s="113"/>
      <c r="BO1258" s="113"/>
      <c r="BP1258" s="121"/>
      <c r="BQ1258" s="121"/>
      <c r="GA1258" t="s">
        <v>18300</v>
      </c>
      <c r="GB1258" t="s">
        <v>23029</v>
      </c>
      <c r="GC1258" s="46">
        <v>0</v>
      </c>
      <c r="GD1258" s="113"/>
      <c r="GE1258" s="113"/>
      <c r="GF1258" s="113"/>
      <c r="GG1258" s="113"/>
      <c r="GH1258" s="113"/>
      <c r="GI1258" s="46">
        <v>0</v>
      </c>
      <c r="GJ1258" s="113"/>
      <c r="GK1258" s="113"/>
      <c r="GL1258" s="113"/>
      <c r="GM1258" s="113"/>
      <c r="GN1258" s="113"/>
      <c r="GO1258" s="46">
        <v>0</v>
      </c>
      <c r="GP1258" s="113"/>
      <c r="GQ1258" s="113"/>
      <c r="GR1258" s="113"/>
      <c r="GS1258" s="113"/>
      <c r="GT1258" s="113"/>
      <c r="GU1258" s="46">
        <v>0</v>
      </c>
      <c r="GV1258" s="113"/>
      <c r="GW1258" s="113"/>
      <c r="GX1258" s="113"/>
      <c r="GY1258" s="113"/>
      <c r="GZ1258" s="113"/>
      <c r="HA1258" s="46">
        <v>0</v>
      </c>
      <c r="HB1258" s="113"/>
      <c r="HC1258" s="113"/>
      <c r="HD1258" s="113"/>
      <c r="HE1258" s="113"/>
      <c r="HF1258" s="113"/>
      <c r="HG1258" s="46">
        <v>0</v>
      </c>
      <c r="HH1258" s="113"/>
      <c r="HI1258" s="113"/>
      <c r="HJ1258" s="113"/>
      <c r="HK1258" s="113"/>
      <c r="HL1258" s="113"/>
      <c r="HM1258" s="121"/>
      <c r="HN1258" s="121"/>
      <c r="LM1258" t="str">
        <v/>
      </c>
      <c r="LN1258" t="str">
        <v/>
      </c>
      <c r="LO1258" t="str">
        <v/>
      </c>
    </row>
    <row r="1259" spans="30:327">
      <c r="AD1259" t="s">
        <v>18300</v>
      </c>
      <c r="AE1259" t="s">
        <v>23030</v>
      </c>
      <c r="AF1259" s="46">
        <v>0</v>
      </c>
      <c r="AG1259" s="113"/>
      <c r="AH1259" s="113"/>
      <c r="AI1259" s="113"/>
      <c r="AJ1259" s="113"/>
      <c r="AK1259" s="113"/>
      <c r="AL1259" s="46">
        <v>0</v>
      </c>
      <c r="AM1259" s="113"/>
      <c r="AN1259" s="113"/>
      <c r="AO1259" s="113"/>
      <c r="AP1259" s="113"/>
      <c r="AQ1259" s="113"/>
      <c r="AR1259" s="46">
        <v>0</v>
      </c>
      <c r="AS1259" s="113"/>
      <c r="AT1259" s="113"/>
      <c r="AU1259" s="113"/>
      <c r="AV1259" s="113"/>
      <c r="AW1259" s="113"/>
      <c r="AX1259" s="46">
        <v>0</v>
      </c>
      <c r="AY1259" s="113"/>
      <c r="AZ1259" s="113"/>
      <c r="BA1259" s="113"/>
      <c r="BB1259" s="113"/>
      <c r="BC1259" s="113"/>
      <c r="BD1259" s="46">
        <v>0</v>
      </c>
      <c r="BE1259" s="113"/>
      <c r="BF1259" s="113"/>
      <c r="BG1259" s="113"/>
      <c r="BH1259" s="113"/>
      <c r="BI1259" s="113"/>
      <c r="BJ1259" s="46">
        <v>0</v>
      </c>
      <c r="BK1259" s="113"/>
      <c r="BL1259" s="113"/>
      <c r="BM1259" s="113"/>
      <c r="BN1259" s="113"/>
      <c r="BO1259" s="113"/>
      <c r="BP1259" s="121"/>
      <c r="BQ1259" s="121"/>
      <c r="GA1259" t="s">
        <v>18300</v>
      </c>
      <c r="GB1259" t="s">
        <v>23030</v>
      </c>
      <c r="GC1259" s="46">
        <v>0</v>
      </c>
      <c r="GD1259" s="113"/>
      <c r="GE1259" s="113"/>
      <c r="GF1259" s="113"/>
      <c r="GG1259" s="113"/>
      <c r="GH1259" s="113"/>
      <c r="GI1259" s="46">
        <v>0</v>
      </c>
      <c r="GJ1259" s="113"/>
      <c r="GK1259" s="113"/>
      <c r="GL1259" s="113"/>
      <c r="GM1259" s="113"/>
      <c r="GN1259" s="113"/>
      <c r="GO1259" s="46">
        <v>0</v>
      </c>
      <c r="GP1259" s="113"/>
      <c r="GQ1259" s="113"/>
      <c r="GR1259" s="113"/>
      <c r="GS1259" s="113"/>
      <c r="GT1259" s="113"/>
      <c r="GU1259" s="46">
        <v>0</v>
      </c>
      <c r="GV1259" s="113"/>
      <c r="GW1259" s="113"/>
      <c r="GX1259" s="113"/>
      <c r="GY1259" s="113"/>
      <c r="GZ1259" s="113"/>
      <c r="HA1259" s="46">
        <v>0</v>
      </c>
      <c r="HB1259" s="113"/>
      <c r="HC1259" s="113"/>
      <c r="HD1259" s="113"/>
      <c r="HE1259" s="113"/>
      <c r="HF1259" s="113"/>
      <c r="HG1259" s="46">
        <v>0</v>
      </c>
      <c r="HH1259" s="113"/>
      <c r="HI1259" s="113"/>
      <c r="HJ1259" s="113"/>
      <c r="HK1259" s="113"/>
      <c r="HL1259" s="113"/>
      <c r="HM1259" s="121"/>
      <c r="HN1259" s="121"/>
      <c r="LM1259" t="str">
        <v/>
      </c>
      <c r="LN1259" t="str">
        <v/>
      </c>
      <c r="LO1259" t="str">
        <v/>
      </c>
    </row>
    <row r="1260" spans="30:327">
      <c r="AD1260" t="s">
        <v>18300</v>
      </c>
      <c r="AE1260" t="s">
        <v>23031</v>
      </c>
      <c r="AF1260" s="46">
        <v>0</v>
      </c>
      <c r="AG1260" s="113"/>
      <c r="AH1260" s="113"/>
      <c r="AI1260" s="113"/>
      <c r="AJ1260" s="113"/>
      <c r="AK1260" s="113"/>
      <c r="AL1260" s="46">
        <v>0</v>
      </c>
      <c r="AM1260" s="113"/>
      <c r="AN1260" s="113"/>
      <c r="AO1260" s="113"/>
      <c r="AP1260" s="113"/>
      <c r="AQ1260" s="113"/>
      <c r="AR1260" s="46">
        <v>0</v>
      </c>
      <c r="AS1260" s="113"/>
      <c r="AT1260" s="113"/>
      <c r="AU1260" s="113"/>
      <c r="AV1260" s="113"/>
      <c r="AW1260" s="113"/>
      <c r="AX1260" s="46">
        <v>0</v>
      </c>
      <c r="AY1260" s="113"/>
      <c r="AZ1260" s="113"/>
      <c r="BA1260" s="113"/>
      <c r="BB1260" s="113"/>
      <c r="BC1260" s="113"/>
      <c r="BD1260" s="46">
        <v>0</v>
      </c>
      <c r="BE1260" s="113"/>
      <c r="BF1260" s="113"/>
      <c r="BG1260" s="113"/>
      <c r="BH1260" s="113"/>
      <c r="BI1260" s="113"/>
      <c r="BJ1260" s="46">
        <v>0</v>
      </c>
      <c r="BK1260" s="113"/>
      <c r="BL1260" s="113"/>
      <c r="BM1260" s="113"/>
      <c r="BN1260" s="113"/>
      <c r="BO1260" s="113"/>
      <c r="BP1260" s="121"/>
      <c r="BQ1260" s="121"/>
      <c r="GA1260" t="s">
        <v>18300</v>
      </c>
      <c r="GB1260" t="s">
        <v>23031</v>
      </c>
      <c r="GC1260" s="46">
        <v>0</v>
      </c>
      <c r="GD1260" s="113"/>
      <c r="GE1260" s="113"/>
      <c r="GF1260" s="113"/>
      <c r="GG1260" s="113"/>
      <c r="GH1260" s="113"/>
      <c r="GI1260" s="46">
        <v>0</v>
      </c>
      <c r="GJ1260" s="113"/>
      <c r="GK1260" s="113"/>
      <c r="GL1260" s="113"/>
      <c r="GM1260" s="113"/>
      <c r="GN1260" s="113"/>
      <c r="GO1260" s="46">
        <v>0</v>
      </c>
      <c r="GP1260" s="113"/>
      <c r="GQ1260" s="113"/>
      <c r="GR1260" s="113"/>
      <c r="GS1260" s="113"/>
      <c r="GT1260" s="113"/>
      <c r="GU1260" s="46">
        <v>0</v>
      </c>
      <c r="GV1260" s="113"/>
      <c r="GW1260" s="113"/>
      <c r="GX1260" s="113"/>
      <c r="GY1260" s="113"/>
      <c r="GZ1260" s="113"/>
      <c r="HA1260" s="46">
        <v>0</v>
      </c>
      <c r="HB1260" s="113"/>
      <c r="HC1260" s="113"/>
      <c r="HD1260" s="113"/>
      <c r="HE1260" s="113"/>
      <c r="HF1260" s="113"/>
      <c r="HG1260" s="46">
        <v>0</v>
      </c>
      <c r="HH1260" s="113"/>
      <c r="HI1260" s="113"/>
      <c r="HJ1260" s="113"/>
      <c r="HK1260" s="113"/>
      <c r="HL1260" s="113"/>
      <c r="HM1260" s="121"/>
      <c r="HN1260" s="121"/>
      <c r="LM1260" t="str">
        <v/>
      </c>
      <c r="LN1260" t="str">
        <v/>
      </c>
      <c r="LO1260" t="str">
        <v/>
      </c>
    </row>
    <row r="1261" spans="30:327">
      <c r="AD1261" t="s">
        <v>18300</v>
      </c>
      <c r="AE1261" t="s">
        <v>23032</v>
      </c>
      <c r="AF1261" s="46">
        <v>0</v>
      </c>
      <c r="AG1261" s="113"/>
      <c r="AH1261" s="113"/>
      <c r="AI1261" s="113"/>
      <c r="AJ1261" s="113"/>
      <c r="AK1261" s="113"/>
      <c r="AL1261" s="46">
        <v>0</v>
      </c>
      <c r="AM1261" s="113"/>
      <c r="AN1261" s="113"/>
      <c r="AO1261" s="113"/>
      <c r="AP1261" s="113"/>
      <c r="AQ1261" s="113"/>
      <c r="AR1261" s="46">
        <v>0</v>
      </c>
      <c r="AS1261" s="113"/>
      <c r="AT1261" s="113"/>
      <c r="AU1261" s="113"/>
      <c r="AV1261" s="113"/>
      <c r="AW1261" s="113"/>
      <c r="AX1261" s="46">
        <v>0</v>
      </c>
      <c r="AY1261" s="113"/>
      <c r="AZ1261" s="113"/>
      <c r="BA1261" s="113"/>
      <c r="BB1261" s="113"/>
      <c r="BC1261" s="113"/>
      <c r="BD1261" s="46">
        <v>0</v>
      </c>
      <c r="BE1261" s="113"/>
      <c r="BF1261" s="113"/>
      <c r="BG1261" s="113"/>
      <c r="BH1261" s="113"/>
      <c r="BI1261" s="113"/>
      <c r="BJ1261" s="46">
        <v>0</v>
      </c>
      <c r="BK1261" s="113"/>
      <c r="BL1261" s="113"/>
      <c r="BM1261" s="113"/>
      <c r="BN1261" s="113"/>
      <c r="BO1261" s="113"/>
      <c r="BP1261" s="121"/>
      <c r="BQ1261" s="121"/>
      <c r="GA1261" t="s">
        <v>18300</v>
      </c>
      <c r="GB1261" t="s">
        <v>23032</v>
      </c>
      <c r="GC1261" s="46">
        <v>0</v>
      </c>
      <c r="GD1261" s="113"/>
      <c r="GE1261" s="113"/>
      <c r="GF1261" s="113"/>
      <c r="GG1261" s="113"/>
      <c r="GH1261" s="113"/>
      <c r="GI1261" s="46">
        <v>0</v>
      </c>
      <c r="GJ1261" s="113"/>
      <c r="GK1261" s="113"/>
      <c r="GL1261" s="113"/>
      <c r="GM1261" s="113"/>
      <c r="GN1261" s="113"/>
      <c r="GO1261" s="46">
        <v>0</v>
      </c>
      <c r="GP1261" s="113"/>
      <c r="GQ1261" s="113"/>
      <c r="GR1261" s="113"/>
      <c r="GS1261" s="113"/>
      <c r="GT1261" s="113"/>
      <c r="GU1261" s="46">
        <v>0</v>
      </c>
      <c r="GV1261" s="113"/>
      <c r="GW1261" s="113"/>
      <c r="GX1261" s="113"/>
      <c r="GY1261" s="113"/>
      <c r="GZ1261" s="113"/>
      <c r="HA1261" s="46">
        <v>0</v>
      </c>
      <c r="HB1261" s="113"/>
      <c r="HC1261" s="113"/>
      <c r="HD1261" s="113"/>
      <c r="HE1261" s="113"/>
      <c r="HF1261" s="113"/>
      <c r="HG1261" s="46">
        <v>0</v>
      </c>
      <c r="HH1261" s="113"/>
      <c r="HI1261" s="113"/>
      <c r="HJ1261" s="113"/>
      <c r="HK1261" s="113"/>
      <c r="HL1261" s="113"/>
      <c r="HM1261" s="121"/>
      <c r="HN1261" s="121"/>
      <c r="LM1261" t="str">
        <v/>
      </c>
      <c r="LN1261" t="str">
        <v/>
      </c>
      <c r="LO1261" t="str">
        <v/>
      </c>
    </row>
    <row r="1262" spans="30:327">
      <c r="AD1262" t="s">
        <v>18300</v>
      </c>
      <c r="AE1262" t="s">
        <v>23033</v>
      </c>
      <c r="AF1262" s="46">
        <v>0</v>
      </c>
      <c r="AG1262" s="113"/>
      <c r="AH1262" s="113"/>
      <c r="AI1262" s="113"/>
      <c r="AJ1262" s="113"/>
      <c r="AK1262" s="113"/>
      <c r="AL1262" s="46">
        <v>0</v>
      </c>
      <c r="AM1262" s="113"/>
      <c r="AN1262" s="113"/>
      <c r="AO1262" s="113"/>
      <c r="AP1262" s="113"/>
      <c r="AQ1262" s="113"/>
      <c r="AR1262" s="46">
        <v>0</v>
      </c>
      <c r="AS1262" s="113"/>
      <c r="AT1262" s="113"/>
      <c r="AU1262" s="113"/>
      <c r="AV1262" s="113"/>
      <c r="AW1262" s="113"/>
      <c r="AX1262" s="46">
        <v>0</v>
      </c>
      <c r="AY1262" s="113"/>
      <c r="AZ1262" s="113"/>
      <c r="BA1262" s="113"/>
      <c r="BB1262" s="113"/>
      <c r="BC1262" s="113"/>
      <c r="BD1262" s="46">
        <v>0</v>
      </c>
      <c r="BE1262" s="113"/>
      <c r="BF1262" s="113"/>
      <c r="BG1262" s="113"/>
      <c r="BH1262" s="113"/>
      <c r="BI1262" s="113"/>
      <c r="BJ1262" s="46">
        <v>0</v>
      </c>
      <c r="BK1262" s="113"/>
      <c r="BL1262" s="113"/>
      <c r="BM1262" s="113"/>
      <c r="BN1262" s="113"/>
      <c r="BO1262" s="113"/>
      <c r="BP1262" s="121"/>
      <c r="BQ1262" s="121"/>
      <c r="GA1262" t="s">
        <v>18300</v>
      </c>
      <c r="GB1262" t="s">
        <v>23033</v>
      </c>
      <c r="GC1262" s="46">
        <v>0</v>
      </c>
      <c r="GD1262" s="113"/>
      <c r="GE1262" s="113"/>
      <c r="GF1262" s="113"/>
      <c r="GG1262" s="113"/>
      <c r="GH1262" s="113"/>
      <c r="GI1262" s="46">
        <v>0</v>
      </c>
      <c r="GJ1262" s="113"/>
      <c r="GK1262" s="113"/>
      <c r="GL1262" s="113"/>
      <c r="GM1262" s="113"/>
      <c r="GN1262" s="113"/>
      <c r="GO1262" s="46">
        <v>0</v>
      </c>
      <c r="GP1262" s="113"/>
      <c r="GQ1262" s="113"/>
      <c r="GR1262" s="113"/>
      <c r="GS1262" s="113"/>
      <c r="GT1262" s="113"/>
      <c r="GU1262" s="46">
        <v>0</v>
      </c>
      <c r="GV1262" s="113"/>
      <c r="GW1262" s="113"/>
      <c r="GX1262" s="113"/>
      <c r="GY1262" s="113"/>
      <c r="GZ1262" s="113"/>
      <c r="HA1262" s="46">
        <v>0</v>
      </c>
      <c r="HB1262" s="113"/>
      <c r="HC1262" s="113"/>
      <c r="HD1262" s="113"/>
      <c r="HE1262" s="113"/>
      <c r="HF1262" s="113"/>
      <c r="HG1262" s="46">
        <v>0</v>
      </c>
      <c r="HH1262" s="113"/>
      <c r="HI1262" s="113"/>
      <c r="HJ1262" s="113"/>
      <c r="HK1262" s="113"/>
      <c r="HL1262" s="113"/>
      <c r="HM1262" s="121"/>
      <c r="HN1262" s="121"/>
      <c r="LM1262" t="str">
        <v/>
      </c>
      <c r="LN1262" t="str">
        <v/>
      </c>
      <c r="LO1262" t="str">
        <v/>
      </c>
    </row>
    <row r="1263" spans="30:327">
      <c r="AD1263" t="s">
        <v>18300</v>
      </c>
      <c r="AE1263" t="s">
        <v>23034</v>
      </c>
      <c r="AF1263" s="46">
        <v>0</v>
      </c>
      <c r="AG1263" s="113"/>
      <c r="AH1263" s="113"/>
      <c r="AI1263" s="113"/>
      <c r="AJ1263" s="113"/>
      <c r="AK1263" s="113"/>
      <c r="AL1263" s="46">
        <v>0</v>
      </c>
      <c r="AM1263" s="113"/>
      <c r="AN1263" s="113"/>
      <c r="AO1263" s="113"/>
      <c r="AP1263" s="113"/>
      <c r="AQ1263" s="113"/>
      <c r="AR1263" s="46">
        <v>0</v>
      </c>
      <c r="AS1263" s="113"/>
      <c r="AT1263" s="113"/>
      <c r="AU1263" s="113"/>
      <c r="AV1263" s="113"/>
      <c r="AW1263" s="113"/>
      <c r="AX1263" s="46">
        <v>0</v>
      </c>
      <c r="AY1263" s="113"/>
      <c r="AZ1263" s="113"/>
      <c r="BA1263" s="113"/>
      <c r="BB1263" s="113"/>
      <c r="BC1263" s="113"/>
      <c r="BD1263" s="46">
        <v>0</v>
      </c>
      <c r="BE1263" s="113"/>
      <c r="BF1263" s="113"/>
      <c r="BG1263" s="113"/>
      <c r="BH1263" s="113"/>
      <c r="BI1263" s="113"/>
      <c r="BJ1263" s="46">
        <v>0</v>
      </c>
      <c r="BK1263" s="113"/>
      <c r="BL1263" s="113"/>
      <c r="BM1263" s="113"/>
      <c r="BN1263" s="113"/>
      <c r="BO1263" s="113"/>
      <c r="BP1263" s="121"/>
      <c r="BQ1263" s="121"/>
      <c r="GA1263" t="s">
        <v>18300</v>
      </c>
      <c r="GB1263" t="s">
        <v>23034</v>
      </c>
      <c r="GC1263" s="46">
        <v>0</v>
      </c>
      <c r="GD1263" s="113"/>
      <c r="GE1263" s="113"/>
      <c r="GF1263" s="113"/>
      <c r="GG1263" s="113"/>
      <c r="GH1263" s="113"/>
      <c r="GI1263" s="46">
        <v>0</v>
      </c>
      <c r="GJ1263" s="113"/>
      <c r="GK1263" s="113"/>
      <c r="GL1263" s="113"/>
      <c r="GM1263" s="113"/>
      <c r="GN1263" s="113"/>
      <c r="GO1263" s="46">
        <v>0</v>
      </c>
      <c r="GP1263" s="113"/>
      <c r="GQ1263" s="113"/>
      <c r="GR1263" s="113"/>
      <c r="GS1263" s="113"/>
      <c r="GT1263" s="113"/>
      <c r="GU1263" s="46">
        <v>0</v>
      </c>
      <c r="GV1263" s="113"/>
      <c r="GW1263" s="113"/>
      <c r="GX1263" s="113"/>
      <c r="GY1263" s="113"/>
      <c r="GZ1263" s="113"/>
      <c r="HA1263" s="46">
        <v>0</v>
      </c>
      <c r="HB1263" s="113"/>
      <c r="HC1263" s="113"/>
      <c r="HD1263" s="113"/>
      <c r="HE1263" s="113"/>
      <c r="HF1263" s="113"/>
      <c r="HG1263" s="46">
        <v>0</v>
      </c>
      <c r="HH1263" s="113"/>
      <c r="HI1263" s="113"/>
      <c r="HJ1263" s="113"/>
      <c r="HK1263" s="113"/>
      <c r="HL1263" s="113"/>
      <c r="HM1263" s="121"/>
      <c r="HN1263" s="121"/>
      <c r="LM1263" t="str">
        <v/>
      </c>
      <c r="LN1263" t="str">
        <v/>
      </c>
      <c r="LO1263" t="str">
        <v/>
      </c>
    </row>
    <row r="1264" spans="30:327">
      <c r="AD1264" t="s">
        <v>18300</v>
      </c>
      <c r="AE1264" t="s">
        <v>23035</v>
      </c>
      <c r="AF1264" s="46">
        <v>0</v>
      </c>
      <c r="AG1264" s="113"/>
      <c r="AH1264" s="113"/>
      <c r="AI1264" s="113"/>
      <c r="AJ1264" s="113"/>
      <c r="AK1264" s="113"/>
      <c r="AL1264" s="46">
        <v>0</v>
      </c>
      <c r="AM1264" s="113"/>
      <c r="AN1264" s="113"/>
      <c r="AO1264" s="113"/>
      <c r="AP1264" s="113"/>
      <c r="AQ1264" s="113"/>
      <c r="AR1264" s="46">
        <v>0</v>
      </c>
      <c r="AS1264" s="113"/>
      <c r="AT1264" s="113"/>
      <c r="AU1264" s="113"/>
      <c r="AV1264" s="113"/>
      <c r="AW1264" s="113"/>
      <c r="AX1264" s="46">
        <v>0</v>
      </c>
      <c r="AY1264" s="113"/>
      <c r="AZ1264" s="113"/>
      <c r="BA1264" s="113"/>
      <c r="BB1264" s="113"/>
      <c r="BC1264" s="113"/>
      <c r="BD1264" s="46">
        <v>0</v>
      </c>
      <c r="BE1264" s="113"/>
      <c r="BF1264" s="113"/>
      <c r="BG1264" s="113"/>
      <c r="BH1264" s="113"/>
      <c r="BI1264" s="113"/>
      <c r="BJ1264" s="46">
        <v>0</v>
      </c>
      <c r="BK1264" s="113"/>
      <c r="BL1264" s="113"/>
      <c r="BM1264" s="113"/>
      <c r="BN1264" s="113"/>
      <c r="BO1264" s="113"/>
      <c r="BP1264" s="121"/>
      <c r="BQ1264" s="121"/>
      <c r="GA1264" t="s">
        <v>18300</v>
      </c>
      <c r="GB1264" t="s">
        <v>23035</v>
      </c>
      <c r="GC1264" s="46">
        <v>0</v>
      </c>
      <c r="GD1264" s="113"/>
      <c r="GE1264" s="113"/>
      <c r="GF1264" s="113"/>
      <c r="GG1264" s="113"/>
      <c r="GH1264" s="113"/>
      <c r="GI1264" s="46">
        <v>0</v>
      </c>
      <c r="GJ1264" s="113"/>
      <c r="GK1264" s="113"/>
      <c r="GL1264" s="113"/>
      <c r="GM1264" s="113"/>
      <c r="GN1264" s="113"/>
      <c r="GO1264" s="46">
        <v>0</v>
      </c>
      <c r="GP1264" s="113"/>
      <c r="GQ1264" s="113"/>
      <c r="GR1264" s="113"/>
      <c r="GS1264" s="113"/>
      <c r="GT1264" s="113"/>
      <c r="GU1264" s="46">
        <v>0</v>
      </c>
      <c r="GV1264" s="113"/>
      <c r="GW1264" s="113"/>
      <c r="GX1264" s="113"/>
      <c r="GY1264" s="113"/>
      <c r="GZ1264" s="113"/>
      <c r="HA1264" s="46">
        <v>0</v>
      </c>
      <c r="HB1264" s="113"/>
      <c r="HC1264" s="113"/>
      <c r="HD1264" s="113"/>
      <c r="HE1264" s="113"/>
      <c r="HF1264" s="113"/>
      <c r="HG1264" s="46">
        <v>0</v>
      </c>
      <c r="HH1264" s="113"/>
      <c r="HI1264" s="113"/>
      <c r="HJ1264" s="113"/>
      <c r="HK1264" s="113"/>
      <c r="HL1264" s="113"/>
      <c r="HM1264" s="121"/>
      <c r="HN1264" s="121"/>
      <c r="LM1264" t="str">
        <v/>
      </c>
      <c r="LN1264" t="str">
        <v/>
      </c>
      <c r="LO1264" t="str">
        <v/>
      </c>
    </row>
    <row r="1265" spans="30:327">
      <c r="AD1265" t="s">
        <v>18300</v>
      </c>
      <c r="AE1265" t="s">
        <v>23036</v>
      </c>
      <c r="AF1265" s="46">
        <v>0</v>
      </c>
      <c r="AG1265" s="113"/>
      <c r="AH1265" s="113"/>
      <c r="AI1265" s="113"/>
      <c r="AJ1265" s="113"/>
      <c r="AK1265" s="113"/>
      <c r="AL1265" s="46">
        <v>0</v>
      </c>
      <c r="AM1265" s="113"/>
      <c r="AN1265" s="113"/>
      <c r="AO1265" s="113"/>
      <c r="AP1265" s="113"/>
      <c r="AQ1265" s="113"/>
      <c r="AR1265" s="46">
        <v>0</v>
      </c>
      <c r="AS1265" s="113"/>
      <c r="AT1265" s="113"/>
      <c r="AU1265" s="113"/>
      <c r="AV1265" s="113"/>
      <c r="AW1265" s="113"/>
      <c r="AX1265" s="46">
        <v>0</v>
      </c>
      <c r="AY1265" s="113"/>
      <c r="AZ1265" s="113"/>
      <c r="BA1265" s="113"/>
      <c r="BB1265" s="113"/>
      <c r="BC1265" s="113"/>
      <c r="BD1265" s="46">
        <v>0</v>
      </c>
      <c r="BE1265" s="113"/>
      <c r="BF1265" s="113"/>
      <c r="BG1265" s="113"/>
      <c r="BH1265" s="113"/>
      <c r="BI1265" s="113"/>
      <c r="BJ1265" s="46">
        <v>0</v>
      </c>
      <c r="BK1265" s="113"/>
      <c r="BL1265" s="113"/>
      <c r="BM1265" s="113"/>
      <c r="BN1265" s="113"/>
      <c r="BO1265" s="113"/>
      <c r="BP1265" s="121"/>
      <c r="BQ1265" s="121"/>
      <c r="GA1265" t="s">
        <v>18300</v>
      </c>
      <c r="GB1265" t="s">
        <v>23036</v>
      </c>
      <c r="GC1265" s="46">
        <v>0</v>
      </c>
      <c r="GD1265" s="113"/>
      <c r="GE1265" s="113"/>
      <c r="GF1265" s="113"/>
      <c r="GG1265" s="113"/>
      <c r="GH1265" s="113"/>
      <c r="GI1265" s="46">
        <v>0</v>
      </c>
      <c r="GJ1265" s="113"/>
      <c r="GK1265" s="113"/>
      <c r="GL1265" s="113"/>
      <c r="GM1265" s="113"/>
      <c r="GN1265" s="113"/>
      <c r="GO1265" s="46">
        <v>0</v>
      </c>
      <c r="GP1265" s="113"/>
      <c r="GQ1265" s="113"/>
      <c r="GR1265" s="113"/>
      <c r="GS1265" s="113"/>
      <c r="GT1265" s="113"/>
      <c r="GU1265" s="46">
        <v>0</v>
      </c>
      <c r="GV1265" s="113"/>
      <c r="GW1265" s="113"/>
      <c r="GX1265" s="113"/>
      <c r="GY1265" s="113"/>
      <c r="GZ1265" s="113"/>
      <c r="HA1265" s="46">
        <v>0</v>
      </c>
      <c r="HB1265" s="113"/>
      <c r="HC1265" s="113"/>
      <c r="HD1265" s="113"/>
      <c r="HE1265" s="113"/>
      <c r="HF1265" s="113"/>
      <c r="HG1265" s="46">
        <v>0</v>
      </c>
      <c r="HH1265" s="113"/>
      <c r="HI1265" s="113"/>
      <c r="HJ1265" s="113"/>
      <c r="HK1265" s="113"/>
      <c r="HL1265" s="113"/>
      <c r="HM1265" s="121"/>
      <c r="HN1265" s="121"/>
      <c r="LM1265" t="str">
        <v/>
      </c>
      <c r="LN1265" t="str">
        <v/>
      </c>
      <c r="LO1265" t="str">
        <v/>
      </c>
    </row>
    <row r="1266" spans="30:327">
      <c r="AD1266" t="s">
        <v>18300</v>
      </c>
      <c r="AE1266" t="s">
        <v>23037</v>
      </c>
      <c r="AF1266" s="46">
        <v>0</v>
      </c>
      <c r="AG1266" s="113"/>
      <c r="AH1266" s="113"/>
      <c r="AI1266" s="113"/>
      <c r="AJ1266" s="113"/>
      <c r="AK1266" s="113"/>
      <c r="AL1266" s="46">
        <v>0</v>
      </c>
      <c r="AM1266" s="113"/>
      <c r="AN1266" s="113"/>
      <c r="AO1266" s="113"/>
      <c r="AP1266" s="113"/>
      <c r="AQ1266" s="113"/>
      <c r="AR1266" s="46">
        <v>0</v>
      </c>
      <c r="AS1266" s="113"/>
      <c r="AT1266" s="113"/>
      <c r="AU1266" s="113"/>
      <c r="AV1266" s="113"/>
      <c r="AW1266" s="113"/>
      <c r="AX1266" s="46">
        <v>0</v>
      </c>
      <c r="AY1266" s="113"/>
      <c r="AZ1266" s="113"/>
      <c r="BA1266" s="113"/>
      <c r="BB1266" s="113"/>
      <c r="BC1266" s="113"/>
      <c r="BD1266" s="46">
        <v>0</v>
      </c>
      <c r="BE1266" s="113"/>
      <c r="BF1266" s="113"/>
      <c r="BG1266" s="113"/>
      <c r="BH1266" s="113"/>
      <c r="BI1266" s="113"/>
      <c r="BJ1266" s="46">
        <v>0</v>
      </c>
      <c r="BK1266" s="113"/>
      <c r="BL1266" s="113"/>
      <c r="BM1266" s="113"/>
      <c r="BN1266" s="113"/>
      <c r="BO1266" s="113"/>
      <c r="BP1266" s="121"/>
      <c r="BQ1266" s="121"/>
      <c r="GA1266" t="s">
        <v>18300</v>
      </c>
      <c r="GB1266" t="s">
        <v>23037</v>
      </c>
      <c r="GC1266" s="46">
        <v>0</v>
      </c>
      <c r="GD1266" s="113"/>
      <c r="GE1266" s="113"/>
      <c r="GF1266" s="113"/>
      <c r="GG1266" s="113"/>
      <c r="GH1266" s="113"/>
      <c r="GI1266" s="46">
        <v>0</v>
      </c>
      <c r="GJ1266" s="113"/>
      <c r="GK1266" s="113"/>
      <c r="GL1266" s="113"/>
      <c r="GM1266" s="113"/>
      <c r="GN1266" s="113"/>
      <c r="GO1266" s="46">
        <v>0</v>
      </c>
      <c r="GP1266" s="113"/>
      <c r="GQ1266" s="113"/>
      <c r="GR1266" s="113"/>
      <c r="GS1266" s="113"/>
      <c r="GT1266" s="113"/>
      <c r="GU1266" s="46">
        <v>0</v>
      </c>
      <c r="GV1266" s="113"/>
      <c r="GW1266" s="113"/>
      <c r="GX1266" s="113"/>
      <c r="GY1266" s="113"/>
      <c r="GZ1266" s="113"/>
      <c r="HA1266" s="46">
        <v>0</v>
      </c>
      <c r="HB1266" s="113"/>
      <c r="HC1266" s="113"/>
      <c r="HD1266" s="113"/>
      <c r="HE1266" s="113"/>
      <c r="HF1266" s="113"/>
      <c r="HG1266" s="46">
        <v>0</v>
      </c>
      <c r="HH1266" s="113"/>
      <c r="HI1266" s="113"/>
      <c r="HJ1266" s="113"/>
      <c r="HK1266" s="113"/>
      <c r="HL1266" s="113"/>
      <c r="HM1266" s="121"/>
      <c r="HN1266" s="121"/>
      <c r="LM1266" t="str">
        <v/>
      </c>
      <c r="LN1266" t="str">
        <v/>
      </c>
      <c r="LO1266" t="str">
        <v/>
      </c>
    </row>
    <row r="1267" spans="30:327">
      <c r="AD1267" t="s">
        <v>18300</v>
      </c>
      <c r="AE1267" t="s">
        <v>23038</v>
      </c>
      <c r="AF1267" s="46">
        <v>0</v>
      </c>
      <c r="AG1267" s="113"/>
      <c r="AH1267" s="113"/>
      <c r="AI1267" s="113"/>
      <c r="AJ1267" s="113"/>
      <c r="AK1267" s="113"/>
      <c r="AL1267" s="46">
        <v>0</v>
      </c>
      <c r="AM1267" s="113"/>
      <c r="AN1267" s="113"/>
      <c r="AO1267" s="113"/>
      <c r="AP1267" s="113"/>
      <c r="AQ1267" s="113"/>
      <c r="AR1267" s="46">
        <v>0</v>
      </c>
      <c r="AS1267" s="113"/>
      <c r="AT1267" s="113"/>
      <c r="AU1267" s="113"/>
      <c r="AV1267" s="113"/>
      <c r="AW1267" s="113"/>
      <c r="AX1267" s="46">
        <v>0</v>
      </c>
      <c r="AY1267" s="113"/>
      <c r="AZ1267" s="113"/>
      <c r="BA1267" s="113"/>
      <c r="BB1267" s="113"/>
      <c r="BC1267" s="113"/>
      <c r="BD1267" s="46">
        <v>0</v>
      </c>
      <c r="BE1267" s="113"/>
      <c r="BF1267" s="113"/>
      <c r="BG1267" s="113"/>
      <c r="BH1267" s="113"/>
      <c r="BI1267" s="113"/>
      <c r="BJ1267" s="46">
        <v>0</v>
      </c>
      <c r="BK1267" s="113"/>
      <c r="BL1267" s="113"/>
      <c r="BM1267" s="113"/>
      <c r="BN1267" s="113"/>
      <c r="BO1267" s="113"/>
      <c r="BP1267" s="121"/>
      <c r="BQ1267" s="121"/>
      <c r="GA1267" t="s">
        <v>18300</v>
      </c>
      <c r="GB1267" t="s">
        <v>23038</v>
      </c>
      <c r="GC1267" s="46">
        <v>0</v>
      </c>
      <c r="GD1267" s="113"/>
      <c r="GE1267" s="113"/>
      <c r="GF1267" s="113"/>
      <c r="GG1267" s="113"/>
      <c r="GH1267" s="113"/>
      <c r="GI1267" s="46">
        <v>0</v>
      </c>
      <c r="GJ1267" s="113"/>
      <c r="GK1267" s="113"/>
      <c r="GL1267" s="113"/>
      <c r="GM1267" s="113"/>
      <c r="GN1267" s="113"/>
      <c r="GO1267" s="46">
        <v>0</v>
      </c>
      <c r="GP1267" s="113"/>
      <c r="GQ1267" s="113"/>
      <c r="GR1267" s="113"/>
      <c r="GS1267" s="113"/>
      <c r="GT1267" s="113"/>
      <c r="GU1267" s="46">
        <v>0</v>
      </c>
      <c r="GV1267" s="113"/>
      <c r="GW1267" s="113"/>
      <c r="GX1267" s="113"/>
      <c r="GY1267" s="113"/>
      <c r="GZ1267" s="113"/>
      <c r="HA1267" s="46">
        <v>0</v>
      </c>
      <c r="HB1267" s="113"/>
      <c r="HC1267" s="113"/>
      <c r="HD1267" s="113"/>
      <c r="HE1267" s="113"/>
      <c r="HF1267" s="113"/>
      <c r="HG1267" s="46">
        <v>0</v>
      </c>
      <c r="HH1267" s="113"/>
      <c r="HI1267" s="113"/>
      <c r="HJ1267" s="113"/>
      <c r="HK1267" s="113"/>
      <c r="HL1267" s="113"/>
      <c r="HM1267" s="121"/>
      <c r="HN1267" s="121"/>
      <c r="LM1267" t="str">
        <v/>
      </c>
      <c r="LN1267" t="str">
        <v/>
      </c>
      <c r="LO1267" t="str">
        <v/>
      </c>
    </row>
    <row r="1268" spans="30:327">
      <c r="AD1268" t="s">
        <v>18300</v>
      </c>
      <c r="AE1268" t="s">
        <v>23039</v>
      </c>
      <c r="AF1268" s="46">
        <v>0</v>
      </c>
      <c r="AG1268" s="113"/>
      <c r="AH1268" s="113"/>
      <c r="AI1268" s="113"/>
      <c r="AJ1268" s="113"/>
      <c r="AK1268" s="113"/>
      <c r="AL1268" s="46">
        <v>0</v>
      </c>
      <c r="AM1268" s="113"/>
      <c r="AN1268" s="113"/>
      <c r="AO1268" s="113"/>
      <c r="AP1268" s="113"/>
      <c r="AQ1268" s="113"/>
      <c r="AR1268" s="46">
        <v>0</v>
      </c>
      <c r="AS1268" s="113"/>
      <c r="AT1268" s="113"/>
      <c r="AU1268" s="113"/>
      <c r="AV1268" s="113"/>
      <c r="AW1268" s="113"/>
      <c r="AX1268" s="46">
        <v>0</v>
      </c>
      <c r="AY1268" s="113"/>
      <c r="AZ1268" s="113"/>
      <c r="BA1268" s="113"/>
      <c r="BB1268" s="113"/>
      <c r="BC1268" s="113"/>
      <c r="BD1268" s="46">
        <v>0</v>
      </c>
      <c r="BE1268" s="113"/>
      <c r="BF1268" s="113"/>
      <c r="BG1268" s="113"/>
      <c r="BH1268" s="113"/>
      <c r="BI1268" s="113"/>
      <c r="BJ1268" s="46">
        <v>0</v>
      </c>
      <c r="BK1268" s="113"/>
      <c r="BL1268" s="113"/>
      <c r="BM1268" s="113"/>
      <c r="BN1268" s="113"/>
      <c r="BO1268" s="113"/>
      <c r="BP1268" s="121"/>
      <c r="BQ1268" s="121"/>
      <c r="GA1268" t="s">
        <v>18300</v>
      </c>
      <c r="GB1268" t="s">
        <v>23039</v>
      </c>
      <c r="GC1268" s="46">
        <v>0</v>
      </c>
      <c r="GD1268" s="113"/>
      <c r="GE1268" s="113"/>
      <c r="GF1268" s="113"/>
      <c r="GG1268" s="113"/>
      <c r="GH1268" s="113"/>
      <c r="GI1268" s="46">
        <v>0</v>
      </c>
      <c r="GJ1268" s="113"/>
      <c r="GK1268" s="113"/>
      <c r="GL1268" s="113"/>
      <c r="GM1268" s="113"/>
      <c r="GN1268" s="113"/>
      <c r="GO1268" s="46">
        <v>0</v>
      </c>
      <c r="GP1268" s="113"/>
      <c r="GQ1268" s="113"/>
      <c r="GR1268" s="113"/>
      <c r="GS1268" s="113"/>
      <c r="GT1268" s="113"/>
      <c r="GU1268" s="46">
        <v>0</v>
      </c>
      <c r="GV1268" s="113"/>
      <c r="GW1268" s="113"/>
      <c r="GX1268" s="113"/>
      <c r="GY1268" s="113"/>
      <c r="GZ1268" s="113"/>
      <c r="HA1268" s="46">
        <v>0</v>
      </c>
      <c r="HB1268" s="113"/>
      <c r="HC1268" s="113"/>
      <c r="HD1268" s="113"/>
      <c r="HE1268" s="113"/>
      <c r="HF1268" s="113"/>
      <c r="HG1268" s="46">
        <v>0</v>
      </c>
      <c r="HH1268" s="113"/>
      <c r="HI1268" s="113"/>
      <c r="HJ1268" s="113"/>
      <c r="HK1268" s="113"/>
      <c r="HL1268" s="113"/>
      <c r="HM1268" s="121"/>
      <c r="HN1268" s="121"/>
      <c r="LM1268" t="str">
        <v/>
      </c>
      <c r="LN1268" t="str">
        <v/>
      </c>
      <c r="LO1268" t="str">
        <v/>
      </c>
    </row>
    <row r="1269" spans="30:327">
      <c r="AD1269" t="s">
        <v>18300</v>
      </c>
      <c r="AE1269" t="s">
        <v>23040</v>
      </c>
      <c r="AF1269" s="46">
        <v>0</v>
      </c>
      <c r="AG1269" s="113"/>
      <c r="AH1269" s="113"/>
      <c r="AI1269" s="113"/>
      <c r="AJ1269" s="113"/>
      <c r="AK1269" s="113"/>
      <c r="AL1269" s="46">
        <v>0</v>
      </c>
      <c r="AM1269" s="113"/>
      <c r="AN1269" s="113"/>
      <c r="AO1269" s="113"/>
      <c r="AP1269" s="113"/>
      <c r="AQ1269" s="113"/>
      <c r="AR1269" s="46">
        <v>0</v>
      </c>
      <c r="AS1269" s="113"/>
      <c r="AT1269" s="113"/>
      <c r="AU1269" s="113"/>
      <c r="AV1269" s="113"/>
      <c r="AW1269" s="113"/>
      <c r="AX1269" s="46">
        <v>0</v>
      </c>
      <c r="AY1269" s="113"/>
      <c r="AZ1269" s="113"/>
      <c r="BA1269" s="113"/>
      <c r="BB1269" s="113"/>
      <c r="BC1269" s="113"/>
      <c r="BD1269" s="46">
        <v>0</v>
      </c>
      <c r="BE1269" s="113"/>
      <c r="BF1269" s="113"/>
      <c r="BG1269" s="113"/>
      <c r="BH1269" s="113"/>
      <c r="BI1269" s="113"/>
      <c r="BJ1269" s="46">
        <v>0</v>
      </c>
      <c r="BK1269" s="113"/>
      <c r="BL1269" s="113"/>
      <c r="BM1269" s="113"/>
      <c r="BN1269" s="113"/>
      <c r="BO1269" s="113"/>
      <c r="BP1269" s="121"/>
      <c r="BQ1269" s="121"/>
      <c r="GA1269" t="s">
        <v>18300</v>
      </c>
      <c r="GB1269" t="s">
        <v>23040</v>
      </c>
      <c r="GC1269" s="46">
        <v>0</v>
      </c>
      <c r="GD1269" s="113"/>
      <c r="GE1269" s="113"/>
      <c r="GF1269" s="113"/>
      <c r="GG1269" s="113"/>
      <c r="GH1269" s="113"/>
      <c r="GI1269" s="46">
        <v>0</v>
      </c>
      <c r="GJ1269" s="113"/>
      <c r="GK1269" s="113"/>
      <c r="GL1269" s="113"/>
      <c r="GM1269" s="113"/>
      <c r="GN1269" s="113"/>
      <c r="GO1269" s="46">
        <v>0</v>
      </c>
      <c r="GP1269" s="113"/>
      <c r="GQ1269" s="113"/>
      <c r="GR1269" s="113"/>
      <c r="GS1269" s="113"/>
      <c r="GT1269" s="113"/>
      <c r="GU1269" s="46">
        <v>0</v>
      </c>
      <c r="GV1269" s="113"/>
      <c r="GW1269" s="113"/>
      <c r="GX1269" s="113"/>
      <c r="GY1269" s="113"/>
      <c r="GZ1269" s="113"/>
      <c r="HA1269" s="46">
        <v>0</v>
      </c>
      <c r="HB1269" s="113"/>
      <c r="HC1269" s="113"/>
      <c r="HD1269" s="113"/>
      <c r="HE1269" s="113"/>
      <c r="HF1269" s="113"/>
      <c r="HG1269" s="46">
        <v>0</v>
      </c>
      <c r="HH1269" s="113"/>
      <c r="HI1269" s="113"/>
      <c r="HJ1269" s="113"/>
      <c r="HK1269" s="113"/>
      <c r="HL1269" s="113"/>
      <c r="HM1269" s="121"/>
      <c r="HN1269" s="121"/>
      <c r="LM1269" t="str">
        <v/>
      </c>
      <c r="LN1269" t="str">
        <v/>
      </c>
      <c r="LO1269" t="str">
        <v/>
      </c>
    </row>
    <row r="1270" spans="30:327">
      <c r="AD1270" t="s">
        <v>18300</v>
      </c>
      <c r="AE1270" t="s">
        <v>23041</v>
      </c>
      <c r="AF1270" s="46">
        <v>0</v>
      </c>
      <c r="AG1270" s="113"/>
      <c r="AH1270" s="113"/>
      <c r="AI1270" s="113"/>
      <c r="AJ1270" s="113"/>
      <c r="AK1270" s="113"/>
      <c r="AL1270" s="46">
        <v>0</v>
      </c>
      <c r="AM1270" s="113"/>
      <c r="AN1270" s="113"/>
      <c r="AO1270" s="113"/>
      <c r="AP1270" s="113"/>
      <c r="AQ1270" s="113"/>
      <c r="AR1270" s="46">
        <v>0</v>
      </c>
      <c r="AS1270" s="113"/>
      <c r="AT1270" s="113"/>
      <c r="AU1270" s="113"/>
      <c r="AV1270" s="113"/>
      <c r="AW1270" s="113"/>
      <c r="AX1270" s="46">
        <v>0</v>
      </c>
      <c r="AY1270" s="113"/>
      <c r="AZ1270" s="113"/>
      <c r="BA1270" s="113"/>
      <c r="BB1270" s="113"/>
      <c r="BC1270" s="113"/>
      <c r="BD1270" s="46">
        <v>0</v>
      </c>
      <c r="BE1270" s="113"/>
      <c r="BF1270" s="113"/>
      <c r="BG1270" s="113"/>
      <c r="BH1270" s="113"/>
      <c r="BI1270" s="113"/>
      <c r="BJ1270" s="46">
        <v>0</v>
      </c>
      <c r="BK1270" s="113"/>
      <c r="BL1270" s="113"/>
      <c r="BM1270" s="113"/>
      <c r="BN1270" s="113"/>
      <c r="BO1270" s="113"/>
      <c r="BP1270" s="121"/>
      <c r="BQ1270" s="121"/>
      <c r="GA1270" t="s">
        <v>18300</v>
      </c>
      <c r="GB1270" t="s">
        <v>23041</v>
      </c>
      <c r="GC1270" s="46">
        <v>0</v>
      </c>
      <c r="GD1270" s="113"/>
      <c r="GE1270" s="113"/>
      <c r="GF1270" s="113"/>
      <c r="GG1270" s="113"/>
      <c r="GH1270" s="113"/>
      <c r="GI1270" s="46">
        <v>0</v>
      </c>
      <c r="GJ1270" s="113"/>
      <c r="GK1270" s="113"/>
      <c r="GL1270" s="113"/>
      <c r="GM1270" s="113"/>
      <c r="GN1270" s="113"/>
      <c r="GO1270" s="46">
        <v>0</v>
      </c>
      <c r="GP1270" s="113"/>
      <c r="GQ1270" s="113"/>
      <c r="GR1270" s="113"/>
      <c r="GS1270" s="113"/>
      <c r="GT1270" s="113"/>
      <c r="GU1270" s="46">
        <v>0</v>
      </c>
      <c r="GV1270" s="113"/>
      <c r="GW1270" s="113"/>
      <c r="GX1270" s="113"/>
      <c r="GY1270" s="113"/>
      <c r="GZ1270" s="113"/>
      <c r="HA1270" s="46">
        <v>0</v>
      </c>
      <c r="HB1270" s="113"/>
      <c r="HC1270" s="113"/>
      <c r="HD1270" s="113"/>
      <c r="HE1270" s="113"/>
      <c r="HF1270" s="113"/>
      <c r="HG1270" s="46">
        <v>0</v>
      </c>
      <c r="HH1270" s="113"/>
      <c r="HI1270" s="113"/>
      <c r="HJ1270" s="113"/>
      <c r="HK1270" s="113"/>
      <c r="HL1270" s="113"/>
      <c r="HM1270" s="121"/>
      <c r="HN1270" s="121"/>
      <c r="LM1270" t="str">
        <v/>
      </c>
      <c r="LN1270" t="str">
        <v/>
      </c>
      <c r="LO1270" t="str">
        <v/>
      </c>
    </row>
    <row r="1271" spans="30:327">
      <c r="AD1271" t="s">
        <v>18300</v>
      </c>
      <c r="AE1271" t="s">
        <v>23042</v>
      </c>
      <c r="AF1271" s="46">
        <v>0</v>
      </c>
      <c r="AG1271" s="113"/>
      <c r="AH1271" s="113"/>
      <c r="AI1271" s="113"/>
      <c r="AJ1271" s="113"/>
      <c r="AK1271" s="113"/>
      <c r="AL1271" s="46">
        <v>0</v>
      </c>
      <c r="AM1271" s="113"/>
      <c r="AN1271" s="113"/>
      <c r="AO1271" s="113"/>
      <c r="AP1271" s="113"/>
      <c r="AQ1271" s="113"/>
      <c r="AR1271" s="46">
        <v>0</v>
      </c>
      <c r="AS1271" s="113"/>
      <c r="AT1271" s="113"/>
      <c r="AU1271" s="113"/>
      <c r="AV1271" s="113"/>
      <c r="AW1271" s="113"/>
      <c r="AX1271" s="46">
        <v>0</v>
      </c>
      <c r="AY1271" s="113"/>
      <c r="AZ1271" s="113"/>
      <c r="BA1271" s="113"/>
      <c r="BB1271" s="113"/>
      <c r="BC1271" s="113"/>
      <c r="BD1271" s="46">
        <v>0</v>
      </c>
      <c r="BE1271" s="113"/>
      <c r="BF1271" s="113"/>
      <c r="BG1271" s="113"/>
      <c r="BH1271" s="113"/>
      <c r="BI1271" s="113"/>
      <c r="BJ1271" s="46">
        <v>0</v>
      </c>
      <c r="BK1271" s="113"/>
      <c r="BL1271" s="113"/>
      <c r="BM1271" s="113"/>
      <c r="BN1271" s="113"/>
      <c r="BO1271" s="113"/>
      <c r="BP1271" s="121"/>
      <c r="BQ1271" s="121"/>
      <c r="GA1271" t="s">
        <v>18300</v>
      </c>
      <c r="GB1271" t="s">
        <v>23042</v>
      </c>
      <c r="GC1271" s="46">
        <v>0</v>
      </c>
      <c r="GD1271" s="113"/>
      <c r="GE1271" s="113"/>
      <c r="GF1271" s="113"/>
      <c r="GG1271" s="113"/>
      <c r="GH1271" s="113"/>
      <c r="GI1271" s="46">
        <v>0</v>
      </c>
      <c r="GJ1271" s="113"/>
      <c r="GK1271" s="113"/>
      <c r="GL1271" s="113"/>
      <c r="GM1271" s="113"/>
      <c r="GN1271" s="113"/>
      <c r="GO1271" s="46">
        <v>0</v>
      </c>
      <c r="GP1271" s="113"/>
      <c r="GQ1271" s="113"/>
      <c r="GR1271" s="113"/>
      <c r="GS1271" s="113"/>
      <c r="GT1271" s="113"/>
      <c r="GU1271" s="46">
        <v>0</v>
      </c>
      <c r="GV1271" s="113"/>
      <c r="GW1271" s="113"/>
      <c r="GX1271" s="113"/>
      <c r="GY1271" s="113"/>
      <c r="GZ1271" s="113"/>
      <c r="HA1271" s="46">
        <v>0</v>
      </c>
      <c r="HB1271" s="113"/>
      <c r="HC1271" s="113"/>
      <c r="HD1271" s="113"/>
      <c r="HE1271" s="113"/>
      <c r="HF1271" s="113"/>
      <c r="HG1271" s="46">
        <v>0</v>
      </c>
      <c r="HH1271" s="113"/>
      <c r="HI1271" s="113"/>
      <c r="HJ1271" s="113"/>
      <c r="HK1271" s="113"/>
      <c r="HL1271" s="113"/>
      <c r="HM1271" s="121"/>
      <c r="HN1271" s="121"/>
      <c r="LM1271" t="str">
        <v/>
      </c>
      <c r="LN1271" t="str">
        <v/>
      </c>
      <c r="LO1271" t="str">
        <v/>
      </c>
    </row>
    <row r="1272" spans="30:327">
      <c r="AD1272" t="s">
        <v>18300</v>
      </c>
      <c r="AE1272" t="s">
        <v>23043</v>
      </c>
      <c r="AF1272" s="46">
        <v>0</v>
      </c>
      <c r="AG1272" s="113"/>
      <c r="AH1272" s="113"/>
      <c r="AI1272" s="113"/>
      <c r="AJ1272" s="113"/>
      <c r="AK1272" s="113"/>
      <c r="AL1272" s="46">
        <v>0</v>
      </c>
      <c r="AM1272" s="113"/>
      <c r="AN1272" s="113"/>
      <c r="AO1272" s="113"/>
      <c r="AP1272" s="113"/>
      <c r="AQ1272" s="113"/>
      <c r="AR1272" s="46">
        <v>0</v>
      </c>
      <c r="AS1272" s="113"/>
      <c r="AT1272" s="113"/>
      <c r="AU1272" s="113"/>
      <c r="AV1272" s="113"/>
      <c r="AW1272" s="113"/>
      <c r="AX1272" s="46">
        <v>0</v>
      </c>
      <c r="AY1272" s="113"/>
      <c r="AZ1272" s="113"/>
      <c r="BA1272" s="113"/>
      <c r="BB1272" s="113"/>
      <c r="BC1272" s="113"/>
      <c r="BD1272" s="46">
        <v>0</v>
      </c>
      <c r="BE1272" s="113"/>
      <c r="BF1272" s="113"/>
      <c r="BG1272" s="113"/>
      <c r="BH1272" s="113"/>
      <c r="BI1272" s="113"/>
      <c r="BJ1272" s="46">
        <v>0</v>
      </c>
      <c r="BK1272" s="113"/>
      <c r="BL1272" s="113"/>
      <c r="BM1272" s="113"/>
      <c r="BN1272" s="113"/>
      <c r="BO1272" s="113"/>
      <c r="BP1272" s="121"/>
      <c r="BQ1272" s="121"/>
      <c r="GA1272" t="s">
        <v>18300</v>
      </c>
      <c r="GB1272" t="s">
        <v>23043</v>
      </c>
      <c r="GC1272" s="46">
        <v>0</v>
      </c>
      <c r="GD1272" s="113"/>
      <c r="GE1272" s="113"/>
      <c r="GF1272" s="113"/>
      <c r="GG1272" s="113"/>
      <c r="GH1272" s="113"/>
      <c r="GI1272" s="46">
        <v>0</v>
      </c>
      <c r="GJ1272" s="113"/>
      <c r="GK1272" s="113"/>
      <c r="GL1272" s="113"/>
      <c r="GM1272" s="113"/>
      <c r="GN1272" s="113"/>
      <c r="GO1272" s="46">
        <v>0</v>
      </c>
      <c r="GP1272" s="113"/>
      <c r="GQ1272" s="113"/>
      <c r="GR1272" s="113"/>
      <c r="GS1272" s="113"/>
      <c r="GT1272" s="113"/>
      <c r="GU1272" s="46">
        <v>0</v>
      </c>
      <c r="GV1272" s="113"/>
      <c r="GW1272" s="113"/>
      <c r="GX1272" s="113"/>
      <c r="GY1272" s="113"/>
      <c r="GZ1272" s="113"/>
      <c r="HA1272" s="46">
        <v>0</v>
      </c>
      <c r="HB1272" s="113"/>
      <c r="HC1272" s="113"/>
      <c r="HD1272" s="113"/>
      <c r="HE1272" s="113"/>
      <c r="HF1272" s="113"/>
      <c r="HG1272" s="46">
        <v>0</v>
      </c>
      <c r="HH1272" s="113"/>
      <c r="HI1272" s="113"/>
      <c r="HJ1272" s="113"/>
      <c r="HK1272" s="113"/>
      <c r="HL1272" s="113"/>
      <c r="HM1272" s="121"/>
      <c r="HN1272" s="121"/>
      <c r="LM1272" t="str">
        <v/>
      </c>
      <c r="LN1272" t="str">
        <v/>
      </c>
      <c r="LO1272" t="str">
        <v/>
      </c>
    </row>
    <row r="1273" spans="30:327">
      <c r="AD1273" t="s">
        <v>18300</v>
      </c>
      <c r="AE1273" t="s">
        <v>23044</v>
      </c>
      <c r="AF1273" s="46">
        <v>0</v>
      </c>
      <c r="AG1273" s="113"/>
      <c r="AH1273" s="113"/>
      <c r="AI1273" s="113"/>
      <c r="AJ1273" s="113"/>
      <c r="AK1273" s="113"/>
      <c r="AL1273" s="46">
        <v>0</v>
      </c>
      <c r="AM1273" s="113"/>
      <c r="AN1273" s="113"/>
      <c r="AO1273" s="113"/>
      <c r="AP1273" s="113"/>
      <c r="AQ1273" s="113"/>
      <c r="AR1273" s="46">
        <v>0</v>
      </c>
      <c r="AS1273" s="113"/>
      <c r="AT1273" s="113"/>
      <c r="AU1273" s="113"/>
      <c r="AV1273" s="113"/>
      <c r="AW1273" s="113"/>
      <c r="AX1273" s="46">
        <v>0</v>
      </c>
      <c r="AY1273" s="113"/>
      <c r="AZ1273" s="113"/>
      <c r="BA1273" s="113"/>
      <c r="BB1273" s="113"/>
      <c r="BC1273" s="113"/>
      <c r="BD1273" s="46">
        <v>0</v>
      </c>
      <c r="BE1273" s="113"/>
      <c r="BF1273" s="113"/>
      <c r="BG1273" s="113"/>
      <c r="BH1273" s="113"/>
      <c r="BI1273" s="113"/>
      <c r="BJ1273" s="46">
        <v>0</v>
      </c>
      <c r="BK1273" s="113"/>
      <c r="BL1273" s="113"/>
      <c r="BM1273" s="113"/>
      <c r="BN1273" s="113"/>
      <c r="BO1273" s="113"/>
      <c r="BP1273" s="121"/>
      <c r="BQ1273" s="121"/>
      <c r="GA1273" t="s">
        <v>18300</v>
      </c>
      <c r="GB1273" t="s">
        <v>23044</v>
      </c>
      <c r="GC1273" s="46">
        <v>0</v>
      </c>
      <c r="GD1273" s="113"/>
      <c r="GE1273" s="113"/>
      <c r="GF1273" s="113"/>
      <c r="GG1273" s="113"/>
      <c r="GH1273" s="113"/>
      <c r="GI1273" s="46">
        <v>0</v>
      </c>
      <c r="GJ1273" s="113"/>
      <c r="GK1273" s="113"/>
      <c r="GL1273" s="113"/>
      <c r="GM1273" s="113"/>
      <c r="GN1273" s="113"/>
      <c r="GO1273" s="46">
        <v>0</v>
      </c>
      <c r="GP1273" s="113"/>
      <c r="GQ1273" s="113"/>
      <c r="GR1273" s="113"/>
      <c r="GS1273" s="113"/>
      <c r="GT1273" s="113"/>
      <c r="GU1273" s="46">
        <v>0</v>
      </c>
      <c r="GV1273" s="113"/>
      <c r="GW1273" s="113"/>
      <c r="GX1273" s="113"/>
      <c r="GY1273" s="113"/>
      <c r="GZ1273" s="113"/>
      <c r="HA1273" s="46">
        <v>0</v>
      </c>
      <c r="HB1273" s="113"/>
      <c r="HC1273" s="113"/>
      <c r="HD1273" s="113"/>
      <c r="HE1273" s="113"/>
      <c r="HF1273" s="113"/>
      <c r="HG1273" s="46">
        <v>0</v>
      </c>
      <c r="HH1273" s="113"/>
      <c r="HI1273" s="113"/>
      <c r="HJ1273" s="113"/>
      <c r="HK1273" s="113"/>
      <c r="HL1273" s="113"/>
      <c r="HM1273" s="121"/>
      <c r="HN1273" s="121"/>
      <c r="LM1273" t="str">
        <v/>
      </c>
      <c r="LN1273" t="str">
        <v/>
      </c>
      <c r="LO1273" t="str">
        <v/>
      </c>
    </row>
    <row r="1274" spans="30:327">
      <c r="AD1274" t="s">
        <v>18300</v>
      </c>
      <c r="AE1274" t="s">
        <v>23045</v>
      </c>
      <c r="AF1274" s="46">
        <v>0</v>
      </c>
      <c r="AG1274" s="113"/>
      <c r="AH1274" s="113"/>
      <c r="AI1274" s="113"/>
      <c r="AJ1274" s="113"/>
      <c r="AK1274" s="113"/>
      <c r="AL1274" s="46">
        <v>0</v>
      </c>
      <c r="AM1274" s="113"/>
      <c r="AN1274" s="113"/>
      <c r="AO1274" s="113"/>
      <c r="AP1274" s="113"/>
      <c r="AQ1274" s="113"/>
      <c r="AR1274" s="46">
        <v>0</v>
      </c>
      <c r="AS1274" s="113"/>
      <c r="AT1274" s="113"/>
      <c r="AU1274" s="113"/>
      <c r="AV1274" s="113"/>
      <c r="AW1274" s="113"/>
      <c r="AX1274" s="46">
        <v>0</v>
      </c>
      <c r="AY1274" s="113"/>
      <c r="AZ1274" s="113"/>
      <c r="BA1274" s="113"/>
      <c r="BB1274" s="113"/>
      <c r="BC1274" s="113"/>
      <c r="BD1274" s="46">
        <v>0</v>
      </c>
      <c r="BE1274" s="113"/>
      <c r="BF1274" s="113"/>
      <c r="BG1274" s="113"/>
      <c r="BH1274" s="113"/>
      <c r="BI1274" s="113"/>
      <c r="BJ1274" s="46">
        <v>0</v>
      </c>
      <c r="BK1274" s="113"/>
      <c r="BL1274" s="113"/>
      <c r="BM1274" s="113"/>
      <c r="BN1274" s="113"/>
      <c r="BO1274" s="113"/>
      <c r="BP1274" s="121"/>
      <c r="BQ1274" s="121"/>
      <c r="GA1274" t="s">
        <v>18300</v>
      </c>
      <c r="GB1274" t="s">
        <v>23045</v>
      </c>
      <c r="GC1274" s="46">
        <v>0</v>
      </c>
      <c r="GD1274" s="113"/>
      <c r="GE1274" s="113"/>
      <c r="GF1274" s="113"/>
      <c r="GG1274" s="113"/>
      <c r="GH1274" s="113"/>
      <c r="GI1274" s="46">
        <v>0</v>
      </c>
      <c r="GJ1274" s="113"/>
      <c r="GK1274" s="113"/>
      <c r="GL1274" s="113"/>
      <c r="GM1274" s="113"/>
      <c r="GN1274" s="113"/>
      <c r="GO1274" s="46">
        <v>0</v>
      </c>
      <c r="GP1274" s="113"/>
      <c r="GQ1274" s="113"/>
      <c r="GR1274" s="113"/>
      <c r="GS1274" s="113"/>
      <c r="GT1274" s="113"/>
      <c r="GU1274" s="46">
        <v>0</v>
      </c>
      <c r="GV1274" s="113"/>
      <c r="GW1274" s="113"/>
      <c r="GX1274" s="113"/>
      <c r="GY1274" s="113"/>
      <c r="GZ1274" s="113"/>
      <c r="HA1274" s="46">
        <v>0</v>
      </c>
      <c r="HB1274" s="113"/>
      <c r="HC1274" s="113"/>
      <c r="HD1274" s="113"/>
      <c r="HE1274" s="113"/>
      <c r="HF1274" s="113"/>
      <c r="HG1274" s="46">
        <v>0</v>
      </c>
      <c r="HH1274" s="113"/>
      <c r="HI1274" s="113"/>
      <c r="HJ1274" s="113"/>
      <c r="HK1274" s="113"/>
      <c r="HL1274" s="113"/>
      <c r="HM1274" s="121"/>
      <c r="HN1274" s="121"/>
      <c r="LM1274" t="str">
        <v/>
      </c>
      <c r="LN1274" t="str">
        <v/>
      </c>
      <c r="LO1274" t="str">
        <v/>
      </c>
    </row>
    <row r="1275" spans="30:327">
      <c r="AD1275" t="s">
        <v>18300</v>
      </c>
      <c r="AE1275" t="s">
        <v>23046</v>
      </c>
      <c r="AF1275" s="46">
        <v>0</v>
      </c>
      <c r="AG1275" s="113"/>
      <c r="AH1275" s="113"/>
      <c r="AI1275" s="113"/>
      <c r="AJ1275" s="113"/>
      <c r="AK1275" s="113"/>
      <c r="AL1275" s="46">
        <v>0</v>
      </c>
      <c r="AM1275" s="113"/>
      <c r="AN1275" s="113"/>
      <c r="AO1275" s="113"/>
      <c r="AP1275" s="113"/>
      <c r="AQ1275" s="113"/>
      <c r="AR1275" s="46">
        <v>0</v>
      </c>
      <c r="AS1275" s="113"/>
      <c r="AT1275" s="113"/>
      <c r="AU1275" s="113"/>
      <c r="AV1275" s="113"/>
      <c r="AW1275" s="113"/>
      <c r="AX1275" s="46">
        <v>0</v>
      </c>
      <c r="AY1275" s="113"/>
      <c r="AZ1275" s="113"/>
      <c r="BA1275" s="113"/>
      <c r="BB1275" s="113"/>
      <c r="BC1275" s="113"/>
      <c r="BD1275" s="46">
        <v>0</v>
      </c>
      <c r="BE1275" s="113"/>
      <c r="BF1275" s="113"/>
      <c r="BG1275" s="113"/>
      <c r="BH1275" s="113"/>
      <c r="BI1275" s="113"/>
      <c r="BJ1275" s="46">
        <v>0</v>
      </c>
      <c r="BK1275" s="113"/>
      <c r="BL1275" s="113"/>
      <c r="BM1275" s="113"/>
      <c r="BN1275" s="113"/>
      <c r="BO1275" s="113"/>
      <c r="BP1275" s="121"/>
      <c r="BQ1275" s="121"/>
      <c r="GA1275" t="s">
        <v>18300</v>
      </c>
      <c r="GB1275" t="s">
        <v>23046</v>
      </c>
      <c r="GC1275" s="46">
        <v>0</v>
      </c>
      <c r="GD1275" s="113"/>
      <c r="GE1275" s="113"/>
      <c r="GF1275" s="113"/>
      <c r="GG1275" s="113"/>
      <c r="GH1275" s="113"/>
      <c r="GI1275" s="46">
        <v>0</v>
      </c>
      <c r="GJ1275" s="113"/>
      <c r="GK1275" s="113"/>
      <c r="GL1275" s="113"/>
      <c r="GM1275" s="113"/>
      <c r="GN1275" s="113"/>
      <c r="GO1275" s="46">
        <v>0</v>
      </c>
      <c r="GP1275" s="113"/>
      <c r="GQ1275" s="113"/>
      <c r="GR1275" s="113"/>
      <c r="GS1275" s="113"/>
      <c r="GT1275" s="113"/>
      <c r="GU1275" s="46">
        <v>0</v>
      </c>
      <c r="GV1275" s="113"/>
      <c r="GW1275" s="113"/>
      <c r="GX1275" s="113"/>
      <c r="GY1275" s="113"/>
      <c r="GZ1275" s="113"/>
      <c r="HA1275" s="46">
        <v>0</v>
      </c>
      <c r="HB1275" s="113"/>
      <c r="HC1275" s="113"/>
      <c r="HD1275" s="113"/>
      <c r="HE1275" s="113"/>
      <c r="HF1275" s="113"/>
      <c r="HG1275" s="46">
        <v>0</v>
      </c>
      <c r="HH1275" s="113"/>
      <c r="HI1275" s="113"/>
      <c r="HJ1275" s="113"/>
      <c r="HK1275" s="113"/>
      <c r="HL1275" s="113"/>
      <c r="HM1275" s="121"/>
      <c r="HN1275" s="121"/>
      <c r="LM1275" t="str">
        <v/>
      </c>
      <c r="LN1275" t="str">
        <v/>
      </c>
      <c r="LO1275" t="str">
        <v/>
      </c>
    </row>
    <row r="1276" spans="30:327">
      <c r="AD1276" t="s">
        <v>18300</v>
      </c>
      <c r="AE1276" t="s">
        <v>23047</v>
      </c>
      <c r="AF1276" s="46">
        <v>0</v>
      </c>
      <c r="AG1276" s="113"/>
      <c r="AH1276" s="113"/>
      <c r="AI1276" s="113"/>
      <c r="AJ1276" s="113"/>
      <c r="AK1276" s="113"/>
      <c r="AL1276" s="46">
        <v>0</v>
      </c>
      <c r="AM1276" s="113"/>
      <c r="AN1276" s="113"/>
      <c r="AO1276" s="113"/>
      <c r="AP1276" s="113"/>
      <c r="AQ1276" s="113"/>
      <c r="AR1276" s="46">
        <v>0</v>
      </c>
      <c r="AS1276" s="113"/>
      <c r="AT1276" s="113"/>
      <c r="AU1276" s="113"/>
      <c r="AV1276" s="113"/>
      <c r="AW1276" s="113"/>
      <c r="AX1276" s="46">
        <v>0</v>
      </c>
      <c r="AY1276" s="113"/>
      <c r="AZ1276" s="113"/>
      <c r="BA1276" s="113"/>
      <c r="BB1276" s="113"/>
      <c r="BC1276" s="113"/>
      <c r="BD1276" s="46">
        <v>0</v>
      </c>
      <c r="BE1276" s="113"/>
      <c r="BF1276" s="113"/>
      <c r="BG1276" s="113"/>
      <c r="BH1276" s="113"/>
      <c r="BI1276" s="113"/>
      <c r="BJ1276" s="46">
        <v>0</v>
      </c>
      <c r="BK1276" s="113"/>
      <c r="BL1276" s="113"/>
      <c r="BM1276" s="113"/>
      <c r="BN1276" s="113"/>
      <c r="BO1276" s="113"/>
      <c r="BP1276" s="121"/>
      <c r="BQ1276" s="121"/>
      <c r="GA1276" t="s">
        <v>18300</v>
      </c>
      <c r="GB1276" t="s">
        <v>23047</v>
      </c>
      <c r="GC1276" s="46">
        <v>0</v>
      </c>
      <c r="GD1276" s="113"/>
      <c r="GE1276" s="113"/>
      <c r="GF1276" s="113"/>
      <c r="GG1276" s="113"/>
      <c r="GH1276" s="113"/>
      <c r="GI1276" s="46">
        <v>0</v>
      </c>
      <c r="GJ1276" s="113"/>
      <c r="GK1276" s="113"/>
      <c r="GL1276" s="113"/>
      <c r="GM1276" s="113"/>
      <c r="GN1276" s="113"/>
      <c r="GO1276" s="46">
        <v>0</v>
      </c>
      <c r="GP1276" s="113"/>
      <c r="GQ1276" s="113"/>
      <c r="GR1276" s="113"/>
      <c r="GS1276" s="113"/>
      <c r="GT1276" s="113"/>
      <c r="GU1276" s="46">
        <v>0</v>
      </c>
      <c r="GV1276" s="113"/>
      <c r="GW1276" s="113"/>
      <c r="GX1276" s="113"/>
      <c r="GY1276" s="113"/>
      <c r="GZ1276" s="113"/>
      <c r="HA1276" s="46">
        <v>0</v>
      </c>
      <c r="HB1276" s="113"/>
      <c r="HC1276" s="113"/>
      <c r="HD1276" s="113"/>
      <c r="HE1276" s="113"/>
      <c r="HF1276" s="113"/>
      <c r="HG1276" s="46">
        <v>0</v>
      </c>
      <c r="HH1276" s="113"/>
      <c r="HI1276" s="113"/>
      <c r="HJ1276" s="113"/>
      <c r="HK1276" s="113"/>
      <c r="HL1276" s="113"/>
      <c r="HM1276" s="121"/>
      <c r="HN1276" s="121"/>
      <c r="LM1276" t="str">
        <v/>
      </c>
      <c r="LN1276" t="str">
        <v/>
      </c>
      <c r="LO1276" t="str">
        <v/>
      </c>
    </row>
    <row r="1277" spans="30:327">
      <c r="AD1277" t="s">
        <v>18300</v>
      </c>
      <c r="AE1277" t="s">
        <v>23048</v>
      </c>
      <c r="AF1277" s="46">
        <v>0</v>
      </c>
      <c r="AG1277" s="113"/>
      <c r="AH1277" s="113"/>
      <c r="AI1277" s="113"/>
      <c r="AJ1277" s="113"/>
      <c r="AK1277" s="113"/>
      <c r="AL1277" s="46">
        <v>0</v>
      </c>
      <c r="AM1277" s="113"/>
      <c r="AN1277" s="113"/>
      <c r="AO1277" s="113"/>
      <c r="AP1277" s="113"/>
      <c r="AQ1277" s="113"/>
      <c r="AR1277" s="46">
        <v>0</v>
      </c>
      <c r="AS1277" s="113"/>
      <c r="AT1277" s="113"/>
      <c r="AU1277" s="113"/>
      <c r="AV1277" s="113"/>
      <c r="AW1277" s="113"/>
      <c r="AX1277" s="46">
        <v>0</v>
      </c>
      <c r="AY1277" s="113"/>
      <c r="AZ1277" s="113"/>
      <c r="BA1277" s="113"/>
      <c r="BB1277" s="113"/>
      <c r="BC1277" s="113"/>
      <c r="BD1277" s="46">
        <v>0</v>
      </c>
      <c r="BE1277" s="113"/>
      <c r="BF1277" s="113"/>
      <c r="BG1277" s="113"/>
      <c r="BH1277" s="113"/>
      <c r="BI1277" s="113"/>
      <c r="BJ1277" s="46">
        <v>0</v>
      </c>
      <c r="BK1277" s="113"/>
      <c r="BL1277" s="113"/>
      <c r="BM1277" s="113"/>
      <c r="BN1277" s="113"/>
      <c r="BO1277" s="113"/>
      <c r="BP1277" s="121"/>
      <c r="BQ1277" s="121"/>
      <c r="GA1277" t="s">
        <v>18300</v>
      </c>
      <c r="GB1277" t="s">
        <v>23048</v>
      </c>
      <c r="GC1277" s="46">
        <v>0</v>
      </c>
      <c r="GD1277" s="113"/>
      <c r="GE1277" s="113"/>
      <c r="GF1277" s="113"/>
      <c r="GG1277" s="113"/>
      <c r="GH1277" s="113"/>
      <c r="GI1277" s="46">
        <v>0</v>
      </c>
      <c r="GJ1277" s="113"/>
      <c r="GK1277" s="113"/>
      <c r="GL1277" s="113"/>
      <c r="GM1277" s="113"/>
      <c r="GN1277" s="113"/>
      <c r="GO1277" s="46">
        <v>0</v>
      </c>
      <c r="GP1277" s="113"/>
      <c r="GQ1277" s="113"/>
      <c r="GR1277" s="113"/>
      <c r="GS1277" s="113"/>
      <c r="GT1277" s="113"/>
      <c r="GU1277" s="46">
        <v>0</v>
      </c>
      <c r="GV1277" s="113"/>
      <c r="GW1277" s="113"/>
      <c r="GX1277" s="113"/>
      <c r="GY1277" s="113"/>
      <c r="GZ1277" s="113"/>
      <c r="HA1277" s="46">
        <v>0</v>
      </c>
      <c r="HB1277" s="113"/>
      <c r="HC1277" s="113"/>
      <c r="HD1277" s="113"/>
      <c r="HE1277" s="113"/>
      <c r="HF1277" s="113"/>
      <c r="HG1277" s="46">
        <v>0</v>
      </c>
      <c r="HH1277" s="113"/>
      <c r="HI1277" s="113"/>
      <c r="HJ1277" s="113"/>
      <c r="HK1277" s="113"/>
      <c r="HL1277" s="113"/>
      <c r="HM1277" s="121"/>
      <c r="HN1277" s="121"/>
      <c r="LM1277" t="str">
        <v/>
      </c>
      <c r="LN1277" t="str">
        <v/>
      </c>
      <c r="LO1277" t="str">
        <v/>
      </c>
    </row>
    <row r="1278" spans="30:327">
      <c r="AD1278" t="s">
        <v>18300</v>
      </c>
      <c r="AE1278" t="s">
        <v>23049</v>
      </c>
      <c r="AF1278" s="46">
        <v>0</v>
      </c>
      <c r="AG1278" s="113"/>
      <c r="AH1278" s="113"/>
      <c r="AI1278" s="113"/>
      <c r="AJ1278" s="113"/>
      <c r="AK1278" s="113"/>
      <c r="AL1278" s="46">
        <v>0</v>
      </c>
      <c r="AM1278" s="113"/>
      <c r="AN1278" s="113"/>
      <c r="AO1278" s="113"/>
      <c r="AP1278" s="113"/>
      <c r="AQ1278" s="113"/>
      <c r="AR1278" s="46">
        <v>0</v>
      </c>
      <c r="AS1278" s="113"/>
      <c r="AT1278" s="113"/>
      <c r="AU1278" s="113"/>
      <c r="AV1278" s="113"/>
      <c r="AW1278" s="113"/>
      <c r="AX1278" s="46">
        <v>0</v>
      </c>
      <c r="AY1278" s="113"/>
      <c r="AZ1278" s="113"/>
      <c r="BA1278" s="113"/>
      <c r="BB1278" s="113"/>
      <c r="BC1278" s="113"/>
      <c r="BD1278" s="46">
        <v>0</v>
      </c>
      <c r="BE1278" s="113"/>
      <c r="BF1278" s="113"/>
      <c r="BG1278" s="113"/>
      <c r="BH1278" s="113"/>
      <c r="BI1278" s="113"/>
      <c r="BJ1278" s="46">
        <v>0</v>
      </c>
      <c r="BK1278" s="113"/>
      <c r="BL1278" s="113"/>
      <c r="BM1278" s="113"/>
      <c r="BN1278" s="113"/>
      <c r="BO1278" s="113"/>
      <c r="BP1278" s="121"/>
      <c r="BQ1278" s="121"/>
      <c r="GA1278" t="s">
        <v>18300</v>
      </c>
      <c r="GB1278" t="s">
        <v>23049</v>
      </c>
      <c r="GC1278" s="46">
        <v>0</v>
      </c>
      <c r="GD1278" s="113"/>
      <c r="GE1278" s="113"/>
      <c r="GF1278" s="113"/>
      <c r="GG1278" s="113"/>
      <c r="GH1278" s="113"/>
      <c r="GI1278" s="46">
        <v>0</v>
      </c>
      <c r="GJ1278" s="113"/>
      <c r="GK1278" s="113"/>
      <c r="GL1278" s="113"/>
      <c r="GM1278" s="113"/>
      <c r="GN1278" s="113"/>
      <c r="GO1278" s="46">
        <v>0</v>
      </c>
      <c r="GP1278" s="113"/>
      <c r="GQ1278" s="113"/>
      <c r="GR1278" s="113"/>
      <c r="GS1278" s="113"/>
      <c r="GT1278" s="113"/>
      <c r="GU1278" s="46">
        <v>0</v>
      </c>
      <c r="GV1278" s="113"/>
      <c r="GW1278" s="113"/>
      <c r="GX1278" s="113"/>
      <c r="GY1278" s="113"/>
      <c r="GZ1278" s="113"/>
      <c r="HA1278" s="46">
        <v>0</v>
      </c>
      <c r="HB1278" s="113"/>
      <c r="HC1278" s="113"/>
      <c r="HD1278" s="113"/>
      <c r="HE1278" s="113"/>
      <c r="HF1278" s="113"/>
      <c r="HG1278" s="46">
        <v>0</v>
      </c>
      <c r="HH1278" s="113"/>
      <c r="HI1278" s="113"/>
      <c r="HJ1278" s="113"/>
      <c r="HK1278" s="113"/>
      <c r="HL1278" s="113"/>
      <c r="HM1278" s="121"/>
      <c r="HN1278" s="121"/>
      <c r="LM1278" t="str">
        <v/>
      </c>
      <c r="LN1278" t="str">
        <v/>
      </c>
      <c r="LO1278" t="str">
        <v/>
      </c>
    </row>
    <row r="1279" spans="30:327">
      <c r="AD1279" t="s">
        <v>18300</v>
      </c>
      <c r="AE1279" t="s">
        <v>23050</v>
      </c>
      <c r="AF1279" s="46">
        <v>0</v>
      </c>
      <c r="AG1279" s="113"/>
      <c r="AH1279" s="113"/>
      <c r="AI1279" s="113"/>
      <c r="AJ1279" s="113"/>
      <c r="AK1279" s="113"/>
      <c r="AL1279" s="46">
        <v>0</v>
      </c>
      <c r="AM1279" s="113"/>
      <c r="AN1279" s="113"/>
      <c r="AO1279" s="113"/>
      <c r="AP1279" s="113"/>
      <c r="AQ1279" s="113"/>
      <c r="AR1279" s="46">
        <v>0</v>
      </c>
      <c r="AS1279" s="113"/>
      <c r="AT1279" s="113"/>
      <c r="AU1279" s="113"/>
      <c r="AV1279" s="113"/>
      <c r="AW1279" s="113"/>
      <c r="AX1279" s="46">
        <v>0</v>
      </c>
      <c r="AY1279" s="113"/>
      <c r="AZ1279" s="113"/>
      <c r="BA1279" s="113"/>
      <c r="BB1279" s="113"/>
      <c r="BC1279" s="113"/>
      <c r="BD1279" s="46">
        <v>0</v>
      </c>
      <c r="BE1279" s="113"/>
      <c r="BF1279" s="113"/>
      <c r="BG1279" s="113"/>
      <c r="BH1279" s="113"/>
      <c r="BI1279" s="113"/>
      <c r="BJ1279" s="46">
        <v>0</v>
      </c>
      <c r="BK1279" s="113"/>
      <c r="BL1279" s="113"/>
      <c r="BM1279" s="113"/>
      <c r="BN1279" s="113"/>
      <c r="BO1279" s="113"/>
      <c r="BP1279" s="121"/>
      <c r="BQ1279" s="121"/>
      <c r="GA1279" t="s">
        <v>18300</v>
      </c>
      <c r="GB1279" t="s">
        <v>23050</v>
      </c>
      <c r="GC1279" s="46">
        <v>0</v>
      </c>
      <c r="GD1279" s="113"/>
      <c r="GE1279" s="113"/>
      <c r="GF1279" s="113"/>
      <c r="GG1279" s="113"/>
      <c r="GH1279" s="113"/>
      <c r="GI1279" s="46">
        <v>0</v>
      </c>
      <c r="GJ1279" s="113"/>
      <c r="GK1279" s="113"/>
      <c r="GL1279" s="113"/>
      <c r="GM1279" s="113"/>
      <c r="GN1279" s="113"/>
      <c r="GO1279" s="46">
        <v>0</v>
      </c>
      <c r="GP1279" s="113"/>
      <c r="GQ1279" s="113"/>
      <c r="GR1279" s="113"/>
      <c r="GS1279" s="113"/>
      <c r="GT1279" s="113"/>
      <c r="GU1279" s="46">
        <v>0</v>
      </c>
      <c r="GV1279" s="113"/>
      <c r="GW1279" s="113"/>
      <c r="GX1279" s="113"/>
      <c r="GY1279" s="113"/>
      <c r="GZ1279" s="113"/>
      <c r="HA1279" s="46">
        <v>0</v>
      </c>
      <c r="HB1279" s="113"/>
      <c r="HC1279" s="113"/>
      <c r="HD1279" s="113"/>
      <c r="HE1279" s="113"/>
      <c r="HF1279" s="113"/>
      <c r="HG1279" s="46">
        <v>0</v>
      </c>
      <c r="HH1279" s="113"/>
      <c r="HI1279" s="113"/>
      <c r="HJ1279" s="113"/>
      <c r="HK1279" s="113"/>
      <c r="HL1279" s="113"/>
      <c r="HM1279" s="121"/>
      <c r="HN1279" s="121"/>
      <c r="LM1279" t="str">
        <v/>
      </c>
      <c r="LN1279" t="str">
        <v/>
      </c>
      <c r="LO1279" t="str">
        <v/>
      </c>
    </row>
    <row r="1280" spans="30:327">
      <c r="AD1280" t="s">
        <v>18300</v>
      </c>
      <c r="AE1280" t="s">
        <v>23051</v>
      </c>
      <c r="AF1280" s="46">
        <v>0</v>
      </c>
      <c r="AG1280" s="113"/>
      <c r="AH1280" s="113"/>
      <c r="AI1280" s="113"/>
      <c r="AJ1280" s="113"/>
      <c r="AK1280" s="113"/>
      <c r="AL1280" s="46">
        <v>0</v>
      </c>
      <c r="AM1280" s="113"/>
      <c r="AN1280" s="113"/>
      <c r="AO1280" s="113"/>
      <c r="AP1280" s="113"/>
      <c r="AQ1280" s="113"/>
      <c r="AR1280" s="46">
        <v>0</v>
      </c>
      <c r="AS1280" s="113"/>
      <c r="AT1280" s="113"/>
      <c r="AU1280" s="113"/>
      <c r="AV1280" s="113"/>
      <c r="AW1280" s="113"/>
      <c r="AX1280" s="46">
        <v>0</v>
      </c>
      <c r="AY1280" s="113"/>
      <c r="AZ1280" s="113"/>
      <c r="BA1280" s="113"/>
      <c r="BB1280" s="113"/>
      <c r="BC1280" s="113"/>
      <c r="BD1280" s="46">
        <v>0</v>
      </c>
      <c r="BE1280" s="113"/>
      <c r="BF1280" s="113"/>
      <c r="BG1280" s="113"/>
      <c r="BH1280" s="113"/>
      <c r="BI1280" s="113"/>
      <c r="BJ1280" s="46">
        <v>0</v>
      </c>
      <c r="BK1280" s="113"/>
      <c r="BL1280" s="113"/>
      <c r="BM1280" s="113"/>
      <c r="BN1280" s="113"/>
      <c r="BO1280" s="113"/>
      <c r="BP1280" s="121"/>
      <c r="BQ1280" s="121"/>
      <c r="GA1280" t="s">
        <v>18300</v>
      </c>
      <c r="GB1280" t="s">
        <v>23051</v>
      </c>
      <c r="GC1280" s="46">
        <v>0</v>
      </c>
      <c r="GD1280" s="113"/>
      <c r="GE1280" s="113"/>
      <c r="GF1280" s="113"/>
      <c r="GG1280" s="113"/>
      <c r="GH1280" s="113"/>
      <c r="GI1280" s="46">
        <v>0</v>
      </c>
      <c r="GJ1280" s="113"/>
      <c r="GK1280" s="113"/>
      <c r="GL1280" s="113"/>
      <c r="GM1280" s="113"/>
      <c r="GN1280" s="113"/>
      <c r="GO1280" s="46">
        <v>0</v>
      </c>
      <c r="GP1280" s="113"/>
      <c r="GQ1280" s="113"/>
      <c r="GR1280" s="113"/>
      <c r="GS1280" s="113"/>
      <c r="GT1280" s="113"/>
      <c r="GU1280" s="46">
        <v>0</v>
      </c>
      <c r="GV1280" s="113"/>
      <c r="GW1280" s="113"/>
      <c r="GX1280" s="113"/>
      <c r="GY1280" s="113"/>
      <c r="GZ1280" s="113"/>
      <c r="HA1280" s="46">
        <v>0</v>
      </c>
      <c r="HB1280" s="113"/>
      <c r="HC1280" s="113"/>
      <c r="HD1280" s="113"/>
      <c r="HE1280" s="113"/>
      <c r="HF1280" s="113"/>
      <c r="HG1280" s="46">
        <v>0</v>
      </c>
      <c r="HH1280" s="113"/>
      <c r="HI1280" s="113"/>
      <c r="HJ1280" s="113"/>
      <c r="HK1280" s="113"/>
      <c r="HL1280" s="113"/>
      <c r="HM1280" s="121"/>
      <c r="HN1280" s="121"/>
      <c r="LM1280" t="str">
        <v/>
      </c>
      <c r="LN1280" t="str">
        <v/>
      </c>
      <c r="LO1280" t="str">
        <v/>
      </c>
    </row>
    <row r="1281" spans="30:327">
      <c r="AD1281" t="s">
        <v>18300</v>
      </c>
      <c r="AE1281" t="s">
        <v>23052</v>
      </c>
      <c r="AF1281" s="46">
        <v>0</v>
      </c>
      <c r="AG1281" s="113"/>
      <c r="AH1281" s="113"/>
      <c r="AI1281" s="113"/>
      <c r="AJ1281" s="113"/>
      <c r="AK1281" s="113"/>
      <c r="AL1281" s="46">
        <v>0</v>
      </c>
      <c r="AM1281" s="113"/>
      <c r="AN1281" s="113"/>
      <c r="AO1281" s="113"/>
      <c r="AP1281" s="113"/>
      <c r="AQ1281" s="113"/>
      <c r="AR1281" s="46">
        <v>0</v>
      </c>
      <c r="AS1281" s="113"/>
      <c r="AT1281" s="113"/>
      <c r="AU1281" s="113"/>
      <c r="AV1281" s="113"/>
      <c r="AW1281" s="113"/>
      <c r="AX1281" s="46">
        <v>0</v>
      </c>
      <c r="AY1281" s="113"/>
      <c r="AZ1281" s="113"/>
      <c r="BA1281" s="113"/>
      <c r="BB1281" s="113"/>
      <c r="BC1281" s="113"/>
      <c r="BD1281" s="46">
        <v>0</v>
      </c>
      <c r="BE1281" s="113"/>
      <c r="BF1281" s="113"/>
      <c r="BG1281" s="113"/>
      <c r="BH1281" s="113"/>
      <c r="BI1281" s="113"/>
      <c r="BJ1281" s="46">
        <v>0</v>
      </c>
      <c r="BK1281" s="113"/>
      <c r="BL1281" s="113"/>
      <c r="BM1281" s="113"/>
      <c r="BN1281" s="113"/>
      <c r="BO1281" s="113"/>
      <c r="BP1281" s="121"/>
      <c r="BQ1281" s="121"/>
      <c r="GA1281" t="s">
        <v>18300</v>
      </c>
      <c r="GB1281" t="s">
        <v>23052</v>
      </c>
      <c r="GC1281" s="46">
        <v>0</v>
      </c>
      <c r="GD1281" s="113"/>
      <c r="GE1281" s="113"/>
      <c r="GF1281" s="113"/>
      <c r="GG1281" s="113"/>
      <c r="GH1281" s="113"/>
      <c r="GI1281" s="46">
        <v>0</v>
      </c>
      <c r="GJ1281" s="113"/>
      <c r="GK1281" s="113"/>
      <c r="GL1281" s="113"/>
      <c r="GM1281" s="113"/>
      <c r="GN1281" s="113"/>
      <c r="GO1281" s="46">
        <v>0</v>
      </c>
      <c r="GP1281" s="113"/>
      <c r="GQ1281" s="113"/>
      <c r="GR1281" s="113"/>
      <c r="GS1281" s="113"/>
      <c r="GT1281" s="113"/>
      <c r="GU1281" s="46">
        <v>0</v>
      </c>
      <c r="GV1281" s="113"/>
      <c r="GW1281" s="113"/>
      <c r="GX1281" s="113"/>
      <c r="GY1281" s="113"/>
      <c r="GZ1281" s="113"/>
      <c r="HA1281" s="46">
        <v>0</v>
      </c>
      <c r="HB1281" s="113"/>
      <c r="HC1281" s="113"/>
      <c r="HD1281" s="113"/>
      <c r="HE1281" s="113"/>
      <c r="HF1281" s="113"/>
      <c r="HG1281" s="46">
        <v>0</v>
      </c>
      <c r="HH1281" s="113"/>
      <c r="HI1281" s="113"/>
      <c r="HJ1281" s="113"/>
      <c r="HK1281" s="113"/>
      <c r="HL1281" s="113"/>
      <c r="HM1281" s="121"/>
      <c r="HN1281" s="121"/>
      <c r="LM1281" t="str">
        <v/>
      </c>
      <c r="LN1281" t="str">
        <v/>
      </c>
      <c r="LO1281" t="str">
        <v/>
      </c>
    </row>
    <row r="1282" spans="30:327">
      <c r="AD1282" t="s">
        <v>18300</v>
      </c>
      <c r="AE1282" t="s">
        <v>23053</v>
      </c>
      <c r="AF1282" s="46">
        <v>0</v>
      </c>
      <c r="AG1282" s="113"/>
      <c r="AH1282" s="113"/>
      <c r="AI1282" s="113"/>
      <c r="AJ1282" s="113"/>
      <c r="AK1282" s="113"/>
      <c r="AL1282" s="46">
        <v>0</v>
      </c>
      <c r="AM1282" s="113"/>
      <c r="AN1282" s="113"/>
      <c r="AO1282" s="113"/>
      <c r="AP1282" s="113"/>
      <c r="AQ1282" s="113"/>
      <c r="AR1282" s="46">
        <v>0</v>
      </c>
      <c r="AS1282" s="113"/>
      <c r="AT1282" s="113"/>
      <c r="AU1282" s="113"/>
      <c r="AV1282" s="113"/>
      <c r="AW1282" s="113"/>
      <c r="AX1282" s="46">
        <v>0</v>
      </c>
      <c r="AY1282" s="113"/>
      <c r="AZ1282" s="113"/>
      <c r="BA1282" s="113"/>
      <c r="BB1282" s="113"/>
      <c r="BC1282" s="113"/>
      <c r="BD1282" s="46">
        <v>0</v>
      </c>
      <c r="BE1282" s="113"/>
      <c r="BF1282" s="113"/>
      <c r="BG1282" s="113"/>
      <c r="BH1282" s="113"/>
      <c r="BI1282" s="113"/>
      <c r="BJ1282" s="46">
        <v>0</v>
      </c>
      <c r="BK1282" s="113"/>
      <c r="BL1282" s="113"/>
      <c r="BM1282" s="113"/>
      <c r="BN1282" s="113"/>
      <c r="BO1282" s="113"/>
      <c r="BP1282" s="121"/>
      <c r="BQ1282" s="121"/>
      <c r="GA1282" t="s">
        <v>18300</v>
      </c>
      <c r="GB1282" t="s">
        <v>23053</v>
      </c>
      <c r="GC1282" s="46">
        <v>0</v>
      </c>
      <c r="GD1282" s="113"/>
      <c r="GE1282" s="113"/>
      <c r="GF1282" s="113"/>
      <c r="GG1282" s="113"/>
      <c r="GH1282" s="113"/>
      <c r="GI1282" s="46">
        <v>0</v>
      </c>
      <c r="GJ1282" s="113"/>
      <c r="GK1282" s="113"/>
      <c r="GL1282" s="113"/>
      <c r="GM1282" s="113"/>
      <c r="GN1282" s="113"/>
      <c r="GO1282" s="46">
        <v>0</v>
      </c>
      <c r="GP1282" s="113"/>
      <c r="GQ1282" s="113"/>
      <c r="GR1282" s="113"/>
      <c r="GS1282" s="113"/>
      <c r="GT1282" s="113"/>
      <c r="GU1282" s="46">
        <v>0</v>
      </c>
      <c r="GV1282" s="113"/>
      <c r="GW1282" s="113"/>
      <c r="GX1282" s="113"/>
      <c r="GY1282" s="113"/>
      <c r="GZ1282" s="113"/>
      <c r="HA1282" s="46">
        <v>0</v>
      </c>
      <c r="HB1282" s="113"/>
      <c r="HC1282" s="113"/>
      <c r="HD1282" s="113"/>
      <c r="HE1282" s="113"/>
      <c r="HF1282" s="113"/>
      <c r="HG1282" s="46">
        <v>0</v>
      </c>
      <c r="HH1282" s="113"/>
      <c r="HI1282" s="113"/>
      <c r="HJ1282" s="113"/>
      <c r="HK1282" s="113"/>
      <c r="HL1282" s="113"/>
      <c r="HM1282" s="121"/>
      <c r="HN1282" s="121"/>
      <c r="LM1282" t="str">
        <v/>
      </c>
      <c r="LN1282" t="str">
        <v/>
      </c>
      <c r="LO1282" t="str">
        <v/>
      </c>
    </row>
    <row r="1283" spans="30:327">
      <c r="AD1283" t="s">
        <v>18300</v>
      </c>
      <c r="AE1283" t="s">
        <v>23054</v>
      </c>
      <c r="AF1283" s="46">
        <v>0</v>
      </c>
      <c r="AG1283" s="113"/>
      <c r="AH1283" s="113"/>
      <c r="AI1283" s="113"/>
      <c r="AJ1283" s="113"/>
      <c r="AK1283" s="113"/>
      <c r="AL1283" s="46">
        <v>0</v>
      </c>
      <c r="AM1283" s="113"/>
      <c r="AN1283" s="113"/>
      <c r="AO1283" s="113"/>
      <c r="AP1283" s="113"/>
      <c r="AQ1283" s="113"/>
      <c r="AR1283" s="46">
        <v>0</v>
      </c>
      <c r="AS1283" s="113"/>
      <c r="AT1283" s="113"/>
      <c r="AU1283" s="113"/>
      <c r="AV1283" s="113"/>
      <c r="AW1283" s="113"/>
      <c r="AX1283" s="46">
        <v>0</v>
      </c>
      <c r="AY1283" s="113"/>
      <c r="AZ1283" s="113"/>
      <c r="BA1283" s="113"/>
      <c r="BB1283" s="113"/>
      <c r="BC1283" s="113"/>
      <c r="BD1283" s="46">
        <v>0</v>
      </c>
      <c r="BE1283" s="113"/>
      <c r="BF1283" s="113"/>
      <c r="BG1283" s="113"/>
      <c r="BH1283" s="113"/>
      <c r="BI1283" s="113"/>
      <c r="BJ1283" s="46">
        <v>0</v>
      </c>
      <c r="BK1283" s="113"/>
      <c r="BL1283" s="113"/>
      <c r="BM1283" s="113"/>
      <c r="BN1283" s="113"/>
      <c r="BO1283" s="113"/>
      <c r="BP1283" s="121"/>
      <c r="BQ1283" s="121"/>
      <c r="GA1283" t="s">
        <v>18300</v>
      </c>
      <c r="GB1283" t="s">
        <v>23054</v>
      </c>
      <c r="GC1283" s="46">
        <v>0</v>
      </c>
      <c r="GD1283" s="113"/>
      <c r="GE1283" s="113"/>
      <c r="GF1283" s="113"/>
      <c r="GG1283" s="113"/>
      <c r="GH1283" s="113"/>
      <c r="GI1283" s="46">
        <v>0</v>
      </c>
      <c r="GJ1283" s="113"/>
      <c r="GK1283" s="113"/>
      <c r="GL1283" s="113"/>
      <c r="GM1283" s="113"/>
      <c r="GN1283" s="113"/>
      <c r="GO1283" s="46">
        <v>0</v>
      </c>
      <c r="GP1283" s="113"/>
      <c r="GQ1283" s="113"/>
      <c r="GR1283" s="113"/>
      <c r="GS1283" s="113"/>
      <c r="GT1283" s="113"/>
      <c r="GU1283" s="46">
        <v>0</v>
      </c>
      <c r="GV1283" s="113"/>
      <c r="GW1283" s="113"/>
      <c r="GX1283" s="113"/>
      <c r="GY1283" s="113"/>
      <c r="GZ1283" s="113"/>
      <c r="HA1283" s="46">
        <v>0</v>
      </c>
      <c r="HB1283" s="113"/>
      <c r="HC1283" s="113"/>
      <c r="HD1283" s="113"/>
      <c r="HE1283" s="113"/>
      <c r="HF1283" s="113"/>
      <c r="HG1283" s="46">
        <v>0</v>
      </c>
      <c r="HH1283" s="113"/>
      <c r="HI1283" s="113"/>
      <c r="HJ1283" s="113"/>
      <c r="HK1283" s="113"/>
      <c r="HL1283" s="113"/>
      <c r="HM1283" s="121"/>
      <c r="HN1283" s="121"/>
      <c r="LM1283" t="str">
        <v/>
      </c>
      <c r="LN1283" t="str">
        <v/>
      </c>
      <c r="LO1283" t="str">
        <v/>
      </c>
    </row>
    <row r="1284" spans="30:327">
      <c r="AD1284" t="s">
        <v>18300</v>
      </c>
      <c r="AE1284" t="s">
        <v>23055</v>
      </c>
      <c r="AF1284" s="46">
        <v>0</v>
      </c>
      <c r="AG1284" s="113"/>
      <c r="AH1284" s="113"/>
      <c r="AI1284" s="113"/>
      <c r="AJ1284" s="113"/>
      <c r="AK1284" s="113"/>
      <c r="AL1284" s="46">
        <v>0</v>
      </c>
      <c r="AM1284" s="113"/>
      <c r="AN1284" s="113"/>
      <c r="AO1284" s="113"/>
      <c r="AP1284" s="113"/>
      <c r="AQ1284" s="113"/>
      <c r="AR1284" s="46">
        <v>0</v>
      </c>
      <c r="AS1284" s="113"/>
      <c r="AT1284" s="113"/>
      <c r="AU1284" s="113"/>
      <c r="AV1284" s="113"/>
      <c r="AW1284" s="113"/>
      <c r="AX1284" s="46">
        <v>0</v>
      </c>
      <c r="AY1284" s="113"/>
      <c r="AZ1284" s="113"/>
      <c r="BA1284" s="113"/>
      <c r="BB1284" s="113"/>
      <c r="BC1284" s="113"/>
      <c r="BD1284" s="46">
        <v>0</v>
      </c>
      <c r="BE1284" s="113"/>
      <c r="BF1284" s="113"/>
      <c r="BG1284" s="113"/>
      <c r="BH1284" s="113"/>
      <c r="BI1284" s="113"/>
      <c r="BJ1284" s="46">
        <v>0</v>
      </c>
      <c r="BK1284" s="113"/>
      <c r="BL1284" s="113"/>
      <c r="BM1284" s="113"/>
      <c r="BN1284" s="113"/>
      <c r="BO1284" s="113"/>
      <c r="BP1284" s="121"/>
      <c r="BQ1284" s="121"/>
      <c r="GA1284" t="s">
        <v>18300</v>
      </c>
      <c r="GB1284" t="s">
        <v>23055</v>
      </c>
      <c r="GC1284" s="46">
        <v>0</v>
      </c>
      <c r="GD1284" s="113"/>
      <c r="GE1284" s="113"/>
      <c r="GF1284" s="113"/>
      <c r="GG1284" s="113"/>
      <c r="GH1284" s="113"/>
      <c r="GI1284" s="46">
        <v>0</v>
      </c>
      <c r="GJ1284" s="113"/>
      <c r="GK1284" s="113"/>
      <c r="GL1284" s="113"/>
      <c r="GM1284" s="113"/>
      <c r="GN1284" s="113"/>
      <c r="GO1284" s="46">
        <v>0</v>
      </c>
      <c r="GP1284" s="113"/>
      <c r="GQ1284" s="113"/>
      <c r="GR1284" s="113"/>
      <c r="GS1284" s="113"/>
      <c r="GT1284" s="113"/>
      <c r="GU1284" s="46">
        <v>0</v>
      </c>
      <c r="GV1284" s="113"/>
      <c r="GW1284" s="113"/>
      <c r="GX1284" s="113"/>
      <c r="GY1284" s="113"/>
      <c r="GZ1284" s="113"/>
      <c r="HA1284" s="46">
        <v>0</v>
      </c>
      <c r="HB1284" s="113"/>
      <c r="HC1284" s="113"/>
      <c r="HD1284" s="113"/>
      <c r="HE1284" s="113"/>
      <c r="HF1284" s="113"/>
      <c r="HG1284" s="46">
        <v>0</v>
      </c>
      <c r="HH1284" s="113"/>
      <c r="HI1284" s="113"/>
      <c r="HJ1284" s="113"/>
      <c r="HK1284" s="113"/>
      <c r="HL1284" s="113"/>
      <c r="HM1284" s="121"/>
      <c r="HN1284" s="121"/>
      <c r="LM1284" t="str">
        <v/>
      </c>
      <c r="LN1284" t="str">
        <v/>
      </c>
      <c r="LO1284" t="str">
        <v/>
      </c>
    </row>
    <row r="1285" spans="30:327">
      <c r="AD1285" t="s">
        <v>18300</v>
      </c>
      <c r="AE1285" t="s">
        <v>23056</v>
      </c>
      <c r="AF1285" s="46">
        <v>0</v>
      </c>
      <c r="AG1285" s="113"/>
      <c r="AH1285" s="113"/>
      <c r="AI1285" s="113"/>
      <c r="AJ1285" s="113"/>
      <c r="AK1285" s="113"/>
      <c r="AL1285" s="46">
        <v>0</v>
      </c>
      <c r="AM1285" s="113"/>
      <c r="AN1285" s="113"/>
      <c r="AO1285" s="113"/>
      <c r="AP1285" s="113"/>
      <c r="AQ1285" s="113"/>
      <c r="AR1285" s="46">
        <v>0</v>
      </c>
      <c r="AS1285" s="113"/>
      <c r="AT1285" s="113"/>
      <c r="AU1285" s="113"/>
      <c r="AV1285" s="113"/>
      <c r="AW1285" s="113"/>
      <c r="AX1285" s="46">
        <v>0</v>
      </c>
      <c r="AY1285" s="113"/>
      <c r="AZ1285" s="113"/>
      <c r="BA1285" s="113"/>
      <c r="BB1285" s="113"/>
      <c r="BC1285" s="113"/>
      <c r="BD1285" s="46">
        <v>0</v>
      </c>
      <c r="BE1285" s="113"/>
      <c r="BF1285" s="113"/>
      <c r="BG1285" s="113"/>
      <c r="BH1285" s="113"/>
      <c r="BI1285" s="113"/>
      <c r="BJ1285" s="46">
        <v>0</v>
      </c>
      <c r="BK1285" s="113"/>
      <c r="BL1285" s="113"/>
      <c r="BM1285" s="113"/>
      <c r="BN1285" s="113"/>
      <c r="BO1285" s="113"/>
      <c r="BP1285" s="121"/>
      <c r="BQ1285" s="121"/>
      <c r="GA1285" t="s">
        <v>18300</v>
      </c>
      <c r="GB1285" t="s">
        <v>23056</v>
      </c>
      <c r="GC1285" s="46">
        <v>0</v>
      </c>
      <c r="GD1285" s="113"/>
      <c r="GE1285" s="113"/>
      <c r="GF1285" s="113"/>
      <c r="GG1285" s="113"/>
      <c r="GH1285" s="113"/>
      <c r="GI1285" s="46">
        <v>0</v>
      </c>
      <c r="GJ1285" s="113"/>
      <c r="GK1285" s="113"/>
      <c r="GL1285" s="113"/>
      <c r="GM1285" s="113"/>
      <c r="GN1285" s="113"/>
      <c r="GO1285" s="46">
        <v>0</v>
      </c>
      <c r="GP1285" s="113"/>
      <c r="GQ1285" s="113"/>
      <c r="GR1285" s="113"/>
      <c r="GS1285" s="113"/>
      <c r="GT1285" s="113"/>
      <c r="GU1285" s="46">
        <v>0</v>
      </c>
      <c r="GV1285" s="113"/>
      <c r="GW1285" s="113"/>
      <c r="GX1285" s="113"/>
      <c r="GY1285" s="113"/>
      <c r="GZ1285" s="113"/>
      <c r="HA1285" s="46">
        <v>0</v>
      </c>
      <c r="HB1285" s="113"/>
      <c r="HC1285" s="113"/>
      <c r="HD1285" s="113"/>
      <c r="HE1285" s="113"/>
      <c r="HF1285" s="113"/>
      <c r="HG1285" s="46">
        <v>0</v>
      </c>
      <c r="HH1285" s="113"/>
      <c r="HI1285" s="113"/>
      <c r="HJ1285" s="113"/>
      <c r="HK1285" s="113"/>
      <c r="HL1285" s="113"/>
      <c r="HM1285" s="121"/>
      <c r="HN1285" s="121"/>
      <c r="LM1285" t="str">
        <v/>
      </c>
      <c r="LN1285" t="str">
        <v/>
      </c>
      <c r="LO1285" t="str">
        <v/>
      </c>
    </row>
    <row r="1286" spans="30:327">
      <c r="AD1286" t="s">
        <v>18300</v>
      </c>
      <c r="AE1286" t="s">
        <v>23057</v>
      </c>
      <c r="AF1286" s="46">
        <v>0</v>
      </c>
      <c r="AG1286" s="113"/>
      <c r="AH1286" s="113"/>
      <c r="AI1286" s="113"/>
      <c r="AJ1286" s="113"/>
      <c r="AK1286" s="113"/>
      <c r="AL1286" s="46">
        <v>0</v>
      </c>
      <c r="AM1286" s="113"/>
      <c r="AN1286" s="113"/>
      <c r="AO1286" s="113"/>
      <c r="AP1286" s="113"/>
      <c r="AQ1286" s="113"/>
      <c r="AR1286" s="46">
        <v>0</v>
      </c>
      <c r="AS1286" s="113"/>
      <c r="AT1286" s="113"/>
      <c r="AU1286" s="113"/>
      <c r="AV1286" s="113"/>
      <c r="AW1286" s="113"/>
      <c r="AX1286" s="46">
        <v>0</v>
      </c>
      <c r="AY1286" s="113"/>
      <c r="AZ1286" s="113"/>
      <c r="BA1286" s="113"/>
      <c r="BB1286" s="113"/>
      <c r="BC1286" s="113"/>
      <c r="BD1286" s="46">
        <v>0</v>
      </c>
      <c r="BE1286" s="113"/>
      <c r="BF1286" s="113"/>
      <c r="BG1286" s="113"/>
      <c r="BH1286" s="113"/>
      <c r="BI1286" s="113"/>
      <c r="BJ1286" s="46">
        <v>0</v>
      </c>
      <c r="BK1286" s="113"/>
      <c r="BL1286" s="113"/>
      <c r="BM1286" s="113"/>
      <c r="BN1286" s="113"/>
      <c r="BO1286" s="113"/>
      <c r="BP1286" s="121"/>
      <c r="BQ1286" s="121"/>
      <c r="GA1286" t="s">
        <v>18300</v>
      </c>
      <c r="GB1286" t="s">
        <v>23057</v>
      </c>
      <c r="GC1286" s="46">
        <v>0</v>
      </c>
      <c r="GD1286" s="113"/>
      <c r="GE1286" s="113"/>
      <c r="GF1286" s="113"/>
      <c r="GG1286" s="113"/>
      <c r="GH1286" s="113"/>
      <c r="GI1286" s="46">
        <v>0</v>
      </c>
      <c r="GJ1286" s="113"/>
      <c r="GK1286" s="113"/>
      <c r="GL1286" s="113"/>
      <c r="GM1286" s="113"/>
      <c r="GN1286" s="113"/>
      <c r="GO1286" s="46">
        <v>0</v>
      </c>
      <c r="GP1286" s="113"/>
      <c r="GQ1286" s="113"/>
      <c r="GR1286" s="113"/>
      <c r="GS1286" s="113"/>
      <c r="GT1286" s="113"/>
      <c r="GU1286" s="46">
        <v>0</v>
      </c>
      <c r="GV1286" s="113"/>
      <c r="GW1286" s="113"/>
      <c r="GX1286" s="113"/>
      <c r="GY1286" s="113"/>
      <c r="GZ1286" s="113"/>
      <c r="HA1286" s="46">
        <v>0</v>
      </c>
      <c r="HB1286" s="113"/>
      <c r="HC1286" s="113"/>
      <c r="HD1286" s="113"/>
      <c r="HE1286" s="113"/>
      <c r="HF1286" s="113"/>
      <c r="HG1286" s="46">
        <v>0</v>
      </c>
      <c r="HH1286" s="113"/>
      <c r="HI1286" s="113"/>
      <c r="HJ1286" s="113"/>
      <c r="HK1286" s="113"/>
      <c r="HL1286" s="113"/>
      <c r="HM1286" s="121"/>
      <c r="HN1286" s="121"/>
      <c r="LM1286" t="str">
        <v/>
      </c>
      <c r="LN1286" t="str">
        <v/>
      </c>
      <c r="LO1286" t="str">
        <v/>
      </c>
    </row>
    <row r="1287" spans="30:327">
      <c r="AD1287" t="s">
        <v>18300</v>
      </c>
      <c r="AE1287" t="s">
        <v>23058</v>
      </c>
      <c r="AF1287" s="46">
        <v>0</v>
      </c>
      <c r="AG1287" s="113"/>
      <c r="AH1287" s="113"/>
      <c r="AI1287" s="113"/>
      <c r="AJ1287" s="113"/>
      <c r="AK1287" s="113"/>
      <c r="AL1287" s="46">
        <v>0</v>
      </c>
      <c r="AM1287" s="113"/>
      <c r="AN1287" s="113"/>
      <c r="AO1287" s="113"/>
      <c r="AP1287" s="113"/>
      <c r="AQ1287" s="113"/>
      <c r="AR1287" s="46">
        <v>0</v>
      </c>
      <c r="AS1287" s="113"/>
      <c r="AT1287" s="113"/>
      <c r="AU1287" s="113"/>
      <c r="AV1287" s="113"/>
      <c r="AW1287" s="113"/>
      <c r="AX1287" s="46">
        <v>0</v>
      </c>
      <c r="AY1287" s="113"/>
      <c r="AZ1287" s="113"/>
      <c r="BA1287" s="113"/>
      <c r="BB1287" s="113"/>
      <c r="BC1287" s="113"/>
      <c r="BD1287" s="46">
        <v>0</v>
      </c>
      <c r="BE1287" s="113"/>
      <c r="BF1287" s="113"/>
      <c r="BG1287" s="113"/>
      <c r="BH1287" s="113"/>
      <c r="BI1287" s="113"/>
      <c r="BJ1287" s="46">
        <v>0</v>
      </c>
      <c r="BK1287" s="113"/>
      <c r="BL1287" s="113"/>
      <c r="BM1287" s="113"/>
      <c r="BN1287" s="113"/>
      <c r="BO1287" s="113"/>
      <c r="BP1287" s="121"/>
      <c r="BQ1287" s="121"/>
      <c r="GA1287" t="s">
        <v>18300</v>
      </c>
      <c r="GB1287" t="s">
        <v>23058</v>
      </c>
      <c r="GC1287" s="46">
        <v>0</v>
      </c>
      <c r="GD1287" s="113"/>
      <c r="GE1287" s="113"/>
      <c r="GF1287" s="113"/>
      <c r="GG1287" s="113"/>
      <c r="GH1287" s="113"/>
      <c r="GI1287" s="46">
        <v>0</v>
      </c>
      <c r="GJ1287" s="113"/>
      <c r="GK1287" s="113"/>
      <c r="GL1287" s="113"/>
      <c r="GM1287" s="113"/>
      <c r="GN1287" s="113"/>
      <c r="GO1287" s="46">
        <v>0</v>
      </c>
      <c r="GP1287" s="113"/>
      <c r="GQ1287" s="113"/>
      <c r="GR1287" s="113"/>
      <c r="GS1287" s="113"/>
      <c r="GT1287" s="113"/>
      <c r="GU1287" s="46">
        <v>0</v>
      </c>
      <c r="GV1287" s="113"/>
      <c r="GW1287" s="113"/>
      <c r="GX1287" s="113"/>
      <c r="GY1287" s="113"/>
      <c r="GZ1287" s="113"/>
      <c r="HA1287" s="46">
        <v>0</v>
      </c>
      <c r="HB1287" s="113"/>
      <c r="HC1287" s="113"/>
      <c r="HD1287" s="113"/>
      <c r="HE1287" s="113"/>
      <c r="HF1287" s="113"/>
      <c r="HG1287" s="46">
        <v>0</v>
      </c>
      <c r="HH1287" s="113"/>
      <c r="HI1287" s="113"/>
      <c r="HJ1287" s="113"/>
      <c r="HK1287" s="113"/>
      <c r="HL1287" s="113"/>
      <c r="HM1287" s="121"/>
      <c r="HN1287" s="121"/>
      <c r="LM1287" t="str">
        <v/>
      </c>
      <c r="LN1287" t="str">
        <v/>
      </c>
      <c r="LO1287" t="str">
        <v/>
      </c>
    </row>
    <row r="1288" spans="30:327">
      <c r="AD1288" t="s">
        <v>18300</v>
      </c>
      <c r="AE1288" t="s">
        <v>23059</v>
      </c>
      <c r="AF1288" s="46">
        <v>0</v>
      </c>
      <c r="AG1288" s="113"/>
      <c r="AH1288" s="113"/>
      <c r="AI1288" s="113"/>
      <c r="AJ1288" s="113"/>
      <c r="AK1288" s="113"/>
      <c r="AL1288" s="46">
        <v>0</v>
      </c>
      <c r="AM1288" s="113"/>
      <c r="AN1288" s="113"/>
      <c r="AO1288" s="113"/>
      <c r="AP1288" s="113"/>
      <c r="AQ1288" s="113"/>
      <c r="AR1288" s="46">
        <v>0</v>
      </c>
      <c r="AS1288" s="113"/>
      <c r="AT1288" s="113"/>
      <c r="AU1288" s="113"/>
      <c r="AV1288" s="113"/>
      <c r="AW1288" s="113"/>
      <c r="AX1288" s="46">
        <v>0</v>
      </c>
      <c r="AY1288" s="113"/>
      <c r="AZ1288" s="113"/>
      <c r="BA1288" s="113"/>
      <c r="BB1288" s="113"/>
      <c r="BC1288" s="113"/>
      <c r="BD1288" s="46">
        <v>0</v>
      </c>
      <c r="BE1288" s="113"/>
      <c r="BF1288" s="113"/>
      <c r="BG1288" s="113"/>
      <c r="BH1288" s="113"/>
      <c r="BI1288" s="113"/>
      <c r="BJ1288" s="46">
        <v>0</v>
      </c>
      <c r="BK1288" s="113"/>
      <c r="BL1288" s="113"/>
      <c r="BM1288" s="113"/>
      <c r="BN1288" s="113"/>
      <c r="BO1288" s="113"/>
      <c r="BP1288" s="121"/>
      <c r="BQ1288" s="121"/>
      <c r="GA1288" t="s">
        <v>18300</v>
      </c>
      <c r="GB1288" t="s">
        <v>23059</v>
      </c>
      <c r="GC1288" s="46">
        <v>0</v>
      </c>
      <c r="GD1288" s="113"/>
      <c r="GE1288" s="113"/>
      <c r="GF1288" s="113"/>
      <c r="GG1288" s="113"/>
      <c r="GH1288" s="113"/>
      <c r="GI1288" s="46">
        <v>0</v>
      </c>
      <c r="GJ1288" s="113"/>
      <c r="GK1288" s="113"/>
      <c r="GL1288" s="113"/>
      <c r="GM1288" s="113"/>
      <c r="GN1288" s="113"/>
      <c r="GO1288" s="46">
        <v>0</v>
      </c>
      <c r="GP1288" s="113"/>
      <c r="GQ1288" s="113"/>
      <c r="GR1288" s="113"/>
      <c r="GS1288" s="113"/>
      <c r="GT1288" s="113"/>
      <c r="GU1288" s="46">
        <v>0</v>
      </c>
      <c r="GV1288" s="113"/>
      <c r="GW1288" s="113"/>
      <c r="GX1288" s="113"/>
      <c r="GY1288" s="113"/>
      <c r="GZ1288" s="113"/>
      <c r="HA1288" s="46">
        <v>0</v>
      </c>
      <c r="HB1288" s="113"/>
      <c r="HC1288" s="113"/>
      <c r="HD1288" s="113"/>
      <c r="HE1288" s="113"/>
      <c r="HF1288" s="113"/>
      <c r="HG1288" s="46">
        <v>0</v>
      </c>
      <c r="HH1288" s="113"/>
      <c r="HI1288" s="113"/>
      <c r="HJ1288" s="113"/>
      <c r="HK1288" s="113"/>
      <c r="HL1288" s="113"/>
      <c r="HM1288" s="121"/>
      <c r="HN1288" s="121"/>
      <c r="LM1288" t="str">
        <v/>
      </c>
      <c r="LN1288" t="str">
        <v/>
      </c>
      <c r="LO1288" t="str">
        <v/>
      </c>
    </row>
    <row r="1289" spans="30:327">
      <c r="AD1289" t="s">
        <v>18300</v>
      </c>
      <c r="AE1289" t="s">
        <v>23060</v>
      </c>
      <c r="AF1289" s="46">
        <v>0</v>
      </c>
      <c r="AG1289" s="113"/>
      <c r="AH1289" s="113"/>
      <c r="AI1289" s="113"/>
      <c r="AJ1289" s="113"/>
      <c r="AK1289" s="113"/>
      <c r="AL1289" s="46">
        <v>0</v>
      </c>
      <c r="AM1289" s="113"/>
      <c r="AN1289" s="113"/>
      <c r="AO1289" s="113"/>
      <c r="AP1289" s="113"/>
      <c r="AQ1289" s="113"/>
      <c r="AR1289" s="46">
        <v>0</v>
      </c>
      <c r="AS1289" s="113"/>
      <c r="AT1289" s="113"/>
      <c r="AU1289" s="113"/>
      <c r="AV1289" s="113"/>
      <c r="AW1289" s="113"/>
      <c r="AX1289" s="46">
        <v>0</v>
      </c>
      <c r="AY1289" s="113"/>
      <c r="AZ1289" s="113"/>
      <c r="BA1289" s="113"/>
      <c r="BB1289" s="113"/>
      <c r="BC1289" s="113"/>
      <c r="BD1289" s="46">
        <v>0</v>
      </c>
      <c r="BE1289" s="113"/>
      <c r="BF1289" s="113"/>
      <c r="BG1289" s="113"/>
      <c r="BH1289" s="113"/>
      <c r="BI1289" s="113"/>
      <c r="BJ1289" s="46">
        <v>0</v>
      </c>
      <c r="BK1289" s="113"/>
      <c r="BL1289" s="113"/>
      <c r="BM1289" s="113"/>
      <c r="BN1289" s="113"/>
      <c r="BO1289" s="113"/>
      <c r="BP1289" s="121"/>
      <c r="BQ1289" s="121"/>
      <c r="GA1289" t="s">
        <v>18300</v>
      </c>
      <c r="GB1289" t="s">
        <v>23060</v>
      </c>
      <c r="GC1289" s="46">
        <v>0</v>
      </c>
      <c r="GD1289" s="113"/>
      <c r="GE1289" s="113"/>
      <c r="GF1289" s="113"/>
      <c r="GG1289" s="113"/>
      <c r="GH1289" s="113"/>
      <c r="GI1289" s="46">
        <v>0</v>
      </c>
      <c r="GJ1289" s="113"/>
      <c r="GK1289" s="113"/>
      <c r="GL1289" s="113"/>
      <c r="GM1289" s="113"/>
      <c r="GN1289" s="113"/>
      <c r="GO1289" s="46">
        <v>0</v>
      </c>
      <c r="GP1289" s="113"/>
      <c r="GQ1289" s="113"/>
      <c r="GR1289" s="113"/>
      <c r="GS1289" s="113"/>
      <c r="GT1289" s="113"/>
      <c r="GU1289" s="46">
        <v>0</v>
      </c>
      <c r="GV1289" s="113"/>
      <c r="GW1289" s="113"/>
      <c r="GX1289" s="113"/>
      <c r="GY1289" s="113"/>
      <c r="GZ1289" s="113"/>
      <c r="HA1289" s="46">
        <v>0</v>
      </c>
      <c r="HB1289" s="113"/>
      <c r="HC1289" s="113"/>
      <c r="HD1289" s="113"/>
      <c r="HE1289" s="113"/>
      <c r="HF1289" s="113"/>
      <c r="HG1289" s="46">
        <v>0</v>
      </c>
      <c r="HH1289" s="113"/>
      <c r="HI1289" s="113"/>
      <c r="HJ1289" s="113"/>
      <c r="HK1289" s="113"/>
      <c r="HL1289" s="113"/>
      <c r="HM1289" s="121"/>
      <c r="HN1289" s="121"/>
      <c r="LM1289" t="str">
        <v/>
      </c>
      <c r="LN1289" t="str">
        <v/>
      </c>
      <c r="LO1289" t="str">
        <v/>
      </c>
    </row>
    <row r="1290" spans="30:327">
      <c r="AD1290" t="s">
        <v>18300</v>
      </c>
      <c r="AE1290" t="s">
        <v>23061</v>
      </c>
      <c r="AF1290" s="46">
        <v>0</v>
      </c>
      <c r="AG1290" s="113"/>
      <c r="AH1290" s="113"/>
      <c r="AI1290" s="113"/>
      <c r="AJ1290" s="113"/>
      <c r="AK1290" s="113"/>
      <c r="AL1290" s="46">
        <v>0</v>
      </c>
      <c r="AM1290" s="113"/>
      <c r="AN1290" s="113"/>
      <c r="AO1290" s="113"/>
      <c r="AP1290" s="113"/>
      <c r="AQ1290" s="113"/>
      <c r="AR1290" s="46">
        <v>0</v>
      </c>
      <c r="AS1290" s="113"/>
      <c r="AT1290" s="113"/>
      <c r="AU1290" s="113"/>
      <c r="AV1290" s="113"/>
      <c r="AW1290" s="113"/>
      <c r="AX1290" s="46">
        <v>0</v>
      </c>
      <c r="AY1290" s="113"/>
      <c r="AZ1290" s="113"/>
      <c r="BA1290" s="113"/>
      <c r="BB1290" s="113"/>
      <c r="BC1290" s="113"/>
      <c r="BD1290" s="46">
        <v>0</v>
      </c>
      <c r="BE1290" s="113"/>
      <c r="BF1290" s="113"/>
      <c r="BG1290" s="113"/>
      <c r="BH1290" s="113"/>
      <c r="BI1290" s="113"/>
      <c r="BJ1290" s="46">
        <v>0</v>
      </c>
      <c r="BK1290" s="113"/>
      <c r="BL1290" s="113"/>
      <c r="BM1290" s="113"/>
      <c r="BN1290" s="113"/>
      <c r="BO1290" s="113"/>
      <c r="BP1290" s="121"/>
      <c r="BQ1290" s="121"/>
      <c r="GA1290" t="s">
        <v>18300</v>
      </c>
      <c r="GB1290" t="s">
        <v>23061</v>
      </c>
      <c r="GC1290" s="46">
        <v>0</v>
      </c>
      <c r="GD1290" s="113"/>
      <c r="GE1290" s="113"/>
      <c r="GF1290" s="113"/>
      <c r="GG1290" s="113"/>
      <c r="GH1290" s="113"/>
      <c r="GI1290" s="46">
        <v>0</v>
      </c>
      <c r="GJ1290" s="113"/>
      <c r="GK1290" s="113"/>
      <c r="GL1290" s="113"/>
      <c r="GM1290" s="113"/>
      <c r="GN1290" s="113"/>
      <c r="GO1290" s="46">
        <v>0</v>
      </c>
      <c r="GP1290" s="113"/>
      <c r="GQ1290" s="113"/>
      <c r="GR1290" s="113"/>
      <c r="GS1290" s="113"/>
      <c r="GT1290" s="113"/>
      <c r="GU1290" s="46">
        <v>0</v>
      </c>
      <c r="GV1290" s="113"/>
      <c r="GW1290" s="113"/>
      <c r="GX1290" s="113"/>
      <c r="GY1290" s="113"/>
      <c r="GZ1290" s="113"/>
      <c r="HA1290" s="46">
        <v>0</v>
      </c>
      <c r="HB1290" s="113"/>
      <c r="HC1290" s="113"/>
      <c r="HD1290" s="113"/>
      <c r="HE1290" s="113"/>
      <c r="HF1290" s="113"/>
      <c r="HG1290" s="46">
        <v>0</v>
      </c>
      <c r="HH1290" s="113"/>
      <c r="HI1290" s="113"/>
      <c r="HJ1290" s="113"/>
      <c r="HK1290" s="113"/>
      <c r="HL1290" s="113"/>
      <c r="HM1290" s="121"/>
      <c r="HN1290" s="121"/>
      <c r="LM1290" t="str">
        <v/>
      </c>
      <c r="LN1290" t="str">
        <v/>
      </c>
      <c r="LO1290" t="str">
        <v/>
      </c>
    </row>
    <row r="1291" spans="30:327">
      <c r="AD1291" t="s">
        <v>18300</v>
      </c>
      <c r="AE1291" t="s">
        <v>23062</v>
      </c>
      <c r="AF1291" s="46">
        <v>0</v>
      </c>
      <c r="AG1291" s="113"/>
      <c r="AH1291" s="113"/>
      <c r="AI1291" s="113"/>
      <c r="AJ1291" s="113"/>
      <c r="AK1291" s="113"/>
      <c r="AL1291" s="46">
        <v>0</v>
      </c>
      <c r="AM1291" s="113"/>
      <c r="AN1291" s="113"/>
      <c r="AO1291" s="113"/>
      <c r="AP1291" s="113"/>
      <c r="AQ1291" s="113"/>
      <c r="AR1291" s="46">
        <v>0</v>
      </c>
      <c r="AS1291" s="113"/>
      <c r="AT1291" s="113"/>
      <c r="AU1291" s="113"/>
      <c r="AV1291" s="113"/>
      <c r="AW1291" s="113"/>
      <c r="AX1291" s="46">
        <v>0</v>
      </c>
      <c r="AY1291" s="113"/>
      <c r="AZ1291" s="113"/>
      <c r="BA1291" s="113"/>
      <c r="BB1291" s="113"/>
      <c r="BC1291" s="113"/>
      <c r="BD1291" s="46">
        <v>0</v>
      </c>
      <c r="BE1291" s="113"/>
      <c r="BF1291" s="113"/>
      <c r="BG1291" s="113"/>
      <c r="BH1291" s="113"/>
      <c r="BI1291" s="113"/>
      <c r="BJ1291" s="46">
        <v>0</v>
      </c>
      <c r="BK1291" s="113"/>
      <c r="BL1291" s="113"/>
      <c r="BM1291" s="113"/>
      <c r="BN1291" s="113"/>
      <c r="BO1291" s="113"/>
      <c r="BP1291" s="121"/>
      <c r="BQ1291" s="121"/>
      <c r="GA1291" t="s">
        <v>18300</v>
      </c>
      <c r="GB1291" t="s">
        <v>23062</v>
      </c>
      <c r="GC1291" s="46">
        <v>0</v>
      </c>
      <c r="GD1291" s="113"/>
      <c r="GE1291" s="113"/>
      <c r="GF1291" s="113"/>
      <c r="GG1291" s="113"/>
      <c r="GH1291" s="113"/>
      <c r="GI1291" s="46">
        <v>0</v>
      </c>
      <c r="GJ1291" s="113"/>
      <c r="GK1291" s="113"/>
      <c r="GL1291" s="113"/>
      <c r="GM1291" s="113"/>
      <c r="GN1291" s="113"/>
      <c r="GO1291" s="46">
        <v>0</v>
      </c>
      <c r="GP1291" s="113"/>
      <c r="GQ1291" s="113"/>
      <c r="GR1291" s="113"/>
      <c r="GS1291" s="113"/>
      <c r="GT1291" s="113"/>
      <c r="GU1291" s="46">
        <v>0</v>
      </c>
      <c r="GV1291" s="113"/>
      <c r="GW1291" s="113"/>
      <c r="GX1291" s="113"/>
      <c r="GY1291" s="113"/>
      <c r="GZ1291" s="113"/>
      <c r="HA1291" s="46">
        <v>0</v>
      </c>
      <c r="HB1291" s="113"/>
      <c r="HC1291" s="113"/>
      <c r="HD1291" s="113"/>
      <c r="HE1291" s="113"/>
      <c r="HF1291" s="113"/>
      <c r="HG1291" s="46">
        <v>0</v>
      </c>
      <c r="HH1291" s="113"/>
      <c r="HI1291" s="113"/>
      <c r="HJ1291" s="113"/>
      <c r="HK1291" s="113"/>
      <c r="HL1291" s="113"/>
      <c r="HM1291" s="121"/>
      <c r="HN1291" s="121"/>
      <c r="LM1291" t="str">
        <v/>
      </c>
      <c r="LN1291" t="str">
        <v/>
      </c>
      <c r="LO1291" t="str">
        <v/>
      </c>
    </row>
    <row r="1292" spans="30:327">
      <c r="AD1292" t="s">
        <v>18300</v>
      </c>
      <c r="AE1292" t="s">
        <v>23063</v>
      </c>
      <c r="AF1292" s="46">
        <v>0</v>
      </c>
      <c r="AG1292" s="113"/>
      <c r="AH1292" s="113"/>
      <c r="AI1292" s="113"/>
      <c r="AJ1292" s="113"/>
      <c r="AK1292" s="113"/>
      <c r="AL1292" s="46">
        <v>0</v>
      </c>
      <c r="AM1292" s="113"/>
      <c r="AN1292" s="113"/>
      <c r="AO1292" s="113"/>
      <c r="AP1292" s="113"/>
      <c r="AQ1292" s="113"/>
      <c r="AR1292" s="46">
        <v>0</v>
      </c>
      <c r="AS1292" s="113"/>
      <c r="AT1292" s="113"/>
      <c r="AU1292" s="113"/>
      <c r="AV1292" s="113"/>
      <c r="AW1292" s="113"/>
      <c r="AX1292" s="46">
        <v>0</v>
      </c>
      <c r="AY1292" s="113"/>
      <c r="AZ1292" s="113"/>
      <c r="BA1292" s="113"/>
      <c r="BB1292" s="113"/>
      <c r="BC1292" s="113"/>
      <c r="BD1292" s="46">
        <v>0</v>
      </c>
      <c r="BE1292" s="113"/>
      <c r="BF1292" s="113"/>
      <c r="BG1292" s="113"/>
      <c r="BH1292" s="113"/>
      <c r="BI1292" s="113"/>
      <c r="BJ1292" s="46">
        <v>0</v>
      </c>
      <c r="BK1292" s="113"/>
      <c r="BL1292" s="113"/>
      <c r="BM1292" s="113"/>
      <c r="BN1292" s="113"/>
      <c r="BO1292" s="113"/>
      <c r="BP1292" s="121"/>
      <c r="BQ1292" s="121"/>
      <c r="GA1292" t="s">
        <v>18300</v>
      </c>
      <c r="GB1292" t="s">
        <v>23063</v>
      </c>
      <c r="GC1292" s="46">
        <v>0</v>
      </c>
      <c r="GD1292" s="113"/>
      <c r="GE1292" s="113"/>
      <c r="GF1292" s="113"/>
      <c r="GG1292" s="113"/>
      <c r="GH1292" s="113"/>
      <c r="GI1292" s="46">
        <v>0</v>
      </c>
      <c r="GJ1292" s="113"/>
      <c r="GK1292" s="113"/>
      <c r="GL1292" s="113"/>
      <c r="GM1292" s="113"/>
      <c r="GN1292" s="113"/>
      <c r="GO1292" s="46">
        <v>0</v>
      </c>
      <c r="GP1292" s="113"/>
      <c r="GQ1292" s="113"/>
      <c r="GR1292" s="113"/>
      <c r="GS1292" s="113"/>
      <c r="GT1292" s="113"/>
      <c r="GU1292" s="46">
        <v>0</v>
      </c>
      <c r="GV1292" s="113"/>
      <c r="GW1292" s="113"/>
      <c r="GX1292" s="113"/>
      <c r="GY1292" s="113"/>
      <c r="GZ1292" s="113"/>
      <c r="HA1292" s="46">
        <v>0</v>
      </c>
      <c r="HB1292" s="113"/>
      <c r="HC1292" s="113"/>
      <c r="HD1292" s="113"/>
      <c r="HE1292" s="113"/>
      <c r="HF1292" s="113"/>
      <c r="HG1292" s="46">
        <v>0</v>
      </c>
      <c r="HH1292" s="113"/>
      <c r="HI1292" s="113"/>
      <c r="HJ1292" s="113"/>
      <c r="HK1292" s="113"/>
      <c r="HL1292" s="113"/>
      <c r="HM1292" s="121"/>
      <c r="HN1292" s="121"/>
      <c r="LM1292" t="str">
        <v/>
      </c>
      <c r="LN1292" t="str">
        <v/>
      </c>
      <c r="LO1292" t="str">
        <v/>
      </c>
    </row>
    <row r="1293" spans="30:327">
      <c r="AD1293" t="s">
        <v>18300</v>
      </c>
      <c r="AE1293" t="s">
        <v>23064</v>
      </c>
      <c r="AF1293" s="46">
        <v>0</v>
      </c>
      <c r="AG1293" s="113"/>
      <c r="AH1293" s="113"/>
      <c r="AI1293" s="113"/>
      <c r="AJ1293" s="113"/>
      <c r="AK1293" s="113"/>
      <c r="AL1293" s="46">
        <v>0</v>
      </c>
      <c r="AM1293" s="113"/>
      <c r="AN1293" s="113"/>
      <c r="AO1293" s="113"/>
      <c r="AP1293" s="113"/>
      <c r="AQ1293" s="113"/>
      <c r="AR1293" s="46">
        <v>0</v>
      </c>
      <c r="AS1293" s="113"/>
      <c r="AT1293" s="113"/>
      <c r="AU1293" s="113"/>
      <c r="AV1293" s="113"/>
      <c r="AW1293" s="113"/>
      <c r="AX1293" s="46">
        <v>0</v>
      </c>
      <c r="AY1293" s="113"/>
      <c r="AZ1293" s="113"/>
      <c r="BA1293" s="113"/>
      <c r="BB1293" s="113"/>
      <c r="BC1293" s="113"/>
      <c r="BD1293" s="46">
        <v>0</v>
      </c>
      <c r="BE1293" s="113"/>
      <c r="BF1293" s="113"/>
      <c r="BG1293" s="113"/>
      <c r="BH1293" s="113"/>
      <c r="BI1293" s="113"/>
      <c r="BJ1293" s="46">
        <v>0</v>
      </c>
      <c r="BK1293" s="113"/>
      <c r="BL1293" s="113"/>
      <c r="BM1293" s="113"/>
      <c r="BN1293" s="113"/>
      <c r="BO1293" s="113"/>
      <c r="BP1293" s="121"/>
      <c r="BQ1293" s="121"/>
      <c r="GA1293" t="s">
        <v>18300</v>
      </c>
      <c r="GB1293" t="s">
        <v>23064</v>
      </c>
      <c r="GC1293" s="46">
        <v>0</v>
      </c>
      <c r="GD1293" s="113"/>
      <c r="GE1293" s="113"/>
      <c r="GF1293" s="113"/>
      <c r="GG1293" s="113"/>
      <c r="GH1293" s="113"/>
      <c r="GI1293" s="46">
        <v>0</v>
      </c>
      <c r="GJ1293" s="113"/>
      <c r="GK1293" s="113"/>
      <c r="GL1293" s="113"/>
      <c r="GM1293" s="113"/>
      <c r="GN1293" s="113"/>
      <c r="GO1293" s="46">
        <v>0</v>
      </c>
      <c r="GP1293" s="113"/>
      <c r="GQ1293" s="113"/>
      <c r="GR1293" s="113"/>
      <c r="GS1293" s="113"/>
      <c r="GT1293" s="113"/>
      <c r="GU1293" s="46">
        <v>0</v>
      </c>
      <c r="GV1293" s="113"/>
      <c r="GW1293" s="113"/>
      <c r="GX1293" s="113"/>
      <c r="GY1293" s="113"/>
      <c r="GZ1293" s="113"/>
      <c r="HA1293" s="46">
        <v>0</v>
      </c>
      <c r="HB1293" s="113"/>
      <c r="HC1293" s="113"/>
      <c r="HD1293" s="113"/>
      <c r="HE1293" s="113"/>
      <c r="HF1293" s="113"/>
      <c r="HG1293" s="46">
        <v>0</v>
      </c>
      <c r="HH1293" s="113"/>
      <c r="HI1293" s="113"/>
      <c r="HJ1293" s="113"/>
      <c r="HK1293" s="113"/>
      <c r="HL1293" s="113"/>
      <c r="HM1293" s="121"/>
      <c r="HN1293" s="121"/>
      <c r="LM1293" t="str">
        <v/>
      </c>
      <c r="LN1293" t="str">
        <v/>
      </c>
      <c r="LO1293" t="str">
        <v/>
      </c>
    </row>
    <row r="1294" spans="30:327">
      <c r="AD1294" t="s">
        <v>18300</v>
      </c>
      <c r="AE1294" t="s">
        <v>23065</v>
      </c>
      <c r="AF1294" s="46">
        <v>0</v>
      </c>
      <c r="AG1294" s="113"/>
      <c r="AH1294" s="113"/>
      <c r="AI1294" s="113"/>
      <c r="AJ1294" s="113"/>
      <c r="AK1294" s="113"/>
      <c r="AL1294" s="46">
        <v>0</v>
      </c>
      <c r="AM1294" s="113"/>
      <c r="AN1294" s="113"/>
      <c r="AO1294" s="113"/>
      <c r="AP1294" s="113"/>
      <c r="AQ1294" s="113"/>
      <c r="AR1294" s="46">
        <v>0</v>
      </c>
      <c r="AS1294" s="113"/>
      <c r="AT1294" s="113"/>
      <c r="AU1294" s="113"/>
      <c r="AV1294" s="113"/>
      <c r="AW1294" s="113"/>
      <c r="AX1294" s="46">
        <v>0</v>
      </c>
      <c r="AY1294" s="113"/>
      <c r="AZ1294" s="113"/>
      <c r="BA1294" s="113"/>
      <c r="BB1294" s="113"/>
      <c r="BC1294" s="113"/>
      <c r="BD1294" s="46">
        <v>0</v>
      </c>
      <c r="BE1294" s="113"/>
      <c r="BF1294" s="113"/>
      <c r="BG1294" s="113"/>
      <c r="BH1294" s="113"/>
      <c r="BI1294" s="113"/>
      <c r="BJ1294" s="46">
        <v>0</v>
      </c>
      <c r="BK1294" s="113"/>
      <c r="BL1294" s="113"/>
      <c r="BM1294" s="113"/>
      <c r="BN1294" s="113"/>
      <c r="BO1294" s="113"/>
      <c r="BP1294" s="121"/>
      <c r="BQ1294" s="121"/>
      <c r="GA1294" t="s">
        <v>18300</v>
      </c>
      <c r="GB1294" t="s">
        <v>23065</v>
      </c>
      <c r="GC1294" s="46">
        <v>0</v>
      </c>
      <c r="GD1294" s="113"/>
      <c r="GE1294" s="113"/>
      <c r="GF1294" s="113"/>
      <c r="GG1294" s="113"/>
      <c r="GH1294" s="113"/>
      <c r="GI1294" s="46">
        <v>0</v>
      </c>
      <c r="GJ1294" s="113"/>
      <c r="GK1294" s="113"/>
      <c r="GL1294" s="113"/>
      <c r="GM1294" s="113"/>
      <c r="GN1294" s="113"/>
      <c r="GO1294" s="46">
        <v>0</v>
      </c>
      <c r="GP1294" s="113"/>
      <c r="GQ1294" s="113"/>
      <c r="GR1294" s="113"/>
      <c r="GS1294" s="113"/>
      <c r="GT1294" s="113"/>
      <c r="GU1294" s="46">
        <v>0</v>
      </c>
      <c r="GV1294" s="113"/>
      <c r="GW1294" s="113"/>
      <c r="GX1294" s="113"/>
      <c r="GY1294" s="113"/>
      <c r="GZ1294" s="113"/>
      <c r="HA1294" s="46">
        <v>0</v>
      </c>
      <c r="HB1294" s="113"/>
      <c r="HC1294" s="113"/>
      <c r="HD1294" s="113"/>
      <c r="HE1294" s="113"/>
      <c r="HF1294" s="113"/>
      <c r="HG1294" s="46">
        <v>0</v>
      </c>
      <c r="HH1294" s="113"/>
      <c r="HI1294" s="113"/>
      <c r="HJ1294" s="113"/>
      <c r="HK1294" s="113"/>
      <c r="HL1294" s="113"/>
      <c r="HM1294" s="121"/>
      <c r="HN1294" s="121"/>
      <c r="LM1294" t="str">
        <v/>
      </c>
      <c r="LN1294" t="str">
        <v/>
      </c>
      <c r="LO1294" t="str">
        <v/>
      </c>
    </row>
    <row r="1295" spans="30:327">
      <c r="AD1295" t="s">
        <v>18300</v>
      </c>
      <c r="AE1295" t="s">
        <v>23066</v>
      </c>
      <c r="AF1295" s="46">
        <v>0</v>
      </c>
      <c r="AG1295" s="113"/>
      <c r="AH1295" s="113"/>
      <c r="AI1295" s="113"/>
      <c r="AJ1295" s="113"/>
      <c r="AK1295" s="113"/>
      <c r="AL1295" s="46">
        <v>0</v>
      </c>
      <c r="AM1295" s="113"/>
      <c r="AN1295" s="113"/>
      <c r="AO1295" s="113"/>
      <c r="AP1295" s="113"/>
      <c r="AQ1295" s="113"/>
      <c r="AR1295" s="46">
        <v>0</v>
      </c>
      <c r="AS1295" s="113"/>
      <c r="AT1295" s="113"/>
      <c r="AU1295" s="113"/>
      <c r="AV1295" s="113"/>
      <c r="AW1295" s="113"/>
      <c r="AX1295" s="46">
        <v>0</v>
      </c>
      <c r="AY1295" s="113"/>
      <c r="AZ1295" s="113"/>
      <c r="BA1295" s="113"/>
      <c r="BB1295" s="113"/>
      <c r="BC1295" s="113"/>
      <c r="BD1295" s="46">
        <v>0</v>
      </c>
      <c r="BE1295" s="113"/>
      <c r="BF1295" s="113"/>
      <c r="BG1295" s="113"/>
      <c r="BH1295" s="113"/>
      <c r="BI1295" s="113"/>
      <c r="BJ1295" s="46">
        <v>0</v>
      </c>
      <c r="BK1295" s="113"/>
      <c r="BL1295" s="113"/>
      <c r="BM1295" s="113"/>
      <c r="BN1295" s="113"/>
      <c r="BO1295" s="113"/>
      <c r="BP1295" s="121"/>
      <c r="BQ1295" s="121"/>
      <c r="GA1295" t="s">
        <v>18300</v>
      </c>
      <c r="GB1295" t="s">
        <v>23066</v>
      </c>
      <c r="GC1295" s="46">
        <v>0</v>
      </c>
      <c r="GD1295" s="113"/>
      <c r="GE1295" s="113"/>
      <c r="GF1295" s="113"/>
      <c r="GG1295" s="113"/>
      <c r="GH1295" s="113"/>
      <c r="GI1295" s="46">
        <v>0</v>
      </c>
      <c r="GJ1295" s="113"/>
      <c r="GK1295" s="113"/>
      <c r="GL1295" s="113"/>
      <c r="GM1295" s="113"/>
      <c r="GN1295" s="113"/>
      <c r="GO1295" s="46">
        <v>0</v>
      </c>
      <c r="GP1295" s="113"/>
      <c r="GQ1295" s="113"/>
      <c r="GR1295" s="113"/>
      <c r="GS1295" s="113"/>
      <c r="GT1295" s="113"/>
      <c r="GU1295" s="46">
        <v>0</v>
      </c>
      <c r="GV1295" s="113"/>
      <c r="GW1295" s="113"/>
      <c r="GX1295" s="113"/>
      <c r="GY1295" s="113"/>
      <c r="GZ1295" s="113"/>
      <c r="HA1295" s="46">
        <v>0</v>
      </c>
      <c r="HB1295" s="113"/>
      <c r="HC1295" s="113"/>
      <c r="HD1295" s="113"/>
      <c r="HE1295" s="113"/>
      <c r="HF1295" s="113"/>
      <c r="HG1295" s="46">
        <v>0</v>
      </c>
      <c r="HH1295" s="113"/>
      <c r="HI1295" s="113"/>
      <c r="HJ1295" s="113"/>
      <c r="HK1295" s="113"/>
      <c r="HL1295" s="113"/>
      <c r="HM1295" s="121"/>
      <c r="HN1295" s="121"/>
      <c r="LM1295" t="str">
        <v/>
      </c>
      <c r="LN1295" t="str">
        <v/>
      </c>
      <c r="LO1295" t="str">
        <v/>
      </c>
    </row>
    <row r="1296" spans="30:327">
      <c r="AD1296" t="s">
        <v>18300</v>
      </c>
      <c r="AE1296" t="s">
        <v>23067</v>
      </c>
      <c r="AF1296" s="46">
        <v>0</v>
      </c>
      <c r="AG1296" s="113"/>
      <c r="AH1296" s="113"/>
      <c r="AI1296" s="113"/>
      <c r="AJ1296" s="113"/>
      <c r="AK1296" s="113"/>
      <c r="AL1296" s="46">
        <v>0</v>
      </c>
      <c r="AM1296" s="113"/>
      <c r="AN1296" s="113"/>
      <c r="AO1296" s="113"/>
      <c r="AP1296" s="113"/>
      <c r="AQ1296" s="113"/>
      <c r="AR1296" s="46">
        <v>0</v>
      </c>
      <c r="AS1296" s="113"/>
      <c r="AT1296" s="113"/>
      <c r="AU1296" s="113"/>
      <c r="AV1296" s="113"/>
      <c r="AW1296" s="113"/>
      <c r="AX1296" s="46">
        <v>0</v>
      </c>
      <c r="AY1296" s="113"/>
      <c r="AZ1296" s="113"/>
      <c r="BA1296" s="113"/>
      <c r="BB1296" s="113"/>
      <c r="BC1296" s="113"/>
      <c r="BD1296" s="46">
        <v>0</v>
      </c>
      <c r="BE1296" s="113"/>
      <c r="BF1296" s="113"/>
      <c r="BG1296" s="113"/>
      <c r="BH1296" s="113"/>
      <c r="BI1296" s="113"/>
      <c r="BJ1296" s="46">
        <v>0</v>
      </c>
      <c r="BK1296" s="113"/>
      <c r="BL1296" s="113"/>
      <c r="BM1296" s="113"/>
      <c r="BN1296" s="113"/>
      <c r="BO1296" s="113"/>
      <c r="BP1296" s="121"/>
      <c r="BQ1296" s="121"/>
      <c r="GA1296" t="s">
        <v>18300</v>
      </c>
      <c r="GB1296" t="s">
        <v>23067</v>
      </c>
      <c r="GC1296" s="46">
        <v>0</v>
      </c>
      <c r="GD1296" s="113"/>
      <c r="GE1296" s="113"/>
      <c r="GF1296" s="113"/>
      <c r="GG1296" s="113"/>
      <c r="GH1296" s="113"/>
      <c r="GI1296" s="46">
        <v>0</v>
      </c>
      <c r="GJ1296" s="113"/>
      <c r="GK1296" s="113"/>
      <c r="GL1296" s="113"/>
      <c r="GM1296" s="113"/>
      <c r="GN1296" s="113"/>
      <c r="GO1296" s="46">
        <v>0</v>
      </c>
      <c r="GP1296" s="113"/>
      <c r="GQ1296" s="113"/>
      <c r="GR1296" s="113"/>
      <c r="GS1296" s="113"/>
      <c r="GT1296" s="113"/>
      <c r="GU1296" s="46">
        <v>0</v>
      </c>
      <c r="GV1296" s="113"/>
      <c r="GW1296" s="113"/>
      <c r="GX1296" s="113"/>
      <c r="GY1296" s="113"/>
      <c r="GZ1296" s="113"/>
      <c r="HA1296" s="46">
        <v>0</v>
      </c>
      <c r="HB1296" s="113"/>
      <c r="HC1296" s="113"/>
      <c r="HD1296" s="113"/>
      <c r="HE1296" s="113"/>
      <c r="HF1296" s="113"/>
      <c r="HG1296" s="46">
        <v>0</v>
      </c>
      <c r="HH1296" s="113"/>
      <c r="HI1296" s="113"/>
      <c r="HJ1296" s="113"/>
      <c r="HK1296" s="113"/>
      <c r="HL1296" s="113"/>
      <c r="HM1296" s="121"/>
      <c r="HN1296" s="121"/>
      <c r="LM1296" t="str">
        <v/>
      </c>
      <c r="LN1296" t="str">
        <v/>
      </c>
      <c r="LO1296" t="str">
        <v/>
      </c>
    </row>
    <row r="1297" spans="30:327">
      <c r="AD1297" t="s">
        <v>18300</v>
      </c>
      <c r="AE1297" t="s">
        <v>23068</v>
      </c>
      <c r="AF1297" s="46">
        <v>0</v>
      </c>
      <c r="AG1297" s="113"/>
      <c r="AH1297" s="113"/>
      <c r="AI1297" s="113"/>
      <c r="AJ1297" s="113"/>
      <c r="AK1297" s="113"/>
      <c r="AL1297" s="46">
        <v>0</v>
      </c>
      <c r="AM1297" s="113"/>
      <c r="AN1297" s="113"/>
      <c r="AO1297" s="113"/>
      <c r="AP1297" s="113"/>
      <c r="AQ1297" s="113"/>
      <c r="AR1297" s="46">
        <v>0</v>
      </c>
      <c r="AS1297" s="113"/>
      <c r="AT1297" s="113"/>
      <c r="AU1297" s="113"/>
      <c r="AV1297" s="113"/>
      <c r="AW1297" s="113"/>
      <c r="AX1297" s="46">
        <v>0</v>
      </c>
      <c r="AY1297" s="113"/>
      <c r="AZ1297" s="113"/>
      <c r="BA1297" s="113"/>
      <c r="BB1297" s="113"/>
      <c r="BC1297" s="113"/>
      <c r="BD1297" s="46">
        <v>0</v>
      </c>
      <c r="BE1297" s="113"/>
      <c r="BF1297" s="113"/>
      <c r="BG1297" s="113"/>
      <c r="BH1297" s="113"/>
      <c r="BI1297" s="113"/>
      <c r="BJ1297" s="46">
        <v>0</v>
      </c>
      <c r="BK1297" s="113"/>
      <c r="BL1297" s="113"/>
      <c r="BM1297" s="113"/>
      <c r="BN1297" s="113"/>
      <c r="BO1297" s="113"/>
      <c r="BP1297" s="121"/>
      <c r="BQ1297" s="121"/>
      <c r="GA1297" t="s">
        <v>18300</v>
      </c>
      <c r="GB1297" t="s">
        <v>23068</v>
      </c>
      <c r="GC1297" s="46">
        <v>0</v>
      </c>
      <c r="GD1297" s="113"/>
      <c r="GE1297" s="113"/>
      <c r="GF1297" s="113"/>
      <c r="GG1297" s="113"/>
      <c r="GH1297" s="113"/>
      <c r="GI1297" s="46">
        <v>0</v>
      </c>
      <c r="GJ1297" s="113"/>
      <c r="GK1297" s="113"/>
      <c r="GL1297" s="113"/>
      <c r="GM1297" s="113"/>
      <c r="GN1297" s="113"/>
      <c r="GO1297" s="46">
        <v>0</v>
      </c>
      <c r="GP1297" s="113"/>
      <c r="GQ1297" s="113"/>
      <c r="GR1297" s="113"/>
      <c r="GS1297" s="113"/>
      <c r="GT1297" s="113"/>
      <c r="GU1297" s="46">
        <v>0</v>
      </c>
      <c r="GV1297" s="113"/>
      <c r="GW1297" s="113"/>
      <c r="GX1297" s="113"/>
      <c r="GY1297" s="113"/>
      <c r="GZ1297" s="113"/>
      <c r="HA1297" s="46">
        <v>0</v>
      </c>
      <c r="HB1297" s="113"/>
      <c r="HC1297" s="113"/>
      <c r="HD1297" s="113"/>
      <c r="HE1297" s="113"/>
      <c r="HF1297" s="113"/>
      <c r="HG1297" s="46">
        <v>0</v>
      </c>
      <c r="HH1297" s="113"/>
      <c r="HI1297" s="113"/>
      <c r="HJ1297" s="113"/>
      <c r="HK1297" s="113"/>
      <c r="HL1297" s="113"/>
      <c r="HM1297" s="121"/>
      <c r="HN1297" s="121"/>
      <c r="LM1297" t="str">
        <v/>
      </c>
      <c r="LN1297" t="str">
        <v/>
      </c>
      <c r="LO1297" t="str">
        <v/>
      </c>
    </row>
    <row r="1298" spans="30:327">
      <c r="AD1298" t="s">
        <v>18300</v>
      </c>
      <c r="AE1298" t="s">
        <v>23069</v>
      </c>
      <c r="AF1298" s="46">
        <v>0</v>
      </c>
      <c r="AG1298" s="113"/>
      <c r="AH1298" s="113"/>
      <c r="AI1298" s="113"/>
      <c r="AJ1298" s="113"/>
      <c r="AK1298" s="113"/>
      <c r="AL1298" s="46">
        <v>0</v>
      </c>
      <c r="AM1298" s="113"/>
      <c r="AN1298" s="113"/>
      <c r="AO1298" s="113"/>
      <c r="AP1298" s="113"/>
      <c r="AQ1298" s="113"/>
      <c r="AR1298" s="46">
        <v>0</v>
      </c>
      <c r="AS1298" s="113"/>
      <c r="AT1298" s="113"/>
      <c r="AU1298" s="113"/>
      <c r="AV1298" s="113"/>
      <c r="AW1298" s="113"/>
      <c r="AX1298" s="46">
        <v>0</v>
      </c>
      <c r="AY1298" s="113"/>
      <c r="AZ1298" s="113"/>
      <c r="BA1298" s="113"/>
      <c r="BB1298" s="113"/>
      <c r="BC1298" s="113"/>
      <c r="BD1298" s="46">
        <v>0</v>
      </c>
      <c r="BE1298" s="113"/>
      <c r="BF1298" s="113"/>
      <c r="BG1298" s="113"/>
      <c r="BH1298" s="113"/>
      <c r="BI1298" s="113"/>
      <c r="BJ1298" s="46">
        <v>0</v>
      </c>
      <c r="BK1298" s="113"/>
      <c r="BL1298" s="113"/>
      <c r="BM1298" s="113"/>
      <c r="BN1298" s="113"/>
      <c r="BO1298" s="113"/>
      <c r="BP1298" s="121"/>
      <c r="BQ1298" s="121"/>
      <c r="GA1298" t="s">
        <v>18300</v>
      </c>
      <c r="GB1298" t="s">
        <v>23069</v>
      </c>
      <c r="GC1298" s="46">
        <v>0</v>
      </c>
      <c r="GD1298" s="113"/>
      <c r="GE1298" s="113"/>
      <c r="GF1298" s="113"/>
      <c r="GG1298" s="113"/>
      <c r="GH1298" s="113"/>
      <c r="GI1298" s="46">
        <v>0</v>
      </c>
      <c r="GJ1298" s="113"/>
      <c r="GK1298" s="113"/>
      <c r="GL1298" s="113"/>
      <c r="GM1298" s="113"/>
      <c r="GN1298" s="113"/>
      <c r="GO1298" s="46">
        <v>0</v>
      </c>
      <c r="GP1298" s="113"/>
      <c r="GQ1298" s="113"/>
      <c r="GR1298" s="113"/>
      <c r="GS1298" s="113"/>
      <c r="GT1298" s="113"/>
      <c r="GU1298" s="46">
        <v>0</v>
      </c>
      <c r="GV1298" s="113"/>
      <c r="GW1298" s="113"/>
      <c r="GX1298" s="113"/>
      <c r="GY1298" s="113"/>
      <c r="GZ1298" s="113"/>
      <c r="HA1298" s="46">
        <v>0</v>
      </c>
      <c r="HB1298" s="113"/>
      <c r="HC1298" s="113"/>
      <c r="HD1298" s="113"/>
      <c r="HE1298" s="113"/>
      <c r="HF1298" s="113"/>
      <c r="HG1298" s="46">
        <v>0</v>
      </c>
      <c r="HH1298" s="113"/>
      <c r="HI1298" s="113"/>
      <c r="HJ1298" s="113"/>
      <c r="HK1298" s="113"/>
      <c r="HL1298" s="113"/>
      <c r="HM1298" s="121"/>
      <c r="HN1298" s="121"/>
      <c r="LM1298" t="str">
        <v/>
      </c>
      <c r="LN1298" t="str">
        <v/>
      </c>
      <c r="LO1298" t="str">
        <v/>
      </c>
    </row>
    <row r="1299" spans="30:327">
      <c r="AD1299" t="s">
        <v>18300</v>
      </c>
      <c r="AE1299" t="s">
        <v>23070</v>
      </c>
      <c r="AF1299" s="46">
        <v>0</v>
      </c>
      <c r="AG1299" s="113"/>
      <c r="AH1299" s="113"/>
      <c r="AI1299" s="113"/>
      <c r="AJ1299" s="113"/>
      <c r="AK1299" s="113"/>
      <c r="AL1299" s="46">
        <v>0</v>
      </c>
      <c r="AM1299" s="113"/>
      <c r="AN1299" s="113"/>
      <c r="AO1299" s="113"/>
      <c r="AP1299" s="113"/>
      <c r="AQ1299" s="113"/>
      <c r="AR1299" s="46">
        <v>0</v>
      </c>
      <c r="AS1299" s="113"/>
      <c r="AT1299" s="113"/>
      <c r="AU1299" s="113"/>
      <c r="AV1299" s="113"/>
      <c r="AW1299" s="113"/>
      <c r="AX1299" s="46">
        <v>0</v>
      </c>
      <c r="AY1299" s="113"/>
      <c r="AZ1299" s="113"/>
      <c r="BA1299" s="113"/>
      <c r="BB1299" s="113"/>
      <c r="BC1299" s="113"/>
      <c r="BD1299" s="46">
        <v>0</v>
      </c>
      <c r="BE1299" s="113"/>
      <c r="BF1299" s="113"/>
      <c r="BG1299" s="113"/>
      <c r="BH1299" s="113"/>
      <c r="BI1299" s="113"/>
      <c r="BJ1299" s="46">
        <v>0</v>
      </c>
      <c r="BK1299" s="113"/>
      <c r="BL1299" s="113"/>
      <c r="BM1299" s="113"/>
      <c r="BN1299" s="113"/>
      <c r="BO1299" s="113"/>
      <c r="BP1299" s="121"/>
      <c r="BQ1299" s="121"/>
      <c r="GA1299" t="s">
        <v>18300</v>
      </c>
      <c r="GB1299" t="s">
        <v>23070</v>
      </c>
      <c r="GC1299" s="46">
        <v>0</v>
      </c>
      <c r="GD1299" s="113"/>
      <c r="GE1299" s="113"/>
      <c r="GF1299" s="113"/>
      <c r="GG1299" s="113"/>
      <c r="GH1299" s="113"/>
      <c r="GI1299" s="46">
        <v>0</v>
      </c>
      <c r="GJ1299" s="113"/>
      <c r="GK1299" s="113"/>
      <c r="GL1299" s="113"/>
      <c r="GM1299" s="113"/>
      <c r="GN1299" s="113"/>
      <c r="GO1299" s="46">
        <v>0</v>
      </c>
      <c r="GP1299" s="113"/>
      <c r="GQ1299" s="113"/>
      <c r="GR1299" s="113"/>
      <c r="GS1299" s="113"/>
      <c r="GT1299" s="113"/>
      <c r="GU1299" s="46">
        <v>0</v>
      </c>
      <c r="GV1299" s="113"/>
      <c r="GW1299" s="113"/>
      <c r="GX1299" s="113"/>
      <c r="GY1299" s="113"/>
      <c r="GZ1299" s="113"/>
      <c r="HA1299" s="46">
        <v>0</v>
      </c>
      <c r="HB1299" s="113"/>
      <c r="HC1299" s="113"/>
      <c r="HD1299" s="113"/>
      <c r="HE1299" s="113"/>
      <c r="HF1299" s="113"/>
      <c r="HG1299" s="46">
        <v>0</v>
      </c>
      <c r="HH1299" s="113"/>
      <c r="HI1299" s="113"/>
      <c r="HJ1299" s="113"/>
      <c r="HK1299" s="113"/>
      <c r="HL1299" s="113"/>
      <c r="HM1299" s="121"/>
      <c r="HN1299" s="121"/>
      <c r="LM1299" t="str">
        <v/>
      </c>
      <c r="LN1299" t="str">
        <v/>
      </c>
      <c r="LO1299" t="str">
        <v/>
      </c>
    </row>
    <row r="1300" spans="30:327">
      <c r="AD1300" t="s">
        <v>18300</v>
      </c>
      <c r="AE1300" t="s">
        <v>23071</v>
      </c>
      <c r="AF1300" s="46">
        <v>0</v>
      </c>
      <c r="AG1300" s="113"/>
      <c r="AH1300" s="113"/>
      <c r="AI1300" s="113"/>
      <c r="AJ1300" s="113"/>
      <c r="AK1300" s="113"/>
      <c r="AL1300" s="46">
        <v>0</v>
      </c>
      <c r="AM1300" s="113"/>
      <c r="AN1300" s="113"/>
      <c r="AO1300" s="113"/>
      <c r="AP1300" s="113"/>
      <c r="AQ1300" s="113"/>
      <c r="AR1300" s="46">
        <v>0</v>
      </c>
      <c r="AS1300" s="113"/>
      <c r="AT1300" s="113"/>
      <c r="AU1300" s="113"/>
      <c r="AV1300" s="113"/>
      <c r="AW1300" s="113"/>
      <c r="AX1300" s="46">
        <v>0</v>
      </c>
      <c r="AY1300" s="113"/>
      <c r="AZ1300" s="113"/>
      <c r="BA1300" s="113"/>
      <c r="BB1300" s="113"/>
      <c r="BC1300" s="113"/>
      <c r="BD1300" s="46">
        <v>0</v>
      </c>
      <c r="BE1300" s="113"/>
      <c r="BF1300" s="113"/>
      <c r="BG1300" s="113"/>
      <c r="BH1300" s="113"/>
      <c r="BI1300" s="113"/>
      <c r="BJ1300" s="46">
        <v>0</v>
      </c>
      <c r="BK1300" s="113"/>
      <c r="BL1300" s="113"/>
      <c r="BM1300" s="113"/>
      <c r="BN1300" s="113"/>
      <c r="BO1300" s="113"/>
      <c r="BP1300" s="121"/>
      <c r="BQ1300" s="121"/>
      <c r="GA1300" t="s">
        <v>18300</v>
      </c>
      <c r="GB1300" t="s">
        <v>23071</v>
      </c>
      <c r="GC1300" s="46">
        <v>0</v>
      </c>
      <c r="GD1300" s="113"/>
      <c r="GE1300" s="113"/>
      <c r="GF1300" s="113"/>
      <c r="GG1300" s="113"/>
      <c r="GH1300" s="113"/>
      <c r="GI1300" s="46">
        <v>0</v>
      </c>
      <c r="GJ1300" s="113"/>
      <c r="GK1300" s="113"/>
      <c r="GL1300" s="113"/>
      <c r="GM1300" s="113"/>
      <c r="GN1300" s="113"/>
      <c r="GO1300" s="46">
        <v>0</v>
      </c>
      <c r="GP1300" s="113"/>
      <c r="GQ1300" s="113"/>
      <c r="GR1300" s="113"/>
      <c r="GS1300" s="113"/>
      <c r="GT1300" s="113"/>
      <c r="GU1300" s="46">
        <v>0</v>
      </c>
      <c r="GV1300" s="113"/>
      <c r="GW1300" s="113"/>
      <c r="GX1300" s="113"/>
      <c r="GY1300" s="113"/>
      <c r="GZ1300" s="113"/>
      <c r="HA1300" s="46">
        <v>0</v>
      </c>
      <c r="HB1300" s="113"/>
      <c r="HC1300" s="113"/>
      <c r="HD1300" s="113"/>
      <c r="HE1300" s="113"/>
      <c r="HF1300" s="113"/>
      <c r="HG1300" s="46">
        <v>0</v>
      </c>
      <c r="HH1300" s="113"/>
      <c r="HI1300" s="113"/>
      <c r="HJ1300" s="113"/>
      <c r="HK1300" s="113"/>
      <c r="HL1300" s="113"/>
      <c r="HM1300" s="121"/>
      <c r="HN1300" s="121"/>
      <c r="LM1300" t="str">
        <v/>
      </c>
      <c r="LN1300" t="str">
        <v/>
      </c>
      <c r="LO1300" t="str">
        <v/>
      </c>
    </row>
    <row r="1301" spans="30:327">
      <c r="AD1301" t="s">
        <v>18300</v>
      </c>
      <c r="AE1301" t="s">
        <v>23072</v>
      </c>
      <c r="AF1301" s="46">
        <v>0</v>
      </c>
      <c r="AG1301" s="113"/>
      <c r="AH1301" s="113"/>
      <c r="AI1301" s="113"/>
      <c r="AJ1301" s="113"/>
      <c r="AK1301" s="113"/>
      <c r="AL1301" s="46">
        <v>0</v>
      </c>
      <c r="AM1301" s="113"/>
      <c r="AN1301" s="113"/>
      <c r="AO1301" s="113"/>
      <c r="AP1301" s="113"/>
      <c r="AQ1301" s="113"/>
      <c r="AR1301" s="46">
        <v>0</v>
      </c>
      <c r="AS1301" s="113"/>
      <c r="AT1301" s="113"/>
      <c r="AU1301" s="113"/>
      <c r="AV1301" s="113"/>
      <c r="AW1301" s="113"/>
      <c r="AX1301" s="46">
        <v>0</v>
      </c>
      <c r="AY1301" s="113"/>
      <c r="AZ1301" s="113"/>
      <c r="BA1301" s="113"/>
      <c r="BB1301" s="113"/>
      <c r="BC1301" s="113"/>
      <c r="BD1301" s="46">
        <v>0</v>
      </c>
      <c r="BE1301" s="113"/>
      <c r="BF1301" s="113"/>
      <c r="BG1301" s="113"/>
      <c r="BH1301" s="113"/>
      <c r="BI1301" s="113"/>
      <c r="BJ1301" s="46">
        <v>0</v>
      </c>
      <c r="BK1301" s="113"/>
      <c r="BL1301" s="113"/>
      <c r="BM1301" s="113"/>
      <c r="BN1301" s="113"/>
      <c r="BO1301" s="113"/>
      <c r="BP1301" s="121"/>
      <c r="BQ1301" s="121"/>
      <c r="GA1301" t="s">
        <v>18300</v>
      </c>
      <c r="GB1301" t="s">
        <v>23072</v>
      </c>
      <c r="GC1301" s="46">
        <v>0</v>
      </c>
      <c r="GD1301" s="113"/>
      <c r="GE1301" s="113"/>
      <c r="GF1301" s="113"/>
      <c r="GG1301" s="113"/>
      <c r="GH1301" s="113"/>
      <c r="GI1301" s="46">
        <v>0</v>
      </c>
      <c r="GJ1301" s="113"/>
      <c r="GK1301" s="113"/>
      <c r="GL1301" s="113"/>
      <c r="GM1301" s="113"/>
      <c r="GN1301" s="113"/>
      <c r="GO1301" s="46">
        <v>0</v>
      </c>
      <c r="GP1301" s="113"/>
      <c r="GQ1301" s="113"/>
      <c r="GR1301" s="113"/>
      <c r="GS1301" s="113"/>
      <c r="GT1301" s="113"/>
      <c r="GU1301" s="46">
        <v>0</v>
      </c>
      <c r="GV1301" s="113"/>
      <c r="GW1301" s="113"/>
      <c r="GX1301" s="113"/>
      <c r="GY1301" s="113"/>
      <c r="GZ1301" s="113"/>
      <c r="HA1301" s="46">
        <v>0</v>
      </c>
      <c r="HB1301" s="113"/>
      <c r="HC1301" s="113"/>
      <c r="HD1301" s="113"/>
      <c r="HE1301" s="113"/>
      <c r="HF1301" s="113"/>
      <c r="HG1301" s="46">
        <v>0</v>
      </c>
      <c r="HH1301" s="113"/>
      <c r="HI1301" s="113"/>
      <c r="HJ1301" s="113"/>
      <c r="HK1301" s="113"/>
      <c r="HL1301" s="113"/>
      <c r="HM1301" s="121"/>
      <c r="HN1301" s="121"/>
      <c r="LM1301" t="str">
        <v/>
      </c>
      <c r="LN1301" t="str">
        <v/>
      </c>
      <c r="LO1301" t="str">
        <v/>
      </c>
    </row>
    <row r="1302" spans="30:327">
      <c r="AD1302" t="s">
        <v>18300</v>
      </c>
      <c r="AE1302" t="s">
        <v>23073</v>
      </c>
      <c r="AF1302" s="46">
        <v>0</v>
      </c>
      <c r="AG1302" s="113"/>
      <c r="AH1302" s="113"/>
      <c r="AI1302" s="113"/>
      <c r="AJ1302" s="113"/>
      <c r="AK1302" s="113"/>
      <c r="AL1302" s="46">
        <v>0</v>
      </c>
      <c r="AM1302" s="113"/>
      <c r="AN1302" s="113"/>
      <c r="AO1302" s="113"/>
      <c r="AP1302" s="113"/>
      <c r="AQ1302" s="113"/>
      <c r="AR1302" s="46">
        <v>0</v>
      </c>
      <c r="AS1302" s="113"/>
      <c r="AT1302" s="113"/>
      <c r="AU1302" s="113"/>
      <c r="AV1302" s="113"/>
      <c r="AW1302" s="113"/>
      <c r="AX1302" s="46">
        <v>0</v>
      </c>
      <c r="AY1302" s="113"/>
      <c r="AZ1302" s="113"/>
      <c r="BA1302" s="113"/>
      <c r="BB1302" s="113"/>
      <c r="BC1302" s="113"/>
      <c r="BD1302" s="46">
        <v>0</v>
      </c>
      <c r="BE1302" s="113"/>
      <c r="BF1302" s="113"/>
      <c r="BG1302" s="113"/>
      <c r="BH1302" s="113"/>
      <c r="BI1302" s="113"/>
      <c r="BJ1302" s="46">
        <v>0</v>
      </c>
      <c r="BK1302" s="113"/>
      <c r="BL1302" s="113"/>
      <c r="BM1302" s="113"/>
      <c r="BN1302" s="113"/>
      <c r="BO1302" s="113"/>
      <c r="BP1302" s="121"/>
      <c r="BQ1302" s="121"/>
      <c r="GA1302" t="s">
        <v>18300</v>
      </c>
      <c r="GB1302" t="s">
        <v>23073</v>
      </c>
      <c r="GC1302" s="46">
        <v>0</v>
      </c>
      <c r="GD1302" s="113"/>
      <c r="GE1302" s="113"/>
      <c r="GF1302" s="113"/>
      <c r="GG1302" s="113"/>
      <c r="GH1302" s="113"/>
      <c r="GI1302" s="46">
        <v>0</v>
      </c>
      <c r="GJ1302" s="113"/>
      <c r="GK1302" s="113"/>
      <c r="GL1302" s="113"/>
      <c r="GM1302" s="113"/>
      <c r="GN1302" s="113"/>
      <c r="GO1302" s="46">
        <v>0</v>
      </c>
      <c r="GP1302" s="113"/>
      <c r="GQ1302" s="113"/>
      <c r="GR1302" s="113"/>
      <c r="GS1302" s="113"/>
      <c r="GT1302" s="113"/>
      <c r="GU1302" s="46">
        <v>0</v>
      </c>
      <c r="GV1302" s="113"/>
      <c r="GW1302" s="113"/>
      <c r="GX1302" s="113"/>
      <c r="GY1302" s="113"/>
      <c r="GZ1302" s="113"/>
      <c r="HA1302" s="46">
        <v>0</v>
      </c>
      <c r="HB1302" s="113"/>
      <c r="HC1302" s="113"/>
      <c r="HD1302" s="113"/>
      <c r="HE1302" s="113"/>
      <c r="HF1302" s="113"/>
      <c r="HG1302" s="46">
        <v>0</v>
      </c>
      <c r="HH1302" s="113"/>
      <c r="HI1302" s="113"/>
      <c r="HJ1302" s="113"/>
      <c r="HK1302" s="113"/>
      <c r="HL1302" s="113"/>
      <c r="HM1302" s="121"/>
      <c r="HN1302" s="121"/>
      <c r="LM1302" t="str">
        <v/>
      </c>
      <c r="LN1302" t="str">
        <v/>
      </c>
      <c r="LO1302" t="str">
        <v/>
      </c>
    </row>
    <row r="1303" spans="30:327">
      <c r="AD1303" t="s">
        <v>18300</v>
      </c>
      <c r="AE1303" t="s">
        <v>23074</v>
      </c>
      <c r="AF1303" s="46">
        <v>0</v>
      </c>
      <c r="AG1303" s="113"/>
      <c r="AH1303" s="113"/>
      <c r="AI1303" s="113"/>
      <c r="AJ1303" s="113"/>
      <c r="AK1303" s="113"/>
      <c r="AL1303" s="46">
        <v>0</v>
      </c>
      <c r="AM1303" s="113"/>
      <c r="AN1303" s="113"/>
      <c r="AO1303" s="113"/>
      <c r="AP1303" s="113"/>
      <c r="AQ1303" s="113"/>
      <c r="AR1303" s="46">
        <v>0</v>
      </c>
      <c r="AS1303" s="113"/>
      <c r="AT1303" s="113"/>
      <c r="AU1303" s="113"/>
      <c r="AV1303" s="113"/>
      <c r="AW1303" s="113"/>
      <c r="AX1303" s="46">
        <v>0</v>
      </c>
      <c r="AY1303" s="113"/>
      <c r="AZ1303" s="113"/>
      <c r="BA1303" s="113"/>
      <c r="BB1303" s="113"/>
      <c r="BC1303" s="113"/>
      <c r="BD1303" s="46">
        <v>0</v>
      </c>
      <c r="BE1303" s="113"/>
      <c r="BF1303" s="113"/>
      <c r="BG1303" s="113"/>
      <c r="BH1303" s="113"/>
      <c r="BI1303" s="113"/>
      <c r="BJ1303" s="46">
        <v>0</v>
      </c>
      <c r="BK1303" s="113"/>
      <c r="BL1303" s="113"/>
      <c r="BM1303" s="113"/>
      <c r="BN1303" s="113"/>
      <c r="BO1303" s="113"/>
      <c r="BP1303" s="121"/>
      <c r="BQ1303" s="121"/>
      <c r="GA1303" t="s">
        <v>18300</v>
      </c>
      <c r="GB1303" t="s">
        <v>23074</v>
      </c>
      <c r="GC1303" s="46">
        <v>0</v>
      </c>
      <c r="GD1303" s="113"/>
      <c r="GE1303" s="113"/>
      <c r="GF1303" s="113"/>
      <c r="GG1303" s="113"/>
      <c r="GH1303" s="113"/>
      <c r="GI1303" s="46">
        <v>0</v>
      </c>
      <c r="GJ1303" s="113"/>
      <c r="GK1303" s="113"/>
      <c r="GL1303" s="113"/>
      <c r="GM1303" s="113"/>
      <c r="GN1303" s="113"/>
      <c r="GO1303" s="46">
        <v>0</v>
      </c>
      <c r="GP1303" s="113"/>
      <c r="GQ1303" s="113"/>
      <c r="GR1303" s="113"/>
      <c r="GS1303" s="113"/>
      <c r="GT1303" s="113"/>
      <c r="GU1303" s="46">
        <v>0</v>
      </c>
      <c r="GV1303" s="113"/>
      <c r="GW1303" s="113"/>
      <c r="GX1303" s="113"/>
      <c r="GY1303" s="113"/>
      <c r="GZ1303" s="113"/>
      <c r="HA1303" s="46">
        <v>0</v>
      </c>
      <c r="HB1303" s="113"/>
      <c r="HC1303" s="113"/>
      <c r="HD1303" s="113"/>
      <c r="HE1303" s="113"/>
      <c r="HF1303" s="113"/>
      <c r="HG1303" s="46">
        <v>0</v>
      </c>
      <c r="HH1303" s="113"/>
      <c r="HI1303" s="113"/>
      <c r="HJ1303" s="113"/>
      <c r="HK1303" s="113"/>
      <c r="HL1303" s="113"/>
      <c r="HM1303" s="121"/>
      <c r="HN1303" s="121"/>
      <c r="LM1303" t="str">
        <v/>
      </c>
      <c r="LN1303" t="str">
        <v/>
      </c>
      <c r="LO1303" t="str">
        <v/>
      </c>
    </row>
    <row r="1304" spans="30:327">
      <c r="AD1304" t="s">
        <v>18300</v>
      </c>
      <c r="AE1304" t="s">
        <v>23075</v>
      </c>
      <c r="AF1304" s="46">
        <v>0</v>
      </c>
      <c r="AG1304" s="113"/>
      <c r="AH1304" s="113"/>
      <c r="AI1304" s="113"/>
      <c r="AJ1304" s="113"/>
      <c r="AK1304" s="113"/>
      <c r="AL1304" s="46">
        <v>0</v>
      </c>
      <c r="AM1304" s="113"/>
      <c r="AN1304" s="113"/>
      <c r="AO1304" s="113"/>
      <c r="AP1304" s="113"/>
      <c r="AQ1304" s="113"/>
      <c r="AR1304" s="46">
        <v>0</v>
      </c>
      <c r="AS1304" s="113"/>
      <c r="AT1304" s="113"/>
      <c r="AU1304" s="113"/>
      <c r="AV1304" s="113"/>
      <c r="AW1304" s="113"/>
      <c r="AX1304" s="46">
        <v>0</v>
      </c>
      <c r="AY1304" s="113"/>
      <c r="AZ1304" s="113"/>
      <c r="BA1304" s="113"/>
      <c r="BB1304" s="113"/>
      <c r="BC1304" s="113"/>
      <c r="BD1304" s="46">
        <v>0</v>
      </c>
      <c r="BE1304" s="113"/>
      <c r="BF1304" s="113"/>
      <c r="BG1304" s="113"/>
      <c r="BH1304" s="113"/>
      <c r="BI1304" s="113"/>
      <c r="BJ1304" s="46">
        <v>0</v>
      </c>
      <c r="BK1304" s="113"/>
      <c r="BL1304" s="113"/>
      <c r="BM1304" s="113"/>
      <c r="BN1304" s="113"/>
      <c r="BO1304" s="113"/>
      <c r="BP1304" s="121"/>
      <c r="BQ1304" s="121"/>
      <c r="GA1304" t="s">
        <v>18300</v>
      </c>
      <c r="GB1304" t="s">
        <v>23075</v>
      </c>
      <c r="GC1304" s="46">
        <v>0</v>
      </c>
      <c r="GD1304" s="113"/>
      <c r="GE1304" s="113"/>
      <c r="GF1304" s="113"/>
      <c r="GG1304" s="113"/>
      <c r="GH1304" s="113"/>
      <c r="GI1304" s="46">
        <v>0</v>
      </c>
      <c r="GJ1304" s="113"/>
      <c r="GK1304" s="113"/>
      <c r="GL1304" s="113"/>
      <c r="GM1304" s="113"/>
      <c r="GN1304" s="113"/>
      <c r="GO1304" s="46">
        <v>0</v>
      </c>
      <c r="GP1304" s="113"/>
      <c r="GQ1304" s="113"/>
      <c r="GR1304" s="113"/>
      <c r="GS1304" s="113"/>
      <c r="GT1304" s="113"/>
      <c r="GU1304" s="46">
        <v>0</v>
      </c>
      <c r="GV1304" s="113"/>
      <c r="GW1304" s="113"/>
      <c r="GX1304" s="113"/>
      <c r="GY1304" s="113"/>
      <c r="GZ1304" s="113"/>
      <c r="HA1304" s="46">
        <v>0</v>
      </c>
      <c r="HB1304" s="113"/>
      <c r="HC1304" s="113"/>
      <c r="HD1304" s="113"/>
      <c r="HE1304" s="113"/>
      <c r="HF1304" s="113"/>
      <c r="HG1304" s="46">
        <v>0</v>
      </c>
      <c r="HH1304" s="113"/>
      <c r="HI1304" s="113"/>
      <c r="HJ1304" s="113"/>
      <c r="HK1304" s="113"/>
      <c r="HL1304" s="113"/>
      <c r="HM1304" s="121"/>
      <c r="HN1304" s="121"/>
      <c r="LM1304" t="str">
        <v/>
      </c>
      <c r="LN1304" t="str">
        <v/>
      </c>
      <c r="LO1304" t="str">
        <v/>
      </c>
    </row>
    <row r="1305" spans="30:327">
      <c r="AD1305" t="s">
        <v>18300</v>
      </c>
      <c r="AE1305" t="s">
        <v>23076</v>
      </c>
      <c r="AF1305" s="46">
        <v>0</v>
      </c>
      <c r="AG1305" s="113"/>
      <c r="AH1305" s="113"/>
      <c r="AI1305" s="113"/>
      <c r="AJ1305" s="113"/>
      <c r="AK1305" s="113"/>
      <c r="AL1305" s="46">
        <v>0</v>
      </c>
      <c r="AM1305" s="113"/>
      <c r="AN1305" s="113"/>
      <c r="AO1305" s="113"/>
      <c r="AP1305" s="113"/>
      <c r="AQ1305" s="113"/>
      <c r="AR1305" s="46">
        <v>0</v>
      </c>
      <c r="AS1305" s="113"/>
      <c r="AT1305" s="113"/>
      <c r="AU1305" s="113"/>
      <c r="AV1305" s="113"/>
      <c r="AW1305" s="113"/>
      <c r="AX1305" s="46">
        <v>0</v>
      </c>
      <c r="AY1305" s="113"/>
      <c r="AZ1305" s="113"/>
      <c r="BA1305" s="113"/>
      <c r="BB1305" s="113"/>
      <c r="BC1305" s="113"/>
      <c r="BD1305" s="46">
        <v>0</v>
      </c>
      <c r="BE1305" s="113"/>
      <c r="BF1305" s="113"/>
      <c r="BG1305" s="113"/>
      <c r="BH1305" s="113"/>
      <c r="BI1305" s="113"/>
      <c r="BJ1305" s="46">
        <v>0</v>
      </c>
      <c r="BK1305" s="113"/>
      <c r="BL1305" s="113"/>
      <c r="BM1305" s="113"/>
      <c r="BN1305" s="113"/>
      <c r="BO1305" s="113"/>
      <c r="BP1305" s="121"/>
      <c r="BQ1305" s="121"/>
      <c r="GA1305" t="s">
        <v>18300</v>
      </c>
      <c r="GB1305" t="s">
        <v>23076</v>
      </c>
      <c r="GC1305" s="46">
        <v>0</v>
      </c>
      <c r="GD1305" s="113"/>
      <c r="GE1305" s="113"/>
      <c r="GF1305" s="113"/>
      <c r="GG1305" s="113"/>
      <c r="GH1305" s="113"/>
      <c r="GI1305" s="46">
        <v>0</v>
      </c>
      <c r="GJ1305" s="113"/>
      <c r="GK1305" s="113"/>
      <c r="GL1305" s="113"/>
      <c r="GM1305" s="113"/>
      <c r="GN1305" s="113"/>
      <c r="GO1305" s="46">
        <v>0</v>
      </c>
      <c r="GP1305" s="113"/>
      <c r="GQ1305" s="113"/>
      <c r="GR1305" s="113"/>
      <c r="GS1305" s="113"/>
      <c r="GT1305" s="113"/>
      <c r="GU1305" s="46">
        <v>0</v>
      </c>
      <c r="GV1305" s="113"/>
      <c r="GW1305" s="113"/>
      <c r="GX1305" s="113"/>
      <c r="GY1305" s="113"/>
      <c r="GZ1305" s="113"/>
      <c r="HA1305" s="46">
        <v>0</v>
      </c>
      <c r="HB1305" s="113"/>
      <c r="HC1305" s="113"/>
      <c r="HD1305" s="113"/>
      <c r="HE1305" s="113"/>
      <c r="HF1305" s="113"/>
      <c r="HG1305" s="46">
        <v>0</v>
      </c>
      <c r="HH1305" s="113"/>
      <c r="HI1305" s="113"/>
      <c r="HJ1305" s="113"/>
      <c r="HK1305" s="113"/>
      <c r="HL1305" s="113"/>
      <c r="HM1305" s="121"/>
      <c r="HN1305" s="121"/>
      <c r="LM1305" t="str">
        <v/>
      </c>
      <c r="LN1305" t="str">
        <v/>
      </c>
      <c r="LO1305" t="str">
        <v/>
      </c>
    </row>
    <row r="1306" spans="30:327">
      <c r="AD1306" t="s">
        <v>18300</v>
      </c>
      <c r="AE1306" t="s">
        <v>23077</v>
      </c>
      <c r="AF1306" s="46">
        <v>0</v>
      </c>
      <c r="AG1306" s="113"/>
      <c r="AH1306" s="113"/>
      <c r="AI1306" s="113"/>
      <c r="AJ1306" s="113"/>
      <c r="AK1306" s="113"/>
      <c r="AL1306" s="46">
        <v>0</v>
      </c>
      <c r="AM1306" s="113"/>
      <c r="AN1306" s="113"/>
      <c r="AO1306" s="113"/>
      <c r="AP1306" s="113"/>
      <c r="AQ1306" s="113"/>
      <c r="AR1306" s="46">
        <v>0</v>
      </c>
      <c r="AS1306" s="113"/>
      <c r="AT1306" s="113"/>
      <c r="AU1306" s="113"/>
      <c r="AV1306" s="113"/>
      <c r="AW1306" s="113"/>
      <c r="AX1306" s="46">
        <v>0</v>
      </c>
      <c r="AY1306" s="113"/>
      <c r="AZ1306" s="113"/>
      <c r="BA1306" s="113"/>
      <c r="BB1306" s="113"/>
      <c r="BC1306" s="113"/>
      <c r="BD1306" s="46">
        <v>0</v>
      </c>
      <c r="BE1306" s="113"/>
      <c r="BF1306" s="113"/>
      <c r="BG1306" s="113"/>
      <c r="BH1306" s="113"/>
      <c r="BI1306" s="113"/>
      <c r="BJ1306" s="46">
        <v>0</v>
      </c>
      <c r="BK1306" s="113"/>
      <c r="BL1306" s="113"/>
      <c r="BM1306" s="113"/>
      <c r="BN1306" s="113"/>
      <c r="BO1306" s="113"/>
      <c r="BP1306" s="121"/>
      <c r="BQ1306" s="121"/>
      <c r="GA1306" t="s">
        <v>18300</v>
      </c>
      <c r="GB1306" t="s">
        <v>23077</v>
      </c>
      <c r="GC1306" s="46">
        <v>0</v>
      </c>
      <c r="GD1306" s="113"/>
      <c r="GE1306" s="113"/>
      <c r="GF1306" s="113"/>
      <c r="GG1306" s="113"/>
      <c r="GH1306" s="113"/>
      <c r="GI1306" s="46">
        <v>0</v>
      </c>
      <c r="GJ1306" s="113"/>
      <c r="GK1306" s="113"/>
      <c r="GL1306" s="113"/>
      <c r="GM1306" s="113"/>
      <c r="GN1306" s="113"/>
      <c r="GO1306" s="46">
        <v>0</v>
      </c>
      <c r="GP1306" s="113"/>
      <c r="GQ1306" s="113"/>
      <c r="GR1306" s="113"/>
      <c r="GS1306" s="113"/>
      <c r="GT1306" s="113"/>
      <c r="GU1306" s="46">
        <v>0</v>
      </c>
      <c r="GV1306" s="113"/>
      <c r="GW1306" s="113"/>
      <c r="GX1306" s="113"/>
      <c r="GY1306" s="113"/>
      <c r="GZ1306" s="113"/>
      <c r="HA1306" s="46">
        <v>0</v>
      </c>
      <c r="HB1306" s="113"/>
      <c r="HC1306" s="113"/>
      <c r="HD1306" s="113"/>
      <c r="HE1306" s="113"/>
      <c r="HF1306" s="113"/>
      <c r="HG1306" s="46">
        <v>0</v>
      </c>
      <c r="HH1306" s="113"/>
      <c r="HI1306" s="113"/>
      <c r="HJ1306" s="113"/>
      <c r="HK1306" s="113"/>
      <c r="HL1306" s="113"/>
      <c r="HM1306" s="121"/>
      <c r="HN1306" s="121"/>
      <c r="LM1306" t="str">
        <v/>
      </c>
      <c r="LN1306" t="str">
        <v/>
      </c>
      <c r="LO1306" t="str">
        <v/>
      </c>
    </row>
    <row r="1307" spans="30:327">
      <c r="AD1307" t="s">
        <v>18300</v>
      </c>
      <c r="AE1307" t="s">
        <v>23078</v>
      </c>
      <c r="AF1307" s="46">
        <v>0</v>
      </c>
      <c r="AG1307" s="113"/>
      <c r="AH1307" s="113"/>
      <c r="AI1307" s="113"/>
      <c r="AJ1307" s="113"/>
      <c r="AK1307" s="113"/>
      <c r="AL1307" s="46">
        <v>0</v>
      </c>
      <c r="AM1307" s="113"/>
      <c r="AN1307" s="113"/>
      <c r="AO1307" s="113"/>
      <c r="AP1307" s="113"/>
      <c r="AQ1307" s="113"/>
      <c r="AR1307" s="46">
        <v>0</v>
      </c>
      <c r="AS1307" s="113"/>
      <c r="AT1307" s="113"/>
      <c r="AU1307" s="113"/>
      <c r="AV1307" s="113"/>
      <c r="AW1307" s="113"/>
      <c r="AX1307" s="46">
        <v>0</v>
      </c>
      <c r="AY1307" s="113"/>
      <c r="AZ1307" s="113"/>
      <c r="BA1307" s="113"/>
      <c r="BB1307" s="113"/>
      <c r="BC1307" s="113"/>
      <c r="BD1307" s="46">
        <v>0</v>
      </c>
      <c r="BE1307" s="113"/>
      <c r="BF1307" s="113"/>
      <c r="BG1307" s="113"/>
      <c r="BH1307" s="113"/>
      <c r="BI1307" s="113"/>
      <c r="BJ1307" s="46">
        <v>0</v>
      </c>
      <c r="BK1307" s="113"/>
      <c r="BL1307" s="113"/>
      <c r="BM1307" s="113"/>
      <c r="BN1307" s="113"/>
      <c r="BO1307" s="113"/>
      <c r="BP1307" s="121"/>
      <c r="BQ1307" s="121"/>
      <c r="GA1307" t="s">
        <v>18300</v>
      </c>
      <c r="GB1307" t="s">
        <v>23078</v>
      </c>
      <c r="GC1307" s="46">
        <v>0</v>
      </c>
      <c r="GD1307" s="113"/>
      <c r="GE1307" s="113"/>
      <c r="GF1307" s="113"/>
      <c r="GG1307" s="113"/>
      <c r="GH1307" s="113"/>
      <c r="GI1307" s="46">
        <v>0</v>
      </c>
      <c r="GJ1307" s="113"/>
      <c r="GK1307" s="113"/>
      <c r="GL1307" s="113"/>
      <c r="GM1307" s="113"/>
      <c r="GN1307" s="113"/>
      <c r="GO1307" s="46">
        <v>0</v>
      </c>
      <c r="GP1307" s="113"/>
      <c r="GQ1307" s="113"/>
      <c r="GR1307" s="113"/>
      <c r="GS1307" s="113"/>
      <c r="GT1307" s="113"/>
      <c r="GU1307" s="46">
        <v>0</v>
      </c>
      <c r="GV1307" s="113"/>
      <c r="GW1307" s="113"/>
      <c r="GX1307" s="113"/>
      <c r="GY1307" s="113"/>
      <c r="GZ1307" s="113"/>
      <c r="HA1307" s="46">
        <v>0</v>
      </c>
      <c r="HB1307" s="113"/>
      <c r="HC1307" s="113"/>
      <c r="HD1307" s="113"/>
      <c r="HE1307" s="113"/>
      <c r="HF1307" s="113"/>
      <c r="HG1307" s="46">
        <v>0</v>
      </c>
      <c r="HH1307" s="113"/>
      <c r="HI1307" s="113"/>
      <c r="HJ1307" s="113"/>
      <c r="HK1307" s="113"/>
      <c r="HL1307" s="113"/>
      <c r="HM1307" s="121"/>
      <c r="HN1307" s="121"/>
      <c r="LM1307" t="str">
        <v/>
      </c>
      <c r="LN1307" t="str">
        <v/>
      </c>
      <c r="LO1307" t="str">
        <v/>
      </c>
    </row>
    <row r="1308" spans="30:327">
      <c r="AD1308" t="s">
        <v>18300</v>
      </c>
      <c r="AE1308" t="s">
        <v>23079</v>
      </c>
      <c r="AF1308" s="46">
        <v>0</v>
      </c>
      <c r="AG1308" s="113"/>
      <c r="AH1308" s="113"/>
      <c r="AI1308" s="113"/>
      <c r="AJ1308" s="113"/>
      <c r="AK1308" s="113"/>
      <c r="AL1308" s="46">
        <v>0</v>
      </c>
      <c r="AM1308" s="113"/>
      <c r="AN1308" s="113"/>
      <c r="AO1308" s="113"/>
      <c r="AP1308" s="113"/>
      <c r="AQ1308" s="113"/>
      <c r="AR1308" s="46">
        <v>0</v>
      </c>
      <c r="AS1308" s="113"/>
      <c r="AT1308" s="113"/>
      <c r="AU1308" s="113"/>
      <c r="AV1308" s="113"/>
      <c r="AW1308" s="113"/>
      <c r="AX1308" s="46">
        <v>0</v>
      </c>
      <c r="AY1308" s="113"/>
      <c r="AZ1308" s="113"/>
      <c r="BA1308" s="113"/>
      <c r="BB1308" s="113"/>
      <c r="BC1308" s="113"/>
      <c r="BD1308" s="46">
        <v>0</v>
      </c>
      <c r="BE1308" s="113"/>
      <c r="BF1308" s="113"/>
      <c r="BG1308" s="113"/>
      <c r="BH1308" s="113"/>
      <c r="BI1308" s="113"/>
      <c r="BJ1308" s="46">
        <v>0</v>
      </c>
      <c r="BK1308" s="113"/>
      <c r="BL1308" s="113"/>
      <c r="BM1308" s="113"/>
      <c r="BN1308" s="113"/>
      <c r="BO1308" s="113"/>
      <c r="BP1308" s="121"/>
      <c r="BQ1308" s="121"/>
      <c r="GA1308" t="s">
        <v>18300</v>
      </c>
      <c r="GB1308" t="s">
        <v>23079</v>
      </c>
      <c r="GC1308" s="46">
        <v>0</v>
      </c>
      <c r="GD1308" s="113"/>
      <c r="GE1308" s="113"/>
      <c r="GF1308" s="113"/>
      <c r="GG1308" s="113"/>
      <c r="GH1308" s="113"/>
      <c r="GI1308" s="46">
        <v>0</v>
      </c>
      <c r="GJ1308" s="113"/>
      <c r="GK1308" s="113"/>
      <c r="GL1308" s="113"/>
      <c r="GM1308" s="113"/>
      <c r="GN1308" s="113"/>
      <c r="GO1308" s="46">
        <v>0</v>
      </c>
      <c r="GP1308" s="113"/>
      <c r="GQ1308" s="113"/>
      <c r="GR1308" s="113"/>
      <c r="GS1308" s="113"/>
      <c r="GT1308" s="113"/>
      <c r="GU1308" s="46">
        <v>0</v>
      </c>
      <c r="GV1308" s="113"/>
      <c r="GW1308" s="113"/>
      <c r="GX1308" s="113"/>
      <c r="GY1308" s="113"/>
      <c r="GZ1308" s="113"/>
      <c r="HA1308" s="46">
        <v>0</v>
      </c>
      <c r="HB1308" s="113"/>
      <c r="HC1308" s="113"/>
      <c r="HD1308" s="113"/>
      <c r="HE1308" s="113"/>
      <c r="HF1308" s="113"/>
      <c r="HG1308" s="46">
        <v>0</v>
      </c>
      <c r="HH1308" s="113"/>
      <c r="HI1308" s="113"/>
      <c r="HJ1308" s="113"/>
      <c r="HK1308" s="113"/>
      <c r="HL1308" s="113"/>
      <c r="HM1308" s="121"/>
      <c r="HN1308" s="121"/>
      <c r="LM1308" t="str">
        <v/>
      </c>
      <c r="LN1308" t="str">
        <v/>
      </c>
      <c r="LO1308" t="str">
        <v/>
      </c>
    </row>
    <row r="1309" spans="30:327">
      <c r="AD1309" t="s">
        <v>18300</v>
      </c>
      <c r="AE1309" t="s">
        <v>23080</v>
      </c>
      <c r="AF1309" s="46">
        <v>0</v>
      </c>
      <c r="AG1309" s="113"/>
      <c r="AH1309" s="113"/>
      <c r="AI1309" s="113"/>
      <c r="AJ1309" s="113"/>
      <c r="AK1309" s="113"/>
      <c r="AL1309" s="46">
        <v>0</v>
      </c>
      <c r="AM1309" s="113"/>
      <c r="AN1309" s="113"/>
      <c r="AO1309" s="113"/>
      <c r="AP1309" s="113"/>
      <c r="AQ1309" s="113"/>
      <c r="AR1309" s="46">
        <v>0</v>
      </c>
      <c r="AS1309" s="113"/>
      <c r="AT1309" s="113"/>
      <c r="AU1309" s="113"/>
      <c r="AV1309" s="113"/>
      <c r="AW1309" s="113"/>
      <c r="AX1309" s="46">
        <v>0</v>
      </c>
      <c r="AY1309" s="113"/>
      <c r="AZ1309" s="113"/>
      <c r="BA1309" s="113"/>
      <c r="BB1309" s="113"/>
      <c r="BC1309" s="113"/>
      <c r="BD1309" s="46">
        <v>0</v>
      </c>
      <c r="BE1309" s="113"/>
      <c r="BF1309" s="113"/>
      <c r="BG1309" s="113"/>
      <c r="BH1309" s="113"/>
      <c r="BI1309" s="113"/>
      <c r="BJ1309" s="46">
        <v>0</v>
      </c>
      <c r="BK1309" s="113"/>
      <c r="BL1309" s="113"/>
      <c r="BM1309" s="113"/>
      <c r="BN1309" s="113"/>
      <c r="BO1309" s="113"/>
      <c r="BP1309" s="121"/>
      <c r="BQ1309" s="121"/>
      <c r="GA1309" t="s">
        <v>18300</v>
      </c>
      <c r="GB1309" t="s">
        <v>23080</v>
      </c>
      <c r="GC1309" s="46">
        <v>0</v>
      </c>
      <c r="GD1309" s="113"/>
      <c r="GE1309" s="113"/>
      <c r="GF1309" s="113"/>
      <c r="GG1309" s="113"/>
      <c r="GH1309" s="113"/>
      <c r="GI1309" s="46">
        <v>0</v>
      </c>
      <c r="GJ1309" s="113"/>
      <c r="GK1309" s="113"/>
      <c r="GL1309" s="113"/>
      <c r="GM1309" s="113"/>
      <c r="GN1309" s="113"/>
      <c r="GO1309" s="46">
        <v>0</v>
      </c>
      <c r="GP1309" s="113"/>
      <c r="GQ1309" s="113"/>
      <c r="GR1309" s="113"/>
      <c r="GS1309" s="113"/>
      <c r="GT1309" s="113"/>
      <c r="GU1309" s="46">
        <v>0</v>
      </c>
      <c r="GV1309" s="113"/>
      <c r="GW1309" s="113"/>
      <c r="GX1309" s="113"/>
      <c r="GY1309" s="113"/>
      <c r="GZ1309" s="113"/>
      <c r="HA1309" s="46">
        <v>0</v>
      </c>
      <c r="HB1309" s="113"/>
      <c r="HC1309" s="113"/>
      <c r="HD1309" s="113"/>
      <c r="HE1309" s="113"/>
      <c r="HF1309" s="113"/>
      <c r="HG1309" s="46">
        <v>0</v>
      </c>
      <c r="HH1309" s="113"/>
      <c r="HI1309" s="113"/>
      <c r="HJ1309" s="113"/>
      <c r="HK1309" s="113"/>
      <c r="HL1309" s="113"/>
      <c r="HM1309" s="121"/>
      <c r="HN1309" s="121"/>
      <c r="LM1309" t="str">
        <v/>
      </c>
      <c r="LN1309" t="str">
        <v/>
      </c>
      <c r="LO1309" t="str">
        <v/>
      </c>
    </row>
    <row r="1310" spans="30:327">
      <c r="AD1310" t="s">
        <v>18300</v>
      </c>
      <c r="AE1310" t="s">
        <v>23081</v>
      </c>
      <c r="AF1310" s="46">
        <v>0</v>
      </c>
      <c r="AG1310" s="113"/>
      <c r="AH1310" s="113"/>
      <c r="AI1310" s="113"/>
      <c r="AJ1310" s="113"/>
      <c r="AK1310" s="113"/>
      <c r="AL1310" s="46">
        <v>0</v>
      </c>
      <c r="AM1310" s="113"/>
      <c r="AN1310" s="113"/>
      <c r="AO1310" s="113"/>
      <c r="AP1310" s="113"/>
      <c r="AQ1310" s="113"/>
      <c r="AR1310" s="46">
        <v>0</v>
      </c>
      <c r="AS1310" s="113"/>
      <c r="AT1310" s="113"/>
      <c r="AU1310" s="113"/>
      <c r="AV1310" s="113"/>
      <c r="AW1310" s="113"/>
      <c r="AX1310" s="46">
        <v>0</v>
      </c>
      <c r="AY1310" s="113"/>
      <c r="AZ1310" s="113"/>
      <c r="BA1310" s="113"/>
      <c r="BB1310" s="113"/>
      <c r="BC1310" s="113"/>
      <c r="BD1310" s="46">
        <v>0</v>
      </c>
      <c r="BE1310" s="113"/>
      <c r="BF1310" s="113"/>
      <c r="BG1310" s="113"/>
      <c r="BH1310" s="113"/>
      <c r="BI1310" s="113"/>
      <c r="BJ1310" s="46">
        <v>0</v>
      </c>
      <c r="BK1310" s="113"/>
      <c r="BL1310" s="113"/>
      <c r="BM1310" s="113"/>
      <c r="BN1310" s="113"/>
      <c r="BO1310" s="113"/>
      <c r="BP1310" s="121"/>
      <c r="BQ1310" s="121"/>
      <c r="GA1310" t="s">
        <v>18300</v>
      </c>
      <c r="GB1310" t="s">
        <v>23081</v>
      </c>
      <c r="GC1310" s="46">
        <v>0</v>
      </c>
      <c r="GD1310" s="113"/>
      <c r="GE1310" s="113"/>
      <c r="GF1310" s="113"/>
      <c r="GG1310" s="113"/>
      <c r="GH1310" s="113"/>
      <c r="GI1310" s="46">
        <v>0</v>
      </c>
      <c r="GJ1310" s="113"/>
      <c r="GK1310" s="113"/>
      <c r="GL1310" s="113"/>
      <c r="GM1310" s="113"/>
      <c r="GN1310" s="113"/>
      <c r="GO1310" s="46">
        <v>0</v>
      </c>
      <c r="GP1310" s="113"/>
      <c r="GQ1310" s="113"/>
      <c r="GR1310" s="113"/>
      <c r="GS1310" s="113"/>
      <c r="GT1310" s="113"/>
      <c r="GU1310" s="46">
        <v>0</v>
      </c>
      <c r="GV1310" s="113"/>
      <c r="GW1310" s="113"/>
      <c r="GX1310" s="113"/>
      <c r="GY1310" s="113"/>
      <c r="GZ1310" s="113"/>
      <c r="HA1310" s="46">
        <v>0</v>
      </c>
      <c r="HB1310" s="113"/>
      <c r="HC1310" s="113"/>
      <c r="HD1310" s="113"/>
      <c r="HE1310" s="113"/>
      <c r="HF1310" s="113"/>
      <c r="HG1310" s="46">
        <v>0</v>
      </c>
      <c r="HH1310" s="113"/>
      <c r="HI1310" s="113"/>
      <c r="HJ1310" s="113"/>
      <c r="HK1310" s="113"/>
      <c r="HL1310" s="113"/>
      <c r="HM1310" s="121"/>
      <c r="HN1310" s="121"/>
      <c r="LM1310" t="str">
        <v/>
      </c>
      <c r="LN1310" t="str">
        <v/>
      </c>
      <c r="LO1310" t="str">
        <v/>
      </c>
    </row>
    <row r="1311" spans="30:327">
      <c r="AD1311" t="s">
        <v>18300</v>
      </c>
      <c r="AE1311" t="s">
        <v>23082</v>
      </c>
      <c r="AF1311" s="46">
        <v>0</v>
      </c>
      <c r="AG1311" s="113"/>
      <c r="AH1311" s="113"/>
      <c r="AI1311" s="113"/>
      <c r="AJ1311" s="113"/>
      <c r="AK1311" s="113"/>
      <c r="AL1311" s="46">
        <v>0</v>
      </c>
      <c r="AM1311" s="113"/>
      <c r="AN1311" s="113"/>
      <c r="AO1311" s="113"/>
      <c r="AP1311" s="113"/>
      <c r="AQ1311" s="113"/>
      <c r="AR1311" s="46">
        <v>0</v>
      </c>
      <c r="AS1311" s="113"/>
      <c r="AT1311" s="113"/>
      <c r="AU1311" s="113"/>
      <c r="AV1311" s="113"/>
      <c r="AW1311" s="113"/>
      <c r="AX1311" s="46">
        <v>0</v>
      </c>
      <c r="AY1311" s="113"/>
      <c r="AZ1311" s="113"/>
      <c r="BA1311" s="113"/>
      <c r="BB1311" s="113"/>
      <c r="BC1311" s="113"/>
      <c r="BD1311" s="46">
        <v>0</v>
      </c>
      <c r="BE1311" s="113"/>
      <c r="BF1311" s="113"/>
      <c r="BG1311" s="113"/>
      <c r="BH1311" s="113"/>
      <c r="BI1311" s="113"/>
      <c r="BJ1311" s="46">
        <v>0</v>
      </c>
      <c r="BK1311" s="113"/>
      <c r="BL1311" s="113"/>
      <c r="BM1311" s="113"/>
      <c r="BN1311" s="113"/>
      <c r="BO1311" s="113"/>
      <c r="BP1311" s="121"/>
      <c r="BQ1311" s="121"/>
      <c r="GA1311" t="s">
        <v>18300</v>
      </c>
      <c r="GB1311" t="s">
        <v>23082</v>
      </c>
      <c r="GC1311" s="46">
        <v>0</v>
      </c>
      <c r="GD1311" s="113"/>
      <c r="GE1311" s="113"/>
      <c r="GF1311" s="113"/>
      <c r="GG1311" s="113"/>
      <c r="GH1311" s="113"/>
      <c r="GI1311" s="46">
        <v>0</v>
      </c>
      <c r="GJ1311" s="113"/>
      <c r="GK1311" s="113"/>
      <c r="GL1311" s="113"/>
      <c r="GM1311" s="113"/>
      <c r="GN1311" s="113"/>
      <c r="GO1311" s="46">
        <v>0</v>
      </c>
      <c r="GP1311" s="113"/>
      <c r="GQ1311" s="113"/>
      <c r="GR1311" s="113"/>
      <c r="GS1311" s="113"/>
      <c r="GT1311" s="113"/>
      <c r="GU1311" s="46">
        <v>0</v>
      </c>
      <c r="GV1311" s="113"/>
      <c r="GW1311" s="113"/>
      <c r="GX1311" s="113"/>
      <c r="GY1311" s="113"/>
      <c r="GZ1311" s="113"/>
      <c r="HA1311" s="46">
        <v>0</v>
      </c>
      <c r="HB1311" s="113"/>
      <c r="HC1311" s="113"/>
      <c r="HD1311" s="113"/>
      <c r="HE1311" s="113"/>
      <c r="HF1311" s="113"/>
      <c r="HG1311" s="46">
        <v>0</v>
      </c>
      <c r="HH1311" s="113"/>
      <c r="HI1311" s="113"/>
      <c r="HJ1311" s="113"/>
      <c r="HK1311" s="113"/>
      <c r="HL1311" s="113"/>
      <c r="HM1311" s="121"/>
      <c r="HN1311" s="121"/>
      <c r="LM1311" t="str">
        <v/>
      </c>
      <c r="LN1311" t="str">
        <v/>
      </c>
      <c r="LO1311" t="str">
        <v/>
      </c>
    </row>
    <row r="1312" spans="30:327">
      <c r="AD1312" t="s">
        <v>18300</v>
      </c>
      <c r="AE1312" t="s">
        <v>23083</v>
      </c>
      <c r="AF1312" s="46">
        <v>0</v>
      </c>
      <c r="AG1312" s="113"/>
      <c r="AH1312" s="113"/>
      <c r="AI1312" s="113"/>
      <c r="AJ1312" s="113"/>
      <c r="AK1312" s="113"/>
      <c r="AL1312" s="46">
        <v>0</v>
      </c>
      <c r="AM1312" s="113"/>
      <c r="AN1312" s="113"/>
      <c r="AO1312" s="113"/>
      <c r="AP1312" s="113"/>
      <c r="AQ1312" s="113"/>
      <c r="AR1312" s="46">
        <v>0</v>
      </c>
      <c r="AS1312" s="113"/>
      <c r="AT1312" s="113"/>
      <c r="AU1312" s="113"/>
      <c r="AV1312" s="113"/>
      <c r="AW1312" s="113"/>
      <c r="AX1312" s="46">
        <v>0</v>
      </c>
      <c r="AY1312" s="113"/>
      <c r="AZ1312" s="113"/>
      <c r="BA1312" s="113"/>
      <c r="BB1312" s="113"/>
      <c r="BC1312" s="113"/>
      <c r="BD1312" s="46">
        <v>0</v>
      </c>
      <c r="BE1312" s="113"/>
      <c r="BF1312" s="113"/>
      <c r="BG1312" s="113"/>
      <c r="BH1312" s="113"/>
      <c r="BI1312" s="113"/>
      <c r="BJ1312" s="46">
        <v>0</v>
      </c>
      <c r="BK1312" s="113"/>
      <c r="BL1312" s="113"/>
      <c r="BM1312" s="113"/>
      <c r="BN1312" s="113"/>
      <c r="BO1312" s="113"/>
      <c r="BP1312" s="121"/>
      <c r="BQ1312" s="121"/>
      <c r="GA1312" t="s">
        <v>18300</v>
      </c>
      <c r="GB1312" t="s">
        <v>23083</v>
      </c>
      <c r="GC1312" s="46">
        <v>0</v>
      </c>
      <c r="GD1312" s="113"/>
      <c r="GE1312" s="113"/>
      <c r="GF1312" s="113"/>
      <c r="GG1312" s="113"/>
      <c r="GH1312" s="113"/>
      <c r="GI1312" s="46">
        <v>0</v>
      </c>
      <c r="GJ1312" s="113"/>
      <c r="GK1312" s="113"/>
      <c r="GL1312" s="113"/>
      <c r="GM1312" s="113"/>
      <c r="GN1312" s="113"/>
      <c r="GO1312" s="46">
        <v>0</v>
      </c>
      <c r="GP1312" s="113"/>
      <c r="GQ1312" s="113"/>
      <c r="GR1312" s="113"/>
      <c r="GS1312" s="113"/>
      <c r="GT1312" s="113"/>
      <c r="GU1312" s="46">
        <v>0</v>
      </c>
      <c r="GV1312" s="113"/>
      <c r="GW1312" s="113"/>
      <c r="GX1312" s="113"/>
      <c r="GY1312" s="113"/>
      <c r="GZ1312" s="113"/>
      <c r="HA1312" s="46">
        <v>0</v>
      </c>
      <c r="HB1312" s="113"/>
      <c r="HC1312" s="113"/>
      <c r="HD1312" s="113"/>
      <c r="HE1312" s="113"/>
      <c r="HF1312" s="113"/>
      <c r="HG1312" s="46">
        <v>0</v>
      </c>
      <c r="HH1312" s="113"/>
      <c r="HI1312" s="113"/>
      <c r="HJ1312" s="113"/>
      <c r="HK1312" s="113"/>
      <c r="HL1312" s="113"/>
      <c r="HM1312" s="121"/>
      <c r="HN1312" s="121"/>
      <c r="LM1312" t="str">
        <v/>
      </c>
      <c r="LN1312" t="str">
        <v/>
      </c>
      <c r="LO1312" t="str">
        <v/>
      </c>
    </row>
    <row r="1313" spans="30:327">
      <c r="AD1313" t="s">
        <v>18300</v>
      </c>
      <c r="AE1313" t="s">
        <v>23084</v>
      </c>
      <c r="AF1313" s="46">
        <v>0</v>
      </c>
      <c r="AG1313" s="113"/>
      <c r="AH1313" s="113"/>
      <c r="AI1313" s="113"/>
      <c r="AJ1313" s="113"/>
      <c r="AK1313" s="113"/>
      <c r="AL1313" s="46">
        <v>0</v>
      </c>
      <c r="AM1313" s="113"/>
      <c r="AN1313" s="113"/>
      <c r="AO1313" s="113"/>
      <c r="AP1313" s="113"/>
      <c r="AQ1313" s="113"/>
      <c r="AR1313" s="46">
        <v>0</v>
      </c>
      <c r="AS1313" s="113"/>
      <c r="AT1313" s="113"/>
      <c r="AU1313" s="113"/>
      <c r="AV1313" s="113"/>
      <c r="AW1313" s="113"/>
      <c r="AX1313" s="46">
        <v>0</v>
      </c>
      <c r="AY1313" s="113"/>
      <c r="AZ1313" s="113"/>
      <c r="BA1313" s="113"/>
      <c r="BB1313" s="113"/>
      <c r="BC1313" s="113"/>
      <c r="BD1313" s="46">
        <v>0</v>
      </c>
      <c r="BE1313" s="113"/>
      <c r="BF1313" s="113"/>
      <c r="BG1313" s="113"/>
      <c r="BH1313" s="113"/>
      <c r="BI1313" s="113"/>
      <c r="BJ1313" s="46">
        <v>0</v>
      </c>
      <c r="BK1313" s="113"/>
      <c r="BL1313" s="113"/>
      <c r="BM1313" s="113"/>
      <c r="BN1313" s="113"/>
      <c r="BO1313" s="113"/>
      <c r="BP1313" s="121"/>
      <c r="BQ1313" s="121"/>
      <c r="GA1313" t="s">
        <v>18300</v>
      </c>
      <c r="GB1313" t="s">
        <v>23084</v>
      </c>
      <c r="GC1313" s="46">
        <v>0</v>
      </c>
      <c r="GD1313" s="113"/>
      <c r="GE1313" s="113"/>
      <c r="GF1313" s="113"/>
      <c r="GG1313" s="113"/>
      <c r="GH1313" s="113"/>
      <c r="GI1313" s="46">
        <v>0</v>
      </c>
      <c r="GJ1313" s="113"/>
      <c r="GK1313" s="113"/>
      <c r="GL1313" s="113"/>
      <c r="GM1313" s="113"/>
      <c r="GN1313" s="113"/>
      <c r="GO1313" s="46">
        <v>0</v>
      </c>
      <c r="GP1313" s="113"/>
      <c r="GQ1313" s="113"/>
      <c r="GR1313" s="113"/>
      <c r="GS1313" s="113"/>
      <c r="GT1313" s="113"/>
      <c r="GU1313" s="46">
        <v>0</v>
      </c>
      <c r="GV1313" s="113"/>
      <c r="GW1313" s="113"/>
      <c r="GX1313" s="113"/>
      <c r="GY1313" s="113"/>
      <c r="GZ1313" s="113"/>
      <c r="HA1313" s="46">
        <v>0</v>
      </c>
      <c r="HB1313" s="113"/>
      <c r="HC1313" s="113"/>
      <c r="HD1313" s="113"/>
      <c r="HE1313" s="113"/>
      <c r="HF1313" s="113"/>
      <c r="HG1313" s="46">
        <v>0</v>
      </c>
      <c r="HH1313" s="113"/>
      <c r="HI1313" s="113"/>
      <c r="HJ1313" s="113"/>
      <c r="HK1313" s="113"/>
      <c r="HL1313" s="113"/>
      <c r="HM1313" s="121"/>
      <c r="HN1313" s="121"/>
      <c r="LM1313" t="str">
        <v/>
      </c>
      <c r="LN1313" t="str">
        <v/>
      </c>
      <c r="LO1313" t="str">
        <v/>
      </c>
    </row>
    <row r="1314" spans="30:327">
      <c r="AD1314" t="s">
        <v>18300</v>
      </c>
      <c r="AE1314" t="s">
        <v>23085</v>
      </c>
      <c r="AF1314" s="46">
        <v>0</v>
      </c>
      <c r="AG1314" s="113"/>
      <c r="AH1314" s="113"/>
      <c r="AI1314" s="113"/>
      <c r="AJ1314" s="113"/>
      <c r="AK1314" s="113"/>
      <c r="AL1314" s="46">
        <v>0</v>
      </c>
      <c r="AM1314" s="113"/>
      <c r="AN1314" s="113"/>
      <c r="AO1314" s="113"/>
      <c r="AP1314" s="113"/>
      <c r="AQ1314" s="113"/>
      <c r="AR1314" s="46">
        <v>0</v>
      </c>
      <c r="AS1314" s="113"/>
      <c r="AT1314" s="113"/>
      <c r="AU1314" s="113"/>
      <c r="AV1314" s="113"/>
      <c r="AW1314" s="113"/>
      <c r="AX1314" s="46">
        <v>0</v>
      </c>
      <c r="AY1314" s="113"/>
      <c r="AZ1314" s="113"/>
      <c r="BA1314" s="113"/>
      <c r="BB1314" s="113"/>
      <c r="BC1314" s="113"/>
      <c r="BD1314" s="46">
        <v>0</v>
      </c>
      <c r="BE1314" s="113"/>
      <c r="BF1314" s="113"/>
      <c r="BG1314" s="113"/>
      <c r="BH1314" s="113"/>
      <c r="BI1314" s="113"/>
      <c r="BJ1314" s="46">
        <v>0</v>
      </c>
      <c r="BK1314" s="113"/>
      <c r="BL1314" s="113"/>
      <c r="BM1314" s="113"/>
      <c r="BN1314" s="113"/>
      <c r="BO1314" s="113"/>
      <c r="BP1314" s="121"/>
      <c r="BQ1314" s="121"/>
      <c r="GA1314" t="s">
        <v>18300</v>
      </c>
      <c r="GB1314" t="s">
        <v>23085</v>
      </c>
      <c r="GC1314" s="46">
        <v>0</v>
      </c>
      <c r="GD1314" s="113"/>
      <c r="GE1314" s="113"/>
      <c r="GF1314" s="113"/>
      <c r="GG1314" s="113"/>
      <c r="GH1314" s="113"/>
      <c r="GI1314" s="46">
        <v>0</v>
      </c>
      <c r="GJ1314" s="113"/>
      <c r="GK1314" s="113"/>
      <c r="GL1314" s="113"/>
      <c r="GM1314" s="113"/>
      <c r="GN1314" s="113"/>
      <c r="GO1314" s="46">
        <v>0</v>
      </c>
      <c r="GP1314" s="113"/>
      <c r="GQ1314" s="113"/>
      <c r="GR1314" s="113"/>
      <c r="GS1314" s="113"/>
      <c r="GT1314" s="113"/>
      <c r="GU1314" s="46">
        <v>0</v>
      </c>
      <c r="GV1314" s="113"/>
      <c r="GW1314" s="113"/>
      <c r="GX1314" s="113"/>
      <c r="GY1314" s="113"/>
      <c r="GZ1314" s="113"/>
      <c r="HA1314" s="46">
        <v>0</v>
      </c>
      <c r="HB1314" s="113"/>
      <c r="HC1314" s="113"/>
      <c r="HD1314" s="113"/>
      <c r="HE1314" s="113"/>
      <c r="HF1314" s="113"/>
      <c r="HG1314" s="46">
        <v>0</v>
      </c>
      <c r="HH1314" s="113"/>
      <c r="HI1314" s="113"/>
      <c r="HJ1314" s="113"/>
      <c r="HK1314" s="113"/>
      <c r="HL1314" s="113"/>
      <c r="HM1314" s="121"/>
      <c r="HN1314" s="121"/>
      <c r="LM1314" t="str">
        <v/>
      </c>
      <c r="LN1314" t="str">
        <v/>
      </c>
      <c r="LO1314" t="str">
        <v/>
      </c>
    </row>
    <row r="1315" spans="30:327">
      <c r="AD1315" t="s">
        <v>18300</v>
      </c>
      <c r="AE1315" t="s">
        <v>23086</v>
      </c>
      <c r="AF1315" s="46">
        <v>0</v>
      </c>
      <c r="AG1315" s="113"/>
      <c r="AH1315" s="113"/>
      <c r="AI1315" s="113"/>
      <c r="AJ1315" s="113"/>
      <c r="AK1315" s="113"/>
      <c r="AL1315" s="46">
        <v>0</v>
      </c>
      <c r="AM1315" s="113"/>
      <c r="AN1315" s="113"/>
      <c r="AO1315" s="113"/>
      <c r="AP1315" s="113"/>
      <c r="AQ1315" s="113"/>
      <c r="AR1315" s="46">
        <v>0</v>
      </c>
      <c r="AS1315" s="113"/>
      <c r="AT1315" s="113"/>
      <c r="AU1315" s="113"/>
      <c r="AV1315" s="113"/>
      <c r="AW1315" s="113"/>
      <c r="AX1315" s="46">
        <v>0</v>
      </c>
      <c r="AY1315" s="113"/>
      <c r="AZ1315" s="113"/>
      <c r="BA1315" s="113"/>
      <c r="BB1315" s="113"/>
      <c r="BC1315" s="113"/>
      <c r="BD1315" s="46">
        <v>0</v>
      </c>
      <c r="BE1315" s="113"/>
      <c r="BF1315" s="113"/>
      <c r="BG1315" s="113"/>
      <c r="BH1315" s="113"/>
      <c r="BI1315" s="113"/>
      <c r="BJ1315" s="46">
        <v>0</v>
      </c>
      <c r="BK1315" s="113"/>
      <c r="BL1315" s="113"/>
      <c r="BM1315" s="113"/>
      <c r="BN1315" s="113"/>
      <c r="BO1315" s="113"/>
      <c r="BP1315" s="121"/>
      <c r="BQ1315" s="121"/>
      <c r="GA1315" t="s">
        <v>18300</v>
      </c>
      <c r="GB1315" t="s">
        <v>23086</v>
      </c>
      <c r="GC1315" s="46">
        <v>0</v>
      </c>
      <c r="GD1315" s="113"/>
      <c r="GE1315" s="113"/>
      <c r="GF1315" s="113"/>
      <c r="GG1315" s="113"/>
      <c r="GH1315" s="113"/>
      <c r="GI1315" s="46">
        <v>0</v>
      </c>
      <c r="GJ1315" s="113"/>
      <c r="GK1315" s="113"/>
      <c r="GL1315" s="113"/>
      <c r="GM1315" s="113"/>
      <c r="GN1315" s="113"/>
      <c r="GO1315" s="46">
        <v>0</v>
      </c>
      <c r="GP1315" s="113"/>
      <c r="GQ1315" s="113"/>
      <c r="GR1315" s="113"/>
      <c r="GS1315" s="113"/>
      <c r="GT1315" s="113"/>
      <c r="GU1315" s="46">
        <v>0</v>
      </c>
      <c r="GV1315" s="113"/>
      <c r="GW1315" s="113"/>
      <c r="GX1315" s="113"/>
      <c r="GY1315" s="113"/>
      <c r="GZ1315" s="113"/>
      <c r="HA1315" s="46">
        <v>0</v>
      </c>
      <c r="HB1315" s="113"/>
      <c r="HC1315" s="113"/>
      <c r="HD1315" s="113"/>
      <c r="HE1315" s="113"/>
      <c r="HF1315" s="113"/>
      <c r="HG1315" s="46">
        <v>0</v>
      </c>
      <c r="HH1315" s="113"/>
      <c r="HI1315" s="113"/>
      <c r="HJ1315" s="113"/>
      <c r="HK1315" s="113"/>
      <c r="HL1315" s="113"/>
      <c r="HM1315" s="121"/>
      <c r="HN1315" s="121"/>
      <c r="LM1315" t="str">
        <v/>
      </c>
      <c r="LN1315" t="str">
        <v/>
      </c>
      <c r="LO1315" t="str">
        <v/>
      </c>
    </row>
    <row r="1316" spans="30:327">
      <c r="AD1316" t="s">
        <v>18300</v>
      </c>
      <c r="AE1316" t="s">
        <v>23087</v>
      </c>
      <c r="AF1316" s="46">
        <v>0</v>
      </c>
      <c r="AG1316" s="113"/>
      <c r="AH1316" s="113"/>
      <c r="AI1316" s="113"/>
      <c r="AJ1316" s="113"/>
      <c r="AK1316" s="113"/>
      <c r="AL1316" s="46">
        <v>0</v>
      </c>
      <c r="AM1316" s="113"/>
      <c r="AN1316" s="113"/>
      <c r="AO1316" s="113"/>
      <c r="AP1316" s="113"/>
      <c r="AQ1316" s="113"/>
      <c r="AR1316" s="46">
        <v>0</v>
      </c>
      <c r="AS1316" s="113"/>
      <c r="AT1316" s="113"/>
      <c r="AU1316" s="113"/>
      <c r="AV1316" s="113"/>
      <c r="AW1316" s="113"/>
      <c r="AX1316" s="46">
        <v>0</v>
      </c>
      <c r="AY1316" s="113"/>
      <c r="AZ1316" s="113"/>
      <c r="BA1316" s="113"/>
      <c r="BB1316" s="113"/>
      <c r="BC1316" s="113"/>
      <c r="BD1316" s="46">
        <v>0</v>
      </c>
      <c r="BE1316" s="113"/>
      <c r="BF1316" s="113"/>
      <c r="BG1316" s="113"/>
      <c r="BH1316" s="113"/>
      <c r="BI1316" s="113"/>
      <c r="BJ1316" s="46">
        <v>0</v>
      </c>
      <c r="BK1316" s="113"/>
      <c r="BL1316" s="113"/>
      <c r="BM1316" s="113"/>
      <c r="BN1316" s="113"/>
      <c r="BO1316" s="113"/>
      <c r="BP1316" s="121"/>
      <c r="BQ1316" s="121"/>
      <c r="GA1316" t="s">
        <v>18300</v>
      </c>
      <c r="GB1316" t="s">
        <v>23087</v>
      </c>
      <c r="GC1316" s="46">
        <v>0</v>
      </c>
      <c r="GD1316" s="113"/>
      <c r="GE1316" s="113"/>
      <c r="GF1316" s="113"/>
      <c r="GG1316" s="113"/>
      <c r="GH1316" s="113"/>
      <c r="GI1316" s="46">
        <v>0</v>
      </c>
      <c r="GJ1316" s="113"/>
      <c r="GK1316" s="113"/>
      <c r="GL1316" s="113"/>
      <c r="GM1316" s="113"/>
      <c r="GN1316" s="113"/>
      <c r="GO1316" s="46">
        <v>0</v>
      </c>
      <c r="GP1316" s="113"/>
      <c r="GQ1316" s="113"/>
      <c r="GR1316" s="113"/>
      <c r="GS1316" s="113"/>
      <c r="GT1316" s="113"/>
      <c r="GU1316" s="46">
        <v>0</v>
      </c>
      <c r="GV1316" s="113"/>
      <c r="GW1316" s="113"/>
      <c r="GX1316" s="113"/>
      <c r="GY1316" s="113"/>
      <c r="GZ1316" s="113"/>
      <c r="HA1316" s="46">
        <v>0</v>
      </c>
      <c r="HB1316" s="113"/>
      <c r="HC1316" s="113"/>
      <c r="HD1316" s="113"/>
      <c r="HE1316" s="113"/>
      <c r="HF1316" s="113"/>
      <c r="HG1316" s="46">
        <v>0</v>
      </c>
      <c r="HH1316" s="113"/>
      <c r="HI1316" s="113"/>
      <c r="HJ1316" s="113"/>
      <c r="HK1316" s="113"/>
      <c r="HL1316" s="113"/>
      <c r="HM1316" s="121"/>
      <c r="HN1316" s="121"/>
      <c r="LM1316" t="str">
        <v/>
      </c>
      <c r="LN1316" t="str">
        <v/>
      </c>
      <c r="LO1316" t="str">
        <v/>
      </c>
    </row>
    <row r="1317" spans="30:327">
      <c r="AD1317" t="s">
        <v>18300</v>
      </c>
      <c r="AE1317" t="s">
        <v>23088</v>
      </c>
      <c r="AF1317" s="46">
        <v>0</v>
      </c>
      <c r="AG1317" s="113"/>
      <c r="AH1317" s="113"/>
      <c r="AI1317" s="113"/>
      <c r="AJ1317" s="113"/>
      <c r="AK1317" s="113"/>
      <c r="AL1317" s="46">
        <v>0</v>
      </c>
      <c r="AM1317" s="113"/>
      <c r="AN1317" s="113"/>
      <c r="AO1317" s="113"/>
      <c r="AP1317" s="113"/>
      <c r="AQ1317" s="113"/>
      <c r="AR1317" s="46">
        <v>0</v>
      </c>
      <c r="AS1317" s="113"/>
      <c r="AT1317" s="113"/>
      <c r="AU1317" s="113"/>
      <c r="AV1317" s="113"/>
      <c r="AW1317" s="113"/>
      <c r="AX1317" s="46">
        <v>0</v>
      </c>
      <c r="AY1317" s="113"/>
      <c r="AZ1317" s="113"/>
      <c r="BA1317" s="113"/>
      <c r="BB1317" s="113"/>
      <c r="BC1317" s="113"/>
      <c r="BD1317" s="46">
        <v>0</v>
      </c>
      <c r="BE1317" s="113"/>
      <c r="BF1317" s="113"/>
      <c r="BG1317" s="113"/>
      <c r="BH1317" s="113"/>
      <c r="BI1317" s="113"/>
      <c r="BJ1317" s="46">
        <v>0</v>
      </c>
      <c r="BK1317" s="113"/>
      <c r="BL1317" s="113"/>
      <c r="BM1317" s="113"/>
      <c r="BN1317" s="113"/>
      <c r="BO1317" s="113"/>
      <c r="BP1317" s="121"/>
      <c r="BQ1317" s="121"/>
      <c r="GA1317" t="s">
        <v>18300</v>
      </c>
      <c r="GB1317" t="s">
        <v>23088</v>
      </c>
      <c r="GC1317" s="46">
        <v>0</v>
      </c>
      <c r="GD1317" s="113"/>
      <c r="GE1317" s="113"/>
      <c r="GF1317" s="113"/>
      <c r="GG1317" s="113"/>
      <c r="GH1317" s="113"/>
      <c r="GI1317" s="46">
        <v>0</v>
      </c>
      <c r="GJ1317" s="113"/>
      <c r="GK1317" s="113"/>
      <c r="GL1317" s="113"/>
      <c r="GM1317" s="113"/>
      <c r="GN1317" s="113"/>
      <c r="GO1317" s="46">
        <v>0</v>
      </c>
      <c r="GP1317" s="113"/>
      <c r="GQ1317" s="113"/>
      <c r="GR1317" s="113"/>
      <c r="GS1317" s="113"/>
      <c r="GT1317" s="113"/>
      <c r="GU1317" s="46">
        <v>0</v>
      </c>
      <c r="GV1317" s="113"/>
      <c r="GW1317" s="113"/>
      <c r="GX1317" s="113"/>
      <c r="GY1317" s="113"/>
      <c r="GZ1317" s="113"/>
      <c r="HA1317" s="46">
        <v>0</v>
      </c>
      <c r="HB1317" s="113"/>
      <c r="HC1317" s="113"/>
      <c r="HD1317" s="113"/>
      <c r="HE1317" s="113"/>
      <c r="HF1317" s="113"/>
      <c r="HG1317" s="46">
        <v>0</v>
      </c>
      <c r="HH1317" s="113"/>
      <c r="HI1317" s="113"/>
      <c r="HJ1317" s="113"/>
      <c r="HK1317" s="113"/>
      <c r="HL1317" s="113"/>
      <c r="HM1317" s="121"/>
      <c r="HN1317" s="121"/>
      <c r="LM1317" t="str">
        <v/>
      </c>
      <c r="LN1317" t="str">
        <v/>
      </c>
      <c r="LO1317" t="str">
        <v/>
      </c>
    </row>
    <row r="1318" spans="30:327">
      <c r="AD1318" t="s">
        <v>18300</v>
      </c>
      <c r="AE1318" t="s">
        <v>23089</v>
      </c>
      <c r="AF1318" s="46">
        <v>0</v>
      </c>
      <c r="AG1318" s="113"/>
      <c r="AH1318" s="113"/>
      <c r="AI1318" s="113"/>
      <c r="AJ1318" s="113"/>
      <c r="AK1318" s="113"/>
      <c r="AL1318" s="46">
        <v>0</v>
      </c>
      <c r="AM1318" s="113"/>
      <c r="AN1318" s="113"/>
      <c r="AO1318" s="113"/>
      <c r="AP1318" s="113"/>
      <c r="AQ1318" s="113"/>
      <c r="AR1318" s="46">
        <v>0</v>
      </c>
      <c r="AS1318" s="113"/>
      <c r="AT1318" s="113"/>
      <c r="AU1318" s="113"/>
      <c r="AV1318" s="113"/>
      <c r="AW1318" s="113"/>
      <c r="AX1318" s="46">
        <v>0</v>
      </c>
      <c r="AY1318" s="113"/>
      <c r="AZ1318" s="113"/>
      <c r="BA1318" s="113"/>
      <c r="BB1318" s="113"/>
      <c r="BC1318" s="113"/>
      <c r="BD1318" s="46">
        <v>0</v>
      </c>
      <c r="BE1318" s="113"/>
      <c r="BF1318" s="113"/>
      <c r="BG1318" s="113"/>
      <c r="BH1318" s="113"/>
      <c r="BI1318" s="113"/>
      <c r="BJ1318" s="46">
        <v>0</v>
      </c>
      <c r="BK1318" s="113"/>
      <c r="BL1318" s="113"/>
      <c r="BM1318" s="113"/>
      <c r="BN1318" s="113"/>
      <c r="BO1318" s="113"/>
      <c r="BP1318" s="121"/>
      <c r="BQ1318" s="121"/>
      <c r="GA1318" t="s">
        <v>18300</v>
      </c>
      <c r="GB1318" t="s">
        <v>23089</v>
      </c>
      <c r="GC1318" s="46">
        <v>0</v>
      </c>
      <c r="GD1318" s="113"/>
      <c r="GE1318" s="113"/>
      <c r="GF1318" s="113"/>
      <c r="GG1318" s="113"/>
      <c r="GH1318" s="113"/>
      <c r="GI1318" s="46">
        <v>0</v>
      </c>
      <c r="GJ1318" s="113"/>
      <c r="GK1318" s="113"/>
      <c r="GL1318" s="113"/>
      <c r="GM1318" s="113"/>
      <c r="GN1318" s="113"/>
      <c r="GO1318" s="46">
        <v>0</v>
      </c>
      <c r="GP1318" s="113"/>
      <c r="GQ1318" s="113"/>
      <c r="GR1318" s="113"/>
      <c r="GS1318" s="113"/>
      <c r="GT1318" s="113"/>
      <c r="GU1318" s="46">
        <v>0</v>
      </c>
      <c r="GV1318" s="113"/>
      <c r="GW1318" s="113"/>
      <c r="GX1318" s="113"/>
      <c r="GY1318" s="113"/>
      <c r="GZ1318" s="113"/>
      <c r="HA1318" s="46">
        <v>0</v>
      </c>
      <c r="HB1318" s="113"/>
      <c r="HC1318" s="113"/>
      <c r="HD1318" s="113"/>
      <c r="HE1318" s="113"/>
      <c r="HF1318" s="113"/>
      <c r="HG1318" s="46">
        <v>0</v>
      </c>
      <c r="HH1318" s="113"/>
      <c r="HI1318" s="113"/>
      <c r="HJ1318" s="113"/>
      <c r="HK1318" s="113"/>
      <c r="HL1318" s="113"/>
      <c r="HM1318" s="121"/>
      <c r="HN1318" s="121"/>
      <c r="LM1318" t="str">
        <v/>
      </c>
      <c r="LN1318" t="str">
        <v/>
      </c>
      <c r="LO1318" t="str">
        <v/>
      </c>
    </row>
    <row r="1319" spans="30:327">
      <c r="AD1319" t="s">
        <v>18300</v>
      </c>
      <c r="AE1319" t="s">
        <v>23090</v>
      </c>
      <c r="AF1319" s="46">
        <v>0</v>
      </c>
      <c r="AG1319" s="113"/>
      <c r="AH1319" s="113"/>
      <c r="AI1319" s="113"/>
      <c r="AJ1319" s="113"/>
      <c r="AK1319" s="113"/>
      <c r="AL1319" s="46">
        <v>0</v>
      </c>
      <c r="AM1319" s="113"/>
      <c r="AN1319" s="113"/>
      <c r="AO1319" s="113"/>
      <c r="AP1319" s="113"/>
      <c r="AQ1319" s="113"/>
      <c r="AR1319" s="46">
        <v>0</v>
      </c>
      <c r="AS1319" s="113"/>
      <c r="AT1319" s="113"/>
      <c r="AU1319" s="113"/>
      <c r="AV1319" s="113"/>
      <c r="AW1319" s="113"/>
      <c r="AX1319" s="46">
        <v>0</v>
      </c>
      <c r="AY1319" s="113"/>
      <c r="AZ1319" s="113"/>
      <c r="BA1319" s="113"/>
      <c r="BB1319" s="113"/>
      <c r="BC1319" s="113"/>
      <c r="BD1319" s="46">
        <v>0</v>
      </c>
      <c r="BE1319" s="113"/>
      <c r="BF1319" s="113"/>
      <c r="BG1319" s="113"/>
      <c r="BH1319" s="113"/>
      <c r="BI1319" s="113"/>
      <c r="BJ1319" s="46">
        <v>0</v>
      </c>
      <c r="BK1319" s="113"/>
      <c r="BL1319" s="113"/>
      <c r="BM1319" s="113"/>
      <c r="BN1319" s="113"/>
      <c r="BO1319" s="113"/>
      <c r="BP1319" s="121"/>
      <c r="BQ1319" s="121"/>
      <c r="GA1319" t="s">
        <v>18300</v>
      </c>
      <c r="GB1319" t="s">
        <v>23090</v>
      </c>
      <c r="GC1319" s="46">
        <v>0</v>
      </c>
      <c r="GD1319" s="113"/>
      <c r="GE1319" s="113"/>
      <c r="GF1319" s="113"/>
      <c r="GG1319" s="113"/>
      <c r="GH1319" s="113"/>
      <c r="GI1319" s="46">
        <v>0</v>
      </c>
      <c r="GJ1319" s="113"/>
      <c r="GK1319" s="113"/>
      <c r="GL1319" s="113"/>
      <c r="GM1319" s="113"/>
      <c r="GN1319" s="113"/>
      <c r="GO1319" s="46">
        <v>0</v>
      </c>
      <c r="GP1319" s="113"/>
      <c r="GQ1319" s="113"/>
      <c r="GR1319" s="113"/>
      <c r="GS1319" s="113"/>
      <c r="GT1319" s="113"/>
      <c r="GU1319" s="46">
        <v>0</v>
      </c>
      <c r="GV1319" s="113"/>
      <c r="GW1319" s="113"/>
      <c r="GX1319" s="113"/>
      <c r="GY1319" s="113"/>
      <c r="GZ1319" s="113"/>
      <c r="HA1319" s="46">
        <v>0</v>
      </c>
      <c r="HB1319" s="113"/>
      <c r="HC1319" s="113"/>
      <c r="HD1319" s="113"/>
      <c r="HE1319" s="113"/>
      <c r="HF1319" s="113"/>
      <c r="HG1319" s="46">
        <v>0</v>
      </c>
      <c r="HH1319" s="113"/>
      <c r="HI1319" s="113"/>
      <c r="HJ1319" s="113"/>
      <c r="HK1319" s="113"/>
      <c r="HL1319" s="113"/>
      <c r="HM1319" s="121"/>
      <c r="HN1319" s="121"/>
      <c r="LM1319" t="str">
        <v/>
      </c>
      <c r="LN1319" t="str">
        <v/>
      </c>
      <c r="LO1319" t="str">
        <v/>
      </c>
    </row>
    <row r="1320" spans="30:327">
      <c r="AD1320" t="s">
        <v>18300</v>
      </c>
      <c r="AE1320" t="s">
        <v>23091</v>
      </c>
      <c r="AF1320" s="46">
        <v>0</v>
      </c>
      <c r="AG1320" s="113"/>
      <c r="AH1320" s="113"/>
      <c r="AI1320" s="113"/>
      <c r="AJ1320" s="113"/>
      <c r="AK1320" s="113"/>
      <c r="AL1320" s="46">
        <v>0</v>
      </c>
      <c r="AM1320" s="113"/>
      <c r="AN1320" s="113"/>
      <c r="AO1320" s="113"/>
      <c r="AP1320" s="113"/>
      <c r="AQ1320" s="113"/>
      <c r="AR1320" s="46">
        <v>0</v>
      </c>
      <c r="AS1320" s="113"/>
      <c r="AT1320" s="113"/>
      <c r="AU1320" s="113"/>
      <c r="AV1320" s="113"/>
      <c r="AW1320" s="113"/>
      <c r="AX1320" s="46">
        <v>0</v>
      </c>
      <c r="AY1320" s="113"/>
      <c r="AZ1320" s="113"/>
      <c r="BA1320" s="113"/>
      <c r="BB1320" s="113"/>
      <c r="BC1320" s="113"/>
      <c r="BD1320" s="46">
        <v>0</v>
      </c>
      <c r="BE1320" s="113"/>
      <c r="BF1320" s="113"/>
      <c r="BG1320" s="113"/>
      <c r="BH1320" s="113"/>
      <c r="BI1320" s="113"/>
      <c r="BJ1320" s="46">
        <v>0</v>
      </c>
      <c r="BK1320" s="113"/>
      <c r="BL1320" s="113"/>
      <c r="BM1320" s="113"/>
      <c r="BN1320" s="113"/>
      <c r="BO1320" s="113"/>
      <c r="BP1320" s="121"/>
      <c r="BQ1320" s="121"/>
      <c r="GA1320" t="s">
        <v>18300</v>
      </c>
      <c r="GB1320" t="s">
        <v>23091</v>
      </c>
      <c r="GC1320" s="46">
        <v>0</v>
      </c>
      <c r="GD1320" s="113"/>
      <c r="GE1320" s="113"/>
      <c r="GF1320" s="113"/>
      <c r="GG1320" s="113"/>
      <c r="GH1320" s="113"/>
      <c r="GI1320" s="46">
        <v>0</v>
      </c>
      <c r="GJ1320" s="113"/>
      <c r="GK1320" s="113"/>
      <c r="GL1320" s="113"/>
      <c r="GM1320" s="113"/>
      <c r="GN1320" s="113"/>
      <c r="GO1320" s="46">
        <v>0</v>
      </c>
      <c r="GP1320" s="113"/>
      <c r="GQ1320" s="113"/>
      <c r="GR1320" s="113"/>
      <c r="GS1320" s="113"/>
      <c r="GT1320" s="113"/>
      <c r="GU1320" s="46">
        <v>0</v>
      </c>
      <c r="GV1320" s="113"/>
      <c r="GW1320" s="113"/>
      <c r="GX1320" s="113"/>
      <c r="GY1320" s="113"/>
      <c r="GZ1320" s="113"/>
      <c r="HA1320" s="46">
        <v>0</v>
      </c>
      <c r="HB1320" s="113"/>
      <c r="HC1320" s="113"/>
      <c r="HD1320" s="113"/>
      <c r="HE1320" s="113"/>
      <c r="HF1320" s="113"/>
      <c r="HG1320" s="46">
        <v>0</v>
      </c>
      <c r="HH1320" s="113"/>
      <c r="HI1320" s="113"/>
      <c r="HJ1320" s="113"/>
      <c r="HK1320" s="113"/>
      <c r="HL1320" s="113"/>
      <c r="HM1320" s="121"/>
      <c r="HN1320" s="121"/>
      <c r="LM1320" t="str">
        <v/>
      </c>
      <c r="LN1320" t="str">
        <v/>
      </c>
      <c r="LO1320" t="str">
        <v/>
      </c>
    </row>
    <row r="1321" spans="30:327">
      <c r="AD1321" t="s">
        <v>18300</v>
      </c>
      <c r="AE1321" t="s">
        <v>23092</v>
      </c>
      <c r="AF1321" s="46">
        <v>0</v>
      </c>
      <c r="AG1321" s="113"/>
      <c r="AH1321" s="113"/>
      <c r="AI1321" s="113"/>
      <c r="AJ1321" s="113"/>
      <c r="AK1321" s="113"/>
      <c r="AL1321" s="46">
        <v>0</v>
      </c>
      <c r="AM1321" s="113"/>
      <c r="AN1321" s="113"/>
      <c r="AO1321" s="113"/>
      <c r="AP1321" s="113"/>
      <c r="AQ1321" s="113"/>
      <c r="AR1321" s="46">
        <v>0</v>
      </c>
      <c r="AS1321" s="113"/>
      <c r="AT1321" s="113"/>
      <c r="AU1321" s="113"/>
      <c r="AV1321" s="113"/>
      <c r="AW1321" s="113"/>
      <c r="AX1321" s="46">
        <v>0</v>
      </c>
      <c r="AY1321" s="113"/>
      <c r="AZ1321" s="113"/>
      <c r="BA1321" s="113"/>
      <c r="BB1321" s="113"/>
      <c r="BC1321" s="113"/>
      <c r="BD1321" s="46">
        <v>0</v>
      </c>
      <c r="BE1321" s="113"/>
      <c r="BF1321" s="113"/>
      <c r="BG1321" s="113"/>
      <c r="BH1321" s="113"/>
      <c r="BI1321" s="113"/>
      <c r="BJ1321" s="46">
        <v>0</v>
      </c>
      <c r="BK1321" s="113"/>
      <c r="BL1321" s="113"/>
      <c r="BM1321" s="113"/>
      <c r="BN1321" s="113"/>
      <c r="BO1321" s="113"/>
      <c r="BP1321" s="121"/>
      <c r="BQ1321" s="121"/>
      <c r="GA1321" t="s">
        <v>18300</v>
      </c>
      <c r="GB1321" t="s">
        <v>23092</v>
      </c>
      <c r="GC1321" s="46">
        <v>0</v>
      </c>
      <c r="GD1321" s="113"/>
      <c r="GE1321" s="113"/>
      <c r="GF1321" s="113"/>
      <c r="GG1321" s="113"/>
      <c r="GH1321" s="113"/>
      <c r="GI1321" s="46">
        <v>0</v>
      </c>
      <c r="GJ1321" s="113"/>
      <c r="GK1321" s="113"/>
      <c r="GL1321" s="113"/>
      <c r="GM1321" s="113"/>
      <c r="GN1321" s="113"/>
      <c r="GO1321" s="46">
        <v>0</v>
      </c>
      <c r="GP1321" s="113"/>
      <c r="GQ1321" s="113"/>
      <c r="GR1321" s="113"/>
      <c r="GS1321" s="113"/>
      <c r="GT1321" s="113"/>
      <c r="GU1321" s="46">
        <v>0</v>
      </c>
      <c r="GV1321" s="113"/>
      <c r="GW1321" s="113"/>
      <c r="GX1321" s="113"/>
      <c r="GY1321" s="113"/>
      <c r="GZ1321" s="113"/>
      <c r="HA1321" s="46">
        <v>0</v>
      </c>
      <c r="HB1321" s="113"/>
      <c r="HC1321" s="113"/>
      <c r="HD1321" s="113"/>
      <c r="HE1321" s="113"/>
      <c r="HF1321" s="113"/>
      <c r="HG1321" s="46">
        <v>0</v>
      </c>
      <c r="HH1321" s="113"/>
      <c r="HI1321" s="113"/>
      <c r="HJ1321" s="113"/>
      <c r="HK1321" s="113"/>
      <c r="HL1321" s="113"/>
      <c r="HM1321" s="121"/>
      <c r="HN1321" s="121"/>
      <c r="LM1321" t="str">
        <v/>
      </c>
      <c r="LN1321" t="str">
        <v/>
      </c>
      <c r="LO1321" t="str">
        <v/>
      </c>
    </row>
    <row r="1322" spans="30:327">
      <c r="AD1322" t="s">
        <v>18300</v>
      </c>
      <c r="AE1322" t="s">
        <v>23093</v>
      </c>
      <c r="AF1322" s="46">
        <v>0</v>
      </c>
      <c r="AG1322" s="113"/>
      <c r="AH1322" s="113"/>
      <c r="AI1322" s="113"/>
      <c r="AJ1322" s="113"/>
      <c r="AK1322" s="113"/>
      <c r="AL1322" s="46">
        <v>0</v>
      </c>
      <c r="AM1322" s="113"/>
      <c r="AN1322" s="113"/>
      <c r="AO1322" s="113"/>
      <c r="AP1322" s="113"/>
      <c r="AQ1322" s="113"/>
      <c r="AR1322" s="46">
        <v>0</v>
      </c>
      <c r="AS1322" s="113"/>
      <c r="AT1322" s="113"/>
      <c r="AU1322" s="113"/>
      <c r="AV1322" s="113"/>
      <c r="AW1322" s="113"/>
      <c r="AX1322" s="46">
        <v>0</v>
      </c>
      <c r="AY1322" s="113"/>
      <c r="AZ1322" s="113"/>
      <c r="BA1322" s="113"/>
      <c r="BB1322" s="113"/>
      <c r="BC1322" s="113"/>
      <c r="BD1322" s="46">
        <v>0</v>
      </c>
      <c r="BE1322" s="113"/>
      <c r="BF1322" s="113"/>
      <c r="BG1322" s="113"/>
      <c r="BH1322" s="113"/>
      <c r="BI1322" s="113"/>
      <c r="BJ1322" s="46">
        <v>0</v>
      </c>
      <c r="BK1322" s="113"/>
      <c r="BL1322" s="113"/>
      <c r="BM1322" s="113"/>
      <c r="BN1322" s="113"/>
      <c r="BO1322" s="113"/>
      <c r="BP1322" s="121"/>
      <c r="BQ1322" s="121"/>
      <c r="GA1322" t="s">
        <v>18300</v>
      </c>
      <c r="GB1322" t="s">
        <v>23093</v>
      </c>
      <c r="GC1322" s="46">
        <v>0</v>
      </c>
      <c r="GD1322" s="113"/>
      <c r="GE1322" s="113"/>
      <c r="GF1322" s="113"/>
      <c r="GG1322" s="113"/>
      <c r="GH1322" s="113"/>
      <c r="GI1322" s="46">
        <v>0</v>
      </c>
      <c r="GJ1322" s="113"/>
      <c r="GK1322" s="113"/>
      <c r="GL1322" s="113"/>
      <c r="GM1322" s="113"/>
      <c r="GN1322" s="113"/>
      <c r="GO1322" s="46">
        <v>0</v>
      </c>
      <c r="GP1322" s="113"/>
      <c r="GQ1322" s="113"/>
      <c r="GR1322" s="113"/>
      <c r="GS1322" s="113"/>
      <c r="GT1322" s="113"/>
      <c r="GU1322" s="46">
        <v>0</v>
      </c>
      <c r="GV1322" s="113"/>
      <c r="GW1322" s="113"/>
      <c r="GX1322" s="113"/>
      <c r="GY1322" s="113"/>
      <c r="GZ1322" s="113"/>
      <c r="HA1322" s="46">
        <v>0</v>
      </c>
      <c r="HB1322" s="113"/>
      <c r="HC1322" s="113"/>
      <c r="HD1322" s="113"/>
      <c r="HE1322" s="113"/>
      <c r="HF1322" s="113"/>
      <c r="HG1322" s="46">
        <v>0</v>
      </c>
      <c r="HH1322" s="113"/>
      <c r="HI1322" s="113"/>
      <c r="HJ1322" s="113"/>
      <c r="HK1322" s="113"/>
      <c r="HL1322" s="113"/>
      <c r="HM1322" s="121"/>
      <c r="HN1322" s="121"/>
      <c r="LM1322" t="str">
        <v/>
      </c>
      <c r="LN1322" t="str">
        <v/>
      </c>
      <c r="LO1322" t="str">
        <v/>
      </c>
    </row>
    <row r="1323" spans="30:327">
      <c r="AD1323" t="s">
        <v>18300</v>
      </c>
      <c r="AE1323" t="s">
        <v>23094</v>
      </c>
      <c r="AF1323" s="46">
        <v>0</v>
      </c>
      <c r="AG1323" s="113"/>
      <c r="AH1323" s="113"/>
      <c r="AI1323" s="113"/>
      <c r="AJ1323" s="113"/>
      <c r="AK1323" s="113"/>
      <c r="AL1323" s="46">
        <v>0</v>
      </c>
      <c r="AM1323" s="113"/>
      <c r="AN1323" s="113"/>
      <c r="AO1323" s="113"/>
      <c r="AP1323" s="113"/>
      <c r="AQ1323" s="113"/>
      <c r="AR1323" s="46">
        <v>0</v>
      </c>
      <c r="AS1323" s="113"/>
      <c r="AT1323" s="113"/>
      <c r="AU1323" s="113"/>
      <c r="AV1323" s="113"/>
      <c r="AW1323" s="113"/>
      <c r="AX1323" s="46">
        <v>0</v>
      </c>
      <c r="AY1323" s="113"/>
      <c r="AZ1323" s="113"/>
      <c r="BA1323" s="113"/>
      <c r="BB1323" s="113"/>
      <c r="BC1323" s="113"/>
      <c r="BD1323" s="46">
        <v>0</v>
      </c>
      <c r="BE1323" s="113"/>
      <c r="BF1323" s="113"/>
      <c r="BG1323" s="113"/>
      <c r="BH1323" s="113"/>
      <c r="BI1323" s="113"/>
      <c r="BJ1323" s="46">
        <v>0</v>
      </c>
      <c r="BK1323" s="113"/>
      <c r="BL1323" s="113"/>
      <c r="BM1323" s="113"/>
      <c r="BN1323" s="113"/>
      <c r="BO1323" s="113"/>
      <c r="BP1323" s="121"/>
      <c r="BQ1323" s="121"/>
      <c r="GA1323" t="s">
        <v>18300</v>
      </c>
      <c r="GB1323" t="s">
        <v>23094</v>
      </c>
      <c r="GC1323" s="46">
        <v>0</v>
      </c>
      <c r="GD1323" s="113"/>
      <c r="GE1323" s="113"/>
      <c r="GF1323" s="113"/>
      <c r="GG1323" s="113"/>
      <c r="GH1323" s="113"/>
      <c r="GI1323" s="46">
        <v>0</v>
      </c>
      <c r="GJ1323" s="113"/>
      <c r="GK1323" s="113"/>
      <c r="GL1323" s="113"/>
      <c r="GM1323" s="113"/>
      <c r="GN1323" s="113"/>
      <c r="GO1323" s="46">
        <v>0</v>
      </c>
      <c r="GP1323" s="113"/>
      <c r="GQ1323" s="113"/>
      <c r="GR1323" s="113"/>
      <c r="GS1323" s="113"/>
      <c r="GT1323" s="113"/>
      <c r="GU1323" s="46">
        <v>0</v>
      </c>
      <c r="GV1323" s="113"/>
      <c r="GW1323" s="113"/>
      <c r="GX1323" s="113"/>
      <c r="GY1323" s="113"/>
      <c r="GZ1323" s="113"/>
      <c r="HA1323" s="46">
        <v>0</v>
      </c>
      <c r="HB1323" s="113"/>
      <c r="HC1323" s="113"/>
      <c r="HD1323" s="113"/>
      <c r="HE1323" s="113"/>
      <c r="HF1323" s="113"/>
      <c r="HG1323" s="46">
        <v>0</v>
      </c>
      <c r="HH1323" s="113"/>
      <c r="HI1323" s="113"/>
      <c r="HJ1323" s="113"/>
      <c r="HK1323" s="113"/>
      <c r="HL1323" s="113"/>
      <c r="HM1323" s="121"/>
      <c r="HN1323" s="121"/>
      <c r="LM1323" t="str">
        <v/>
      </c>
      <c r="LN1323" t="str">
        <v/>
      </c>
      <c r="LO1323" t="str">
        <v/>
      </c>
    </row>
    <row r="1324" spans="30:327">
      <c r="AD1324" t="s">
        <v>18300</v>
      </c>
      <c r="AE1324" t="s">
        <v>23095</v>
      </c>
      <c r="AF1324" s="46">
        <v>0</v>
      </c>
      <c r="AG1324" s="113"/>
      <c r="AH1324" s="113"/>
      <c r="AI1324" s="113"/>
      <c r="AJ1324" s="113"/>
      <c r="AK1324" s="113"/>
      <c r="AL1324" s="46">
        <v>0</v>
      </c>
      <c r="AM1324" s="113"/>
      <c r="AN1324" s="113"/>
      <c r="AO1324" s="113"/>
      <c r="AP1324" s="113"/>
      <c r="AQ1324" s="113"/>
      <c r="AR1324" s="46">
        <v>0</v>
      </c>
      <c r="AS1324" s="113"/>
      <c r="AT1324" s="113"/>
      <c r="AU1324" s="113"/>
      <c r="AV1324" s="113"/>
      <c r="AW1324" s="113"/>
      <c r="AX1324" s="46">
        <v>0</v>
      </c>
      <c r="AY1324" s="113"/>
      <c r="AZ1324" s="113"/>
      <c r="BA1324" s="113"/>
      <c r="BB1324" s="113"/>
      <c r="BC1324" s="113"/>
      <c r="BD1324" s="46">
        <v>0</v>
      </c>
      <c r="BE1324" s="113"/>
      <c r="BF1324" s="113"/>
      <c r="BG1324" s="113"/>
      <c r="BH1324" s="113"/>
      <c r="BI1324" s="113"/>
      <c r="BJ1324" s="46">
        <v>0</v>
      </c>
      <c r="BK1324" s="113"/>
      <c r="BL1324" s="113"/>
      <c r="BM1324" s="113"/>
      <c r="BN1324" s="113"/>
      <c r="BO1324" s="113"/>
      <c r="BP1324" s="121"/>
      <c r="BQ1324" s="121"/>
      <c r="GA1324" t="s">
        <v>18300</v>
      </c>
      <c r="GB1324" t="s">
        <v>23095</v>
      </c>
      <c r="GC1324" s="46">
        <v>0</v>
      </c>
      <c r="GD1324" s="113"/>
      <c r="GE1324" s="113"/>
      <c r="GF1324" s="113"/>
      <c r="GG1324" s="113"/>
      <c r="GH1324" s="113"/>
      <c r="GI1324" s="46">
        <v>0</v>
      </c>
      <c r="GJ1324" s="113"/>
      <c r="GK1324" s="113"/>
      <c r="GL1324" s="113"/>
      <c r="GM1324" s="113"/>
      <c r="GN1324" s="113"/>
      <c r="GO1324" s="46">
        <v>0</v>
      </c>
      <c r="GP1324" s="113"/>
      <c r="GQ1324" s="113"/>
      <c r="GR1324" s="113"/>
      <c r="GS1324" s="113"/>
      <c r="GT1324" s="113"/>
      <c r="GU1324" s="46">
        <v>0</v>
      </c>
      <c r="GV1324" s="113"/>
      <c r="GW1324" s="113"/>
      <c r="GX1324" s="113"/>
      <c r="GY1324" s="113"/>
      <c r="GZ1324" s="113"/>
      <c r="HA1324" s="46">
        <v>0</v>
      </c>
      <c r="HB1324" s="113"/>
      <c r="HC1324" s="113"/>
      <c r="HD1324" s="113"/>
      <c r="HE1324" s="113"/>
      <c r="HF1324" s="113"/>
      <c r="HG1324" s="46">
        <v>0</v>
      </c>
      <c r="HH1324" s="113"/>
      <c r="HI1324" s="113"/>
      <c r="HJ1324" s="113"/>
      <c r="HK1324" s="113"/>
      <c r="HL1324" s="113"/>
      <c r="HM1324" s="121"/>
      <c r="HN1324" s="121"/>
      <c r="LM1324" t="str">
        <v/>
      </c>
      <c r="LN1324" t="str">
        <v/>
      </c>
      <c r="LO1324" t="str">
        <v/>
      </c>
    </row>
    <row r="1325" spans="30:327">
      <c r="AD1325" t="s">
        <v>18300</v>
      </c>
      <c r="AE1325" t="s">
        <v>23096</v>
      </c>
      <c r="AF1325" s="46">
        <v>0</v>
      </c>
      <c r="AG1325" s="113"/>
      <c r="AH1325" s="113"/>
      <c r="AI1325" s="113"/>
      <c r="AJ1325" s="113"/>
      <c r="AK1325" s="113"/>
      <c r="AL1325" s="46">
        <v>0</v>
      </c>
      <c r="AM1325" s="113"/>
      <c r="AN1325" s="113"/>
      <c r="AO1325" s="113"/>
      <c r="AP1325" s="113"/>
      <c r="AQ1325" s="113"/>
      <c r="AR1325" s="46">
        <v>0</v>
      </c>
      <c r="AS1325" s="113"/>
      <c r="AT1325" s="113"/>
      <c r="AU1325" s="113"/>
      <c r="AV1325" s="113"/>
      <c r="AW1325" s="113"/>
      <c r="AX1325" s="46">
        <v>0</v>
      </c>
      <c r="AY1325" s="113"/>
      <c r="AZ1325" s="113"/>
      <c r="BA1325" s="113"/>
      <c r="BB1325" s="113"/>
      <c r="BC1325" s="113"/>
      <c r="BD1325" s="46">
        <v>0</v>
      </c>
      <c r="BE1325" s="113"/>
      <c r="BF1325" s="113"/>
      <c r="BG1325" s="113"/>
      <c r="BH1325" s="113"/>
      <c r="BI1325" s="113"/>
      <c r="BJ1325" s="46">
        <v>0</v>
      </c>
      <c r="BK1325" s="113"/>
      <c r="BL1325" s="113"/>
      <c r="BM1325" s="113"/>
      <c r="BN1325" s="113"/>
      <c r="BO1325" s="113"/>
      <c r="BP1325" s="121"/>
      <c r="BQ1325" s="121"/>
      <c r="GA1325" t="s">
        <v>18300</v>
      </c>
      <c r="GB1325" t="s">
        <v>23096</v>
      </c>
      <c r="GC1325" s="46">
        <v>0</v>
      </c>
      <c r="GD1325" s="113"/>
      <c r="GE1325" s="113"/>
      <c r="GF1325" s="113"/>
      <c r="GG1325" s="113"/>
      <c r="GH1325" s="113"/>
      <c r="GI1325" s="46">
        <v>0</v>
      </c>
      <c r="GJ1325" s="113"/>
      <c r="GK1325" s="113"/>
      <c r="GL1325" s="113"/>
      <c r="GM1325" s="113"/>
      <c r="GN1325" s="113"/>
      <c r="GO1325" s="46">
        <v>0</v>
      </c>
      <c r="GP1325" s="113"/>
      <c r="GQ1325" s="113"/>
      <c r="GR1325" s="113"/>
      <c r="GS1325" s="113"/>
      <c r="GT1325" s="113"/>
      <c r="GU1325" s="46">
        <v>0</v>
      </c>
      <c r="GV1325" s="113"/>
      <c r="GW1325" s="113"/>
      <c r="GX1325" s="113"/>
      <c r="GY1325" s="113"/>
      <c r="GZ1325" s="113"/>
      <c r="HA1325" s="46">
        <v>0</v>
      </c>
      <c r="HB1325" s="113"/>
      <c r="HC1325" s="113"/>
      <c r="HD1325" s="113"/>
      <c r="HE1325" s="113"/>
      <c r="HF1325" s="113"/>
      <c r="HG1325" s="46">
        <v>0</v>
      </c>
      <c r="HH1325" s="113"/>
      <c r="HI1325" s="113"/>
      <c r="HJ1325" s="113"/>
      <c r="HK1325" s="113"/>
      <c r="HL1325" s="113"/>
      <c r="HM1325" s="121"/>
      <c r="HN1325" s="121"/>
      <c r="LM1325" t="str">
        <v/>
      </c>
      <c r="LN1325" t="str">
        <v/>
      </c>
      <c r="LO1325" t="str">
        <v/>
      </c>
    </row>
    <row r="1326" spans="30:327">
      <c r="AD1326" t="s">
        <v>18300</v>
      </c>
      <c r="AE1326" t="s">
        <v>23097</v>
      </c>
      <c r="AF1326" s="46">
        <v>0</v>
      </c>
      <c r="AG1326" s="113"/>
      <c r="AH1326" s="113"/>
      <c r="AI1326" s="113"/>
      <c r="AJ1326" s="113"/>
      <c r="AK1326" s="113"/>
      <c r="AL1326" s="46">
        <v>0</v>
      </c>
      <c r="AM1326" s="113"/>
      <c r="AN1326" s="113"/>
      <c r="AO1326" s="113"/>
      <c r="AP1326" s="113"/>
      <c r="AQ1326" s="113"/>
      <c r="AR1326" s="46">
        <v>0</v>
      </c>
      <c r="AS1326" s="113"/>
      <c r="AT1326" s="113"/>
      <c r="AU1326" s="113"/>
      <c r="AV1326" s="113"/>
      <c r="AW1326" s="113"/>
      <c r="AX1326" s="46">
        <v>0</v>
      </c>
      <c r="AY1326" s="113"/>
      <c r="AZ1326" s="113"/>
      <c r="BA1326" s="113"/>
      <c r="BB1326" s="113"/>
      <c r="BC1326" s="113"/>
      <c r="BD1326" s="46">
        <v>0</v>
      </c>
      <c r="BE1326" s="113"/>
      <c r="BF1326" s="113"/>
      <c r="BG1326" s="113"/>
      <c r="BH1326" s="113"/>
      <c r="BI1326" s="113"/>
      <c r="BJ1326" s="46">
        <v>0</v>
      </c>
      <c r="BK1326" s="113"/>
      <c r="BL1326" s="113"/>
      <c r="BM1326" s="113"/>
      <c r="BN1326" s="113"/>
      <c r="BO1326" s="113"/>
      <c r="BP1326" s="121"/>
      <c r="BQ1326" s="121"/>
      <c r="GA1326" t="s">
        <v>18300</v>
      </c>
      <c r="GB1326" t="s">
        <v>23097</v>
      </c>
      <c r="GC1326" s="46">
        <v>0</v>
      </c>
      <c r="GD1326" s="113"/>
      <c r="GE1326" s="113"/>
      <c r="GF1326" s="113"/>
      <c r="GG1326" s="113"/>
      <c r="GH1326" s="113"/>
      <c r="GI1326" s="46">
        <v>0</v>
      </c>
      <c r="GJ1326" s="113"/>
      <c r="GK1326" s="113"/>
      <c r="GL1326" s="113"/>
      <c r="GM1326" s="113"/>
      <c r="GN1326" s="113"/>
      <c r="GO1326" s="46">
        <v>0</v>
      </c>
      <c r="GP1326" s="113"/>
      <c r="GQ1326" s="113"/>
      <c r="GR1326" s="113"/>
      <c r="GS1326" s="113"/>
      <c r="GT1326" s="113"/>
      <c r="GU1326" s="46">
        <v>0</v>
      </c>
      <c r="GV1326" s="113"/>
      <c r="GW1326" s="113"/>
      <c r="GX1326" s="113"/>
      <c r="GY1326" s="113"/>
      <c r="GZ1326" s="113"/>
      <c r="HA1326" s="46">
        <v>0</v>
      </c>
      <c r="HB1326" s="113"/>
      <c r="HC1326" s="113"/>
      <c r="HD1326" s="113"/>
      <c r="HE1326" s="113"/>
      <c r="HF1326" s="113"/>
      <c r="HG1326" s="46">
        <v>0</v>
      </c>
      <c r="HH1326" s="113"/>
      <c r="HI1326" s="113"/>
      <c r="HJ1326" s="113"/>
      <c r="HK1326" s="113"/>
      <c r="HL1326" s="113"/>
      <c r="HM1326" s="121"/>
      <c r="HN1326" s="121"/>
      <c r="LM1326" t="str">
        <v/>
      </c>
      <c r="LN1326" t="str">
        <v/>
      </c>
      <c r="LO1326" t="str">
        <v/>
      </c>
    </row>
    <row r="1327" spans="30:327">
      <c r="AD1327" t="s">
        <v>18300</v>
      </c>
      <c r="AE1327" t="s">
        <v>23098</v>
      </c>
      <c r="AF1327" s="46">
        <v>0</v>
      </c>
      <c r="AG1327" s="113"/>
      <c r="AH1327" s="113"/>
      <c r="AI1327" s="113"/>
      <c r="AJ1327" s="113"/>
      <c r="AK1327" s="113"/>
      <c r="AL1327" s="46">
        <v>0</v>
      </c>
      <c r="AM1327" s="113"/>
      <c r="AN1327" s="113"/>
      <c r="AO1327" s="113"/>
      <c r="AP1327" s="113"/>
      <c r="AQ1327" s="113"/>
      <c r="AR1327" s="46">
        <v>0</v>
      </c>
      <c r="AS1327" s="113"/>
      <c r="AT1327" s="113"/>
      <c r="AU1327" s="113"/>
      <c r="AV1327" s="113"/>
      <c r="AW1327" s="113"/>
      <c r="AX1327" s="46">
        <v>0</v>
      </c>
      <c r="AY1327" s="113"/>
      <c r="AZ1327" s="113"/>
      <c r="BA1327" s="113"/>
      <c r="BB1327" s="113"/>
      <c r="BC1327" s="113"/>
      <c r="BD1327" s="46">
        <v>0</v>
      </c>
      <c r="BE1327" s="113"/>
      <c r="BF1327" s="113"/>
      <c r="BG1327" s="113"/>
      <c r="BH1327" s="113"/>
      <c r="BI1327" s="113"/>
      <c r="BJ1327" s="46">
        <v>0</v>
      </c>
      <c r="BK1327" s="113"/>
      <c r="BL1327" s="113"/>
      <c r="BM1327" s="113"/>
      <c r="BN1327" s="113"/>
      <c r="BO1327" s="113"/>
      <c r="BP1327" s="121"/>
      <c r="BQ1327" s="121"/>
      <c r="GA1327" t="s">
        <v>18300</v>
      </c>
      <c r="GB1327" t="s">
        <v>23098</v>
      </c>
      <c r="GC1327" s="46">
        <v>0</v>
      </c>
      <c r="GD1327" s="113"/>
      <c r="GE1327" s="113"/>
      <c r="GF1327" s="113"/>
      <c r="GG1327" s="113"/>
      <c r="GH1327" s="113"/>
      <c r="GI1327" s="46">
        <v>0</v>
      </c>
      <c r="GJ1327" s="113"/>
      <c r="GK1327" s="113"/>
      <c r="GL1327" s="113"/>
      <c r="GM1327" s="113"/>
      <c r="GN1327" s="113"/>
      <c r="GO1327" s="46">
        <v>0</v>
      </c>
      <c r="GP1327" s="113"/>
      <c r="GQ1327" s="113"/>
      <c r="GR1327" s="113"/>
      <c r="GS1327" s="113"/>
      <c r="GT1327" s="113"/>
      <c r="GU1327" s="46">
        <v>0</v>
      </c>
      <c r="GV1327" s="113"/>
      <c r="GW1327" s="113"/>
      <c r="GX1327" s="113"/>
      <c r="GY1327" s="113"/>
      <c r="GZ1327" s="113"/>
      <c r="HA1327" s="46">
        <v>0</v>
      </c>
      <c r="HB1327" s="113"/>
      <c r="HC1327" s="113"/>
      <c r="HD1327" s="113"/>
      <c r="HE1327" s="113"/>
      <c r="HF1327" s="113"/>
      <c r="HG1327" s="46">
        <v>0</v>
      </c>
      <c r="HH1327" s="113"/>
      <c r="HI1327" s="113"/>
      <c r="HJ1327" s="113"/>
      <c r="HK1327" s="113"/>
      <c r="HL1327" s="113"/>
      <c r="HM1327" s="121"/>
      <c r="HN1327" s="121"/>
      <c r="LM1327" t="str">
        <v/>
      </c>
      <c r="LN1327" t="str">
        <v/>
      </c>
      <c r="LO1327" t="str">
        <v/>
      </c>
    </row>
    <row r="1328" spans="30:327">
      <c r="AD1328" t="s">
        <v>18300</v>
      </c>
      <c r="AE1328" t="s">
        <v>23099</v>
      </c>
      <c r="AF1328" s="46">
        <v>0</v>
      </c>
      <c r="AG1328" s="113"/>
      <c r="AH1328" s="113"/>
      <c r="AI1328" s="113"/>
      <c r="AJ1328" s="113"/>
      <c r="AK1328" s="113"/>
      <c r="AL1328" s="46">
        <v>0</v>
      </c>
      <c r="AM1328" s="113"/>
      <c r="AN1328" s="113"/>
      <c r="AO1328" s="113"/>
      <c r="AP1328" s="113"/>
      <c r="AQ1328" s="113"/>
      <c r="AR1328" s="46">
        <v>0</v>
      </c>
      <c r="AS1328" s="113"/>
      <c r="AT1328" s="113"/>
      <c r="AU1328" s="113"/>
      <c r="AV1328" s="113"/>
      <c r="AW1328" s="113"/>
      <c r="AX1328" s="46">
        <v>0</v>
      </c>
      <c r="AY1328" s="113"/>
      <c r="AZ1328" s="113"/>
      <c r="BA1328" s="113"/>
      <c r="BB1328" s="113"/>
      <c r="BC1328" s="113"/>
      <c r="BD1328" s="46">
        <v>0</v>
      </c>
      <c r="BE1328" s="113"/>
      <c r="BF1328" s="113"/>
      <c r="BG1328" s="113"/>
      <c r="BH1328" s="113"/>
      <c r="BI1328" s="113"/>
      <c r="BJ1328" s="46">
        <v>0</v>
      </c>
      <c r="BK1328" s="113"/>
      <c r="BL1328" s="113"/>
      <c r="BM1328" s="113"/>
      <c r="BN1328" s="113"/>
      <c r="BO1328" s="113"/>
      <c r="BP1328" s="121"/>
      <c r="BQ1328" s="121"/>
      <c r="GA1328" t="s">
        <v>18300</v>
      </c>
      <c r="GB1328" t="s">
        <v>23099</v>
      </c>
      <c r="GC1328" s="46">
        <v>0</v>
      </c>
      <c r="GD1328" s="113"/>
      <c r="GE1328" s="113"/>
      <c r="GF1328" s="113"/>
      <c r="GG1328" s="113"/>
      <c r="GH1328" s="113"/>
      <c r="GI1328" s="46">
        <v>0</v>
      </c>
      <c r="GJ1328" s="113"/>
      <c r="GK1328" s="113"/>
      <c r="GL1328" s="113"/>
      <c r="GM1328" s="113"/>
      <c r="GN1328" s="113"/>
      <c r="GO1328" s="46">
        <v>0</v>
      </c>
      <c r="GP1328" s="113"/>
      <c r="GQ1328" s="113"/>
      <c r="GR1328" s="113"/>
      <c r="GS1328" s="113"/>
      <c r="GT1328" s="113"/>
      <c r="GU1328" s="46">
        <v>0</v>
      </c>
      <c r="GV1328" s="113"/>
      <c r="GW1328" s="113"/>
      <c r="GX1328" s="113"/>
      <c r="GY1328" s="113"/>
      <c r="GZ1328" s="113"/>
      <c r="HA1328" s="46">
        <v>0</v>
      </c>
      <c r="HB1328" s="113"/>
      <c r="HC1328" s="113"/>
      <c r="HD1328" s="113"/>
      <c r="HE1328" s="113"/>
      <c r="HF1328" s="113"/>
      <c r="HG1328" s="46">
        <v>0</v>
      </c>
      <c r="HH1328" s="113"/>
      <c r="HI1328" s="113"/>
      <c r="HJ1328" s="113"/>
      <c r="HK1328" s="113"/>
      <c r="HL1328" s="113"/>
      <c r="HM1328" s="121"/>
      <c r="HN1328" s="121"/>
      <c r="LM1328" t="str">
        <v/>
      </c>
      <c r="LN1328" t="str">
        <v/>
      </c>
      <c r="LO1328" t="str">
        <v/>
      </c>
    </row>
    <row r="1329" spans="30:327">
      <c r="AD1329" t="s">
        <v>18300</v>
      </c>
      <c r="AE1329" t="s">
        <v>23100</v>
      </c>
      <c r="AF1329" s="46">
        <v>0</v>
      </c>
      <c r="AG1329" s="113"/>
      <c r="AH1329" s="113"/>
      <c r="AI1329" s="113"/>
      <c r="AJ1329" s="113"/>
      <c r="AK1329" s="113"/>
      <c r="AL1329" s="46">
        <v>0</v>
      </c>
      <c r="AM1329" s="113"/>
      <c r="AN1329" s="113"/>
      <c r="AO1329" s="113"/>
      <c r="AP1329" s="113"/>
      <c r="AQ1329" s="113"/>
      <c r="AR1329" s="46">
        <v>0</v>
      </c>
      <c r="AS1329" s="113"/>
      <c r="AT1329" s="113"/>
      <c r="AU1329" s="113"/>
      <c r="AV1329" s="113"/>
      <c r="AW1329" s="113"/>
      <c r="AX1329" s="46">
        <v>0</v>
      </c>
      <c r="AY1329" s="113"/>
      <c r="AZ1329" s="113"/>
      <c r="BA1329" s="113"/>
      <c r="BB1329" s="113"/>
      <c r="BC1329" s="113"/>
      <c r="BD1329" s="46">
        <v>0</v>
      </c>
      <c r="BE1329" s="113"/>
      <c r="BF1329" s="113"/>
      <c r="BG1329" s="113"/>
      <c r="BH1329" s="113"/>
      <c r="BI1329" s="113"/>
      <c r="BJ1329" s="46">
        <v>0</v>
      </c>
      <c r="BK1329" s="113"/>
      <c r="BL1329" s="113"/>
      <c r="BM1329" s="113"/>
      <c r="BN1329" s="113"/>
      <c r="BO1329" s="113"/>
      <c r="BP1329" s="121"/>
      <c r="BQ1329" s="121"/>
      <c r="GA1329" t="s">
        <v>18300</v>
      </c>
      <c r="GB1329" t="s">
        <v>23100</v>
      </c>
      <c r="GC1329" s="46">
        <v>0</v>
      </c>
      <c r="GD1329" s="113"/>
      <c r="GE1329" s="113"/>
      <c r="GF1329" s="113"/>
      <c r="GG1329" s="113"/>
      <c r="GH1329" s="113"/>
      <c r="GI1329" s="46">
        <v>0</v>
      </c>
      <c r="GJ1329" s="113"/>
      <c r="GK1329" s="113"/>
      <c r="GL1329" s="113"/>
      <c r="GM1329" s="113"/>
      <c r="GN1329" s="113"/>
      <c r="GO1329" s="46">
        <v>0</v>
      </c>
      <c r="GP1329" s="113"/>
      <c r="GQ1329" s="113"/>
      <c r="GR1329" s="113"/>
      <c r="GS1329" s="113"/>
      <c r="GT1329" s="113"/>
      <c r="GU1329" s="46">
        <v>0</v>
      </c>
      <c r="GV1329" s="113"/>
      <c r="GW1329" s="113"/>
      <c r="GX1329" s="113"/>
      <c r="GY1329" s="113"/>
      <c r="GZ1329" s="113"/>
      <c r="HA1329" s="46">
        <v>0</v>
      </c>
      <c r="HB1329" s="113"/>
      <c r="HC1329" s="113"/>
      <c r="HD1329" s="113"/>
      <c r="HE1329" s="113"/>
      <c r="HF1329" s="113"/>
      <c r="HG1329" s="46">
        <v>0</v>
      </c>
      <c r="HH1329" s="113"/>
      <c r="HI1329" s="113"/>
      <c r="HJ1329" s="113"/>
      <c r="HK1329" s="113"/>
      <c r="HL1329" s="113"/>
      <c r="HM1329" s="121"/>
      <c r="HN1329" s="121"/>
      <c r="LM1329" t="str">
        <v/>
      </c>
      <c r="LN1329" t="str">
        <v/>
      </c>
      <c r="LO1329" t="str">
        <v/>
      </c>
    </row>
    <row r="1330" spans="30:327">
      <c r="AD1330" t="s">
        <v>18300</v>
      </c>
      <c r="AE1330" t="s">
        <v>23101</v>
      </c>
      <c r="AF1330" s="46">
        <v>0</v>
      </c>
      <c r="AG1330" s="113"/>
      <c r="AH1330" s="113"/>
      <c r="AI1330" s="113"/>
      <c r="AJ1330" s="113"/>
      <c r="AK1330" s="113"/>
      <c r="AL1330" s="46">
        <v>0</v>
      </c>
      <c r="AM1330" s="113"/>
      <c r="AN1330" s="113"/>
      <c r="AO1330" s="113"/>
      <c r="AP1330" s="113"/>
      <c r="AQ1330" s="113"/>
      <c r="AR1330" s="46">
        <v>0</v>
      </c>
      <c r="AS1330" s="113"/>
      <c r="AT1330" s="113"/>
      <c r="AU1330" s="113"/>
      <c r="AV1330" s="113"/>
      <c r="AW1330" s="113"/>
      <c r="AX1330" s="46">
        <v>0</v>
      </c>
      <c r="AY1330" s="113"/>
      <c r="AZ1330" s="113"/>
      <c r="BA1330" s="113"/>
      <c r="BB1330" s="113"/>
      <c r="BC1330" s="113"/>
      <c r="BD1330" s="46">
        <v>0</v>
      </c>
      <c r="BE1330" s="113"/>
      <c r="BF1330" s="113"/>
      <c r="BG1330" s="113"/>
      <c r="BH1330" s="113"/>
      <c r="BI1330" s="113"/>
      <c r="BJ1330" s="46">
        <v>0</v>
      </c>
      <c r="BK1330" s="113"/>
      <c r="BL1330" s="113"/>
      <c r="BM1330" s="113"/>
      <c r="BN1330" s="113"/>
      <c r="BO1330" s="113"/>
      <c r="BP1330" s="121"/>
      <c r="BQ1330" s="121"/>
      <c r="GA1330" t="s">
        <v>18300</v>
      </c>
      <c r="GB1330" t="s">
        <v>23101</v>
      </c>
      <c r="GC1330" s="46">
        <v>0</v>
      </c>
      <c r="GD1330" s="113"/>
      <c r="GE1330" s="113"/>
      <c r="GF1330" s="113"/>
      <c r="GG1330" s="113"/>
      <c r="GH1330" s="113"/>
      <c r="GI1330" s="46">
        <v>0</v>
      </c>
      <c r="GJ1330" s="113"/>
      <c r="GK1330" s="113"/>
      <c r="GL1330" s="113"/>
      <c r="GM1330" s="113"/>
      <c r="GN1330" s="113"/>
      <c r="GO1330" s="46">
        <v>0</v>
      </c>
      <c r="GP1330" s="113"/>
      <c r="GQ1330" s="113"/>
      <c r="GR1330" s="113"/>
      <c r="GS1330" s="113"/>
      <c r="GT1330" s="113"/>
      <c r="GU1330" s="46">
        <v>0</v>
      </c>
      <c r="GV1330" s="113"/>
      <c r="GW1330" s="113"/>
      <c r="GX1330" s="113"/>
      <c r="GY1330" s="113"/>
      <c r="GZ1330" s="113"/>
      <c r="HA1330" s="46">
        <v>0</v>
      </c>
      <c r="HB1330" s="113"/>
      <c r="HC1330" s="113"/>
      <c r="HD1330" s="113"/>
      <c r="HE1330" s="113"/>
      <c r="HF1330" s="113"/>
      <c r="HG1330" s="46">
        <v>0</v>
      </c>
      <c r="HH1330" s="113"/>
      <c r="HI1330" s="113"/>
      <c r="HJ1330" s="113"/>
      <c r="HK1330" s="113"/>
      <c r="HL1330" s="113"/>
      <c r="HM1330" s="121"/>
      <c r="HN1330" s="121"/>
      <c r="LM1330" t="str">
        <v/>
      </c>
      <c r="LN1330" t="str">
        <v/>
      </c>
      <c r="LO1330" t="str">
        <v/>
      </c>
    </row>
    <row r="1331" spans="30:327">
      <c r="AD1331" t="s">
        <v>18300</v>
      </c>
      <c r="AE1331" t="s">
        <v>23102</v>
      </c>
      <c r="AF1331" s="46">
        <v>0</v>
      </c>
      <c r="AG1331" s="113"/>
      <c r="AH1331" s="113"/>
      <c r="AI1331" s="113"/>
      <c r="AJ1331" s="113"/>
      <c r="AK1331" s="113"/>
      <c r="AL1331" s="46">
        <v>0</v>
      </c>
      <c r="AM1331" s="113"/>
      <c r="AN1331" s="113"/>
      <c r="AO1331" s="113"/>
      <c r="AP1331" s="113"/>
      <c r="AQ1331" s="113"/>
      <c r="AR1331" s="46">
        <v>0</v>
      </c>
      <c r="AS1331" s="113"/>
      <c r="AT1331" s="113"/>
      <c r="AU1331" s="113"/>
      <c r="AV1331" s="113"/>
      <c r="AW1331" s="113"/>
      <c r="AX1331" s="46">
        <v>0</v>
      </c>
      <c r="AY1331" s="113"/>
      <c r="AZ1331" s="113"/>
      <c r="BA1331" s="113"/>
      <c r="BB1331" s="113"/>
      <c r="BC1331" s="113"/>
      <c r="BD1331" s="46">
        <v>0</v>
      </c>
      <c r="BE1331" s="113"/>
      <c r="BF1331" s="113"/>
      <c r="BG1331" s="113"/>
      <c r="BH1331" s="113"/>
      <c r="BI1331" s="113"/>
      <c r="BJ1331" s="46">
        <v>0</v>
      </c>
      <c r="BK1331" s="113"/>
      <c r="BL1331" s="113"/>
      <c r="BM1331" s="113"/>
      <c r="BN1331" s="113"/>
      <c r="BO1331" s="113"/>
      <c r="BP1331" s="121"/>
      <c r="BQ1331" s="121"/>
      <c r="GA1331" t="s">
        <v>18300</v>
      </c>
      <c r="GB1331" t="s">
        <v>23102</v>
      </c>
      <c r="GC1331" s="46">
        <v>0</v>
      </c>
      <c r="GD1331" s="113"/>
      <c r="GE1331" s="113"/>
      <c r="GF1331" s="113"/>
      <c r="GG1331" s="113"/>
      <c r="GH1331" s="113"/>
      <c r="GI1331" s="46">
        <v>0</v>
      </c>
      <c r="GJ1331" s="113"/>
      <c r="GK1331" s="113"/>
      <c r="GL1331" s="113"/>
      <c r="GM1331" s="113"/>
      <c r="GN1331" s="113"/>
      <c r="GO1331" s="46">
        <v>0</v>
      </c>
      <c r="GP1331" s="113"/>
      <c r="GQ1331" s="113"/>
      <c r="GR1331" s="113"/>
      <c r="GS1331" s="113"/>
      <c r="GT1331" s="113"/>
      <c r="GU1331" s="46">
        <v>0</v>
      </c>
      <c r="GV1331" s="113"/>
      <c r="GW1331" s="113"/>
      <c r="GX1331" s="113"/>
      <c r="GY1331" s="113"/>
      <c r="GZ1331" s="113"/>
      <c r="HA1331" s="46">
        <v>0</v>
      </c>
      <c r="HB1331" s="113"/>
      <c r="HC1331" s="113"/>
      <c r="HD1331" s="113"/>
      <c r="HE1331" s="113"/>
      <c r="HF1331" s="113"/>
      <c r="HG1331" s="46">
        <v>0</v>
      </c>
      <c r="HH1331" s="113"/>
      <c r="HI1331" s="113"/>
      <c r="HJ1331" s="113"/>
      <c r="HK1331" s="113"/>
      <c r="HL1331" s="113"/>
      <c r="HM1331" s="121"/>
      <c r="HN1331" s="121"/>
      <c r="LM1331" t="str">
        <v/>
      </c>
      <c r="LN1331" t="str">
        <v/>
      </c>
      <c r="LO1331" t="str">
        <v/>
      </c>
    </row>
    <row r="1332" spans="30:327">
      <c r="AD1332" t="s">
        <v>18300</v>
      </c>
      <c r="AE1332" t="s">
        <v>23103</v>
      </c>
      <c r="AF1332" s="46">
        <v>0</v>
      </c>
      <c r="AG1332" s="113"/>
      <c r="AH1332" s="113"/>
      <c r="AI1332" s="113"/>
      <c r="AJ1332" s="113"/>
      <c r="AK1332" s="113"/>
      <c r="AL1332" s="46">
        <v>0</v>
      </c>
      <c r="AM1332" s="113"/>
      <c r="AN1332" s="113"/>
      <c r="AO1332" s="113"/>
      <c r="AP1332" s="113"/>
      <c r="AQ1332" s="113"/>
      <c r="AR1332" s="46">
        <v>0</v>
      </c>
      <c r="AS1332" s="113"/>
      <c r="AT1332" s="113"/>
      <c r="AU1332" s="113"/>
      <c r="AV1332" s="113"/>
      <c r="AW1332" s="113"/>
      <c r="AX1332" s="46">
        <v>0</v>
      </c>
      <c r="AY1332" s="113"/>
      <c r="AZ1332" s="113"/>
      <c r="BA1332" s="113"/>
      <c r="BB1332" s="113"/>
      <c r="BC1332" s="113"/>
      <c r="BD1332" s="46">
        <v>0</v>
      </c>
      <c r="BE1332" s="113"/>
      <c r="BF1332" s="113"/>
      <c r="BG1332" s="113"/>
      <c r="BH1332" s="113"/>
      <c r="BI1332" s="113"/>
      <c r="BJ1332" s="46">
        <v>0</v>
      </c>
      <c r="BK1332" s="113"/>
      <c r="BL1332" s="113"/>
      <c r="BM1332" s="113"/>
      <c r="BN1332" s="113"/>
      <c r="BO1332" s="113"/>
      <c r="BP1332" s="121"/>
      <c r="BQ1332" s="121"/>
      <c r="GA1332" t="s">
        <v>18300</v>
      </c>
      <c r="GB1332" t="s">
        <v>23103</v>
      </c>
      <c r="GC1332" s="46">
        <v>0</v>
      </c>
      <c r="GD1332" s="113"/>
      <c r="GE1332" s="113"/>
      <c r="GF1332" s="113"/>
      <c r="GG1332" s="113"/>
      <c r="GH1332" s="113"/>
      <c r="GI1332" s="46">
        <v>0</v>
      </c>
      <c r="GJ1332" s="113"/>
      <c r="GK1332" s="113"/>
      <c r="GL1332" s="113"/>
      <c r="GM1332" s="113"/>
      <c r="GN1332" s="113"/>
      <c r="GO1332" s="46">
        <v>0</v>
      </c>
      <c r="GP1332" s="113"/>
      <c r="GQ1332" s="113"/>
      <c r="GR1332" s="113"/>
      <c r="GS1332" s="113"/>
      <c r="GT1332" s="113"/>
      <c r="GU1332" s="46">
        <v>0</v>
      </c>
      <c r="GV1332" s="113"/>
      <c r="GW1332" s="113"/>
      <c r="GX1332" s="113"/>
      <c r="GY1332" s="113"/>
      <c r="GZ1332" s="113"/>
      <c r="HA1332" s="46">
        <v>0</v>
      </c>
      <c r="HB1332" s="113"/>
      <c r="HC1332" s="113"/>
      <c r="HD1332" s="113"/>
      <c r="HE1332" s="113"/>
      <c r="HF1332" s="113"/>
      <c r="HG1332" s="46">
        <v>0</v>
      </c>
      <c r="HH1332" s="113"/>
      <c r="HI1332" s="113"/>
      <c r="HJ1332" s="113"/>
      <c r="HK1332" s="113"/>
      <c r="HL1332" s="113"/>
      <c r="HM1332" s="121"/>
      <c r="HN1332" s="121"/>
      <c r="LM1332" t="str">
        <v/>
      </c>
      <c r="LN1332" t="str">
        <v/>
      </c>
      <c r="LO1332" t="str">
        <v/>
      </c>
    </row>
    <row r="1333" spans="30:327">
      <c r="AD1333" t="s">
        <v>18300</v>
      </c>
      <c r="AE1333" t="s">
        <v>23104</v>
      </c>
      <c r="AF1333" s="46">
        <v>0</v>
      </c>
      <c r="AG1333" s="113"/>
      <c r="AH1333" s="113"/>
      <c r="AI1333" s="113"/>
      <c r="AJ1333" s="113"/>
      <c r="AK1333" s="113"/>
      <c r="AL1333" s="46">
        <v>0</v>
      </c>
      <c r="AM1333" s="113"/>
      <c r="AN1333" s="113"/>
      <c r="AO1333" s="113"/>
      <c r="AP1333" s="113"/>
      <c r="AQ1333" s="113"/>
      <c r="AR1333" s="46">
        <v>0</v>
      </c>
      <c r="AS1333" s="113"/>
      <c r="AT1333" s="113"/>
      <c r="AU1333" s="113"/>
      <c r="AV1333" s="113"/>
      <c r="AW1333" s="113"/>
      <c r="AX1333" s="46">
        <v>0</v>
      </c>
      <c r="AY1333" s="113"/>
      <c r="AZ1333" s="113"/>
      <c r="BA1333" s="113"/>
      <c r="BB1333" s="113"/>
      <c r="BC1333" s="113"/>
      <c r="BD1333" s="46">
        <v>0</v>
      </c>
      <c r="BE1333" s="113"/>
      <c r="BF1333" s="113"/>
      <c r="BG1333" s="113"/>
      <c r="BH1333" s="113"/>
      <c r="BI1333" s="113"/>
      <c r="BJ1333" s="46">
        <v>0</v>
      </c>
      <c r="BK1333" s="113"/>
      <c r="BL1333" s="113"/>
      <c r="BM1333" s="113"/>
      <c r="BN1333" s="113"/>
      <c r="BO1333" s="113"/>
      <c r="BP1333" s="121"/>
      <c r="BQ1333" s="121"/>
      <c r="GA1333" t="s">
        <v>18300</v>
      </c>
      <c r="GB1333" t="s">
        <v>23104</v>
      </c>
      <c r="GC1333" s="46">
        <v>0</v>
      </c>
      <c r="GD1333" s="113"/>
      <c r="GE1333" s="113"/>
      <c r="GF1333" s="113"/>
      <c r="GG1333" s="113"/>
      <c r="GH1333" s="113"/>
      <c r="GI1333" s="46">
        <v>0</v>
      </c>
      <c r="GJ1333" s="113"/>
      <c r="GK1333" s="113"/>
      <c r="GL1333" s="113"/>
      <c r="GM1333" s="113"/>
      <c r="GN1333" s="113"/>
      <c r="GO1333" s="46">
        <v>0</v>
      </c>
      <c r="GP1333" s="113"/>
      <c r="GQ1333" s="113"/>
      <c r="GR1333" s="113"/>
      <c r="GS1333" s="113"/>
      <c r="GT1333" s="113"/>
      <c r="GU1333" s="46">
        <v>0</v>
      </c>
      <c r="GV1333" s="113"/>
      <c r="GW1333" s="113"/>
      <c r="GX1333" s="113"/>
      <c r="GY1333" s="113"/>
      <c r="GZ1333" s="113"/>
      <c r="HA1333" s="46">
        <v>0</v>
      </c>
      <c r="HB1333" s="113"/>
      <c r="HC1333" s="113"/>
      <c r="HD1333" s="113"/>
      <c r="HE1333" s="113"/>
      <c r="HF1333" s="113"/>
      <c r="HG1333" s="46">
        <v>0</v>
      </c>
      <c r="HH1333" s="113"/>
      <c r="HI1333" s="113"/>
      <c r="HJ1333" s="113"/>
      <c r="HK1333" s="113"/>
      <c r="HL1333" s="113"/>
      <c r="HM1333" s="121"/>
      <c r="HN1333" s="121"/>
      <c r="LM1333" t="str">
        <v/>
      </c>
      <c r="LN1333" t="str">
        <v/>
      </c>
      <c r="LO1333" t="str">
        <v/>
      </c>
    </row>
    <row r="1334" spans="30:327">
      <c r="AD1334" t="s">
        <v>18300</v>
      </c>
      <c r="AE1334" t="s">
        <v>23105</v>
      </c>
      <c r="AF1334" s="46">
        <v>0</v>
      </c>
      <c r="AG1334" s="113"/>
      <c r="AH1334" s="113"/>
      <c r="AI1334" s="113"/>
      <c r="AJ1334" s="113"/>
      <c r="AK1334" s="113"/>
      <c r="AL1334" s="46">
        <v>0</v>
      </c>
      <c r="AM1334" s="113"/>
      <c r="AN1334" s="113"/>
      <c r="AO1334" s="113"/>
      <c r="AP1334" s="113"/>
      <c r="AQ1334" s="113"/>
      <c r="AR1334" s="46">
        <v>0</v>
      </c>
      <c r="AS1334" s="113"/>
      <c r="AT1334" s="113"/>
      <c r="AU1334" s="113"/>
      <c r="AV1334" s="113"/>
      <c r="AW1334" s="113"/>
      <c r="AX1334" s="46">
        <v>0</v>
      </c>
      <c r="AY1334" s="113"/>
      <c r="AZ1334" s="113"/>
      <c r="BA1334" s="113"/>
      <c r="BB1334" s="113"/>
      <c r="BC1334" s="113"/>
      <c r="BD1334" s="46">
        <v>0</v>
      </c>
      <c r="BE1334" s="113"/>
      <c r="BF1334" s="113"/>
      <c r="BG1334" s="113"/>
      <c r="BH1334" s="113"/>
      <c r="BI1334" s="113"/>
      <c r="BJ1334" s="46">
        <v>0</v>
      </c>
      <c r="BK1334" s="113"/>
      <c r="BL1334" s="113"/>
      <c r="BM1334" s="113"/>
      <c r="BN1334" s="113"/>
      <c r="BO1334" s="113"/>
      <c r="BP1334" s="121"/>
      <c r="BQ1334" s="121"/>
      <c r="GA1334" t="s">
        <v>18300</v>
      </c>
      <c r="GB1334" t="s">
        <v>23105</v>
      </c>
      <c r="GC1334" s="46">
        <v>0</v>
      </c>
      <c r="GD1334" s="113"/>
      <c r="GE1334" s="113"/>
      <c r="GF1334" s="113"/>
      <c r="GG1334" s="113"/>
      <c r="GH1334" s="113"/>
      <c r="GI1334" s="46">
        <v>0</v>
      </c>
      <c r="GJ1334" s="113"/>
      <c r="GK1334" s="113"/>
      <c r="GL1334" s="113"/>
      <c r="GM1334" s="113"/>
      <c r="GN1334" s="113"/>
      <c r="GO1334" s="46">
        <v>0</v>
      </c>
      <c r="GP1334" s="113"/>
      <c r="GQ1334" s="113"/>
      <c r="GR1334" s="113"/>
      <c r="GS1334" s="113"/>
      <c r="GT1334" s="113"/>
      <c r="GU1334" s="46">
        <v>0</v>
      </c>
      <c r="GV1334" s="113"/>
      <c r="GW1334" s="113"/>
      <c r="GX1334" s="113"/>
      <c r="GY1334" s="113"/>
      <c r="GZ1334" s="113"/>
      <c r="HA1334" s="46">
        <v>0</v>
      </c>
      <c r="HB1334" s="113"/>
      <c r="HC1334" s="113"/>
      <c r="HD1334" s="113"/>
      <c r="HE1334" s="113"/>
      <c r="HF1334" s="113"/>
      <c r="HG1334" s="46">
        <v>0</v>
      </c>
      <c r="HH1334" s="113"/>
      <c r="HI1334" s="113"/>
      <c r="HJ1334" s="113"/>
      <c r="HK1334" s="113"/>
      <c r="HL1334" s="113"/>
      <c r="HM1334" s="121"/>
      <c r="HN1334" s="121"/>
      <c r="LM1334" t="str">
        <v/>
      </c>
      <c r="LN1334" t="str">
        <v/>
      </c>
      <c r="LO1334" t="str">
        <v/>
      </c>
    </row>
    <row r="1335" spans="30:327">
      <c r="AD1335" t="s">
        <v>18300</v>
      </c>
      <c r="AE1335" t="s">
        <v>23106</v>
      </c>
      <c r="AF1335" s="46">
        <v>0</v>
      </c>
      <c r="AG1335" s="113"/>
      <c r="AH1335" s="113"/>
      <c r="AI1335" s="113"/>
      <c r="AJ1335" s="113"/>
      <c r="AK1335" s="113"/>
      <c r="AL1335" s="46">
        <v>0</v>
      </c>
      <c r="AM1335" s="113"/>
      <c r="AN1335" s="113"/>
      <c r="AO1335" s="113"/>
      <c r="AP1335" s="113"/>
      <c r="AQ1335" s="113"/>
      <c r="AR1335" s="46">
        <v>0</v>
      </c>
      <c r="AS1335" s="113"/>
      <c r="AT1335" s="113"/>
      <c r="AU1335" s="113"/>
      <c r="AV1335" s="113"/>
      <c r="AW1335" s="113"/>
      <c r="AX1335" s="46">
        <v>0</v>
      </c>
      <c r="AY1335" s="113"/>
      <c r="AZ1335" s="113"/>
      <c r="BA1335" s="113"/>
      <c r="BB1335" s="113"/>
      <c r="BC1335" s="113"/>
      <c r="BD1335" s="46">
        <v>0</v>
      </c>
      <c r="BE1335" s="113"/>
      <c r="BF1335" s="113"/>
      <c r="BG1335" s="113"/>
      <c r="BH1335" s="113"/>
      <c r="BI1335" s="113"/>
      <c r="BJ1335" s="46">
        <v>0</v>
      </c>
      <c r="BK1335" s="113"/>
      <c r="BL1335" s="113"/>
      <c r="BM1335" s="113"/>
      <c r="BN1335" s="113"/>
      <c r="BO1335" s="113"/>
      <c r="BP1335" s="121"/>
      <c r="BQ1335" s="121"/>
      <c r="GA1335" t="s">
        <v>18300</v>
      </c>
      <c r="GB1335" t="s">
        <v>23106</v>
      </c>
      <c r="GC1335" s="46">
        <v>0</v>
      </c>
      <c r="GD1335" s="113"/>
      <c r="GE1335" s="113"/>
      <c r="GF1335" s="113"/>
      <c r="GG1335" s="113"/>
      <c r="GH1335" s="113"/>
      <c r="GI1335" s="46">
        <v>0</v>
      </c>
      <c r="GJ1335" s="113"/>
      <c r="GK1335" s="113"/>
      <c r="GL1335" s="113"/>
      <c r="GM1335" s="113"/>
      <c r="GN1335" s="113"/>
      <c r="GO1335" s="46">
        <v>0</v>
      </c>
      <c r="GP1335" s="113"/>
      <c r="GQ1335" s="113"/>
      <c r="GR1335" s="113"/>
      <c r="GS1335" s="113"/>
      <c r="GT1335" s="113"/>
      <c r="GU1335" s="46">
        <v>0</v>
      </c>
      <c r="GV1335" s="113"/>
      <c r="GW1335" s="113"/>
      <c r="GX1335" s="113"/>
      <c r="GY1335" s="113"/>
      <c r="GZ1335" s="113"/>
      <c r="HA1335" s="46">
        <v>0</v>
      </c>
      <c r="HB1335" s="113"/>
      <c r="HC1335" s="113"/>
      <c r="HD1335" s="113"/>
      <c r="HE1335" s="113"/>
      <c r="HF1335" s="113"/>
      <c r="HG1335" s="46">
        <v>0</v>
      </c>
      <c r="HH1335" s="113"/>
      <c r="HI1335" s="113"/>
      <c r="HJ1335" s="113"/>
      <c r="HK1335" s="113"/>
      <c r="HL1335" s="113"/>
      <c r="HM1335" s="121"/>
      <c r="HN1335" s="121"/>
      <c r="LM1335" t="str">
        <v/>
      </c>
      <c r="LN1335" t="str">
        <v/>
      </c>
      <c r="LO1335" t="str">
        <v/>
      </c>
    </row>
    <row r="1336" spans="30:327">
      <c r="AD1336" t="s">
        <v>18300</v>
      </c>
      <c r="AE1336" t="s">
        <v>23107</v>
      </c>
      <c r="AF1336" s="46">
        <v>0</v>
      </c>
      <c r="AG1336" s="113"/>
      <c r="AH1336" s="113"/>
      <c r="AI1336" s="113"/>
      <c r="AJ1336" s="113"/>
      <c r="AK1336" s="113"/>
      <c r="AL1336" s="46">
        <v>0</v>
      </c>
      <c r="AM1336" s="113"/>
      <c r="AN1336" s="113"/>
      <c r="AO1336" s="113"/>
      <c r="AP1336" s="113"/>
      <c r="AQ1336" s="113"/>
      <c r="AR1336" s="46">
        <v>0</v>
      </c>
      <c r="AS1336" s="113"/>
      <c r="AT1336" s="113"/>
      <c r="AU1336" s="113"/>
      <c r="AV1336" s="113"/>
      <c r="AW1336" s="113"/>
      <c r="AX1336" s="46">
        <v>0</v>
      </c>
      <c r="AY1336" s="113"/>
      <c r="AZ1336" s="113"/>
      <c r="BA1336" s="113"/>
      <c r="BB1336" s="113"/>
      <c r="BC1336" s="113"/>
      <c r="BD1336" s="46">
        <v>0</v>
      </c>
      <c r="BE1336" s="113"/>
      <c r="BF1336" s="113"/>
      <c r="BG1336" s="113"/>
      <c r="BH1336" s="113"/>
      <c r="BI1336" s="113"/>
      <c r="BJ1336" s="46">
        <v>0</v>
      </c>
      <c r="BK1336" s="113"/>
      <c r="BL1336" s="113"/>
      <c r="BM1336" s="113"/>
      <c r="BN1336" s="113"/>
      <c r="BO1336" s="113"/>
      <c r="BP1336" s="121"/>
      <c r="BQ1336" s="121"/>
      <c r="GA1336" t="s">
        <v>18300</v>
      </c>
      <c r="GB1336" t="s">
        <v>23107</v>
      </c>
      <c r="GC1336" s="46">
        <v>0</v>
      </c>
      <c r="GD1336" s="113"/>
      <c r="GE1336" s="113"/>
      <c r="GF1336" s="113"/>
      <c r="GG1336" s="113"/>
      <c r="GH1336" s="113"/>
      <c r="GI1336" s="46">
        <v>0</v>
      </c>
      <c r="GJ1336" s="113"/>
      <c r="GK1336" s="113"/>
      <c r="GL1336" s="113"/>
      <c r="GM1336" s="113"/>
      <c r="GN1336" s="113"/>
      <c r="GO1336" s="46">
        <v>0</v>
      </c>
      <c r="GP1336" s="113"/>
      <c r="GQ1336" s="113"/>
      <c r="GR1336" s="113"/>
      <c r="GS1336" s="113"/>
      <c r="GT1336" s="113"/>
      <c r="GU1336" s="46">
        <v>0</v>
      </c>
      <c r="GV1336" s="113"/>
      <c r="GW1336" s="113"/>
      <c r="GX1336" s="113"/>
      <c r="GY1336" s="113"/>
      <c r="GZ1336" s="113"/>
      <c r="HA1336" s="46">
        <v>0</v>
      </c>
      <c r="HB1336" s="113"/>
      <c r="HC1336" s="113"/>
      <c r="HD1336" s="113"/>
      <c r="HE1336" s="113"/>
      <c r="HF1336" s="113"/>
      <c r="HG1336" s="46">
        <v>0</v>
      </c>
      <c r="HH1336" s="113"/>
      <c r="HI1336" s="113"/>
      <c r="HJ1336" s="113"/>
      <c r="HK1336" s="113"/>
      <c r="HL1336" s="113"/>
      <c r="HM1336" s="121"/>
      <c r="HN1336" s="121"/>
      <c r="LM1336" t="str">
        <v/>
      </c>
      <c r="LN1336" t="str">
        <v/>
      </c>
      <c r="LO1336" t="str">
        <v/>
      </c>
    </row>
    <row r="1337" spans="30:327">
      <c r="AD1337" t="s">
        <v>18300</v>
      </c>
      <c r="AE1337" t="s">
        <v>23108</v>
      </c>
      <c r="AF1337" s="46">
        <v>0</v>
      </c>
      <c r="AG1337" s="113"/>
      <c r="AH1337" s="113"/>
      <c r="AI1337" s="113"/>
      <c r="AJ1337" s="113"/>
      <c r="AK1337" s="113"/>
      <c r="AL1337" s="46">
        <v>0</v>
      </c>
      <c r="AM1337" s="113"/>
      <c r="AN1337" s="113"/>
      <c r="AO1337" s="113"/>
      <c r="AP1337" s="113"/>
      <c r="AQ1337" s="113"/>
      <c r="AR1337" s="46">
        <v>0</v>
      </c>
      <c r="AS1337" s="113"/>
      <c r="AT1337" s="113"/>
      <c r="AU1337" s="113"/>
      <c r="AV1337" s="113"/>
      <c r="AW1337" s="113"/>
      <c r="AX1337" s="46">
        <v>0</v>
      </c>
      <c r="AY1337" s="113"/>
      <c r="AZ1337" s="113"/>
      <c r="BA1337" s="113"/>
      <c r="BB1337" s="113"/>
      <c r="BC1337" s="113"/>
      <c r="BD1337" s="46">
        <v>0</v>
      </c>
      <c r="BE1337" s="113"/>
      <c r="BF1337" s="113"/>
      <c r="BG1337" s="113"/>
      <c r="BH1337" s="113"/>
      <c r="BI1337" s="113"/>
      <c r="BJ1337" s="46">
        <v>0</v>
      </c>
      <c r="BK1337" s="113"/>
      <c r="BL1337" s="113"/>
      <c r="BM1337" s="113"/>
      <c r="BN1337" s="113"/>
      <c r="BO1337" s="113"/>
      <c r="BP1337" s="121"/>
      <c r="BQ1337" s="121"/>
      <c r="GA1337" t="s">
        <v>18300</v>
      </c>
      <c r="GB1337" t="s">
        <v>23108</v>
      </c>
      <c r="GC1337" s="46">
        <v>0</v>
      </c>
      <c r="GD1337" s="113"/>
      <c r="GE1337" s="113"/>
      <c r="GF1337" s="113"/>
      <c r="GG1337" s="113"/>
      <c r="GH1337" s="113"/>
      <c r="GI1337" s="46">
        <v>0</v>
      </c>
      <c r="GJ1337" s="113"/>
      <c r="GK1337" s="113"/>
      <c r="GL1337" s="113"/>
      <c r="GM1337" s="113"/>
      <c r="GN1337" s="113"/>
      <c r="GO1337" s="46">
        <v>0</v>
      </c>
      <c r="GP1337" s="113"/>
      <c r="GQ1337" s="113"/>
      <c r="GR1337" s="113"/>
      <c r="GS1337" s="113"/>
      <c r="GT1337" s="113"/>
      <c r="GU1337" s="46">
        <v>0</v>
      </c>
      <c r="GV1337" s="113"/>
      <c r="GW1337" s="113"/>
      <c r="GX1337" s="113"/>
      <c r="GY1337" s="113"/>
      <c r="GZ1337" s="113"/>
      <c r="HA1337" s="46">
        <v>0</v>
      </c>
      <c r="HB1337" s="113"/>
      <c r="HC1337" s="113"/>
      <c r="HD1337" s="113"/>
      <c r="HE1337" s="113"/>
      <c r="HF1337" s="113"/>
      <c r="HG1337" s="46">
        <v>0</v>
      </c>
      <c r="HH1337" s="113"/>
      <c r="HI1337" s="113"/>
      <c r="HJ1337" s="113"/>
      <c r="HK1337" s="113"/>
      <c r="HL1337" s="113"/>
      <c r="HM1337" s="121"/>
      <c r="HN1337" s="121"/>
      <c r="LM1337" t="str">
        <v/>
      </c>
      <c r="LN1337" t="str">
        <v/>
      </c>
      <c r="LO1337" t="str">
        <v/>
      </c>
    </row>
    <row r="1338" spans="30:327">
      <c r="AD1338" t="s">
        <v>18300</v>
      </c>
      <c r="AE1338" t="s">
        <v>23109</v>
      </c>
      <c r="AF1338" s="46">
        <v>0</v>
      </c>
      <c r="AG1338" s="113"/>
      <c r="AH1338" s="113"/>
      <c r="AI1338" s="113"/>
      <c r="AJ1338" s="113"/>
      <c r="AK1338" s="113"/>
      <c r="AL1338" s="46">
        <v>0</v>
      </c>
      <c r="AM1338" s="113"/>
      <c r="AN1338" s="113"/>
      <c r="AO1338" s="113"/>
      <c r="AP1338" s="113"/>
      <c r="AQ1338" s="113"/>
      <c r="AR1338" s="46">
        <v>0</v>
      </c>
      <c r="AS1338" s="113"/>
      <c r="AT1338" s="113"/>
      <c r="AU1338" s="113"/>
      <c r="AV1338" s="113"/>
      <c r="AW1338" s="113"/>
      <c r="AX1338" s="46">
        <v>0</v>
      </c>
      <c r="AY1338" s="113"/>
      <c r="AZ1338" s="113"/>
      <c r="BA1338" s="113"/>
      <c r="BB1338" s="113"/>
      <c r="BC1338" s="113"/>
      <c r="BD1338" s="46">
        <v>0</v>
      </c>
      <c r="BE1338" s="113"/>
      <c r="BF1338" s="113"/>
      <c r="BG1338" s="113"/>
      <c r="BH1338" s="113"/>
      <c r="BI1338" s="113"/>
      <c r="BJ1338" s="46">
        <v>0</v>
      </c>
      <c r="BK1338" s="113"/>
      <c r="BL1338" s="113"/>
      <c r="BM1338" s="113"/>
      <c r="BN1338" s="113"/>
      <c r="BO1338" s="113"/>
      <c r="BP1338" s="121"/>
      <c r="BQ1338" s="121"/>
      <c r="GA1338" t="s">
        <v>18300</v>
      </c>
      <c r="GB1338" t="s">
        <v>23109</v>
      </c>
      <c r="GC1338" s="46">
        <v>0</v>
      </c>
      <c r="GD1338" s="113"/>
      <c r="GE1338" s="113"/>
      <c r="GF1338" s="113"/>
      <c r="GG1338" s="113"/>
      <c r="GH1338" s="113"/>
      <c r="GI1338" s="46">
        <v>0</v>
      </c>
      <c r="GJ1338" s="113"/>
      <c r="GK1338" s="113"/>
      <c r="GL1338" s="113"/>
      <c r="GM1338" s="113"/>
      <c r="GN1338" s="113"/>
      <c r="GO1338" s="46">
        <v>0</v>
      </c>
      <c r="GP1338" s="113"/>
      <c r="GQ1338" s="113"/>
      <c r="GR1338" s="113"/>
      <c r="GS1338" s="113"/>
      <c r="GT1338" s="113"/>
      <c r="GU1338" s="46">
        <v>0</v>
      </c>
      <c r="GV1338" s="113"/>
      <c r="GW1338" s="113"/>
      <c r="GX1338" s="113"/>
      <c r="GY1338" s="113"/>
      <c r="GZ1338" s="113"/>
      <c r="HA1338" s="46">
        <v>0</v>
      </c>
      <c r="HB1338" s="113"/>
      <c r="HC1338" s="113"/>
      <c r="HD1338" s="113"/>
      <c r="HE1338" s="113"/>
      <c r="HF1338" s="113"/>
      <c r="HG1338" s="46">
        <v>0</v>
      </c>
      <c r="HH1338" s="113"/>
      <c r="HI1338" s="113"/>
      <c r="HJ1338" s="113"/>
      <c r="HK1338" s="113"/>
      <c r="HL1338" s="113"/>
      <c r="HM1338" s="121"/>
      <c r="HN1338" s="121"/>
      <c r="LM1338" t="str">
        <v/>
      </c>
      <c r="LN1338" t="str">
        <v/>
      </c>
      <c r="LO1338" t="str">
        <v/>
      </c>
    </row>
    <row r="1339" spans="30:327">
      <c r="AD1339" t="s">
        <v>18300</v>
      </c>
      <c r="AE1339" t="s">
        <v>23110</v>
      </c>
      <c r="AF1339" s="46">
        <v>0</v>
      </c>
      <c r="AG1339" s="113"/>
      <c r="AH1339" s="113"/>
      <c r="AI1339" s="113"/>
      <c r="AJ1339" s="113"/>
      <c r="AK1339" s="113"/>
      <c r="AL1339" s="46">
        <v>0</v>
      </c>
      <c r="AM1339" s="113"/>
      <c r="AN1339" s="113"/>
      <c r="AO1339" s="113"/>
      <c r="AP1339" s="113"/>
      <c r="AQ1339" s="113"/>
      <c r="AR1339" s="46">
        <v>0</v>
      </c>
      <c r="AS1339" s="113"/>
      <c r="AT1339" s="113"/>
      <c r="AU1339" s="113"/>
      <c r="AV1339" s="113"/>
      <c r="AW1339" s="113"/>
      <c r="AX1339" s="46">
        <v>0</v>
      </c>
      <c r="AY1339" s="113"/>
      <c r="AZ1339" s="113"/>
      <c r="BA1339" s="113"/>
      <c r="BB1339" s="113"/>
      <c r="BC1339" s="113"/>
      <c r="BD1339" s="46">
        <v>0</v>
      </c>
      <c r="BE1339" s="113"/>
      <c r="BF1339" s="113"/>
      <c r="BG1339" s="113"/>
      <c r="BH1339" s="113"/>
      <c r="BI1339" s="113"/>
      <c r="BJ1339" s="46">
        <v>0</v>
      </c>
      <c r="BK1339" s="113"/>
      <c r="BL1339" s="113"/>
      <c r="BM1339" s="113"/>
      <c r="BN1339" s="113"/>
      <c r="BO1339" s="113"/>
      <c r="BP1339" s="121"/>
      <c r="BQ1339" s="121"/>
      <c r="GA1339" t="s">
        <v>18300</v>
      </c>
      <c r="GB1339" t="s">
        <v>23110</v>
      </c>
      <c r="GC1339" s="46">
        <v>0</v>
      </c>
      <c r="GD1339" s="113"/>
      <c r="GE1339" s="113"/>
      <c r="GF1339" s="113"/>
      <c r="GG1339" s="113"/>
      <c r="GH1339" s="113"/>
      <c r="GI1339" s="46">
        <v>0</v>
      </c>
      <c r="GJ1339" s="113"/>
      <c r="GK1339" s="113"/>
      <c r="GL1339" s="113"/>
      <c r="GM1339" s="113"/>
      <c r="GN1339" s="113"/>
      <c r="GO1339" s="46">
        <v>0</v>
      </c>
      <c r="GP1339" s="113"/>
      <c r="GQ1339" s="113"/>
      <c r="GR1339" s="113"/>
      <c r="GS1339" s="113"/>
      <c r="GT1339" s="113"/>
      <c r="GU1339" s="46">
        <v>0</v>
      </c>
      <c r="GV1339" s="113"/>
      <c r="GW1339" s="113"/>
      <c r="GX1339" s="113"/>
      <c r="GY1339" s="113"/>
      <c r="GZ1339" s="113"/>
      <c r="HA1339" s="46">
        <v>0</v>
      </c>
      <c r="HB1339" s="113"/>
      <c r="HC1339" s="113"/>
      <c r="HD1339" s="113"/>
      <c r="HE1339" s="113"/>
      <c r="HF1339" s="113"/>
      <c r="HG1339" s="46">
        <v>0</v>
      </c>
      <c r="HH1339" s="113"/>
      <c r="HI1339" s="113"/>
      <c r="HJ1339" s="113"/>
      <c r="HK1339" s="113"/>
      <c r="HL1339" s="113"/>
      <c r="HM1339" s="121"/>
      <c r="HN1339" s="121"/>
      <c r="LM1339" t="str">
        <v/>
      </c>
      <c r="LN1339" t="str">
        <v/>
      </c>
      <c r="LO1339" t="str">
        <v/>
      </c>
    </row>
    <row r="1340" spans="30:327">
      <c r="AD1340" t="s">
        <v>18300</v>
      </c>
      <c r="AE1340" t="s">
        <v>23111</v>
      </c>
      <c r="AF1340" s="46">
        <v>0</v>
      </c>
      <c r="AG1340" s="113"/>
      <c r="AH1340" s="113"/>
      <c r="AI1340" s="113"/>
      <c r="AJ1340" s="113"/>
      <c r="AK1340" s="113"/>
      <c r="AL1340" s="46">
        <v>0</v>
      </c>
      <c r="AM1340" s="113"/>
      <c r="AN1340" s="113"/>
      <c r="AO1340" s="113"/>
      <c r="AP1340" s="113"/>
      <c r="AQ1340" s="113"/>
      <c r="AR1340" s="46">
        <v>0</v>
      </c>
      <c r="AS1340" s="113"/>
      <c r="AT1340" s="113"/>
      <c r="AU1340" s="113"/>
      <c r="AV1340" s="113"/>
      <c r="AW1340" s="113"/>
      <c r="AX1340" s="46">
        <v>0</v>
      </c>
      <c r="AY1340" s="113"/>
      <c r="AZ1340" s="113"/>
      <c r="BA1340" s="113"/>
      <c r="BB1340" s="113"/>
      <c r="BC1340" s="113"/>
      <c r="BD1340" s="46">
        <v>0</v>
      </c>
      <c r="BE1340" s="113"/>
      <c r="BF1340" s="113"/>
      <c r="BG1340" s="113"/>
      <c r="BH1340" s="113"/>
      <c r="BI1340" s="113"/>
      <c r="BJ1340" s="46">
        <v>0</v>
      </c>
      <c r="BK1340" s="113"/>
      <c r="BL1340" s="113"/>
      <c r="BM1340" s="113"/>
      <c r="BN1340" s="113"/>
      <c r="BO1340" s="113"/>
      <c r="BP1340" s="121"/>
      <c r="BQ1340" s="121"/>
      <c r="GA1340" t="s">
        <v>18300</v>
      </c>
      <c r="GB1340" t="s">
        <v>23111</v>
      </c>
      <c r="GC1340" s="46">
        <v>0</v>
      </c>
      <c r="GD1340" s="113"/>
      <c r="GE1340" s="113"/>
      <c r="GF1340" s="113"/>
      <c r="GG1340" s="113"/>
      <c r="GH1340" s="113"/>
      <c r="GI1340" s="46">
        <v>0</v>
      </c>
      <c r="GJ1340" s="113"/>
      <c r="GK1340" s="113"/>
      <c r="GL1340" s="113"/>
      <c r="GM1340" s="113"/>
      <c r="GN1340" s="113"/>
      <c r="GO1340" s="46">
        <v>0</v>
      </c>
      <c r="GP1340" s="113"/>
      <c r="GQ1340" s="113"/>
      <c r="GR1340" s="113"/>
      <c r="GS1340" s="113"/>
      <c r="GT1340" s="113"/>
      <c r="GU1340" s="46">
        <v>0</v>
      </c>
      <c r="GV1340" s="113"/>
      <c r="GW1340" s="113"/>
      <c r="GX1340" s="113"/>
      <c r="GY1340" s="113"/>
      <c r="GZ1340" s="113"/>
      <c r="HA1340" s="46">
        <v>0</v>
      </c>
      <c r="HB1340" s="113"/>
      <c r="HC1340" s="113"/>
      <c r="HD1340" s="113"/>
      <c r="HE1340" s="113"/>
      <c r="HF1340" s="113"/>
      <c r="HG1340" s="46">
        <v>0</v>
      </c>
      <c r="HH1340" s="113"/>
      <c r="HI1340" s="113"/>
      <c r="HJ1340" s="113"/>
      <c r="HK1340" s="113"/>
      <c r="HL1340" s="113"/>
      <c r="HM1340" s="121"/>
      <c r="HN1340" s="121"/>
      <c r="LM1340" t="str">
        <v/>
      </c>
      <c r="LN1340" t="str">
        <v/>
      </c>
      <c r="LO1340" t="str">
        <v/>
      </c>
    </row>
    <row r="1341" spans="30:327">
      <c r="AD1341" t="s">
        <v>18300</v>
      </c>
      <c r="AE1341" t="s">
        <v>23112</v>
      </c>
      <c r="AF1341" s="46">
        <v>0</v>
      </c>
      <c r="AG1341" s="113"/>
      <c r="AH1341" s="113"/>
      <c r="AI1341" s="113"/>
      <c r="AJ1341" s="113"/>
      <c r="AK1341" s="113"/>
      <c r="AL1341" s="46">
        <v>0</v>
      </c>
      <c r="AM1341" s="113"/>
      <c r="AN1341" s="113"/>
      <c r="AO1341" s="113"/>
      <c r="AP1341" s="113"/>
      <c r="AQ1341" s="113"/>
      <c r="AR1341" s="46">
        <v>0</v>
      </c>
      <c r="AS1341" s="113"/>
      <c r="AT1341" s="113"/>
      <c r="AU1341" s="113"/>
      <c r="AV1341" s="113"/>
      <c r="AW1341" s="113"/>
      <c r="AX1341" s="46">
        <v>0</v>
      </c>
      <c r="AY1341" s="113"/>
      <c r="AZ1341" s="113"/>
      <c r="BA1341" s="113"/>
      <c r="BB1341" s="113"/>
      <c r="BC1341" s="113"/>
      <c r="BD1341" s="46">
        <v>0</v>
      </c>
      <c r="BE1341" s="113"/>
      <c r="BF1341" s="113"/>
      <c r="BG1341" s="113"/>
      <c r="BH1341" s="113"/>
      <c r="BI1341" s="113"/>
      <c r="BJ1341" s="46">
        <v>0</v>
      </c>
      <c r="BK1341" s="113"/>
      <c r="BL1341" s="113"/>
      <c r="BM1341" s="113"/>
      <c r="BN1341" s="113"/>
      <c r="BO1341" s="113"/>
      <c r="BP1341" s="121"/>
      <c r="BQ1341" s="121"/>
      <c r="GA1341" t="s">
        <v>18300</v>
      </c>
      <c r="GB1341" t="s">
        <v>23112</v>
      </c>
      <c r="GC1341" s="46">
        <v>0</v>
      </c>
      <c r="GD1341" s="113"/>
      <c r="GE1341" s="113"/>
      <c r="GF1341" s="113"/>
      <c r="GG1341" s="113"/>
      <c r="GH1341" s="113"/>
      <c r="GI1341" s="46">
        <v>0</v>
      </c>
      <c r="GJ1341" s="113"/>
      <c r="GK1341" s="113"/>
      <c r="GL1341" s="113"/>
      <c r="GM1341" s="113"/>
      <c r="GN1341" s="113"/>
      <c r="GO1341" s="46">
        <v>0</v>
      </c>
      <c r="GP1341" s="113"/>
      <c r="GQ1341" s="113"/>
      <c r="GR1341" s="113"/>
      <c r="GS1341" s="113"/>
      <c r="GT1341" s="113"/>
      <c r="GU1341" s="46">
        <v>0</v>
      </c>
      <c r="GV1341" s="113"/>
      <c r="GW1341" s="113"/>
      <c r="GX1341" s="113"/>
      <c r="GY1341" s="113"/>
      <c r="GZ1341" s="113"/>
      <c r="HA1341" s="46">
        <v>0</v>
      </c>
      <c r="HB1341" s="113"/>
      <c r="HC1341" s="113"/>
      <c r="HD1341" s="113"/>
      <c r="HE1341" s="113"/>
      <c r="HF1341" s="113"/>
      <c r="HG1341" s="46">
        <v>0</v>
      </c>
      <c r="HH1341" s="113"/>
      <c r="HI1341" s="113"/>
      <c r="HJ1341" s="113"/>
      <c r="HK1341" s="113"/>
      <c r="HL1341" s="113"/>
      <c r="HM1341" s="121"/>
      <c r="HN1341" s="121"/>
      <c r="LM1341" t="str">
        <v/>
      </c>
      <c r="LN1341" t="str">
        <v/>
      </c>
      <c r="LO1341" t="str">
        <v/>
      </c>
    </row>
    <row r="1342" spans="30:327">
      <c r="AD1342" t="s">
        <v>18300</v>
      </c>
      <c r="AE1342" t="s">
        <v>23113</v>
      </c>
      <c r="AF1342" s="46">
        <v>0</v>
      </c>
      <c r="AG1342" s="113"/>
      <c r="AH1342" s="113"/>
      <c r="AI1342" s="113"/>
      <c r="AJ1342" s="113"/>
      <c r="AK1342" s="113"/>
      <c r="AL1342" s="46">
        <v>0</v>
      </c>
      <c r="AM1342" s="113"/>
      <c r="AN1342" s="113"/>
      <c r="AO1342" s="113"/>
      <c r="AP1342" s="113"/>
      <c r="AQ1342" s="113"/>
      <c r="AR1342" s="46">
        <v>0</v>
      </c>
      <c r="AS1342" s="113"/>
      <c r="AT1342" s="113"/>
      <c r="AU1342" s="113"/>
      <c r="AV1342" s="113"/>
      <c r="AW1342" s="113"/>
      <c r="AX1342" s="46">
        <v>0</v>
      </c>
      <c r="AY1342" s="113"/>
      <c r="AZ1342" s="113"/>
      <c r="BA1342" s="113"/>
      <c r="BB1342" s="113"/>
      <c r="BC1342" s="113"/>
      <c r="BD1342" s="46">
        <v>0</v>
      </c>
      <c r="BE1342" s="113"/>
      <c r="BF1342" s="113"/>
      <c r="BG1342" s="113"/>
      <c r="BH1342" s="113"/>
      <c r="BI1342" s="113"/>
      <c r="BJ1342" s="46">
        <v>0</v>
      </c>
      <c r="BK1342" s="113"/>
      <c r="BL1342" s="113"/>
      <c r="BM1342" s="113"/>
      <c r="BN1342" s="113"/>
      <c r="BO1342" s="113"/>
      <c r="BP1342" s="121"/>
      <c r="BQ1342" s="121"/>
      <c r="GA1342" t="s">
        <v>18300</v>
      </c>
      <c r="GB1342" t="s">
        <v>23113</v>
      </c>
      <c r="GC1342" s="46">
        <v>0</v>
      </c>
      <c r="GD1342" s="113"/>
      <c r="GE1342" s="113"/>
      <c r="GF1342" s="113"/>
      <c r="GG1342" s="113"/>
      <c r="GH1342" s="113"/>
      <c r="GI1342" s="46">
        <v>0</v>
      </c>
      <c r="GJ1342" s="113"/>
      <c r="GK1342" s="113"/>
      <c r="GL1342" s="113"/>
      <c r="GM1342" s="113"/>
      <c r="GN1342" s="113"/>
      <c r="GO1342" s="46">
        <v>0</v>
      </c>
      <c r="GP1342" s="113"/>
      <c r="GQ1342" s="113"/>
      <c r="GR1342" s="113"/>
      <c r="GS1342" s="113"/>
      <c r="GT1342" s="113"/>
      <c r="GU1342" s="46">
        <v>0</v>
      </c>
      <c r="GV1342" s="113"/>
      <c r="GW1342" s="113"/>
      <c r="GX1342" s="113"/>
      <c r="GY1342" s="113"/>
      <c r="GZ1342" s="113"/>
      <c r="HA1342" s="46">
        <v>0</v>
      </c>
      <c r="HB1342" s="113"/>
      <c r="HC1342" s="113"/>
      <c r="HD1342" s="113"/>
      <c r="HE1342" s="113"/>
      <c r="HF1342" s="113"/>
      <c r="HG1342" s="46">
        <v>0</v>
      </c>
      <c r="HH1342" s="113"/>
      <c r="HI1342" s="113"/>
      <c r="HJ1342" s="113"/>
      <c r="HK1342" s="113"/>
      <c r="HL1342" s="113"/>
      <c r="HM1342" s="121"/>
      <c r="HN1342" s="121"/>
      <c r="LM1342" t="str">
        <v/>
      </c>
      <c r="LN1342" t="str">
        <v/>
      </c>
      <c r="LO1342" t="str">
        <v/>
      </c>
    </row>
    <row r="1343" spans="30:327">
      <c r="AD1343" t="s">
        <v>18300</v>
      </c>
      <c r="AE1343" t="s">
        <v>23114</v>
      </c>
      <c r="AF1343" s="46">
        <v>0</v>
      </c>
      <c r="AG1343" s="113"/>
      <c r="AH1343" s="113"/>
      <c r="AI1343" s="113"/>
      <c r="AJ1343" s="113"/>
      <c r="AK1343" s="113"/>
      <c r="AL1343" s="46">
        <v>0</v>
      </c>
      <c r="AM1343" s="113"/>
      <c r="AN1343" s="113"/>
      <c r="AO1343" s="113"/>
      <c r="AP1343" s="113"/>
      <c r="AQ1343" s="113"/>
      <c r="AR1343" s="46">
        <v>0</v>
      </c>
      <c r="AS1343" s="113"/>
      <c r="AT1343" s="113"/>
      <c r="AU1343" s="113"/>
      <c r="AV1343" s="113"/>
      <c r="AW1343" s="113"/>
      <c r="AX1343" s="46">
        <v>0</v>
      </c>
      <c r="AY1343" s="113"/>
      <c r="AZ1343" s="113"/>
      <c r="BA1343" s="113"/>
      <c r="BB1343" s="113"/>
      <c r="BC1343" s="113"/>
      <c r="BD1343" s="46">
        <v>0</v>
      </c>
      <c r="BE1343" s="113"/>
      <c r="BF1343" s="113"/>
      <c r="BG1343" s="113"/>
      <c r="BH1343" s="113"/>
      <c r="BI1343" s="113"/>
      <c r="BJ1343" s="46">
        <v>0</v>
      </c>
      <c r="BK1343" s="113"/>
      <c r="BL1343" s="113"/>
      <c r="BM1343" s="113"/>
      <c r="BN1343" s="113"/>
      <c r="BO1343" s="113"/>
      <c r="BP1343" s="121"/>
      <c r="BQ1343" s="121"/>
      <c r="GA1343" t="s">
        <v>18300</v>
      </c>
      <c r="GB1343" t="s">
        <v>23114</v>
      </c>
      <c r="GC1343" s="46">
        <v>0</v>
      </c>
      <c r="GD1343" s="113"/>
      <c r="GE1343" s="113"/>
      <c r="GF1343" s="113"/>
      <c r="GG1343" s="113"/>
      <c r="GH1343" s="113"/>
      <c r="GI1343" s="46">
        <v>0</v>
      </c>
      <c r="GJ1343" s="113"/>
      <c r="GK1343" s="113"/>
      <c r="GL1343" s="113"/>
      <c r="GM1343" s="113"/>
      <c r="GN1343" s="113"/>
      <c r="GO1343" s="46">
        <v>0</v>
      </c>
      <c r="GP1343" s="113"/>
      <c r="GQ1343" s="113"/>
      <c r="GR1343" s="113"/>
      <c r="GS1343" s="113"/>
      <c r="GT1343" s="113"/>
      <c r="GU1343" s="46">
        <v>0</v>
      </c>
      <c r="GV1343" s="113"/>
      <c r="GW1343" s="113"/>
      <c r="GX1343" s="113"/>
      <c r="GY1343" s="113"/>
      <c r="GZ1343" s="113"/>
      <c r="HA1343" s="46">
        <v>0</v>
      </c>
      <c r="HB1343" s="113"/>
      <c r="HC1343" s="113"/>
      <c r="HD1343" s="113"/>
      <c r="HE1343" s="113"/>
      <c r="HF1343" s="113"/>
      <c r="HG1343" s="46">
        <v>0</v>
      </c>
      <c r="HH1343" s="113"/>
      <c r="HI1343" s="113"/>
      <c r="HJ1343" s="113"/>
      <c r="HK1343" s="113"/>
      <c r="HL1343" s="113"/>
      <c r="HM1343" s="121"/>
      <c r="HN1343" s="121"/>
      <c r="LM1343" t="str">
        <v/>
      </c>
      <c r="LN1343" t="str">
        <v/>
      </c>
      <c r="LO1343" t="str">
        <v/>
      </c>
    </row>
    <row r="1344" spans="30:327">
      <c r="AD1344" t="s">
        <v>18300</v>
      </c>
      <c r="AE1344" t="s">
        <v>23115</v>
      </c>
      <c r="AF1344" s="46">
        <v>0</v>
      </c>
      <c r="AG1344" s="113"/>
      <c r="AH1344" s="113"/>
      <c r="AI1344" s="113"/>
      <c r="AJ1344" s="113"/>
      <c r="AK1344" s="113"/>
      <c r="AL1344" s="46">
        <v>0</v>
      </c>
      <c r="AM1344" s="113"/>
      <c r="AN1344" s="113"/>
      <c r="AO1344" s="113"/>
      <c r="AP1344" s="113"/>
      <c r="AQ1344" s="113"/>
      <c r="AR1344" s="46">
        <v>0</v>
      </c>
      <c r="AS1344" s="113"/>
      <c r="AT1344" s="113"/>
      <c r="AU1344" s="113"/>
      <c r="AV1344" s="113"/>
      <c r="AW1344" s="113"/>
      <c r="AX1344" s="46">
        <v>0</v>
      </c>
      <c r="AY1344" s="113"/>
      <c r="AZ1344" s="113"/>
      <c r="BA1344" s="113"/>
      <c r="BB1344" s="113"/>
      <c r="BC1344" s="113"/>
      <c r="BD1344" s="46">
        <v>0</v>
      </c>
      <c r="BE1344" s="113"/>
      <c r="BF1344" s="113"/>
      <c r="BG1344" s="113"/>
      <c r="BH1344" s="113"/>
      <c r="BI1344" s="113"/>
      <c r="BJ1344" s="46">
        <v>0</v>
      </c>
      <c r="BK1344" s="113"/>
      <c r="BL1344" s="113"/>
      <c r="BM1344" s="113"/>
      <c r="BN1344" s="113"/>
      <c r="BO1344" s="113"/>
      <c r="BP1344" s="121"/>
      <c r="BQ1344" s="121"/>
      <c r="GA1344" t="s">
        <v>18300</v>
      </c>
      <c r="GB1344" t="s">
        <v>23115</v>
      </c>
      <c r="GC1344" s="46">
        <v>0</v>
      </c>
      <c r="GD1344" s="113"/>
      <c r="GE1344" s="113"/>
      <c r="GF1344" s="113"/>
      <c r="GG1344" s="113"/>
      <c r="GH1344" s="113"/>
      <c r="GI1344" s="46">
        <v>0</v>
      </c>
      <c r="GJ1344" s="113"/>
      <c r="GK1344" s="113"/>
      <c r="GL1344" s="113"/>
      <c r="GM1344" s="113"/>
      <c r="GN1344" s="113"/>
      <c r="GO1344" s="46">
        <v>0</v>
      </c>
      <c r="GP1344" s="113"/>
      <c r="GQ1344" s="113"/>
      <c r="GR1344" s="113"/>
      <c r="GS1344" s="113"/>
      <c r="GT1344" s="113"/>
      <c r="GU1344" s="46">
        <v>0</v>
      </c>
      <c r="GV1344" s="113"/>
      <c r="GW1344" s="113"/>
      <c r="GX1344" s="113"/>
      <c r="GY1344" s="113"/>
      <c r="GZ1344" s="113"/>
      <c r="HA1344" s="46">
        <v>0</v>
      </c>
      <c r="HB1344" s="113"/>
      <c r="HC1344" s="113"/>
      <c r="HD1344" s="113"/>
      <c r="HE1344" s="113"/>
      <c r="HF1344" s="113"/>
      <c r="HG1344" s="46">
        <v>0</v>
      </c>
      <c r="HH1344" s="113"/>
      <c r="HI1344" s="113"/>
      <c r="HJ1344" s="113"/>
      <c r="HK1344" s="113"/>
      <c r="HL1344" s="113"/>
      <c r="HM1344" s="121"/>
      <c r="HN1344" s="121"/>
      <c r="LM1344" t="str">
        <v/>
      </c>
      <c r="LN1344" t="str">
        <v/>
      </c>
      <c r="LO1344" t="str">
        <v/>
      </c>
    </row>
    <row r="1345" spans="30:327">
      <c r="AD1345" t="s">
        <v>18300</v>
      </c>
      <c r="AE1345" t="s">
        <v>23116</v>
      </c>
      <c r="AF1345" s="46">
        <v>0</v>
      </c>
      <c r="AG1345" s="113"/>
      <c r="AH1345" s="113"/>
      <c r="AI1345" s="113"/>
      <c r="AJ1345" s="113"/>
      <c r="AK1345" s="113"/>
      <c r="AL1345" s="46">
        <v>0</v>
      </c>
      <c r="AM1345" s="113"/>
      <c r="AN1345" s="113"/>
      <c r="AO1345" s="113"/>
      <c r="AP1345" s="113"/>
      <c r="AQ1345" s="113"/>
      <c r="AR1345" s="46">
        <v>0</v>
      </c>
      <c r="AS1345" s="113"/>
      <c r="AT1345" s="113"/>
      <c r="AU1345" s="113"/>
      <c r="AV1345" s="113"/>
      <c r="AW1345" s="113"/>
      <c r="AX1345" s="46">
        <v>0</v>
      </c>
      <c r="AY1345" s="113"/>
      <c r="AZ1345" s="113"/>
      <c r="BA1345" s="113"/>
      <c r="BB1345" s="113"/>
      <c r="BC1345" s="113"/>
      <c r="BD1345" s="46">
        <v>0</v>
      </c>
      <c r="BE1345" s="113"/>
      <c r="BF1345" s="113"/>
      <c r="BG1345" s="113"/>
      <c r="BH1345" s="113"/>
      <c r="BI1345" s="113"/>
      <c r="BJ1345" s="46">
        <v>0</v>
      </c>
      <c r="BK1345" s="113"/>
      <c r="BL1345" s="113"/>
      <c r="BM1345" s="113"/>
      <c r="BN1345" s="113"/>
      <c r="BO1345" s="113"/>
      <c r="BP1345" s="121"/>
      <c r="BQ1345" s="121"/>
      <c r="GA1345" t="s">
        <v>18300</v>
      </c>
      <c r="GB1345" t="s">
        <v>23116</v>
      </c>
      <c r="GC1345" s="46">
        <v>0</v>
      </c>
      <c r="GD1345" s="113"/>
      <c r="GE1345" s="113"/>
      <c r="GF1345" s="113"/>
      <c r="GG1345" s="113"/>
      <c r="GH1345" s="113"/>
      <c r="GI1345" s="46">
        <v>0</v>
      </c>
      <c r="GJ1345" s="113"/>
      <c r="GK1345" s="113"/>
      <c r="GL1345" s="113"/>
      <c r="GM1345" s="113"/>
      <c r="GN1345" s="113"/>
      <c r="GO1345" s="46">
        <v>0</v>
      </c>
      <c r="GP1345" s="113"/>
      <c r="GQ1345" s="113"/>
      <c r="GR1345" s="113"/>
      <c r="GS1345" s="113"/>
      <c r="GT1345" s="113"/>
      <c r="GU1345" s="46">
        <v>0</v>
      </c>
      <c r="GV1345" s="113"/>
      <c r="GW1345" s="113"/>
      <c r="GX1345" s="113"/>
      <c r="GY1345" s="113"/>
      <c r="GZ1345" s="113"/>
      <c r="HA1345" s="46">
        <v>0</v>
      </c>
      <c r="HB1345" s="113"/>
      <c r="HC1345" s="113"/>
      <c r="HD1345" s="113"/>
      <c r="HE1345" s="113"/>
      <c r="HF1345" s="113"/>
      <c r="HG1345" s="46">
        <v>0</v>
      </c>
      <c r="HH1345" s="113"/>
      <c r="HI1345" s="113"/>
      <c r="HJ1345" s="113"/>
      <c r="HK1345" s="113"/>
      <c r="HL1345" s="113"/>
      <c r="HM1345" s="121"/>
      <c r="HN1345" s="121"/>
      <c r="LM1345" t="str">
        <v/>
      </c>
      <c r="LN1345" t="str">
        <v/>
      </c>
      <c r="LO1345" t="str">
        <v/>
      </c>
    </row>
    <row r="1346" spans="30:327">
      <c r="AD1346" t="s">
        <v>18300</v>
      </c>
      <c r="AE1346" t="s">
        <v>23117</v>
      </c>
      <c r="AF1346" s="46">
        <v>0</v>
      </c>
      <c r="AG1346" s="113"/>
      <c r="AH1346" s="113"/>
      <c r="AI1346" s="113"/>
      <c r="AJ1346" s="113"/>
      <c r="AK1346" s="113"/>
      <c r="AL1346" s="46">
        <v>0</v>
      </c>
      <c r="AM1346" s="113"/>
      <c r="AN1346" s="113"/>
      <c r="AO1346" s="113"/>
      <c r="AP1346" s="113"/>
      <c r="AQ1346" s="113"/>
      <c r="AR1346" s="46">
        <v>0</v>
      </c>
      <c r="AS1346" s="113"/>
      <c r="AT1346" s="113"/>
      <c r="AU1346" s="113"/>
      <c r="AV1346" s="113"/>
      <c r="AW1346" s="113"/>
      <c r="AX1346" s="46">
        <v>0</v>
      </c>
      <c r="AY1346" s="113"/>
      <c r="AZ1346" s="113"/>
      <c r="BA1346" s="113"/>
      <c r="BB1346" s="113"/>
      <c r="BC1346" s="113"/>
      <c r="BD1346" s="46">
        <v>0</v>
      </c>
      <c r="BE1346" s="113"/>
      <c r="BF1346" s="113"/>
      <c r="BG1346" s="113"/>
      <c r="BH1346" s="113"/>
      <c r="BI1346" s="113"/>
      <c r="BJ1346" s="46">
        <v>0</v>
      </c>
      <c r="BK1346" s="113"/>
      <c r="BL1346" s="113"/>
      <c r="BM1346" s="113"/>
      <c r="BN1346" s="113"/>
      <c r="BO1346" s="113"/>
      <c r="BP1346" s="121"/>
      <c r="BQ1346" s="121"/>
      <c r="GA1346" t="s">
        <v>18300</v>
      </c>
      <c r="GB1346" t="s">
        <v>23117</v>
      </c>
      <c r="GC1346" s="46">
        <v>0</v>
      </c>
      <c r="GD1346" s="113"/>
      <c r="GE1346" s="113"/>
      <c r="GF1346" s="113"/>
      <c r="GG1346" s="113"/>
      <c r="GH1346" s="113"/>
      <c r="GI1346" s="46">
        <v>0</v>
      </c>
      <c r="GJ1346" s="113"/>
      <c r="GK1346" s="113"/>
      <c r="GL1346" s="113"/>
      <c r="GM1346" s="113"/>
      <c r="GN1346" s="113"/>
      <c r="GO1346" s="46">
        <v>0</v>
      </c>
      <c r="GP1346" s="113"/>
      <c r="GQ1346" s="113"/>
      <c r="GR1346" s="113"/>
      <c r="GS1346" s="113"/>
      <c r="GT1346" s="113"/>
      <c r="GU1346" s="46">
        <v>0</v>
      </c>
      <c r="GV1346" s="113"/>
      <c r="GW1346" s="113"/>
      <c r="GX1346" s="113"/>
      <c r="GY1346" s="113"/>
      <c r="GZ1346" s="113"/>
      <c r="HA1346" s="46">
        <v>0</v>
      </c>
      <c r="HB1346" s="113"/>
      <c r="HC1346" s="113"/>
      <c r="HD1346" s="113"/>
      <c r="HE1346" s="113"/>
      <c r="HF1346" s="113"/>
      <c r="HG1346" s="46">
        <v>0</v>
      </c>
      <c r="HH1346" s="113"/>
      <c r="HI1346" s="113"/>
      <c r="HJ1346" s="113"/>
      <c r="HK1346" s="113"/>
      <c r="HL1346" s="113"/>
      <c r="HM1346" s="121"/>
      <c r="HN1346" s="121"/>
      <c r="LM1346" t="str">
        <v/>
      </c>
      <c r="LN1346" t="str">
        <v/>
      </c>
      <c r="LO1346" t="str">
        <v/>
      </c>
    </row>
    <row r="1347" spans="30:327">
      <c r="AD1347" t="s">
        <v>18300</v>
      </c>
      <c r="AE1347" t="s">
        <v>23118</v>
      </c>
      <c r="AF1347" s="46">
        <v>0</v>
      </c>
      <c r="AG1347" s="113"/>
      <c r="AH1347" s="113"/>
      <c r="AI1347" s="113"/>
      <c r="AJ1347" s="113"/>
      <c r="AK1347" s="113"/>
      <c r="AL1347" s="46">
        <v>0</v>
      </c>
      <c r="AM1347" s="113"/>
      <c r="AN1347" s="113"/>
      <c r="AO1347" s="113"/>
      <c r="AP1347" s="113"/>
      <c r="AQ1347" s="113"/>
      <c r="AR1347" s="46">
        <v>0</v>
      </c>
      <c r="AS1347" s="113"/>
      <c r="AT1347" s="113"/>
      <c r="AU1347" s="113"/>
      <c r="AV1347" s="113"/>
      <c r="AW1347" s="113"/>
      <c r="AX1347" s="46">
        <v>0</v>
      </c>
      <c r="AY1347" s="113"/>
      <c r="AZ1347" s="113"/>
      <c r="BA1347" s="113"/>
      <c r="BB1347" s="113"/>
      <c r="BC1347" s="113"/>
      <c r="BD1347" s="46">
        <v>0</v>
      </c>
      <c r="BE1347" s="113"/>
      <c r="BF1347" s="113"/>
      <c r="BG1347" s="113"/>
      <c r="BH1347" s="113"/>
      <c r="BI1347" s="113"/>
      <c r="BJ1347" s="46">
        <v>0</v>
      </c>
      <c r="BK1347" s="113"/>
      <c r="BL1347" s="113"/>
      <c r="BM1347" s="113"/>
      <c r="BN1347" s="113"/>
      <c r="BO1347" s="113"/>
      <c r="BP1347" s="121"/>
      <c r="BQ1347" s="121"/>
      <c r="GA1347" t="s">
        <v>18300</v>
      </c>
      <c r="GB1347" t="s">
        <v>23118</v>
      </c>
      <c r="GC1347" s="46">
        <v>0</v>
      </c>
      <c r="GD1347" s="113"/>
      <c r="GE1347" s="113"/>
      <c r="GF1347" s="113"/>
      <c r="GG1347" s="113"/>
      <c r="GH1347" s="113"/>
      <c r="GI1347" s="46">
        <v>0</v>
      </c>
      <c r="GJ1347" s="113"/>
      <c r="GK1347" s="113"/>
      <c r="GL1347" s="113"/>
      <c r="GM1347" s="113"/>
      <c r="GN1347" s="113"/>
      <c r="GO1347" s="46">
        <v>0</v>
      </c>
      <c r="GP1347" s="113"/>
      <c r="GQ1347" s="113"/>
      <c r="GR1347" s="113"/>
      <c r="GS1347" s="113"/>
      <c r="GT1347" s="113"/>
      <c r="GU1347" s="46">
        <v>0</v>
      </c>
      <c r="GV1347" s="113"/>
      <c r="GW1347" s="113"/>
      <c r="GX1347" s="113"/>
      <c r="GY1347" s="113"/>
      <c r="GZ1347" s="113"/>
      <c r="HA1347" s="46">
        <v>0</v>
      </c>
      <c r="HB1347" s="113"/>
      <c r="HC1347" s="113"/>
      <c r="HD1347" s="113"/>
      <c r="HE1347" s="113"/>
      <c r="HF1347" s="113"/>
      <c r="HG1347" s="46">
        <v>0</v>
      </c>
      <c r="HH1347" s="113"/>
      <c r="HI1347" s="113"/>
      <c r="HJ1347" s="113"/>
      <c r="HK1347" s="113"/>
      <c r="HL1347" s="113"/>
      <c r="HM1347" s="121"/>
      <c r="HN1347" s="121"/>
      <c r="LM1347" t="str">
        <v/>
      </c>
      <c r="LN1347" t="str">
        <v/>
      </c>
      <c r="LO1347" t="str">
        <v/>
      </c>
    </row>
    <row r="1348" spans="30:327">
      <c r="AD1348" t="s">
        <v>18300</v>
      </c>
      <c r="AE1348" t="s">
        <v>23119</v>
      </c>
      <c r="AF1348" s="46">
        <v>0</v>
      </c>
      <c r="AG1348" s="113"/>
      <c r="AH1348" s="113"/>
      <c r="AI1348" s="113"/>
      <c r="AJ1348" s="113"/>
      <c r="AK1348" s="113"/>
      <c r="AL1348" s="46">
        <v>0</v>
      </c>
      <c r="AM1348" s="113"/>
      <c r="AN1348" s="113"/>
      <c r="AO1348" s="113"/>
      <c r="AP1348" s="113"/>
      <c r="AQ1348" s="113"/>
      <c r="AR1348" s="46">
        <v>0</v>
      </c>
      <c r="AS1348" s="113"/>
      <c r="AT1348" s="113"/>
      <c r="AU1348" s="113"/>
      <c r="AV1348" s="113"/>
      <c r="AW1348" s="113"/>
      <c r="AX1348" s="46">
        <v>0</v>
      </c>
      <c r="AY1348" s="113"/>
      <c r="AZ1348" s="113"/>
      <c r="BA1348" s="113"/>
      <c r="BB1348" s="113"/>
      <c r="BC1348" s="113"/>
      <c r="BD1348" s="46">
        <v>0</v>
      </c>
      <c r="BE1348" s="113"/>
      <c r="BF1348" s="113"/>
      <c r="BG1348" s="113"/>
      <c r="BH1348" s="113"/>
      <c r="BI1348" s="113"/>
      <c r="BJ1348" s="46">
        <v>0</v>
      </c>
      <c r="BK1348" s="113"/>
      <c r="BL1348" s="113"/>
      <c r="BM1348" s="113"/>
      <c r="BN1348" s="113"/>
      <c r="BO1348" s="113"/>
      <c r="BP1348" s="121"/>
      <c r="BQ1348" s="121"/>
      <c r="GA1348" t="s">
        <v>18300</v>
      </c>
      <c r="GB1348" t="s">
        <v>23119</v>
      </c>
      <c r="GC1348" s="46">
        <v>0</v>
      </c>
      <c r="GD1348" s="113"/>
      <c r="GE1348" s="113"/>
      <c r="GF1348" s="113"/>
      <c r="GG1348" s="113"/>
      <c r="GH1348" s="113"/>
      <c r="GI1348" s="46">
        <v>0</v>
      </c>
      <c r="GJ1348" s="113"/>
      <c r="GK1348" s="113"/>
      <c r="GL1348" s="113"/>
      <c r="GM1348" s="113"/>
      <c r="GN1348" s="113"/>
      <c r="GO1348" s="46">
        <v>0</v>
      </c>
      <c r="GP1348" s="113"/>
      <c r="GQ1348" s="113"/>
      <c r="GR1348" s="113"/>
      <c r="GS1348" s="113"/>
      <c r="GT1348" s="113"/>
      <c r="GU1348" s="46">
        <v>0</v>
      </c>
      <c r="GV1348" s="113"/>
      <c r="GW1348" s="113"/>
      <c r="GX1348" s="113"/>
      <c r="GY1348" s="113"/>
      <c r="GZ1348" s="113"/>
      <c r="HA1348" s="46">
        <v>0</v>
      </c>
      <c r="HB1348" s="113"/>
      <c r="HC1348" s="113"/>
      <c r="HD1348" s="113"/>
      <c r="HE1348" s="113"/>
      <c r="HF1348" s="113"/>
      <c r="HG1348" s="46">
        <v>0</v>
      </c>
      <c r="HH1348" s="113"/>
      <c r="HI1348" s="113"/>
      <c r="HJ1348" s="113"/>
      <c r="HK1348" s="113"/>
      <c r="HL1348" s="113"/>
      <c r="HM1348" s="121"/>
      <c r="HN1348" s="121"/>
      <c r="LM1348" t="str">
        <v/>
      </c>
      <c r="LN1348" t="str">
        <v/>
      </c>
      <c r="LO1348" t="str">
        <v/>
      </c>
    </row>
    <row r="1349" spans="30:327">
      <c r="AD1349" t="s">
        <v>18300</v>
      </c>
      <c r="AE1349" t="s">
        <v>23120</v>
      </c>
      <c r="AF1349" s="46">
        <v>0</v>
      </c>
      <c r="AG1349" s="113"/>
      <c r="AH1349" s="113"/>
      <c r="AI1349" s="113"/>
      <c r="AJ1349" s="113"/>
      <c r="AK1349" s="113"/>
      <c r="AL1349" s="46">
        <v>0</v>
      </c>
      <c r="AM1349" s="113"/>
      <c r="AN1349" s="113"/>
      <c r="AO1349" s="113"/>
      <c r="AP1349" s="113"/>
      <c r="AQ1349" s="113"/>
      <c r="AR1349" s="46">
        <v>0</v>
      </c>
      <c r="AS1349" s="113"/>
      <c r="AT1349" s="113"/>
      <c r="AU1349" s="113"/>
      <c r="AV1349" s="113"/>
      <c r="AW1349" s="113"/>
      <c r="AX1349" s="46">
        <v>0</v>
      </c>
      <c r="AY1349" s="113"/>
      <c r="AZ1349" s="113"/>
      <c r="BA1349" s="113"/>
      <c r="BB1349" s="113"/>
      <c r="BC1349" s="113"/>
      <c r="BD1349" s="46">
        <v>0</v>
      </c>
      <c r="BE1349" s="113"/>
      <c r="BF1349" s="113"/>
      <c r="BG1349" s="113"/>
      <c r="BH1349" s="113"/>
      <c r="BI1349" s="113"/>
      <c r="BJ1349" s="46">
        <v>0</v>
      </c>
      <c r="BK1349" s="113"/>
      <c r="BL1349" s="113"/>
      <c r="BM1349" s="113"/>
      <c r="BN1349" s="113"/>
      <c r="BO1349" s="113"/>
      <c r="BP1349" s="121"/>
      <c r="BQ1349" s="121"/>
      <c r="GA1349" t="s">
        <v>18300</v>
      </c>
      <c r="GB1349" t="s">
        <v>23120</v>
      </c>
      <c r="GC1349" s="46">
        <v>0</v>
      </c>
      <c r="GD1349" s="113"/>
      <c r="GE1349" s="113"/>
      <c r="GF1349" s="113"/>
      <c r="GG1349" s="113"/>
      <c r="GH1349" s="113"/>
      <c r="GI1349" s="46">
        <v>0</v>
      </c>
      <c r="GJ1349" s="113"/>
      <c r="GK1349" s="113"/>
      <c r="GL1349" s="113"/>
      <c r="GM1349" s="113"/>
      <c r="GN1349" s="113"/>
      <c r="GO1349" s="46">
        <v>0</v>
      </c>
      <c r="GP1349" s="113"/>
      <c r="GQ1349" s="113"/>
      <c r="GR1349" s="113"/>
      <c r="GS1349" s="113"/>
      <c r="GT1349" s="113"/>
      <c r="GU1349" s="46">
        <v>0</v>
      </c>
      <c r="GV1349" s="113"/>
      <c r="GW1349" s="113"/>
      <c r="GX1349" s="113"/>
      <c r="GY1349" s="113"/>
      <c r="GZ1349" s="113"/>
      <c r="HA1349" s="46">
        <v>0</v>
      </c>
      <c r="HB1349" s="113"/>
      <c r="HC1349" s="113"/>
      <c r="HD1349" s="113"/>
      <c r="HE1349" s="113"/>
      <c r="HF1349" s="113"/>
      <c r="HG1349" s="46">
        <v>0</v>
      </c>
      <c r="HH1349" s="113"/>
      <c r="HI1349" s="113"/>
      <c r="HJ1349" s="113"/>
      <c r="HK1349" s="113"/>
      <c r="HL1349" s="113"/>
      <c r="HM1349" s="121"/>
      <c r="HN1349" s="121"/>
      <c r="LM1349" t="str">
        <v/>
      </c>
      <c r="LN1349" t="str">
        <v/>
      </c>
      <c r="LO1349" t="str">
        <v/>
      </c>
    </row>
    <row r="1350" spans="30:327">
      <c r="AD1350" t="s">
        <v>18300</v>
      </c>
      <c r="AE1350" t="s">
        <v>23121</v>
      </c>
      <c r="AF1350" s="46">
        <v>0</v>
      </c>
      <c r="AG1350" s="113"/>
      <c r="AH1350" s="113"/>
      <c r="AI1350" s="113"/>
      <c r="AJ1350" s="113"/>
      <c r="AK1350" s="113"/>
      <c r="AL1350" s="46">
        <v>0</v>
      </c>
      <c r="AM1350" s="113"/>
      <c r="AN1350" s="113"/>
      <c r="AO1350" s="113"/>
      <c r="AP1350" s="113"/>
      <c r="AQ1350" s="113"/>
      <c r="AR1350" s="46">
        <v>0</v>
      </c>
      <c r="AS1350" s="113"/>
      <c r="AT1350" s="113"/>
      <c r="AU1350" s="113"/>
      <c r="AV1350" s="113"/>
      <c r="AW1350" s="113"/>
      <c r="AX1350" s="46">
        <v>0</v>
      </c>
      <c r="AY1350" s="113"/>
      <c r="AZ1350" s="113"/>
      <c r="BA1350" s="113"/>
      <c r="BB1350" s="113"/>
      <c r="BC1350" s="113"/>
      <c r="BD1350" s="46">
        <v>0</v>
      </c>
      <c r="BE1350" s="113"/>
      <c r="BF1350" s="113"/>
      <c r="BG1350" s="113"/>
      <c r="BH1350" s="113"/>
      <c r="BI1350" s="113"/>
      <c r="BJ1350" s="46">
        <v>0</v>
      </c>
      <c r="BK1350" s="113"/>
      <c r="BL1350" s="113"/>
      <c r="BM1350" s="113"/>
      <c r="BN1350" s="113"/>
      <c r="BO1350" s="113"/>
      <c r="BP1350" s="121"/>
      <c r="BQ1350" s="121"/>
      <c r="GA1350" t="s">
        <v>18300</v>
      </c>
      <c r="GB1350" t="s">
        <v>23121</v>
      </c>
      <c r="GC1350" s="46">
        <v>0</v>
      </c>
      <c r="GD1350" s="113"/>
      <c r="GE1350" s="113"/>
      <c r="GF1350" s="113"/>
      <c r="GG1350" s="113"/>
      <c r="GH1350" s="113"/>
      <c r="GI1350" s="46">
        <v>0</v>
      </c>
      <c r="GJ1350" s="113"/>
      <c r="GK1350" s="113"/>
      <c r="GL1350" s="113"/>
      <c r="GM1350" s="113"/>
      <c r="GN1350" s="113"/>
      <c r="GO1350" s="46">
        <v>0</v>
      </c>
      <c r="GP1350" s="113"/>
      <c r="GQ1350" s="113"/>
      <c r="GR1350" s="113"/>
      <c r="GS1350" s="113"/>
      <c r="GT1350" s="113"/>
      <c r="GU1350" s="46">
        <v>0</v>
      </c>
      <c r="GV1350" s="113"/>
      <c r="GW1350" s="113"/>
      <c r="GX1350" s="113"/>
      <c r="GY1350" s="113"/>
      <c r="GZ1350" s="113"/>
      <c r="HA1350" s="46">
        <v>0</v>
      </c>
      <c r="HB1350" s="113"/>
      <c r="HC1350" s="113"/>
      <c r="HD1350" s="113"/>
      <c r="HE1350" s="113"/>
      <c r="HF1350" s="113"/>
      <c r="HG1350" s="46">
        <v>0</v>
      </c>
      <c r="HH1350" s="113"/>
      <c r="HI1350" s="113"/>
      <c r="HJ1350" s="113"/>
      <c r="HK1350" s="113"/>
      <c r="HL1350" s="113"/>
      <c r="HM1350" s="121"/>
      <c r="HN1350" s="121"/>
      <c r="LM1350" t="str">
        <v/>
      </c>
      <c r="LN1350" t="str">
        <v/>
      </c>
      <c r="LO1350" t="str">
        <v/>
      </c>
    </row>
    <row r="1351" spans="30:327">
      <c r="AD1351" t="s">
        <v>18300</v>
      </c>
      <c r="AE1351" t="s">
        <v>23122</v>
      </c>
      <c r="AF1351" s="46">
        <v>0</v>
      </c>
      <c r="AG1351" s="113"/>
      <c r="AH1351" s="113"/>
      <c r="AI1351" s="113"/>
      <c r="AJ1351" s="113"/>
      <c r="AK1351" s="113"/>
      <c r="AL1351" s="46">
        <v>0</v>
      </c>
      <c r="AM1351" s="113"/>
      <c r="AN1351" s="113"/>
      <c r="AO1351" s="113"/>
      <c r="AP1351" s="113"/>
      <c r="AQ1351" s="113"/>
      <c r="AR1351" s="46">
        <v>0</v>
      </c>
      <c r="AS1351" s="113"/>
      <c r="AT1351" s="113"/>
      <c r="AU1351" s="113"/>
      <c r="AV1351" s="113"/>
      <c r="AW1351" s="113"/>
      <c r="AX1351" s="46">
        <v>0</v>
      </c>
      <c r="AY1351" s="113"/>
      <c r="AZ1351" s="113"/>
      <c r="BA1351" s="113"/>
      <c r="BB1351" s="113"/>
      <c r="BC1351" s="113"/>
      <c r="BD1351" s="46">
        <v>0</v>
      </c>
      <c r="BE1351" s="113"/>
      <c r="BF1351" s="113"/>
      <c r="BG1351" s="113"/>
      <c r="BH1351" s="113"/>
      <c r="BI1351" s="113"/>
      <c r="BJ1351" s="46">
        <v>0</v>
      </c>
      <c r="BK1351" s="113"/>
      <c r="BL1351" s="113"/>
      <c r="BM1351" s="113"/>
      <c r="BN1351" s="113"/>
      <c r="BO1351" s="113"/>
      <c r="BP1351" s="121"/>
      <c r="BQ1351" s="121"/>
      <c r="GA1351" t="s">
        <v>18300</v>
      </c>
      <c r="GB1351" t="s">
        <v>23122</v>
      </c>
      <c r="GC1351" s="46">
        <v>0</v>
      </c>
      <c r="GD1351" s="113"/>
      <c r="GE1351" s="113"/>
      <c r="GF1351" s="113"/>
      <c r="GG1351" s="113"/>
      <c r="GH1351" s="113"/>
      <c r="GI1351" s="46">
        <v>0</v>
      </c>
      <c r="GJ1351" s="113"/>
      <c r="GK1351" s="113"/>
      <c r="GL1351" s="113"/>
      <c r="GM1351" s="113"/>
      <c r="GN1351" s="113"/>
      <c r="GO1351" s="46">
        <v>0</v>
      </c>
      <c r="GP1351" s="113"/>
      <c r="GQ1351" s="113"/>
      <c r="GR1351" s="113"/>
      <c r="GS1351" s="113"/>
      <c r="GT1351" s="113"/>
      <c r="GU1351" s="46">
        <v>0</v>
      </c>
      <c r="GV1351" s="113"/>
      <c r="GW1351" s="113"/>
      <c r="GX1351" s="113"/>
      <c r="GY1351" s="113"/>
      <c r="GZ1351" s="113"/>
      <c r="HA1351" s="46">
        <v>0</v>
      </c>
      <c r="HB1351" s="113"/>
      <c r="HC1351" s="113"/>
      <c r="HD1351" s="113"/>
      <c r="HE1351" s="113"/>
      <c r="HF1351" s="113"/>
      <c r="HG1351" s="46">
        <v>0</v>
      </c>
      <c r="HH1351" s="113"/>
      <c r="HI1351" s="113"/>
      <c r="HJ1351" s="113"/>
      <c r="HK1351" s="113"/>
      <c r="HL1351" s="113"/>
      <c r="HM1351" s="121"/>
      <c r="HN1351" s="121"/>
      <c r="LM1351" t="str">
        <v/>
      </c>
      <c r="LN1351" t="str">
        <v/>
      </c>
      <c r="LO1351" t="str">
        <v/>
      </c>
    </row>
    <row r="1352" spans="30:327">
      <c r="AD1352" t="s">
        <v>18300</v>
      </c>
      <c r="AE1352" t="s">
        <v>23123</v>
      </c>
      <c r="AF1352" s="46">
        <v>0</v>
      </c>
      <c r="AG1352" s="113"/>
      <c r="AH1352" s="113"/>
      <c r="AI1352" s="113"/>
      <c r="AJ1352" s="113"/>
      <c r="AK1352" s="113"/>
      <c r="AL1352" s="46">
        <v>0</v>
      </c>
      <c r="AM1352" s="113"/>
      <c r="AN1352" s="113"/>
      <c r="AO1352" s="113"/>
      <c r="AP1352" s="113"/>
      <c r="AQ1352" s="113"/>
      <c r="AR1352" s="46">
        <v>0</v>
      </c>
      <c r="AS1352" s="113"/>
      <c r="AT1352" s="113"/>
      <c r="AU1352" s="113"/>
      <c r="AV1352" s="113"/>
      <c r="AW1352" s="113"/>
      <c r="AX1352" s="46">
        <v>0</v>
      </c>
      <c r="AY1352" s="113"/>
      <c r="AZ1352" s="113"/>
      <c r="BA1352" s="113"/>
      <c r="BB1352" s="113"/>
      <c r="BC1352" s="113"/>
      <c r="BD1352" s="46">
        <v>0</v>
      </c>
      <c r="BE1352" s="113"/>
      <c r="BF1352" s="113"/>
      <c r="BG1352" s="113"/>
      <c r="BH1352" s="113"/>
      <c r="BI1352" s="113"/>
      <c r="BJ1352" s="46">
        <v>0</v>
      </c>
      <c r="BK1352" s="113"/>
      <c r="BL1352" s="113"/>
      <c r="BM1352" s="113"/>
      <c r="BN1352" s="113"/>
      <c r="BO1352" s="113"/>
      <c r="BP1352" s="121"/>
      <c r="BQ1352" s="121"/>
      <c r="GA1352" t="s">
        <v>18300</v>
      </c>
      <c r="GB1352" t="s">
        <v>23123</v>
      </c>
      <c r="GC1352" s="46">
        <v>0</v>
      </c>
      <c r="GD1352" s="113"/>
      <c r="GE1352" s="113"/>
      <c r="GF1352" s="113"/>
      <c r="GG1352" s="113"/>
      <c r="GH1352" s="113"/>
      <c r="GI1352" s="46">
        <v>0</v>
      </c>
      <c r="GJ1352" s="113"/>
      <c r="GK1352" s="113"/>
      <c r="GL1352" s="113"/>
      <c r="GM1352" s="113"/>
      <c r="GN1352" s="113"/>
      <c r="GO1352" s="46">
        <v>0</v>
      </c>
      <c r="GP1352" s="113"/>
      <c r="GQ1352" s="113"/>
      <c r="GR1352" s="113"/>
      <c r="GS1352" s="113"/>
      <c r="GT1352" s="113"/>
      <c r="GU1352" s="46">
        <v>0</v>
      </c>
      <c r="GV1352" s="113"/>
      <c r="GW1352" s="113"/>
      <c r="GX1352" s="113"/>
      <c r="GY1352" s="113"/>
      <c r="GZ1352" s="113"/>
      <c r="HA1352" s="46">
        <v>0</v>
      </c>
      <c r="HB1352" s="113"/>
      <c r="HC1352" s="113"/>
      <c r="HD1352" s="113"/>
      <c r="HE1352" s="113"/>
      <c r="HF1352" s="113"/>
      <c r="HG1352" s="46">
        <v>0</v>
      </c>
      <c r="HH1352" s="113"/>
      <c r="HI1352" s="113"/>
      <c r="HJ1352" s="113"/>
      <c r="HK1352" s="113"/>
      <c r="HL1352" s="113"/>
      <c r="HM1352" s="121"/>
      <c r="HN1352" s="121"/>
      <c r="LM1352" t="str">
        <v/>
      </c>
      <c r="LN1352" t="str">
        <v/>
      </c>
      <c r="LO1352" t="str">
        <v/>
      </c>
    </row>
    <row r="1353" spans="30:327">
      <c r="AD1353" t="s">
        <v>18300</v>
      </c>
      <c r="AE1353" t="s">
        <v>23124</v>
      </c>
      <c r="AF1353" s="46">
        <v>0</v>
      </c>
      <c r="AG1353" s="113"/>
      <c r="AH1353" s="113"/>
      <c r="AI1353" s="113"/>
      <c r="AJ1353" s="113"/>
      <c r="AK1353" s="113"/>
      <c r="AL1353" s="46">
        <v>0</v>
      </c>
      <c r="AM1353" s="113"/>
      <c r="AN1353" s="113"/>
      <c r="AO1353" s="113"/>
      <c r="AP1353" s="113"/>
      <c r="AQ1353" s="113"/>
      <c r="AR1353" s="46">
        <v>0</v>
      </c>
      <c r="AS1353" s="113"/>
      <c r="AT1353" s="113"/>
      <c r="AU1353" s="113"/>
      <c r="AV1353" s="113"/>
      <c r="AW1353" s="113"/>
      <c r="AX1353" s="46">
        <v>0</v>
      </c>
      <c r="AY1353" s="113"/>
      <c r="AZ1353" s="113"/>
      <c r="BA1353" s="113"/>
      <c r="BB1353" s="113"/>
      <c r="BC1353" s="113"/>
      <c r="BD1353" s="46">
        <v>0</v>
      </c>
      <c r="BE1353" s="113"/>
      <c r="BF1353" s="113"/>
      <c r="BG1353" s="113"/>
      <c r="BH1353" s="113"/>
      <c r="BI1353" s="113"/>
      <c r="BJ1353" s="46">
        <v>0</v>
      </c>
      <c r="BK1353" s="113"/>
      <c r="BL1353" s="113"/>
      <c r="BM1353" s="113"/>
      <c r="BN1353" s="113"/>
      <c r="BO1353" s="113"/>
      <c r="BP1353" s="121"/>
      <c r="BQ1353" s="121"/>
      <c r="GA1353" t="s">
        <v>18300</v>
      </c>
      <c r="GB1353" t="s">
        <v>23124</v>
      </c>
      <c r="GC1353" s="46">
        <v>0</v>
      </c>
      <c r="GD1353" s="113"/>
      <c r="GE1353" s="113"/>
      <c r="GF1353" s="113"/>
      <c r="GG1353" s="113"/>
      <c r="GH1353" s="113"/>
      <c r="GI1353" s="46">
        <v>0</v>
      </c>
      <c r="GJ1353" s="113"/>
      <c r="GK1353" s="113"/>
      <c r="GL1353" s="113"/>
      <c r="GM1353" s="113"/>
      <c r="GN1353" s="113"/>
      <c r="GO1353" s="46">
        <v>0</v>
      </c>
      <c r="GP1353" s="113"/>
      <c r="GQ1353" s="113"/>
      <c r="GR1353" s="113"/>
      <c r="GS1353" s="113"/>
      <c r="GT1353" s="113"/>
      <c r="GU1353" s="46">
        <v>0</v>
      </c>
      <c r="GV1353" s="113"/>
      <c r="GW1353" s="113"/>
      <c r="GX1353" s="113"/>
      <c r="GY1353" s="113"/>
      <c r="GZ1353" s="113"/>
      <c r="HA1353" s="46">
        <v>0</v>
      </c>
      <c r="HB1353" s="113"/>
      <c r="HC1353" s="113"/>
      <c r="HD1353" s="113"/>
      <c r="HE1353" s="113"/>
      <c r="HF1353" s="113"/>
      <c r="HG1353" s="46">
        <v>0</v>
      </c>
      <c r="HH1353" s="113"/>
      <c r="HI1353" s="113"/>
      <c r="HJ1353" s="113"/>
      <c r="HK1353" s="113"/>
      <c r="HL1353" s="113"/>
      <c r="HM1353" s="121"/>
      <c r="HN1353" s="121"/>
      <c r="LM1353" t="str">
        <v/>
      </c>
      <c r="LN1353" t="str">
        <v/>
      </c>
      <c r="LO1353" t="str">
        <v/>
      </c>
    </row>
    <row r="1354" spans="30:327">
      <c r="AD1354" t="s">
        <v>18300</v>
      </c>
      <c r="AE1354" t="s">
        <v>23125</v>
      </c>
      <c r="AF1354" s="46">
        <v>0</v>
      </c>
      <c r="AG1354" s="113"/>
      <c r="AH1354" s="113"/>
      <c r="AI1354" s="113"/>
      <c r="AJ1354" s="113"/>
      <c r="AK1354" s="113"/>
      <c r="AL1354" s="46">
        <v>0</v>
      </c>
      <c r="AM1354" s="113"/>
      <c r="AN1354" s="113"/>
      <c r="AO1354" s="113"/>
      <c r="AP1354" s="113"/>
      <c r="AQ1354" s="113"/>
      <c r="AR1354" s="46">
        <v>0</v>
      </c>
      <c r="AS1354" s="113"/>
      <c r="AT1354" s="113"/>
      <c r="AU1354" s="113"/>
      <c r="AV1354" s="113"/>
      <c r="AW1354" s="113"/>
      <c r="AX1354" s="46">
        <v>0</v>
      </c>
      <c r="AY1354" s="113"/>
      <c r="AZ1354" s="113"/>
      <c r="BA1354" s="113"/>
      <c r="BB1354" s="113"/>
      <c r="BC1354" s="113"/>
      <c r="BD1354" s="46">
        <v>0</v>
      </c>
      <c r="BE1354" s="113"/>
      <c r="BF1354" s="113"/>
      <c r="BG1354" s="113"/>
      <c r="BH1354" s="113"/>
      <c r="BI1354" s="113"/>
      <c r="BJ1354" s="46">
        <v>0</v>
      </c>
      <c r="BK1354" s="113"/>
      <c r="BL1354" s="113"/>
      <c r="BM1354" s="113"/>
      <c r="BN1354" s="113"/>
      <c r="BO1354" s="113"/>
      <c r="BP1354" s="121"/>
      <c r="BQ1354" s="121"/>
      <c r="GA1354" t="s">
        <v>18300</v>
      </c>
      <c r="GB1354" t="s">
        <v>23125</v>
      </c>
      <c r="GC1354" s="46">
        <v>0</v>
      </c>
      <c r="GD1354" s="113"/>
      <c r="GE1354" s="113"/>
      <c r="GF1354" s="113"/>
      <c r="GG1354" s="113"/>
      <c r="GH1354" s="113"/>
      <c r="GI1354" s="46">
        <v>0</v>
      </c>
      <c r="GJ1354" s="113"/>
      <c r="GK1354" s="113"/>
      <c r="GL1354" s="113"/>
      <c r="GM1354" s="113"/>
      <c r="GN1354" s="113"/>
      <c r="GO1354" s="46">
        <v>0</v>
      </c>
      <c r="GP1354" s="113"/>
      <c r="GQ1354" s="113"/>
      <c r="GR1354" s="113"/>
      <c r="GS1354" s="113"/>
      <c r="GT1354" s="113"/>
      <c r="GU1354" s="46">
        <v>0</v>
      </c>
      <c r="GV1354" s="113"/>
      <c r="GW1354" s="113"/>
      <c r="GX1354" s="113"/>
      <c r="GY1354" s="113"/>
      <c r="GZ1354" s="113"/>
      <c r="HA1354" s="46">
        <v>0</v>
      </c>
      <c r="HB1354" s="113"/>
      <c r="HC1354" s="113"/>
      <c r="HD1354" s="113"/>
      <c r="HE1354" s="113"/>
      <c r="HF1354" s="113"/>
      <c r="HG1354" s="46">
        <v>0</v>
      </c>
      <c r="HH1354" s="113"/>
      <c r="HI1354" s="113"/>
      <c r="HJ1354" s="113"/>
      <c r="HK1354" s="113"/>
      <c r="HL1354" s="113"/>
      <c r="HM1354" s="121"/>
      <c r="HN1354" s="121"/>
      <c r="LM1354" t="str">
        <v/>
      </c>
      <c r="LN1354" t="str">
        <v/>
      </c>
      <c r="LO1354" t="str">
        <v/>
      </c>
    </row>
    <row r="1355" spans="30:327">
      <c r="AD1355" t="s">
        <v>18300</v>
      </c>
      <c r="AE1355" t="s">
        <v>23126</v>
      </c>
      <c r="AF1355" s="46">
        <v>0</v>
      </c>
      <c r="AG1355" s="113"/>
      <c r="AH1355" s="113"/>
      <c r="AI1355" s="113"/>
      <c r="AJ1355" s="113"/>
      <c r="AK1355" s="113"/>
      <c r="AL1355" s="46">
        <v>0</v>
      </c>
      <c r="AM1355" s="113"/>
      <c r="AN1355" s="113"/>
      <c r="AO1355" s="113"/>
      <c r="AP1355" s="113"/>
      <c r="AQ1355" s="113"/>
      <c r="AR1355" s="46">
        <v>0</v>
      </c>
      <c r="AS1355" s="113"/>
      <c r="AT1355" s="113"/>
      <c r="AU1355" s="113"/>
      <c r="AV1355" s="113"/>
      <c r="AW1355" s="113"/>
      <c r="AX1355" s="46">
        <v>0</v>
      </c>
      <c r="AY1355" s="113"/>
      <c r="AZ1355" s="113"/>
      <c r="BA1355" s="113"/>
      <c r="BB1355" s="113"/>
      <c r="BC1355" s="113"/>
      <c r="BD1355" s="46">
        <v>0</v>
      </c>
      <c r="BE1355" s="113"/>
      <c r="BF1355" s="113"/>
      <c r="BG1355" s="113"/>
      <c r="BH1355" s="113"/>
      <c r="BI1355" s="113"/>
      <c r="BJ1355" s="46">
        <v>0</v>
      </c>
      <c r="BK1355" s="113"/>
      <c r="BL1355" s="113"/>
      <c r="BM1355" s="113"/>
      <c r="BN1355" s="113"/>
      <c r="BO1355" s="113"/>
      <c r="BP1355" s="121"/>
      <c r="BQ1355" s="121"/>
      <c r="GA1355" t="s">
        <v>18300</v>
      </c>
      <c r="GB1355" t="s">
        <v>23126</v>
      </c>
      <c r="GC1355" s="46">
        <v>0</v>
      </c>
      <c r="GD1355" s="113"/>
      <c r="GE1355" s="113"/>
      <c r="GF1355" s="113"/>
      <c r="GG1355" s="113"/>
      <c r="GH1355" s="113"/>
      <c r="GI1355" s="46">
        <v>0</v>
      </c>
      <c r="GJ1355" s="113"/>
      <c r="GK1355" s="113"/>
      <c r="GL1355" s="113"/>
      <c r="GM1355" s="113"/>
      <c r="GN1355" s="113"/>
      <c r="GO1355" s="46">
        <v>0</v>
      </c>
      <c r="GP1355" s="113"/>
      <c r="GQ1355" s="113"/>
      <c r="GR1355" s="113"/>
      <c r="GS1355" s="113"/>
      <c r="GT1355" s="113"/>
      <c r="GU1355" s="46">
        <v>0</v>
      </c>
      <c r="GV1355" s="113"/>
      <c r="GW1355" s="113"/>
      <c r="GX1355" s="113"/>
      <c r="GY1355" s="113"/>
      <c r="GZ1355" s="113"/>
      <c r="HA1355" s="46">
        <v>0</v>
      </c>
      <c r="HB1355" s="113"/>
      <c r="HC1355" s="113"/>
      <c r="HD1355" s="113"/>
      <c r="HE1355" s="113"/>
      <c r="HF1355" s="113"/>
      <c r="HG1355" s="46">
        <v>0</v>
      </c>
      <c r="HH1355" s="113"/>
      <c r="HI1355" s="113"/>
      <c r="HJ1355" s="113"/>
      <c r="HK1355" s="113"/>
      <c r="HL1355" s="113"/>
      <c r="HM1355" s="121"/>
      <c r="HN1355" s="121"/>
      <c r="LM1355" t="str">
        <v/>
      </c>
      <c r="LN1355" t="str">
        <v/>
      </c>
      <c r="LO1355" t="str">
        <v/>
      </c>
    </row>
    <row r="1356" spans="30:327">
      <c r="AD1356" t="s">
        <v>18300</v>
      </c>
      <c r="AE1356" t="s">
        <v>23127</v>
      </c>
      <c r="AF1356" s="46">
        <v>0</v>
      </c>
      <c r="AG1356" s="113"/>
      <c r="AH1356" s="113"/>
      <c r="AI1356" s="113"/>
      <c r="AJ1356" s="113"/>
      <c r="AK1356" s="113"/>
      <c r="AL1356" s="46">
        <v>0</v>
      </c>
      <c r="AM1356" s="113"/>
      <c r="AN1356" s="113"/>
      <c r="AO1356" s="113"/>
      <c r="AP1356" s="113"/>
      <c r="AQ1356" s="113"/>
      <c r="AR1356" s="46">
        <v>0</v>
      </c>
      <c r="AS1356" s="113"/>
      <c r="AT1356" s="113"/>
      <c r="AU1356" s="113"/>
      <c r="AV1356" s="113"/>
      <c r="AW1356" s="113"/>
      <c r="AX1356" s="46">
        <v>0</v>
      </c>
      <c r="AY1356" s="113"/>
      <c r="AZ1356" s="113"/>
      <c r="BA1356" s="113"/>
      <c r="BB1356" s="113"/>
      <c r="BC1356" s="113"/>
      <c r="BD1356" s="46">
        <v>0</v>
      </c>
      <c r="BE1356" s="113"/>
      <c r="BF1356" s="113"/>
      <c r="BG1356" s="113"/>
      <c r="BH1356" s="113"/>
      <c r="BI1356" s="113"/>
      <c r="BJ1356" s="46">
        <v>0</v>
      </c>
      <c r="BK1356" s="113"/>
      <c r="BL1356" s="113"/>
      <c r="BM1356" s="113"/>
      <c r="BN1356" s="113"/>
      <c r="BO1356" s="113"/>
      <c r="BP1356" s="121"/>
      <c r="BQ1356" s="121"/>
      <c r="GA1356" t="s">
        <v>18300</v>
      </c>
      <c r="GB1356" t="s">
        <v>23127</v>
      </c>
      <c r="GC1356" s="46">
        <v>0</v>
      </c>
      <c r="GD1356" s="113"/>
      <c r="GE1356" s="113"/>
      <c r="GF1356" s="113"/>
      <c r="GG1356" s="113"/>
      <c r="GH1356" s="113"/>
      <c r="GI1356" s="46">
        <v>0</v>
      </c>
      <c r="GJ1356" s="113"/>
      <c r="GK1356" s="113"/>
      <c r="GL1356" s="113"/>
      <c r="GM1356" s="113"/>
      <c r="GN1356" s="113"/>
      <c r="GO1356" s="46">
        <v>0</v>
      </c>
      <c r="GP1356" s="113"/>
      <c r="GQ1356" s="113"/>
      <c r="GR1356" s="113"/>
      <c r="GS1356" s="113"/>
      <c r="GT1356" s="113"/>
      <c r="GU1356" s="46">
        <v>0</v>
      </c>
      <c r="GV1356" s="113"/>
      <c r="GW1356" s="113"/>
      <c r="GX1356" s="113"/>
      <c r="GY1356" s="113"/>
      <c r="GZ1356" s="113"/>
      <c r="HA1356" s="46">
        <v>0</v>
      </c>
      <c r="HB1356" s="113"/>
      <c r="HC1356" s="113"/>
      <c r="HD1356" s="113"/>
      <c r="HE1356" s="113"/>
      <c r="HF1356" s="113"/>
      <c r="HG1356" s="46">
        <v>0</v>
      </c>
      <c r="HH1356" s="113"/>
      <c r="HI1356" s="113"/>
      <c r="HJ1356" s="113"/>
      <c r="HK1356" s="113"/>
      <c r="HL1356" s="113"/>
      <c r="HM1356" s="121"/>
      <c r="HN1356" s="121"/>
      <c r="LM1356" t="str">
        <v/>
      </c>
      <c r="LN1356" t="str">
        <v/>
      </c>
      <c r="LO1356" t="str">
        <v/>
      </c>
    </row>
    <row r="1357" spans="30:327">
      <c r="AD1357" t="s">
        <v>18300</v>
      </c>
      <c r="AE1357" t="s">
        <v>23128</v>
      </c>
      <c r="AF1357" s="46">
        <v>0</v>
      </c>
      <c r="AG1357" s="113"/>
      <c r="AH1357" s="113"/>
      <c r="AI1357" s="113"/>
      <c r="AJ1357" s="113"/>
      <c r="AK1357" s="113"/>
      <c r="AL1357" s="46">
        <v>0</v>
      </c>
      <c r="AM1357" s="113"/>
      <c r="AN1357" s="113"/>
      <c r="AO1357" s="113"/>
      <c r="AP1357" s="113"/>
      <c r="AQ1357" s="113"/>
      <c r="AR1357" s="46">
        <v>0</v>
      </c>
      <c r="AS1357" s="113"/>
      <c r="AT1357" s="113"/>
      <c r="AU1357" s="113"/>
      <c r="AV1357" s="113"/>
      <c r="AW1357" s="113"/>
      <c r="AX1357" s="46">
        <v>0</v>
      </c>
      <c r="AY1357" s="113"/>
      <c r="AZ1357" s="113"/>
      <c r="BA1357" s="113"/>
      <c r="BB1357" s="113"/>
      <c r="BC1357" s="113"/>
      <c r="BD1357" s="46">
        <v>0</v>
      </c>
      <c r="BE1357" s="113"/>
      <c r="BF1357" s="113"/>
      <c r="BG1357" s="113"/>
      <c r="BH1357" s="113"/>
      <c r="BI1357" s="113"/>
      <c r="BJ1357" s="46">
        <v>0</v>
      </c>
      <c r="BK1357" s="113"/>
      <c r="BL1357" s="113"/>
      <c r="BM1357" s="113"/>
      <c r="BN1357" s="113"/>
      <c r="BO1357" s="113"/>
      <c r="BP1357" s="121"/>
      <c r="BQ1357" s="121"/>
      <c r="GA1357" t="s">
        <v>18300</v>
      </c>
      <c r="GB1357" t="s">
        <v>23128</v>
      </c>
      <c r="GC1357" s="46">
        <v>0</v>
      </c>
      <c r="GD1357" s="113"/>
      <c r="GE1357" s="113"/>
      <c r="GF1357" s="113"/>
      <c r="GG1357" s="113"/>
      <c r="GH1357" s="113"/>
      <c r="GI1357" s="46">
        <v>0</v>
      </c>
      <c r="GJ1357" s="113"/>
      <c r="GK1357" s="113"/>
      <c r="GL1357" s="113"/>
      <c r="GM1357" s="113"/>
      <c r="GN1357" s="113"/>
      <c r="GO1357" s="46">
        <v>0</v>
      </c>
      <c r="GP1357" s="113"/>
      <c r="GQ1357" s="113"/>
      <c r="GR1357" s="113"/>
      <c r="GS1357" s="113"/>
      <c r="GT1357" s="113"/>
      <c r="GU1357" s="46">
        <v>0</v>
      </c>
      <c r="GV1357" s="113"/>
      <c r="GW1357" s="113"/>
      <c r="GX1357" s="113"/>
      <c r="GY1357" s="113"/>
      <c r="GZ1357" s="113"/>
      <c r="HA1357" s="46">
        <v>0</v>
      </c>
      <c r="HB1357" s="113"/>
      <c r="HC1357" s="113"/>
      <c r="HD1357" s="113"/>
      <c r="HE1357" s="113"/>
      <c r="HF1357" s="113"/>
      <c r="HG1357" s="46">
        <v>0</v>
      </c>
      <c r="HH1357" s="113"/>
      <c r="HI1357" s="113"/>
      <c r="HJ1357" s="113"/>
      <c r="HK1357" s="113"/>
      <c r="HL1357" s="113"/>
      <c r="HM1357" s="121"/>
      <c r="HN1357" s="121"/>
      <c r="LM1357" t="str">
        <v/>
      </c>
      <c r="LN1357" t="str">
        <v/>
      </c>
      <c r="LO1357" t="str">
        <v/>
      </c>
    </row>
    <row r="1358" spans="30:327">
      <c r="AD1358" t="s">
        <v>18300</v>
      </c>
      <c r="AE1358" t="s">
        <v>23129</v>
      </c>
      <c r="AF1358" s="46">
        <v>0</v>
      </c>
      <c r="AG1358" s="113"/>
      <c r="AH1358" s="113"/>
      <c r="AI1358" s="113"/>
      <c r="AJ1358" s="113"/>
      <c r="AK1358" s="113"/>
      <c r="AL1358" s="46">
        <v>0</v>
      </c>
      <c r="AM1358" s="113"/>
      <c r="AN1358" s="113"/>
      <c r="AO1358" s="113"/>
      <c r="AP1358" s="113"/>
      <c r="AQ1358" s="113"/>
      <c r="AR1358" s="46">
        <v>0</v>
      </c>
      <c r="AS1358" s="113"/>
      <c r="AT1358" s="113"/>
      <c r="AU1358" s="113"/>
      <c r="AV1358" s="113"/>
      <c r="AW1358" s="113"/>
      <c r="AX1358" s="46">
        <v>0</v>
      </c>
      <c r="AY1358" s="113"/>
      <c r="AZ1358" s="113"/>
      <c r="BA1358" s="113"/>
      <c r="BB1358" s="113"/>
      <c r="BC1358" s="113"/>
      <c r="BD1358" s="46">
        <v>0</v>
      </c>
      <c r="BE1358" s="113"/>
      <c r="BF1358" s="113"/>
      <c r="BG1358" s="113"/>
      <c r="BH1358" s="113"/>
      <c r="BI1358" s="113"/>
      <c r="BJ1358" s="46">
        <v>0</v>
      </c>
      <c r="BK1358" s="113"/>
      <c r="BL1358" s="113"/>
      <c r="BM1358" s="113"/>
      <c r="BN1358" s="113"/>
      <c r="BO1358" s="113"/>
      <c r="BP1358" s="121"/>
      <c r="BQ1358" s="121"/>
      <c r="GA1358" t="s">
        <v>18300</v>
      </c>
      <c r="GB1358" t="s">
        <v>23129</v>
      </c>
      <c r="GC1358" s="46">
        <v>0</v>
      </c>
      <c r="GD1358" s="113"/>
      <c r="GE1358" s="113"/>
      <c r="GF1358" s="113"/>
      <c r="GG1358" s="113"/>
      <c r="GH1358" s="113"/>
      <c r="GI1358" s="46">
        <v>0</v>
      </c>
      <c r="GJ1358" s="113"/>
      <c r="GK1358" s="113"/>
      <c r="GL1358" s="113"/>
      <c r="GM1358" s="113"/>
      <c r="GN1358" s="113"/>
      <c r="GO1358" s="46">
        <v>0</v>
      </c>
      <c r="GP1358" s="113"/>
      <c r="GQ1358" s="113"/>
      <c r="GR1358" s="113"/>
      <c r="GS1358" s="113"/>
      <c r="GT1358" s="113"/>
      <c r="GU1358" s="46">
        <v>0</v>
      </c>
      <c r="GV1358" s="113"/>
      <c r="GW1358" s="113"/>
      <c r="GX1358" s="113"/>
      <c r="GY1358" s="113"/>
      <c r="GZ1358" s="113"/>
      <c r="HA1358" s="46">
        <v>0</v>
      </c>
      <c r="HB1358" s="113"/>
      <c r="HC1358" s="113"/>
      <c r="HD1358" s="113"/>
      <c r="HE1358" s="113"/>
      <c r="HF1358" s="113"/>
      <c r="HG1358" s="46">
        <v>0</v>
      </c>
      <c r="HH1358" s="113"/>
      <c r="HI1358" s="113"/>
      <c r="HJ1358" s="113"/>
      <c r="HK1358" s="113"/>
      <c r="HL1358" s="113"/>
      <c r="HM1358" s="121"/>
      <c r="HN1358" s="121"/>
      <c r="LM1358" t="str">
        <v/>
      </c>
      <c r="LN1358" t="str">
        <v/>
      </c>
      <c r="LO1358" t="str">
        <v/>
      </c>
    </row>
    <row r="1359" spans="30:327">
      <c r="AD1359" t="s">
        <v>18300</v>
      </c>
      <c r="AE1359" t="s">
        <v>23130</v>
      </c>
      <c r="AF1359" s="46">
        <v>0</v>
      </c>
      <c r="AG1359" s="113"/>
      <c r="AH1359" s="113"/>
      <c r="AI1359" s="113"/>
      <c r="AJ1359" s="113"/>
      <c r="AK1359" s="113"/>
      <c r="AL1359" s="46">
        <v>0</v>
      </c>
      <c r="AM1359" s="113"/>
      <c r="AN1359" s="113"/>
      <c r="AO1359" s="113"/>
      <c r="AP1359" s="113"/>
      <c r="AQ1359" s="113"/>
      <c r="AR1359" s="46">
        <v>0</v>
      </c>
      <c r="AS1359" s="113"/>
      <c r="AT1359" s="113"/>
      <c r="AU1359" s="113"/>
      <c r="AV1359" s="113"/>
      <c r="AW1359" s="113"/>
      <c r="AX1359" s="46">
        <v>0</v>
      </c>
      <c r="AY1359" s="113"/>
      <c r="AZ1359" s="113"/>
      <c r="BA1359" s="113"/>
      <c r="BB1359" s="113"/>
      <c r="BC1359" s="113"/>
      <c r="BD1359" s="46">
        <v>0</v>
      </c>
      <c r="BE1359" s="113"/>
      <c r="BF1359" s="113"/>
      <c r="BG1359" s="113"/>
      <c r="BH1359" s="113"/>
      <c r="BI1359" s="113"/>
      <c r="BJ1359" s="46">
        <v>0</v>
      </c>
      <c r="BK1359" s="113"/>
      <c r="BL1359" s="113"/>
      <c r="BM1359" s="113"/>
      <c r="BN1359" s="113"/>
      <c r="BO1359" s="113"/>
      <c r="BP1359" s="121"/>
      <c r="BQ1359" s="121"/>
      <c r="GA1359" t="s">
        <v>18300</v>
      </c>
      <c r="GB1359" t="s">
        <v>23130</v>
      </c>
      <c r="GC1359" s="46">
        <v>0</v>
      </c>
      <c r="GD1359" s="113"/>
      <c r="GE1359" s="113"/>
      <c r="GF1359" s="113"/>
      <c r="GG1359" s="113"/>
      <c r="GH1359" s="113"/>
      <c r="GI1359" s="46">
        <v>0</v>
      </c>
      <c r="GJ1359" s="113"/>
      <c r="GK1359" s="113"/>
      <c r="GL1359" s="113"/>
      <c r="GM1359" s="113"/>
      <c r="GN1359" s="113"/>
      <c r="GO1359" s="46">
        <v>0</v>
      </c>
      <c r="GP1359" s="113"/>
      <c r="GQ1359" s="113"/>
      <c r="GR1359" s="113"/>
      <c r="GS1359" s="113"/>
      <c r="GT1359" s="113"/>
      <c r="GU1359" s="46">
        <v>0</v>
      </c>
      <c r="GV1359" s="113"/>
      <c r="GW1359" s="113"/>
      <c r="GX1359" s="113"/>
      <c r="GY1359" s="113"/>
      <c r="GZ1359" s="113"/>
      <c r="HA1359" s="46">
        <v>0</v>
      </c>
      <c r="HB1359" s="113"/>
      <c r="HC1359" s="113"/>
      <c r="HD1359" s="113"/>
      <c r="HE1359" s="113"/>
      <c r="HF1359" s="113"/>
      <c r="HG1359" s="46">
        <v>0</v>
      </c>
      <c r="HH1359" s="113"/>
      <c r="HI1359" s="113"/>
      <c r="HJ1359" s="113"/>
      <c r="HK1359" s="113"/>
      <c r="HL1359" s="113"/>
      <c r="HM1359" s="121"/>
      <c r="HN1359" s="121"/>
      <c r="LM1359" t="str">
        <v/>
      </c>
      <c r="LN1359" t="str">
        <v/>
      </c>
      <c r="LO1359" t="str">
        <v/>
      </c>
    </row>
    <row r="1360" spans="30:327">
      <c r="AD1360" t="s">
        <v>18300</v>
      </c>
      <c r="AE1360" t="s">
        <v>23131</v>
      </c>
      <c r="AF1360" s="46">
        <v>0</v>
      </c>
      <c r="AG1360" s="113"/>
      <c r="AH1360" s="113"/>
      <c r="AI1360" s="113"/>
      <c r="AJ1360" s="113"/>
      <c r="AK1360" s="113"/>
      <c r="AL1360" s="46">
        <v>0</v>
      </c>
      <c r="AM1360" s="113"/>
      <c r="AN1360" s="113"/>
      <c r="AO1360" s="113"/>
      <c r="AP1360" s="113"/>
      <c r="AQ1360" s="113"/>
      <c r="AR1360" s="46">
        <v>0</v>
      </c>
      <c r="AS1360" s="113"/>
      <c r="AT1360" s="113"/>
      <c r="AU1360" s="113"/>
      <c r="AV1360" s="113"/>
      <c r="AW1360" s="113"/>
      <c r="AX1360" s="46">
        <v>0</v>
      </c>
      <c r="AY1360" s="113"/>
      <c r="AZ1360" s="113"/>
      <c r="BA1360" s="113"/>
      <c r="BB1360" s="113"/>
      <c r="BC1360" s="113"/>
      <c r="BD1360" s="46">
        <v>0</v>
      </c>
      <c r="BE1360" s="113"/>
      <c r="BF1360" s="113"/>
      <c r="BG1360" s="113"/>
      <c r="BH1360" s="113"/>
      <c r="BI1360" s="113"/>
      <c r="BJ1360" s="46">
        <v>0</v>
      </c>
      <c r="BK1360" s="113"/>
      <c r="BL1360" s="113"/>
      <c r="BM1360" s="113"/>
      <c r="BN1360" s="113"/>
      <c r="BO1360" s="113"/>
      <c r="BP1360" s="121"/>
      <c r="BQ1360" s="121"/>
      <c r="GA1360" t="s">
        <v>18300</v>
      </c>
      <c r="GB1360" t="s">
        <v>23131</v>
      </c>
      <c r="GC1360" s="46">
        <v>0</v>
      </c>
      <c r="GD1360" s="113"/>
      <c r="GE1360" s="113"/>
      <c r="GF1360" s="113"/>
      <c r="GG1360" s="113"/>
      <c r="GH1360" s="113"/>
      <c r="GI1360" s="46">
        <v>0</v>
      </c>
      <c r="GJ1360" s="113"/>
      <c r="GK1360" s="113"/>
      <c r="GL1360" s="113"/>
      <c r="GM1360" s="113"/>
      <c r="GN1360" s="113"/>
      <c r="GO1360" s="46">
        <v>0</v>
      </c>
      <c r="GP1360" s="113"/>
      <c r="GQ1360" s="113"/>
      <c r="GR1360" s="113"/>
      <c r="GS1360" s="113"/>
      <c r="GT1360" s="113"/>
      <c r="GU1360" s="46">
        <v>0</v>
      </c>
      <c r="GV1360" s="113"/>
      <c r="GW1360" s="113"/>
      <c r="GX1360" s="113"/>
      <c r="GY1360" s="113"/>
      <c r="GZ1360" s="113"/>
      <c r="HA1360" s="46">
        <v>0</v>
      </c>
      <c r="HB1360" s="113"/>
      <c r="HC1360" s="113"/>
      <c r="HD1360" s="113"/>
      <c r="HE1360" s="113"/>
      <c r="HF1360" s="113"/>
      <c r="HG1360" s="46">
        <v>0</v>
      </c>
      <c r="HH1360" s="113"/>
      <c r="HI1360" s="113"/>
      <c r="HJ1360" s="113"/>
      <c r="HK1360" s="113"/>
      <c r="HL1360" s="113"/>
      <c r="HM1360" s="121"/>
      <c r="HN1360" s="121"/>
      <c r="LM1360" t="str">
        <v/>
      </c>
      <c r="LN1360" t="str">
        <v/>
      </c>
      <c r="LO1360" t="str">
        <v/>
      </c>
    </row>
    <row r="1361" spans="30:327">
      <c r="AD1361" t="s">
        <v>18300</v>
      </c>
      <c r="AE1361" t="s">
        <v>23132</v>
      </c>
      <c r="AF1361" s="46">
        <v>0</v>
      </c>
      <c r="AG1361" s="113"/>
      <c r="AH1361" s="113"/>
      <c r="AI1361" s="113"/>
      <c r="AJ1361" s="113"/>
      <c r="AK1361" s="113"/>
      <c r="AL1361" s="46">
        <v>0</v>
      </c>
      <c r="AM1361" s="113"/>
      <c r="AN1361" s="113"/>
      <c r="AO1361" s="113"/>
      <c r="AP1361" s="113"/>
      <c r="AQ1361" s="113"/>
      <c r="AR1361" s="46">
        <v>0</v>
      </c>
      <c r="AS1361" s="113"/>
      <c r="AT1361" s="113"/>
      <c r="AU1361" s="113"/>
      <c r="AV1361" s="113"/>
      <c r="AW1361" s="113"/>
      <c r="AX1361" s="46">
        <v>0</v>
      </c>
      <c r="AY1361" s="113"/>
      <c r="AZ1361" s="113"/>
      <c r="BA1361" s="113"/>
      <c r="BB1361" s="113"/>
      <c r="BC1361" s="113"/>
      <c r="BD1361" s="46">
        <v>0</v>
      </c>
      <c r="BE1361" s="113"/>
      <c r="BF1361" s="113"/>
      <c r="BG1361" s="113"/>
      <c r="BH1361" s="113"/>
      <c r="BI1361" s="113"/>
      <c r="BJ1361" s="46">
        <v>0</v>
      </c>
      <c r="BK1361" s="113"/>
      <c r="BL1361" s="113"/>
      <c r="BM1361" s="113"/>
      <c r="BN1361" s="113"/>
      <c r="BO1361" s="113"/>
      <c r="BP1361" s="121"/>
      <c r="BQ1361" s="121"/>
      <c r="GA1361" t="s">
        <v>18300</v>
      </c>
      <c r="GB1361" t="s">
        <v>23132</v>
      </c>
      <c r="GC1361" s="46">
        <v>0</v>
      </c>
      <c r="GD1361" s="113"/>
      <c r="GE1361" s="113"/>
      <c r="GF1361" s="113"/>
      <c r="GG1361" s="113"/>
      <c r="GH1361" s="113"/>
      <c r="GI1361" s="46">
        <v>0</v>
      </c>
      <c r="GJ1361" s="113"/>
      <c r="GK1361" s="113"/>
      <c r="GL1361" s="113"/>
      <c r="GM1361" s="113"/>
      <c r="GN1361" s="113"/>
      <c r="GO1361" s="46">
        <v>0</v>
      </c>
      <c r="GP1361" s="113"/>
      <c r="GQ1361" s="113"/>
      <c r="GR1361" s="113"/>
      <c r="GS1361" s="113"/>
      <c r="GT1361" s="113"/>
      <c r="GU1361" s="46">
        <v>0</v>
      </c>
      <c r="GV1361" s="113"/>
      <c r="GW1361" s="113"/>
      <c r="GX1361" s="113"/>
      <c r="GY1361" s="113"/>
      <c r="GZ1361" s="113"/>
      <c r="HA1361" s="46">
        <v>0</v>
      </c>
      <c r="HB1361" s="113"/>
      <c r="HC1361" s="113"/>
      <c r="HD1361" s="113"/>
      <c r="HE1361" s="113"/>
      <c r="HF1361" s="113"/>
      <c r="HG1361" s="46">
        <v>0</v>
      </c>
      <c r="HH1361" s="113"/>
      <c r="HI1361" s="113"/>
      <c r="HJ1361" s="113"/>
      <c r="HK1361" s="113"/>
      <c r="HL1361" s="113"/>
      <c r="HM1361" s="121"/>
      <c r="HN1361" s="121"/>
      <c r="LM1361" t="str">
        <v/>
      </c>
      <c r="LN1361" t="str">
        <v/>
      </c>
      <c r="LO1361" t="str">
        <v/>
      </c>
    </row>
    <row r="1362" spans="30:327">
      <c r="AD1362" t="s">
        <v>18300</v>
      </c>
      <c r="AE1362" t="s">
        <v>23133</v>
      </c>
      <c r="AF1362" s="46">
        <v>0</v>
      </c>
      <c r="AG1362" s="113"/>
      <c r="AH1362" s="113"/>
      <c r="AI1362" s="113"/>
      <c r="AJ1362" s="113"/>
      <c r="AK1362" s="113"/>
      <c r="AL1362" s="46">
        <v>0</v>
      </c>
      <c r="AM1362" s="113"/>
      <c r="AN1362" s="113"/>
      <c r="AO1362" s="113"/>
      <c r="AP1362" s="113"/>
      <c r="AQ1362" s="113"/>
      <c r="AR1362" s="46">
        <v>0</v>
      </c>
      <c r="AS1362" s="113"/>
      <c r="AT1362" s="113"/>
      <c r="AU1362" s="113"/>
      <c r="AV1362" s="113"/>
      <c r="AW1362" s="113"/>
      <c r="AX1362" s="46">
        <v>0</v>
      </c>
      <c r="AY1362" s="113"/>
      <c r="AZ1362" s="113"/>
      <c r="BA1362" s="113"/>
      <c r="BB1362" s="113"/>
      <c r="BC1362" s="113"/>
      <c r="BD1362" s="46">
        <v>0</v>
      </c>
      <c r="BE1362" s="113"/>
      <c r="BF1362" s="113"/>
      <c r="BG1362" s="113"/>
      <c r="BH1362" s="113"/>
      <c r="BI1362" s="113"/>
      <c r="BJ1362" s="46">
        <v>0</v>
      </c>
      <c r="BK1362" s="113"/>
      <c r="BL1362" s="113"/>
      <c r="BM1362" s="113"/>
      <c r="BN1362" s="113"/>
      <c r="BO1362" s="113"/>
      <c r="BP1362" s="121"/>
      <c r="BQ1362" s="121"/>
      <c r="GA1362" t="s">
        <v>18300</v>
      </c>
      <c r="GB1362" t="s">
        <v>23133</v>
      </c>
      <c r="GC1362" s="46">
        <v>0</v>
      </c>
      <c r="GD1362" s="113"/>
      <c r="GE1362" s="113"/>
      <c r="GF1362" s="113"/>
      <c r="GG1362" s="113"/>
      <c r="GH1362" s="113"/>
      <c r="GI1362" s="46">
        <v>0</v>
      </c>
      <c r="GJ1362" s="113"/>
      <c r="GK1362" s="113"/>
      <c r="GL1362" s="113"/>
      <c r="GM1362" s="113"/>
      <c r="GN1362" s="113"/>
      <c r="GO1362" s="46">
        <v>0</v>
      </c>
      <c r="GP1362" s="113"/>
      <c r="GQ1362" s="113"/>
      <c r="GR1362" s="113"/>
      <c r="GS1362" s="113"/>
      <c r="GT1362" s="113"/>
      <c r="GU1362" s="46">
        <v>0</v>
      </c>
      <c r="GV1362" s="113"/>
      <c r="GW1362" s="113"/>
      <c r="GX1362" s="113"/>
      <c r="GY1362" s="113"/>
      <c r="GZ1362" s="113"/>
      <c r="HA1362" s="46">
        <v>0</v>
      </c>
      <c r="HB1362" s="113"/>
      <c r="HC1362" s="113"/>
      <c r="HD1362" s="113"/>
      <c r="HE1362" s="113"/>
      <c r="HF1362" s="113"/>
      <c r="HG1362" s="46">
        <v>0</v>
      </c>
      <c r="HH1362" s="113"/>
      <c r="HI1362" s="113"/>
      <c r="HJ1362" s="113"/>
      <c r="HK1362" s="113"/>
      <c r="HL1362" s="113"/>
      <c r="HM1362" s="121"/>
      <c r="HN1362" s="121"/>
      <c r="LM1362" t="str">
        <v/>
      </c>
      <c r="LN1362" t="str">
        <v/>
      </c>
      <c r="LO1362" t="str">
        <v/>
      </c>
    </row>
    <row r="1363" spans="30:327">
      <c r="AD1363" t="s">
        <v>18300</v>
      </c>
      <c r="AE1363" t="s">
        <v>23134</v>
      </c>
      <c r="AF1363" s="46">
        <v>0</v>
      </c>
      <c r="AG1363" s="113"/>
      <c r="AH1363" s="113"/>
      <c r="AI1363" s="113"/>
      <c r="AJ1363" s="113"/>
      <c r="AK1363" s="113"/>
      <c r="AL1363" s="46">
        <v>0</v>
      </c>
      <c r="AM1363" s="113"/>
      <c r="AN1363" s="113"/>
      <c r="AO1363" s="113"/>
      <c r="AP1363" s="113"/>
      <c r="AQ1363" s="113"/>
      <c r="AR1363" s="46">
        <v>0</v>
      </c>
      <c r="AS1363" s="113"/>
      <c r="AT1363" s="113"/>
      <c r="AU1363" s="113"/>
      <c r="AV1363" s="113"/>
      <c r="AW1363" s="113"/>
      <c r="AX1363" s="46">
        <v>0</v>
      </c>
      <c r="AY1363" s="113"/>
      <c r="AZ1363" s="113"/>
      <c r="BA1363" s="113"/>
      <c r="BB1363" s="113"/>
      <c r="BC1363" s="113"/>
      <c r="BD1363" s="46">
        <v>0</v>
      </c>
      <c r="BE1363" s="113"/>
      <c r="BF1363" s="113"/>
      <c r="BG1363" s="113"/>
      <c r="BH1363" s="113"/>
      <c r="BI1363" s="113"/>
      <c r="BJ1363" s="46">
        <v>0</v>
      </c>
      <c r="BK1363" s="113"/>
      <c r="BL1363" s="113"/>
      <c r="BM1363" s="113"/>
      <c r="BN1363" s="113"/>
      <c r="BO1363" s="113"/>
      <c r="BP1363" s="121"/>
      <c r="BQ1363" s="121"/>
      <c r="GA1363" t="s">
        <v>18300</v>
      </c>
      <c r="GB1363" t="s">
        <v>23134</v>
      </c>
      <c r="GC1363" s="46">
        <v>0</v>
      </c>
      <c r="GD1363" s="113"/>
      <c r="GE1363" s="113"/>
      <c r="GF1363" s="113"/>
      <c r="GG1363" s="113"/>
      <c r="GH1363" s="113"/>
      <c r="GI1363" s="46">
        <v>0</v>
      </c>
      <c r="GJ1363" s="113"/>
      <c r="GK1363" s="113"/>
      <c r="GL1363" s="113"/>
      <c r="GM1363" s="113"/>
      <c r="GN1363" s="113"/>
      <c r="GO1363" s="46">
        <v>0</v>
      </c>
      <c r="GP1363" s="113"/>
      <c r="GQ1363" s="113"/>
      <c r="GR1363" s="113"/>
      <c r="GS1363" s="113"/>
      <c r="GT1363" s="113"/>
      <c r="GU1363" s="46">
        <v>0</v>
      </c>
      <c r="GV1363" s="113"/>
      <c r="GW1363" s="113"/>
      <c r="GX1363" s="113"/>
      <c r="GY1363" s="113"/>
      <c r="GZ1363" s="113"/>
      <c r="HA1363" s="46">
        <v>0</v>
      </c>
      <c r="HB1363" s="113"/>
      <c r="HC1363" s="113"/>
      <c r="HD1363" s="113"/>
      <c r="HE1363" s="113"/>
      <c r="HF1363" s="113"/>
      <c r="HG1363" s="46">
        <v>0</v>
      </c>
      <c r="HH1363" s="113"/>
      <c r="HI1363" s="113"/>
      <c r="HJ1363" s="113"/>
      <c r="HK1363" s="113"/>
      <c r="HL1363" s="113"/>
      <c r="HM1363" s="121"/>
      <c r="HN1363" s="121"/>
      <c r="LM1363" t="str">
        <v/>
      </c>
      <c r="LN1363" t="str">
        <v/>
      </c>
      <c r="LO1363" t="str">
        <v/>
      </c>
    </row>
    <row r="1364" spans="30:327">
      <c r="AD1364" t="s">
        <v>18300</v>
      </c>
      <c r="AE1364" t="s">
        <v>23135</v>
      </c>
      <c r="AF1364" s="46">
        <v>0</v>
      </c>
      <c r="AG1364" s="113"/>
      <c r="AH1364" s="113"/>
      <c r="AI1364" s="113"/>
      <c r="AJ1364" s="113"/>
      <c r="AK1364" s="113"/>
      <c r="AL1364" s="46">
        <v>0</v>
      </c>
      <c r="AM1364" s="113"/>
      <c r="AN1364" s="113"/>
      <c r="AO1364" s="113"/>
      <c r="AP1364" s="113"/>
      <c r="AQ1364" s="113"/>
      <c r="AR1364" s="46">
        <v>0</v>
      </c>
      <c r="AS1364" s="113"/>
      <c r="AT1364" s="113"/>
      <c r="AU1364" s="113"/>
      <c r="AV1364" s="113"/>
      <c r="AW1364" s="113"/>
      <c r="AX1364" s="46">
        <v>0</v>
      </c>
      <c r="AY1364" s="113"/>
      <c r="AZ1364" s="113"/>
      <c r="BA1364" s="113"/>
      <c r="BB1364" s="113"/>
      <c r="BC1364" s="113"/>
      <c r="BD1364" s="46">
        <v>0</v>
      </c>
      <c r="BE1364" s="113"/>
      <c r="BF1364" s="113"/>
      <c r="BG1364" s="113"/>
      <c r="BH1364" s="113"/>
      <c r="BI1364" s="113"/>
      <c r="BJ1364" s="46">
        <v>0</v>
      </c>
      <c r="BK1364" s="113"/>
      <c r="BL1364" s="113"/>
      <c r="BM1364" s="113"/>
      <c r="BN1364" s="113"/>
      <c r="BO1364" s="113"/>
      <c r="BP1364" s="121"/>
      <c r="BQ1364" s="121"/>
      <c r="GA1364" t="s">
        <v>18300</v>
      </c>
      <c r="GB1364" t="s">
        <v>23135</v>
      </c>
      <c r="GC1364" s="46">
        <v>0</v>
      </c>
      <c r="GD1364" s="113"/>
      <c r="GE1364" s="113"/>
      <c r="GF1364" s="113"/>
      <c r="GG1364" s="113"/>
      <c r="GH1364" s="113"/>
      <c r="GI1364" s="46">
        <v>0</v>
      </c>
      <c r="GJ1364" s="113"/>
      <c r="GK1364" s="113"/>
      <c r="GL1364" s="113"/>
      <c r="GM1364" s="113"/>
      <c r="GN1364" s="113"/>
      <c r="GO1364" s="46">
        <v>0</v>
      </c>
      <c r="GP1364" s="113"/>
      <c r="GQ1364" s="113"/>
      <c r="GR1364" s="113"/>
      <c r="GS1364" s="113"/>
      <c r="GT1364" s="113"/>
      <c r="GU1364" s="46">
        <v>0</v>
      </c>
      <c r="GV1364" s="113"/>
      <c r="GW1364" s="113"/>
      <c r="GX1364" s="113"/>
      <c r="GY1364" s="113"/>
      <c r="GZ1364" s="113"/>
      <c r="HA1364" s="46">
        <v>0</v>
      </c>
      <c r="HB1364" s="113"/>
      <c r="HC1364" s="113"/>
      <c r="HD1364" s="113"/>
      <c r="HE1364" s="113"/>
      <c r="HF1364" s="113"/>
      <c r="HG1364" s="46">
        <v>0</v>
      </c>
      <c r="HH1364" s="113"/>
      <c r="HI1364" s="113"/>
      <c r="HJ1364" s="113"/>
      <c r="HK1364" s="113"/>
      <c r="HL1364" s="113"/>
      <c r="HM1364" s="121"/>
      <c r="HN1364" s="121"/>
      <c r="LM1364" t="str">
        <v/>
      </c>
      <c r="LN1364" t="str">
        <v/>
      </c>
      <c r="LO1364" t="str">
        <v/>
      </c>
    </row>
    <row r="1365" spans="30:327">
      <c r="AD1365" t="s">
        <v>18300</v>
      </c>
      <c r="AE1365" t="s">
        <v>23136</v>
      </c>
      <c r="AF1365" s="46">
        <v>0</v>
      </c>
      <c r="AG1365" s="113"/>
      <c r="AH1365" s="113"/>
      <c r="AI1365" s="113"/>
      <c r="AJ1365" s="113"/>
      <c r="AK1365" s="113"/>
      <c r="AL1365" s="46">
        <v>0</v>
      </c>
      <c r="AM1365" s="113"/>
      <c r="AN1365" s="113"/>
      <c r="AO1365" s="113"/>
      <c r="AP1365" s="113"/>
      <c r="AQ1365" s="113"/>
      <c r="AR1365" s="46">
        <v>0</v>
      </c>
      <c r="AS1365" s="113"/>
      <c r="AT1365" s="113"/>
      <c r="AU1365" s="113"/>
      <c r="AV1365" s="113"/>
      <c r="AW1365" s="113"/>
      <c r="AX1365" s="46">
        <v>0</v>
      </c>
      <c r="AY1365" s="113"/>
      <c r="AZ1365" s="113"/>
      <c r="BA1365" s="113"/>
      <c r="BB1365" s="113"/>
      <c r="BC1365" s="113"/>
      <c r="BD1365" s="46">
        <v>0</v>
      </c>
      <c r="BE1365" s="113"/>
      <c r="BF1365" s="113"/>
      <c r="BG1365" s="113"/>
      <c r="BH1365" s="113"/>
      <c r="BI1365" s="113"/>
      <c r="BJ1365" s="46">
        <v>0</v>
      </c>
      <c r="BK1365" s="113"/>
      <c r="BL1365" s="113"/>
      <c r="BM1365" s="113"/>
      <c r="BN1365" s="113"/>
      <c r="BO1365" s="113"/>
      <c r="BP1365" s="121"/>
      <c r="BQ1365" s="121"/>
      <c r="GA1365" t="s">
        <v>18300</v>
      </c>
      <c r="GB1365" t="s">
        <v>23136</v>
      </c>
      <c r="GC1365" s="46">
        <v>0</v>
      </c>
      <c r="GD1365" s="113"/>
      <c r="GE1365" s="113"/>
      <c r="GF1365" s="113"/>
      <c r="GG1365" s="113"/>
      <c r="GH1365" s="113"/>
      <c r="GI1365" s="46">
        <v>0</v>
      </c>
      <c r="GJ1365" s="113"/>
      <c r="GK1365" s="113"/>
      <c r="GL1365" s="113"/>
      <c r="GM1365" s="113"/>
      <c r="GN1365" s="113"/>
      <c r="GO1365" s="46">
        <v>0</v>
      </c>
      <c r="GP1365" s="113"/>
      <c r="GQ1365" s="113"/>
      <c r="GR1365" s="113"/>
      <c r="GS1365" s="113"/>
      <c r="GT1365" s="113"/>
      <c r="GU1365" s="46">
        <v>0</v>
      </c>
      <c r="GV1365" s="113"/>
      <c r="GW1365" s="113"/>
      <c r="GX1365" s="113"/>
      <c r="GY1365" s="113"/>
      <c r="GZ1365" s="113"/>
      <c r="HA1365" s="46">
        <v>0</v>
      </c>
      <c r="HB1365" s="113"/>
      <c r="HC1365" s="113"/>
      <c r="HD1365" s="113"/>
      <c r="HE1365" s="113"/>
      <c r="HF1365" s="113"/>
      <c r="HG1365" s="46">
        <v>0</v>
      </c>
      <c r="HH1365" s="113"/>
      <c r="HI1365" s="113"/>
      <c r="HJ1365" s="113"/>
      <c r="HK1365" s="113"/>
      <c r="HL1365" s="113"/>
      <c r="HM1365" s="121"/>
      <c r="HN1365" s="121"/>
      <c r="LM1365" t="str">
        <v/>
      </c>
      <c r="LN1365" t="str">
        <v/>
      </c>
      <c r="LO1365" t="str">
        <v/>
      </c>
    </row>
    <row r="1366" spans="30:327">
      <c r="AD1366" t="s">
        <v>18300</v>
      </c>
      <c r="AE1366" t="s">
        <v>23137</v>
      </c>
      <c r="AF1366" s="46">
        <v>0</v>
      </c>
      <c r="AG1366" s="113"/>
      <c r="AH1366" s="113"/>
      <c r="AI1366" s="113"/>
      <c r="AJ1366" s="113"/>
      <c r="AK1366" s="113"/>
      <c r="AL1366" s="46">
        <v>0</v>
      </c>
      <c r="AM1366" s="113"/>
      <c r="AN1366" s="113"/>
      <c r="AO1366" s="113"/>
      <c r="AP1366" s="113"/>
      <c r="AQ1366" s="113"/>
      <c r="AR1366" s="46">
        <v>0</v>
      </c>
      <c r="AS1366" s="113"/>
      <c r="AT1366" s="113"/>
      <c r="AU1366" s="113"/>
      <c r="AV1366" s="113"/>
      <c r="AW1366" s="113"/>
      <c r="AX1366" s="46">
        <v>0</v>
      </c>
      <c r="AY1366" s="113"/>
      <c r="AZ1366" s="113"/>
      <c r="BA1366" s="113"/>
      <c r="BB1366" s="113"/>
      <c r="BC1366" s="113"/>
      <c r="BD1366" s="46">
        <v>0</v>
      </c>
      <c r="BE1366" s="113"/>
      <c r="BF1366" s="113"/>
      <c r="BG1366" s="113"/>
      <c r="BH1366" s="113"/>
      <c r="BI1366" s="113"/>
      <c r="BJ1366" s="46">
        <v>0</v>
      </c>
      <c r="BK1366" s="113"/>
      <c r="BL1366" s="113"/>
      <c r="BM1366" s="113"/>
      <c r="BN1366" s="113"/>
      <c r="BO1366" s="113"/>
      <c r="BP1366" s="121"/>
      <c r="BQ1366" s="121"/>
      <c r="GA1366" t="s">
        <v>18300</v>
      </c>
      <c r="GB1366" t="s">
        <v>23137</v>
      </c>
      <c r="GC1366" s="46">
        <v>0</v>
      </c>
      <c r="GD1366" s="113"/>
      <c r="GE1366" s="113"/>
      <c r="GF1366" s="113"/>
      <c r="GG1366" s="113"/>
      <c r="GH1366" s="113"/>
      <c r="GI1366" s="46">
        <v>0</v>
      </c>
      <c r="GJ1366" s="113"/>
      <c r="GK1366" s="113"/>
      <c r="GL1366" s="113"/>
      <c r="GM1366" s="113"/>
      <c r="GN1366" s="113"/>
      <c r="GO1366" s="46">
        <v>0</v>
      </c>
      <c r="GP1366" s="113"/>
      <c r="GQ1366" s="113"/>
      <c r="GR1366" s="113"/>
      <c r="GS1366" s="113"/>
      <c r="GT1366" s="113"/>
      <c r="GU1366" s="46">
        <v>0</v>
      </c>
      <c r="GV1366" s="113"/>
      <c r="GW1366" s="113"/>
      <c r="GX1366" s="113"/>
      <c r="GY1366" s="113"/>
      <c r="GZ1366" s="113"/>
      <c r="HA1366" s="46">
        <v>0</v>
      </c>
      <c r="HB1366" s="113"/>
      <c r="HC1366" s="113"/>
      <c r="HD1366" s="113"/>
      <c r="HE1366" s="113"/>
      <c r="HF1366" s="113"/>
      <c r="HG1366" s="46">
        <v>0</v>
      </c>
      <c r="HH1366" s="113"/>
      <c r="HI1366" s="113"/>
      <c r="HJ1366" s="113"/>
      <c r="HK1366" s="113"/>
      <c r="HL1366" s="113"/>
      <c r="HM1366" s="121"/>
      <c r="HN1366" s="121"/>
      <c r="LM1366" t="str">
        <v/>
      </c>
      <c r="LN1366" t="str">
        <v/>
      </c>
      <c r="LO1366" t="str">
        <v/>
      </c>
    </row>
    <row r="1367" spans="30:327">
      <c r="AD1367" t="s">
        <v>18300</v>
      </c>
      <c r="AE1367" t="s">
        <v>23138</v>
      </c>
      <c r="AF1367" s="46">
        <v>0</v>
      </c>
      <c r="AG1367" s="113"/>
      <c r="AH1367" s="113"/>
      <c r="AI1367" s="113"/>
      <c r="AJ1367" s="113"/>
      <c r="AK1367" s="113"/>
      <c r="AL1367" s="46">
        <v>0</v>
      </c>
      <c r="AM1367" s="113"/>
      <c r="AN1367" s="113"/>
      <c r="AO1367" s="113"/>
      <c r="AP1367" s="113"/>
      <c r="AQ1367" s="113"/>
      <c r="AR1367" s="46">
        <v>0</v>
      </c>
      <c r="AS1367" s="113"/>
      <c r="AT1367" s="113"/>
      <c r="AU1367" s="113"/>
      <c r="AV1367" s="113"/>
      <c r="AW1367" s="113"/>
      <c r="AX1367" s="46">
        <v>0</v>
      </c>
      <c r="AY1367" s="113"/>
      <c r="AZ1367" s="113"/>
      <c r="BA1367" s="113"/>
      <c r="BB1367" s="113"/>
      <c r="BC1367" s="113"/>
      <c r="BD1367" s="46">
        <v>0</v>
      </c>
      <c r="BE1367" s="113"/>
      <c r="BF1367" s="113"/>
      <c r="BG1367" s="113"/>
      <c r="BH1367" s="113"/>
      <c r="BI1367" s="113"/>
      <c r="BJ1367" s="46">
        <v>0</v>
      </c>
      <c r="BK1367" s="113"/>
      <c r="BL1367" s="113"/>
      <c r="BM1367" s="113"/>
      <c r="BN1367" s="113"/>
      <c r="BO1367" s="113"/>
      <c r="BP1367" s="121"/>
      <c r="BQ1367" s="121"/>
      <c r="GA1367" t="s">
        <v>18300</v>
      </c>
      <c r="GB1367" t="s">
        <v>23138</v>
      </c>
      <c r="GC1367" s="46">
        <v>0</v>
      </c>
      <c r="GD1367" s="113"/>
      <c r="GE1367" s="113"/>
      <c r="GF1367" s="113"/>
      <c r="GG1367" s="113"/>
      <c r="GH1367" s="113"/>
      <c r="GI1367" s="46">
        <v>0</v>
      </c>
      <c r="GJ1367" s="113"/>
      <c r="GK1367" s="113"/>
      <c r="GL1367" s="113"/>
      <c r="GM1367" s="113"/>
      <c r="GN1367" s="113"/>
      <c r="GO1367" s="46">
        <v>0</v>
      </c>
      <c r="GP1367" s="113"/>
      <c r="GQ1367" s="113"/>
      <c r="GR1367" s="113"/>
      <c r="GS1367" s="113"/>
      <c r="GT1367" s="113"/>
      <c r="GU1367" s="46">
        <v>0</v>
      </c>
      <c r="GV1367" s="113"/>
      <c r="GW1367" s="113"/>
      <c r="GX1367" s="113"/>
      <c r="GY1367" s="113"/>
      <c r="GZ1367" s="113"/>
      <c r="HA1367" s="46">
        <v>0</v>
      </c>
      <c r="HB1367" s="113"/>
      <c r="HC1367" s="113"/>
      <c r="HD1367" s="113"/>
      <c r="HE1367" s="113"/>
      <c r="HF1367" s="113"/>
      <c r="HG1367" s="46">
        <v>0</v>
      </c>
      <c r="HH1367" s="113"/>
      <c r="HI1367" s="113"/>
      <c r="HJ1367" s="113"/>
      <c r="HK1367" s="113"/>
      <c r="HL1367" s="113"/>
      <c r="HM1367" s="121"/>
      <c r="HN1367" s="121"/>
      <c r="LM1367" t="str">
        <v/>
      </c>
      <c r="LN1367" t="str">
        <v/>
      </c>
      <c r="LO1367" t="str">
        <v/>
      </c>
    </row>
    <row r="1368" spans="30:327">
      <c r="AD1368" t="s">
        <v>18300</v>
      </c>
      <c r="AE1368" t="s">
        <v>23139</v>
      </c>
      <c r="AF1368" s="46">
        <v>0</v>
      </c>
      <c r="AG1368" s="113"/>
      <c r="AH1368" s="113"/>
      <c r="AI1368" s="113"/>
      <c r="AJ1368" s="113"/>
      <c r="AK1368" s="113"/>
      <c r="AL1368" s="46">
        <v>0</v>
      </c>
      <c r="AM1368" s="113"/>
      <c r="AN1368" s="113"/>
      <c r="AO1368" s="113"/>
      <c r="AP1368" s="113"/>
      <c r="AQ1368" s="113"/>
      <c r="AR1368" s="46">
        <v>0</v>
      </c>
      <c r="AS1368" s="113"/>
      <c r="AT1368" s="113"/>
      <c r="AU1368" s="113"/>
      <c r="AV1368" s="113"/>
      <c r="AW1368" s="113"/>
      <c r="AX1368" s="46">
        <v>0</v>
      </c>
      <c r="AY1368" s="113"/>
      <c r="AZ1368" s="113"/>
      <c r="BA1368" s="113"/>
      <c r="BB1368" s="113"/>
      <c r="BC1368" s="113"/>
      <c r="BD1368" s="46">
        <v>0</v>
      </c>
      <c r="BE1368" s="113"/>
      <c r="BF1368" s="113"/>
      <c r="BG1368" s="113"/>
      <c r="BH1368" s="113"/>
      <c r="BI1368" s="113"/>
      <c r="BJ1368" s="46">
        <v>0</v>
      </c>
      <c r="BK1368" s="113"/>
      <c r="BL1368" s="113"/>
      <c r="BM1368" s="113"/>
      <c r="BN1368" s="113"/>
      <c r="BO1368" s="113"/>
      <c r="BP1368" s="121"/>
      <c r="BQ1368" s="121"/>
      <c r="GA1368" t="s">
        <v>18300</v>
      </c>
      <c r="GB1368" t="s">
        <v>23139</v>
      </c>
      <c r="GC1368" s="46">
        <v>0</v>
      </c>
      <c r="GD1368" s="113"/>
      <c r="GE1368" s="113"/>
      <c r="GF1368" s="113"/>
      <c r="GG1368" s="113"/>
      <c r="GH1368" s="113"/>
      <c r="GI1368" s="46">
        <v>0</v>
      </c>
      <c r="GJ1368" s="113"/>
      <c r="GK1368" s="113"/>
      <c r="GL1368" s="113"/>
      <c r="GM1368" s="113"/>
      <c r="GN1368" s="113"/>
      <c r="GO1368" s="46">
        <v>0</v>
      </c>
      <c r="GP1368" s="113"/>
      <c r="GQ1368" s="113"/>
      <c r="GR1368" s="113"/>
      <c r="GS1368" s="113"/>
      <c r="GT1368" s="113"/>
      <c r="GU1368" s="46">
        <v>0</v>
      </c>
      <c r="GV1368" s="113"/>
      <c r="GW1368" s="113"/>
      <c r="GX1368" s="113"/>
      <c r="GY1368" s="113"/>
      <c r="GZ1368" s="113"/>
      <c r="HA1368" s="46">
        <v>0</v>
      </c>
      <c r="HB1368" s="113"/>
      <c r="HC1368" s="113"/>
      <c r="HD1368" s="113"/>
      <c r="HE1368" s="113"/>
      <c r="HF1368" s="113"/>
      <c r="HG1368" s="46">
        <v>0</v>
      </c>
      <c r="HH1368" s="113"/>
      <c r="HI1368" s="113"/>
      <c r="HJ1368" s="113"/>
      <c r="HK1368" s="113"/>
      <c r="HL1368" s="113"/>
      <c r="HM1368" s="121"/>
      <c r="HN1368" s="121"/>
      <c r="LM1368" t="str">
        <v/>
      </c>
      <c r="LN1368" t="str">
        <v/>
      </c>
      <c r="LO1368" t="str">
        <v/>
      </c>
    </row>
    <row r="1369" spans="30:327">
      <c r="AD1369" t="s">
        <v>18300</v>
      </c>
      <c r="AE1369" t="s">
        <v>23140</v>
      </c>
      <c r="AF1369" s="46">
        <v>0</v>
      </c>
      <c r="AG1369" s="113"/>
      <c r="AH1369" s="113"/>
      <c r="AI1369" s="113"/>
      <c r="AJ1369" s="113"/>
      <c r="AK1369" s="113"/>
      <c r="AL1369" s="46">
        <v>0</v>
      </c>
      <c r="AM1369" s="113"/>
      <c r="AN1369" s="113"/>
      <c r="AO1369" s="113"/>
      <c r="AP1369" s="113"/>
      <c r="AQ1369" s="113"/>
      <c r="AR1369" s="46">
        <v>0</v>
      </c>
      <c r="AS1369" s="113"/>
      <c r="AT1369" s="113"/>
      <c r="AU1369" s="113"/>
      <c r="AV1369" s="113"/>
      <c r="AW1369" s="113"/>
      <c r="AX1369" s="46">
        <v>0</v>
      </c>
      <c r="AY1369" s="113"/>
      <c r="AZ1369" s="113"/>
      <c r="BA1369" s="113"/>
      <c r="BB1369" s="113"/>
      <c r="BC1369" s="113"/>
      <c r="BD1369" s="46">
        <v>0</v>
      </c>
      <c r="BE1369" s="113"/>
      <c r="BF1369" s="113"/>
      <c r="BG1369" s="113"/>
      <c r="BH1369" s="113"/>
      <c r="BI1369" s="113"/>
      <c r="BJ1369" s="46">
        <v>0</v>
      </c>
      <c r="BK1369" s="113"/>
      <c r="BL1369" s="113"/>
      <c r="BM1369" s="113"/>
      <c r="BN1369" s="113"/>
      <c r="BO1369" s="113"/>
      <c r="BP1369" s="121"/>
      <c r="BQ1369" s="121"/>
      <c r="GA1369" t="s">
        <v>18300</v>
      </c>
      <c r="GB1369" t="s">
        <v>23140</v>
      </c>
      <c r="GC1369" s="46">
        <v>0</v>
      </c>
      <c r="GD1369" s="113"/>
      <c r="GE1369" s="113"/>
      <c r="GF1369" s="113"/>
      <c r="GG1369" s="113"/>
      <c r="GH1369" s="113"/>
      <c r="GI1369" s="46">
        <v>0</v>
      </c>
      <c r="GJ1369" s="113"/>
      <c r="GK1369" s="113"/>
      <c r="GL1369" s="113"/>
      <c r="GM1369" s="113"/>
      <c r="GN1369" s="113"/>
      <c r="GO1369" s="46">
        <v>0</v>
      </c>
      <c r="GP1369" s="113"/>
      <c r="GQ1369" s="113"/>
      <c r="GR1369" s="113"/>
      <c r="GS1369" s="113"/>
      <c r="GT1369" s="113"/>
      <c r="GU1369" s="46">
        <v>0</v>
      </c>
      <c r="GV1369" s="113"/>
      <c r="GW1369" s="113"/>
      <c r="GX1369" s="113"/>
      <c r="GY1369" s="113"/>
      <c r="GZ1369" s="113"/>
      <c r="HA1369" s="46">
        <v>0</v>
      </c>
      <c r="HB1369" s="113"/>
      <c r="HC1369" s="113"/>
      <c r="HD1369" s="113"/>
      <c r="HE1369" s="113"/>
      <c r="HF1369" s="113"/>
      <c r="HG1369" s="46">
        <v>0</v>
      </c>
      <c r="HH1369" s="113"/>
      <c r="HI1369" s="113"/>
      <c r="HJ1369" s="113"/>
      <c r="HK1369" s="113"/>
      <c r="HL1369" s="113"/>
      <c r="HM1369" s="121"/>
      <c r="HN1369" s="121"/>
      <c r="LM1369" t="str">
        <v/>
      </c>
      <c r="LN1369" t="str">
        <v/>
      </c>
      <c r="LO1369" t="str">
        <v/>
      </c>
    </row>
    <row r="1370" spans="30:327">
      <c r="AD1370" t="s">
        <v>18300</v>
      </c>
      <c r="AE1370" t="s">
        <v>23141</v>
      </c>
      <c r="AF1370" s="46">
        <v>0</v>
      </c>
      <c r="AG1370" s="113"/>
      <c r="AH1370" s="113"/>
      <c r="AI1370" s="113"/>
      <c r="AJ1370" s="113"/>
      <c r="AK1370" s="113"/>
      <c r="AL1370" s="46">
        <v>0</v>
      </c>
      <c r="AM1370" s="113"/>
      <c r="AN1370" s="113"/>
      <c r="AO1370" s="113"/>
      <c r="AP1370" s="113"/>
      <c r="AQ1370" s="113"/>
      <c r="AR1370" s="46">
        <v>0</v>
      </c>
      <c r="AS1370" s="113"/>
      <c r="AT1370" s="113"/>
      <c r="AU1370" s="113"/>
      <c r="AV1370" s="113"/>
      <c r="AW1370" s="113"/>
      <c r="AX1370" s="46">
        <v>0</v>
      </c>
      <c r="AY1370" s="113"/>
      <c r="AZ1370" s="113"/>
      <c r="BA1370" s="113"/>
      <c r="BB1370" s="113"/>
      <c r="BC1370" s="113"/>
      <c r="BD1370" s="46">
        <v>0</v>
      </c>
      <c r="BE1370" s="113"/>
      <c r="BF1370" s="113"/>
      <c r="BG1370" s="113"/>
      <c r="BH1370" s="113"/>
      <c r="BI1370" s="113"/>
      <c r="BJ1370" s="46">
        <v>0</v>
      </c>
      <c r="BK1370" s="113"/>
      <c r="BL1370" s="113"/>
      <c r="BM1370" s="113"/>
      <c r="BN1370" s="113"/>
      <c r="BO1370" s="113"/>
      <c r="BP1370" s="121"/>
      <c r="BQ1370" s="121"/>
      <c r="GA1370" t="s">
        <v>18300</v>
      </c>
      <c r="GB1370" t="s">
        <v>23141</v>
      </c>
      <c r="GC1370" s="46">
        <v>0</v>
      </c>
      <c r="GD1370" s="113"/>
      <c r="GE1370" s="113"/>
      <c r="GF1370" s="113"/>
      <c r="GG1370" s="113"/>
      <c r="GH1370" s="113"/>
      <c r="GI1370" s="46">
        <v>0</v>
      </c>
      <c r="GJ1370" s="113"/>
      <c r="GK1370" s="113"/>
      <c r="GL1370" s="113"/>
      <c r="GM1370" s="113"/>
      <c r="GN1370" s="113"/>
      <c r="GO1370" s="46">
        <v>0</v>
      </c>
      <c r="GP1370" s="113"/>
      <c r="GQ1370" s="113"/>
      <c r="GR1370" s="113"/>
      <c r="GS1370" s="113"/>
      <c r="GT1370" s="113"/>
      <c r="GU1370" s="46">
        <v>0</v>
      </c>
      <c r="GV1370" s="113"/>
      <c r="GW1370" s="113"/>
      <c r="GX1370" s="113"/>
      <c r="GY1370" s="113"/>
      <c r="GZ1370" s="113"/>
      <c r="HA1370" s="46">
        <v>0</v>
      </c>
      <c r="HB1370" s="113"/>
      <c r="HC1370" s="113"/>
      <c r="HD1370" s="113"/>
      <c r="HE1370" s="113"/>
      <c r="HF1370" s="113"/>
      <c r="HG1370" s="46">
        <v>0</v>
      </c>
      <c r="HH1370" s="113"/>
      <c r="HI1370" s="113"/>
      <c r="HJ1370" s="113"/>
      <c r="HK1370" s="113"/>
      <c r="HL1370" s="113"/>
      <c r="HM1370" s="121"/>
      <c r="HN1370" s="121"/>
      <c r="LM1370" t="str">
        <v/>
      </c>
      <c r="LN1370" t="str">
        <v/>
      </c>
      <c r="LO1370" t="str">
        <v/>
      </c>
    </row>
    <row r="1371" spans="30:327">
      <c r="AD1371" t="s">
        <v>18300</v>
      </c>
      <c r="AE1371" t="s">
        <v>23142</v>
      </c>
      <c r="AF1371" s="46">
        <v>0</v>
      </c>
      <c r="AG1371" s="113"/>
      <c r="AH1371" s="113"/>
      <c r="AI1371" s="113"/>
      <c r="AJ1371" s="113"/>
      <c r="AK1371" s="113"/>
      <c r="AL1371" s="46">
        <v>0</v>
      </c>
      <c r="AM1371" s="113"/>
      <c r="AN1371" s="113"/>
      <c r="AO1371" s="113"/>
      <c r="AP1371" s="113"/>
      <c r="AQ1371" s="113"/>
      <c r="AR1371" s="46">
        <v>0</v>
      </c>
      <c r="AS1371" s="113"/>
      <c r="AT1371" s="113"/>
      <c r="AU1371" s="113"/>
      <c r="AV1371" s="113"/>
      <c r="AW1371" s="113"/>
      <c r="AX1371" s="46">
        <v>0</v>
      </c>
      <c r="AY1371" s="113"/>
      <c r="AZ1371" s="113"/>
      <c r="BA1371" s="113"/>
      <c r="BB1371" s="113"/>
      <c r="BC1371" s="113"/>
      <c r="BD1371" s="46">
        <v>0</v>
      </c>
      <c r="BE1371" s="113"/>
      <c r="BF1371" s="113"/>
      <c r="BG1371" s="113"/>
      <c r="BH1371" s="113"/>
      <c r="BI1371" s="113"/>
      <c r="BJ1371" s="46">
        <v>0</v>
      </c>
      <c r="BK1371" s="113"/>
      <c r="BL1371" s="113"/>
      <c r="BM1371" s="113"/>
      <c r="BN1371" s="113"/>
      <c r="BO1371" s="113"/>
      <c r="BP1371" s="121"/>
      <c r="BQ1371" s="121"/>
      <c r="GA1371" t="s">
        <v>18300</v>
      </c>
      <c r="GB1371" t="s">
        <v>23142</v>
      </c>
      <c r="GC1371" s="46">
        <v>0</v>
      </c>
      <c r="GD1371" s="113"/>
      <c r="GE1371" s="113"/>
      <c r="GF1371" s="113"/>
      <c r="GG1371" s="113"/>
      <c r="GH1371" s="113"/>
      <c r="GI1371" s="46">
        <v>0</v>
      </c>
      <c r="GJ1371" s="113"/>
      <c r="GK1371" s="113"/>
      <c r="GL1371" s="113"/>
      <c r="GM1371" s="113"/>
      <c r="GN1371" s="113"/>
      <c r="GO1371" s="46">
        <v>0</v>
      </c>
      <c r="GP1371" s="113"/>
      <c r="GQ1371" s="113"/>
      <c r="GR1371" s="113"/>
      <c r="GS1371" s="113"/>
      <c r="GT1371" s="113"/>
      <c r="GU1371" s="46">
        <v>0</v>
      </c>
      <c r="GV1371" s="113"/>
      <c r="GW1371" s="113"/>
      <c r="GX1371" s="113"/>
      <c r="GY1371" s="113"/>
      <c r="GZ1371" s="113"/>
      <c r="HA1371" s="46">
        <v>0</v>
      </c>
      <c r="HB1371" s="113"/>
      <c r="HC1371" s="113"/>
      <c r="HD1371" s="113"/>
      <c r="HE1371" s="113"/>
      <c r="HF1371" s="113"/>
      <c r="HG1371" s="46">
        <v>0</v>
      </c>
      <c r="HH1371" s="113"/>
      <c r="HI1371" s="113"/>
      <c r="HJ1371" s="113"/>
      <c r="HK1371" s="113"/>
      <c r="HL1371" s="113"/>
      <c r="HM1371" s="121"/>
      <c r="HN1371" s="121"/>
      <c r="LM1371" t="str">
        <v/>
      </c>
      <c r="LN1371" t="str">
        <v/>
      </c>
      <c r="LO1371" t="str">
        <v/>
      </c>
    </row>
    <row r="1372" spans="30:327">
      <c r="AD1372" t="s">
        <v>18300</v>
      </c>
      <c r="AE1372" t="s">
        <v>23143</v>
      </c>
      <c r="AF1372" s="46">
        <v>0</v>
      </c>
      <c r="AG1372" s="113"/>
      <c r="AH1372" s="113"/>
      <c r="AI1372" s="113"/>
      <c r="AJ1372" s="113"/>
      <c r="AK1372" s="113"/>
      <c r="AL1372" s="46">
        <v>0</v>
      </c>
      <c r="AM1372" s="113"/>
      <c r="AN1372" s="113"/>
      <c r="AO1372" s="113"/>
      <c r="AP1372" s="113"/>
      <c r="AQ1372" s="113"/>
      <c r="AR1372" s="46">
        <v>0</v>
      </c>
      <c r="AS1372" s="113"/>
      <c r="AT1372" s="113"/>
      <c r="AU1372" s="113"/>
      <c r="AV1372" s="113"/>
      <c r="AW1372" s="113"/>
      <c r="AX1372" s="46">
        <v>0</v>
      </c>
      <c r="AY1372" s="113"/>
      <c r="AZ1372" s="113"/>
      <c r="BA1372" s="113"/>
      <c r="BB1372" s="113"/>
      <c r="BC1372" s="113"/>
      <c r="BD1372" s="46">
        <v>0</v>
      </c>
      <c r="BE1372" s="113"/>
      <c r="BF1372" s="113"/>
      <c r="BG1372" s="113"/>
      <c r="BH1372" s="113"/>
      <c r="BI1372" s="113"/>
      <c r="BJ1372" s="46">
        <v>0</v>
      </c>
      <c r="BK1372" s="113"/>
      <c r="BL1372" s="113"/>
      <c r="BM1372" s="113"/>
      <c r="BN1372" s="113"/>
      <c r="BO1372" s="113"/>
      <c r="BP1372" s="121"/>
      <c r="BQ1372" s="121"/>
      <c r="GA1372" t="s">
        <v>18300</v>
      </c>
      <c r="GB1372" t="s">
        <v>23143</v>
      </c>
      <c r="GC1372" s="46">
        <v>0</v>
      </c>
      <c r="GD1372" s="113"/>
      <c r="GE1372" s="113"/>
      <c r="GF1372" s="113"/>
      <c r="GG1372" s="113"/>
      <c r="GH1372" s="113"/>
      <c r="GI1372" s="46">
        <v>0</v>
      </c>
      <c r="GJ1372" s="113"/>
      <c r="GK1372" s="113"/>
      <c r="GL1372" s="113"/>
      <c r="GM1372" s="113"/>
      <c r="GN1372" s="113"/>
      <c r="GO1372" s="46">
        <v>0</v>
      </c>
      <c r="GP1372" s="113"/>
      <c r="GQ1372" s="113"/>
      <c r="GR1372" s="113"/>
      <c r="GS1372" s="113"/>
      <c r="GT1372" s="113"/>
      <c r="GU1372" s="46">
        <v>0</v>
      </c>
      <c r="GV1372" s="113"/>
      <c r="GW1372" s="113"/>
      <c r="GX1372" s="113"/>
      <c r="GY1372" s="113"/>
      <c r="GZ1372" s="113"/>
      <c r="HA1372" s="46">
        <v>0</v>
      </c>
      <c r="HB1372" s="113"/>
      <c r="HC1372" s="113"/>
      <c r="HD1372" s="113"/>
      <c r="HE1372" s="113"/>
      <c r="HF1372" s="113"/>
      <c r="HG1372" s="46">
        <v>0</v>
      </c>
      <c r="HH1372" s="113"/>
      <c r="HI1372" s="113"/>
      <c r="HJ1372" s="113"/>
      <c r="HK1372" s="113"/>
      <c r="HL1372" s="113"/>
      <c r="HM1372" s="121"/>
      <c r="HN1372" s="121"/>
      <c r="LM1372" t="str">
        <v/>
      </c>
      <c r="LN1372" t="str">
        <v/>
      </c>
      <c r="LO1372" t="str">
        <v/>
      </c>
    </row>
    <row r="1373" spans="30:327">
      <c r="AD1373" t="s">
        <v>18300</v>
      </c>
      <c r="AE1373" t="s">
        <v>23144</v>
      </c>
      <c r="AF1373" s="46">
        <v>0</v>
      </c>
      <c r="AG1373" s="113"/>
      <c r="AH1373" s="113"/>
      <c r="AI1373" s="113"/>
      <c r="AJ1373" s="113"/>
      <c r="AK1373" s="113"/>
      <c r="AL1373" s="46">
        <v>0</v>
      </c>
      <c r="AM1373" s="113"/>
      <c r="AN1373" s="113"/>
      <c r="AO1373" s="113"/>
      <c r="AP1373" s="113"/>
      <c r="AQ1373" s="113"/>
      <c r="AR1373" s="46">
        <v>0</v>
      </c>
      <c r="AS1373" s="113"/>
      <c r="AT1373" s="113"/>
      <c r="AU1373" s="113"/>
      <c r="AV1373" s="113"/>
      <c r="AW1373" s="113"/>
      <c r="AX1373" s="46">
        <v>0</v>
      </c>
      <c r="AY1373" s="113"/>
      <c r="AZ1373" s="113"/>
      <c r="BA1373" s="113"/>
      <c r="BB1373" s="113"/>
      <c r="BC1373" s="113"/>
      <c r="BD1373" s="46">
        <v>0</v>
      </c>
      <c r="BE1373" s="113"/>
      <c r="BF1373" s="113"/>
      <c r="BG1373" s="113"/>
      <c r="BH1373" s="113"/>
      <c r="BI1373" s="113"/>
      <c r="BJ1373" s="46">
        <v>0</v>
      </c>
      <c r="BK1373" s="113"/>
      <c r="BL1373" s="113"/>
      <c r="BM1373" s="113"/>
      <c r="BN1373" s="113"/>
      <c r="BO1373" s="113"/>
      <c r="BP1373" s="121"/>
      <c r="BQ1373" s="121"/>
      <c r="GA1373" t="s">
        <v>18300</v>
      </c>
      <c r="GB1373" t="s">
        <v>23144</v>
      </c>
      <c r="GC1373" s="46">
        <v>0</v>
      </c>
      <c r="GD1373" s="113"/>
      <c r="GE1373" s="113"/>
      <c r="GF1373" s="113"/>
      <c r="GG1373" s="113"/>
      <c r="GH1373" s="113"/>
      <c r="GI1373" s="46">
        <v>0</v>
      </c>
      <c r="GJ1373" s="113"/>
      <c r="GK1373" s="113"/>
      <c r="GL1373" s="113"/>
      <c r="GM1373" s="113"/>
      <c r="GN1373" s="113"/>
      <c r="GO1373" s="46">
        <v>0</v>
      </c>
      <c r="GP1373" s="113"/>
      <c r="GQ1373" s="113"/>
      <c r="GR1373" s="113"/>
      <c r="GS1373" s="113"/>
      <c r="GT1373" s="113"/>
      <c r="GU1373" s="46">
        <v>0</v>
      </c>
      <c r="GV1373" s="113"/>
      <c r="GW1373" s="113"/>
      <c r="GX1373" s="113"/>
      <c r="GY1373" s="113"/>
      <c r="GZ1373" s="113"/>
      <c r="HA1373" s="46">
        <v>0</v>
      </c>
      <c r="HB1373" s="113"/>
      <c r="HC1373" s="113"/>
      <c r="HD1373" s="113"/>
      <c r="HE1373" s="113"/>
      <c r="HF1373" s="113"/>
      <c r="HG1373" s="46">
        <v>0</v>
      </c>
      <c r="HH1373" s="113"/>
      <c r="HI1373" s="113"/>
      <c r="HJ1373" s="113"/>
      <c r="HK1373" s="113"/>
      <c r="HL1373" s="113"/>
      <c r="HM1373" s="121"/>
      <c r="HN1373" s="121"/>
      <c r="LM1373" t="str">
        <v/>
      </c>
      <c r="LN1373" t="str">
        <v/>
      </c>
      <c r="LO1373" t="str">
        <v/>
      </c>
    </row>
    <row r="1374" spans="30:327">
      <c r="AD1374" t="s">
        <v>18300</v>
      </c>
      <c r="AE1374" t="s">
        <v>23145</v>
      </c>
      <c r="AF1374" s="46">
        <v>0</v>
      </c>
      <c r="AG1374" s="113"/>
      <c r="AH1374" s="113"/>
      <c r="AI1374" s="113"/>
      <c r="AJ1374" s="113"/>
      <c r="AK1374" s="113"/>
      <c r="AL1374" s="46">
        <v>0</v>
      </c>
      <c r="AM1374" s="113"/>
      <c r="AN1374" s="113"/>
      <c r="AO1374" s="113"/>
      <c r="AP1374" s="113"/>
      <c r="AQ1374" s="113"/>
      <c r="AR1374" s="46">
        <v>0</v>
      </c>
      <c r="AS1374" s="113"/>
      <c r="AT1374" s="113"/>
      <c r="AU1374" s="113"/>
      <c r="AV1374" s="113"/>
      <c r="AW1374" s="113"/>
      <c r="AX1374" s="46">
        <v>0</v>
      </c>
      <c r="AY1374" s="113"/>
      <c r="AZ1374" s="113"/>
      <c r="BA1374" s="113"/>
      <c r="BB1374" s="113"/>
      <c r="BC1374" s="113"/>
      <c r="BD1374" s="46">
        <v>0</v>
      </c>
      <c r="BE1374" s="113"/>
      <c r="BF1374" s="113"/>
      <c r="BG1374" s="113"/>
      <c r="BH1374" s="113"/>
      <c r="BI1374" s="113"/>
      <c r="BJ1374" s="46">
        <v>0</v>
      </c>
      <c r="BK1374" s="113"/>
      <c r="BL1374" s="113"/>
      <c r="BM1374" s="113"/>
      <c r="BN1374" s="113"/>
      <c r="BO1374" s="113"/>
      <c r="BP1374" s="121"/>
      <c r="BQ1374" s="121"/>
      <c r="GA1374" t="s">
        <v>18300</v>
      </c>
      <c r="GB1374" t="s">
        <v>23145</v>
      </c>
      <c r="GC1374" s="46">
        <v>0</v>
      </c>
      <c r="GD1374" s="113"/>
      <c r="GE1374" s="113"/>
      <c r="GF1374" s="113"/>
      <c r="GG1374" s="113"/>
      <c r="GH1374" s="113"/>
      <c r="GI1374" s="46">
        <v>0</v>
      </c>
      <c r="GJ1374" s="113"/>
      <c r="GK1374" s="113"/>
      <c r="GL1374" s="113"/>
      <c r="GM1374" s="113"/>
      <c r="GN1374" s="113"/>
      <c r="GO1374" s="46">
        <v>0</v>
      </c>
      <c r="GP1374" s="113"/>
      <c r="GQ1374" s="113"/>
      <c r="GR1374" s="113"/>
      <c r="GS1374" s="113"/>
      <c r="GT1374" s="113"/>
      <c r="GU1374" s="46">
        <v>0</v>
      </c>
      <c r="GV1374" s="113"/>
      <c r="GW1374" s="113"/>
      <c r="GX1374" s="113"/>
      <c r="GY1374" s="113"/>
      <c r="GZ1374" s="113"/>
      <c r="HA1374" s="46">
        <v>0</v>
      </c>
      <c r="HB1374" s="113"/>
      <c r="HC1374" s="113"/>
      <c r="HD1374" s="113"/>
      <c r="HE1374" s="113"/>
      <c r="HF1374" s="113"/>
      <c r="HG1374" s="46">
        <v>0</v>
      </c>
      <c r="HH1374" s="113"/>
      <c r="HI1374" s="113"/>
      <c r="HJ1374" s="113"/>
      <c r="HK1374" s="113"/>
      <c r="HL1374" s="113"/>
      <c r="HM1374" s="121"/>
      <c r="HN1374" s="121"/>
      <c r="LM1374" t="str">
        <v/>
      </c>
      <c r="LN1374" t="str">
        <v/>
      </c>
      <c r="LO1374" t="str">
        <v/>
      </c>
    </row>
    <row r="1375" spans="30:327">
      <c r="AD1375" t="s">
        <v>18300</v>
      </c>
      <c r="AE1375" t="s">
        <v>23146</v>
      </c>
      <c r="AF1375" s="46">
        <v>0</v>
      </c>
      <c r="AG1375" s="113"/>
      <c r="AH1375" s="113"/>
      <c r="AI1375" s="113"/>
      <c r="AJ1375" s="113"/>
      <c r="AK1375" s="113"/>
      <c r="AL1375" s="46">
        <v>0</v>
      </c>
      <c r="AM1375" s="113"/>
      <c r="AN1375" s="113"/>
      <c r="AO1375" s="113"/>
      <c r="AP1375" s="113"/>
      <c r="AQ1375" s="113"/>
      <c r="AR1375" s="46">
        <v>0</v>
      </c>
      <c r="AS1375" s="113"/>
      <c r="AT1375" s="113"/>
      <c r="AU1375" s="113"/>
      <c r="AV1375" s="113"/>
      <c r="AW1375" s="113"/>
      <c r="AX1375" s="46">
        <v>0</v>
      </c>
      <c r="AY1375" s="113"/>
      <c r="AZ1375" s="113"/>
      <c r="BA1375" s="113"/>
      <c r="BB1375" s="113"/>
      <c r="BC1375" s="113"/>
      <c r="BD1375" s="46">
        <v>0</v>
      </c>
      <c r="BE1375" s="113"/>
      <c r="BF1375" s="113"/>
      <c r="BG1375" s="113"/>
      <c r="BH1375" s="113"/>
      <c r="BI1375" s="113"/>
      <c r="BJ1375" s="46">
        <v>0</v>
      </c>
      <c r="BK1375" s="113"/>
      <c r="BL1375" s="113"/>
      <c r="BM1375" s="113"/>
      <c r="BN1375" s="113"/>
      <c r="BO1375" s="113"/>
      <c r="BP1375" s="121"/>
      <c r="BQ1375" s="121"/>
      <c r="GA1375" t="s">
        <v>18300</v>
      </c>
      <c r="GB1375" t="s">
        <v>23146</v>
      </c>
      <c r="GC1375" s="46">
        <v>0</v>
      </c>
      <c r="GD1375" s="113"/>
      <c r="GE1375" s="113"/>
      <c r="GF1375" s="113"/>
      <c r="GG1375" s="113"/>
      <c r="GH1375" s="113"/>
      <c r="GI1375" s="46">
        <v>0</v>
      </c>
      <c r="GJ1375" s="113"/>
      <c r="GK1375" s="113"/>
      <c r="GL1375" s="113"/>
      <c r="GM1375" s="113"/>
      <c r="GN1375" s="113"/>
      <c r="GO1375" s="46">
        <v>0</v>
      </c>
      <c r="GP1375" s="113"/>
      <c r="GQ1375" s="113"/>
      <c r="GR1375" s="113"/>
      <c r="GS1375" s="113"/>
      <c r="GT1375" s="113"/>
      <c r="GU1375" s="46">
        <v>0</v>
      </c>
      <c r="GV1375" s="113"/>
      <c r="GW1375" s="113"/>
      <c r="GX1375" s="113"/>
      <c r="GY1375" s="113"/>
      <c r="GZ1375" s="113"/>
      <c r="HA1375" s="46">
        <v>0</v>
      </c>
      <c r="HB1375" s="113"/>
      <c r="HC1375" s="113"/>
      <c r="HD1375" s="113"/>
      <c r="HE1375" s="113"/>
      <c r="HF1375" s="113"/>
      <c r="HG1375" s="46">
        <v>0</v>
      </c>
      <c r="HH1375" s="113"/>
      <c r="HI1375" s="113"/>
      <c r="HJ1375" s="113"/>
      <c r="HK1375" s="113"/>
      <c r="HL1375" s="113"/>
      <c r="HM1375" s="121"/>
      <c r="HN1375" s="121"/>
      <c r="LM1375" t="str">
        <v/>
      </c>
      <c r="LN1375" t="str">
        <v/>
      </c>
      <c r="LO1375" t="str">
        <v/>
      </c>
    </row>
    <row r="1376" spans="30:327">
      <c r="AD1376" t="s">
        <v>18300</v>
      </c>
      <c r="AE1376" t="s">
        <v>23147</v>
      </c>
      <c r="AF1376" s="46">
        <v>0</v>
      </c>
      <c r="AG1376" s="113"/>
      <c r="AH1376" s="113"/>
      <c r="AI1376" s="113"/>
      <c r="AJ1376" s="113"/>
      <c r="AK1376" s="113"/>
      <c r="AL1376" s="46">
        <v>0</v>
      </c>
      <c r="AM1376" s="113"/>
      <c r="AN1376" s="113"/>
      <c r="AO1376" s="113"/>
      <c r="AP1376" s="113"/>
      <c r="AQ1376" s="113"/>
      <c r="AR1376" s="46">
        <v>0</v>
      </c>
      <c r="AS1376" s="113"/>
      <c r="AT1376" s="113"/>
      <c r="AU1376" s="113"/>
      <c r="AV1376" s="113"/>
      <c r="AW1376" s="113"/>
      <c r="AX1376" s="46">
        <v>0</v>
      </c>
      <c r="AY1376" s="113"/>
      <c r="AZ1376" s="113"/>
      <c r="BA1376" s="113"/>
      <c r="BB1376" s="113"/>
      <c r="BC1376" s="113"/>
      <c r="BD1376" s="46">
        <v>0</v>
      </c>
      <c r="BE1376" s="113"/>
      <c r="BF1376" s="113"/>
      <c r="BG1376" s="113"/>
      <c r="BH1376" s="113"/>
      <c r="BI1376" s="113"/>
      <c r="BJ1376" s="46">
        <v>0</v>
      </c>
      <c r="BK1376" s="113"/>
      <c r="BL1376" s="113"/>
      <c r="BM1376" s="113"/>
      <c r="BN1376" s="113"/>
      <c r="BO1376" s="113"/>
      <c r="BP1376" s="121"/>
      <c r="BQ1376" s="121"/>
      <c r="GA1376" t="s">
        <v>18300</v>
      </c>
      <c r="GB1376" t="s">
        <v>23147</v>
      </c>
      <c r="GC1376" s="46">
        <v>0</v>
      </c>
      <c r="GD1376" s="113"/>
      <c r="GE1376" s="113"/>
      <c r="GF1376" s="113"/>
      <c r="GG1376" s="113"/>
      <c r="GH1376" s="113"/>
      <c r="GI1376" s="46">
        <v>0</v>
      </c>
      <c r="GJ1376" s="113"/>
      <c r="GK1376" s="113"/>
      <c r="GL1376" s="113"/>
      <c r="GM1376" s="113"/>
      <c r="GN1376" s="113"/>
      <c r="GO1376" s="46">
        <v>0</v>
      </c>
      <c r="GP1376" s="113"/>
      <c r="GQ1376" s="113"/>
      <c r="GR1376" s="113"/>
      <c r="GS1376" s="113"/>
      <c r="GT1376" s="113"/>
      <c r="GU1376" s="46">
        <v>0</v>
      </c>
      <c r="GV1376" s="113"/>
      <c r="GW1376" s="113"/>
      <c r="GX1376" s="113"/>
      <c r="GY1376" s="113"/>
      <c r="GZ1376" s="113"/>
      <c r="HA1376" s="46">
        <v>0</v>
      </c>
      <c r="HB1376" s="113"/>
      <c r="HC1376" s="113"/>
      <c r="HD1376" s="113"/>
      <c r="HE1376" s="113"/>
      <c r="HF1376" s="113"/>
      <c r="HG1376" s="46">
        <v>0</v>
      </c>
      <c r="HH1376" s="113"/>
      <c r="HI1376" s="113"/>
      <c r="HJ1376" s="113"/>
      <c r="HK1376" s="113"/>
      <c r="HL1376" s="113"/>
      <c r="HM1376" s="121"/>
      <c r="HN1376" s="121"/>
      <c r="LM1376" t="str">
        <v/>
      </c>
      <c r="LN1376" t="str">
        <v/>
      </c>
      <c r="LO1376" t="str">
        <v/>
      </c>
    </row>
    <row r="1377" spans="30:327">
      <c r="AD1377" t="s">
        <v>18300</v>
      </c>
      <c r="AE1377" t="s">
        <v>23148</v>
      </c>
      <c r="AF1377" s="46">
        <v>0</v>
      </c>
      <c r="AG1377" s="113"/>
      <c r="AH1377" s="113"/>
      <c r="AI1377" s="113"/>
      <c r="AJ1377" s="113"/>
      <c r="AK1377" s="113"/>
      <c r="AL1377" s="46">
        <v>0</v>
      </c>
      <c r="AM1377" s="113"/>
      <c r="AN1377" s="113"/>
      <c r="AO1377" s="113"/>
      <c r="AP1377" s="113"/>
      <c r="AQ1377" s="113"/>
      <c r="AR1377" s="46">
        <v>0</v>
      </c>
      <c r="AS1377" s="113"/>
      <c r="AT1377" s="113"/>
      <c r="AU1377" s="113"/>
      <c r="AV1377" s="113"/>
      <c r="AW1377" s="113"/>
      <c r="AX1377" s="46">
        <v>0</v>
      </c>
      <c r="AY1377" s="113"/>
      <c r="AZ1377" s="113"/>
      <c r="BA1377" s="113"/>
      <c r="BB1377" s="113"/>
      <c r="BC1377" s="113"/>
      <c r="BD1377" s="46">
        <v>0</v>
      </c>
      <c r="BE1377" s="113"/>
      <c r="BF1377" s="113"/>
      <c r="BG1377" s="113"/>
      <c r="BH1377" s="113"/>
      <c r="BI1377" s="113"/>
      <c r="BJ1377" s="46">
        <v>0</v>
      </c>
      <c r="BK1377" s="113"/>
      <c r="BL1377" s="113"/>
      <c r="BM1377" s="113"/>
      <c r="BN1377" s="113"/>
      <c r="BO1377" s="113"/>
      <c r="BP1377" s="121"/>
      <c r="BQ1377" s="121"/>
      <c r="GA1377" t="s">
        <v>18300</v>
      </c>
      <c r="GB1377" t="s">
        <v>23148</v>
      </c>
      <c r="GC1377" s="46">
        <v>0</v>
      </c>
      <c r="GD1377" s="113"/>
      <c r="GE1377" s="113"/>
      <c r="GF1377" s="113"/>
      <c r="GG1377" s="113"/>
      <c r="GH1377" s="113"/>
      <c r="GI1377" s="46">
        <v>0</v>
      </c>
      <c r="GJ1377" s="113"/>
      <c r="GK1377" s="113"/>
      <c r="GL1377" s="113"/>
      <c r="GM1377" s="113"/>
      <c r="GN1377" s="113"/>
      <c r="GO1377" s="46">
        <v>0</v>
      </c>
      <c r="GP1377" s="113"/>
      <c r="GQ1377" s="113"/>
      <c r="GR1377" s="113"/>
      <c r="GS1377" s="113"/>
      <c r="GT1377" s="113"/>
      <c r="GU1377" s="46">
        <v>0</v>
      </c>
      <c r="GV1377" s="113"/>
      <c r="GW1377" s="113"/>
      <c r="GX1377" s="113"/>
      <c r="GY1377" s="113"/>
      <c r="GZ1377" s="113"/>
      <c r="HA1377" s="46">
        <v>0</v>
      </c>
      <c r="HB1377" s="113"/>
      <c r="HC1377" s="113"/>
      <c r="HD1377" s="113"/>
      <c r="HE1377" s="113"/>
      <c r="HF1377" s="113"/>
      <c r="HG1377" s="46">
        <v>0</v>
      </c>
      <c r="HH1377" s="113"/>
      <c r="HI1377" s="113"/>
      <c r="HJ1377" s="113"/>
      <c r="HK1377" s="113"/>
      <c r="HL1377" s="113"/>
      <c r="HM1377" s="121"/>
      <c r="HN1377" s="121"/>
      <c r="LM1377" t="str">
        <v/>
      </c>
      <c r="LN1377" t="str">
        <v/>
      </c>
      <c r="LO1377" t="str">
        <v/>
      </c>
    </row>
    <row r="1378" spans="30:327">
      <c r="AD1378" t="s">
        <v>18300</v>
      </c>
      <c r="AE1378" t="s">
        <v>23149</v>
      </c>
      <c r="AF1378" s="46">
        <v>0</v>
      </c>
      <c r="AG1378" s="113"/>
      <c r="AH1378" s="113"/>
      <c r="AI1378" s="113"/>
      <c r="AJ1378" s="113"/>
      <c r="AK1378" s="113"/>
      <c r="AL1378" s="46">
        <v>0</v>
      </c>
      <c r="AM1378" s="113"/>
      <c r="AN1378" s="113"/>
      <c r="AO1378" s="113"/>
      <c r="AP1378" s="113"/>
      <c r="AQ1378" s="113"/>
      <c r="AR1378" s="46">
        <v>0</v>
      </c>
      <c r="AS1378" s="113"/>
      <c r="AT1378" s="113"/>
      <c r="AU1378" s="113"/>
      <c r="AV1378" s="113"/>
      <c r="AW1378" s="113"/>
      <c r="AX1378" s="46">
        <v>0</v>
      </c>
      <c r="AY1378" s="113"/>
      <c r="AZ1378" s="113"/>
      <c r="BA1378" s="113"/>
      <c r="BB1378" s="113"/>
      <c r="BC1378" s="113"/>
      <c r="BD1378" s="46">
        <v>0</v>
      </c>
      <c r="BE1378" s="113"/>
      <c r="BF1378" s="113"/>
      <c r="BG1378" s="113"/>
      <c r="BH1378" s="113"/>
      <c r="BI1378" s="113"/>
      <c r="BJ1378" s="46">
        <v>0</v>
      </c>
      <c r="BK1378" s="113"/>
      <c r="BL1378" s="113"/>
      <c r="BM1378" s="113"/>
      <c r="BN1378" s="113"/>
      <c r="BO1378" s="113"/>
      <c r="BP1378" s="121"/>
      <c r="BQ1378" s="121"/>
      <c r="GA1378" t="s">
        <v>18300</v>
      </c>
      <c r="GB1378" t="s">
        <v>23149</v>
      </c>
      <c r="GC1378" s="46">
        <v>0</v>
      </c>
      <c r="GD1378" s="113"/>
      <c r="GE1378" s="113"/>
      <c r="GF1378" s="113"/>
      <c r="GG1378" s="113"/>
      <c r="GH1378" s="113"/>
      <c r="GI1378" s="46">
        <v>0</v>
      </c>
      <c r="GJ1378" s="113"/>
      <c r="GK1378" s="113"/>
      <c r="GL1378" s="113"/>
      <c r="GM1378" s="113"/>
      <c r="GN1378" s="113"/>
      <c r="GO1378" s="46">
        <v>0</v>
      </c>
      <c r="GP1378" s="113"/>
      <c r="GQ1378" s="113"/>
      <c r="GR1378" s="113"/>
      <c r="GS1378" s="113"/>
      <c r="GT1378" s="113"/>
      <c r="GU1378" s="46">
        <v>0</v>
      </c>
      <c r="GV1378" s="113"/>
      <c r="GW1378" s="113"/>
      <c r="GX1378" s="113"/>
      <c r="GY1378" s="113"/>
      <c r="GZ1378" s="113"/>
      <c r="HA1378" s="46">
        <v>0</v>
      </c>
      <c r="HB1378" s="113"/>
      <c r="HC1378" s="113"/>
      <c r="HD1378" s="113"/>
      <c r="HE1378" s="113"/>
      <c r="HF1378" s="113"/>
      <c r="HG1378" s="46">
        <v>0</v>
      </c>
      <c r="HH1378" s="113"/>
      <c r="HI1378" s="113"/>
      <c r="HJ1378" s="113"/>
      <c r="HK1378" s="113"/>
      <c r="HL1378" s="113"/>
      <c r="HM1378" s="121"/>
      <c r="HN1378" s="121"/>
      <c r="LM1378" t="str">
        <v/>
      </c>
      <c r="LN1378" t="str">
        <v/>
      </c>
      <c r="LO1378" t="str">
        <v/>
      </c>
    </row>
    <row r="1379" spans="30:327">
      <c r="AD1379" t="s">
        <v>18300</v>
      </c>
      <c r="AE1379" t="s">
        <v>23150</v>
      </c>
      <c r="AF1379" s="46">
        <v>0</v>
      </c>
      <c r="AG1379" s="113"/>
      <c r="AH1379" s="113"/>
      <c r="AI1379" s="113"/>
      <c r="AJ1379" s="113"/>
      <c r="AK1379" s="113"/>
      <c r="AL1379" s="46">
        <v>0</v>
      </c>
      <c r="AM1379" s="113"/>
      <c r="AN1379" s="113"/>
      <c r="AO1379" s="113"/>
      <c r="AP1379" s="113"/>
      <c r="AQ1379" s="113"/>
      <c r="AR1379" s="46">
        <v>0</v>
      </c>
      <c r="AS1379" s="113"/>
      <c r="AT1379" s="113"/>
      <c r="AU1379" s="113"/>
      <c r="AV1379" s="113"/>
      <c r="AW1379" s="113"/>
      <c r="AX1379" s="46">
        <v>0</v>
      </c>
      <c r="AY1379" s="113"/>
      <c r="AZ1379" s="113"/>
      <c r="BA1379" s="113"/>
      <c r="BB1379" s="113"/>
      <c r="BC1379" s="113"/>
      <c r="BD1379" s="46">
        <v>0</v>
      </c>
      <c r="BE1379" s="113"/>
      <c r="BF1379" s="113"/>
      <c r="BG1379" s="113"/>
      <c r="BH1379" s="113"/>
      <c r="BI1379" s="113"/>
      <c r="BJ1379" s="46">
        <v>0</v>
      </c>
      <c r="BK1379" s="113"/>
      <c r="BL1379" s="113"/>
      <c r="BM1379" s="113"/>
      <c r="BN1379" s="113"/>
      <c r="BO1379" s="113"/>
      <c r="BP1379" s="121"/>
      <c r="BQ1379" s="121"/>
      <c r="GA1379" t="s">
        <v>18300</v>
      </c>
      <c r="GB1379" t="s">
        <v>23150</v>
      </c>
      <c r="GC1379" s="46">
        <v>0</v>
      </c>
      <c r="GD1379" s="113"/>
      <c r="GE1379" s="113"/>
      <c r="GF1379" s="113"/>
      <c r="GG1379" s="113"/>
      <c r="GH1379" s="113"/>
      <c r="GI1379" s="46">
        <v>0</v>
      </c>
      <c r="GJ1379" s="113"/>
      <c r="GK1379" s="113"/>
      <c r="GL1379" s="113"/>
      <c r="GM1379" s="113"/>
      <c r="GN1379" s="113"/>
      <c r="GO1379" s="46">
        <v>0</v>
      </c>
      <c r="GP1379" s="113"/>
      <c r="GQ1379" s="113"/>
      <c r="GR1379" s="113"/>
      <c r="GS1379" s="113"/>
      <c r="GT1379" s="113"/>
      <c r="GU1379" s="46">
        <v>0</v>
      </c>
      <c r="GV1379" s="113"/>
      <c r="GW1379" s="113"/>
      <c r="GX1379" s="113"/>
      <c r="GY1379" s="113"/>
      <c r="GZ1379" s="113"/>
      <c r="HA1379" s="46">
        <v>0</v>
      </c>
      <c r="HB1379" s="113"/>
      <c r="HC1379" s="113"/>
      <c r="HD1379" s="113"/>
      <c r="HE1379" s="113"/>
      <c r="HF1379" s="113"/>
      <c r="HG1379" s="46">
        <v>0</v>
      </c>
      <c r="HH1379" s="113"/>
      <c r="HI1379" s="113"/>
      <c r="HJ1379" s="113"/>
      <c r="HK1379" s="113"/>
      <c r="HL1379" s="113"/>
      <c r="HM1379" s="121"/>
      <c r="HN1379" s="121"/>
      <c r="LM1379" t="str">
        <v/>
      </c>
      <c r="LN1379" t="str">
        <v/>
      </c>
      <c r="LO1379" t="str">
        <v/>
      </c>
    </row>
    <row r="1380" spans="30:327">
      <c r="AD1380" t="s">
        <v>18300</v>
      </c>
      <c r="AE1380" t="s">
        <v>23151</v>
      </c>
      <c r="AF1380" s="46">
        <v>0</v>
      </c>
      <c r="AG1380" s="113"/>
      <c r="AH1380" s="113"/>
      <c r="AI1380" s="113"/>
      <c r="AJ1380" s="113"/>
      <c r="AK1380" s="113"/>
      <c r="AL1380" s="46">
        <v>0</v>
      </c>
      <c r="AM1380" s="113"/>
      <c r="AN1380" s="113"/>
      <c r="AO1380" s="113"/>
      <c r="AP1380" s="113"/>
      <c r="AQ1380" s="113"/>
      <c r="AR1380" s="46">
        <v>0</v>
      </c>
      <c r="AS1380" s="113"/>
      <c r="AT1380" s="113"/>
      <c r="AU1380" s="113"/>
      <c r="AV1380" s="113"/>
      <c r="AW1380" s="113"/>
      <c r="AX1380" s="46">
        <v>0</v>
      </c>
      <c r="AY1380" s="113"/>
      <c r="AZ1380" s="113"/>
      <c r="BA1380" s="113"/>
      <c r="BB1380" s="113"/>
      <c r="BC1380" s="113"/>
      <c r="BD1380" s="46">
        <v>0</v>
      </c>
      <c r="BE1380" s="113"/>
      <c r="BF1380" s="113"/>
      <c r="BG1380" s="113"/>
      <c r="BH1380" s="113"/>
      <c r="BI1380" s="113"/>
      <c r="BJ1380" s="46">
        <v>0</v>
      </c>
      <c r="BK1380" s="113"/>
      <c r="BL1380" s="113"/>
      <c r="BM1380" s="113"/>
      <c r="BN1380" s="113"/>
      <c r="BO1380" s="113"/>
      <c r="BP1380" s="121"/>
      <c r="BQ1380" s="121"/>
      <c r="GA1380" t="s">
        <v>18300</v>
      </c>
      <c r="GB1380" t="s">
        <v>23151</v>
      </c>
      <c r="GC1380" s="46">
        <v>0</v>
      </c>
      <c r="GD1380" s="113"/>
      <c r="GE1380" s="113"/>
      <c r="GF1380" s="113"/>
      <c r="GG1380" s="113"/>
      <c r="GH1380" s="113"/>
      <c r="GI1380" s="46">
        <v>0</v>
      </c>
      <c r="GJ1380" s="113"/>
      <c r="GK1380" s="113"/>
      <c r="GL1380" s="113"/>
      <c r="GM1380" s="113"/>
      <c r="GN1380" s="113"/>
      <c r="GO1380" s="46">
        <v>0</v>
      </c>
      <c r="GP1380" s="113"/>
      <c r="GQ1380" s="113"/>
      <c r="GR1380" s="113"/>
      <c r="GS1380" s="113"/>
      <c r="GT1380" s="113"/>
      <c r="GU1380" s="46">
        <v>0</v>
      </c>
      <c r="GV1380" s="113"/>
      <c r="GW1380" s="113"/>
      <c r="GX1380" s="113"/>
      <c r="GY1380" s="113"/>
      <c r="GZ1380" s="113"/>
      <c r="HA1380" s="46">
        <v>0</v>
      </c>
      <c r="HB1380" s="113"/>
      <c r="HC1380" s="113"/>
      <c r="HD1380" s="113"/>
      <c r="HE1380" s="113"/>
      <c r="HF1380" s="113"/>
      <c r="HG1380" s="46">
        <v>0</v>
      </c>
      <c r="HH1380" s="113"/>
      <c r="HI1380" s="113"/>
      <c r="HJ1380" s="113"/>
      <c r="HK1380" s="113"/>
      <c r="HL1380" s="113"/>
      <c r="HM1380" s="121"/>
      <c r="HN1380" s="121"/>
      <c r="LM1380" t="str">
        <v/>
      </c>
      <c r="LN1380" t="str">
        <v/>
      </c>
      <c r="LO1380" t="str">
        <v/>
      </c>
    </row>
    <row r="1381" spans="30:327">
      <c r="AD1381" t="s">
        <v>18300</v>
      </c>
      <c r="AE1381" t="s">
        <v>23152</v>
      </c>
      <c r="AF1381" s="46">
        <v>0</v>
      </c>
      <c r="AG1381" s="113"/>
      <c r="AH1381" s="113"/>
      <c r="AI1381" s="113"/>
      <c r="AJ1381" s="113"/>
      <c r="AK1381" s="113"/>
      <c r="AL1381" s="46">
        <v>0</v>
      </c>
      <c r="AM1381" s="113"/>
      <c r="AN1381" s="113"/>
      <c r="AO1381" s="113"/>
      <c r="AP1381" s="113"/>
      <c r="AQ1381" s="113"/>
      <c r="AR1381" s="46">
        <v>0</v>
      </c>
      <c r="AS1381" s="113"/>
      <c r="AT1381" s="113"/>
      <c r="AU1381" s="113"/>
      <c r="AV1381" s="113"/>
      <c r="AW1381" s="113"/>
      <c r="AX1381" s="46">
        <v>0</v>
      </c>
      <c r="AY1381" s="113"/>
      <c r="AZ1381" s="113"/>
      <c r="BA1381" s="113"/>
      <c r="BB1381" s="113"/>
      <c r="BC1381" s="113"/>
      <c r="BD1381" s="46">
        <v>0</v>
      </c>
      <c r="BE1381" s="113"/>
      <c r="BF1381" s="113"/>
      <c r="BG1381" s="113"/>
      <c r="BH1381" s="113"/>
      <c r="BI1381" s="113"/>
      <c r="BJ1381" s="46">
        <v>0</v>
      </c>
      <c r="BK1381" s="113"/>
      <c r="BL1381" s="113"/>
      <c r="BM1381" s="113"/>
      <c r="BN1381" s="113"/>
      <c r="BO1381" s="113"/>
      <c r="BP1381" s="121"/>
      <c r="BQ1381" s="121"/>
      <c r="GA1381" t="s">
        <v>18300</v>
      </c>
      <c r="GB1381" t="s">
        <v>23152</v>
      </c>
      <c r="GC1381" s="46">
        <v>0</v>
      </c>
      <c r="GD1381" s="113"/>
      <c r="GE1381" s="113"/>
      <c r="GF1381" s="113"/>
      <c r="GG1381" s="113"/>
      <c r="GH1381" s="113"/>
      <c r="GI1381" s="46">
        <v>0</v>
      </c>
      <c r="GJ1381" s="113"/>
      <c r="GK1381" s="113"/>
      <c r="GL1381" s="113"/>
      <c r="GM1381" s="113"/>
      <c r="GN1381" s="113"/>
      <c r="GO1381" s="46">
        <v>0</v>
      </c>
      <c r="GP1381" s="113"/>
      <c r="GQ1381" s="113"/>
      <c r="GR1381" s="113"/>
      <c r="GS1381" s="113"/>
      <c r="GT1381" s="113"/>
      <c r="GU1381" s="46">
        <v>0</v>
      </c>
      <c r="GV1381" s="113"/>
      <c r="GW1381" s="113"/>
      <c r="GX1381" s="113"/>
      <c r="GY1381" s="113"/>
      <c r="GZ1381" s="113"/>
      <c r="HA1381" s="46">
        <v>0</v>
      </c>
      <c r="HB1381" s="113"/>
      <c r="HC1381" s="113"/>
      <c r="HD1381" s="113"/>
      <c r="HE1381" s="113"/>
      <c r="HF1381" s="113"/>
      <c r="HG1381" s="46">
        <v>0</v>
      </c>
      <c r="HH1381" s="113"/>
      <c r="HI1381" s="113"/>
      <c r="HJ1381" s="113"/>
      <c r="HK1381" s="113"/>
      <c r="HL1381" s="113"/>
      <c r="HM1381" s="121"/>
      <c r="HN1381" s="121"/>
      <c r="LM1381" t="str">
        <v/>
      </c>
      <c r="LN1381" t="str">
        <v/>
      </c>
      <c r="LO1381" t="str">
        <v/>
      </c>
    </row>
    <row r="1382" spans="30:327">
      <c r="AD1382" t="s">
        <v>18300</v>
      </c>
      <c r="AE1382" t="s">
        <v>23153</v>
      </c>
      <c r="AF1382" s="46">
        <v>0</v>
      </c>
      <c r="AG1382" s="113"/>
      <c r="AH1382" s="113"/>
      <c r="AI1382" s="113"/>
      <c r="AJ1382" s="113"/>
      <c r="AK1382" s="113"/>
      <c r="AL1382" s="46">
        <v>0</v>
      </c>
      <c r="AM1382" s="113"/>
      <c r="AN1382" s="113"/>
      <c r="AO1382" s="113"/>
      <c r="AP1382" s="113"/>
      <c r="AQ1382" s="113"/>
      <c r="AR1382" s="46">
        <v>0</v>
      </c>
      <c r="AS1382" s="113"/>
      <c r="AT1382" s="113"/>
      <c r="AU1382" s="113"/>
      <c r="AV1382" s="113"/>
      <c r="AW1382" s="113"/>
      <c r="AX1382" s="46">
        <v>0</v>
      </c>
      <c r="AY1382" s="113"/>
      <c r="AZ1382" s="113"/>
      <c r="BA1382" s="113"/>
      <c r="BB1382" s="113"/>
      <c r="BC1382" s="113"/>
      <c r="BD1382" s="46">
        <v>0</v>
      </c>
      <c r="BE1382" s="113"/>
      <c r="BF1382" s="113"/>
      <c r="BG1382" s="113"/>
      <c r="BH1382" s="113"/>
      <c r="BI1382" s="113"/>
      <c r="BJ1382" s="46">
        <v>0</v>
      </c>
      <c r="BK1382" s="113"/>
      <c r="BL1382" s="113"/>
      <c r="BM1382" s="113"/>
      <c r="BN1382" s="113"/>
      <c r="BO1382" s="113"/>
      <c r="BP1382" s="121"/>
      <c r="BQ1382" s="121"/>
      <c r="GA1382" t="s">
        <v>18300</v>
      </c>
      <c r="GB1382" t="s">
        <v>23153</v>
      </c>
      <c r="GC1382" s="46">
        <v>0</v>
      </c>
      <c r="GD1382" s="113"/>
      <c r="GE1382" s="113"/>
      <c r="GF1382" s="113"/>
      <c r="GG1382" s="113"/>
      <c r="GH1382" s="113"/>
      <c r="GI1382" s="46">
        <v>0</v>
      </c>
      <c r="GJ1382" s="113"/>
      <c r="GK1382" s="113"/>
      <c r="GL1382" s="113"/>
      <c r="GM1382" s="113"/>
      <c r="GN1382" s="113"/>
      <c r="GO1382" s="46">
        <v>0</v>
      </c>
      <c r="GP1382" s="113"/>
      <c r="GQ1382" s="113"/>
      <c r="GR1382" s="113"/>
      <c r="GS1382" s="113"/>
      <c r="GT1382" s="113"/>
      <c r="GU1382" s="46">
        <v>0</v>
      </c>
      <c r="GV1382" s="113"/>
      <c r="GW1382" s="113"/>
      <c r="GX1382" s="113"/>
      <c r="GY1382" s="113"/>
      <c r="GZ1382" s="113"/>
      <c r="HA1382" s="46">
        <v>0</v>
      </c>
      <c r="HB1382" s="113"/>
      <c r="HC1382" s="113"/>
      <c r="HD1382" s="113"/>
      <c r="HE1382" s="113"/>
      <c r="HF1382" s="113"/>
      <c r="HG1382" s="46">
        <v>0</v>
      </c>
      <c r="HH1382" s="113"/>
      <c r="HI1382" s="113"/>
      <c r="HJ1382" s="113"/>
      <c r="HK1382" s="113"/>
      <c r="HL1382" s="113"/>
      <c r="HM1382" s="121"/>
      <c r="HN1382" s="121"/>
      <c r="LM1382" t="str">
        <v/>
      </c>
      <c r="LN1382" t="str">
        <v/>
      </c>
      <c r="LO1382" t="str">
        <v/>
      </c>
    </row>
    <row r="1383" spans="30:327">
      <c r="AD1383" t="s">
        <v>18300</v>
      </c>
      <c r="AE1383" t="s">
        <v>23154</v>
      </c>
      <c r="AF1383" s="46">
        <v>0</v>
      </c>
      <c r="AG1383" s="113"/>
      <c r="AH1383" s="113"/>
      <c r="AI1383" s="113"/>
      <c r="AJ1383" s="113"/>
      <c r="AK1383" s="113"/>
      <c r="AL1383" s="46">
        <v>0</v>
      </c>
      <c r="AM1383" s="113"/>
      <c r="AN1383" s="113"/>
      <c r="AO1383" s="113"/>
      <c r="AP1383" s="113"/>
      <c r="AQ1383" s="113"/>
      <c r="AR1383" s="46">
        <v>0</v>
      </c>
      <c r="AS1383" s="113"/>
      <c r="AT1383" s="113"/>
      <c r="AU1383" s="113"/>
      <c r="AV1383" s="113"/>
      <c r="AW1383" s="113"/>
      <c r="AX1383" s="46">
        <v>0</v>
      </c>
      <c r="AY1383" s="113"/>
      <c r="AZ1383" s="113"/>
      <c r="BA1383" s="113"/>
      <c r="BB1383" s="113"/>
      <c r="BC1383" s="113"/>
      <c r="BD1383" s="46">
        <v>0</v>
      </c>
      <c r="BE1383" s="113"/>
      <c r="BF1383" s="113"/>
      <c r="BG1383" s="113"/>
      <c r="BH1383" s="113"/>
      <c r="BI1383" s="113"/>
      <c r="BJ1383" s="46">
        <v>0</v>
      </c>
      <c r="BK1383" s="113"/>
      <c r="BL1383" s="113"/>
      <c r="BM1383" s="113"/>
      <c r="BN1383" s="113"/>
      <c r="BO1383" s="113"/>
      <c r="BP1383" s="121"/>
      <c r="BQ1383" s="121"/>
      <c r="GA1383" t="s">
        <v>18300</v>
      </c>
      <c r="GB1383" t="s">
        <v>23154</v>
      </c>
      <c r="GC1383" s="46">
        <v>0</v>
      </c>
      <c r="GD1383" s="113"/>
      <c r="GE1383" s="113"/>
      <c r="GF1383" s="113"/>
      <c r="GG1383" s="113"/>
      <c r="GH1383" s="113"/>
      <c r="GI1383" s="46">
        <v>0</v>
      </c>
      <c r="GJ1383" s="113"/>
      <c r="GK1383" s="113"/>
      <c r="GL1383" s="113"/>
      <c r="GM1383" s="113"/>
      <c r="GN1383" s="113"/>
      <c r="GO1383" s="46">
        <v>0</v>
      </c>
      <c r="GP1383" s="113"/>
      <c r="GQ1383" s="113"/>
      <c r="GR1383" s="113"/>
      <c r="GS1383" s="113"/>
      <c r="GT1383" s="113"/>
      <c r="GU1383" s="46">
        <v>0</v>
      </c>
      <c r="GV1383" s="113"/>
      <c r="GW1383" s="113"/>
      <c r="GX1383" s="113"/>
      <c r="GY1383" s="113"/>
      <c r="GZ1383" s="113"/>
      <c r="HA1383" s="46">
        <v>0</v>
      </c>
      <c r="HB1383" s="113"/>
      <c r="HC1383" s="113"/>
      <c r="HD1383" s="113"/>
      <c r="HE1383" s="113"/>
      <c r="HF1383" s="113"/>
      <c r="HG1383" s="46">
        <v>0</v>
      </c>
      <c r="HH1383" s="113"/>
      <c r="HI1383" s="113"/>
      <c r="HJ1383" s="113"/>
      <c r="HK1383" s="113"/>
      <c r="HL1383" s="113"/>
      <c r="HM1383" s="121"/>
      <c r="HN1383" s="121"/>
      <c r="LM1383" t="str">
        <v/>
      </c>
      <c r="LN1383" t="str">
        <v/>
      </c>
      <c r="LO1383" t="str">
        <v/>
      </c>
    </row>
    <row r="1384" spans="30:327">
      <c r="AD1384" t="s">
        <v>18300</v>
      </c>
      <c r="AE1384" t="s">
        <v>23155</v>
      </c>
      <c r="AF1384" s="46">
        <v>0</v>
      </c>
      <c r="AG1384" s="113"/>
      <c r="AH1384" s="113"/>
      <c r="AI1384" s="113"/>
      <c r="AJ1384" s="113"/>
      <c r="AK1384" s="113"/>
      <c r="AL1384" s="46">
        <v>0</v>
      </c>
      <c r="AM1384" s="113"/>
      <c r="AN1384" s="113"/>
      <c r="AO1384" s="113"/>
      <c r="AP1384" s="113"/>
      <c r="AQ1384" s="113"/>
      <c r="AR1384" s="46">
        <v>0</v>
      </c>
      <c r="AS1384" s="113"/>
      <c r="AT1384" s="113"/>
      <c r="AU1384" s="113"/>
      <c r="AV1384" s="113"/>
      <c r="AW1384" s="113"/>
      <c r="AX1384" s="46">
        <v>0</v>
      </c>
      <c r="AY1384" s="113"/>
      <c r="AZ1384" s="113"/>
      <c r="BA1384" s="113"/>
      <c r="BB1384" s="113"/>
      <c r="BC1384" s="113"/>
      <c r="BD1384" s="46">
        <v>0</v>
      </c>
      <c r="BE1384" s="113"/>
      <c r="BF1384" s="113"/>
      <c r="BG1384" s="113"/>
      <c r="BH1384" s="113"/>
      <c r="BI1384" s="113"/>
      <c r="BJ1384" s="46">
        <v>0</v>
      </c>
      <c r="BK1384" s="113"/>
      <c r="BL1384" s="113"/>
      <c r="BM1384" s="113"/>
      <c r="BN1384" s="113"/>
      <c r="BO1384" s="113"/>
      <c r="BP1384" s="121"/>
      <c r="BQ1384" s="121"/>
      <c r="GA1384" t="s">
        <v>18300</v>
      </c>
      <c r="GB1384" t="s">
        <v>23155</v>
      </c>
      <c r="GC1384" s="46">
        <v>0</v>
      </c>
      <c r="GD1384" s="113"/>
      <c r="GE1384" s="113"/>
      <c r="GF1384" s="113"/>
      <c r="GG1384" s="113"/>
      <c r="GH1384" s="113"/>
      <c r="GI1384" s="46">
        <v>0</v>
      </c>
      <c r="GJ1384" s="113"/>
      <c r="GK1384" s="113"/>
      <c r="GL1384" s="113"/>
      <c r="GM1384" s="113"/>
      <c r="GN1384" s="113"/>
      <c r="GO1384" s="46">
        <v>0</v>
      </c>
      <c r="GP1384" s="113"/>
      <c r="GQ1384" s="113"/>
      <c r="GR1384" s="113"/>
      <c r="GS1384" s="113"/>
      <c r="GT1384" s="113"/>
      <c r="GU1384" s="46">
        <v>0</v>
      </c>
      <c r="GV1384" s="113"/>
      <c r="GW1384" s="113"/>
      <c r="GX1384" s="113"/>
      <c r="GY1384" s="113"/>
      <c r="GZ1384" s="113"/>
      <c r="HA1384" s="46">
        <v>0</v>
      </c>
      <c r="HB1384" s="113"/>
      <c r="HC1384" s="113"/>
      <c r="HD1384" s="113"/>
      <c r="HE1384" s="113"/>
      <c r="HF1384" s="113"/>
      <c r="HG1384" s="46">
        <v>0</v>
      </c>
      <c r="HH1384" s="113"/>
      <c r="HI1384" s="113"/>
      <c r="HJ1384" s="113"/>
      <c r="HK1384" s="113"/>
      <c r="HL1384" s="113"/>
      <c r="HM1384" s="121"/>
      <c r="HN1384" s="121"/>
      <c r="LM1384" t="str">
        <v/>
      </c>
      <c r="LN1384" t="str">
        <v/>
      </c>
      <c r="LO1384" t="str">
        <v/>
      </c>
    </row>
    <row r="1385" spans="30:327">
      <c r="AD1385" t="s">
        <v>18300</v>
      </c>
      <c r="AE1385" t="s">
        <v>23156</v>
      </c>
      <c r="AF1385" s="46">
        <v>0</v>
      </c>
      <c r="AG1385" s="113"/>
      <c r="AH1385" s="113"/>
      <c r="AI1385" s="113"/>
      <c r="AJ1385" s="113"/>
      <c r="AK1385" s="113"/>
      <c r="AL1385" s="46">
        <v>0</v>
      </c>
      <c r="AM1385" s="113"/>
      <c r="AN1385" s="113"/>
      <c r="AO1385" s="113"/>
      <c r="AP1385" s="113"/>
      <c r="AQ1385" s="113"/>
      <c r="AR1385" s="46">
        <v>0</v>
      </c>
      <c r="AS1385" s="113"/>
      <c r="AT1385" s="113"/>
      <c r="AU1385" s="113"/>
      <c r="AV1385" s="113"/>
      <c r="AW1385" s="113"/>
      <c r="AX1385" s="46">
        <v>0</v>
      </c>
      <c r="AY1385" s="113"/>
      <c r="AZ1385" s="113"/>
      <c r="BA1385" s="113"/>
      <c r="BB1385" s="113"/>
      <c r="BC1385" s="113"/>
      <c r="BD1385" s="46">
        <v>0</v>
      </c>
      <c r="BE1385" s="113"/>
      <c r="BF1385" s="113"/>
      <c r="BG1385" s="113"/>
      <c r="BH1385" s="113"/>
      <c r="BI1385" s="113"/>
      <c r="BJ1385" s="46">
        <v>0</v>
      </c>
      <c r="BK1385" s="113"/>
      <c r="BL1385" s="113"/>
      <c r="BM1385" s="113"/>
      <c r="BN1385" s="113"/>
      <c r="BO1385" s="113"/>
      <c r="BP1385" s="121"/>
      <c r="BQ1385" s="121"/>
      <c r="GA1385" t="s">
        <v>18300</v>
      </c>
      <c r="GB1385" t="s">
        <v>23156</v>
      </c>
      <c r="GC1385" s="46">
        <v>0</v>
      </c>
      <c r="GD1385" s="113"/>
      <c r="GE1385" s="113"/>
      <c r="GF1385" s="113"/>
      <c r="GG1385" s="113"/>
      <c r="GH1385" s="113"/>
      <c r="GI1385" s="46">
        <v>0</v>
      </c>
      <c r="GJ1385" s="113"/>
      <c r="GK1385" s="113"/>
      <c r="GL1385" s="113"/>
      <c r="GM1385" s="113"/>
      <c r="GN1385" s="113"/>
      <c r="GO1385" s="46">
        <v>0</v>
      </c>
      <c r="GP1385" s="113"/>
      <c r="GQ1385" s="113"/>
      <c r="GR1385" s="113"/>
      <c r="GS1385" s="113"/>
      <c r="GT1385" s="113"/>
      <c r="GU1385" s="46">
        <v>0</v>
      </c>
      <c r="GV1385" s="113"/>
      <c r="GW1385" s="113"/>
      <c r="GX1385" s="113"/>
      <c r="GY1385" s="113"/>
      <c r="GZ1385" s="113"/>
      <c r="HA1385" s="46">
        <v>0</v>
      </c>
      <c r="HB1385" s="113"/>
      <c r="HC1385" s="113"/>
      <c r="HD1385" s="113"/>
      <c r="HE1385" s="113"/>
      <c r="HF1385" s="113"/>
      <c r="HG1385" s="46">
        <v>0</v>
      </c>
      <c r="HH1385" s="113"/>
      <c r="HI1385" s="113"/>
      <c r="HJ1385" s="113"/>
      <c r="HK1385" s="113"/>
      <c r="HL1385" s="113"/>
      <c r="HM1385" s="121"/>
      <c r="HN1385" s="121"/>
      <c r="LM1385" t="str">
        <v/>
      </c>
      <c r="LN1385" t="str">
        <v/>
      </c>
      <c r="LO1385" t="str">
        <v/>
      </c>
    </row>
    <row r="1386" spans="30:327">
      <c r="AD1386" t="s">
        <v>18300</v>
      </c>
      <c r="AE1386" t="s">
        <v>23157</v>
      </c>
      <c r="AF1386" s="46">
        <v>0</v>
      </c>
      <c r="AG1386" s="113"/>
      <c r="AH1386" s="113"/>
      <c r="AI1386" s="113"/>
      <c r="AJ1386" s="113"/>
      <c r="AK1386" s="113"/>
      <c r="AL1386" s="46">
        <v>0</v>
      </c>
      <c r="AM1386" s="113"/>
      <c r="AN1386" s="113"/>
      <c r="AO1386" s="113"/>
      <c r="AP1386" s="113"/>
      <c r="AQ1386" s="113"/>
      <c r="AR1386" s="46">
        <v>0</v>
      </c>
      <c r="AS1386" s="113"/>
      <c r="AT1386" s="113"/>
      <c r="AU1386" s="113"/>
      <c r="AV1386" s="113"/>
      <c r="AW1386" s="113"/>
      <c r="AX1386" s="46">
        <v>0</v>
      </c>
      <c r="AY1386" s="113"/>
      <c r="AZ1386" s="113"/>
      <c r="BA1386" s="113"/>
      <c r="BB1386" s="113"/>
      <c r="BC1386" s="113"/>
      <c r="BD1386" s="46">
        <v>0</v>
      </c>
      <c r="BE1386" s="113"/>
      <c r="BF1386" s="113"/>
      <c r="BG1386" s="113"/>
      <c r="BH1386" s="113"/>
      <c r="BI1386" s="113"/>
      <c r="BJ1386" s="46">
        <v>0</v>
      </c>
      <c r="BK1386" s="113"/>
      <c r="BL1386" s="113"/>
      <c r="BM1386" s="113"/>
      <c r="BN1386" s="113"/>
      <c r="BO1386" s="113"/>
      <c r="BP1386" s="121"/>
      <c r="BQ1386" s="121"/>
      <c r="GA1386" t="s">
        <v>18300</v>
      </c>
      <c r="GB1386" t="s">
        <v>23157</v>
      </c>
      <c r="GC1386" s="46">
        <v>0</v>
      </c>
      <c r="GD1386" s="113"/>
      <c r="GE1386" s="113"/>
      <c r="GF1386" s="113"/>
      <c r="GG1386" s="113"/>
      <c r="GH1386" s="113"/>
      <c r="GI1386" s="46">
        <v>0</v>
      </c>
      <c r="GJ1386" s="113"/>
      <c r="GK1386" s="113"/>
      <c r="GL1386" s="113"/>
      <c r="GM1386" s="113"/>
      <c r="GN1386" s="113"/>
      <c r="GO1386" s="46">
        <v>0</v>
      </c>
      <c r="GP1386" s="113"/>
      <c r="GQ1386" s="113"/>
      <c r="GR1386" s="113"/>
      <c r="GS1386" s="113"/>
      <c r="GT1386" s="113"/>
      <c r="GU1386" s="46">
        <v>0</v>
      </c>
      <c r="GV1386" s="113"/>
      <c r="GW1386" s="113"/>
      <c r="GX1386" s="113"/>
      <c r="GY1386" s="113"/>
      <c r="GZ1386" s="113"/>
      <c r="HA1386" s="46">
        <v>0</v>
      </c>
      <c r="HB1386" s="113"/>
      <c r="HC1386" s="113"/>
      <c r="HD1386" s="113"/>
      <c r="HE1386" s="113"/>
      <c r="HF1386" s="113"/>
      <c r="HG1386" s="46">
        <v>0</v>
      </c>
      <c r="HH1386" s="113"/>
      <c r="HI1386" s="113"/>
      <c r="HJ1386" s="113"/>
      <c r="HK1386" s="113"/>
      <c r="HL1386" s="113"/>
      <c r="HM1386" s="121"/>
      <c r="HN1386" s="121"/>
      <c r="LM1386" t="str">
        <v/>
      </c>
      <c r="LN1386" t="str">
        <v/>
      </c>
      <c r="LO1386" t="str">
        <v/>
      </c>
    </row>
    <row r="1387" spans="30:327">
      <c r="AD1387" t="s">
        <v>18300</v>
      </c>
      <c r="AE1387" t="s">
        <v>23158</v>
      </c>
      <c r="AF1387" s="46">
        <v>0</v>
      </c>
      <c r="AG1387" s="113"/>
      <c r="AH1387" s="113"/>
      <c r="AI1387" s="113"/>
      <c r="AJ1387" s="113"/>
      <c r="AK1387" s="113"/>
      <c r="AL1387" s="46">
        <v>0</v>
      </c>
      <c r="AM1387" s="113"/>
      <c r="AN1387" s="113"/>
      <c r="AO1387" s="113"/>
      <c r="AP1387" s="113"/>
      <c r="AQ1387" s="113"/>
      <c r="AR1387" s="46">
        <v>0</v>
      </c>
      <c r="AS1387" s="113"/>
      <c r="AT1387" s="113"/>
      <c r="AU1387" s="113"/>
      <c r="AV1387" s="113"/>
      <c r="AW1387" s="113"/>
      <c r="AX1387" s="46">
        <v>0</v>
      </c>
      <c r="AY1387" s="113"/>
      <c r="AZ1387" s="113"/>
      <c r="BA1387" s="113"/>
      <c r="BB1387" s="113"/>
      <c r="BC1387" s="113"/>
      <c r="BD1387" s="46">
        <v>0</v>
      </c>
      <c r="BE1387" s="113"/>
      <c r="BF1387" s="113"/>
      <c r="BG1387" s="113"/>
      <c r="BH1387" s="113"/>
      <c r="BI1387" s="113"/>
      <c r="BJ1387" s="46">
        <v>0</v>
      </c>
      <c r="BK1387" s="113"/>
      <c r="BL1387" s="113"/>
      <c r="BM1387" s="113"/>
      <c r="BN1387" s="113"/>
      <c r="BO1387" s="113"/>
      <c r="BP1387" s="121"/>
      <c r="BQ1387" s="121"/>
      <c r="GA1387" t="s">
        <v>18300</v>
      </c>
      <c r="GB1387" t="s">
        <v>23158</v>
      </c>
      <c r="GC1387" s="46">
        <v>0</v>
      </c>
      <c r="GD1387" s="113"/>
      <c r="GE1387" s="113"/>
      <c r="GF1387" s="113"/>
      <c r="GG1387" s="113"/>
      <c r="GH1387" s="113"/>
      <c r="GI1387" s="46">
        <v>0</v>
      </c>
      <c r="GJ1387" s="113"/>
      <c r="GK1387" s="113"/>
      <c r="GL1387" s="113"/>
      <c r="GM1387" s="113"/>
      <c r="GN1387" s="113"/>
      <c r="GO1387" s="46">
        <v>0</v>
      </c>
      <c r="GP1387" s="113"/>
      <c r="GQ1387" s="113"/>
      <c r="GR1387" s="113"/>
      <c r="GS1387" s="113"/>
      <c r="GT1387" s="113"/>
      <c r="GU1387" s="46">
        <v>0</v>
      </c>
      <c r="GV1387" s="113"/>
      <c r="GW1387" s="113"/>
      <c r="GX1387" s="113"/>
      <c r="GY1387" s="113"/>
      <c r="GZ1387" s="113"/>
      <c r="HA1387" s="46">
        <v>0</v>
      </c>
      <c r="HB1387" s="113"/>
      <c r="HC1387" s="113"/>
      <c r="HD1387" s="113"/>
      <c r="HE1387" s="113"/>
      <c r="HF1387" s="113"/>
      <c r="HG1387" s="46">
        <v>0</v>
      </c>
      <c r="HH1387" s="113"/>
      <c r="HI1387" s="113"/>
      <c r="HJ1387" s="113"/>
      <c r="HK1387" s="113"/>
      <c r="HL1387" s="113"/>
      <c r="HM1387" s="121"/>
      <c r="HN1387" s="121"/>
      <c r="LM1387" t="str">
        <v/>
      </c>
      <c r="LN1387" t="str">
        <v/>
      </c>
      <c r="LO1387" t="str">
        <v/>
      </c>
    </row>
    <row r="1388" spans="30:327">
      <c r="AD1388" t="s">
        <v>18300</v>
      </c>
      <c r="AE1388" t="s">
        <v>23159</v>
      </c>
      <c r="AF1388" s="46">
        <v>0</v>
      </c>
      <c r="AG1388" s="113"/>
      <c r="AH1388" s="113"/>
      <c r="AI1388" s="113"/>
      <c r="AJ1388" s="113"/>
      <c r="AK1388" s="113"/>
      <c r="AL1388" s="46">
        <v>0</v>
      </c>
      <c r="AM1388" s="113"/>
      <c r="AN1388" s="113"/>
      <c r="AO1388" s="113"/>
      <c r="AP1388" s="113"/>
      <c r="AQ1388" s="113"/>
      <c r="AR1388" s="46">
        <v>0</v>
      </c>
      <c r="AS1388" s="113"/>
      <c r="AT1388" s="113"/>
      <c r="AU1388" s="113"/>
      <c r="AV1388" s="113"/>
      <c r="AW1388" s="113"/>
      <c r="AX1388" s="46">
        <v>0</v>
      </c>
      <c r="AY1388" s="113"/>
      <c r="AZ1388" s="113"/>
      <c r="BA1388" s="113"/>
      <c r="BB1388" s="113"/>
      <c r="BC1388" s="113"/>
      <c r="BD1388" s="46">
        <v>0</v>
      </c>
      <c r="BE1388" s="113"/>
      <c r="BF1388" s="113"/>
      <c r="BG1388" s="113"/>
      <c r="BH1388" s="113"/>
      <c r="BI1388" s="113"/>
      <c r="BJ1388" s="46">
        <v>0</v>
      </c>
      <c r="BK1388" s="113"/>
      <c r="BL1388" s="113"/>
      <c r="BM1388" s="113"/>
      <c r="BN1388" s="113"/>
      <c r="BO1388" s="113"/>
      <c r="BP1388" s="121"/>
      <c r="BQ1388" s="121"/>
      <c r="GA1388" t="s">
        <v>18300</v>
      </c>
      <c r="GB1388" t="s">
        <v>23159</v>
      </c>
      <c r="GC1388" s="46">
        <v>0</v>
      </c>
      <c r="GD1388" s="113"/>
      <c r="GE1388" s="113"/>
      <c r="GF1388" s="113"/>
      <c r="GG1388" s="113"/>
      <c r="GH1388" s="113"/>
      <c r="GI1388" s="46">
        <v>0</v>
      </c>
      <c r="GJ1388" s="113"/>
      <c r="GK1388" s="113"/>
      <c r="GL1388" s="113"/>
      <c r="GM1388" s="113"/>
      <c r="GN1388" s="113"/>
      <c r="GO1388" s="46">
        <v>0</v>
      </c>
      <c r="GP1388" s="113"/>
      <c r="GQ1388" s="113"/>
      <c r="GR1388" s="113"/>
      <c r="GS1388" s="113"/>
      <c r="GT1388" s="113"/>
      <c r="GU1388" s="46">
        <v>0</v>
      </c>
      <c r="GV1388" s="113"/>
      <c r="GW1388" s="113"/>
      <c r="GX1388" s="113"/>
      <c r="GY1388" s="113"/>
      <c r="GZ1388" s="113"/>
      <c r="HA1388" s="46">
        <v>0</v>
      </c>
      <c r="HB1388" s="113"/>
      <c r="HC1388" s="113"/>
      <c r="HD1388" s="113"/>
      <c r="HE1388" s="113"/>
      <c r="HF1388" s="113"/>
      <c r="HG1388" s="46">
        <v>0</v>
      </c>
      <c r="HH1388" s="113"/>
      <c r="HI1388" s="113"/>
      <c r="HJ1388" s="113"/>
      <c r="HK1388" s="113"/>
      <c r="HL1388" s="113"/>
      <c r="HM1388" s="121"/>
      <c r="HN1388" s="121"/>
      <c r="LM1388" t="str">
        <v/>
      </c>
      <c r="LN1388" t="str">
        <v/>
      </c>
      <c r="LO1388" t="str">
        <v/>
      </c>
    </row>
    <row r="1389" spans="30:327">
      <c r="AD1389" t="s">
        <v>18300</v>
      </c>
      <c r="AE1389" t="s">
        <v>23160</v>
      </c>
      <c r="AF1389" s="46">
        <v>0</v>
      </c>
      <c r="AG1389" s="113"/>
      <c r="AH1389" s="113"/>
      <c r="AI1389" s="113"/>
      <c r="AJ1389" s="113"/>
      <c r="AK1389" s="113"/>
      <c r="AL1389" s="46">
        <v>0</v>
      </c>
      <c r="AM1389" s="113"/>
      <c r="AN1389" s="113"/>
      <c r="AO1389" s="113"/>
      <c r="AP1389" s="113"/>
      <c r="AQ1389" s="113"/>
      <c r="AR1389" s="46">
        <v>0</v>
      </c>
      <c r="AS1389" s="113"/>
      <c r="AT1389" s="113"/>
      <c r="AU1389" s="113"/>
      <c r="AV1389" s="113"/>
      <c r="AW1389" s="113"/>
      <c r="AX1389" s="46">
        <v>0</v>
      </c>
      <c r="AY1389" s="113"/>
      <c r="AZ1389" s="113"/>
      <c r="BA1389" s="113"/>
      <c r="BB1389" s="113"/>
      <c r="BC1389" s="113"/>
      <c r="BD1389" s="46">
        <v>0</v>
      </c>
      <c r="BE1389" s="113"/>
      <c r="BF1389" s="113"/>
      <c r="BG1389" s="113"/>
      <c r="BH1389" s="113"/>
      <c r="BI1389" s="113"/>
      <c r="BJ1389" s="46">
        <v>0</v>
      </c>
      <c r="BK1389" s="113"/>
      <c r="BL1389" s="113"/>
      <c r="BM1389" s="113"/>
      <c r="BN1389" s="113"/>
      <c r="BO1389" s="113"/>
      <c r="BP1389" s="121"/>
      <c r="BQ1389" s="121"/>
      <c r="GA1389" t="s">
        <v>18300</v>
      </c>
      <c r="GB1389" t="s">
        <v>23160</v>
      </c>
      <c r="GC1389" s="46">
        <v>0</v>
      </c>
      <c r="GD1389" s="113"/>
      <c r="GE1389" s="113"/>
      <c r="GF1389" s="113"/>
      <c r="GG1389" s="113"/>
      <c r="GH1389" s="113"/>
      <c r="GI1389" s="46">
        <v>0</v>
      </c>
      <c r="GJ1389" s="113"/>
      <c r="GK1389" s="113"/>
      <c r="GL1389" s="113"/>
      <c r="GM1389" s="113"/>
      <c r="GN1389" s="113"/>
      <c r="GO1389" s="46">
        <v>0</v>
      </c>
      <c r="GP1389" s="113"/>
      <c r="GQ1389" s="113"/>
      <c r="GR1389" s="113"/>
      <c r="GS1389" s="113"/>
      <c r="GT1389" s="113"/>
      <c r="GU1389" s="46">
        <v>0</v>
      </c>
      <c r="GV1389" s="113"/>
      <c r="GW1389" s="113"/>
      <c r="GX1389" s="113"/>
      <c r="GY1389" s="113"/>
      <c r="GZ1389" s="113"/>
      <c r="HA1389" s="46">
        <v>0</v>
      </c>
      <c r="HB1389" s="113"/>
      <c r="HC1389" s="113"/>
      <c r="HD1389" s="113"/>
      <c r="HE1389" s="113"/>
      <c r="HF1389" s="113"/>
      <c r="HG1389" s="46">
        <v>0</v>
      </c>
      <c r="HH1389" s="113"/>
      <c r="HI1389" s="113"/>
      <c r="HJ1389" s="113"/>
      <c r="HK1389" s="113"/>
      <c r="HL1389" s="113"/>
      <c r="HM1389" s="121"/>
      <c r="HN1389" s="121"/>
      <c r="LM1389" t="str">
        <v/>
      </c>
      <c r="LN1389" t="str">
        <v/>
      </c>
      <c r="LO1389" t="str">
        <v/>
      </c>
    </row>
    <row r="1390" spans="30:327">
      <c r="AD1390" t="s">
        <v>18300</v>
      </c>
      <c r="AE1390" t="s">
        <v>23161</v>
      </c>
      <c r="AF1390" s="46">
        <v>0</v>
      </c>
      <c r="AG1390" s="113"/>
      <c r="AH1390" s="113"/>
      <c r="AI1390" s="113"/>
      <c r="AJ1390" s="113"/>
      <c r="AK1390" s="113"/>
      <c r="AL1390" s="46">
        <v>0</v>
      </c>
      <c r="AM1390" s="113"/>
      <c r="AN1390" s="113"/>
      <c r="AO1390" s="113"/>
      <c r="AP1390" s="113"/>
      <c r="AQ1390" s="113"/>
      <c r="AR1390" s="46">
        <v>0</v>
      </c>
      <c r="AS1390" s="113"/>
      <c r="AT1390" s="113"/>
      <c r="AU1390" s="113"/>
      <c r="AV1390" s="113"/>
      <c r="AW1390" s="113"/>
      <c r="AX1390" s="46">
        <v>0</v>
      </c>
      <c r="AY1390" s="113"/>
      <c r="AZ1390" s="113"/>
      <c r="BA1390" s="113"/>
      <c r="BB1390" s="113"/>
      <c r="BC1390" s="113"/>
      <c r="BD1390" s="46">
        <v>0</v>
      </c>
      <c r="BE1390" s="113"/>
      <c r="BF1390" s="113"/>
      <c r="BG1390" s="113"/>
      <c r="BH1390" s="113"/>
      <c r="BI1390" s="113"/>
      <c r="BJ1390" s="46">
        <v>0</v>
      </c>
      <c r="BK1390" s="113"/>
      <c r="BL1390" s="113"/>
      <c r="BM1390" s="113"/>
      <c r="BN1390" s="113"/>
      <c r="BO1390" s="113"/>
      <c r="BP1390" s="121"/>
      <c r="BQ1390" s="121"/>
      <c r="GA1390" t="s">
        <v>18300</v>
      </c>
      <c r="GB1390" t="s">
        <v>23161</v>
      </c>
      <c r="GC1390" s="46">
        <v>0</v>
      </c>
      <c r="GD1390" s="113"/>
      <c r="GE1390" s="113"/>
      <c r="GF1390" s="113"/>
      <c r="GG1390" s="113"/>
      <c r="GH1390" s="113"/>
      <c r="GI1390" s="46">
        <v>0</v>
      </c>
      <c r="GJ1390" s="113"/>
      <c r="GK1390" s="113"/>
      <c r="GL1390" s="113"/>
      <c r="GM1390" s="113"/>
      <c r="GN1390" s="113"/>
      <c r="GO1390" s="46">
        <v>0</v>
      </c>
      <c r="GP1390" s="113"/>
      <c r="GQ1390" s="113"/>
      <c r="GR1390" s="113"/>
      <c r="GS1390" s="113"/>
      <c r="GT1390" s="113"/>
      <c r="GU1390" s="46">
        <v>0</v>
      </c>
      <c r="GV1390" s="113"/>
      <c r="GW1390" s="113"/>
      <c r="GX1390" s="113"/>
      <c r="GY1390" s="113"/>
      <c r="GZ1390" s="113"/>
      <c r="HA1390" s="46">
        <v>0</v>
      </c>
      <c r="HB1390" s="113"/>
      <c r="HC1390" s="113"/>
      <c r="HD1390" s="113"/>
      <c r="HE1390" s="113"/>
      <c r="HF1390" s="113"/>
      <c r="HG1390" s="46">
        <v>0</v>
      </c>
      <c r="HH1390" s="113"/>
      <c r="HI1390" s="113"/>
      <c r="HJ1390" s="113"/>
      <c r="HK1390" s="113"/>
      <c r="HL1390" s="113"/>
      <c r="HM1390" s="121"/>
      <c r="HN1390" s="121"/>
      <c r="LM1390" t="str">
        <v/>
      </c>
      <c r="LN1390" t="str">
        <v/>
      </c>
      <c r="LO1390" t="str">
        <v/>
      </c>
    </row>
    <row r="1391" spans="30:327">
      <c r="AD1391" t="s">
        <v>18300</v>
      </c>
      <c r="AE1391" t="s">
        <v>23162</v>
      </c>
      <c r="AF1391" s="46">
        <v>0</v>
      </c>
      <c r="AG1391" s="113"/>
      <c r="AH1391" s="113"/>
      <c r="AI1391" s="113"/>
      <c r="AJ1391" s="113"/>
      <c r="AK1391" s="113"/>
      <c r="AL1391" s="46">
        <v>0</v>
      </c>
      <c r="AM1391" s="113"/>
      <c r="AN1391" s="113"/>
      <c r="AO1391" s="113"/>
      <c r="AP1391" s="113"/>
      <c r="AQ1391" s="113"/>
      <c r="AR1391" s="46">
        <v>0</v>
      </c>
      <c r="AS1391" s="113"/>
      <c r="AT1391" s="113"/>
      <c r="AU1391" s="113"/>
      <c r="AV1391" s="113"/>
      <c r="AW1391" s="113"/>
      <c r="AX1391" s="46">
        <v>0</v>
      </c>
      <c r="AY1391" s="113"/>
      <c r="AZ1391" s="113"/>
      <c r="BA1391" s="113"/>
      <c r="BB1391" s="113"/>
      <c r="BC1391" s="113"/>
      <c r="BD1391" s="46">
        <v>0</v>
      </c>
      <c r="BE1391" s="113"/>
      <c r="BF1391" s="113"/>
      <c r="BG1391" s="113"/>
      <c r="BH1391" s="113"/>
      <c r="BI1391" s="113"/>
      <c r="BJ1391" s="46">
        <v>0</v>
      </c>
      <c r="BK1391" s="113"/>
      <c r="BL1391" s="113"/>
      <c r="BM1391" s="113"/>
      <c r="BN1391" s="113"/>
      <c r="BO1391" s="113"/>
      <c r="BP1391" s="121"/>
      <c r="BQ1391" s="121"/>
      <c r="GA1391" t="s">
        <v>18300</v>
      </c>
      <c r="GB1391" t="s">
        <v>23162</v>
      </c>
      <c r="GC1391" s="46">
        <v>0</v>
      </c>
      <c r="GD1391" s="113"/>
      <c r="GE1391" s="113"/>
      <c r="GF1391" s="113"/>
      <c r="GG1391" s="113"/>
      <c r="GH1391" s="113"/>
      <c r="GI1391" s="46">
        <v>0</v>
      </c>
      <c r="GJ1391" s="113"/>
      <c r="GK1391" s="113"/>
      <c r="GL1391" s="113"/>
      <c r="GM1391" s="113"/>
      <c r="GN1391" s="113"/>
      <c r="GO1391" s="46">
        <v>0</v>
      </c>
      <c r="GP1391" s="113"/>
      <c r="GQ1391" s="113"/>
      <c r="GR1391" s="113"/>
      <c r="GS1391" s="113"/>
      <c r="GT1391" s="113"/>
      <c r="GU1391" s="46">
        <v>0</v>
      </c>
      <c r="GV1391" s="113"/>
      <c r="GW1391" s="113"/>
      <c r="GX1391" s="113"/>
      <c r="GY1391" s="113"/>
      <c r="GZ1391" s="113"/>
      <c r="HA1391" s="46">
        <v>0</v>
      </c>
      <c r="HB1391" s="113"/>
      <c r="HC1391" s="113"/>
      <c r="HD1391" s="113"/>
      <c r="HE1391" s="113"/>
      <c r="HF1391" s="113"/>
      <c r="HG1391" s="46">
        <v>0</v>
      </c>
      <c r="HH1391" s="113"/>
      <c r="HI1391" s="113"/>
      <c r="HJ1391" s="113"/>
      <c r="HK1391" s="113"/>
      <c r="HL1391" s="113"/>
      <c r="HM1391" s="121"/>
      <c r="HN1391" s="121"/>
      <c r="LM1391" t="str">
        <v/>
      </c>
      <c r="LN1391" t="str">
        <v/>
      </c>
      <c r="LO1391" t="str">
        <v/>
      </c>
    </row>
    <row r="1392" spans="30:327">
      <c r="AD1392" t="s">
        <v>18300</v>
      </c>
      <c r="AE1392" t="s">
        <v>23163</v>
      </c>
      <c r="AF1392" s="46">
        <v>0</v>
      </c>
      <c r="AG1392" s="113"/>
      <c r="AH1392" s="113"/>
      <c r="AI1392" s="113"/>
      <c r="AJ1392" s="113"/>
      <c r="AK1392" s="113"/>
      <c r="AL1392" s="46">
        <v>0</v>
      </c>
      <c r="AM1392" s="113"/>
      <c r="AN1392" s="113"/>
      <c r="AO1392" s="113"/>
      <c r="AP1392" s="113"/>
      <c r="AQ1392" s="113"/>
      <c r="AR1392" s="46">
        <v>0</v>
      </c>
      <c r="AS1392" s="113"/>
      <c r="AT1392" s="113"/>
      <c r="AU1392" s="113"/>
      <c r="AV1392" s="113"/>
      <c r="AW1392" s="113"/>
      <c r="AX1392" s="46">
        <v>0</v>
      </c>
      <c r="AY1392" s="113"/>
      <c r="AZ1392" s="113"/>
      <c r="BA1392" s="113"/>
      <c r="BB1392" s="113"/>
      <c r="BC1392" s="113"/>
      <c r="BD1392" s="46">
        <v>0</v>
      </c>
      <c r="BE1392" s="113"/>
      <c r="BF1392" s="113"/>
      <c r="BG1392" s="113"/>
      <c r="BH1392" s="113"/>
      <c r="BI1392" s="113"/>
      <c r="BJ1392" s="46">
        <v>0</v>
      </c>
      <c r="BK1392" s="113"/>
      <c r="BL1392" s="113"/>
      <c r="BM1392" s="113"/>
      <c r="BN1392" s="113"/>
      <c r="BO1392" s="113"/>
      <c r="BP1392" s="121"/>
      <c r="BQ1392" s="121"/>
      <c r="GA1392" t="s">
        <v>18300</v>
      </c>
      <c r="GB1392" t="s">
        <v>23163</v>
      </c>
      <c r="GC1392" s="46">
        <v>0</v>
      </c>
      <c r="GD1392" s="113"/>
      <c r="GE1392" s="113"/>
      <c r="GF1392" s="113"/>
      <c r="GG1392" s="113"/>
      <c r="GH1392" s="113"/>
      <c r="GI1392" s="46">
        <v>0</v>
      </c>
      <c r="GJ1392" s="113"/>
      <c r="GK1392" s="113"/>
      <c r="GL1392" s="113"/>
      <c r="GM1392" s="113"/>
      <c r="GN1392" s="113"/>
      <c r="GO1392" s="46">
        <v>0</v>
      </c>
      <c r="GP1392" s="113"/>
      <c r="GQ1392" s="113"/>
      <c r="GR1392" s="113"/>
      <c r="GS1392" s="113"/>
      <c r="GT1392" s="113"/>
      <c r="GU1392" s="46">
        <v>0</v>
      </c>
      <c r="GV1392" s="113"/>
      <c r="GW1392" s="113"/>
      <c r="GX1392" s="113"/>
      <c r="GY1392" s="113"/>
      <c r="GZ1392" s="113"/>
      <c r="HA1392" s="46">
        <v>0</v>
      </c>
      <c r="HB1392" s="113"/>
      <c r="HC1392" s="113"/>
      <c r="HD1392" s="113"/>
      <c r="HE1392" s="113"/>
      <c r="HF1392" s="113"/>
      <c r="HG1392" s="46">
        <v>0</v>
      </c>
      <c r="HH1392" s="113"/>
      <c r="HI1392" s="113"/>
      <c r="HJ1392" s="113"/>
      <c r="HK1392" s="113"/>
      <c r="HL1392" s="113"/>
      <c r="HM1392" s="121"/>
      <c r="HN1392" s="121"/>
      <c r="LM1392" t="str">
        <v/>
      </c>
      <c r="LN1392" t="str">
        <v/>
      </c>
      <c r="LO1392" t="str">
        <v/>
      </c>
    </row>
    <row r="1393" spans="30:327">
      <c r="AD1393" t="s">
        <v>18300</v>
      </c>
      <c r="AE1393" t="s">
        <v>23164</v>
      </c>
      <c r="AF1393" s="46">
        <v>0</v>
      </c>
      <c r="AG1393" s="113"/>
      <c r="AH1393" s="113"/>
      <c r="AI1393" s="113"/>
      <c r="AJ1393" s="113"/>
      <c r="AK1393" s="113"/>
      <c r="AL1393" s="46">
        <v>0</v>
      </c>
      <c r="AM1393" s="113"/>
      <c r="AN1393" s="113"/>
      <c r="AO1393" s="113"/>
      <c r="AP1393" s="113"/>
      <c r="AQ1393" s="113"/>
      <c r="AR1393" s="46">
        <v>0</v>
      </c>
      <c r="AS1393" s="113"/>
      <c r="AT1393" s="113"/>
      <c r="AU1393" s="113"/>
      <c r="AV1393" s="113"/>
      <c r="AW1393" s="113"/>
      <c r="AX1393" s="46">
        <v>0</v>
      </c>
      <c r="AY1393" s="113"/>
      <c r="AZ1393" s="113"/>
      <c r="BA1393" s="113"/>
      <c r="BB1393" s="113"/>
      <c r="BC1393" s="113"/>
      <c r="BD1393" s="46">
        <v>0</v>
      </c>
      <c r="BE1393" s="113"/>
      <c r="BF1393" s="113"/>
      <c r="BG1393" s="113"/>
      <c r="BH1393" s="113"/>
      <c r="BI1393" s="113"/>
      <c r="BJ1393" s="46">
        <v>0</v>
      </c>
      <c r="BK1393" s="113"/>
      <c r="BL1393" s="113"/>
      <c r="BM1393" s="113"/>
      <c r="BN1393" s="113"/>
      <c r="BO1393" s="113"/>
      <c r="BP1393" s="121"/>
      <c r="BQ1393" s="121"/>
      <c r="GA1393" t="s">
        <v>18300</v>
      </c>
      <c r="GB1393" t="s">
        <v>23164</v>
      </c>
      <c r="GC1393" s="46">
        <v>0</v>
      </c>
      <c r="GD1393" s="113"/>
      <c r="GE1393" s="113"/>
      <c r="GF1393" s="113"/>
      <c r="GG1393" s="113"/>
      <c r="GH1393" s="113"/>
      <c r="GI1393" s="46">
        <v>0</v>
      </c>
      <c r="GJ1393" s="113"/>
      <c r="GK1393" s="113"/>
      <c r="GL1393" s="113"/>
      <c r="GM1393" s="113"/>
      <c r="GN1393" s="113"/>
      <c r="GO1393" s="46">
        <v>0</v>
      </c>
      <c r="GP1393" s="113"/>
      <c r="GQ1393" s="113"/>
      <c r="GR1393" s="113"/>
      <c r="GS1393" s="113"/>
      <c r="GT1393" s="113"/>
      <c r="GU1393" s="46">
        <v>0</v>
      </c>
      <c r="GV1393" s="113"/>
      <c r="GW1393" s="113"/>
      <c r="GX1393" s="113"/>
      <c r="GY1393" s="113"/>
      <c r="GZ1393" s="113"/>
      <c r="HA1393" s="46">
        <v>0</v>
      </c>
      <c r="HB1393" s="113"/>
      <c r="HC1393" s="113"/>
      <c r="HD1393" s="113"/>
      <c r="HE1393" s="113"/>
      <c r="HF1393" s="113"/>
      <c r="HG1393" s="46">
        <v>0</v>
      </c>
      <c r="HH1393" s="113"/>
      <c r="HI1393" s="113"/>
      <c r="HJ1393" s="113"/>
      <c r="HK1393" s="113"/>
      <c r="HL1393" s="113"/>
      <c r="HM1393" s="121"/>
      <c r="HN1393" s="121"/>
      <c r="LM1393" t="str">
        <v/>
      </c>
      <c r="LN1393" t="str">
        <v/>
      </c>
      <c r="LO1393" t="str">
        <v/>
      </c>
    </row>
    <row r="1394" spans="30:327">
      <c r="AD1394" t="s">
        <v>18300</v>
      </c>
      <c r="AE1394" t="s">
        <v>23165</v>
      </c>
      <c r="AF1394" s="46">
        <v>0</v>
      </c>
      <c r="AG1394" s="113"/>
      <c r="AH1394" s="113"/>
      <c r="AI1394" s="113"/>
      <c r="AJ1394" s="113"/>
      <c r="AK1394" s="113"/>
      <c r="AL1394" s="46">
        <v>0</v>
      </c>
      <c r="AM1394" s="113"/>
      <c r="AN1394" s="113"/>
      <c r="AO1394" s="113"/>
      <c r="AP1394" s="113"/>
      <c r="AQ1394" s="113"/>
      <c r="AR1394" s="46">
        <v>0</v>
      </c>
      <c r="AS1394" s="113"/>
      <c r="AT1394" s="113"/>
      <c r="AU1394" s="113"/>
      <c r="AV1394" s="113"/>
      <c r="AW1394" s="113"/>
      <c r="AX1394" s="46">
        <v>0</v>
      </c>
      <c r="AY1394" s="113"/>
      <c r="AZ1394" s="113"/>
      <c r="BA1394" s="113"/>
      <c r="BB1394" s="113"/>
      <c r="BC1394" s="113"/>
      <c r="BD1394" s="46">
        <v>0</v>
      </c>
      <c r="BE1394" s="113"/>
      <c r="BF1394" s="113"/>
      <c r="BG1394" s="113"/>
      <c r="BH1394" s="113"/>
      <c r="BI1394" s="113"/>
      <c r="BJ1394" s="46">
        <v>0</v>
      </c>
      <c r="BK1394" s="113"/>
      <c r="BL1394" s="113"/>
      <c r="BM1394" s="113"/>
      <c r="BN1394" s="113"/>
      <c r="BO1394" s="113"/>
      <c r="BP1394" s="121"/>
      <c r="BQ1394" s="121"/>
      <c r="GA1394" t="s">
        <v>18300</v>
      </c>
      <c r="GB1394" t="s">
        <v>23165</v>
      </c>
      <c r="GC1394" s="46">
        <v>0</v>
      </c>
      <c r="GD1394" s="113"/>
      <c r="GE1394" s="113"/>
      <c r="GF1394" s="113"/>
      <c r="GG1394" s="113"/>
      <c r="GH1394" s="113"/>
      <c r="GI1394" s="46">
        <v>0</v>
      </c>
      <c r="GJ1394" s="113"/>
      <c r="GK1394" s="113"/>
      <c r="GL1394" s="113"/>
      <c r="GM1394" s="113"/>
      <c r="GN1394" s="113"/>
      <c r="GO1394" s="46">
        <v>0</v>
      </c>
      <c r="GP1394" s="113"/>
      <c r="GQ1394" s="113"/>
      <c r="GR1394" s="113"/>
      <c r="GS1394" s="113"/>
      <c r="GT1394" s="113"/>
      <c r="GU1394" s="46">
        <v>0</v>
      </c>
      <c r="GV1394" s="113"/>
      <c r="GW1394" s="113"/>
      <c r="GX1394" s="113"/>
      <c r="GY1394" s="113"/>
      <c r="GZ1394" s="113"/>
      <c r="HA1394" s="46">
        <v>0</v>
      </c>
      <c r="HB1394" s="113"/>
      <c r="HC1394" s="113"/>
      <c r="HD1394" s="113"/>
      <c r="HE1394" s="113"/>
      <c r="HF1394" s="113"/>
      <c r="HG1394" s="46">
        <v>0</v>
      </c>
      <c r="HH1394" s="113"/>
      <c r="HI1394" s="113"/>
      <c r="HJ1394" s="113"/>
      <c r="HK1394" s="113"/>
      <c r="HL1394" s="113"/>
      <c r="HM1394" s="121"/>
      <c r="HN1394" s="121"/>
      <c r="LM1394" t="str">
        <v/>
      </c>
      <c r="LN1394" t="str">
        <v/>
      </c>
      <c r="LO1394" t="str">
        <v/>
      </c>
    </row>
    <row r="1395" spans="30:327">
      <c r="AD1395" t="s">
        <v>18300</v>
      </c>
      <c r="AE1395" t="s">
        <v>23166</v>
      </c>
      <c r="AF1395" s="46">
        <v>0</v>
      </c>
      <c r="AG1395" s="113"/>
      <c r="AH1395" s="113"/>
      <c r="AI1395" s="113"/>
      <c r="AJ1395" s="113"/>
      <c r="AK1395" s="113"/>
      <c r="AL1395" s="46">
        <v>0</v>
      </c>
      <c r="AM1395" s="113"/>
      <c r="AN1395" s="113"/>
      <c r="AO1395" s="113"/>
      <c r="AP1395" s="113"/>
      <c r="AQ1395" s="113"/>
      <c r="AR1395" s="46">
        <v>0</v>
      </c>
      <c r="AS1395" s="113"/>
      <c r="AT1395" s="113"/>
      <c r="AU1395" s="113"/>
      <c r="AV1395" s="113"/>
      <c r="AW1395" s="113"/>
      <c r="AX1395" s="46">
        <v>0</v>
      </c>
      <c r="AY1395" s="113"/>
      <c r="AZ1395" s="113"/>
      <c r="BA1395" s="113"/>
      <c r="BB1395" s="113"/>
      <c r="BC1395" s="113"/>
      <c r="BD1395" s="46">
        <v>0</v>
      </c>
      <c r="BE1395" s="113"/>
      <c r="BF1395" s="113"/>
      <c r="BG1395" s="113"/>
      <c r="BH1395" s="113"/>
      <c r="BI1395" s="113"/>
      <c r="BJ1395" s="46">
        <v>0</v>
      </c>
      <c r="BK1395" s="113"/>
      <c r="BL1395" s="113"/>
      <c r="BM1395" s="113"/>
      <c r="BN1395" s="113"/>
      <c r="BO1395" s="113"/>
      <c r="BP1395" s="121"/>
      <c r="BQ1395" s="121"/>
      <c r="GA1395" t="s">
        <v>18300</v>
      </c>
      <c r="GB1395" t="s">
        <v>23166</v>
      </c>
      <c r="GC1395" s="46">
        <v>0</v>
      </c>
      <c r="GD1395" s="113"/>
      <c r="GE1395" s="113"/>
      <c r="GF1395" s="113"/>
      <c r="GG1395" s="113"/>
      <c r="GH1395" s="113"/>
      <c r="GI1395" s="46">
        <v>0</v>
      </c>
      <c r="GJ1395" s="113"/>
      <c r="GK1395" s="113"/>
      <c r="GL1395" s="113"/>
      <c r="GM1395" s="113"/>
      <c r="GN1395" s="113"/>
      <c r="GO1395" s="46">
        <v>0</v>
      </c>
      <c r="GP1395" s="113"/>
      <c r="GQ1395" s="113"/>
      <c r="GR1395" s="113"/>
      <c r="GS1395" s="113"/>
      <c r="GT1395" s="113"/>
      <c r="GU1395" s="46">
        <v>0</v>
      </c>
      <c r="GV1395" s="113"/>
      <c r="GW1395" s="113"/>
      <c r="GX1395" s="113"/>
      <c r="GY1395" s="113"/>
      <c r="GZ1395" s="113"/>
      <c r="HA1395" s="46">
        <v>0</v>
      </c>
      <c r="HB1395" s="113"/>
      <c r="HC1395" s="113"/>
      <c r="HD1395" s="113"/>
      <c r="HE1395" s="113"/>
      <c r="HF1395" s="113"/>
      <c r="HG1395" s="46">
        <v>0</v>
      </c>
      <c r="HH1395" s="113"/>
      <c r="HI1395" s="113"/>
      <c r="HJ1395" s="113"/>
      <c r="HK1395" s="113"/>
      <c r="HL1395" s="113"/>
      <c r="HM1395" s="121"/>
      <c r="HN1395" s="121"/>
      <c r="LM1395" t="str">
        <v/>
      </c>
      <c r="LN1395" t="str">
        <v/>
      </c>
      <c r="LO1395" t="str">
        <v/>
      </c>
    </row>
    <row r="1396" spans="30:327">
      <c r="AD1396" t="s">
        <v>18300</v>
      </c>
      <c r="AE1396" t="s">
        <v>23167</v>
      </c>
      <c r="AF1396" s="46">
        <v>0</v>
      </c>
      <c r="AG1396" s="113"/>
      <c r="AH1396" s="113"/>
      <c r="AI1396" s="113"/>
      <c r="AJ1396" s="113"/>
      <c r="AK1396" s="113"/>
      <c r="AL1396" s="46">
        <v>0</v>
      </c>
      <c r="AM1396" s="113"/>
      <c r="AN1396" s="113"/>
      <c r="AO1396" s="113"/>
      <c r="AP1396" s="113"/>
      <c r="AQ1396" s="113"/>
      <c r="AR1396" s="46">
        <v>0</v>
      </c>
      <c r="AS1396" s="113"/>
      <c r="AT1396" s="113"/>
      <c r="AU1396" s="113"/>
      <c r="AV1396" s="113"/>
      <c r="AW1396" s="113"/>
      <c r="AX1396" s="46">
        <v>0</v>
      </c>
      <c r="AY1396" s="113"/>
      <c r="AZ1396" s="113"/>
      <c r="BA1396" s="113"/>
      <c r="BB1396" s="113"/>
      <c r="BC1396" s="113"/>
      <c r="BD1396" s="46">
        <v>0</v>
      </c>
      <c r="BE1396" s="113"/>
      <c r="BF1396" s="113"/>
      <c r="BG1396" s="113"/>
      <c r="BH1396" s="113"/>
      <c r="BI1396" s="113"/>
      <c r="BJ1396" s="46">
        <v>0</v>
      </c>
      <c r="BK1396" s="113"/>
      <c r="BL1396" s="113"/>
      <c r="BM1396" s="113"/>
      <c r="BN1396" s="113"/>
      <c r="BO1396" s="113"/>
      <c r="BP1396" s="121"/>
      <c r="BQ1396" s="121"/>
      <c r="GA1396" t="s">
        <v>18300</v>
      </c>
      <c r="GB1396" t="s">
        <v>23167</v>
      </c>
      <c r="GC1396" s="46">
        <v>0</v>
      </c>
      <c r="GD1396" s="113"/>
      <c r="GE1396" s="113"/>
      <c r="GF1396" s="113"/>
      <c r="GG1396" s="113"/>
      <c r="GH1396" s="113"/>
      <c r="GI1396" s="46">
        <v>0</v>
      </c>
      <c r="GJ1396" s="113"/>
      <c r="GK1396" s="113"/>
      <c r="GL1396" s="113"/>
      <c r="GM1396" s="113"/>
      <c r="GN1396" s="113"/>
      <c r="GO1396" s="46">
        <v>0</v>
      </c>
      <c r="GP1396" s="113"/>
      <c r="GQ1396" s="113"/>
      <c r="GR1396" s="113"/>
      <c r="GS1396" s="113"/>
      <c r="GT1396" s="113"/>
      <c r="GU1396" s="46">
        <v>0</v>
      </c>
      <c r="GV1396" s="113"/>
      <c r="GW1396" s="113"/>
      <c r="GX1396" s="113"/>
      <c r="GY1396" s="113"/>
      <c r="GZ1396" s="113"/>
      <c r="HA1396" s="46">
        <v>0</v>
      </c>
      <c r="HB1396" s="113"/>
      <c r="HC1396" s="113"/>
      <c r="HD1396" s="113"/>
      <c r="HE1396" s="113"/>
      <c r="HF1396" s="113"/>
      <c r="HG1396" s="46">
        <v>0</v>
      </c>
      <c r="HH1396" s="113"/>
      <c r="HI1396" s="113"/>
      <c r="HJ1396" s="113"/>
      <c r="HK1396" s="113"/>
      <c r="HL1396" s="113"/>
      <c r="HM1396" s="121"/>
      <c r="HN1396" s="121"/>
      <c r="LM1396" t="str">
        <v/>
      </c>
      <c r="LN1396" t="str">
        <v/>
      </c>
      <c r="LO1396" t="str">
        <v/>
      </c>
    </row>
    <row r="1397" spans="30:327">
      <c r="AD1397" t="s">
        <v>18300</v>
      </c>
      <c r="AE1397" t="s">
        <v>23168</v>
      </c>
      <c r="AF1397" s="46">
        <v>0</v>
      </c>
      <c r="AG1397" s="113"/>
      <c r="AH1397" s="113"/>
      <c r="AI1397" s="113"/>
      <c r="AJ1397" s="113"/>
      <c r="AK1397" s="113"/>
      <c r="AL1397" s="46">
        <v>0</v>
      </c>
      <c r="AM1397" s="113"/>
      <c r="AN1397" s="113"/>
      <c r="AO1397" s="113"/>
      <c r="AP1397" s="113"/>
      <c r="AQ1397" s="113"/>
      <c r="AR1397" s="46">
        <v>0</v>
      </c>
      <c r="AS1397" s="113"/>
      <c r="AT1397" s="113"/>
      <c r="AU1397" s="113"/>
      <c r="AV1397" s="113"/>
      <c r="AW1397" s="113"/>
      <c r="AX1397" s="46">
        <v>0</v>
      </c>
      <c r="AY1397" s="113"/>
      <c r="AZ1397" s="113"/>
      <c r="BA1397" s="113"/>
      <c r="BB1397" s="113"/>
      <c r="BC1397" s="113"/>
      <c r="BD1397" s="46">
        <v>0</v>
      </c>
      <c r="BE1397" s="113"/>
      <c r="BF1397" s="113"/>
      <c r="BG1397" s="113"/>
      <c r="BH1397" s="113"/>
      <c r="BI1397" s="113"/>
      <c r="BJ1397" s="46">
        <v>0</v>
      </c>
      <c r="BK1397" s="113"/>
      <c r="BL1397" s="113"/>
      <c r="BM1397" s="113"/>
      <c r="BN1397" s="113"/>
      <c r="BO1397" s="113"/>
      <c r="BP1397" s="121"/>
      <c r="BQ1397" s="121"/>
      <c r="GA1397" t="s">
        <v>18300</v>
      </c>
      <c r="GB1397" t="s">
        <v>23168</v>
      </c>
      <c r="GC1397" s="46">
        <v>0</v>
      </c>
      <c r="GD1397" s="113"/>
      <c r="GE1397" s="113"/>
      <c r="GF1397" s="113"/>
      <c r="GG1397" s="113"/>
      <c r="GH1397" s="113"/>
      <c r="GI1397" s="46">
        <v>0</v>
      </c>
      <c r="GJ1397" s="113"/>
      <c r="GK1397" s="113"/>
      <c r="GL1397" s="113"/>
      <c r="GM1397" s="113"/>
      <c r="GN1397" s="113"/>
      <c r="GO1397" s="46">
        <v>0</v>
      </c>
      <c r="GP1397" s="113"/>
      <c r="GQ1397" s="113"/>
      <c r="GR1397" s="113"/>
      <c r="GS1397" s="113"/>
      <c r="GT1397" s="113"/>
      <c r="GU1397" s="46">
        <v>0</v>
      </c>
      <c r="GV1397" s="113"/>
      <c r="GW1397" s="113"/>
      <c r="GX1397" s="113"/>
      <c r="GY1397" s="113"/>
      <c r="GZ1397" s="113"/>
      <c r="HA1397" s="46">
        <v>0</v>
      </c>
      <c r="HB1397" s="113"/>
      <c r="HC1397" s="113"/>
      <c r="HD1397" s="113"/>
      <c r="HE1397" s="113"/>
      <c r="HF1397" s="113"/>
      <c r="HG1397" s="46">
        <v>0</v>
      </c>
      <c r="HH1397" s="113"/>
      <c r="HI1397" s="113"/>
      <c r="HJ1397" s="113"/>
      <c r="HK1397" s="113"/>
      <c r="HL1397" s="113"/>
      <c r="HM1397" s="121"/>
      <c r="HN1397" s="121"/>
      <c r="LM1397" t="str">
        <v/>
      </c>
      <c r="LN1397" t="str">
        <v/>
      </c>
      <c r="LO1397" t="str">
        <v/>
      </c>
    </row>
    <row r="1398" spans="30:327">
      <c r="AD1398" t="s">
        <v>18300</v>
      </c>
      <c r="AE1398" t="s">
        <v>23169</v>
      </c>
      <c r="AF1398" s="46">
        <v>0</v>
      </c>
      <c r="AG1398" s="113"/>
      <c r="AH1398" s="113"/>
      <c r="AI1398" s="113"/>
      <c r="AJ1398" s="113"/>
      <c r="AK1398" s="113"/>
      <c r="AL1398" s="46">
        <v>0</v>
      </c>
      <c r="AM1398" s="113"/>
      <c r="AN1398" s="113"/>
      <c r="AO1398" s="113"/>
      <c r="AP1398" s="113"/>
      <c r="AQ1398" s="113"/>
      <c r="AR1398" s="46">
        <v>0</v>
      </c>
      <c r="AS1398" s="113"/>
      <c r="AT1398" s="113"/>
      <c r="AU1398" s="113"/>
      <c r="AV1398" s="113"/>
      <c r="AW1398" s="113"/>
      <c r="AX1398" s="46">
        <v>0</v>
      </c>
      <c r="AY1398" s="113"/>
      <c r="AZ1398" s="113"/>
      <c r="BA1398" s="113"/>
      <c r="BB1398" s="113"/>
      <c r="BC1398" s="113"/>
      <c r="BD1398" s="46">
        <v>0</v>
      </c>
      <c r="BE1398" s="113"/>
      <c r="BF1398" s="113"/>
      <c r="BG1398" s="113"/>
      <c r="BH1398" s="113"/>
      <c r="BI1398" s="113"/>
      <c r="BJ1398" s="46">
        <v>0</v>
      </c>
      <c r="BK1398" s="113"/>
      <c r="BL1398" s="113"/>
      <c r="BM1398" s="113"/>
      <c r="BN1398" s="113"/>
      <c r="BO1398" s="113"/>
      <c r="BP1398" s="121"/>
      <c r="BQ1398" s="121"/>
      <c r="GA1398" t="s">
        <v>18300</v>
      </c>
      <c r="GB1398" t="s">
        <v>23169</v>
      </c>
      <c r="GC1398" s="46">
        <v>0</v>
      </c>
      <c r="GD1398" s="113"/>
      <c r="GE1398" s="113"/>
      <c r="GF1398" s="113"/>
      <c r="GG1398" s="113"/>
      <c r="GH1398" s="113"/>
      <c r="GI1398" s="46">
        <v>0</v>
      </c>
      <c r="GJ1398" s="113"/>
      <c r="GK1398" s="113"/>
      <c r="GL1398" s="113"/>
      <c r="GM1398" s="113"/>
      <c r="GN1398" s="113"/>
      <c r="GO1398" s="46">
        <v>0</v>
      </c>
      <c r="GP1398" s="113"/>
      <c r="GQ1398" s="113"/>
      <c r="GR1398" s="113"/>
      <c r="GS1398" s="113"/>
      <c r="GT1398" s="113"/>
      <c r="GU1398" s="46">
        <v>0</v>
      </c>
      <c r="GV1398" s="113"/>
      <c r="GW1398" s="113"/>
      <c r="GX1398" s="113"/>
      <c r="GY1398" s="113"/>
      <c r="GZ1398" s="113"/>
      <c r="HA1398" s="46">
        <v>0</v>
      </c>
      <c r="HB1398" s="113"/>
      <c r="HC1398" s="113"/>
      <c r="HD1398" s="113"/>
      <c r="HE1398" s="113"/>
      <c r="HF1398" s="113"/>
      <c r="HG1398" s="46">
        <v>0</v>
      </c>
      <c r="HH1398" s="113"/>
      <c r="HI1398" s="113"/>
      <c r="HJ1398" s="113"/>
      <c r="HK1398" s="113"/>
      <c r="HL1398" s="113"/>
      <c r="HM1398" s="121"/>
      <c r="HN1398" s="121"/>
      <c r="LM1398" t="str">
        <v/>
      </c>
      <c r="LN1398" t="str">
        <v/>
      </c>
      <c r="LO1398" t="str">
        <v/>
      </c>
    </row>
    <row r="1399" spans="30:327">
      <c r="AD1399" t="s">
        <v>18300</v>
      </c>
      <c r="AE1399" t="s">
        <v>23170</v>
      </c>
      <c r="AF1399" s="46">
        <v>0</v>
      </c>
      <c r="AG1399" s="113"/>
      <c r="AH1399" s="113"/>
      <c r="AI1399" s="113"/>
      <c r="AJ1399" s="113"/>
      <c r="AK1399" s="113"/>
      <c r="AL1399" s="46">
        <v>0</v>
      </c>
      <c r="AM1399" s="113"/>
      <c r="AN1399" s="113"/>
      <c r="AO1399" s="113"/>
      <c r="AP1399" s="113"/>
      <c r="AQ1399" s="113"/>
      <c r="AR1399" s="46">
        <v>0</v>
      </c>
      <c r="AS1399" s="113"/>
      <c r="AT1399" s="113"/>
      <c r="AU1399" s="113"/>
      <c r="AV1399" s="113"/>
      <c r="AW1399" s="113"/>
      <c r="AX1399" s="46">
        <v>0</v>
      </c>
      <c r="AY1399" s="113"/>
      <c r="AZ1399" s="113"/>
      <c r="BA1399" s="113"/>
      <c r="BB1399" s="113"/>
      <c r="BC1399" s="113"/>
      <c r="BD1399" s="46">
        <v>0</v>
      </c>
      <c r="BE1399" s="113"/>
      <c r="BF1399" s="113"/>
      <c r="BG1399" s="113"/>
      <c r="BH1399" s="113"/>
      <c r="BI1399" s="113"/>
      <c r="BJ1399" s="46">
        <v>0</v>
      </c>
      <c r="BK1399" s="113"/>
      <c r="BL1399" s="113"/>
      <c r="BM1399" s="113"/>
      <c r="BN1399" s="113"/>
      <c r="BO1399" s="113"/>
      <c r="BP1399" s="121"/>
      <c r="BQ1399" s="121"/>
      <c r="GA1399" t="s">
        <v>18300</v>
      </c>
      <c r="GB1399" t="s">
        <v>23170</v>
      </c>
      <c r="GC1399" s="46">
        <v>0</v>
      </c>
      <c r="GD1399" s="113"/>
      <c r="GE1399" s="113"/>
      <c r="GF1399" s="113"/>
      <c r="GG1399" s="113"/>
      <c r="GH1399" s="113"/>
      <c r="GI1399" s="46">
        <v>0</v>
      </c>
      <c r="GJ1399" s="113"/>
      <c r="GK1399" s="113"/>
      <c r="GL1399" s="113"/>
      <c r="GM1399" s="113"/>
      <c r="GN1399" s="113"/>
      <c r="GO1399" s="46">
        <v>0</v>
      </c>
      <c r="GP1399" s="113"/>
      <c r="GQ1399" s="113"/>
      <c r="GR1399" s="113"/>
      <c r="GS1399" s="113"/>
      <c r="GT1399" s="113"/>
      <c r="GU1399" s="46">
        <v>0</v>
      </c>
      <c r="GV1399" s="113"/>
      <c r="GW1399" s="113"/>
      <c r="GX1399" s="113"/>
      <c r="GY1399" s="113"/>
      <c r="GZ1399" s="113"/>
      <c r="HA1399" s="46">
        <v>0</v>
      </c>
      <c r="HB1399" s="113"/>
      <c r="HC1399" s="113"/>
      <c r="HD1399" s="113"/>
      <c r="HE1399" s="113"/>
      <c r="HF1399" s="113"/>
      <c r="HG1399" s="46">
        <v>0</v>
      </c>
      <c r="HH1399" s="113"/>
      <c r="HI1399" s="113"/>
      <c r="HJ1399" s="113"/>
      <c r="HK1399" s="113"/>
      <c r="HL1399" s="113"/>
      <c r="HM1399" s="121"/>
      <c r="HN1399" s="121"/>
      <c r="LM1399" t="str">
        <v/>
      </c>
      <c r="LN1399" t="str">
        <v/>
      </c>
      <c r="LO1399" t="str">
        <v/>
      </c>
    </row>
    <row r="1400" spans="30:327">
      <c r="AD1400" t="s">
        <v>18300</v>
      </c>
      <c r="AE1400" t="s">
        <v>23171</v>
      </c>
      <c r="AF1400" s="46">
        <v>0</v>
      </c>
      <c r="AG1400" s="113"/>
      <c r="AH1400" s="113"/>
      <c r="AI1400" s="113"/>
      <c r="AJ1400" s="113"/>
      <c r="AK1400" s="113"/>
      <c r="AL1400" s="46">
        <v>0</v>
      </c>
      <c r="AM1400" s="113"/>
      <c r="AN1400" s="113"/>
      <c r="AO1400" s="113"/>
      <c r="AP1400" s="113"/>
      <c r="AQ1400" s="113"/>
      <c r="AR1400" s="46">
        <v>0</v>
      </c>
      <c r="AS1400" s="113"/>
      <c r="AT1400" s="113"/>
      <c r="AU1400" s="113"/>
      <c r="AV1400" s="113"/>
      <c r="AW1400" s="113"/>
      <c r="AX1400" s="46">
        <v>0</v>
      </c>
      <c r="AY1400" s="113"/>
      <c r="AZ1400" s="113"/>
      <c r="BA1400" s="113"/>
      <c r="BB1400" s="113"/>
      <c r="BC1400" s="113"/>
      <c r="BD1400" s="46">
        <v>0</v>
      </c>
      <c r="BE1400" s="113"/>
      <c r="BF1400" s="113"/>
      <c r="BG1400" s="113"/>
      <c r="BH1400" s="113"/>
      <c r="BI1400" s="113"/>
      <c r="BJ1400" s="46">
        <v>0</v>
      </c>
      <c r="BK1400" s="113"/>
      <c r="BL1400" s="113"/>
      <c r="BM1400" s="113"/>
      <c r="BN1400" s="113"/>
      <c r="BO1400" s="113"/>
      <c r="BP1400" s="121"/>
      <c r="BQ1400" s="121"/>
      <c r="GA1400" t="s">
        <v>18300</v>
      </c>
      <c r="GB1400" t="s">
        <v>23171</v>
      </c>
      <c r="GC1400" s="46">
        <v>0</v>
      </c>
      <c r="GD1400" s="113"/>
      <c r="GE1400" s="113"/>
      <c r="GF1400" s="113"/>
      <c r="GG1400" s="113"/>
      <c r="GH1400" s="113"/>
      <c r="GI1400" s="46">
        <v>0</v>
      </c>
      <c r="GJ1400" s="113"/>
      <c r="GK1400" s="113"/>
      <c r="GL1400" s="113"/>
      <c r="GM1400" s="113"/>
      <c r="GN1400" s="113"/>
      <c r="GO1400" s="46">
        <v>0</v>
      </c>
      <c r="GP1400" s="113"/>
      <c r="GQ1400" s="113"/>
      <c r="GR1400" s="113"/>
      <c r="GS1400" s="113"/>
      <c r="GT1400" s="113"/>
      <c r="GU1400" s="46">
        <v>0</v>
      </c>
      <c r="GV1400" s="113"/>
      <c r="GW1400" s="113"/>
      <c r="GX1400" s="113"/>
      <c r="GY1400" s="113"/>
      <c r="GZ1400" s="113"/>
      <c r="HA1400" s="46">
        <v>0</v>
      </c>
      <c r="HB1400" s="113"/>
      <c r="HC1400" s="113"/>
      <c r="HD1400" s="113"/>
      <c r="HE1400" s="113"/>
      <c r="HF1400" s="113"/>
      <c r="HG1400" s="46">
        <v>0</v>
      </c>
      <c r="HH1400" s="113"/>
      <c r="HI1400" s="113"/>
      <c r="HJ1400" s="113"/>
      <c r="HK1400" s="113"/>
      <c r="HL1400" s="113"/>
      <c r="HM1400" s="121"/>
      <c r="HN1400" s="121"/>
      <c r="LM1400" t="str">
        <v/>
      </c>
      <c r="LN1400" t="str">
        <v/>
      </c>
      <c r="LO1400" t="str">
        <v/>
      </c>
    </row>
    <row r="1401" spans="30:327">
      <c r="AD1401" t="s">
        <v>18300</v>
      </c>
      <c r="AE1401" t="s">
        <v>23172</v>
      </c>
      <c r="AF1401" s="46">
        <v>0</v>
      </c>
      <c r="AG1401" s="113"/>
      <c r="AH1401" s="113"/>
      <c r="AI1401" s="113"/>
      <c r="AJ1401" s="113"/>
      <c r="AK1401" s="113"/>
      <c r="AL1401" s="46">
        <v>0</v>
      </c>
      <c r="AM1401" s="113"/>
      <c r="AN1401" s="113"/>
      <c r="AO1401" s="113"/>
      <c r="AP1401" s="113"/>
      <c r="AQ1401" s="113"/>
      <c r="AR1401" s="46">
        <v>0</v>
      </c>
      <c r="AS1401" s="113"/>
      <c r="AT1401" s="113"/>
      <c r="AU1401" s="113"/>
      <c r="AV1401" s="113"/>
      <c r="AW1401" s="113"/>
      <c r="AX1401" s="46">
        <v>0</v>
      </c>
      <c r="AY1401" s="113"/>
      <c r="AZ1401" s="113"/>
      <c r="BA1401" s="113"/>
      <c r="BB1401" s="113"/>
      <c r="BC1401" s="113"/>
      <c r="BD1401" s="46">
        <v>0</v>
      </c>
      <c r="BE1401" s="113"/>
      <c r="BF1401" s="113"/>
      <c r="BG1401" s="113"/>
      <c r="BH1401" s="113"/>
      <c r="BI1401" s="113"/>
      <c r="BJ1401" s="46">
        <v>0</v>
      </c>
      <c r="BK1401" s="113"/>
      <c r="BL1401" s="113"/>
      <c r="BM1401" s="113"/>
      <c r="BN1401" s="113"/>
      <c r="BO1401" s="113"/>
      <c r="BP1401" s="121"/>
      <c r="BQ1401" s="121"/>
      <c r="GA1401" t="s">
        <v>18300</v>
      </c>
      <c r="GB1401" t="s">
        <v>23172</v>
      </c>
      <c r="GC1401" s="46">
        <v>0</v>
      </c>
      <c r="GD1401" s="113"/>
      <c r="GE1401" s="113"/>
      <c r="GF1401" s="113"/>
      <c r="GG1401" s="113"/>
      <c r="GH1401" s="113"/>
      <c r="GI1401" s="46">
        <v>0</v>
      </c>
      <c r="GJ1401" s="113"/>
      <c r="GK1401" s="113"/>
      <c r="GL1401" s="113"/>
      <c r="GM1401" s="113"/>
      <c r="GN1401" s="113"/>
      <c r="GO1401" s="46">
        <v>0</v>
      </c>
      <c r="GP1401" s="113"/>
      <c r="GQ1401" s="113"/>
      <c r="GR1401" s="113"/>
      <c r="GS1401" s="113"/>
      <c r="GT1401" s="113"/>
      <c r="GU1401" s="46">
        <v>0</v>
      </c>
      <c r="GV1401" s="113"/>
      <c r="GW1401" s="113"/>
      <c r="GX1401" s="113"/>
      <c r="GY1401" s="113"/>
      <c r="GZ1401" s="113"/>
      <c r="HA1401" s="46">
        <v>0</v>
      </c>
      <c r="HB1401" s="113"/>
      <c r="HC1401" s="113"/>
      <c r="HD1401" s="113"/>
      <c r="HE1401" s="113"/>
      <c r="HF1401" s="113"/>
      <c r="HG1401" s="46">
        <v>0</v>
      </c>
      <c r="HH1401" s="113"/>
      <c r="HI1401" s="113"/>
      <c r="HJ1401" s="113"/>
      <c r="HK1401" s="113"/>
      <c r="HL1401" s="113"/>
      <c r="HM1401" s="121"/>
      <c r="HN1401" s="121"/>
      <c r="LM1401" t="str">
        <v/>
      </c>
      <c r="LN1401" t="str">
        <v/>
      </c>
      <c r="LO1401" t="str">
        <v/>
      </c>
    </row>
    <row r="1402" spans="30:327">
      <c r="AD1402" t="s">
        <v>18300</v>
      </c>
      <c r="AE1402" t="s">
        <v>23173</v>
      </c>
      <c r="AF1402" s="46">
        <v>0</v>
      </c>
      <c r="AG1402" s="113"/>
      <c r="AH1402" s="113"/>
      <c r="AI1402" s="113"/>
      <c r="AJ1402" s="113"/>
      <c r="AK1402" s="113"/>
      <c r="AL1402" s="46">
        <v>0</v>
      </c>
      <c r="AM1402" s="113"/>
      <c r="AN1402" s="113"/>
      <c r="AO1402" s="113"/>
      <c r="AP1402" s="113"/>
      <c r="AQ1402" s="113"/>
      <c r="AR1402" s="46">
        <v>0</v>
      </c>
      <c r="AS1402" s="113"/>
      <c r="AT1402" s="113"/>
      <c r="AU1402" s="113"/>
      <c r="AV1402" s="113"/>
      <c r="AW1402" s="113"/>
      <c r="AX1402" s="46">
        <v>0</v>
      </c>
      <c r="AY1402" s="113"/>
      <c r="AZ1402" s="113"/>
      <c r="BA1402" s="113"/>
      <c r="BB1402" s="113"/>
      <c r="BC1402" s="113"/>
      <c r="BD1402" s="46">
        <v>0</v>
      </c>
      <c r="BE1402" s="113"/>
      <c r="BF1402" s="113"/>
      <c r="BG1402" s="113"/>
      <c r="BH1402" s="113"/>
      <c r="BI1402" s="113"/>
      <c r="BJ1402" s="46">
        <v>0</v>
      </c>
      <c r="BK1402" s="113"/>
      <c r="BL1402" s="113"/>
      <c r="BM1402" s="113"/>
      <c r="BN1402" s="113"/>
      <c r="BO1402" s="113"/>
      <c r="BP1402" s="121"/>
      <c r="BQ1402" s="121"/>
      <c r="GA1402" t="s">
        <v>18300</v>
      </c>
      <c r="GB1402" t="s">
        <v>23173</v>
      </c>
      <c r="GC1402" s="46">
        <v>0</v>
      </c>
      <c r="GD1402" s="113"/>
      <c r="GE1402" s="113"/>
      <c r="GF1402" s="113"/>
      <c r="GG1402" s="113"/>
      <c r="GH1402" s="113"/>
      <c r="GI1402" s="46">
        <v>0</v>
      </c>
      <c r="GJ1402" s="113"/>
      <c r="GK1402" s="113"/>
      <c r="GL1402" s="113"/>
      <c r="GM1402" s="113"/>
      <c r="GN1402" s="113"/>
      <c r="GO1402" s="46">
        <v>0</v>
      </c>
      <c r="GP1402" s="113"/>
      <c r="GQ1402" s="113"/>
      <c r="GR1402" s="113"/>
      <c r="GS1402" s="113"/>
      <c r="GT1402" s="113"/>
      <c r="GU1402" s="46">
        <v>0</v>
      </c>
      <c r="GV1402" s="113"/>
      <c r="GW1402" s="113"/>
      <c r="GX1402" s="113"/>
      <c r="GY1402" s="113"/>
      <c r="GZ1402" s="113"/>
      <c r="HA1402" s="46">
        <v>0</v>
      </c>
      <c r="HB1402" s="113"/>
      <c r="HC1402" s="113"/>
      <c r="HD1402" s="113"/>
      <c r="HE1402" s="113"/>
      <c r="HF1402" s="113"/>
      <c r="HG1402" s="46">
        <v>0</v>
      </c>
      <c r="HH1402" s="113"/>
      <c r="HI1402" s="113"/>
      <c r="HJ1402" s="113"/>
      <c r="HK1402" s="113"/>
      <c r="HL1402" s="113"/>
      <c r="HM1402" s="121"/>
      <c r="HN1402" s="121"/>
      <c r="LM1402" t="str">
        <v/>
      </c>
      <c r="LN1402" t="str">
        <v/>
      </c>
      <c r="LO1402" t="str">
        <v/>
      </c>
    </row>
    <row r="1403" spans="30:327">
      <c r="AD1403" t="s">
        <v>18300</v>
      </c>
      <c r="AE1403" t="s">
        <v>23174</v>
      </c>
      <c r="AF1403" s="46">
        <v>0</v>
      </c>
      <c r="AG1403" s="113"/>
      <c r="AH1403" s="113"/>
      <c r="AI1403" s="113"/>
      <c r="AJ1403" s="113"/>
      <c r="AK1403" s="113"/>
      <c r="AL1403" s="46">
        <v>0</v>
      </c>
      <c r="AM1403" s="113"/>
      <c r="AN1403" s="113"/>
      <c r="AO1403" s="113"/>
      <c r="AP1403" s="113"/>
      <c r="AQ1403" s="113"/>
      <c r="AR1403" s="46">
        <v>0</v>
      </c>
      <c r="AS1403" s="113"/>
      <c r="AT1403" s="113"/>
      <c r="AU1403" s="113"/>
      <c r="AV1403" s="113"/>
      <c r="AW1403" s="113"/>
      <c r="AX1403" s="46">
        <v>0</v>
      </c>
      <c r="AY1403" s="113"/>
      <c r="AZ1403" s="113"/>
      <c r="BA1403" s="113"/>
      <c r="BB1403" s="113"/>
      <c r="BC1403" s="113"/>
      <c r="BD1403" s="46">
        <v>0</v>
      </c>
      <c r="BE1403" s="113"/>
      <c r="BF1403" s="113"/>
      <c r="BG1403" s="113"/>
      <c r="BH1403" s="113"/>
      <c r="BI1403" s="113"/>
      <c r="BJ1403" s="46">
        <v>0</v>
      </c>
      <c r="BK1403" s="113"/>
      <c r="BL1403" s="113"/>
      <c r="BM1403" s="113"/>
      <c r="BN1403" s="113"/>
      <c r="BO1403" s="113"/>
      <c r="BP1403" s="121"/>
      <c r="BQ1403" s="121"/>
      <c r="GA1403" t="s">
        <v>18300</v>
      </c>
      <c r="GB1403" t="s">
        <v>23174</v>
      </c>
      <c r="GC1403" s="46">
        <v>0</v>
      </c>
      <c r="GD1403" s="113"/>
      <c r="GE1403" s="113"/>
      <c r="GF1403" s="113"/>
      <c r="GG1403" s="113"/>
      <c r="GH1403" s="113"/>
      <c r="GI1403" s="46">
        <v>0</v>
      </c>
      <c r="GJ1403" s="113"/>
      <c r="GK1403" s="113"/>
      <c r="GL1403" s="113"/>
      <c r="GM1403" s="113"/>
      <c r="GN1403" s="113"/>
      <c r="GO1403" s="46">
        <v>0</v>
      </c>
      <c r="GP1403" s="113"/>
      <c r="GQ1403" s="113"/>
      <c r="GR1403" s="113"/>
      <c r="GS1403" s="113"/>
      <c r="GT1403" s="113"/>
      <c r="GU1403" s="46">
        <v>0</v>
      </c>
      <c r="GV1403" s="113"/>
      <c r="GW1403" s="113"/>
      <c r="GX1403" s="113"/>
      <c r="GY1403" s="113"/>
      <c r="GZ1403" s="113"/>
      <c r="HA1403" s="46">
        <v>0</v>
      </c>
      <c r="HB1403" s="113"/>
      <c r="HC1403" s="113"/>
      <c r="HD1403" s="113"/>
      <c r="HE1403" s="113"/>
      <c r="HF1403" s="113"/>
      <c r="HG1403" s="46">
        <v>0</v>
      </c>
      <c r="HH1403" s="113"/>
      <c r="HI1403" s="113"/>
      <c r="HJ1403" s="113"/>
      <c r="HK1403" s="113"/>
      <c r="HL1403" s="113"/>
      <c r="HM1403" s="121"/>
      <c r="HN1403" s="121"/>
      <c r="LM1403" t="str">
        <v/>
      </c>
      <c r="LN1403" t="str">
        <v/>
      </c>
      <c r="LO1403" t="str">
        <v/>
      </c>
    </row>
    <row r="1404" spans="30:327">
      <c r="AD1404" t="s">
        <v>18300</v>
      </c>
      <c r="AE1404" t="s">
        <v>23175</v>
      </c>
      <c r="AF1404" s="46">
        <v>0</v>
      </c>
      <c r="AG1404" s="113"/>
      <c r="AH1404" s="113"/>
      <c r="AI1404" s="113"/>
      <c r="AJ1404" s="113"/>
      <c r="AK1404" s="113"/>
      <c r="AL1404" s="46">
        <v>0</v>
      </c>
      <c r="AM1404" s="113"/>
      <c r="AN1404" s="113"/>
      <c r="AO1404" s="113"/>
      <c r="AP1404" s="113"/>
      <c r="AQ1404" s="113"/>
      <c r="AR1404" s="46">
        <v>0</v>
      </c>
      <c r="AS1404" s="113"/>
      <c r="AT1404" s="113"/>
      <c r="AU1404" s="113"/>
      <c r="AV1404" s="113"/>
      <c r="AW1404" s="113"/>
      <c r="AX1404" s="46">
        <v>0</v>
      </c>
      <c r="AY1404" s="113"/>
      <c r="AZ1404" s="113"/>
      <c r="BA1404" s="113"/>
      <c r="BB1404" s="113"/>
      <c r="BC1404" s="113"/>
      <c r="BD1404" s="46">
        <v>0</v>
      </c>
      <c r="BE1404" s="113"/>
      <c r="BF1404" s="113"/>
      <c r="BG1404" s="113"/>
      <c r="BH1404" s="113"/>
      <c r="BI1404" s="113"/>
      <c r="BJ1404" s="46">
        <v>0</v>
      </c>
      <c r="BK1404" s="113"/>
      <c r="BL1404" s="113"/>
      <c r="BM1404" s="113"/>
      <c r="BN1404" s="113"/>
      <c r="BO1404" s="113"/>
      <c r="BP1404" s="121"/>
      <c r="BQ1404" s="121"/>
      <c r="GA1404" t="s">
        <v>18300</v>
      </c>
      <c r="GB1404" t="s">
        <v>23175</v>
      </c>
      <c r="GC1404" s="46">
        <v>0</v>
      </c>
      <c r="GD1404" s="113"/>
      <c r="GE1404" s="113"/>
      <c r="GF1404" s="113"/>
      <c r="GG1404" s="113"/>
      <c r="GH1404" s="113"/>
      <c r="GI1404" s="46">
        <v>0</v>
      </c>
      <c r="GJ1404" s="113"/>
      <c r="GK1404" s="113"/>
      <c r="GL1404" s="113"/>
      <c r="GM1404" s="113"/>
      <c r="GN1404" s="113"/>
      <c r="GO1404" s="46">
        <v>0</v>
      </c>
      <c r="GP1404" s="113"/>
      <c r="GQ1404" s="113"/>
      <c r="GR1404" s="113"/>
      <c r="GS1404" s="113"/>
      <c r="GT1404" s="113"/>
      <c r="GU1404" s="46">
        <v>0</v>
      </c>
      <c r="GV1404" s="113"/>
      <c r="GW1404" s="113"/>
      <c r="GX1404" s="113"/>
      <c r="GY1404" s="113"/>
      <c r="GZ1404" s="113"/>
      <c r="HA1404" s="46">
        <v>0</v>
      </c>
      <c r="HB1404" s="113"/>
      <c r="HC1404" s="113"/>
      <c r="HD1404" s="113"/>
      <c r="HE1404" s="113"/>
      <c r="HF1404" s="113"/>
      <c r="HG1404" s="46">
        <v>0</v>
      </c>
      <c r="HH1404" s="113"/>
      <c r="HI1404" s="113"/>
      <c r="HJ1404" s="113"/>
      <c r="HK1404" s="113"/>
      <c r="HL1404" s="113"/>
      <c r="HM1404" s="121"/>
      <c r="HN1404" s="121"/>
      <c r="LM1404" t="str">
        <v/>
      </c>
      <c r="LN1404" t="str">
        <v/>
      </c>
      <c r="LO1404" t="str">
        <v/>
      </c>
    </row>
    <row r="1405" spans="30:327">
      <c r="AD1405" t="s">
        <v>18300</v>
      </c>
      <c r="AE1405" t="s">
        <v>23176</v>
      </c>
      <c r="AF1405" s="46">
        <v>0</v>
      </c>
      <c r="AG1405" s="113"/>
      <c r="AH1405" s="113"/>
      <c r="AI1405" s="113"/>
      <c r="AJ1405" s="113"/>
      <c r="AK1405" s="113"/>
      <c r="AL1405" s="46">
        <v>0</v>
      </c>
      <c r="AM1405" s="113"/>
      <c r="AN1405" s="113"/>
      <c r="AO1405" s="113"/>
      <c r="AP1405" s="113"/>
      <c r="AQ1405" s="113"/>
      <c r="AR1405" s="46">
        <v>0</v>
      </c>
      <c r="AS1405" s="113"/>
      <c r="AT1405" s="113"/>
      <c r="AU1405" s="113"/>
      <c r="AV1405" s="113"/>
      <c r="AW1405" s="113"/>
      <c r="AX1405" s="46">
        <v>0</v>
      </c>
      <c r="AY1405" s="113"/>
      <c r="AZ1405" s="113"/>
      <c r="BA1405" s="113"/>
      <c r="BB1405" s="113"/>
      <c r="BC1405" s="113"/>
      <c r="BD1405" s="46">
        <v>0</v>
      </c>
      <c r="BE1405" s="113"/>
      <c r="BF1405" s="113"/>
      <c r="BG1405" s="113"/>
      <c r="BH1405" s="113"/>
      <c r="BI1405" s="113"/>
      <c r="BJ1405" s="46">
        <v>0</v>
      </c>
      <c r="BK1405" s="113"/>
      <c r="BL1405" s="113"/>
      <c r="BM1405" s="113"/>
      <c r="BN1405" s="113"/>
      <c r="BO1405" s="113"/>
      <c r="BP1405" s="121"/>
      <c r="BQ1405" s="121"/>
      <c r="GA1405" t="s">
        <v>18300</v>
      </c>
      <c r="GB1405" t="s">
        <v>23176</v>
      </c>
      <c r="GC1405" s="46">
        <v>0</v>
      </c>
      <c r="GD1405" s="113"/>
      <c r="GE1405" s="113"/>
      <c r="GF1405" s="113"/>
      <c r="GG1405" s="113"/>
      <c r="GH1405" s="113"/>
      <c r="GI1405" s="46">
        <v>0</v>
      </c>
      <c r="GJ1405" s="113"/>
      <c r="GK1405" s="113"/>
      <c r="GL1405" s="113"/>
      <c r="GM1405" s="113"/>
      <c r="GN1405" s="113"/>
      <c r="GO1405" s="46">
        <v>0</v>
      </c>
      <c r="GP1405" s="113"/>
      <c r="GQ1405" s="113"/>
      <c r="GR1405" s="113"/>
      <c r="GS1405" s="113"/>
      <c r="GT1405" s="113"/>
      <c r="GU1405" s="46">
        <v>0</v>
      </c>
      <c r="GV1405" s="113"/>
      <c r="GW1405" s="113"/>
      <c r="GX1405" s="113"/>
      <c r="GY1405" s="113"/>
      <c r="GZ1405" s="113"/>
      <c r="HA1405" s="46">
        <v>0</v>
      </c>
      <c r="HB1405" s="113"/>
      <c r="HC1405" s="113"/>
      <c r="HD1405" s="113"/>
      <c r="HE1405" s="113"/>
      <c r="HF1405" s="113"/>
      <c r="HG1405" s="46">
        <v>0</v>
      </c>
      <c r="HH1405" s="113"/>
      <c r="HI1405" s="113"/>
      <c r="HJ1405" s="113"/>
      <c r="HK1405" s="113"/>
      <c r="HL1405" s="113"/>
      <c r="HM1405" s="121"/>
      <c r="HN1405" s="121"/>
      <c r="LM1405" t="str">
        <v/>
      </c>
      <c r="LN1405" t="str">
        <v/>
      </c>
      <c r="LO1405" t="str">
        <v/>
      </c>
    </row>
    <row r="1406" spans="30:327">
      <c r="AD1406" t="s">
        <v>18300</v>
      </c>
      <c r="AE1406" t="s">
        <v>19748</v>
      </c>
      <c r="AF1406" s="46">
        <v>0</v>
      </c>
      <c r="AG1406" s="113"/>
      <c r="AH1406" s="113"/>
      <c r="AI1406" s="113"/>
      <c r="AJ1406" s="113"/>
      <c r="AK1406" s="113"/>
      <c r="AL1406" s="46">
        <v>0</v>
      </c>
      <c r="AM1406" s="113"/>
      <c r="AN1406" s="113"/>
      <c r="AO1406" s="113"/>
      <c r="AP1406" s="113"/>
      <c r="AQ1406" s="113"/>
      <c r="AR1406" s="46">
        <v>0</v>
      </c>
      <c r="AS1406" s="113"/>
      <c r="AT1406" s="113"/>
      <c r="AU1406" s="113"/>
      <c r="AV1406" s="113"/>
      <c r="AW1406" s="113"/>
      <c r="AX1406" s="46">
        <v>0</v>
      </c>
      <c r="AY1406" s="113"/>
      <c r="AZ1406" s="113"/>
      <c r="BA1406" s="113"/>
      <c r="BB1406" s="113"/>
      <c r="BC1406" s="113"/>
      <c r="BD1406" s="46">
        <v>0</v>
      </c>
      <c r="BE1406" s="113"/>
      <c r="BF1406" s="113"/>
      <c r="BG1406" s="113"/>
      <c r="BH1406" s="113"/>
      <c r="BI1406" s="113"/>
      <c r="BJ1406" s="46">
        <v>0</v>
      </c>
      <c r="BK1406" s="113"/>
      <c r="BL1406" s="113"/>
      <c r="BM1406" s="113"/>
      <c r="BN1406" s="113"/>
      <c r="BO1406" s="113"/>
      <c r="BP1406" s="121"/>
      <c r="BQ1406" s="121"/>
      <c r="GA1406" t="s">
        <v>18300</v>
      </c>
      <c r="GB1406" t="s">
        <v>19748</v>
      </c>
      <c r="GC1406" s="46">
        <v>0</v>
      </c>
      <c r="GD1406" s="113"/>
      <c r="GE1406" s="113"/>
      <c r="GF1406" s="113"/>
      <c r="GG1406" s="113"/>
      <c r="GH1406" s="113"/>
      <c r="GI1406" s="46">
        <v>0</v>
      </c>
      <c r="GJ1406" s="113"/>
      <c r="GK1406" s="113"/>
      <c r="GL1406" s="113"/>
      <c r="GM1406" s="113"/>
      <c r="GN1406" s="113"/>
      <c r="GO1406" s="46">
        <v>0</v>
      </c>
      <c r="GP1406" s="113"/>
      <c r="GQ1406" s="113"/>
      <c r="GR1406" s="113"/>
      <c r="GS1406" s="113"/>
      <c r="GT1406" s="113"/>
      <c r="GU1406" s="46">
        <v>0</v>
      </c>
      <c r="GV1406" s="113"/>
      <c r="GW1406" s="113"/>
      <c r="GX1406" s="113"/>
      <c r="GY1406" s="113"/>
      <c r="GZ1406" s="113"/>
      <c r="HA1406" s="46">
        <v>0</v>
      </c>
      <c r="HB1406" s="113"/>
      <c r="HC1406" s="113"/>
      <c r="HD1406" s="113"/>
      <c r="HE1406" s="113"/>
      <c r="HF1406" s="113"/>
      <c r="HG1406" s="46">
        <v>0</v>
      </c>
      <c r="HH1406" s="113"/>
      <c r="HI1406" s="113"/>
      <c r="HJ1406" s="113"/>
      <c r="HK1406" s="113"/>
      <c r="HL1406" s="113"/>
      <c r="HM1406" s="121"/>
      <c r="HN1406" s="121"/>
      <c r="LM1406" t="str">
        <v/>
      </c>
      <c r="LN1406" t="str">
        <v/>
      </c>
      <c r="LO1406" t="str">
        <v/>
      </c>
    </row>
    <row r="1407" spans="30:327">
      <c r="AD1407" t="s">
        <v>18300</v>
      </c>
      <c r="AE1407" t="s">
        <v>19749</v>
      </c>
      <c r="AF1407" s="46">
        <v>0</v>
      </c>
      <c r="AG1407" s="113"/>
      <c r="AH1407" s="113"/>
      <c r="AI1407" s="113"/>
      <c r="AJ1407" s="113"/>
      <c r="AK1407" s="113"/>
      <c r="AL1407" s="46">
        <v>0</v>
      </c>
      <c r="AM1407" s="113"/>
      <c r="AN1407" s="113"/>
      <c r="AO1407" s="113"/>
      <c r="AP1407" s="113"/>
      <c r="AQ1407" s="113"/>
      <c r="AR1407" s="46">
        <v>0</v>
      </c>
      <c r="AS1407" s="113"/>
      <c r="AT1407" s="113"/>
      <c r="AU1407" s="113"/>
      <c r="AV1407" s="113"/>
      <c r="AW1407" s="113"/>
      <c r="AX1407" s="46">
        <v>0</v>
      </c>
      <c r="AY1407" s="113"/>
      <c r="AZ1407" s="113"/>
      <c r="BA1407" s="113"/>
      <c r="BB1407" s="113"/>
      <c r="BC1407" s="113"/>
      <c r="BD1407" s="46">
        <v>0</v>
      </c>
      <c r="BE1407" s="113"/>
      <c r="BF1407" s="113"/>
      <c r="BG1407" s="113"/>
      <c r="BH1407" s="113"/>
      <c r="BI1407" s="113"/>
      <c r="BJ1407" s="46">
        <v>0</v>
      </c>
      <c r="BK1407" s="113"/>
      <c r="BL1407" s="113"/>
      <c r="BM1407" s="113"/>
      <c r="BN1407" s="113"/>
      <c r="BO1407" s="113"/>
      <c r="BP1407" s="121"/>
      <c r="BQ1407" s="121"/>
      <c r="GA1407" t="s">
        <v>18300</v>
      </c>
      <c r="GB1407" t="s">
        <v>19749</v>
      </c>
      <c r="GC1407" s="46">
        <v>0</v>
      </c>
      <c r="GD1407" s="113"/>
      <c r="GE1407" s="113"/>
      <c r="GF1407" s="113"/>
      <c r="GG1407" s="113"/>
      <c r="GH1407" s="113"/>
      <c r="GI1407" s="46">
        <v>0</v>
      </c>
      <c r="GJ1407" s="113"/>
      <c r="GK1407" s="113"/>
      <c r="GL1407" s="113"/>
      <c r="GM1407" s="113"/>
      <c r="GN1407" s="113"/>
      <c r="GO1407" s="46">
        <v>0</v>
      </c>
      <c r="GP1407" s="113"/>
      <c r="GQ1407" s="113"/>
      <c r="GR1407" s="113"/>
      <c r="GS1407" s="113"/>
      <c r="GT1407" s="113"/>
      <c r="GU1407" s="46">
        <v>0</v>
      </c>
      <c r="GV1407" s="113"/>
      <c r="GW1407" s="113"/>
      <c r="GX1407" s="113"/>
      <c r="GY1407" s="113"/>
      <c r="GZ1407" s="113"/>
      <c r="HA1407" s="46">
        <v>0</v>
      </c>
      <c r="HB1407" s="113"/>
      <c r="HC1407" s="113"/>
      <c r="HD1407" s="113"/>
      <c r="HE1407" s="113"/>
      <c r="HF1407" s="113"/>
      <c r="HG1407" s="46">
        <v>0</v>
      </c>
      <c r="HH1407" s="113"/>
      <c r="HI1407" s="113"/>
      <c r="HJ1407" s="113"/>
      <c r="HK1407" s="113"/>
      <c r="HL1407" s="113"/>
      <c r="HM1407" s="121"/>
      <c r="HN1407" s="121"/>
      <c r="LM1407" t="str">
        <v/>
      </c>
      <c r="LN1407" t="str">
        <v/>
      </c>
      <c r="LO1407" t="str">
        <v/>
      </c>
    </row>
    <row r="1408" spans="30:327">
      <c r="AD1408" t="s">
        <v>18300</v>
      </c>
      <c r="AE1408" t="s">
        <v>19750</v>
      </c>
      <c r="AF1408" s="46">
        <v>0</v>
      </c>
      <c r="AG1408" s="113"/>
      <c r="AH1408" s="113"/>
      <c r="AI1408" s="113"/>
      <c r="AJ1408" s="113"/>
      <c r="AK1408" s="113"/>
      <c r="AL1408" s="46">
        <v>0</v>
      </c>
      <c r="AM1408" s="113"/>
      <c r="AN1408" s="113"/>
      <c r="AO1408" s="113"/>
      <c r="AP1408" s="113"/>
      <c r="AQ1408" s="113"/>
      <c r="AR1408" s="46">
        <v>0</v>
      </c>
      <c r="AS1408" s="113"/>
      <c r="AT1408" s="113"/>
      <c r="AU1408" s="113"/>
      <c r="AV1408" s="113"/>
      <c r="AW1408" s="113"/>
      <c r="AX1408" s="46">
        <v>0</v>
      </c>
      <c r="AY1408" s="113"/>
      <c r="AZ1408" s="113"/>
      <c r="BA1408" s="113"/>
      <c r="BB1408" s="113"/>
      <c r="BC1408" s="113"/>
      <c r="BD1408" s="46">
        <v>0</v>
      </c>
      <c r="BE1408" s="113"/>
      <c r="BF1408" s="113"/>
      <c r="BG1408" s="113"/>
      <c r="BH1408" s="113"/>
      <c r="BI1408" s="113"/>
      <c r="BJ1408" s="46">
        <v>0</v>
      </c>
      <c r="BK1408" s="113"/>
      <c r="BL1408" s="113"/>
      <c r="BM1408" s="113"/>
      <c r="BN1408" s="113"/>
      <c r="BO1408" s="113"/>
      <c r="BP1408" s="121"/>
      <c r="BQ1408" s="121"/>
      <c r="GA1408" t="s">
        <v>18300</v>
      </c>
      <c r="GB1408" t="s">
        <v>19750</v>
      </c>
      <c r="GC1408" s="46">
        <v>0</v>
      </c>
      <c r="GD1408" s="113"/>
      <c r="GE1408" s="113"/>
      <c r="GF1408" s="113"/>
      <c r="GG1408" s="113"/>
      <c r="GH1408" s="113"/>
      <c r="GI1408" s="46">
        <v>0</v>
      </c>
      <c r="GJ1408" s="113"/>
      <c r="GK1408" s="113"/>
      <c r="GL1408" s="113"/>
      <c r="GM1408" s="113"/>
      <c r="GN1408" s="113"/>
      <c r="GO1408" s="46">
        <v>0</v>
      </c>
      <c r="GP1408" s="113"/>
      <c r="GQ1408" s="113"/>
      <c r="GR1408" s="113"/>
      <c r="GS1408" s="113"/>
      <c r="GT1408" s="113"/>
      <c r="GU1408" s="46">
        <v>0</v>
      </c>
      <c r="GV1408" s="113"/>
      <c r="GW1408" s="113"/>
      <c r="GX1408" s="113"/>
      <c r="GY1408" s="113"/>
      <c r="GZ1408" s="113"/>
      <c r="HA1408" s="46">
        <v>0</v>
      </c>
      <c r="HB1408" s="113"/>
      <c r="HC1408" s="113"/>
      <c r="HD1408" s="113"/>
      <c r="HE1408" s="113"/>
      <c r="HF1408" s="113"/>
      <c r="HG1408" s="46">
        <v>0</v>
      </c>
      <c r="HH1408" s="113"/>
      <c r="HI1408" s="113"/>
      <c r="HJ1408" s="113"/>
      <c r="HK1408" s="113"/>
      <c r="HL1408" s="113"/>
      <c r="HM1408" s="121"/>
      <c r="HN1408" s="121"/>
      <c r="LM1408" t="str">
        <v/>
      </c>
      <c r="LN1408" t="str">
        <v/>
      </c>
      <c r="LO1408" t="str">
        <v/>
      </c>
    </row>
    <row r="1409" spans="30:327">
      <c r="AD1409" t="s">
        <v>18300</v>
      </c>
      <c r="AE1409" t="s">
        <v>19751</v>
      </c>
      <c r="AF1409" s="46">
        <v>0</v>
      </c>
      <c r="AG1409" s="113"/>
      <c r="AH1409" s="113"/>
      <c r="AI1409" s="113"/>
      <c r="AJ1409" s="113"/>
      <c r="AK1409" s="113"/>
      <c r="AL1409" s="46">
        <v>0</v>
      </c>
      <c r="AM1409" s="113"/>
      <c r="AN1409" s="113"/>
      <c r="AO1409" s="113"/>
      <c r="AP1409" s="113"/>
      <c r="AQ1409" s="113"/>
      <c r="AR1409" s="46">
        <v>0</v>
      </c>
      <c r="AS1409" s="113"/>
      <c r="AT1409" s="113"/>
      <c r="AU1409" s="113"/>
      <c r="AV1409" s="113"/>
      <c r="AW1409" s="113"/>
      <c r="AX1409" s="46">
        <v>0</v>
      </c>
      <c r="AY1409" s="113"/>
      <c r="AZ1409" s="113"/>
      <c r="BA1409" s="113"/>
      <c r="BB1409" s="113"/>
      <c r="BC1409" s="113"/>
      <c r="BD1409" s="46">
        <v>0</v>
      </c>
      <c r="BE1409" s="113"/>
      <c r="BF1409" s="113"/>
      <c r="BG1409" s="113"/>
      <c r="BH1409" s="113"/>
      <c r="BI1409" s="113"/>
      <c r="BJ1409" s="46">
        <v>0</v>
      </c>
      <c r="BK1409" s="113"/>
      <c r="BL1409" s="113"/>
      <c r="BM1409" s="113"/>
      <c r="BN1409" s="113"/>
      <c r="BO1409" s="113"/>
      <c r="BP1409" s="121"/>
      <c r="BQ1409" s="121"/>
      <c r="GA1409" t="s">
        <v>18300</v>
      </c>
      <c r="GB1409" t="s">
        <v>19751</v>
      </c>
      <c r="GC1409" s="46">
        <v>0</v>
      </c>
      <c r="GD1409" s="113"/>
      <c r="GE1409" s="113"/>
      <c r="GF1409" s="113"/>
      <c r="GG1409" s="113"/>
      <c r="GH1409" s="113"/>
      <c r="GI1409" s="46">
        <v>0</v>
      </c>
      <c r="GJ1409" s="113"/>
      <c r="GK1409" s="113"/>
      <c r="GL1409" s="113"/>
      <c r="GM1409" s="113"/>
      <c r="GN1409" s="113"/>
      <c r="GO1409" s="46">
        <v>0</v>
      </c>
      <c r="GP1409" s="113"/>
      <c r="GQ1409" s="113"/>
      <c r="GR1409" s="113"/>
      <c r="GS1409" s="113"/>
      <c r="GT1409" s="113"/>
      <c r="GU1409" s="46">
        <v>0</v>
      </c>
      <c r="GV1409" s="113"/>
      <c r="GW1409" s="113"/>
      <c r="GX1409" s="113"/>
      <c r="GY1409" s="113"/>
      <c r="GZ1409" s="113"/>
      <c r="HA1409" s="46">
        <v>0</v>
      </c>
      <c r="HB1409" s="113"/>
      <c r="HC1409" s="113"/>
      <c r="HD1409" s="113"/>
      <c r="HE1409" s="113"/>
      <c r="HF1409" s="113"/>
      <c r="HG1409" s="46">
        <v>0</v>
      </c>
      <c r="HH1409" s="113"/>
      <c r="HI1409" s="113"/>
      <c r="HJ1409" s="113"/>
      <c r="HK1409" s="113"/>
      <c r="HL1409" s="113"/>
      <c r="HM1409" s="121"/>
      <c r="HN1409" s="121"/>
      <c r="LM1409" t="str">
        <v/>
      </c>
      <c r="LN1409" t="str">
        <v/>
      </c>
      <c r="LO1409" t="str">
        <v/>
      </c>
    </row>
    <row r="1410" spans="30:327">
      <c r="AD1410" t="s">
        <v>18300</v>
      </c>
      <c r="AE1410" t="s">
        <v>19752</v>
      </c>
      <c r="AF1410" s="46">
        <v>0</v>
      </c>
      <c r="AG1410" s="113"/>
      <c r="AH1410" s="113"/>
      <c r="AI1410" s="113"/>
      <c r="AJ1410" s="113"/>
      <c r="AK1410" s="113"/>
      <c r="AL1410" s="46">
        <v>0</v>
      </c>
      <c r="AM1410" s="113"/>
      <c r="AN1410" s="113"/>
      <c r="AO1410" s="113"/>
      <c r="AP1410" s="113"/>
      <c r="AQ1410" s="113"/>
      <c r="AR1410" s="46">
        <v>0</v>
      </c>
      <c r="AS1410" s="113"/>
      <c r="AT1410" s="113"/>
      <c r="AU1410" s="113"/>
      <c r="AV1410" s="113"/>
      <c r="AW1410" s="113"/>
      <c r="AX1410" s="46">
        <v>0</v>
      </c>
      <c r="AY1410" s="113"/>
      <c r="AZ1410" s="113"/>
      <c r="BA1410" s="113"/>
      <c r="BB1410" s="113"/>
      <c r="BC1410" s="113"/>
      <c r="BD1410" s="46">
        <v>0</v>
      </c>
      <c r="BE1410" s="113"/>
      <c r="BF1410" s="113"/>
      <c r="BG1410" s="113"/>
      <c r="BH1410" s="113"/>
      <c r="BI1410" s="113"/>
      <c r="BJ1410" s="46">
        <v>0</v>
      </c>
      <c r="BK1410" s="113"/>
      <c r="BL1410" s="113"/>
      <c r="BM1410" s="113"/>
      <c r="BN1410" s="113"/>
      <c r="BO1410" s="113"/>
      <c r="BP1410" s="121"/>
      <c r="BQ1410" s="121"/>
      <c r="GA1410" t="s">
        <v>18300</v>
      </c>
      <c r="GB1410" t="s">
        <v>19752</v>
      </c>
      <c r="GC1410" s="46">
        <v>0</v>
      </c>
      <c r="GD1410" s="113"/>
      <c r="GE1410" s="113"/>
      <c r="GF1410" s="113"/>
      <c r="GG1410" s="113"/>
      <c r="GH1410" s="113"/>
      <c r="GI1410" s="46">
        <v>0</v>
      </c>
      <c r="GJ1410" s="113"/>
      <c r="GK1410" s="113"/>
      <c r="GL1410" s="113"/>
      <c r="GM1410" s="113"/>
      <c r="GN1410" s="113"/>
      <c r="GO1410" s="46">
        <v>0</v>
      </c>
      <c r="GP1410" s="113"/>
      <c r="GQ1410" s="113"/>
      <c r="GR1410" s="113"/>
      <c r="GS1410" s="113"/>
      <c r="GT1410" s="113"/>
      <c r="GU1410" s="46">
        <v>0</v>
      </c>
      <c r="GV1410" s="113"/>
      <c r="GW1410" s="113"/>
      <c r="GX1410" s="113"/>
      <c r="GY1410" s="113"/>
      <c r="GZ1410" s="113"/>
      <c r="HA1410" s="46">
        <v>0</v>
      </c>
      <c r="HB1410" s="113"/>
      <c r="HC1410" s="113"/>
      <c r="HD1410" s="113"/>
      <c r="HE1410" s="113"/>
      <c r="HF1410" s="113"/>
      <c r="HG1410" s="46">
        <v>0</v>
      </c>
      <c r="HH1410" s="113"/>
      <c r="HI1410" s="113"/>
      <c r="HJ1410" s="113"/>
      <c r="HK1410" s="113"/>
      <c r="HL1410" s="113"/>
      <c r="HM1410" s="121"/>
      <c r="HN1410" s="121"/>
      <c r="LM1410" t="str">
        <v/>
      </c>
      <c r="LN1410" t="str">
        <v/>
      </c>
      <c r="LO1410" t="str">
        <v/>
      </c>
    </row>
    <row r="1411" spans="30:327">
      <c r="AD1411" t="s">
        <v>18300</v>
      </c>
      <c r="AE1411" t="s">
        <v>19753</v>
      </c>
      <c r="AF1411" s="46">
        <v>0</v>
      </c>
      <c r="AG1411" s="113"/>
      <c r="AH1411" s="113"/>
      <c r="AI1411" s="113"/>
      <c r="AJ1411" s="113"/>
      <c r="AK1411" s="113"/>
      <c r="AL1411" s="46">
        <v>0</v>
      </c>
      <c r="AM1411" s="113"/>
      <c r="AN1411" s="113"/>
      <c r="AO1411" s="113"/>
      <c r="AP1411" s="113"/>
      <c r="AQ1411" s="113"/>
      <c r="AR1411" s="46">
        <v>0</v>
      </c>
      <c r="AS1411" s="113"/>
      <c r="AT1411" s="113"/>
      <c r="AU1411" s="113"/>
      <c r="AV1411" s="113"/>
      <c r="AW1411" s="113"/>
      <c r="AX1411" s="46">
        <v>0</v>
      </c>
      <c r="AY1411" s="113"/>
      <c r="AZ1411" s="113"/>
      <c r="BA1411" s="113"/>
      <c r="BB1411" s="113"/>
      <c r="BC1411" s="113"/>
      <c r="BD1411" s="46">
        <v>0</v>
      </c>
      <c r="BE1411" s="113"/>
      <c r="BF1411" s="113"/>
      <c r="BG1411" s="113"/>
      <c r="BH1411" s="113"/>
      <c r="BI1411" s="113"/>
      <c r="BJ1411" s="46">
        <v>0</v>
      </c>
      <c r="BK1411" s="113"/>
      <c r="BL1411" s="113"/>
      <c r="BM1411" s="113"/>
      <c r="BN1411" s="113"/>
      <c r="BO1411" s="113"/>
      <c r="BP1411" s="121"/>
      <c r="BQ1411" s="121"/>
      <c r="GA1411" t="s">
        <v>18300</v>
      </c>
      <c r="GB1411" t="s">
        <v>19753</v>
      </c>
      <c r="GC1411" s="46">
        <v>0</v>
      </c>
      <c r="GD1411" s="113"/>
      <c r="GE1411" s="113"/>
      <c r="GF1411" s="113"/>
      <c r="GG1411" s="113"/>
      <c r="GH1411" s="113"/>
      <c r="GI1411" s="46">
        <v>0</v>
      </c>
      <c r="GJ1411" s="113"/>
      <c r="GK1411" s="113"/>
      <c r="GL1411" s="113"/>
      <c r="GM1411" s="113"/>
      <c r="GN1411" s="113"/>
      <c r="GO1411" s="46">
        <v>0</v>
      </c>
      <c r="GP1411" s="113"/>
      <c r="GQ1411" s="113"/>
      <c r="GR1411" s="113"/>
      <c r="GS1411" s="113"/>
      <c r="GT1411" s="113"/>
      <c r="GU1411" s="46">
        <v>0</v>
      </c>
      <c r="GV1411" s="113"/>
      <c r="GW1411" s="113"/>
      <c r="GX1411" s="113"/>
      <c r="GY1411" s="113"/>
      <c r="GZ1411" s="113"/>
      <c r="HA1411" s="46">
        <v>0</v>
      </c>
      <c r="HB1411" s="113"/>
      <c r="HC1411" s="113"/>
      <c r="HD1411" s="113"/>
      <c r="HE1411" s="113"/>
      <c r="HF1411" s="113"/>
      <c r="HG1411" s="46">
        <v>0</v>
      </c>
      <c r="HH1411" s="113"/>
      <c r="HI1411" s="113"/>
      <c r="HJ1411" s="113"/>
      <c r="HK1411" s="113"/>
      <c r="HL1411" s="113"/>
      <c r="HM1411" s="121"/>
      <c r="HN1411" s="121"/>
      <c r="LM1411" t="str">
        <v/>
      </c>
      <c r="LN1411" t="str">
        <v/>
      </c>
      <c r="LO1411" t="str">
        <v/>
      </c>
    </row>
    <row r="1412" spans="30:327">
      <c r="AD1412" t="s">
        <v>18300</v>
      </c>
      <c r="AE1412" t="s">
        <v>19754</v>
      </c>
      <c r="AF1412" s="46">
        <v>0</v>
      </c>
      <c r="AG1412" s="113"/>
      <c r="AH1412" s="113"/>
      <c r="AI1412" s="113"/>
      <c r="AJ1412" s="113"/>
      <c r="AK1412" s="113"/>
      <c r="AL1412" s="46">
        <v>0</v>
      </c>
      <c r="AM1412" s="113"/>
      <c r="AN1412" s="113"/>
      <c r="AO1412" s="113"/>
      <c r="AP1412" s="113"/>
      <c r="AQ1412" s="113"/>
      <c r="AR1412" s="46">
        <v>0</v>
      </c>
      <c r="AS1412" s="113"/>
      <c r="AT1412" s="113"/>
      <c r="AU1412" s="113"/>
      <c r="AV1412" s="113"/>
      <c r="AW1412" s="113"/>
      <c r="AX1412" s="46">
        <v>0</v>
      </c>
      <c r="AY1412" s="113"/>
      <c r="AZ1412" s="113"/>
      <c r="BA1412" s="113"/>
      <c r="BB1412" s="113"/>
      <c r="BC1412" s="113"/>
      <c r="BD1412" s="46">
        <v>0</v>
      </c>
      <c r="BE1412" s="113"/>
      <c r="BF1412" s="113"/>
      <c r="BG1412" s="113"/>
      <c r="BH1412" s="113"/>
      <c r="BI1412" s="113"/>
      <c r="BJ1412" s="46">
        <v>0</v>
      </c>
      <c r="BK1412" s="113"/>
      <c r="BL1412" s="113"/>
      <c r="BM1412" s="113"/>
      <c r="BN1412" s="113"/>
      <c r="BO1412" s="113"/>
      <c r="BP1412" s="121"/>
      <c r="BQ1412" s="121"/>
      <c r="GA1412" t="s">
        <v>18300</v>
      </c>
      <c r="GB1412" t="s">
        <v>19754</v>
      </c>
      <c r="GC1412" s="46">
        <v>0</v>
      </c>
      <c r="GD1412" s="113"/>
      <c r="GE1412" s="113"/>
      <c r="GF1412" s="113"/>
      <c r="GG1412" s="113"/>
      <c r="GH1412" s="113"/>
      <c r="GI1412" s="46">
        <v>0</v>
      </c>
      <c r="GJ1412" s="113"/>
      <c r="GK1412" s="113"/>
      <c r="GL1412" s="113"/>
      <c r="GM1412" s="113"/>
      <c r="GN1412" s="113"/>
      <c r="GO1412" s="46">
        <v>0</v>
      </c>
      <c r="GP1412" s="113"/>
      <c r="GQ1412" s="113"/>
      <c r="GR1412" s="113"/>
      <c r="GS1412" s="113"/>
      <c r="GT1412" s="113"/>
      <c r="GU1412" s="46">
        <v>0</v>
      </c>
      <c r="GV1412" s="113"/>
      <c r="GW1412" s="113"/>
      <c r="GX1412" s="113"/>
      <c r="GY1412" s="113"/>
      <c r="GZ1412" s="113"/>
      <c r="HA1412" s="46">
        <v>0</v>
      </c>
      <c r="HB1412" s="113"/>
      <c r="HC1412" s="113"/>
      <c r="HD1412" s="113"/>
      <c r="HE1412" s="113"/>
      <c r="HF1412" s="113"/>
      <c r="HG1412" s="46">
        <v>0</v>
      </c>
      <c r="HH1412" s="113"/>
      <c r="HI1412" s="113"/>
      <c r="HJ1412" s="113"/>
      <c r="HK1412" s="113"/>
      <c r="HL1412" s="113"/>
      <c r="HM1412" s="121"/>
      <c r="HN1412" s="121"/>
      <c r="LM1412" t="str">
        <v/>
      </c>
      <c r="LN1412" t="str">
        <v/>
      </c>
      <c r="LO1412" t="str">
        <v/>
      </c>
    </row>
    <row r="1413" spans="30:327">
      <c r="AD1413" t="s">
        <v>18300</v>
      </c>
      <c r="AE1413" t="s">
        <v>19755</v>
      </c>
      <c r="AF1413" s="46">
        <v>0</v>
      </c>
      <c r="AG1413" s="113"/>
      <c r="AH1413" s="113"/>
      <c r="AI1413" s="113"/>
      <c r="AJ1413" s="113"/>
      <c r="AK1413" s="113"/>
      <c r="AL1413" s="46">
        <v>0</v>
      </c>
      <c r="AM1413" s="113"/>
      <c r="AN1413" s="113"/>
      <c r="AO1413" s="113"/>
      <c r="AP1413" s="113"/>
      <c r="AQ1413" s="113"/>
      <c r="AR1413" s="46">
        <v>0</v>
      </c>
      <c r="AS1413" s="113"/>
      <c r="AT1413" s="113"/>
      <c r="AU1413" s="113"/>
      <c r="AV1413" s="113"/>
      <c r="AW1413" s="113"/>
      <c r="AX1413" s="46">
        <v>0</v>
      </c>
      <c r="AY1413" s="113"/>
      <c r="AZ1413" s="113"/>
      <c r="BA1413" s="113"/>
      <c r="BB1413" s="113"/>
      <c r="BC1413" s="113"/>
      <c r="BD1413" s="46">
        <v>0</v>
      </c>
      <c r="BE1413" s="113"/>
      <c r="BF1413" s="113"/>
      <c r="BG1413" s="113"/>
      <c r="BH1413" s="113"/>
      <c r="BI1413" s="113"/>
      <c r="BJ1413" s="46">
        <v>0</v>
      </c>
      <c r="BK1413" s="113"/>
      <c r="BL1413" s="113"/>
      <c r="BM1413" s="113"/>
      <c r="BN1413" s="113"/>
      <c r="BO1413" s="113"/>
      <c r="BP1413" s="121"/>
      <c r="BQ1413" s="121"/>
      <c r="GA1413" t="s">
        <v>18300</v>
      </c>
      <c r="GB1413" t="s">
        <v>19755</v>
      </c>
      <c r="GC1413" s="46">
        <v>0</v>
      </c>
      <c r="GD1413" s="113"/>
      <c r="GE1413" s="113"/>
      <c r="GF1413" s="113"/>
      <c r="GG1413" s="113"/>
      <c r="GH1413" s="113"/>
      <c r="GI1413" s="46">
        <v>0</v>
      </c>
      <c r="GJ1413" s="113"/>
      <c r="GK1413" s="113"/>
      <c r="GL1413" s="113"/>
      <c r="GM1413" s="113"/>
      <c r="GN1413" s="113"/>
      <c r="GO1413" s="46">
        <v>0</v>
      </c>
      <c r="GP1413" s="113"/>
      <c r="GQ1413" s="113"/>
      <c r="GR1413" s="113"/>
      <c r="GS1413" s="113"/>
      <c r="GT1413" s="113"/>
      <c r="GU1413" s="46">
        <v>0</v>
      </c>
      <c r="GV1413" s="113"/>
      <c r="GW1413" s="113"/>
      <c r="GX1413" s="113"/>
      <c r="GY1413" s="113"/>
      <c r="GZ1413" s="113"/>
      <c r="HA1413" s="46">
        <v>0</v>
      </c>
      <c r="HB1413" s="113"/>
      <c r="HC1413" s="113"/>
      <c r="HD1413" s="113"/>
      <c r="HE1413" s="113"/>
      <c r="HF1413" s="113"/>
      <c r="HG1413" s="46">
        <v>0</v>
      </c>
      <c r="HH1413" s="113"/>
      <c r="HI1413" s="113"/>
      <c r="HJ1413" s="113"/>
      <c r="HK1413" s="113"/>
      <c r="HL1413" s="113"/>
      <c r="HM1413" s="121"/>
      <c r="HN1413" s="121"/>
      <c r="LM1413" t="str">
        <v/>
      </c>
      <c r="LN1413" t="str">
        <v/>
      </c>
      <c r="LO1413" t="str">
        <v/>
      </c>
    </row>
    <row r="1414" spans="30:327">
      <c r="AD1414" t="s">
        <v>18300</v>
      </c>
      <c r="AE1414" t="s">
        <v>19756</v>
      </c>
      <c r="AF1414" s="46">
        <v>0</v>
      </c>
      <c r="AG1414" s="113"/>
      <c r="AH1414" s="113"/>
      <c r="AI1414" s="113"/>
      <c r="AJ1414" s="113"/>
      <c r="AK1414" s="113"/>
      <c r="AL1414" s="46">
        <v>0</v>
      </c>
      <c r="AM1414" s="113"/>
      <c r="AN1414" s="113"/>
      <c r="AO1414" s="113"/>
      <c r="AP1414" s="113"/>
      <c r="AQ1414" s="113"/>
      <c r="AR1414" s="46">
        <v>0</v>
      </c>
      <c r="AS1414" s="113"/>
      <c r="AT1414" s="113"/>
      <c r="AU1414" s="113"/>
      <c r="AV1414" s="113"/>
      <c r="AW1414" s="113"/>
      <c r="AX1414" s="46">
        <v>0</v>
      </c>
      <c r="AY1414" s="113"/>
      <c r="AZ1414" s="113"/>
      <c r="BA1414" s="113"/>
      <c r="BB1414" s="113"/>
      <c r="BC1414" s="113"/>
      <c r="BD1414" s="46">
        <v>0</v>
      </c>
      <c r="BE1414" s="113"/>
      <c r="BF1414" s="113"/>
      <c r="BG1414" s="113"/>
      <c r="BH1414" s="113"/>
      <c r="BI1414" s="113"/>
      <c r="BJ1414" s="46">
        <v>0</v>
      </c>
      <c r="BK1414" s="113"/>
      <c r="BL1414" s="113"/>
      <c r="BM1414" s="113"/>
      <c r="BN1414" s="113"/>
      <c r="BO1414" s="113"/>
      <c r="BP1414" s="121"/>
      <c r="BQ1414" s="121"/>
      <c r="GA1414" t="s">
        <v>18300</v>
      </c>
      <c r="GB1414" t="s">
        <v>19756</v>
      </c>
      <c r="GC1414" s="46">
        <v>0</v>
      </c>
      <c r="GD1414" s="113"/>
      <c r="GE1414" s="113"/>
      <c r="GF1414" s="113"/>
      <c r="GG1414" s="113"/>
      <c r="GH1414" s="113"/>
      <c r="GI1414" s="46">
        <v>0</v>
      </c>
      <c r="GJ1414" s="113"/>
      <c r="GK1414" s="113"/>
      <c r="GL1414" s="113"/>
      <c r="GM1414" s="113"/>
      <c r="GN1414" s="113"/>
      <c r="GO1414" s="46">
        <v>0</v>
      </c>
      <c r="GP1414" s="113"/>
      <c r="GQ1414" s="113"/>
      <c r="GR1414" s="113"/>
      <c r="GS1414" s="113"/>
      <c r="GT1414" s="113"/>
      <c r="GU1414" s="46">
        <v>0</v>
      </c>
      <c r="GV1414" s="113"/>
      <c r="GW1414" s="113"/>
      <c r="GX1414" s="113"/>
      <c r="GY1414" s="113"/>
      <c r="GZ1414" s="113"/>
      <c r="HA1414" s="46">
        <v>0</v>
      </c>
      <c r="HB1414" s="113"/>
      <c r="HC1414" s="113"/>
      <c r="HD1414" s="113"/>
      <c r="HE1414" s="113"/>
      <c r="HF1414" s="113"/>
      <c r="HG1414" s="46">
        <v>0</v>
      </c>
      <c r="HH1414" s="113"/>
      <c r="HI1414" s="113"/>
      <c r="HJ1414" s="113"/>
      <c r="HK1414" s="113"/>
      <c r="HL1414" s="113"/>
      <c r="HM1414" s="121"/>
      <c r="HN1414" s="121"/>
      <c r="LM1414" t="str">
        <v/>
      </c>
      <c r="LN1414" t="str">
        <v/>
      </c>
      <c r="LO1414" t="str">
        <v/>
      </c>
    </row>
    <row r="1415" spans="30:327">
      <c r="AD1415" t="s">
        <v>18300</v>
      </c>
      <c r="AE1415" t="s">
        <v>19757</v>
      </c>
      <c r="AF1415" s="46">
        <v>0</v>
      </c>
      <c r="AG1415" s="113"/>
      <c r="AH1415" s="113"/>
      <c r="AI1415" s="113"/>
      <c r="AJ1415" s="113"/>
      <c r="AK1415" s="113"/>
      <c r="AL1415" s="46">
        <v>0</v>
      </c>
      <c r="AM1415" s="113"/>
      <c r="AN1415" s="113"/>
      <c r="AO1415" s="113"/>
      <c r="AP1415" s="113"/>
      <c r="AQ1415" s="113"/>
      <c r="AR1415" s="46">
        <v>0</v>
      </c>
      <c r="AS1415" s="113"/>
      <c r="AT1415" s="113"/>
      <c r="AU1415" s="113"/>
      <c r="AV1415" s="113"/>
      <c r="AW1415" s="113"/>
      <c r="AX1415" s="46">
        <v>0</v>
      </c>
      <c r="AY1415" s="113"/>
      <c r="AZ1415" s="113"/>
      <c r="BA1415" s="113"/>
      <c r="BB1415" s="113"/>
      <c r="BC1415" s="113"/>
      <c r="BD1415" s="46">
        <v>0</v>
      </c>
      <c r="BE1415" s="113"/>
      <c r="BF1415" s="113"/>
      <c r="BG1415" s="113"/>
      <c r="BH1415" s="113"/>
      <c r="BI1415" s="113"/>
      <c r="BJ1415" s="46">
        <v>0</v>
      </c>
      <c r="BK1415" s="113"/>
      <c r="BL1415" s="113"/>
      <c r="BM1415" s="113"/>
      <c r="BN1415" s="113"/>
      <c r="BO1415" s="113"/>
      <c r="BP1415" s="121"/>
      <c r="BQ1415" s="121"/>
      <c r="GA1415" t="s">
        <v>18300</v>
      </c>
      <c r="GB1415" t="s">
        <v>19757</v>
      </c>
      <c r="GC1415" s="46">
        <v>0</v>
      </c>
      <c r="GD1415" s="113"/>
      <c r="GE1415" s="113"/>
      <c r="GF1415" s="113"/>
      <c r="GG1415" s="113"/>
      <c r="GH1415" s="113"/>
      <c r="GI1415" s="46">
        <v>0</v>
      </c>
      <c r="GJ1415" s="113"/>
      <c r="GK1415" s="113"/>
      <c r="GL1415" s="113"/>
      <c r="GM1415" s="113"/>
      <c r="GN1415" s="113"/>
      <c r="GO1415" s="46">
        <v>0</v>
      </c>
      <c r="GP1415" s="113"/>
      <c r="GQ1415" s="113"/>
      <c r="GR1415" s="113"/>
      <c r="GS1415" s="113"/>
      <c r="GT1415" s="113"/>
      <c r="GU1415" s="46">
        <v>0</v>
      </c>
      <c r="GV1415" s="113"/>
      <c r="GW1415" s="113"/>
      <c r="GX1415" s="113"/>
      <c r="GY1415" s="113"/>
      <c r="GZ1415" s="113"/>
      <c r="HA1415" s="46">
        <v>0</v>
      </c>
      <c r="HB1415" s="113"/>
      <c r="HC1415" s="113"/>
      <c r="HD1415" s="113"/>
      <c r="HE1415" s="113"/>
      <c r="HF1415" s="113"/>
      <c r="HG1415" s="46">
        <v>0</v>
      </c>
      <c r="HH1415" s="113"/>
      <c r="HI1415" s="113"/>
      <c r="HJ1415" s="113"/>
      <c r="HK1415" s="113"/>
      <c r="HL1415" s="113"/>
      <c r="HM1415" s="121"/>
      <c r="HN1415" s="121"/>
      <c r="LM1415" t="str">
        <v/>
      </c>
      <c r="LN1415" t="str">
        <v/>
      </c>
      <c r="LO1415" t="str">
        <v/>
      </c>
    </row>
    <row r="1416" spans="30:327">
      <c r="AD1416" t="s">
        <v>18300</v>
      </c>
      <c r="AE1416" t="s">
        <v>19758</v>
      </c>
      <c r="AF1416" s="46">
        <v>0</v>
      </c>
      <c r="AG1416" s="113"/>
      <c r="AH1416" s="113"/>
      <c r="AI1416" s="113"/>
      <c r="AJ1416" s="113"/>
      <c r="AK1416" s="113"/>
      <c r="AL1416" s="46">
        <v>0</v>
      </c>
      <c r="AM1416" s="113"/>
      <c r="AN1416" s="113"/>
      <c r="AO1416" s="113"/>
      <c r="AP1416" s="113"/>
      <c r="AQ1416" s="113"/>
      <c r="AR1416" s="46">
        <v>0</v>
      </c>
      <c r="AS1416" s="113"/>
      <c r="AT1416" s="113"/>
      <c r="AU1416" s="113"/>
      <c r="AV1416" s="113"/>
      <c r="AW1416" s="113"/>
      <c r="AX1416" s="46">
        <v>0</v>
      </c>
      <c r="AY1416" s="113"/>
      <c r="AZ1416" s="113"/>
      <c r="BA1416" s="113"/>
      <c r="BB1416" s="113"/>
      <c r="BC1416" s="113"/>
      <c r="BD1416" s="46">
        <v>0</v>
      </c>
      <c r="BE1416" s="113"/>
      <c r="BF1416" s="113"/>
      <c r="BG1416" s="113"/>
      <c r="BH1416" s="113"/>
      <c r="BI1416" s="113"/>
      <c r="BJ1416" s="46">
        <v>0</v>
      </c>
      <c r="BK1416" s="113"/>
      <c r="BL1416" s="113"/>
      <c r="BM1416" s="113"/>
      <c r="BN1416" s="113"/>
      <c r="BO1416" s="113"/>
      <c r="BP1416" s="121"/>
      <c r="BQ1416" s="121"/>
      <c r="GA1416" t="s">
        <v>18300</v>
      </c>
      <c r="GB1416" t="s">
        <v>19758</v>
      </c>
      <c r="GC1416" s="46">
        <v>0</v>
      </c>
      <c r="GD1416" s="113"/>
      <c r="GE1416" s="113"/>
      <c r="GF1416" s="113"/>
      <c r="GG1416" s="113"/>
      <c r="GH1416" s="113"/>
      <c r="GI1416" s="46">
        <v>0</v>
      </c>
      <c r="GJ1416" s="113"/>
      <c r="GK1416" s="113"/>
      <c r="GL1416" s="113"/>
      <c r="GM1416" s="113"/>
      <c r="GN1416" s="113"/>
      <c r="GO1416" s="46">
        <v>0</v>
      </c>
      <c r="GP1416" s="113"/>
      <c r="GQ1416" s="113"/>
      <c r="GR1416" s="113"/>
      <c r="GS1416" s="113"/>
      <c r="GT1416" s="113"/>
      <c r="GU1416" s="46">
        <v>0</v>
      </c>
      <c r="GV1416" s="113"/>
      <c r="GW1416" s="113"/>
      <c r="GX1416" s="113"/>
      <c r="GY1416" s="113"/>
      <c r="GZ1416" s="113"/>
      <c r="HA1416" s="46">
        <v>0</v>
      </c>
      <c r="HB1416" s="113"/>
      <c r="HC1416" s="113"/>
      <c r="HD1416" s="113"/>
      <c r="HE1416" s="113"/>
      <c r="HF1416" s="113"/>
      <c r="HG1416" s="46">
        <v>0</v>
      </c>
      <c r="HH1416" s="113"/>
      <c r="HI1416" s="113"/>
      <c r="HJ1416" s="113"/>
      <c r="HK1416" s="113"/>
      <c r="HL1416" s="113"/>
      <c r="HM1416" s="121"/>
      <c r="HN1416" s="121"/>
      <c r="LM1416" t="str">
        <v/>
      </c>
      <c r="LN1416" t="str">
        <v/>
      </c>
      <c r="LO1416" t="str">
        <v/>
      </c>
    </row>
    <row r="1417" spans="30:327">
      <c r="AD1417" t="s">
        <v>18300</v>
      </c>
      <c r="AE1417" t="s">
        <v>19759</v>
      </c>
      <c r="AF1417" s="46">
        <v>0</v>
      </c>
      <c r="AG1417" s="113"/>
      <c r="AH1417" s="113"/>
      <c r="AI1417" s="113"/>
      <c r="AJ1417" s="113"/>
      <c r="AK1417" s="113"/>
      <c r="AL1417" s="46">
        <v>0</v>
      </c>
      <c r="AM1417" s="113"/>
      <c r="AN1417" s="113"/>
      <c r="AO1417" s="113"/>
      <c r="AP1417" s="113"/>
      <c r="AQ1417" s="113"/>
      <c r="AR1417" s="46">
        <v>0</v>
      </c>
      <c r="AS1417" s="113"/>
      <c r="AT1417" s="113"/>
      <c r="AU1417" s="113"/>
      <c r="AV1417" s="113"/>
      <c r="AW1417" s="113"/>
      <c r="AX1417" s="46">
        <v>0</v>
      </c>
      <c r="AY1417" s="113"/>
      <c r="AZ1417" s="113"/>
      <c r="BA1417" s="113"/>
      <c r="BB1417" s="113"/>
      <c r="BC1417" s="113"/>
      <c r="BD1417" s="46">
        <v>0</v>
      </c>
      <c r="BE1417" s="113"/>
      <c r="BF1417" s="113"/>
      <c r="BG1417" s="113"/>
      <c r="BH1417" s="113"/>
      <c r="BI1417" s="113"/>
      <c r="BJ1417" s="46">
        <v>0</v>
      </c>
      <c r="BK1417" s="113"/>
      <c r="BL1417" s="113"/>
      <c r="BM1417" s="113"/>
      <c r="BN1417" s="113"/>
      <c r="BO1417" s="113"/>
      <c r="BP1417" s="121"/>
      <c r="BQ1417" s="121"/>
      <c r="GA1417" t="s">
        <v>18300</v>
      </c>
      <c r="GB1417" t="s">
        <v>19759</v>
      </c>
      <c r="GC1417" s="46">
        <v>0</v>
      </c>
      <c r="GD1417" s="113"/>
      <c r="GE1417" s="113"/>
      <c r="GF1417" s="113"/>
      <c r="GG1417" s="113"/>
      <c r="GH1417" s="113"/>
      <c r="GI1417" s="46">
        <v>0</v>
      </c>
      <c r="GJ1417" s="113"/>
      <c r="GK1417" s="113"/>
      <c r="GL1417" s="113"/>
      <c r="GM1417" s="113"/>
      <c r="GN1417" s="113"/>
      <c r="GO1417" s="46">
        <v>0</v>
      </c>
      <c r="GP1417" s="113"/>
      <c r="GQ1417" s="113"/>
      <c r="GR1417" s="113"/>
      <c r="GS1417" s="113"/>
      <c r="GT1417" s="113"/>
      <c r="GU1417" s="46">
        <v>0</v>
      </c>
      <c r="GV1417" s="113"/>
      <c r="GW1417" s="113"/>
      <c r="GX1417" s="113"/>
      <c r="GY1417" s="113"/>
      <c r="GZ1417" s="113"/>
      <c r="HA1417" s="46">
        <v>0</v>
      </c>
      <c r="HB1417" s="113"/>
      <c r="HC1417" s="113"/>
      <c r="HD1417" s="113"/>
      <c r="HE1417" s="113"/>
      <c r="HF1417" s="113"/>
      <c r="HG1417" s="46">
        <v>0</v>
      </c>
      <c r="HH1417" s="113"/>
      <c r="HI1417" s="113"/>
      <c r="HJ1417" s="113"/>
      <c r="HK1417" s="113"/>
      <c r="HL1417" s="113"/>
      <c r="HM1417" s="121"/>
      <c r="HN1417" s="121"/>
      <c r="LM1417" t="str">
        <v/>
      </c>
      <c r="LN1417" t="str">
        <v/>
      </c>
      <c r="LO1417" t="str">
        <v/>
      </c>
    </row>
    <row r="1418" spans="30:327">
      <c r="AD1418" t="s">
        <v>18300</v>
      </c>
      <c r="AE1418" t="s">
        <v>16274</v>
      </c>
      <c r="AF1418" s="46">
        <v>0</v>
      </c>
      <c r="AG1418" s="113"/>
      <c r="AH1418" s="113"/>
      <c r="AI1418" s="113"/>
      <c r="AJ1418" s="113"/>
      <c r="AK1418" s="113"/>
      <c r="AL1418" s="46">
        <v>0</v>
      </c>
      <c r="AM1418" s="113"/>
      <c r="AN1418" s="113"/>
      <c r="AO1418" s="113"/>
      <c r="AP1418" s="113"/>
      <c r="AQ1418" s="113"/>
      <c r="AR1418" s="46">
        <v>0</v>
      </c>
      <c r="AS1418" s="113"/>
      <c r="AT1418" s="113"/>
      <c r="AU1418" s="113"/>
      <c r="AV1418" s="113"/>
      <c r="AW1418" s="113"/>
      <c r="AX1418" s="46">
        <v>0</v>
      </c>
      <c r="AY1418" s="113"/>
      <c r="AZ1418" s="113"/>
      <c r="BA1418" s="113"/>
      <c r="BB1418" s="113"/>
      <c r="BC1418" s="113"/>
      <c r="BD1418" s="46">
        <v>0</v>
      </c>
      <c r="BE1418" s="113"/>
      <c r="BF1418" s="113"/>
      <c r="BG1418" s="113"/>
      <c r="BH1418" s="113"/>
      <c r="BI1418" s="113"/>
      <c r="BJ1418" s="46">
        <v>0</v>
      </c>
      <c r="BK1418" s="113"/>
      <c r="BL1418" s="113"/>
      <c r="BM1418" s="113"/>
      <c r="BN1418" s="113"/>
      <c r="BO1418" s="113"/>
      <c r="BP1418" s="121"/>
      <c r="BQ1418" s="121"/>
      <c r="GA1418" t="s">
        <v>18300</v>
      </c>
      <c r="GB1418" t="s">
        <v>16274</v>
      </c>
      <c r="GC1418" s="46">
        <v>0</v>
      </c>
      <c r="GD1418" s="113"/>
      <c r="GE1418" s="113"/>
      <c r="GF1418" s="113"/>
      <c r="GG1418" s="113"/>
      <c r="GH1418" s="113"/>
      <c r="GI1418" s="46">
        <v>0</v>
      </c>
      <c r="GJ1418" s="113"/>
      <c r="GK1418" s="113"/>
      <c r="GL1418" s="113"/>
      <c r="GM1418" s="113"/>
      <c r="GN1418" s="113"/>
      <c r="GO1418" s="46">
        <v>0</v>
      </c>
      <c r="GP1418" s="113"/>
      <c r="GQ1418" s="113"/>
      <c r="GR1418" s="113"/>
      <c r="GS1418" s="113"/>
      <c r="GT1418" s="113"/>
      <c r="GU1418" s="46">
        <v>0</v>
      </c>
      <c r="GV1418" s="113"/>
      <c r="GW1418" s="113"/>
      <c r="GX1418" s="113"/>
      <c r="GY1418" s="113"/>
      <c r="GZ1418" s="113"/>
      <c r="HA1418" s="46">
        <v>0</v>
      </c>
      <c r="HB1418" s="113"/>
      <c r="HC1418" s="113"/>
      <c r="HD1418" s="113"/>
      <c r="HE1418" s="113"/>
      <c r="HF1418" s="113"/>
      <c r="HG1418" s="46">
        <v>0</v>
      </c>
      <c r="HH1418" s="113"/>
      <c r="HI1418" s="113"/>
      <c r="HJ1418" s="113"/>
      <c r="HK1418" s="113"/>
      <c r="HL1418" s="113"/>
      <c r="HM1418" s="121"/>
      <c r="HN1418" s="121"/>
      <c r="LM1418" t="str">
        <v/>
      </c>
      <c r="LN1418" t="str">
        <v/>
      </c>
      <c r="LO1418" t="str">
        <v/>
      </c>
    </row>
    <row r="1419" spans="30:327">
      <c r="AD1419" t="s">
        <v>18300</v>
      </c>
      <c r="AE1419" t="s">
        <v>16486</v>
      </c>
      <c r="AF1419" s="46">
        <v>0</v>
      </c>
      <c r="AG1419" s="113"/>
      <c r="AH1419" s="113"/>
      <c r="AI1419" s="113"/>
      <c r="AJ1419" s="113"/>
      <c r="AK1419" s="113"/>
      <c r="AL1419" s="46">
        <v>0</v>
      </c>
      <c r="AM1419" s="113"/>
      <c r="AN1419" s="113"/>
      <c r="AO1419" s="113"/>
      <c r="AP1419" s="113"/>
      <c r="AQ1419" s="113"/>
      <c r="AR1419" s="46">
        <v>0</v>
      </c>
      <c r="AS1419" s="113"/>
      <c r="AT1419" s="113"/>
      <c r="AU1419" s="113"/>
      <c r="AV1419" s="113"/>
      <c r="AW1419" s="113"/>
      <c r="AX1419" s="46">
        <v>0</v>
      </c>
      <c r="AY1419" s="113"/>
      <c r="AZ1419" s="113"/>
      <c r="BA1419" s="113"/>
      <c r="BB1419" s="113"/>
      <c r="BC1419" s="113"/>
      <c r="BD1419" s="46">
        <v>0</v>
      </c>
      <c r="BE1419" s="113"/>
      <c r="BF1419" s="113"/>
      <c r="BG1419" s="113"/>
      <c r="BH1419" s="113"/>
      <c r="BI1419" s="113"/>
      <c r="BJ1419" s="46">
        <v>0</v>
      </c>
      <c r="BK1419" s="113"/>
      <c r="BL1419" s="113"/>
      <c r="BM1419" s="113"/>
      <c r="BN1419" s="113"/>
      <c r="BO1419" s="113"/>
      <c r="BP1419" s="121"/>
      <c r="BQ1419" s="121"/>
      <c r="GA1419" t="s">
        <v>18300</v>
      </c>
      <c r="GB1419" t="s">
        <v>16486</v>
      </c>
      <c r="GC1419" s="46">
        <v>0</v>
      </c>
      <c r="GD1419" s="113"/>
      <c r="GE1419" s="113"/>
      <c r="GF1419" s="113"/>
      <c r="GG1419" s="113"/>
      <c r="GH1419" s="113"/>
      <c r="GI1419" s="46">
        <v>0</v>
      </c>
      <c r="GJ1419" s="113"/>
      <c r="GK1419" s="113"/>
      <c r="GL1419" s="113"/>
      <c r="GM1419" s="113"/>
      <c r="GN1419" s="113"/>
      <c r="GO1419" s="46">
        <v>0</v>
      </c>
      <c r="GP1419" s="113"/>
      <c r="GQ1419" s="113"/>
      <c r="GR1419" s="113"/>
      <c r="GS1419" s="113"/>
      <c r="GT1419" s="113"/>
      <c r="GU1419" s="46">
        <v>0</v>
      </c>
      <c r="GV1419" s="113"/>
      <c r="GW1419" s="113"/>
      <c r="GX1419" s="113"/>
      <c r="GY1419" s="113"/>
      <c r="GZ1419" s="113"/>
      <c r="HA1419" s="46">
        <v>0</v>
      </c>
      <c r="HB1419" s="113"/>
      <c r="HC1419" s="113"/>
      <c r="HD1419" s="113"/>
      <c r="HE1419" s="113"/>
      <c r="HF1419" s="113"/>
      <c r="HG1419" s="46">
        <v>0</v>
      </c>
      <c r="HH1419" s="113"/>
      <c r="HI1419" s="113"/>
      <c r="HJ1419" s="113"/>
      <c r="HK1419" s="113"/>
      <c r="HL1419" s="113"/>
      <c r="HM1419" s="121"/>
      <c r="HN1419" s="121"/>
      <c r="LM1419" t="str">
        <v/>
      </c>
      <c r="LN1419" t="str">
        <v/>
      </c>
      <c r="LO1419" t="str">
        <v/>
      </c>
    </row>
    <row r="1420" spans="30:327">
      <c r="AD1420" t="s">
        <v>18300</v>
      </c>
      <c r="AE1420" t="s">
        <v>16487</v>
      </c>
      <c r="AF1420" s="46">
        <v>0</v>
      </c>
      <c r="AG1420" s="113"/>
      <c r="AH1420" s="113"/>
      <c r="AI1420" s="113"/>
      <c r="AJ1420" s="113"/>
      <c r="AK1420" s="113"/>
      <c r="AL1420" s="46">
        <v>0</v>
      </c>
      <c r="AM1420" s="113"/>
      <c r="AN1420" s="113"/>
      <c r="AO1420" s="113"/>
      <c r="AP1420" s="113"/>
      <c r="AQ1420" s="113"/>
      <c r="AR1420" s="46">
        <v>0</v>
      </c>
      <c r="AS1420" s="113"/>
      <c r="AT1420" s="113"/>
      <c r="AU1420" s="113"/>
      <c r="AV1420" s="113"/>
      <c r="AW1420" s="113"/>
      <c r="AX1420" s="46">
        <v>0</v>
      </c>
      <c r="AY1420" s="113"/>
      <c r="AZ1420" s="113"/>
      <c r="BA1420" s="113"/>
      <c r="BB1420" s="113"/>
      <c r="BC1420" s="113"/>
      <c r="BD1420" s="46">
        <v>0</v>
      </c>
      <c r="BE1420" s="113"/>
      <c r="BF1420" s="113"/>
      <c r="BG1420" s="113"/>
      <c r="BH1420" s="113"/>
      <c r="BI1420" s="113"/>
      <c r="BJ1420" s="46">
        <v>0</v>
      </c>
      <c r="BK1420" s="113"/>
      <c r="BL1420" s="113"/>
      <c r="BM1420" s="113"/>
      <c r="BN1420" s="113"/>
      <c r="BO1420" s="113"/>
      <c r="BP1420" s="121"/>
      <c r="BQ1420" s="121"/>
      <c r="GA1420" t="s">
        <v>18300</v>
      </c>
      <c r="GB1420" t="s">
        <v>16487</v>
      </c>
      <c r="GC1420" s="46">
        <v>0</v>
      </c>
      <c r="GD1420" s="113"/>
      <c r="GE1420" s="113"/>
      <c r="GF1420" s="113"/>
      <c r="GG1420" s="113"/>
      <c r="GH1420" s="113"/>
      <c r="GI1420" s="46">
        <v>0</v>
      </c>
      <c r="GJ1420" s="113"/>
      <c r="GK1420" s="113"/>
      <c r="GL1420" s="113"/>
      <c r="GM1420" s="113"/>
      <c r="GN1420" s="113"/>
      <c r="GO1420" s="46">
        <v>0</v>
      </c>
      <c r="GP1420" s="113"/>
      <c r="GQ1420" s="113"/>
      <c r="GR1420" s="113"/>
      <c r="GS1420" s="113"/>
      <c r="GT1420" s="113"/>
      <c r="GU1420" s="46">
        <v>0</v>
      </c>
      <c r="GV1420" s="113"/>
      <c r="GW1420" s="113"/>
      <c r="GX1420" s="113"/>
      <c r="GY1420" s="113"/>
      <c r="GZ1420" s="113"/>
      <c r="HA1420" s="46">
        <v>0</v>
      </c>
      <c r="HB1420" s="113"/>
      <c r="HC1420" s="113"/>
      <c r="HD1420" s="113"/>
      <c r="HE1420" s="113"/>
      <c r="HF1420" s="113"/>
      <c r="HG1420" s="46">
        <v>0</v>
      </c>
      <c r="HH1420" s="113"/>
      <c r="HI1420" s="113"/>
      <c r="HJ1420" s="113"/>
      <c r="HK1420" s="113"/>
      <c r="HL1420" s="113"/>
      <c r="HM1420" s="121"/>
      <c r="HN1420" s="121"/>
      <c r="LM1420" t="str">
        <v/>
      </c>
      <c r="LN1420" t="str">
        <v/>
      </c>
      <c r="LO1420" t="str">
        <v/>
      </c>
    </row>
    <row r="1421" spans="30:327">
      <c r="AD1421" t="s">
        <v>18300</v>
      </c>
      <c r="AE1421" t="s">
        <v>16488</v>
      </c>
      <c r="AF1421" s="46">
        <v>0</v>
      </c>
      <c r="AG1421" s="113"/>
      <c r="AH1421" s="113"/>
      <c r="AI1421" s="113"/>
      <c r="AJ1421" s="113"/>
      <c r="AK1421" s="113"/>
      <c r="AL1421" s="46">
        <v>0</v>
      </c>
      <c r="AM1421" s="113"/>
      <c r="AN1421" s="113"/>
      <c r="AO1421" s="113"/>
      <c r="AP1421" s="113"/>
      <c r="AQ1421" s="113"/>
      <c r="AR1421" s="46">
        <v>0</v>
      </c>
      <c r="AS1421" s="113"/>
      <c r="AT1421" s="113"/>
      <c r="AU1421" s="113"/>
      <c r="AV1421" s="113"/>
      <c r="AW1421" s="113"/>
      <c r="AX1421" s="46">
        <v>0</v>
      </c>
      <c r="AY1421" s="113"/>
      <c r="AZ1421" s="113"/>
      <c r="BA1421" s="113"/>
      <c r="BB1421" s="113"/>
      <c r="BC1421" s="113"/>
      <c r="BD1421" s="46">
        <v>0</v>
      </c>
      <c r="BE1421" s="113"/>
      <c r="BF1421" s="113"/>
      <c r="BG1421" s="113"/>
      <c r="BH1421" s="113"/>
      <c r="BI1421" s="113"/>
      <c r="BJ1421" s="46">
        <v>0</v>
      </c>
      <c r="BK1421" s="113"/>
      <c r="BL1421" s="113"/>
      <c r="BM1421" s="113"/>
      <c r="BN1421" s="113"/>
      <c r="BO1421" s="113"/>
      <c r="BP1421" s="121"/>
      <c r="BQ1421" s="121"/>
      <c r="GA1421" t="s">
        <v>18300</v>
      </c>
      <c r="GB1421" t="s">
        <v>16488</v>
      </c>
      <c r="GC1421" s="46">
        <v>0</v>
      </c>
      <c r="GD1421" s="113"/>
      <c r="GE1421" s="113"/>
      <c r="GF1421" s="113"/>
      <c r="GG1421" s="113"/>
      <c r="GH1421" s="113"/>
      <c r="GI1421" s="46">
        <v>0</v>
      </c>
      <c r="GJ1421" s="113"/>
      <c r="GK1421" s="113"/>
      <c r="GL1421" s="113"/>
      <c r="GM1421" s="113"/>
      <c r="GN1421" s="113"/>
      <c r="GO1421" s="46">
        <v>0</v>
      </c>
      <c r="GP1421" s="113"/>
      <c r="GQ1421" s="113"/>
      <c r="GR1421" s="113"/>
      <c r="GS1421" s="113"/>
      <c r="GT1421" s="113"/>
      <c r="GU1421" s="46">
        <v>0</v>
      </c>
      <c r="GV1421" s="113"/>
      <c r="GW1421" s="113"/>
      <c r="GX1421" s="113"/>
      <c r="GY1421" s="113"/>
      <c r="GZ1421" s="113"/>
      <c r="HA1421" s="46">
        <v>0</v>
      </c>
      <c r="HB1421" s="113"/>
      <c r="HC1421" s="113"/>
      <c r="HD1421" s="113"/>
      <c r="HE1421" s="113"/>
      <c r="HF1421" s="113"/>
      <c r="HG1421" s="46">
        <v>0</v>
      </c>
      <c r="HH1421" s="113"/>
      <c r="HI1421" s="113"/>
      <c r="HJ1421" s="113"/>
      <c r="HK1421" s="113"/>
      <c r="HL1421" s="113"/>
      <c r="HM1421" s="121"/>
      <c r="HN1421" s="121"/>
      <c r="LM1421" t="str">
        <v/>
      </c>
      <c r="LN1421" t="str">
        <v/>
      </c>
      <c r="LO1421" t="str">
        <v/>
      </c>
    </row>
    <row r="1422" spans="30:327">
      <c r="AD1422" t="s">
        <v>18300</v>
      </c>
      <c r="AE1422" t="s">
        <v>16491</v>
      </c>
      <c r="AF1422" s="46">
        <v>0</v>
      </c>
      <c r="AG1422" s="113"/>
      <c r="AH1422" s="113"/>
      <c r="AI1422" s="113"/>
      <c r="AJ1422" s="113"/>
      <c r="AK1422" s="113"/>
      <c r="AL1422" s="46">
        <v>0</v>
      </c>
      <c r="AM1422" s="113"/>
      <c r="AN1422" s="113"/>
      <c r="AO1422" s="113"/>
      <c r="AP1422" s="113"/>
      <c r="AQ1422" s="113"/>
      <c r="AR1422" s="46">
        <v>0</v>
      </c>
      <c r="AS1422" s="113"/>
      <c r="AT1422" s="113"/>
      <c r="AU1422" s="113"/>
      <c r="AV1422" s="113"/>
      <c r="AW1422" s="113"/>
      <c r="AX1422" s="46">
        <v>0</v>
      </c>
      <c r="AY1422" s="113"/>
      <c r="AZ1422" s="113"/>
      <c r="BA1422" s="113"/>
      <c r="BB1422" s="113"/>
      <c r="BC1422" s="113"/>
      <c r="BD1422" s="46">
        <v>0</v>
      </c>
      <c r="BE1422" s="113"/>
      <c r="BF1422" s="113"/>
      <c r="BG1422" s="113"/>
      <c r="BH1422" s="113"/>
      <c r="BI1422" s="113"/>
      <c r="BJ1422" s="46">
        <v>0</v>
      </c>
      <c r="BK1422" s="113"/>
      <c r="BL1422" s="113"/>
      <c r="BM1422" s="113"/>
      <c r="BN1422" s="113"/>
      <c r="BO1422" s="113"/>
      <c r="BP1422" s="121"/>
      <c r="BQ1422" s="121"/>
      <c r="GA1422" t="s">
        <v>18300</v>
      </c>
      <c r="GB1422" t="s">
        <v>16491</v>
      </c>
      <c r="GC1422" s="46">
        <v>0</v>
      </c>
      <c r="GD1422" s="113"/>
      <c r="GE1422" s="113"/>
      <c r="GF1422" s="113"/>
      <c r="GG1422" s="113"/>
      <c r="GH1422" s="113"/>
      <c r="GI1422" s="46">
        <v>0</v>
      </c>
      <c r="GJ1422" s="113"/>
      <c r="GK1422" s="113"/>
      <c r="GL1422" s="113"/>
      <c r="GM1422" s="113"/>
      <c r="GN1422" s="113"/>
      <c r="GO1422" s="46">
        <v>0</v>
      </c>
      <c r="GP1422" s="113"/>
      <c r="GQ1422" s="113"/>
      <c r="GR1422" s="113"/>
      <c r="GS1422" s="113"/>
      <c r="GT1422" s="113"/>
      <c r="GU1422" s="46">
        <v>0</v>
      </c>
      <c r="GV1422" s="113"/>
      <c r="GW1422" s="113"/>
      <c r="GX1422" s="113"/>
      <c r="GY1422" s="113"/>
      <c r="GZ1422" s="113"/>
      <c r="HA1422" s="46">
        <v>0</v>
      </c>
      <c r="HB1422" s="113"/>
      <c r="HC1422" s="113"/>
      <c r="HD1422" s="113"/>
      <c r="HE1422" s="113"/>
      <c r="HF1422" s="113"/>
      <c r="HG1422" s="46">
        <v>0</v>
      </c>
      <c r="HH1422" s="113"/>
      <c r="HI1422" s="113"/>
      <c r="HJ1422" s="113"/>
      <c r="HK1422" s="113"/>
      <c r="HL1422" s="113"/>
      <c r="HM1422" s="121"/>
      <c r="HN1422" s="121"/>
      <c r="LM1422" t="str">
        <v/>
      </c>
      <c r="LN1422" t="str">
        <v/>
      </c>
      <c r="LO1422" t="str">
        <v/>
      </c>
    </row>
    <row r="1423" spans="30:327">
      <c r="AD1423" t="s">
        <v>18300</v>
      </c>
      <c r="AE1423" t="s">
        <v>16492</v>
      </c>
      <c r="AF1423" s="46">
        <v>0</v>
      </c>
      <c r="AG1423" s="113"/>
      <c r="AH1423" s="113"/>
      <c r="AI1423" s="113"/>
      <c r="AJ1423" s="113"/>
      <c r="AK1423" s="113"/>
      <c r="AL1423" s="46">
        <v>0</v>
      </c>
      <c r="AM1423" s="113"/>
      <c r="AN1423" s="113"/>
      <c r="AO1423" s="113"/>
      <c r="AP1423" s="113"/>
      <c r="AQ1423" s="113"/>
      <c r="AR1423" s="46">
        <v>0</v>
      </c>
      <c r="AS1423" s="113"/>
      <c r="AT1423" s="113"/>
      <c r="AU1423" s="113"/>
      <c r="AV1423" s="113"/>
      <c r="AW1423" s="113"/>
      <c r="AX1423" s="46">
        <v>0</v>
      </c>
      <c r="AY1423" s="113"/>
      <c r="AZ1423" s="113"/>
      <c r="BA1423" s="113"/>
      <c r="BB1423" s="113"/>
      <c r="BC1423" s="113"/>
      <c r="BD1423" s="46">
        <v>0</v>
      </c>
      <c r="BE1423" s="113"/>
      <c r="BF1423" s="113"/>
      <c r="BG1423" s="113"/>
      <c r="BH1423" s="113"/>
      <c r="BI1423" s="113"/>
      <c r="BJ1423" s="46">
        <v>0</v>
      </c>
      <c r="BK1423" s="113"/>
      <c r="BL1423" s="113"/>
      <c r="BM1423" s="113"/>
      <c r="BN1423" s="113"/>
      <c r="BO1423" s="113"/>
      <c r="BP1423" s="121"/>
      <c r="BQ1423" s="121"/>
      <c r="GA1423" t="s">
        <v>18300</v>
      </c>
      <c r="GB1423" t="s">
        <v>16492</v>
      </c>
      <c r="GC1423" s="46">
        <v>0</v>
      </c>
      <c r="GD1423" s="113"/>
      <c r="GE1423" s="113"/>
      <c r="GF1423" s="113"/>
      <c r="GG1423" s="113"/>
      <c r="GH1423" s="113"/>
      <c r="GI1423" s="46">
        <v>0</v>
      </c>
      <c r="GJ1423" s="113"/>
      <c r="GK1423" s="113"/>
      <c r="GL1423" s="113"/>
      <c r="GM1423" s="113"/>
      <c r="GN1423" s="113"/>
      <c r="GO1423" s="46">
        <v>0</v>
      </c>
      <c r="GP1423" s="113"/>
      <c r="GQ1423" s="113"/>
      <c r="GR1423" s="113"/>
      <c r="GS1423" s="113"/>
      <c r="GT1423" s="113"/>
      <c r="GU1423" s="46">
        <v>0</v>
      </c>
      <c r="GV1423" s="113"/>
      <c r="GW1423" s="113"/>
      <c r="GX1423" s="113"/>
      <c r="GY1423" s="113"/>
      <c r="GZ1423" s="113"/>
      <c r="HA1423" s="46">
        <v>0</v>
      </c>
      <c r="HB1423" s="113"/>
      <c r="HC1423" s="113"/>
      <c r="HD1423" s="113"/>
      <c r="HE1423" s="113"/>
      <c r="HF1423" s="113"/>
      <c r="HG1423" s="46">
        <v>0</v>
      </c>
      <c r="HH1423" s="113"/>
      <c r="HI1423" s="113"/>
      <c r="HJ1423" s="113"/>
      <c r="HK1423" s="113"/>
      <c r="HL1423" s="113"/>
      <c r="HM1423" s="121"/>
      <c r="HN1423" s="121"/>
      <c r="LM1423" t="str">
        <v/>
      </c>
      <c r="LN1423" t="str">
        <v/>
      </c>
      <c r="LO1423" t="str">
        <v/>
      </c>
    </row>
    <row r="1424" spans="30:327">
      <c r="AD1424" t="s">
        <v>18300</v>
      </c>
      <c r="AE1424" t="s">
        <v>16493</v>
      </c>
      <c r="AF1424" s="46">
        <v>0</v>
      </c>
      <c r="AG1424" s="113"/>
      <c r="AH1424" s="113"/>
      <c r="AI1424" s="113"/>
      <c r="AJ1424" s="113"/>
      <c r="AK1424" s="113"/>
      <c r="AL1424" s="46">
        <v>0</v>
      </c>
      <c r="AM1424" s="113"/>
      <c r="AN1424" s="113"/>
      <c r="AO1424" s="113"/>
      <c r="AP1424" s="113"/>
      <c r="AQ1424" s="113"/>
      <c r="AR1424" s="46">
        <v>0</v>
      </c>
      <c r="AS1424" s="113"/>
      <c r="AT1424" s="113"/>
      <c r="AU1424" s="113"/>
      <c r="AV1424" s="113"/>
      <c r="AW1424" s="113"/>
      <c r="AX1424" s="46">
        <v>0</v>
      </c>
      <c r="AY1424" s="113"/>
      <c r="AZ1424" s="113"/>
      <c r="BA1424" s="113"/>
      <c r="BB1424" s="113"/>
      <c r="BC1424" s="113"/>
      <c r="BD1424" s="46">
        <v>0</v>
      </c>
      <c r="BE1424" s="113"/>
      <c r="BF1424" s="113"/>
      <c r="BG1424" s="113"/>
      <c r="BH1424" s="113"/>
      <c r="BI1424" s="113"/>
      <c r="BJ1424" s="46">
        <v>0</v>
      </c>
      <c r="BK1424" s="113"/>
      <c r="BL1424" s="113"/>
      <c r="BM1424" s="113"/>
      <c r="BN1424" s="113"/>
      <c r="BO1424" s="113"/>
      <c r="BP1424" s="121"/>
      <c r="BQ1424" s="121"/>
      <c r="GA1424" t="s">
        <v>18300</v>
      </c>
      <c r="GB1424" t="s">
        <v>16493</v>
      </c>
      <c r="GC1424" s="46">
        <v>0</v>
      </c>
      <c r="GD1424" s="113"/>
      <c r="GE1424" s="113"/>
      <c r="GF1424" s="113"/>
      <c r="GG1424" s="113"/>
      <c r="GH1424" s="113"/>
      <c r="GI1424" s="46">
        <v>0</v>
      </c>
      <c r="GJ1424" s="113"/>
      <c r="GK1424" s="113"/>
      <c r="GL1424" s="113"/>
      <c r="GM1424" s="113"/>
      <c r="GN1424" s="113"/>
      <c r="GO1424" s="46">
        <v>0</v>
      </c>
      <c r="GP1424" s="113"/>
      <c r="GQ1424" s="113"/>
      <c r="GR1424" s="113"/>
      <c r="GS1424" s="113"/>
      <c r="GT1424" s="113"/>
      <c r="GU1424" s="46">
        <v>0</v>
      </c>
      <c r="GV1424" s="113"/>
      <c r="GW1424" s="113"/>
      <c r="GX1424" s="113"/>
      <c r="GY1424" s="113"/>
      <c r="GZ1424" s="113"/>
      <c r="HA1424" s="46">
        <v>0</v>
      </c>
      <c r="HB1424" s="113"/>
      <c r="HC1424" s="113"/>
      <c r="HD1424" s="113"/>
      <c r="HE1424" s="113"/>
      <c r="HF1424" s="113"/>
      <c r="HG1424" s="46">
        <v>0</v>
      </c>
      <c r="HH1424" s="113"/>
      <c r="HI1424" s="113"/>
      <c r="HJ1424" s="113"/>
      <c r="HK1424" s="113"/>
      <c r="HL1424" s="113"/>
      <c r="HM1424" s="121"/>
      <c r="HN1424" s="121"/>
      <c r="LM1424" t="str">
        <v/>
      </c>
      <c r="LN1424" t="str">
        <v/>
      </c>
      <c r="LO1424" t="str">
        <v/>
      </c>
    </row>
    <row r="1425" spans="30:327">
      <c r="AD1425" t="s">
        <v>18300</v>
      </c>
      <c r="AE1425" t="s">
        <v>16494</v>
      </c>
      <c r="AF1425" s="46">
        <v>0</v>
      </c>
      <c r="AG1425" s="113"/>
      <c r="AH1425" s="113"/>
      <c r="AI1425" s="113"/>
      <c r="AJ1425" s="113"/>
      <c r="AK1425" s="113"/>
      <c r="AL1425" s="46">
        <v>0</v>
      </c>
      <c r="AM1425" s="113"/>
      <c r="AN1425" s="113"/>
      <c r="AO1425" s="113"/>
      <c r="AP1425" s="113"/>
      <c r="AQ1425" s="113"/>
      <c r="AR1425" s="46">
        <v>0</v>
      </c>
      <c r="AS1425" s="113"/>
      <c r="AT1425" s="113"/>
      <c r="AU1425" s="113"/>
      <c r="AV1425" s="113"/>
      <c r="AW1425" s="113"/>
      <c r="AX1425" s="46">
        <v>0</v>
      </c>
      <c r="AY1425" s="113"/>
      <c r="AZ1425" s="113"/>
      <c r="BA1425" s="113"/>
      <c r="BB1425" s="113"/>
      <c r="BC1425" s="113"/>
      <c r="BD1425" s="46">
        <v>0</v>
      </c>
      <c r="BE1425" s="113"/>
      <c r="BF1425" s="113"/>
      <c r="BG1425" s="113"/>
      <c r="BH1425" s="113"/>
      <c r="BI1425" s="113"/>
      <c r="BJ1425" s="46">
        <v>0</v>
      </c>
      <c r="BK1425" s="113"/>
      <c r="BL1425" s="113"/>
      <c r="BM1425" s="113"/>
      <c r="BN1425" s="113"/>
      <c r="BO1425" s="113"/>
      <c r="BP1425" s="121"/>
      <c r="BQ1425" s="121"/>
      <c r="GA1425" t="s">
        <v>18300</v>
      </c>
      <c r="GB1425" t="s">
        <v>16494</v>
      </c>
      <c r="GC1425" s="46">
        <v>0</v>
      </c>
      <c r="GD1425" s="113"/>
      <c r="GE1425" s="113"/>
      <c r="GF1425" s="113"/>
      <c r="GG1425" s="113"/>
      <c r="GH1425" s="113"/>
      <c r="GI1425" s="46">
        <v>0</v>
      </c>
      <c r="GJ1425" s="113"/>
      <c r="GK1425" s="113"/>
      <c r="GL1425" s="113"/>
      <c r="GM1425" s="113"/>
      <c r="GN1425" s="113"/>
      <c r="GO1425" s="46">
        <v>0</v>
      </c>
      <c r="GP1425" s="113"/>
      <c r="GQ1425" s="113"/>
      <c r="GR1425" s="113"/>
      <c r="GS1425" s="113"/>
      <c r="GT1425" s="113"/>
      <c r="GU1425" s="46">
        <v>0</v>
      </c>
      <c r="GV1425" s="113"/>
      <c r="GW1425" s="113"/>
      <c r="GX1425" s="113"/>
      <c r="GY1425" s="113"/>
      <c r="GZ1425" s="113"/>
      <c r="HA1425" s="46">
        <v>0</v>
      </c>
      <c r="HB1425" s="113"/>
      <c r="HC1425" s="113"/>
      <c r="HD1425" s="113"/>
      <c r="HE1425" s="113"/>
      <c r="HF1425" s="113"/>
      <c r="HG1425" s="46">
        <v>0</v>
      </c>
      <c r="HH1425" s="113"/>
      <c r="HI1425" s="113"/>
      <c r="HJ1425" s="113"/>
      <c r="HK1425" s="113"/>
      <c r="HL1425" s="113"/>
      <c r="HM1425" s="121"/>
      <c r="HN1425" s="121"/>
      <c r="LM1425" t="str">
        <v/>
      </c>
      <c r="LN1425" t="str">
        <v/>
      </c>
      <c r="LO1425" t="str">
        <v/>
      </c>
    </row>
    <row r="1426" spans="30:327">
      <c r="AD1426" t="s">
        <v>18300</v>
      </c>
      <c r="AE1426" t="s">
        <v>16495</v>
      </c>
      <c r="AF1426" s="46">
        <v>0</v>
      </c>
      <c r="AG1426" s="113"/>
      <c r="AH1426" s="113"/>
      <c r="AI1426" s="113"/>
      <c r="AJ1426" s="113"/>
      <c r="AK1426" s="113"/>
      <c r="AL1426" s="46">
        <v>0</v>
      </c>
      <c r="AM1426" s="113"/>
      <c r="AN1426" s="113"/>
      <c r="AO1426" s="113"/>
      <c r="AP1426" s="113"/>
      <c r="AQ1426" s="113"/>
      <c r="AR1426" s="46">
        <v>0</v>
      </c>
      <c r="AS1426" s="113"/>
      <c r="AT1426" s="113"/>
      <c r="AU1426" s="113"/>
      <c r="AV1426" s="113"/>
      <c r="AW1426" s="113"/>
      <c r="AX1426" s="46">
        <v>0</v>
      </c>
      <c r="AY1426" s="113"/>
      <c r="AZ1426" s="113"/>
      <c r="BA1426" s="113"/>
      <c r="BB1426" s="113"/>
      <c r="BC1426" s="113"/>
      <c r="BD1426" s="46">
        <v>0</v>
      </c>
      <c r="BE1426" s="113"/>
      <c r="BF1426" s="113"/>
      <c r="BG1426" s="113"/>
      <c r="BH1426" s="113"/>
      <c r="BI1426" s="113"/>
      <c r="BJ1426" s="46">
        <v>0</v>
      </c>
      <c r="BK1426" s="113"/>
      <c r="BL1426" s="113"/>
      <c r="BM1426" s="113"/>
      <c r="BN1426" s="113"/>
      <c r="BO1426" s="113"/>
      <c r="BP1426" s="121"/>
      <c r="BQ1426" s="121"/>
      <c r="GA1426" t="s">
        <v>18300</v>
      </c>
      <c r="GB1426" t="s">
        <v>16495</v>
      </c>
      <c r="GC1426" s="46">
        <v>0</v>
      </c>
      <c r="GD1426" s="113"/>
      <c r="GE1426" s="113"/>
      <c r="GF1426" s="113"/>
      <c r="GG1426" s="113"/>
      <c r="GH1426" s="113"/>
      <c r="GI1426" s="46">
        <v>0</v>
      </c>
      <c r="GJ1426" s="113"/>
      <c r="GK1426" s="113"/>
      <c r="GL1426" s="113"/>
      <c r="GM1426" s="113"/>
      <c r="GN1426" s="113"/>
      <c r="GO1426" s="46">
        <v>0</v>
      </c>
      <c r="GP1426" s="113"/>
      <c r="GQ1426" s="113"/>
      <c r="GR1426" s="113"/>
      <c r="GS1426" s="113"/>
      <c r="GT1426" s="113"/>
      <c r="GU1426" s="46">
        <v>0</v>
      </c>
      <c r="GV1426" s="113"/>
      <c r="GW1426" s="113"/>
      <c r="GX1426" s="113"/>
      <c r="GY1426" s="113"/>
      <c r="GZ1426" s="113"/>
      <c r="HA1426" s="46">
        <v>0</v>
      </c>
      <c r="HB1426" s="113"/>
      <c r="HC1426" s="113"/>
      <c r="HD1426" s="113"/>
      <c r="HE1426" s="113"/>
      <c r="HF1426" s="113"/>
      <c r="HG1426" s="46">
        <v>0</v>
      </c>
      <c r="HH1426" s="113"/>
      <c r="HI1426" s="113"/>
      <c r="HJ1426" s="113"/>
      <c r="HK1426" s="113"/>
      <c r="HL1426" s="113"/>
      <c r="HM1426" s="121"/>
      <c r="HN1426" s="121"/>
      <c r="LM1426" t="str">
        <v/>
      </c>
      <c r="LN1426" t="str">
        <v/>
      </c>
      <c r="LO1426" t="str">
        <v/>
      </c>
    </row>
    <row r="1427" spans="30:327">
      <c r="AD1427" t="s">
        <v>18300</v>
      </c>
      <c r="AE1427" t="s">
        <v>16496</v>
      </c>
      <c r="AF1427" s="46">
        <v>0</v>
      </c>
      <c r="AG1427" s="113"/>
      <c r="AH1427" s="113"/>
      <c r="AI1427" s="113"/>
      <c r="AJ1427" s="113"/>
      <c r="AK1427" s="113"/>
      <c r="AL1427" s="46">
        <v>0</v>
      </c>
      <c r="AM1427" s="113"/>
      <c r="AN1427" s="113"/>
      <c r="AO1427" s="113"/>
      <c r="AP1427" s="113"/>
      <c r="AQ1427" s="113"/>
      <c r="AR1427" s="46">
        <v>0</v>
      </c>
      <c r="AS1427" s="113"/>
      <c r="AT1427" s="113"/>
      <c r="AU1427" s="113"/>
      <c r="AV1427" s="113"/>
      <c r="AW1427" s="113"/>
      <c r="AX1427" s="46">
        <v>0</v>
      </c>
      <c r="AY1427" s="113"/>
      <c r="AZ1427" s="113"/>
      <c r="BA1427" s="113"/>
      <c r="BB1427" s="113"/>
      <c r="BC1427" s="113"/>
      <c r="BD1427" s="46">
        <v>0</v>
      </c>
      <c r="BE1427" s="113"/>
      <c r="BF1427" s="113"/>
      <c r="BG1427" s="113"/>
      <c r="BH1427" s="113"/>
      <c r="BI1427" s="113"/>
      <c r="BJ1427" s="46">
        <v>0</v>
      </c>
      <c r="BK1427" s="113"/>
      <c r="BL1427" s="113"/>
      <c r="BM1427" s="113"/>
      <c r="BN1427" s="113"/>
      <c r="BO1427" s="113"/>
      <c r="BP1427" s="121"/>
      <c r="BQ1427" s="121"/>
      <c r="GA1427" t="s">
        <v>18300</v>
      </c>
      <c r="GB1427" t="s">
        <v>16496</v>
      </c>
      <c r="GC1427" s="46">
        <v>0</v>
      </c>
      <c r="GD1427" s="113"/>
      <c r="GE1427" s="113"/>
      <c r="GF1427" s="113"/>
      <c r="GG1427" s="113"/>
      <c r="GH1427" s="113"/>
      <c r="GI1427" s="46">
        <v>0</v>
      </c>
      <c r="GJ1427" s="113"/>
      <c r="GK1427" s="113"/>
      <c r="GL1427" s="113"/>
      <c r="GM1427" s="113"/>
      <c r="GN1427" s="113"/>
      <c r="GO1427" s="46">
        <v>0</v>
      </c>
      <c r="GP1427" s="113"/>
      <c r="GQ1427" s="113"/>
      <c r="GR1427" s="113"/>
      <c r="GS1427" s="113"/>
      <c r="GT1427" s="113"/>
      <c r="GU1427" s="46">
        <v>0</v>
      </c>
      <c r="GV1427" s="113"/>
      <c r="GW1427" s="113"/>
      <c r="GX1427" s="113"/>
      <c r="GY1427" s="113"/>
      <c r="GZ1427" s="113"/>
      <c r="HA1427" s="46">
        <v>0</v>
      </c>
      <c r="HB1427" s="113"/>
      <c r="HC1427" s="113"/>
      <c r="HD1427" s="113"/>
      <c r="HE1427" s="113"/>
      <c r="HF1427" s="113"/>
      <c r="HG1427" s="46">
        <v>0</v>
      </c>
      <c r="HH1427" s="113"/>
      <c r="HI1427" s="113"/>
      <c r="HJ1427" s="113"/>
      <c r="HK1427" s="113"/>
      <c r="HL1427" s="113"/>
      <c r="HM1427" s="121"/>
      <c r="HN1427" s="121"/>
      <c r="LM1427" t="str">
        <v/>
      </c>
      <c r="LN1427" t="str">
        <v/>
      </c>
      <c r="LO1427" t="str">
        <v/>
      </c>
    </row>
    <row r="1428" spans="30:327">
      <c r="AD1428" t="s">
        <v>18300</v>
      </c>
      <c r="AE1428" t="s">
        <v>16497</v>
      </c>
      <c r="AF1428" s="46">
        <v>0</v>
      </c>
      <c r="AG1428" s="113"/>
      <c r="AH1428" s="113"/>
      <c r="AI1428" s="113"/>
      <c r="AJ1428" s="113"/>
      <c r="AK1428" s="113"/>
      <c r="AL1428" s="46">
        <v>0</v>
      </c>
      <c r="AM1428" s="113"/>
      <c r="AN1428" s="113"/>
      <c r="AO1428" s="113"/>
      <c r="AP1428" s="113"/>
      <c r="AQ1428" s="113"/>
      <c r="AR1428" s="46">
        <v>0</v>
      </c>
      <c r="AS1428" s="113"/>
      <c r="AT1428" s="113"/>
      <c r="AU1428" s="113"/>
      <c r="AV1428" s="113"/>
      <c r="AW1428" s="113"/>
      <c r="AX1428" s="46">
        <v>0</v>
      </c>
      <c r="AY1428" s="113"/>
      <c r="AZ1428" s="113"/>
      <c r="BA1428" s="113"/>
      <c r="BB1428" s="113"/>
      <c r="BC1428" s="113"/>
      <c r="BD1428" s="46">
        <v>0</v>
      </c>
      <c r="BE1428" s="113"/>
      <c r="BF1428" s="113"/>
      <c r="BG1428" s="113"/>
      <c r="BH1428" s="113"/>
      <c r="BI1428" s="113"/>
      <c r="BJ1428" s="46">
        <v>0</v>
      </c>
      <c r="BK1428" s="113"/>
      <c r="BL1428" s="113"/>
      <c r="BM1428" s="113"/>
      <c r="BN1428" s="113"/>
      <c r="BO1428" s="113"/>
      <c r="BP1428" s="121"/>
      <c r="BQ1428" s="121"/>
      <c r="GA1428" t="s">
        <v>18300</v>
      </c>
      <c r="GB1428" t="s">
        <v>16497</v>
      </c>
      <c r="GC1428" s="46">
        <v>0</v>
      </c>
      <c r="GD1428" s="113"/>
      <c r="GE1428" s="113"/>
      <c r="GF1428" s="113"/>
      <c r="GG1428" s="113"/>
      <c r="GH1428" s="113"/>
      <c r="GI1428" s="46">
        <v>0</v>
      </c>
      <c r="GJ1428" s="113"/>
      <c r="GK1428" s="113"/>
      <c r="GL1428" s="113"/>
      <c r="GM1428" s="113"/>
      <c r="GN1428" s="113"/>
      <c r="GO1428" s="46">
        <v>0</v>
      </c>
      <c r="GP1428" s="113"/>
      <c r="GQ1428" s="113"/>
      <c r="GR1428" s="113"/>
      <c r="GS1428" s="113"/>
      <c r="GT1428" s="113"/>
      <c r="GU1428" s="46">
        <v>0</v>
      </c>
      <c r="GV1428" s="113"/>
      <c r="GW1428" s="113"/>
      <c r="GX1428" s="113"/>
      <c r="GY1428" s="113"/>
      <c r="GZ1428" s="113"/>
      <c r="HA1428" s="46">
        <v>0</v>
      </c>
      <c r="HB1428" s="113"/>
      <c r="HC1428" s="113"/>
      <c r="HD1428" s="113"/>
      <c r="HE1428" s="113"/>
      <c r="HF1428" s="113"/>
      <c r="HG1428" s="46">
        <v>0</v>
      </c>
      <c r="HH1428" s="113"/>
      <c r="HI1428" s="113"/>
      <c r="HJ1428" s="113"/>
      <c r="HK1428" s="113"/>
      <c r="HL1428" s="113"/>
      <c r="HM1428" s="121"/>
      <c r="HN1428" s="121"/>
      <c r="LM1428" t="str">
        <v/>
      </c>
      <c r="LN1428" t="str">
        <v/>
      </c>
      <c r="LO1428" t="str">
        <v/>
      </c>
    </row>
    <row r="1429" spans="30:327">
      <c r="AD1429" t="s">
        <v>18300</v>
      </c>
      <c r="AE1429" t="s">
        <v>16498</v>
      </c>
      <c r="AF1429" s="46">
        <v>0</v>
      </c>
      <c r="AG1429" s="113"/>
      <c r="AH1429" s="113"/>
      <c r="AI1429" s="113"/>
      <c r="AJ1429" s="113"/>
      <c r="AK1429" s="113"/>
      <c r="AL1429" s="46">
        <v>0</v>
      </c>
      <c r="AM1429" s="113"/>
      <c r="AN1429" s="113"/>
      <c r="AO1429" s="113"/>
      <c r="AP1429" s="113"/>
      <c r="AQ1429" s="113"/>
      <c r="AR1429" s="46">
        <v>0</v>
      </c>
      <c r="AS1429" s="113"/>
      <c r="AT1429" s="113"/>
      <c r="AU1429" s="113"/>
      <c r="AV1429" s="113"/>
      <c r="AW1429" s="113"/>
      <c r="AX1429" s="46">
        <v>0</v>
      </c>
      <c r="AY1429" s="113"/>
      <c r="AZ1429" s="113"/>
      <c r="BA1429" s="113"/>
      <c r="BB1429" s="113"/>
      <c r="BC1429" s="113"/>
      <c r="BD1429" s="46">
        <v>0</v>
      </c>
      <c r="BE1429" s="113"/>
      <c r="BF1429" s="113"/>
      <c r="BG1429" s="113"/>
      <c r="BH1429" s="113"/>
      <c r="BI1429" s="113"/>
      <c r="BJ1429" s="46">
        <v>0</v>
      </c>
      <c r="BK1429" s="113"/>
      <c r="BL1429" s="113"/>
      <c r="BM1429" s="113"/>
      <c r="BN1429" s="113"/>
      <c r="BO1429" s="113"/>
      <c r="BP1429" s="121"/>
      <c r="BQ1429" s="121"/>
      <c r="GA1429" t="s">
        <v>18300</v>
      </c>
      <c r="GB1429" t="s">
        <v>16498</v>
      </c>
      <c r="GC1429" s="46">
        <v>0</v>
      </c>
      <c r="GD1429" s="113"/>
      <c r="GE1429" s="113"/>
      <c r="GF1429" s="113"/>
      <c r="GG1429" s="113"/>
      <c r="GH1429" s="113"/>
      <c r="GI1429" s="46">
        <v>0</v>
      </c>
      <c r="GJ1429" s="113"/>
      <c r="GK1429" s="113"/>
      <c r="GL1429" s="113"/>
      <c r="GM1429" s="113"/>
      <c r="GN1429" s="113"/>
      <c r="GO1429" s="46">
        <v>0</v>
      </c>
      <c r="GP1429" s="113"/>
      <c r="GQ1429" s="113"/>
      <c r="GR1429" s="113"/>
      <c r="GS1429" s="113"/>
      <c r="GT1429" s="113"/>
      <c r="GU1429" s="46">
        <v>0</v>
      </c>
      <c r="GV1429" s="113"/>
      <c r="GW1429" s="113"/>
      <c r="GX1429" s="113"/>
      <c r="GY1429" s="113"/>
      <c r="GZ1429" s="113"/>
      <c r="HA1429" s="46">
        <v>0</v>
      </c>
      <c r="HB1429" s="113"/>
      <c r="HC1429" s="113"/>
      <c r="HD1429" s="113"/>
      <c r="HE1429" s="113"/>
      <c r="HF1429" s="113"/>
      <c r="HG1429" s="46">
        <v>0</v>
      </c>
      <c r="HH1429" s="113"/>
      <c r="HI1429" s="113"/>
      <c r="HJ1429" s="113"/>
      <c r="HK1429" s="113"/>
      <c r="HL1429" s="113"/>
      <c r="HM1429" s="121"/>
      <c r="HN1429" s="121"/>
      <c r="LM1429" t="str">
        <v/>
      </c>
      <c r="LN1429" t="str">
        <v/>
      </c>
      <c r="LO1429" t="str">
        <v/>
      </c>
    </row>
    <row r="1430" spans="30:327">
      <c r="AD1430" t="s">
        <v>18300</v>
      </c>
      <c r="AE1430" t="s">
        <v>16499</v>
      </c>
      <c r="AF1430" s="46">
        <v>0</v>
      </c>
      <c r="AG1430" s="113"/>
      <c r="AH1430" s="113"/>
      <c r="AI1430" s="113"/>
      <c r="AJ1430" s="113"/>
      <c r="AK1430" s="113"/>
      <c r="AL1430" s="46">
        <v>0</v>
      </c>
      <c r="AM1430" s="113"/>
      <c r="AN1430" s="113"/>
      <c r="AO1430" s="113"/>
      <c r="AP1430" s="113"/>
      <c r="AQ1430" s="113"/>
      <c r="AR1430" s="46">
        <v>0</v>
      </c>
      <c r="AS1430" s="113"/>
      <c r="AT1430" s="113"/>
      <c r="AU1430" s="113"/>
      <c r="AV1430" s="113"/>
      <c r="AW1430" s="113"/>
      <c r="AX1430" s="46">
        <v>0</v>
      </c>
      <c r="AY1430" s="113"/>
      <c r="AZ1430" s="113"/>
      <c r="BA1430" s="113"/>
      <c r="BB1430" s="113"/>
      <c r="BC1430" s="113"/>
      <c r="BD1430" s="46">
        <v>0</v>
      </c>
      <c r="BE1430" s="113"/>
      <c r="BF1430" s="113"/>
      <c r="BG1430" s="113"/>
      <c r="BH1430" s="113"/>
      <c r="BI1430" s="113"/>
      <c r="BJ1430" s="46">
        <v>0</v>
      </c>
      <c r="BK1430" s="113"/>
      <c r="BL1430" s="113"/>
      <c r="BM1430" s="113"/>
      <c r="BN1430" s="113"/>
      <c r="BO1430" s="113"/>
      <c r="BP1430" s="121"/>
      <c r="BQ1430" s="121"/>
      <c r="GA1430" t="s">
        <v>18300</v>
      </c>
      <c r="GB1430" t="s">
        <v>16499</v>
      </c>
      <c r="GC1430" s="46">
        <v>0</v>
      </c>
      <c r="GD1430" s="113"/>
      <c r="GE1430" s="113"/>
      <c r="GF1430" s="113"/>
      <c r="GG1430" s="113"/>
      <c r="GH1430" s="113"/>
      <c r="GI1430" s="46">
        <v>0</v>
      </c>
      <c r="GJ1430" s="113"/>
      <c r="GK1430" s="113"/>
      <c r="GL1430" s="113"/>
      <c r="GM1430" s="113"/>
      <c r="GN1430" s="113"/>
      <c r="GO1430" s="46">
        <v>0</v>
      </c>
      <c r="GP1430" s="113"/>
      <c r="GQ1430" s="113"/>
      <c r="GR1430" s="113"/>
      <c r="GS1430" s="113"/>
      <c r="GT1430" s="113"/>
      <c r="GU1430" s="46">
        <v>0</v>
      </c>
      <c r="GV1430" s="113"/>
      <c r="GW1430" s="113"/>
      <c r="GX1430" s="113"/>
      <c r="GY1430" s="113"/>
      <c r="GZ1430" s="113"/>
      <c r="HA1430" s="46">
        <v>0</v>
      </c>
      <c r="HB1430" s="113"/>
      <c r="HC1430" s="113"/>
      <c r="HD1430" s="113"/>
      <c r="HE1430" s="113"/>
      <c r="HF1430" s="113"/>
      <c r="HG1430" s="46">
        <v>0</v>
      </c>
      <c r="HH1430" s="113"/>
      <c r="HI1430" s="113"/>
      <c r="HJ1430" s="113"/>
      <c r="HK1430" s="113"/>
      <c r="HL1430" s="113"/>
      <c r="HM1430" s="121"/>
      <c r="HN1430" s="121"/>
      <c r="LM1430" t="str">
        <v/>
      </c>
      <c r="LN1430" t="str">
        <v/>
      </c>
      <c r="LO1430" t="str">
        <v/>
      </c>
    </row>
    <row r="1431" spans="30:327">
      <c r="AD1431" t="s">
        <v>18300</v>
      </c>
      <c r="AE1431" t="s">
        <v>16500</v>
      </c>
      <c r="AF1431" s="46">
        <v>0</v>
      </c>
      <c r="AG1431" s="113"/>
      <c r="AH1431" s="113"/>
      <c r="AI1431" s="113"/>
      <c r="AJ1431" s="113"/>
      <c r="AK1431" s="113"/>
      <c r="AL1431" s="46">
        <v>0</v>
      </c>
      <c r="AM1431" s="113"/>
      <c r="AN1431" s="113"/>
      <c r="AO1431" s="113"/>
      <c r="AP1431" s="113"/>
      <c r="AQ1431" s="113"/>
      <c r="AR1431" s="46">
        <v>0</v>
      </c>
      <c r="AS1431" s="113"/>
      <c r="AT1431" s="113"/>
      <c r="AU1431" s="113"/>
      <c r="AV1431" s="113"/>
      <c r="AW1431" s="113"/>
      <c r="AX1431" s="46">
        <v>0</v>
      </c>
      <c r="AY1431" s="113"/>
      <c r="AZ1431" s="113"/>
      <c r="BA1431" s="113"/>
      <c r="BB1431" s="113"/>
      <c r="BC1431" s="113"/>
      <c r="BD1431" s="46">
        <v>0</v>
      </c>
      <c r="BE1431" s="113"/>
      <c r="BF1431" s="113"/>
      <c r="BG1431" s="113"/>
      <c r="BH1431" s="113"/>
      <c r="BI1431" s="113"/>
      <c r="BJ1431" s="46">
        <v>0</v>
      </c>
      <c r="BK1431" s="113"/>
      <c r="BL1431" s="113"/>
      <c r="BM1431" s="113"/>
      <c r="BN1431" s="113"/>
      <c r="BO1431" s="113"/>
      <c r="BP1431" s="121"/>
      <c r="BQ1431" s="121"/>
      <c r="GA1431" t="s">
        <v>18300</v>
      </c>
      <c r="GB1431" t="s">
        <v>16500</v>
      </c>
      <c r="GC1431" s="46">
        <v>0</v>
      </c>
      <c r="GD1431" s="113"/>
      <c r="GE1431" s="113"/>
      <c r="GF1431" s="113"/>
      <c r="GG1431" s="113"/>
      <c r="GH1431" s="113"/>
      <c r="GI1431" s="46">
        <v>0</v>
      </c>
      <c r="GJ1431" s="113"/>
      <c r="GK1431" s="113"/>
      <c r="GL1431" s="113"/>
      <c r="GM1431" s="113"/>
      <c r="GN1431" s="113"/>
      <c r="GO1431" s="46">
        <v>0</v>
      </c>
      <c r="GP1431" s="113"/>
      <c r="GQ1431" s="113"/>
      <c r="GR1431" s="113"/>
      <c r="GS1431" s="113"/>
      <c r="GT1431" s="113"/>
      <c r="GU1431" s="46">
        <v>0</v>
      </c>
      <c r="GV1431" s="113"/>
      <c r="GW1431" s="113"/>
      <c r="GX1431" s="113"/>
      <c r="GY1431" s="113"/>
      <c r="GZ1431" s="113"/>
      <c r="HA1431" s="46">
        <v>0</v>
      </c>
      <c r="HB1431" s="113"/>
      <c r="HC1431" s="113"/>
      <c r="HD1431" s="113"/>
      <c r="HE1431" s="113"/>
      <c r="HF1431" s="113"/>
      <c r="HG1431" s="46">
        <v>0</v>
      </c>
      <c r="HH1431" s="113"/>
      <c r="HI1431" s="113"/>
      <c r="HJ1431" s="113"/>
      <c r="HK1431" s="113"/>
      <c r="HL1431" s="113"/>
      <c r="HM1431" s="121"/>
      <c r="HN1431" s="121"/>
      <c r="LM1431" t="str">
        <v/>
      </c>
      <c r="LN1431" t="str">
        <v/>
      </c>
      <c r="LO1431" t="str">
        <v/>
      </c>
    </row>
    <row r="1432" spans="30:327">
      <c r="AD1432" t="s">
        <v>18300</v>
      </c>
      <c r="AE1432" t="s">
        <v>16501</v>
      </c>
      <c r="AF1432" s="46">
        <v>0</v>
      </c>
      <c r="AG1432" s="113"/>
      <c r="AH1432" s="113"/>
      <c r="AI1432" s="113"/>
      <c r="AJ1432" s="113"/>
      <c r="AK1432" s="113"/>
      <c r="AL1432" s="46">
        <v>0</v>
      </c>
      <c r="AM1432" s="113"/>
      <c r="AN1432" s="113"/>
      <c r="AO1432" s="113"/>
      <c r="AP1432" s="113"/>
      <c r="AQ1432" s="113"/>
      <c r="AR1432" s="46">
        <v>0</v>
      </c>
      <c r="AS1432" s="113"/>
      <c r="AT1432" s="113"/>
      <c r="AU1432" s="113"/>
      <c r="AV1432" s="113"/>
      <c r="AW1432" s="113"/>
      <c r="AX1432" s="46">
        <v>0</v>
      </c>
      <c r="AY1432" s="113"/>
      <c r="AZ1432" s="113"/>
      <c r="BA1432" s="113"/>
      <c r="BB1432" s="113"/>
      <c r="BC1432" s="113"/>
      <c r="BD1432" s="46">
        <v>0</v>
      </c>
      <c r="BE1432" s="113"/>
      <c r="BF1432" s="113"/>
      <c r="BG1432" s="113"/>
      <c r="BH1432" s="113"/>
      <c r="BI1432" s="113"/>
      <c r="BJ1432" s="46">
        <v>0</v>
      </c>
      <c r="BK1432" s="113"/>
      <c r="BL1432" s="113"/>
      <c r="BM1432" s="113"/>
      <c r="BN1432" s="113"/>
      <c r="BO1432" s="113"/>
      <c r="BP1432" s="121"/>
      <c r="BQ1432" s="121"/>
      <c r="GA1432" t="s">
        <v>18300</v>
      </c>
      <c r="GB1432" t="s">
        <v>16501</v>
      </c>
      <c r="GC1432" s="46">
        <v>0</v>
      </c>
      <c r="GD1432" s="113"/>
      <c r="GE1432" s="113"/>
      <c r="GF1432" s="113"/>
      <c r="GG1432" s="113"/>
      <c r="GH1432" s="113"/>
      <c r="GI1432" s="46">
        <v>0</v>
      </c>
      <c r="GJ1432" s="113"/>
      <c r="GK1432" s="113"/>
      <c r="GL1432" s="113"/>
      <c r="GM1432" s="113"/>
      <c r="GN1432" s="113"/>
      <c r="GO1432" s="46">
        <v>0</v>
      </c>
      <c r="GP1432" s="113"/>
      <c r="GQ1432" s="113"/>
      <c r="GR1432" s="113"/>
      <c r="GS1432" s="113"/>
      <c r="GT1432" s="113"/>
      <c r="GU1432" s="46">
        <v>0</v>
      </c>
      <c r="GV1432" s="113"/>
      <c r="GW1432" s="113"/>
      <c r="GX1432" s="113"/>
      <c r="GY1432" s="113"/>
      <c r="GZ1432" s="113"/>
      <c r="HA1432" s="46">
        <v>0</v>
      </c>
      <c r="HB1432" s="113"/>
      <c r="HC1432" s="113"/>
      <c r="HD1432" s="113"/>
      <c r="HE1432" s="113"/>
      <c r="HF1432" s="113"/>
      <c r="HG1432" s="46">
        <v>0</v>
      </c>
      <c r="HH1432" s="113"/>
      <c r="HI1432" s="113"/>
      <c r="HJ1432" s="113"/>
      <c r="HK1432" s="113"/>
      <c r="HL1432" s="113"/>
      <c r="HM1432" s="121"/>
      <c r="HN1432" s="121"/>
      <c r="LM1432" t="str">
        <v/>
      </c>
      <c r="LN1432" t="str">
        <v/>
      </c>
      <c r="LO1432" t="str">
        <v/>
      </c>
    </row>
    <row r="1433" spans="30:327">
      <c r="AD1433" t="s">
        <v>18300</v>
      </c>
      <c r="AE1433" t="s">
        <v>16502</v>
      </c>
      <c r="AF1433" s="46">
        <v>0</v>
      </c>
      <c r="AG1433" s="113"/>
      <c r="AH1433" s="113"/>
      <c r="AI1433" s="113"/>
      <c r="AJ1433" s="113"/>
      <c r="AK1433" s="113"/>
      <c r="AL1433" s="46">
        <v>0</v>
      </c>
      <c r="AM1433" s="113"/>
      <c r="AN1433" s="113"/>
      <c r="AO1433" s="113"/>
      <c r="AP1433" s="113"/>
      <c r="AQ1433" s="113"/>
      <c r="AR1433" s="46">
        <v>0</v>
      </c>
      <c r="AS1433" s="113"/>
      <c r="AT1433" s="113"/>
      <c r="AU1433" s="113"/>
      <c r="AV1433" s="113"/>
      <c r="AW1433" s="113"/>
      <c r="AX1433" s="46">
        <v>0</v>
      </c>
      <c r="AY1433" s="113"/>
      <c r="AZ1433" s="113"/>
      <c r="BA1433" s="113"/>
      <c r="BB1433" s="113"/>
      <c r="BC1433" s="113"/>
      <c r="BD1433" s="46">
        <v>0</v>
      </c>
      <c r="BE1433" s="113"/>
      <c r="BF1433" s="113"/>
      <c r="BG1433" s="113"/>
      <c r="BH1433" s="113"/>
      <c r="BI1433" s="113"/>
      <c r="BJ1433" s="46">
        <v>0</v>
      </c>
      <c r="BK1433" s="113"/>
      <c r="BL1433" s="113"/>
      <c r="BM1433" s="113"/>
      <c r="BN1433" s="113"/>
      <c r="BO1433" s="113"/>
      <c r="BP1433" s="121"/>
      <c r="BQ1433" s="121"/>
      <c r="GA1433" t="s">
        <v>18300</v>
      </c>
      <c r="GB1433" t="s">
        <v>16502</v>
      </c>
      <c r="GC1433" s="46">
        <v>0</v>
      </c>
      <c r="GD1433" s="113"/>
      <c r="GE1433" s="113"/>
      <c r="GF1433" s="113"/>
      <c r="GG1433" s="113"/>
      <c r="GH1433" s="113"/>
      <c r="GI1433" s="46">
        <v>0</v>
      </c>
      <c r="GJ1433" s="113"/>
      <c r="GK1433" s="113"/>
      <c r="GL1433" s="113"/>
      <c r="GM1433" s="113"/>
      <c r="GN1433" s="113"/>
      <c r="GO1433" s="46">
        <v>0</v>
      </c>
      <c r="GP1433" s="113"/>
      <c r="GQ1433" s="113"/>
      <c r="GR1433" s="113"/>
      <c r="GS1433" s="113"/>
      <c r="GT1433" s="113"/>
      <c r="GU1433" s="46">
        <v>0</v>
      </c>
      <c r="GV1433" s="113"/>
      <c r="GW1433" s="113"/>
      <c r="GX1433" s="113"/>
      <c r="GY1433" s="113"/>
      <c r="GZ1433" s="113"/>
      <c r="HA1433" s="46">
        <v>0</v>
      </c>
      <c r="HB1433" s="113"/>
      <c r="HC1433" s="113"/>
      <c r="HD1433" s="113"/>
      <c r="HE1433" s="113"/>
      <c r="HF1433" s="113"/>
      <c r="HG1433" s="46">
        <v>0</v>
      </c>
      <c r="HH1433" s="113"/>
      <c r="HI1433" s="113"/>
      <c r="HJ1433" s="113"/>
      <c r="HK1433" s="113"/>
      <c r="HL1433" s="113"/>
      <c r="HM1433" s="121"/>
      <c r="HN1433" s="121"/>
      <c r="LM1433" t="str">
        <v/>
      </c>
      <c r="LN1433" t="str">
        <v/>
      </c>
      <c r="LO1433" t="str">
        <v/>
      </c>
    </row>
    <row r="1434" spans="30:327">
      <c r="AD1434" t="s">
        <v>18300</v>
      </c>
      <c r="AE1434" t="s">
        <v>16503</v>
      </c>
      <c r="AF1434" s="46">
        <v>0</v>
      </c>
      <c r="AG1434" s="113"/>
      <c r="AH1434" s="113"/>
      <c r="AI1434" s="113"/>
      <c r="AJ1434" s="113"/>
      <c r="AK1434" s="113"/>
      <c r="AL1434" s="46">
        <v>0</v>
      </c>
      <c r="AM1434" s="113"/>
      <c r="AN1434" s="113"/>
      <c r="AO1434" s="113"/>
      <c r="AP1434" s="113"/>
      <c r="AQ1434" s="113"/>
      <c r="AR1434" s="46">
        <v>0</v>
      </c>
      <c r="AS1434" s="113"/>
      <c r="AT1434" s="113"/>
      <c r="AU1434" s="113"/>
      <c r="AV1434" s="113"/>
      <c r="AW1434" s="113"/>
      <c r="AX1434" s="46">
        <v>0</v>
      </c>
      <c r="AY1434" s="113"/>
      <c r="AZ1434" s="113"/>
      <c r="BA1434" s="113"/>
      <c r="BB1434" s="113"/>
      <c r="BC1434" s="113"/>
      <c r="BD1434" s="46">
        <v>0</v>
      </c>
      <c r="BE1434" s="113"/>
      <c r="BF1434" s="113"/>
      <c r="BG1434" s="113"/>
      <c r="BH1434" s="113"/>
      <c r="BI1434" s="113"/>
      <c r="BJ1434" s="46">
        <v>0</v>
      </c>
      <c r="BK1434" s="113"/>
      <c r="BL1434" s="113"/>
      <c r="BM1434" s="113"/>
      <c r="BN1434" s="113"/>
      <c r="BO1434" s="113"/>
      <c r="BP1434" s="121"/>
      <c r="BQ1434" s="121"/>
      <c r="GA1434" t="s">
        <v>18300</v>
      </c>
      <c r="GB1434" t="s">
        <v>16503</v>
      </c>
      <c r="GC1434" s="46">
        <v>0</v>
      </c>
      <c r="GD1434" s="113"/>
      <c r="GE1434" s="113"/>
      <c r="GF1434" s="113"/>
      <c r="GG1434" s="113"/>
      <c r="GH1434" s="113"/>
      <c r="GI1434" s="46">
        <v>0</v>
      </c>
      <c r="GJ1434" s="113"/>
      <c r="GK1434" s="113"/>
      <c r="GL1434" s="113"/>
      <c r="GM1434" s="113"/>
      <c r="GN1434" s="113"/>
      <c r="GO1434" s="46">
        <v>0</v>
      </c>
      <c r="GP1434" s="113"/>
      <c r="GQ1434" s="113"/>
      <c r="GR1434" s="113"/>
      <c r="GS1434" s="113"/>
      <c r="GT1434" s="113"/>
      <c r="GU1434" s="46">
        <v>0</v>
      </c>
      <c r="GV1434" s="113"/>
      <c r="GW1434" s="113"/>
      <c r="GX1434" s="113"/>
      <c r="GY1434" s="113"/>
      <c r="GZ1434" s="113"/>
      <c r="HA1434" s="46">
        <v>0</v>
      </c>
      <c r="HB1434" s="113"/>
      <c r="HC1434" s="113"/>
      <c r="HD1434" s="113"/>
      <c r="HE1434" s="113"/>
      <c r="HF1434" s="113"/>
      <c r="HG1434" s="46">
        <v>0</v>
      </c>
      <c r="HH1434" s="113"/>
      <c r="HI1434" s="113"/>
      <c r="HJ1434" s="113"/>
      <c r="HK1434" s="113"/>
      <c r="HL1434" s="113"/>
      <c r="HM1434" s="121"/>
      <c r="HN1434" s="121"/>
      <c r="LM1434" t="str">
        <v/>
      </c>
      <c r="LN1434" t="str">
        <v/>
      </c>
      <c r="LO1434" t="str">
        <v/>
      </c>
    </row>
    <row r="1435" spans="30:327">
      <c r="AD1435" t="s">
        <v>18300</v>
      </c>
      <c r="AE1435" t="s">
        <v>16504</v>
      </c>
      <c r="AF1435" s="46">
        <v>0</v>
      </c>
      <c r="AG1435" s="113"/>
      <c r="AH1435" s="113"/>
      <c r="AI1435" s="113"/>
      <c r="AJ1435" s="113"/>
      <c r="AK1435" s="113"/>
      <c r="AL1435" s="46">
        <v>0</v>
      </c>
      <c r="AM1435" s="113"/>
      <c r="AN1435" s="113"/>
      <c r="AO1435" s="113"/>
      <c r="AP1435" s="113"/>
      <c r="AQ1435" s="113"/>
      <c r="AR1435" s="46">
        <v>0</v>
      </c>
      <c r="AS1435" s="113"/>
      <c r="AT1435" s="113"/>
      <c r="AU1435" s="113"/>
      <c r="AV1435" s="113"/>
      <c r="AW1435" s="113"/>
      <c r="AX1435" s="46">
        <v>0</v>
      </c>
      <c r="AY1435" s="113"/>
      <c r="AZ1435" s="113"/>
      <c r="BA1435" s="113"/>
      <c r="BB1435" s="113"/>
      <c r="BC1435" s="113"/>
      <c r="BD1435" s="46">
        <v>0</v>
      </c>
      <c r="BE1435" s="113"/>
      <c r="BF1435" s="113"/>
      <c r="BG1435" s="113"/>
      <c r="BH1435" s="113"/>
      <c r="BI1435" s="113"/>
      <c r="BJ1435" s="46">
        <v>0</v>
      </c>
      <c r="BK1435" s="113"/>
      <c r="BL1435" s="113"/>
      <c r="BM1435" s="113"/>
      <c r="BN1435" s="113"/>
      <c r="BO1435" s="113"/>
      <c r="BP1435" s="121"/>
      <c r="BQ1435" s="121"/>
      <c r="GA1435" t="s">
        <v>18300</v>
      </c>
      <c r="GB1435" t="s">
        <v>16504</v>
      </c>
      <c r="GC1435" s="46">
        <v>0</v>
      </c>
      <c r="GD1435" s="113"/>
      <c r="GE1435" s="113"/>
      <c r="GF1435" s="113"/>
      <c r="GG1435" s="113"/>
      <c r="GH1435" s="113"/>
      <c r="GI1435" s="46">
        <v>0</v>
      </c>
      <c r="GJ1435" s="113"/>
      <c r="GK1435" s="113"/>
      <c r="GL1435" s="113"/>
      <c r="GM1435" s="113"/>
      <c r="GN1435" s="113"/>
      <c r="GO1435" s="46">
        <v>0</v>
      </c>
      <c r="GP1435" s="113"/>
      <c r="GQ1435" s="113"/>
      <c r="GR1435" s="113"/>
      <c r="GS1435" s="113"/>
      <c r="GT1435" s="113"/>
      <c r="GU1435" s="46">
        <v>0</v>
      </c>
      <c r="GV1435" s="113"/>
      <c r="GW1435" s="113"/>
      <c r="GX1435" s="113"/>
      <c r="GY1435" s="113"/>
      <c r="GZ1435" s="113"/>
      <c r="HA1435" s="46">
        <v>0</v>
      </c>
      <c r="HB1435" s="113"/>
      <c r="HC1435" s="113"/>
      <c r="HD1435" s="113"/>
      <c r="HE1435" s="113"/>
      <c r="HF1435" s="113"/>
      <c r="HG1435" s="46">
        <v>0</v>
      </c>
      <c r="HH1435" s="113"/>
      <c r="HI1435" s="113"/>
      <c r="HJ1435" s="113"/>
      <c r="HK1435" s="113"/>
      <c r="HL1435" s="113"/>
      <c r="HM1435" s="121"/>
      <c r="HN1435" s="121"/>
      <c r="LM1435" t="str">
        <v/>
      </c>
      <c r="LN1435" t="str">
        <v/>
      </c>
      <c r="LO1435" t="str">
        <v/>
      </c>
    </row>
    <row r="1436" spans="30:327">
      <c r="AD1436" t="s">
        <v>18300</v>
      </c>
      <c r="AE1436" t="s">
        <v>16505</v>
      </c>
      <c r="AF1436" s="46">
        <v>0</v>
      </c>
      <c r="AG1436" s="113"/>
      <c r="AH1436" s="113"/>
      <c r="AI1436" s="113"/>
      <c r="AJ1436" s="113"/>
      <c r="AK1436" s="113"/>
      <c r="AL1436" s="46">
        <v>0</v>
      </c>
      <c r="AM1436" s="113"/>
      <c r="AN1436" s="113"/>
      <c r="AO1436" s="113"/>
      <c r="AP1436" s="113"/>
      <c r="AQ1436" s="113"/>
      <c r="AR1436" s="46">
        <v>0</v>
      </c>
      <c r="AS1436" s="113"/>
      <c r="AT1436" s="113"/>
      <c r="AU1436" s="113"/>
      <c r="AV1436" s="113"/>
      <c r="AW1436" s="113"/>
      <c r="AX1436" s="46">
        <v>0</v>
      </c>
      <c r="AY1436" s="113"/>
      <c r="AZ1436" s="113"/>
      <c r="BA1436" s="113"/>
      <c r="BB1436" s="113"/>
      <c r="BC1436" s="113"/>
      <c r="BD1436" s="46">
        <v>0</v>
      </c>
      <c r="BE1436" s="113"/>
      <c r="BF1436" s="113"/>
      <c r="BG1436" s="113"/>
      <c r="BH1436" s="113"/>
      <c r="BI1436" s="113"/>
      <c r="BJ1436" s="46">
        <v>0</v>
      </c>
      <c r="BK1436" s="113"/>
      <c r="BL1436" s="113"/>
      <c r="BM1436" s="113"/>
      <c r="BN1436" s="113"/>
      <c r="BO1436" s="113"/>
      <c r="BP1436" s="121"/>
      <c r="BQ1436" s="121"/>
      <c r="GA1436" t="s">
        <v>18300</v>
      </c>
      <c r="GB1436" t="s">
        <v>16505</v>
      </c>
      <c r="GC1436" s="46">
        <v>0</v>
      </c>
      <c r="GD1436" s="113"/>
      <c r="GE1436" s="113"/>
      <c r="GF1436" s="113"/>
      <c r="GG1436" s="113"/>
      <c r="GH1436" s="113"/>
      <c r="GI1436" s="46">
        <v>0</v>
      </c>
      <c r="GJ1436" s="113"/>
      <c r="GK1436" s="113"/>
      <c r="GL1436" s="113"/>
      <c r="GM1436" s="113"/>
      <c r="GN1436" s="113"/>
      <c r="GO1436" s="46">
        <v>0</v>
      </c>
      <c r="GP1436" s="113"/>
      <c r="GQ1436" s="113"/>
      <c r="GR1436" s="113"/>
      <c r="GS1436" s="113"/>
      <c r="GT1436" s="113"/>
      <c r="GU1436" s="46">
        <v>0</v>
      </c>
      <c r="GV1436" s="113"/>
      <c r="GW1436" s="113"/>
      <c r="GX1436" s="113"/>
      <c r="GY1436" s="113"/>
      <c r="GZ1436" s="113"/>
      <c r="HA1436" s="46">
        <v>0</v>
      </c>
      <c r="HB1436" s="113"/>
      <c r="HC1436" s="113"/>
      <c r="HD1436" s="113"/>
      <c r="HE1436" s="113"/>
      <c r="HF1436" s="113"/>
      <c r="HG1436" s="46">
        <v>0</v>
      </c>
      <c r="HH1436" s="113"/>
      <c r="HI1436" s="113"/>
      <c r="HJ1436" s="113"/>
      <c r="HK1436" s="113"/>
      <c r="HL1436" s="113"/>
      <c r="HM1436" s="121"/>
      <c r="HN1436" s="121"/>
      <c r="LM1436" t="str">
        <v/>
      </c>
      <c r="LN1436" t="str">
        <v/>
      </c>
      <c r="LO1436" t="str">
        <v/>
      </c>
    </row>
    <row r="1437" spans="30:327">
      <c r="AD1437" t="s">
        <v>18300</v>
      </c>
      <c r="AE1437" t="s">
        <v>16506</v>
      </c>
      <c r="AF1437" s="46">
        <v>0</v>
      </c>
      <c r="AG1437" s="113"/>
      <c r="AH1437" s="113"/>
      <c r="AI1437" s="113"/>
      <c r="AJ1437" s="113"/>
      <c r="AK1437" s="113"/>
      <c r="AL1437" s="46">
        <v>0</v>
      </c>
      <c r="AM1437" s="113"/>
      <c r="AN1437" s="113"/>
      <c r="AO1437" s="113"/>
      <c r="AP1437" s="113"/>
      <c r="AQ1437" s="113"/>
      <c r="AR1437" s="46">
        <v>0</v>
      </c>
      <c r="AS1437" s="113"/>
      <c r="AT1437" s="113"/>
      <c r="AU1437" s="113"/>
      <c r="AV1437" s="113"/>
      <c r="AW1437" s="113"/>
      <c r="AX1437" s="46">
        <v>0</v>
      </c>
      <c r="AY1437" s="113"/>
      <c r="AZ1437" s="113"/>
      <c r="BA1437" s="113"/>
      <c r="BB1437" s="113"/>
      <c r="BC1437" s="113"/>
      <c r="BD1437" s="46">
        <v>0</v>
      </c>
      <c r="BE1437" s="113"/>
      <c r="BF1437" s="113"/>
      <c r="BG1437" s="113"/>
      <c r="BH1437" s="113"/>
      <c r="BI1437" s="113"/>
      <c r="BJ1437" s="46">
        <v>0</v>
      </c>
      <c r="BK1437" s="113"/>
      <c r="BL1437" s="113"/>
      <c r="BM1437" s="113"/>
      <c r="BN1437" s="113"/>
      <c r="BO1437" s="113"/>
      <c r="BP1437" s="121"/>
      <c r="BQ1437" s="121"/>
      <c r="GA1437" t="s">
        <v>18300</v>
      </c>
      <c r="GB1437" t="s">
        <v>16506</v>
      </c>
      <c r="GC1437" s="46">
        <v>0</v>
      </c>
      <c r="GD1437" s="113"/>
      <c r="GE1437" s="113"/>
      <c r="GF1437" s="113"/>
      <c r="GG1437" s="113"/>
      <c r="GH1437" s="113"/>
      <c r="GI1437" s="46">
        <v>0</v>
      </c>
      <c r="GJ1437" s="113"/>
      <c r="GK1437" s="113"/>
      <c r="GL1437" s="113"/>
      <c r="GM1437" s="113"/>
      <c r="GN1437" s="113"/>
      <c r="GO1437" s="46">
        <v>0</v>
      </c>
      <c r="GP1437" s="113"/>
      <c r="GQ1437" s="113"/>
      <c r="GR1437" s="113"/>
      <c r="GS1437" s="113"/>
      <c r="GT1437" s="113"/>
      <c r="GU1437" s="46">
        <v>0</v>
      </c>
      <c r="GV1437" s="113"/>
      <c r="GW1437" s="113"/>
      <c r="GX1437" s="113"/>
      <c r="GY1437" s="113"/>
      <c r="GZ1437" s="113"/>
      <c r="HA1437" s="46">
        <v>0</v>
      </c>
      <c r="HB1437" s="113"/>
      <c r="HC1437" s="113"/>
      <c r="HD1437" s="113"/>
      <c r="HE1437" s="113"/>
      <c r="HF1437" s="113"/>
      <c r="HG1437" s="46">
        <v>0</v>
      </c>
      <c r="HH1437" s="113"/>
      <c r="HI1437" s="113"/>
      <c r="HJ1437" s="113"/>
      <c r="HK1437" s="113"/>
      <c r="HL1437" s="113"/>
      <c r="HM1437" s="121"/>
      <c r="HN1437" s="121"/>
      <c r="LM1437" t="str">
        <v/>
      </c>
      <c r="LN1437" t="str">
        <v/>
      </c>
      <c r="LO1437" t="str">
        <v/>
      </c>
    </row>
    <row r="1438" spans="30:327">
      <c r="AD1438" t="s">
        <v>18300</v>
      </c>
      <c r="AE1438" t="s">
        <v>16507</v>
      </c>
      <c r="AF1438" s="46">
        <v>0</v>
      </c>
      <c r="AG1438" s="113"/>
      <c r="AH1438" s="113"/>
      <c r="AI1438" s="113"/>
      <c r="AJ1438" s="113"/>
      <c r="AK1438" s="113"/>
      <c r="AL1438" s="46">
        <v>0</v>
      </c>
      <c r="AM1438" s="113"/>
      <c r="AN1438" s="113"/>
      <c r="AO1438" s="113"/>
      <c r="AP1438" s="113"/>
      <c r="AQ1438" s="113"/>
      <c r="AR1438" s="46">
        <v>0</v>
      </c>
      <c r="AS1438" s="113"/>
      <c r="AT1438" s="113"/>
      <c r="AU1438" s="113"/>
      <c r="AV1438" s="113"/>
      <c r="AW1438" s="113"/>
      <c r="AX1438" s="46">
        <v>0</v>
      </c>
      <c r="AY1438" s="113"/>
      <c r="AZ1438" s="113"/>
      <c r="BA1438" s="113"/>
      <c r="BB1438" s="113"/>
      <c r="BC1438" s="113"/>
      <c r="BD1438" s="46">
        <v>0</v>
      </c>
      <c r="BE1438" s="113"/>
      <c r="BF1438" s="113"/>
      <c r="BG1438" s="113"/>
      <c r="BH1438" s="113"/>
      <c r="BI1438" s="113"/>
      <c r="BJ1438" s="46">
        <v>0</v>
      </c>
      <c r="BK1438" s="113"/>
      <c r="BL1438" s="113"/>
      <c r="BM1438" s="113"/>
      <c r="BN1438" s="113"/>
      <c r="BO1438" s="113"/>
      <c r="BP1438" s="121"/>
      <c r="BQ1438" s="121"/>
      <c r="GA1438" t="s">
        <v>18300</v>
      </c>
      <c r="GB1438" t="s">
        <v>16507</v>
      </c>
      <c r="GC1438" s="46">
        <v>0</v>
      </c>
      <c r="GD1438" s="113"/>
      <c r="GE1438" s="113"/>
      <c r="GF1438" s="113"/>
      <c r="GG1438" s="113"/>
      <c r="GH1438" s="113"/>
      <c r="GI1438" s="46">
        <v>0</v>
      </c>
      <c r="GJ1438" s="113"/>
      <c r="GK1438" s="113"/>
      <c r="GL1438" s="113"/>
      <c r="GM1438" s="113"/>
      <c r="GN1438" s="113"/>
      <c r="GO1438" s="46">
        <v>0</v>
      </c>
      <c r="GP1438" s="113"/>
      <c r="GQ1438" s="113"/>
      <c r="GR1438" s="113"/>
      <c r="GS1438" s="113"/>
      <c r="GT1438" s="113"/>
      <c r="GU1438" s="46">
        <v>0</v>
      </c>
      <c r="GV1438" s="113"/>
      <c r="GW1438" s="113"/>
      <c r="GX1438" s="113"/>
      <c r="GY1438" s="113"/>
      <c r="GZ1438" s="113"/>
      <c r="HA1438" s="46">
        <v>0</v>
      </c>
      <c r="HB1438" s="113"/>
      <c r="HC1438" s="113"/>
      <c r="HD1438" s="113"/>
      <c r="HE1438" s="113"/>
      <c r="HF1438" s="113"/>
      <c r="HG1438" s="46">
        <v>0</v>
      </c>
      <c r="HH1438" s="113"/>
      <c r="HI1438" s="113"/>
      <c r="HJ1438" s="113"/>
      <c r="HK1438" s="113"/>
      <c r="HL1438" s="113"/>
      <c r="HM1438" s="121"/>
      <c r="HN1438" s="121"/>
      <c r="LM1438" t="str">
        <v/>
      </c>
      <c r="LN1438" t="str">
        <v/>
      </c>
      <c r="LO1438" t="str">
        <v/>
      </c>
    </row>
    <row r="1439" spans="30:327">
      <c r="AD1439" t="s">
        <v>18300</v>
      </c>
      <c r="AE1439" t="s">
        <v>16508</v>
      </c>
      <c r="AF1439" s="46">
        <v>0</v>
      </c>
      <c r="AG1439" s="113"/>
      <c r="AH1439" s="113"/>
      <c r="AI1439" s="113"/>
      <c r="AJ1439" s="113"/>
      <c r="AK1439" s="113"/>
      <c r="AL1439" s="46">
        <v>0</v>
      </c>
      <c r="AM1439" s="113"/>
      <c r="AN1439" s="113"/>
      <c r="AO1439" s="113"/>
      <c r="AP1439" s="113"/>
      <c r="AQ1439" s="113"/>
      <c r="AR1439" s="46">
        <v>0</v>
      </c>
      <c r="AS1439" s="113"/>
      <c r="AT1439" s="113"/>
      <c r="AU1439" s="113"/>
      <c r="AV1439" s="113"/>
      <c r="AW1439" s="113"/>
      <c r="AX1439" s="46">
        <v>0</v>
      </c>
      <c r="AY1439" s="113"/>
      <c r="AZ1439" s="113"/>
      <c r="BA1439" s="113"/>
      <c r="BB1439" s="113"/>
      <c r="BC1439" s="113"/>
      <c r="BD1439" s="46">
        <v>0</v>
      </c>
      <c r="BE1439" s="113"/>
      <c r="BF1439" s="113"/>
      <c r="BG1439" s="113"/>
      <c r="BH1439" s="113"/>
      <c r="BI1439" s="113"/>
      <c r="BJ1439" s="46">
        <v>0</v>
      </c>
      <c r="BK1439" s="113"/>
      <c r="BL1439" s="113"/>
      <c r="BM1439" s="113"/>
      <c r="BN1439" s="113"/>
      <c r="BO1439" s="113"/>
      <c r="BP1439" s="121"/>
      <c r="BQ1439" s="121"/>
      <c r="GA1439" t="s">
        <v>18300</v>
      </c>
      <c r="GB1439" t="s">
        <v>16508</v>
      </c>
      <c r="GC1439" s="46">
        <v>0</v>
      </c>
      <c r="GD1439" s="113"/>
      <c r="GE1439" s="113"/>
      <c r="GF1439" s="113"/>
      <c r="GG1439" s="113"/>
      <c r="GH1439" s="113"/>
      <c r="GI1439" s="46">
        <v>0</v>
      </c>
      <c r="GJ1439" s="113"/>
      <c r="GK1439" s="113"/>
      <c r="GL1439" s="113"/>
      <c r="GM1439" s="113"/>
      <c r="GN1439" s="113"/>
      <c r="GO1439" s="46">
        <v>0</v>
      </c>
      <c r="GP1439" s="113"/>
      <c r="GQ1439" s="113"/>
      <c r="GR1439" s="113"/>
      <c r="GS1439" s="113"/>
      <c r="GT1439" s="113"/>
      <c r="GU1439" s="46">
        <v>0</v>
      </c>
      <c r="GV1439" s="113"/>
      <c r="GW1439" s="113"/>
      <c r="GX1439" s="113"/>
      <c r="GY1439" s="113"/>
      <c r="GZ1439" s="113"/>
      <c r="HA1439" s="46">
        <v>0</v>
      </c>
      <c r="HB1439" s="113"/>
      <c r="HC1439" s="113"/>
      <c r="HD1439" s="113"/>
      <c r="HE1439" s="113"/>
      <c r="HF1439" s="113"/>
      <c r="HG1439" s="46">
        <v>0</v>
      </c>
      <c r="HH1439" s="113"/>
      <c r="HI1439" s="113"/>
      <c r="HJ1439" s="113"/>
      <c r="HK1439" s="113"/>
      <c r="HL1439" s="113"/>
      <c r="HM1439" s="121"/>
      <c r="HN1439" s="121"/>
      <c r="LM1439" t="str">
        <v/>
      </c>
      <c r="LN1439" t="str">
        <v/>
      </c>
      <c r="LO1439" t="str">
        <v/>
      </c>
    </row>
    <row r="1440" spans="30:327">
      <c r="AD1440" t="s">
        <v>18300</v>
      </c>
      <c r="AE1440" t="s">
        <v>16509</v>
      </c>
      <c r="AF1440" s="46">
        <v>0</v>
      </c>
      <c r="AG1440" s="113"/>
      <c r="AH1440" s="113"/>
      <c r="AI1440" s="113"/>
      <c r="AJ1440" s="113"/>
      <c r="AK1440" s="113"/>
      <c r="AL1440" s="46">
        <v>0</v>
      </c>
      <c r="AM1440" s="113"/>
      <c r="AN1440" s="113"/>
      <c r="AO1440" s="113"/>
      <c r="AP1440" s="113"/>
      <c r="AQ1440" s="113"/>
      <c r="AR1440" s="46">
        <v>0</v>
      </c>
      <c r="AS1440" s="113"/>
      <c r="AT1440" s="113"/>
      <c r="AU1440" s="113"/>
      <c r="AV1440" s="113"/>
      <c r="AW1440" s="113"/>
      <c r="AX1440" s="46">
        <v>0</v>
      </c>
      <c r="AY1440" s="113"/>
      <c r="AZ1440" s="113"/>
      <c r="BA1440" s="113"/>
      <c r="BB1440" s="113"/>
      <c r="BC1440" s="113"/>
      <c r="BD1440" s="46">
        <v>0</v>
      </c>
      <c r="BE1440" s="113"/>
      <c r="BF1440" s="113"/>
      <c r="BG1440" s="113"/>
      <c r="BH1440" s="113"/>
      <c r="BI1440" s="113"/>
      <c r="BJ1440" s="46">
        <v>0</v>
      </c>
      <c r="BK1440" s="113"/>
      <c r="BL1440" s="113"/>
      <c r="BM1440" s="113"/>
      <c r="BN1440" s="113"/>
      <c r="BO1440" s="113"/>
      <c r="BP1440" s="121"/>
      <c r="BQ1440" s="121"/>
      <c r="GA1440" t="s">
        <v>18300</v>
      </c>
      <c r="GB1440" t="s">
        <v>16509</v>
      </c>
      <c r="GC1440" s="46">
        <v>0</v>
      </c>
      <c r="GD1440" s="113"/>
      <c r="GE1440" s="113"/>
      <c r="GF1440" s="113"/>
      <c r="GG1440" s="113"/>
      <c r="GH1440" s="113"/>
      <c r="GI1440" s="46">
        <v>0</v>
      </c>
      <c r="GJ1440" s="113"/>
      <c r="GK1440" s="113"/>
      <c r="GL1440" s="113"/>
      <c r="GM1440" s="113"/>
      <c r="GN1440" s="113"/>
      <c r="GO1440" s="46">
        <v>0</v>
      </c>
      <c r="GP1440" s="113"/>
      <c r="GQ1440" s="113"/>
      <c r="GR1440" s="113"/>
      <c r="GS1440" s="113"/>
      <c r="GT1440" s="113"/>
      <c r="GU1440" s="46">
        <v>0</v>
      </c>
      <c r="GV1440" s="113"/>
      <c r="GW1440" s="113"/>
      <c r="GX1440" s="113"/>
      <c r="GY1440" s="113"/>
      <c r="GZ1440" s="113"/>
      <c r="HA1440" s="46">
        <v>0</v>
      </c>
      <c r="HB1440" s="113"/>
      <c r="HC1440" s="113"/>
      <c r="HD1440" s="113"/>
      <c r="HE1440" s="113"/>
      <c r="HF1440" s="113"/>
      <c r="HG1440" s="46">
        <v>0</v>
      </c>
      <c r="HH1440" s="113"/>
      <c r="HI1440" s="113"/>
      <c r="HJ1440" s="113"/>
      <c r="HK1440" s="113"/>
      <c r="HL1440" s="113"/>
      <c r="HM1440" s="121"/>
      <c r="HN1440" s="121"/>
      <c r="LM1440" t="str">
        <v/>
      </c>
      <c r="LN1440" t="str">
        <v/>
      </c>
      <c r="LO1440" t="str">
        <v/>
      </c>
    </row>
    <row r="1441" spans="30:327">
      <c r="AD1441" t="s">
        <v>18300</v>
      </c>
      <c r="AE1441" t="s">
        <v>16510</v>
      </c>
      <c r="AF1441" s="46">
        <v>0</v>
      </c>
      <c r="AG1441" s="113"/>
      <c r="AH1441" s="113"/>
      <c r="AI1441" s="113"/>
      <c r="AJ1441" s="113"/>
      <c r="AK1441" s="113"/>
      <c r="AL1441" s="46">
        <v>0</v>
      </c>
      <c r="AM1441" s="113"/>
      <c r="AN1441" s="113"/>
      <c r="AO1441" s="113"/>
      <c r="AP1441" s="113"/>
      <c r="AQ1441" s="113"/>
      <c r="AR1441" s="46">
        <v>0</v>
      </c>
      <c r="AS1441" s="113"/>
      <c r="AT1441" s="113"/>
      <c r="AU1441" s="113"/>
      <c r="AV1441" s="113"/>
      <c r="AW1441" s="113"/>
      <c r="AX1441" s="46">
        <v>0</v>
      </c>
      <c r="AY1441" s="113"/>
      <c r="AZ1441" s="113"/>
      <c r="BA1441" s="113"/>
      <c r="BB1441" s="113"/>
      <c r="BC1441" s="113"/>
      <c r="BD1441" s="46">
        <v>0</v>
      </c>
      <c r="BE1441" s="113"/>
      <c r="BF1441" s="113"/>
      <c r="BG1441" s="113"/>
      <c r="BH1441" s="113"/>
      <c r="BI1441" s="113"/>
      <c r="BJ1441" s="46">
        <v>0</v>
      </c>
      <c r="BK1441" s="113"/>
      <c r="BL1441" s="113"/>
      <c r="BM1441" s="113"/>
      <c r="BN1441" s="113"/>
      <c r="BO1441" s="113"/>
      <c r="BP1441" s="121"/>
      <c r="BQ1441" s="121"/>
      <c r="GA1441" t="s">
        <v>18300</v>
      </c>
      <c r="GB1441" t="s">
        <v>16510</v>
      </c>
      <c r="GC1441" s="46">
        <v>0</v>
      </c>
      <c r="GD1441" s="113"/>
      <c r="GE1441" s="113"/>
      <c r="GF1441" s="113"/>
      <c r="GG1441" s="113"/>
      <c r="GH1441" s="113"/>
      <c r="GI1441" s="46">
        <v>0</v>
      </c>
      <c r="GJ1441" s="113"/>
      <c r="GK1441" s="113"/>
      <c r="GL1441" s="113"/>
      <c r="GM1441" s="113"/>
      <c r="GN1441" s="113"/>
      <c r="GO1441" s="46">
        <v>0</v>
      </c>
      <c r="GP1441" s="113"/>
      <c r="GQ1441" s="113"/>
      <c r="GR1441" s="113"/>
      <c r="GS1441" s="113"/>
      <c r="GT1441" s="113"/>
      <c r="GU1441" s="46">
        <v>0</v>
      </c>
      <c r="GV1441" s="113"/>
      <c r="GW1441" s="113"/>
      <c r="GX1441" s="113"/>
      <c r="GY1441" s="113"/>
      <c r="GZ1441" s="113"/>
      <c r="HA1441" s="46">
        <v>0</v>
      </c>
      <c r="HB1441" s="113"/>
      <c r="HC1441" s="113"/>
      <c r="HD1441" s="113"/>
      <c r="HE1441" s="113"/>
      <c r="HF1441" s="113"/>
      <c r="HG1441" s="46">
        <v>0</v>
      </c>
      <c r="HH1441" s="113"/>
      <c r="HI1441" s="113"/>
      <c r="HJ1441" s="113"/>
      <c r="HK1441" s="113"/>
      <c r="HL1441" s="113"/>
      <c r="HM1441" s="121"/>
      <c r="HN1441" s="121"/>
      <c r="LM1441" t="str">
        <v/>
      </c>
      <c r="LN1441" t="str">
        <v/>
      </c>
      <c r="LO1441" t="str">
        <v/>
      </c>
    </row>
    <row r="1442" spans="30:327">
      <c r="AD1442" t="s">
        <v>18300</v>
      </c>
      <c r="AE1442" t="s">
        <v>22881</v>
      </c>
      <c r="AF1442" s="46">
        <v>0</v>
      </c>
      <c r="AG1442" s="113"/>
      <c r="AH1442" s="113"/>
      <c r="AI1442" s="113"/>
      <c r="AJ1442" s="113"/>
      <c r="AK1442" s="113"/>
      <c r="AL1442" s="46">
        <v>0</v>
      </c>
      <c r="AM1442" s="113"/>
      <c r="AN1442" s="113"/>
      <c r="AO1442" s="113"/>
      <c r="AP1442" s="113"/>
      <c r="AQ1442" s="113"/>
      <c r="AR1442" s="46">
        <v>0</v>
      </c>
      <c r="AS1442" s="113"/>
      <c r="AT1442" s="113"/>
      <c r="AU1442" s="113"/>
      <c r="AV1442" s="113"/>
      <c r="AW1442" s="113"/>
      <c r="AX1442" s="46">
        <v>0</v>
      </c>
      <c r="AY1442" s="113"/>
      <c r="AZ1442" s="113"/>
      <c r="BA1442" s="113"/>
      <c r="BB1442" s="113"/>
      <c r="BC1442" s="113"/>
      <c r="BD1442" s="46">
        <v>0</v>
      </c>
      <c r="BE1442" s="113"/>
      <c r="BF1442" s="113"/>
      <c r="BG1442" s="113"/>
      <c r="BH1442" s="113"/>
      <c r="BI1442" s="113"/>
      <c r="BJ1442" s="46">
        <v>0</v>
      </c>
      <c r="BK1442" s="113"/>
      <c r="BL1442" s="113"/>
      <c r="BM1442" s="113"/>
      <c r="BN1442" s="113"/>
      <c r="BO1442" s="113"/>
      <c r="BP1442" s="121"/>
      <c r="BQ1442" s="121"/>
      <c r="GA1442" t="s">
        <v>18300</v>
      </c>
      <c r="GB1442" t="s">
        <v>22881</v>
      </c>
      <c r="GC1442" s="46">
        <v>0</v>
      </c>
      <c r="GD1442" s="113"/>
      <c r="GE1442" s="113"/>
      <c r="GF1442" s="113"/>
      <c r="GG1442" s="113"/>
      <c r="GH1442" s="113"/>
      <c r="GI1442" s="46">
        <v>0</v>
      </c>
      <c r="GJ1442" s="113"/>
      <c r="GK1442" s="113"/>
      <c r="GL1442" s="113"/>
      <c r="GM1442" s="113"/>
      <c r="GN1442" s="113"/>
      <c r="GO1442" s="46">
        <v>0</v>
      </c>
      <c r="GP1442" s="113"/>
      <c r="GQ1442" s="113"/>
      <c r="GR1442" s="113"/>
      <c r="GS1442" s="113"/>
      <c r="GT1442" s="113"/>
      <c r="GU1442" s="46">
        <v>0</v>
      </c>
      <c r="GV1442" s="113"/>
      <c r="GW1442" s="113"/>
      <c r="GX1442" s="113"/>
      <c r="GY1442" s="113"/>
      <c r="GZ1442" s="113"/>
      <c r="HA1442" s="46">
        <v>0</v>
      </c>
      <c r="HB1442" s="113"/>
      <c r="HC1442" s="113"/>
      <c r="HD1442" s="113"/>
      <c r="HE1442" s="113"/>
      <c r="HF1442" s="113"/>
      <c r="HG1442" s="46">
        <v>0</v>
      </c>
      <c r="HH1442" s="113"/>
      <c r="HI1442" s="113"/>
      <c r="HJ1442" s="113"/>
      <c r="HK1442" s="113"/>
      <c r="HL1442" s="113"/>
      <c r="HM1442" s="121"/>
      <c r="HN1442" s="121"/>
      <c r="LM1442" t="str">
        <v/>
      </c>
      <c r="LN1442" t="str">
        <v/>
      </c>
      <c r="LO1442" t="str">
        <v/>
      </c>
    </row>
    <row r="1443" spans="30:327">
      <c r="AD1443" t="s">
        <v>18300</v>
      </c>
      <c r="AE1443" t="s">
        <v>22882</v>
      </c>
      <c r="AF1443" s="46">
        <v>0</v>
      </c>
      <c r="AG1443" s="113"/>
      <c r="AH1443" s="113"/>
      <c r="AI1443" s="113"/>
      <c r="AJ1443" s="113"/>
      <c r="AK1443" s="113"/>
      <c r="AL1443" s="46">
        <v>0</v>
      </c>
      <c r="AM1443" s="113"/>
      <c r="AN1443" s="113"/>
      <c r="AO1443" s="113"/>
      <c r="AP1443" s="113"/>
      <c r="AQ1443" s="113"/>
      <c r="AR1443" s="46">
        <v>0</v>
      </c>
      <c r="AS1443" s="113"/>
      <c r="AT1443" s="113"/>
      <c r="AU1443" s="113"/>
      <c r="AV1443" s="113"/>
      <c r="AW1443" s="113"/>
      <c r="AX1443" s="46">
        <v>0</v>
      </c>
      <c r="AY1443" s="113"/>
      <c r="AZ1443" s="113"/>
      <c r="BA1443" s="113"/>
      <c r="BB1443" s="113"/>
      <c r="BC1443" s="113"/>
      <c r="BD1443" s="46">
        <v>0</v>
      </c>
      <c r="BE1443" s="113"/>
      <c r="BF1443" s="113"/>
      <c r="BG1443" s="113"/>
      <c r="BH1443" s="113"/>
      <c r="BI1443" s="113"/>
      <c r="BJ1443" s="46">
        <v>0</v>
      </c>
      <c r="BK1443" s="113"/>
      <c r="BL1443" s="113"/>
      <c r="BM1443" s="113"/>
      <c r="BN1443" s="113"/>
      <c r="BO1443" s="113"/>
      <c r="BP1443" s="121"/>
      <c r="BQ1443" s="121"/>
      <c r="GA1443" t="s">
        <v>18300</v>
      </c>
      <c r="GB1443" t="s">
        <v>22882</v>
      </c>
      <c r="GC1443" s="46">
        <v>0</v>
      </c>
      <c r="GD1443" s="113"/>
      <c r="GE1443" s="113"/>
      <c r="GF1443" s="113"/>
      <c r="GG1443" s="113"/>
      <c r="GH1443" s="113"/>
      <c r="GI1443" s="46">
        <v>0</v>
      </c>
      <c r="GJ1443" s="113"/>
      <c r="GK1443" s="113"/>
      <c r="GL1443" s="113"/>
      <c r="GM1443" s="113"/>
      <c r="GN1443" s="113"/>
      <c r="GO1443" s="46">
        <v>0</v>
      </c>
      <c r="GP1443" s="113"/>
      <c r="GQ1443" s="113"/>
      <c r="GR1443" s="113"/>
      <c r="GS1443" s="113"/>
      <c r="GT1443" s="113"/>
      <c r="GU1443" s="46">
        <v>0</v>
      </c>
      <c r="GV1443" s="113"/>
      <c r="GW1443" s="113"/>
      <c r="GX1443" s="113"/>
      <c r="GY1443" s="113"/>
      <c r="GZ1443" s="113"/>
      <c r="HA1443" s="46">
        <v>0</v>
      </c>
      <c r="HB1443" s="113"/>
      <c r="HC1443" s="113"/>
      <c r="HD1443" s="113"/>
      <c r="HE1443" s="113"/>
      <c r="HF1443" s="113"/>
      <c r="HG1443" s="46">
        <v>0</v>
      </c>
      <c r="HH1443" s="113"/>
      <c r="HI1443" s="113"/>
      <c r="HJ1443" s="113"/>
      <c r="HK1443" s="113"/>
      <c r="HL1443" s="113"/>
      <c r="HM1443" s="121"/>
      <c r="HN1443" s="121"/>
      <c r="LM1443" t="str">
        <v/>
      </c>
      <c r="LN1443" t="str">
        <v/>
      </c>
      <c r="LO1443" t="str">
        <v/>
      </c>
    </row>
    <row r="1444" spans="30:327">
      <c r="AD1444" t="s">
        <v>18300</v>
      </c>
      <c r="AE1444" t="s">
        <v>22883</v>
      </c>
      <c r="AF1444" s="46">
        <v>0</v>
      </c>
      <c r="AG1444" s="113"/>
      <c r="AH1444" s="113"/>
      <c r="AI1444" s="113"/>
      <c r="AJ1444" s="113"/>
      <c r="AK1444" s="113"/>
      <c r="AL1444" s="46">
        <v>0</v>
      </c>
      <c r="AM1444" s="113"/>
      <c r="AN1444" s="113"/>
      <c r="AO1444" s="113"/>
      <c r="AP1444" s="113"/>
      <c r="AQ1444" s="113"/>
      <c r="AR1444" s="46">
        <v>0</v>
      </c>
      <c r="AS1444" s="113"/>
      <c r="AT1444" s="113"/>
      <c r="AU1444" s="113"/>
      <c r="AV1444" s="113"/>
      <c r="AW1444" s="113"/>
      <c r="AX1444" s="46">
        <v>0</v>
      </c>
      <c r="AY1444" s="113"/>
      <c r="AZ1444" s="113"/>
      <c r="BA1444" s="113"/>
      <c r="BB1444" s="113"/>
      <c r="BC1444" s="113"/>
      <c r="BD1444" s="46">
        <v>0</v>
      </c>
      <c r="BE1444" s="113"/>
      <c r="BF1444" s="113"/>
      <c r="BG1444" s="113"/>
      <c r="BH1444" s="113"/>
      <c r="BI1444" s="113"/>
      <c r="BJ1444" s="46">
        <v>0</v>
      </c>
      <c r="BK1444" s="113"/>
      <c r="BL1444" s="113"/>
      <c r="BM1444" s="113"/>
      <c r="BN1444" s="113"/>
      <c r="BO1444" s="113"/>
      <c r="BP1444" s="121"/>
      <c r="BQ1444" s="121"/>
      <c r="GA1444" t="s">
        <v>18300</v>
      </c>
      <c r="GB1444" t="s">
        <v>22883</v>
      </c>
      <c r="GC1444" s="46">
        <v>0</v>
      </c>
      <c r="GD1444" s="113"/>
      <c r="GE1444" s="113"/>
      <c r="GF1444" s="113"/>
      <c r="GG1444" s="113"/>
      <c r="GH1444" s="113"/>
      <c r="GI1444" s="46">
        <v>0</v>
      </c>
      <c r="GJ1444" s="113"/>
      <c r="GK1444" s="113"/>
      <c r="GL1444" s="113"/>
      <c r="GM1444" s="113"/>
      <c r="GN1444" s="113"/>
      <c r="GO1444" s="46">
        <v>0</v>
      </c>
      <c r="GP1444" s="113"/>
      <c r="GQ1444" s="113"/>
      <c r="GR1444" s="113"/>
      <c r="GS1444" s="113"/>
      <c r="GT1444" s="113"/>
      <c r="GU1444" s="46">
        <v>0</v>
      </c>
      <c r="GV1444" s="113"/>
      <c r="GW1444" s="113"/>
      <c r="GX1444" s="113"/>
      <c r="GY1444" s="113"/>
      <c r="GZ1444" s="113"/>
      <c r="HA1444" s="46">
        <v>0</v>
      </c>
      <c r="HB1444" s="113"/>
      <c r="HC1444" s="113"/>
      <c r="HD1444" s="113"/>
      <c r="HE1444" s="113"/>
      <c r="HF1444" s="113"/>
      <c r="HG1444" s="46">
        <v>0</v>
      </c>
      <c r="HH1444" s="113"/>
      <c r="HI1444" s="113"/>
      <c r="HJ1444" s="113"/>
      <c r="HK1444" s="113"/>
      <c r="HL1444" s="113"/>
      <c r="HM1444" s="121"/>
      <c r="HN1444" s="121"/>
      <c r="LM1444" t="str">
        <v/>
      </c>
      <c r="LN1444" t="str">
        <v/>
      </c>
      <c r="LO1444" t="str">
        <v/>
      </c>
    </row>
    <row r="1445" spans="30:327">
      <c r="AD1445" t="s">
        <v>18300</v>
      </c>
      <c r="AE1445" t="s">
        <v>22884</v>
      </c>
      <c r="AF1445" s="46">
        <v>0</v>
      </c>
      <c r="AG1445" s="113"/>
      <c r="AH1445" s="113"/>
      <c r="AI1445" s="113"/>
      <c r="AJ1445" s="113"/>
      <c r="AK1445" s="113"/>
      <c r="AL1445" s="46">
        <v>0</v>
      </c>
      <c r="AM1445" s="113"/>
      <c r="AN1445" s="113"/>
      <c r="AO1445" s="113"/>
      <c r="AP1445" s="113"/>
      <c r="AQ1445" s="113"/>
      <c r="AR1445" s="46">
        <v>0</v>
      </c>
      <c r="AS1445" s="113"/>
      <c r="AT1445" s="113"/>
      <c r="AU1445" s="113"/>
      <c r="AV1445" s="113"/>
      <c r="AW1445" s="113"/>
      <c r="AX1445" s="46">
        <v>0</v>
      </c>
      <c r="AY1445" s="113"/>
      <c r="AZ1445" s="113"/>
      <c r="BA1445" s="113"/>
      <c r="BB1445" s="113"/>
      <c r="BC1445" s="113"/>
      <c r="BD1445" s="46">
        <v>0</v>
      </c>
      <c r="BE1445" s="113"/>
      <c r="BF1445" s="113"/>
      <c r="BG1445" s="113"/>
      <c r="BH1445" s="113"/>
      <c r="BI1445" s="113"/>
      <c r="BJ1445" s="46">
        <v>0</v>
      </c>
      <c r="BK1445" s="113"/>
      <c r="BL1445" s="113"/>
      <c r="BM1445" s="113"/>
      <c r="BN1445" s="113"/>
      <c r="BO1445" s="113"/>
      <c r="BP1445" s="121"/>
      <c r="BQ1445" s="121"/>
      <c r="GA1445" t="s">
        <v>18300</v>
      </c>
      <c r="GB1445" t="s">
        <v>22884</v>
      </c>
      <c r="GC1445" s="46">
        <v>0</v>
      </c>
      <c r="GD1445" s="113"/>
      <c r="GE1445" s="113"/>
      <c r="GF1445" s="113"/>
      <c r="GG1445" s="113"/>
      <c r="GH1445" s="113"/>
      <c r="GI1445" s="46">
        <v>0</v>
      </c>
      <c r="GJ1445" s="113"/>
      <c r="GK1445" s="113"/>
      <c r="GL1445" s="113"/>
      <c r="GM1445" s="113"/>
      <c r="GN1445" s="113"/>
      <c r="GO1445" s="46">
        <v>0</v>
      </c>
      <c r="GP1445" s="113"/>
      <c r="GQ1445" s="113"/>
      <c r="GR1445" s="113"/>
      <c r="GS1445" s="113"/>
      <c r="GT1445" s="113"/>
      <c r="GU1445" s="46">
        <v>0</v>
      </c>
      <c r="GV1445" s="113"/>
      <c r="GW1445" s="113"/>
      <c r="GX1445" s="113"/>
      <c r="GY1445" s="113"/>
      <c r="GZ1445" s="113"/>
      <c r="HA1445" s="46">
        <v>0</v>
      </c>
      <c r="HB1445" s="113"/>
      <c r="HC1445" s="113"/>
      <c r="HD1445" s="113"/>
      <c r="HE1445" s="113"/>
      <c r="HF1445" s="113"/>
      <c r="HG1445" s="46">
        <v>0</v>
      </c>
      <c r="HH1445" s="113"/>
      <c r="HI1445" s="113"/>
      <c r="HJ1445" s="113"/>
      <c r="HK1445" s="113"/>
      <c r="HL1445" s="113"/>
      <c r="HM1445" s="121"/>
      <c r="HN1445" s="121"/>
      <c r="LM1445" t="str">
        <v/>
      </c>
      <c r="LN1445" t="str">
        <v/>
      </c>
      <c r="LO1445" t="str">
        <v/>
      </c>
    </row>
    <row r="1446" spans="30:327">
      <c r="AD1446" t="s">
        <v>18300</v>
      </c>
      <c r="AE1446" t="s">
        <v>22885</v>
      </c>
      <c r="AF1446" s="46">
        <v>0</v>
      </c>
      <c r="AG1446" s="113"/>
      <c r="AH1446" s="113"/>
      <c r="AI1446" s="113"/>
      <c r="AJ1446" s="113"/>
      <c r="AK1446" s="113"/>
      <c r="AL1446" s="46">
        <v>0</v>
      </c>
      <c r="AM1446" s="113"/>
      <c r="AN1446" s="113"/>
      <c r="AO1446" s="113"/>
      <c r="AP1446" s="113"/>
      <c r="AQ1446" s="113"/>
      <c r="AR1446" s="46">
        <v>0</v>
      </c>
      <c r="AS1446" s="113"/>
      <c r="AT1446" s="113"/>
      <c r="AU1446" s="113"/>
      <c r="AV1446" s="113"/>
      <c r="AW1446" s="113"/>
      <c r="AX1446" s="46">
        <v>0</v>
      </c>
      <c r="AY1446" s="113"/>
      <c r="AZ1446" s="113"/>
      <c r="BA1446" s="113"/>
      <c r="BB1446" s="113"/>
      <c r="BC1446" s="113"/>
      <c r="BD1446" s="46">
        <v>0</v>
      </c>
      <c r="BE1446" s="113"/>
      <c r="BF1446" s="113"/>
      <c r="BG1446" s="113"/>
      <c r="BH1446" s="113"/>
      <c r="BI1446" s="113"/>
      <c r="BJ1446" s="46">
        <v>0</v>
      </c>
      <c r="BK1446" s="113"/>
      <c r="BL1446" s="113"/>
      <c r="BM1446" s="113"/>
      <c r="BN1446" s="113"/>
      <c r="BO1446" s="113"/>
      <c r="BP1446" s="121"/>
      <c r="BQ1446" s="121"/>
      <c r="GA1446" t="s">
        <v>18300</v>
      </c>
      <c r="GB1446" t="s">
        <v>22885</v>
      </c>
      <c r="GC1446" s="46">
        <v>0</v>
      </c>
      <c r="GD1446" s="113"/>
      <c r="GE1446" s="113"/>
      <c r="GF1446" s="113"/>
      <c r="GG1446" s="113"/>
      <c r="GH1446" s="113"/>
      <c r="GI1446" s="46">
        <v>0</v>
      </c>
      <c r="GJ1446" s="113"/>
      <c r="GK1446" s="113"/>
      <c r="GL1446" s="113"/>
      <c r="GM1446" s="113"/>
      <c r="GN1446" s="113"/>
      <c r="GO1446" s="46">
        <v>0</v>
      </c>
      <c r="GP1446" s="113"/>
      <c r="GQ1446" s="113"/>
      <c r="GR1446" s="113"/>
      <c r="GS1446" s="113"/>
      <c r="GT1446" s="113"/>
      <c r="GU1446" s="46">
        <v>0</v>
      </c>
      <c r="GV1446" s="113"/>
      <c r="GW1446" s="113"/>
      <c r="GX1446" s="113"/>
      <c r="GY1446" s="113"/>
      <c r="GZ1446" s="113"/>
      <c r="HA1446" s="46">
        <v>0</v>
      </c>
      <c r="HB1446" s="113"/>
      <c r="HC1446" s="113"/>
      <c r="HD1446" s="113"/>
      <c r="HE1446" s="113"/>
      <c r="HF1446" s="113"/>
      <c r="HG1446" s="46">
        <v>0</v>
      </c>
      <c r="HH1446" s="113"/>
      <c r="HI1446" s="113"/>
      <c r="HJ1446" s="113"/>
      <c r="HK1446" s="113"/>
      <c r="HL1446" s="113"/>
      <c r="HM1446" s="121"/>
      <c r="HN1446" s="121"/>
      <c r="LM1446" t="str">
        <v/>
      </c>
      <c r="LN1446" t="str">
        <v/>
      </c>
      <c r="LO1446" t="str">
        <v/>
      </c>
    </row>
    <row r="1447" spans="30:327">
      <c r="AD1447" t="s">
        <v>18300</v>
      </c>
      <c r="AE1447" t="s">
        <v>22886</v>
      </c>
      <c r="AF1447" s="46">
        <v>0</v>
      </c>
      <c r="AG1447" s="113"/>
      <c r="AH1447" s="113"/>
      <c r="AI1447" s="113"/>
      <c r="AJ1447" s="113"/>
      <c r="AK1447" s="113"/>
      <c r="AL1447" s="46">
        <v>0</v>
      </c>
      <c r="AM1447" s="113"/>
      <c r="AN1447" s="113"/>
      <c r="AO1447" s="113"/>
      <c r="AP1447" s="113"/>
      <c r="AQ1447" s="113"/>
      <c r="AR1447" s="46">
        <v>0</v>
      </c>
      <c r="AS1447" s="113"/>
      <c r="AT1447" s="113"/>
      <c r="AU1447" s="113"/>
      <c r="AV1447" s="113"/>
      <c r="AW1447" s="113"/>
      <c r="AX1447" s="46">
        <v>0</v>
      </c>
      <c r="AY1447" s="113"/>
      <c r="AZ1447" s="113"/>
      <c r="BA1447" s="113"/>
      <c r="BB1447" s="113"/>
      <c r="BC1447" s="113"/>
      <c r="BD1447" s="46">
        <v>0</v>
      </c>
      <c r="BE1447" s="113"/>
      <c r="BF1447" s="113"/>
      <c r="BG1447" s="113"/>
      <c r="BH1447" s="113"/>
      <c r="BI1447" s="113"/>
      <c r="BJ1447" s="46">
        <v>0</v>
      </c>
      <c r="BK1447" s="113"/>
      <c r="BL1447" s="113"/>
      <c r="BM1447" s="113"/>
      <c r="BN1447" s="113"/>
      <c r="BO1447" s="113"/>
      <c r="BP1447" s="121"/>
      <c r="BQ1447" s="121"/>
      <c r="GA1447" t="s">
        <v>18300</v>
      </c>
      <c r="GB1447" t="s">
        <v>22886</v>
      </c>
      <c r="GC1447" s="46">
        <v>0</v>
      </c>
      <c r="GD1447" s="113"/>
      <c r="GE1447" s="113"/>
      <c r="GF1447" s="113"/>
      <c r="GG1447" s="113"/>
      <c r="GH1447" s="113"/>
      <c r="GI1447" s="46">
        <v>0</v>
      </c>
      <c r="GJ1447" s="113"/>
      <c r="GK1447" s="113"/>
      <c r="GL1447" s="113"/>
      <c r="GM1447" s="113"/>
      <c r="GN1447" s="113"/>
      <c r="GO1447" s="46">
        <v>0</v>
      </c>
      <c r="GP1447" s="113"/>
      <c r="GQ1447" s="113"/>
      <c r="GR1447" s="113"/>
      <c r="GS1447" s="113"/>
      <c r="GT1447" s="113"/>
      <c r="GU1447" s="46">
        <v>0</v>
      </c>
      <c r="GV1447" s="113"/>
      <c r="GW1447" s="113"/>
      <c r="GX1447" s="113"/>
      <c r="GY1447" s="113"/>
      <c r="GZ1447" s="113"/>
      <c r="HA1447" s="46">
        <v>0</v>
      </c>
      <c r="HB1447" s="113"/>
      <c r="HC1447" s="113"/>
      <c r="HD1447" s="113"/>
      <c r="HE1447" s="113"/>
      <c r="HF1447" s="113"/>
      <c r="HG1447" s="46">
        <v>0</v>
      </c>
      <c r="HH1447" s="113"/>
      <c r="HI1447" s="113"/>
      <c r="HJ1447" s="113"/>
      <c r="HK1447" s="113"/>
      <c r="HL1447" s="113"/>
      <c r="HM1447" s="121"/>
      <c r="HN1447" s="121"/>
      <c r="LM1447" t="str">
        <v/>
      </c>
      <c r="LN1447" t="str">
        <v/>
      </c>
      <c r="LO1447" t="str">
        <v/>
      </c>
    </row>
    <row r="1448" spans="30:327">
      <c r="AD1448" t="s">
        <v>18300</v>
      </c>
      <c r="AE1448" t="s">
        <v>22887</v>
      </c>
      <c r="AF1448" s="46">
        <v>0</v>
      </c>
      <c r="AG1448" s="113"/>
      <c r="AH1448" s="113"/>
      <c r="AI1448" s="113"/>
      <c r="AJ1448" s="113"/>
      <c r="AK1448" s="113"/>
      <c r="AL1448" s="46">
        <v>0</v>
      </c>
      <c r="AM1448" s="113"/>
      <c r="AN1448" s="113"/>
      <c r="AO1448" s="113"/>
      <c r="AP1448" s="113"/>
      <c r="AQ1448" s="113"/>
      <c r="AR1448" s="46">
        <v>0</v>
      </c>
      <c r="AS1448" s="113"/>
      <c r="AT1448" s="113"/>
      <c r="AU1448" s="113"/>
      <c r="AV1448" s="113"/>
      <c r="AW1448" s="113"/>
      <c r="AX1448" s="46">
        <v>0</v>
      </c>
      <c r="AY1448" s="113"/>
      <c r="AZ1448" s="113"/>
      <c r="BA1448" s="113"/>
      <c r="BB1448" s="113"/>
      <c r="BC1448" s="113"/>
      <c r="BD1448" s="46">
        <v>0</v>
      </c>
      <c r="BE1448" s="113"/>
      <c r="BF1448" s="113"/>
      <c r="BG1448" s="113"/>
      <c r="BH1448" s="113"/>
      <c r="BI1448" s="113"/>
      <c r="BJ1448" s="46">
        <v>0</v>
      </c>
      <c r="BK1448" s="113"/>
      <c r="BL1448" s="113"/>
      <c r="BM1448" s="113"/>
      <c r="BN1448" s="113"/>
      <c r="BO1448" s="113"/>
      <c r="BP1448" s="121"/>
      <c r="BQ1448" s="121"/>
      <c r="GA1448" t="s">
        <v>18300</v>
      </c>
      <c r="GB1448" t="s">
        <v>22887</v>
      </c>
      <c r="GC1448" s="46">
        <v>0</v>
      </c>
      <c r="GD1448" s="113"/>
      <c r="GE1448" s="113"/>
      <c r="GF1448" s="113"/>
      <c r="GG1448" s="113"/>
      <c r="GH1448" s="113"/>
      <c r="GI1448" s="46">
        <v>0</v>
      </c>
      <c r="GJ1448" s="113"/>
      <c r="GK1448" s="113"/>
      <c r="GL1448" s="113"/>
      <c r="GM1448" s="113"/>
      <c r="GN1448" s="113"/>
      <c r="GO1448" s="46">
        <v>0</v>
      </c>
      <c r="GP1448" s="113"/>
      <c r="GQ1448" s="113"/>
      <c r="GR1448" s="113"/>
      <c r="GS1448" s="113"/>
      <c r="GT1448" s="113"/>
      <c r="GU1448" s="46">
        <v>0</v>
      </c>
      <c r="GV1448" s="113"/>
      <c r="GW1448" s="113"/>
      <c r="GX1448" s="113"/>
      <c r="GY1448" s="113"/>
      <c r="GZ1448" s="113"/>
      <c r="HA1448" s="46">
        <v>0</v>
      </c>
      <c r="HB1448" s="113"/>
      <c r="HC1448" s="113"/>
      <c r="HD1448" s="113"/>
      <c r="HE1448" s="113"/>
      <c r="HF1448" s="113"/>
      <c r="HG1448" s="46">
        <v>0</v>
      </c>
      <c r="HH1448" s="113"/>
      <c r="HI1448" s="113"/>
      <c r="HJ1448" s="113"/>
      <c r="HK1448" s="113"/>
      <c r="HL1448" s="113"/>
      <c r="HM1448" s="121"/>
      <c r="HN1448" s="121"/>
      <c r="LM1448" t="str">
        <v/>
      </c>
      <c r="LN1448" t="str">
        <v/>
      </c>
      <c r="LO1448" t="str">
        <v/>
      </c>
    </row>
    <row r="1449" spans="30:327">
      <c r="AD1449" t="s">
        <v>18300</v>
      </c>
      <c r="AE1449" t="s">
        <v>22888</v>
      </c>
      <c r="AF1449" s="46">
        <v>0</v>
      </c>
      <c r="AG1449" s="113"/>
      <c r="AH1449" s="113"/>
      <c r="AI1449" s="113"/>
      <c r="AJ1449" s="113"/>
      <c r="AK1449" s="113"/>
      <c r="AL1449" s="46">
        <v>0</v>
      </c>
      <c r="AM1449" s="113"/>
      <c r="AN1449" s="113"/>
      <c r="AO1449" s="113"/>
      <c r="AP1449" s="113"/>
      <c r="AQ1449" s="113"/>
      <c r="AR1449" s="46">
        <v>0</v>
      </c>
      <c r="AS1449" s="113"/>
      <c r="AT1449" s="113"/>
      <c r="AU1449" s="113"/>
      <c r="AV1449" s="113"/>
      <c r="AW1449" s="113"/>
      <c r="AX1449" s="46">
        <v>0</v>
      </c>
      <c r="AY1449" s="113"/>
      <c r="AZ1449" s="113"/>
      <c r="BA1449" s="113"/>
      <c r="BB1449" s="113"/>
      <c r="BC1449" s="113"/>
      <c r="BD1449" s="46">
        <v>0</v>
      </c>
      <c r="BE1449" s="113"/>
      <c r="BF1449" s="113"/>
      <c r="BG1449" s="113"/>
      <c r="BH1449" s="113"/>
      <c r="BI1449" s="113"/>
      <c r="BJ1449" s="46">
        <v>0</v>
      </c>
      <c r="BK1449" s="113"/>
      <c r="BL1449" s="113"/>
      <c r="BM1449" s="113"/>
      <c r="BN1449" s="113"/>
      <c r="BO1449" s="113"/>
      <c r="BP1449" s="121"/>
      <c r="BQ1449" s="121"/>
      <c r="GA1449" t="s">
        <v>18300</v>
      </c>
      <c r="GB1449" t="s">
        <v>22888</v>
      </c>
      <c r="GC1449" s="46">
        <v>0</v>
      </c>
      <c r="GD1449" s="113"/>
      <c r="GE1449" s="113"/>
      <c r="GF1449" s="113"/>
      <c r="GG1449" s="113"/>
      <c r="GH1449" s="113"/>
      <c r="GI1449" s="46">
        <v>0</v>
      </c>
      <c r="GJ1449" s="113"/>
      <c r="GK1449" s="113"/>
      <c r="GL1449" s="113"/>
      <c r="GM1449" s="113"/>
      <c r="GN1449" s="113"/>
      <c r="GO1449" s="46">
        <v>0</v>
      </c>
      <c r="GP1449" s="113"/>
      <c r="GQ1449" s="113"/>
      <c r="GR1449" s="113"/>
      <c r="GS1449" s="113"/>
      <c r="GT1449" s="113"/>
      <c r="GU1449" s="46">
        <v>0</v>
      </c>
      <c r="GV1449" s="113"/>
      <c r="GW1449" s="113"/>
      <c r="GX1449" s="113"/>
      <c r="GY1449" s="113"/>
      <c r="GZ1449" s="113"/>
      <c r="HA1449" s="46">
        <v>0</v>
      </c>
      <c r="HB1449" s="113"/>
      <c r="HC1449" s="113"/>
      <c r="HD1449" s="113"/>
      <c r="HE1449" s="113"/>
      <c r="HF1449" s="113"/>
      <c r="HG1449" s="46">
        <v>0</v>
      </c>
      <c r="HH1449" s="113"/>
      <c r="HI1449" s="113"/>
      <c r="HJ1449" s="113"/>
      <c r="HK1449" s="113"/>
      <c r="HL1449" s="113"/>
      <c r="HM1449" s="121"/>
      <c r="HN1449" s="121"/>
      <c r="LM1449" t="str">
        <v/>
      </c>
      <c r="LN1449" t="str">
        <v/>
      </c>
      <c r="LO1449" t="str">
        <v/>
      </c>
    </row>
    <row r="1450" spans="30:327">
      <c r="AD1450" t="s">
        <v>18300</v>
      </c>
      <c r="AE1450" t="s">
        <v>22889</v>
      </c>
      <c r="AF1450" s="46">
        <v>0</v>
      </c>
      <c r="AG1450" s="113"/>
      <c r="AH1450" s="113"/>
      <c r="AI1450" s="113"/>
      <c r="AJ1450" s="113"/>
      <c r="AK1450" s="113"/>
      <c r="AL1450" s="46">
        <v>0</v>
      </c>
      <c r="AM1450" s="113"/>
      <c r="AN1450" s="113"/>
      <c r="AO1450" s="113"/>
      <c r="AP1450" s="113"/>
      <c r="AQ1450" s="113"/>
      <c r="AR1450" s="46">
        <v>0</v>
      </c>
      <c r="AS1450" s="113"/>
      <c r="AT1450" s="113"/>
      <c r="AU1450" s="113"/>
      <c r="AV1450" s="113"/>
      <c r="AW1450" s="113"/>
      <c r="AX1450" s="46">
        <v>0</v>
      </c>
      <c r="AY1450" s="113"/>
      <c r="AZ1450" s="113"/>
      <c r="BA1450" s="113"/>
      <c r="BB1450" s="113"/>
      <c r="BC1450" s="113"/>
      <c r="BD1450" s="46">
        <v>0</v>
      </c>
      <c r="BE1450" s="113"/>
      <c r="BF1450" s="113"/>
      <c r="BG1450" s="113"/>
      <c r="BH1450" s="113"/>
      <c r="BI1450" s="113"/>
      <c r="BJ1450" s="46">
        <v>0</v>
      </c>
      <c r="BK1450" s="113"/>
      <c r="BL1450" s="113"/>
      <c r="BM1450" s="113"/>
      <c r="BN1450" s="113"/>
      <c r="BO1450" s="113"/>
      <c r="BP1450" s="121"/>
      <c r="BQ1450" s="121"/>
      <c r="GA1450" t="s">
        <v>18300</v>
      </c>
      <c r="GB1450" t="s">
        <v>22889</v>
      </c>
      <c r="GC1450" s="46">
        <v>0</v>
      </c>
      <c r="GD1450" s="113"/>
      <c r="GE1450" s="113"/>
      <c r="GF1450" s="113"/>
      <c r="GG1450" s="113"/>
      <c r="GH1450" s="113"/>
      <c r="GI1450" s="46">
        <v>0</v>
      </c>
      <c r="GJ1450" s="113"/>
      <c r="GK1450" s="113"/>
      <c r="GL1450" s="113"/>
      <c r="GM1450" s="113"/>
      <c r="GN1450" s="113"/>
      <c r="GO1450" s="46">
        <v>0</v>
      </c>
      <c r="GP1450" s="113"/>
      <c r="GQ1450" s="113"/>
      <c r="GR1450" s="113"/>
      <c r="GS1450" s="113"/>
      <c r="GT1450" s="113"/>
      <c r="GU1450" s="46">
        <v>0</v>
      </c>
      <c r="GV1450" s="113"/>
      <c r="GW1450" s="113"/>
      <c r="GX1450" s="113"/>
      <c r="GY1450" s="113"/>
      <c r="GZ1450" s="113"/>
      <c r="HA1450" s="46">
        <v>0</v>
      </c>
      <c r="HB1450" s="113"/>
      <c r="HC1450" s="113"/>
      <c r="HD1450" s="113"/>
      <c r="HE1450" s="113"/>
      <c r="HF1450" s="113"/>
      <c r="HG1450" s="46">
        <v>0</v>
      </c>
      <c r="HH1450" s="113"/>
      <c r="HI1450" s="113"/>
      <c r="HJ1450" s="113"/>
      <c r="HK1450" s="113"/>
      <c r="HL1450" s="113"/>
      <c r="HM1450" s="121"/>
      <c r="HN1450" s="121"/>
      <c r="LM1450" t="str">
        <v/>
      </c>
      <c r="LN1450" t="str">
        <v/>
      </c>
      <c r="LO1450" t="str">
        <v/>
      </c>
    </row>
    <row r="1451" spans="30:327">
      <c r="AD1451" t="s">
        <v>18300</v>
      </c>
      <c r="AE1451" t="s">
        <v>22890</v>
      </c>
      <c r="AF1451" s="46">
        <v>0</v>
      </c>
      <c r="AG1451" s="113"/>
      <c r="AH1451" s="113"/>
      <c r="AI1451" s="113"/>
      <c r="AJ1451" s="113"/>
      <c r="AK1451" s="113"/>
      <c r="AL1451" s="46">
        <v>0</v>
      </c>
      <c r="AM1451" s="113"/>
      <c r="AN1451" s="113"/>
      <c r="AO1451" s="113"/>
      <c r="AP1451" s="113"/>
      <c r="AQ1451" s="113"/>
      <c r="AR1451" s="46">
        <v>0</v>
      </c>
      <c r="AS1451" s="113"/>
      <c r="AT1451" s="113"/>
      <c r="AU1451" s="113"/>
      <c r="AV1451" s="113"/>
      <c r="AW1451" s="113"/>
      <c r="AX1451" s="46">
        <v>0</v>
      </c>
      <c r="AY1451" s="113"/>
      <c r="AZ1451" s="113"/>
      <c r="BA1451" s="113"/>
      <c r="BB1451" s="113"/>
      <c r="BC1451" s="113"/>
      <c r="BD1451" s="46">
        <v>0</v>
      </c>
      <c r="BE1451" s="113"/>
      <c r="BF1451" s="113"/>
      <c r="BG1451" s="113"/>
      <c r="BH1451" s="113"/>
      <c r="BI1451" s="113"/>
      <c r="BJ1451" s="46">
        <v>0</v>
      </c>
      <c r="BK1451" s="113"/>
      <c r="BL1451" s="113"/>
      <c r="BM1451" s="113"/>
      <c r="BN1451" s="113"/>
      <c r="BO1451" s="113"/>
      <c r="BP1451" s="121"/>
      <c r="BQ1451" s="121"/>
      <c r="GA1451" t="s">
        <v>18300</v>
      </c>
      <c r="GB1451" t="s">
        <v>22890</v>
      </c>
      <c r="GC1451" s="46">
        <v>0</v>
      </c>
      <c r="GD1451" s="113"/>
      <c r="GE1451" s="113"/>
      <c r="GF1451" s="113"/>
      <c r="GG1451" s="113"/>
      <c r="GH1451" s="113"/>
      <c r="GI1451" s="46">
        <v>0</v>
      </c>
      <c r="GJ1451" s="113"/>
      <c r="GK1451" s="113"/>
      <c r="GL1451" s="113"/>
      <c r="GM1451" s="113"/>
      <c r="GN1451" s="113"/>
      <c r="GO1451" s="46">
        <v>0</v>
      </c>
      <c r="GP1451" s="113"/>
      <c r="GQ1451" s="113"/>
      <c r="GR1451" s="113"/>
      <c r="GS1451" s="113"/>
      <c r="GT1451" s="113"/>
      <c r="GU1451" s="46">
        <v>0</v>
      </c>
      <c r="GV1451" s="113"/>
      <c r="GW1451" s="113"/>
      <c r="GX1451" s="113"/>
      <c r="GY1451" s="113"/>
      <c r="GZ1451" s="113"/>
      <c r="HA1451" s="46">
        <v>0</v>
      </c>
      <c r="HB1451" s="113"/>
      <c r="HC1451" s="113"/>
      <c r="HD1451" s="113"/>
      <c r="HE1451" s="113"/>
      <c r="HF1451" s="113"/>
      <c r="HG1451" s="46">
        <v>0</v>
      </c>
      <c r="HH1451" s="113"/>
      <c r="HI1451" s="113"/>
      <c r="HJ1451" s="113"/>
      <c r="HK1451" s="113"/>
      <c r="HL1451" s="113"/>
      <c r="HM1451" s="121"/>
      <c r="HN1451" s="121"/>
      <c r="LM1451" t="str">
        <v/>
      </c>
      <c r="LN1451" t="str">
        <v/>
      </c>
      <c r="LO1451" t="str">
        <v/>
      </c>
    </row>
    <row r="1452" spans="30:327">
      <c r="AD1452" t="s">
        <v>18300</v>
      </c>
      <c r="AE1452" t="s">
        <v>22891</v>
      </c>
      <c r="AF1452" s="46">
        <v>0</v>
      </c>
      <c r="AG1452" s="113"/>
      <c r="AH1452" s="113"/>
      <c r="AI1452" s="113"/>
      <c r="AJ1452" s="113"/>
      <c r="AK1452" s="113"/>
      <c r="AL1452" s="46">
        <v>0</v>
      </c>
      <c r="AM1452" s="113"/>
      <c r="AN1452" s="113"/>
      <c r="AO1452" s="113"/>
      <c r="AP1452" s="113"/>
      <c r="AQ1452" s="113"/>
      <c r="AR1452" s="46">
        <v>0</v>
      </c>
      <c r="AS1452" s="113"/>
      <c r="AT1452" s="113"/>
      <c r="AU1452" s="113"/>
      <c r="AV1452" s="113"/>
      <c r="AW1452" s="113"/>
      <c r="AX1452" s="46">
        <v>0</v>
      </c>
      <c r="AY1452" s="113"/>
      <c r="AZ1452" s="113"/>
      <c r="BA1452" s="113"/>
      <c r="BB1452" s="113"/>
      <c r="BC1452" s="113"/>
      <c r="BD1452" s="46">
        <v>0</v>
      </c>
      <c r="BE1452" s="113"/>
      <c r="BF1452" s="113"/>
      <c r="BG1452" s="113"/>
      <c r="BH1452" s="113"/>
      <c r="BI1452" s="113"/>
      <c r="BJ1452" s="46">
        <v>0</v>
      </c>
      <c r="BK1452" s="113"/>
      <c r="BL1452" s="113"/>
      <c r="BM1452" s="113"/>
      <c r="BN1452" s="113"/>
      <c r="BO1452" s="113"/>
      <c r="BP1452" s="121"/>
      <c r="BQ1452" s="121"/>
      <c r="GA1452" t="s">
        <v>18300</v>
      </c>
      <c r="GB1452" t="s">
        <v>22891</v>
      </c>
      <c r="GC1452" s="46">
        <v>0</v>
      </c>
      <c r="GD1452" s="113"/>
      <c r="GE1452" s="113"/>
      <c r="GF1452" s="113"/>
      <c r="GG1452" s="113"/>
      <c r="GH1452" s="113"/>
      <c r="GI1452" s="46">
        <v>0</v>
      </c>
      <c r="GJ1452" s="113"/>
      <c r="GK1452" s="113"/>
      <c r="GL1452" s="113"/>
      <c r="GM1452" s="113"/>
      <c r="GN1452" s="113"/>
      <c r="GO1452" s="46">
        <v>0</v>
      </c>
      <c r="GP1452" s="113"/>
      <c r="GQ1452" s="113"/>
      <c r="GR1452" s="113"/>
      <c r="GS1452" s="113"/>
      <c r="GT1452" s="113"/>
      <c r="GU1452" s="46">
        <v>0</v>
      </c>
      <c r="GV1452" s="113"/>
      <c r="GW1452" s="113"/>
      <c r="GX1452" s="113"/>
      <c r="GY1452" s="113"/>
      <c r="GZ1452" s="113"/>
      <c r="HA1452" s="46">
        <v>0</v>
      </c>
      <c r="HB1452" s="113"/>
      <c r="HC1452" s="113"/>
      <c r="HD1452" s="113"/>
      <c r="HE1452" s="113"/>
      <c r="HF1452" s="113"/>
      <c r="HG1452" s="46">
        <v>0</v>
      </c>
      <c r="HH1452" s="113"/>
      <c r="HI1452" s="113"/>
      <c r="HJ1452" s="113"/>
      <c r="HK1452" s="113"/>
      <c r="HL1452" s="113"/>
      <c r="HM1452" s="121"/>
      <c r="HN1452" s="121"/>
      <c r="LM1452" t="str">
        <v/>
      </c>
      <c r="LN1452" t="str">
        <v/>
      </c>
      <c r="LO1452" t="str">
        <v/>
      </c>
    </row>
    <row r="1453" spans="30:327">
      <c r="AD1453" t="s">
        <v>18300</v>
      </c>
      <c r="AE1453" t="s">
        <v>22892</v>
      </c>
      <c r="AF1453" s="46">
        <v>0</v>
      </c>
      <c r="AG1453" s="113"/>
      <c r="AH1453" s="113"/>
      <c r="AI1453" s="113"/>
      <c r="AJ1453" s="113"/>
      <c r="AK1453" s="113"/>
      <c r="AL1453" s="46">
        <v>0</v>
      </c>
      <c r="AM1453" s="113"/>
      <c r="AN1453" s="113"/>
      <c r="AO1453" s="113"/>
      <c r="AP1453" s="113"/>
      <c r="AQ1453" s="113"/>
      <c r="AR1453" s="46">
        <v>0</v>
      </c>
      <c r="AS1453" s="113"/>
      <c r="AT1453" s="113"/>
      <c r="AU1453" s="113"/>
      <c r="AV1453" s="113"/>
      <c r="AW1453" s="113"/>
      <c r="AX1453" s="46">
        <v>0</v>
      </c>
      <c r="AY1453" s="113"/>
      <c r="AZ1453" s="113"/>
      <c r="BA1453" s="113"/>
      <c r="BB1453" s="113"/>
      <c r="BC1453" s="113"/>
      <c r="BD1453" s="46">
        <v>0</v>
      </c>
      <c r="BE1453" s="113"/>
      <c r="BF1453" s="113"/>
      <c r="BG1453" s="113"/>
      <c r="BH1453" s="113"/>
      <c r="BI1453" s="113"/>
      <c r="BJ1453" s="46">
        <v>0</v>
      </c>
      <c r="BK1453" s="113"/>
      <c r="BL1453" s="113"/>
      <c r="BM1453" s="113"/>
      <c r="BN1453" s="113"/>
      <c r="BO1453" s="113"/>
      <c r="BP1453" s="121"/>
      <c r="BQ1453" s="121"/>
      <c r="GA1453" t="s">
        <v>18300</v>
      </c>
      <c r="GB1453" t="s">
        <v>22892</v>
      </c>
      <c r="GC1453" s="46">
        <v>0</v>
      </c>
      <c r="GD1453" s="113"/>
      <c r="GE1453" s="113"/>
      <c r="GF1453" s="113"/>
      <c r="GG1453" s="113"/>
      <c r="GH1453" s="113"/>
      <c r="GI1453" s="46">
        <v>0</v>
      </c>
      <c r="GJ1453" s="113"/>
      <c r="GK1453" s="113"/>
      <c r="GL1453" s="113"/>
      <c r="GM1453" s="113"/>
      <c r="GN1453" s="113"/>
      <c r="GO1453" s="46">
        <v>0</v>
      </c>
      <c r="GP1453" s="113"/>
      <c r="GQ1453" s="113"/>
      <c r="GR1453" s="113"/>
      <c r="GS1453" s="113"/>
      <c r="GT1453" s="113"/>
      <c r="GU1453" s="46">
        <v>0</v>
      </c>
      <c r="GV1453" s="113"/>
      <c r="GW1453" s="113"/>
      <c r="GX1453" s="113"/>
      <c r="GY1453" s="113"/>
      <c r="GZ1453" s="113"/>
      <c r="HA1453" s="46">
        <v>0</v>
      </c>
      <c r="HB1453" s="113"/>
      <c r="HC1453" s="113"/>
      <c r="HD1453" s="113"/>
      <c r="HE1453" s="113"/>
      <c r="HF1453" s="113"/>
      <c r="HG1453" s="46">
        <v>0</v>
      </c>
      <c r="HH1453" s="113"/>
      <c r="HI1453" s="113"/>
      <c r="HJ1453" s="113"/>
      <c r="HK1453" s="113"/>
      <c r="HL1453" s="113"/>
      <c r="HM1453" s="121"/>
      <c r="HN1453" s="121"/>
      <c r="LM1453" t="str">
        <v/>
      </c>
      <c r="LN1453" t="str">
        <v/>
      </c>
      <c r="LO1453" t="str">
        <v/>
      </c>
    </row>
    <row r="1454" spans="30:327">
      <c r="AD1454" t="s">
        <v>18300</v>
      </c>
      <c r="AE1454" t="s">
        <v>23177</v>
      </c>
      <c r="AF1454" s="46">
        <v>0</v>
      </c>
      <c r="AG1454" s="113"/>
      <c r="AH1454" s="113"/>
      <c r="AI1454" s="113"/>
      <c r="AJ1454" s="113"/>
      <c r="AK1454" s="113"/>
      <c r="AL1454" s="46">
        <v>0</v>
      </c>
      <c r="AM1454" s="113"/>
      <c r="AN1454" s="113"/>
      <c r="AO1454" s="113"/>
      <c r="AP1454" s="113"/>
      <c r="AQ1454" s="113"/>
      <c r="AR1454" s="46">
        <v>0</v>
      </c>
      <c r="AS1454" s="113"/>
      <c r="AT1454" s="113"/>
      <c r="AU1454" s="113"/>
      <c r="AV1454" s="113"/>
      <c r="AW1454" s="113"/>
      <c r="AX1454" s="46">
        <v>0</v>
      </c>
      <c r="AY1454" s="113"/>
      <c r="AZ1454" s="113"/>
      <c r="BA1454" s="113"/>
      <c r="BB1454" s="113"/>
      <c r="BC1454" s="113"/>
      <c r="BD1454" s="46">
        <v>0</v>
      </c>
      <c r="BE1454" s="113"/>
      <c r="BF1454" s="113"/>
      <c r="BG1454" s="113"/>
      <c r="BH1454" s="113"/>
      <c r="BI1454" s="113"/>
      <c r="BJ1454" s="46">
        <v>0</v>
      </c>
      <c r="BK1454" s="113"/>
      <c r="BL1454" s="113"/>
      <c r="BM1454" s="113"/>
      <c r="BN1454" s="113"/>
      <c r="BO1454" s="113"/>
      <c r="BP1454" s="121"/>
      <c r="BQ1454" s="121"/>
      <c r="GA1454" t="s">
        <v>18300</v>
      </c>
      <c r="GB1454" t="s">
        <v>23177</v>
      </c>
      <c r="GC1454" s="46">
        <v>0</v>
      </c>
      <c r="GD1454" s="113"/>
      <c r="GE1454" s="113"/>
      <c r="GF1454" s="113"/>
      <c r="GG1454" s="113"/>
      <c r="GH1454" s="113"/>
      <c r="GI1454" s="46">
        <v>0</v>
      </c>
      <c r="GJ1454" s="113"/>
      <c r="GK1454" s="113"/>
      <c r="GL1454" s="113"/>
      <c r="GM1454" s="113"/>
      <c r="GN1454" s="113"/>
      <c r="GO1454" s="46">
        <v>0</v>
      </c>
      <c r="GP1454" s="113"/>
      <c r="GQ1454" s="113"/>
      <c r="GR1454" s="113"/>
      <c r="GS1454" s="113"/>
      <c r="GT1454" s="113"/>
      <c r="GU1454" s="46">
        <v>0</v>
      </c>
      <c r="GV1454" s="113"/>
      <c r="GW1454" s="113"/>
      <c r="GX1454" s="113"/>
      <c r="GY1454" s="113"/>
      <c r="GZ1454" s="113"/>
      <c r="HA1454" s="46">
        <v>0</v>
      </c>
      <c r="HB1454" s="113"/>
      <c r="HC1454" s="113"/>
      <c r="HD1454" s="113"/>
      <c r="HE1454" s="113"/>
      <c r="HF1454" s="113"/>
      <c r="HG1454" s="46">
        <v>0</v>
      </c>
      <c r="HH1454" s="113"/>
      <c r="HI1454" s="113"/>
      <c r="HJ1454" s="113"/>
      <c r="HK1454" s="113"/>
      <c r="HL1454" s="113"/>
      <c r="HM1454" s="121"/>
      <c r="HN1454" s="121"/>
      <c r="LM1454" t="str">
        <v/>
      </c>
      <c r="LN1454" t="str">
        <v/>
      </c>
      <c r="LO1454" t="str">
        <v/>
      </c>
    </row>
    <row r="1455" spans="30:327">
      <c r="AD1455" t="s">
        <v>18300</v>
      </c>
      <c r="AE1455" t="s">
        <v>23178</v>
      </c>
      <c r="AF1455" s="46">
        <v>0</v>
      </c>
      <c r="AG1455" s="113"/>
      <c r="AH1455" s="113"/>
      <c r="AI1455" s="113"/>
      <c r="AJ1455" s="113"/>
      <c r="AK1455" s="113"/>
      <c r="AL1455" s="46">
        <v>0</v>
      </c>
      <c r="AM1455" s="113"/>
      <c r="AN1455" s="113"/>
      <c r="AO1455" s="113"/>
      <c r="AP1455" s="113"/>
      <c r="AQ1455" s="113"/>
      <c r="AR1455" s="46">
        <v>0</v>
      </c>
      <c r="AS1455" s="113"/>
      <c r="AT1455" s="113"/>
      <c r="AU1455" s="113"/>
      <c r="AV1455" s="113"/>
      <c r="AW1455" s="113"/>
      <c r="AX1455" s="46">
        <v>0</v>
      </c>
      <c r="AY1455" s="113"/>
      <c r="AZ1455" s="113"/>
      <c r="BA1455" s="113"/>
      <c r="BB1455" s="113"/>
      <c r="BC1455" s="113"/>
      <c r="BD1455" s="46">
        <v>0</v>
      </c>
      <c r="BE1455" s="113"/>
      <c r="BF1455" s="113"/>
      <c r="BG1455" s="113"/>
      <c r="BH1455" s="113"/>
      <c r="BI1455" s="113"/>
      <c r="BJ1455" s="46">
        <v>0</v>
      </c>
      <c r="BK1455" s="113"/>
      <c r="BL1455" s="113"/>
      <c r="BM1455" s="113"/>
      <c r="BN1455" s="113"/>
      <c r="BO1455" s="113"/>
      <c r="BP1455" s="121"/>
      <c r="BQ1455" s="121"/>
      <c r="GA1455" t="s">
        <v>18300</v>
      </c>
      <c r="GB1455" t="s">
        <v>23178</v>
      </c>
      <c r="GC1455" s="46">
        <v>0</v>
      </c>
      <c r="GD1455" s="113"/>
      <c r="GE1455" s="113"/>
      <c r="GF1455" s="113"/>
      <c r="GG1455" s="113"/>
      <c r="GH1455" s="113"/>
      <c r="GI1455" s="46">
        <v>0</v>
      </c>
      <c r="GJ1455" s="113"/>
      <c r="GK1455" s="113"/>
      <c r="GL1455" s="113"/>
      <c r="GM1455" s="113"/>
      <c r="GN1455" s="113"/>
      <c r="GO1455" s="46">
        <v>0</v>
      </c>
      <c r="GP1455" s="113"/>
      <c r="GQ1455" s="113"/>
      <c r="GR1455" s="113"/>
      <c r="GS1455" s="113"/>
      <c r="GT1455" s="113"/>
      <c r="GU1455" s="46">
        <v>0</v>
      </c>
      <c r="GV1455" s="113"/>
      <c r="GW1455" s="113"/>
      <c r="GX1455" s="113"/>
      <c r="GY1455" s="113"/>
      <c r="GZ1455" s="113"/>
      <c r="HA1455" s="46">
        <v>0</v>
      </c>
      <c r="HB1455" s="113"/>
      <c r="HC1455" s="113"/>
      <c r="HD1455" s="113"/>
      <c r="HE1455" s="113"/>
      <c r="HF1455" s="113"/>
      <c r="HG1455" s="46">
        <v>0</v>
      </c>
      <c r="HH1455" s="113"/>
      <c r="HI1455" s="113"/>
      <c r="HJ1455" s="113"/>
      <c r="HK1455" s="113"/>
      <c r="HL1455" s="113"/>
      <c r="HM1455" s="121"/>
      <c r="HN1455" s="121"/>
      <c r="LM1455" t="str">
        <v/>
      </c>
      <c r="LN1455" t="str">
        <v/>
      </c>
      <c r="LO1455" t="str">
        <v/>
      </c>
    </row>
    <row r="1456" spans="30:327">
      <c r="AD1456" t="s">
        <v>18300</v>
      </c>
      <c r="AE1456" t="s">
        <v>23179</v>
      </c>
      <c r="AF1456" s="46">
        <v>0</v>
      </c>
      <c r="AG1456" s="113"/>
      <c r="AH1456" s="113"/>
      <c r="AI1456" s="113"/>
      <c r="AJ1456" s="113"/>
      <c r="AK1456" s="113"/>
      <c r="AL1456" s="46">
        <v>0</v>
      </c>
      <c r="AM1456" s="113"/>
      <c r="AN1456" s="113"/>
      <c r="AO1456" s="113"/>
      <c r="AP1456" s="113"/>
      <c r="AQ1456" s="113"/>
      <c r="AR1456" s="46">
        <v>0</v>
      </c>
      <c r="AS1456" s="113"/>
      <c r="AT1456" s="113"/>
      <c r="AU1456" s="113"/>
      <c r="AV1456" s="113"/>
      <c r="AW1456" s="113"/>
      <c r="AX1456" s="46">
        <v>0</v>
      </c>
      <c r="AY1456" s="113"/>
      <c r="AZ1456" s="113"/>
      <c r="BA1456" s="113"/>
      <c r="BB1456" s="113"/>
      <c r="BC1456" s="113"/>
      <c r="BD1456" s="46">
        <v>0</v>
      </c>
      <c r="BE1456" s="113"/>
      <c r="BF1456" s="113"/>
      <c r="BG1456" s="113"/>
      <c r="BH1456" s="113"/>
      <c r="BI1456" s="113"/>
      <c r="BJ1456" s="46">
        <v>0</v>
      </c>
      <c r="BK1456" s="113"/>
      <c r="BL1456" s="113"/>
      <c r="BM1456" s="113"/>
      <c r="BN1456" s="113"/>
      <c r="BO1456" s="113"/>
      <c r="BP1456" s="121"/>
      <c r="BQ1456" s="121"/>
      <c r="GA1456" t="s">
        <v>18300</v>
      </c>
      <c r="GB1456" t="s">
        <v>23179</v>
      </c>
      <c r="GC1456" s="46">
        <v>0</v>
      </c>
      <c r="GD1456" s="113"/>
      <c r="GE1456" s="113"/>
      <c r="GF1456" s="113"/>
      <c r="GG1456" s="113"/>
      <c r="GH1456" s="113"/>
      <c r="GI1456" s="46">
        <v>0</v>
      </c>
      <c r="GJ1456" s="113"/>
      <c r="GK1456" s="113"/>
      <c r="GL1456" s="113"/>
      <c r="GM1456" s="113"/>
      <c r="GN1456" s="113"/>
      <c r="GO1456" s="46">
        <v>0</v>
      </c>
      <c r="GP1456" s="113"/>
      <c r="GQ1456" s="113"/>
      <c r="GR1456" s="113"/>
      <c r="GS1456" s="113"/>
      <c r="GT1456" s="113"/>
      <c r="GU1456" s="46">
        <v>0</v>
      </c>
      <c r="GV1456" s="113"/>
      <c r="GW1456" s="113"/>
      <c r="GX1456" s="113"/>
      <c r="GY1456" s="113"/>
      <c r="GZ1456" s="113"/>
      <c r="HA1456" s="46">
        <v>0</v>
      </c>
      <c r="HB1456" s="113"/>
      <c r="HC1456" s="113"/>
      <c r="HD1456" s="113"/>
      <c r="HE1456" s="113"/>
      <c r="HF1456" s="113"/>
      <c r="HG1456" s="46">
        <v>0</v>
      </c>
      <c r="HH1456" s="113"/>
      <c r="HI1456" s="113"/>
      <c r="HJ1456" s="113"/>
      <c r="HK1456" s="113"/>
      <c r="HL1456" s="113"/>
      <c r="HM1456" s="121"/>
      <c r="HN1456" s="121"/>
      <c r="LM1456" t="str">
        <v/>
      </c>
      <c r="LN1456" t="str">
        <v/>
      </c>
      <c r="LO1456" t="str">
        <v/>
      </c>
    </row>
    <row r="1457" spans="30:327">
      <c r="AD1457" t="s">
        <v>18300</v>
      </c>
      <c r="AE1457" t="s">
        <v>23180</v>
      </c>
      <c r="AF1457" s="46">
        <v>0</v>
      </c>
      <c r="AG1457" s="113"/>
      <c r="AH1457" s="113"/>
      <c r="AI1457" s="113"/>
      <c r="AJ1457" s="113"/>
      <c r="AK1457" s="113"/>
      <c r="AL1457" s="46">
        <v>0</v>
      </c>
      <c r="AM1457" s="113"/>
      <c r="AN1457" s="113"/>
      <c r="AO1457" s="113"/>
      <c r="AP1457" s="113"/>
      <c r="AQ1457" s="113"/>
      <c r="AR1457" s="46">
        <v>0</v>
      </c>
      <c r="AS1457" s="113"/>
      <c r="AT1457" s="113"/>
      <c r="AU1457" s="113"/>
      <c r="AV1457" s="113"/>
      <c r="AW1457" s="113"/>
      <c r="AX1457" s="46">
        <v>0</v>
      </c>
      <c r="AY1457" s="113"/>
      <c r="AZ1457" s="113"/>
      <c r="BA1457" s="113"/>
      <c r="BB1457" s="113"/>
      <c r="BC1457" s="113"/>
      <c r="BD1457" s="46">
        <v>0</v>
      </c>
      <c r="BE1457" s="113"/>
      <c r="BF1457" s="113"/>
      <c r="BG1457" s="113"/>
      <c r="BH1457" s="113"/>
      <c r="BI1457" s="113"/>
      <c r="BJ1457" s="46">
        <v>0</v>
      </c>
      <c r="BK1457" s="113"/>
      <c r="BL1457" s="113"/>
      <c r="BM1457" s="113"/>
      <c r="BN1457" s="113"/>
      <c r="BO1457" s="113"/>
      <c r="BP1457" s="121"/>
      <c r="BQ1457" s="121"/>
      <c r="GA1457" t="s">
        <v>18300</v>
      </c>
      <c r="GB1457" t="s">
        <v>23180</v>
      </c>
      <c r="GC1457" s="46">
        <v>0</v>
      </c>
      <c r="GD1457" s="113"/>
      <c r="GE1457" s="113"/>
      <c r="GF1457" s="113"/>
      <c r="GG1457" s="113"/>
      <c r="GH1457" s="113"/>
      <c r="GI1457" s="46">
        <v>0</v>
      </c>
      <c r="GJ1457" s="113"/>
      <c r="GK1457" s="113"/>
      <c r="GL1457" s="113"/>
      <c r="GM1457" s="113"/>
      <c r="GN1457" s="113"/>
      <c r="GO1457" s="46">
        <v>0</v>
      </c>
      <c r="GP1457" s="113"/>
      <c r="GQ1457" s="113"/>
      <c r="GR1457" s="113"/>
      <c r="GS1457" s="113"/>
      <c r="GT1457" s="113"/>
      <c r="GU1457" s="46">
        <v>0</v>
      </c>
      <c r="GV1457" s="113"/>
      <c r="GW1457" s="113"/>
      <c r="GX1457" s="113"/>
      <c r="GY1457" s="113"/>
      <c r="GZ1457" s="113"/>
      <c r="HA1457" s="46">
        <v>0</v>
      </c>
      <c r="HB1457" s="113"/>
      <c r="HC1457" s="113"/>
      <c r="HD1457" s="113"/>
      <c r="HE1457" s="113"/>
      <c r="HF1457" s="113"/>
      <c r="HG1457" s="46">
        <v>0</v>
      </c>
      <c r="HH1457" s="113"/>
      <c r="HI1457" s="113"/>
      <c r="HJ1457" s="113"/>
      <c r="HK1457" s="113"/>
      <c r="HL1457" s="113"/>
      <c r="HM1457" s="121"/>
      <c r="HN1457" s="121"/>
      <c r="LM1457" t="str">
        <v/>
      </c>
      <c r="LN1457" t="str">
        <v/>
      </c>
      <c r="LO1457" t="str">
        <v/>
      </c>
    </row>
    <row r="1458" spans="30:327">
      <c r="AD1458" t="s">
        <v>18300</v>
      </c>
      <c r="AE1458" t="s">
        <v>23181</v>
      </c>
      <c r="AF1458" s="46">
        <v>0</v>
      </c>
      <c r="AG1458" s="113"/>
      <c r="AH1458" s="113"/>
      <c r="AI1458" s="113"/>
      <c r="AJ1458" s="113"/>
      <c r="AK1458" s="113"/>
      <c r="AL1458" s="46">
        <v>0</v>
      </c>
      <c r="AM1458" s="113"/>
      <c r="AN1458" s="113"/>
      <c r="AO1458" s="113"/>
      <c r="AP1458" s="113"/>
      <c r="AQ1458" s="113"/>
      <c r="AR1458" s="46">
        <v>0</v>
      </c>
      <c r="AS1458" s="113"/>
      <c r="AT1458" s="113"/>
      <c r="AU1458" s="113"/>
      <c r="AV1458" s="113"/>
      <c r="AW1458" s="113"/>
      <c r="AX1458" s="46">
        <v>0</v>
      </c>
      <c r="AY1458" s="113"/>
      <c r="AZ1458" s="113"/>
      <c r="BA1458" s="113"/>
      <c r="BB1458" s="113"/>
      <c r="BC1458" s="113"/>
      <c r="BD1458" s="46">
        <v>0</v>
      </c>
      <c r="BE1458" s="113"/>
      <c r="BF1458" s="113"/>
      <c r="BG1458" s="113"/>
      <c r="BH1458" s="113"/>
      <c r="BI1458" s="113"/>
      <c r="BJ1458" s="46">
        <v>0</v>
      </c>
      <c r="BK1458" s="113"/>
      <c r="BL1458" s="113"/>
      <c r="BM1458" s="113"/>
      <c r="BN1458" s="113"/>
      <c r="BO1458" s="113"/>
      <c r="BP1458" s="121"/>
      <c r="BQ1458" s="121"/>
      <c r="GA1458" t="s">
        <v>18300</v>
      </c>
      <c r="GB1458" t="s">
        <v>23181</v>
      </c>
      <c r="GC1458" s="46">
        <v>0</v>
      </c>
      <c r="GD1458" s="113"/>
      <c r="GE1458" s="113"/>
      <c r="GF1458" s="113"/>
      <c r="GG1458" s="113"/>
      <c r="GH1458" s="113"/>
      <c r="GI1458" s="46">
        <v>0</v>
      </c>
      <c r="GJ1458" s="113"/>
      <c r="GK1458" s="113"/>
      <c r="GL1458" s="113"/>
      <c r="GM1458" s="113"/>
      <c r="GN1458" s="113"/>
      <c r="GO1458" s="46">
        <v>0</v>
      </c>
      <c r="GP1458" s="113"/>
      <c r="GQ1458" s="113"/>
      <c r="GR1458" s="113"/>
      <c r="GS1458" s="113"/>
      <c r="GT1458" s="113"/>
      <c r="GU1458" s="46">
        <v>0</v>
      </c>
      <c r="GV1458" s="113"/>
      <c r="GW1458" s="113"/>
      <c r="GX1458" s="113"/>
      <c r="GY1458" s="113"/>
      <c r="GZ1458" s="113"/>
      <c r="HA1458" s="46">
        <v>0</v>
      </c>
      <c r="HB1458" s="113"/>
      <c r="HC1458" s="113"/>
      <c r="HD1458" s="113"/>
      <c r="HE1458" s="113"/>
      <c r="HF1458" s="113"/>
      <c r="HG1458" s="46">
        <v>0</v>
      </c>
      <c r="HH1458" s="113"/>
      <c r="HI1458" s="113"/>
      <c r="HJ1458" s="113"/>
      <c r="HK1458" s="113"/>
      <c r="HL1458" s="113"/>
      <c r="HM1458" s="121"/>
      <c r="HN1458" s="121"/>
      <c r="LM1458" t="str">
        <v/>
      </c>
      <c r="LN1458" t="str">
        <v/>
      </c>
      <c r="LO1458" t="str">
        <v/>
      </c>
    </row>
    <row r="1459" spans="30:327">
      <c r="AD1459" t="s">
        <v>18300</v>
      </c>
      <c r="AE1459" t="s">
        <v>23182</v>
      </c>
      <c r="AF1459" s="46">
        <v>0</v>
      </c>
      <c r="AG1459" s="113"/>
      <c r="AH1459" s="113"/>
      <c r="AI1459" s="113"/>
      <c r="AJ1459" s="113"/>
      <c r="AK1459" s="113"/>
      <c r="AL1459" s="46">
        <v>0</v>
      </c>
      <c r="AM1459" s="113"/>
      <c r="AN1459" s="113"/>
      <c r="AO1459" s="113"/>
      <c r="AP1459" s="113"/>
      <c r="AQ1459" s="113"/>
      <c r="AR1459" s="46">
        <v>0</v>
      </c>
      <c r="AS1459" s="113"/>
      <c r="AT1459" s="113"/>
      <c r="AU1459" s="113"/>
      <c r="AV1459" s="113"/>
      <c r="AW1459" s="113"/>
      <c r="AX1459" s="46">
        <v>0</v>
      </c>
      <c r="AY1459" s="113"/>
      <c r="AZ1459" s="113"/>
      <c r="BA1459" s="113"/>
      <c r="BB1459" s="113"/>
      <c r="BC1459" s="113"/>
      <c r="BD1459" s="46">
        <v>0</v>
      </c>
      <c r="BE1459" s="113"/>
      <c r="BF1459" s="113"/>
      <c r="BG1459" s="113"/>
      <c r="BH1459" s="113"/>
      <c r="BI1459" s="113"/>
      <c r="BJ1459" s="46">
        <v>0</v>
      </c>
      <c r="BK1459" s="113"/>
      <c r="BL1459" s="113"/>
      <c r="BM1459" s="113"/>
      <c r="BN1459" s="113"/>
      <c r="BO1459" s="113"/>
      <c r="BP1459" s="121"/>
      <c r="BQ1459" s="121"/>
      <c r="GA1459" t="s">
        <v>18300</v>
      </c>
      <c r="GB1459" t="s">
        <v>23182</v>
      </c>
      <c r="GC1459" s="46">
        <v>0</v>
      </c>
      <c r="GD1459" s="113"/>
      <c r="GE1459" s="113"/>
      <c r="GF1459" s="113"/>
      <c r="GG1459" s="113"/>
      <c r="GH1459" s="113"/>
      <c r="GI1459" s="46">
        <v>0</v>
      </c>
      <c r="GJ1459" s="113"/>
      <c r="GK1459" s="113"/>
      <c r="GL1459" s="113"/>
      <c r="GM1459" s="113"/>
      <c r="GN1459" s="113"/>
      <c r="GO1459" s="46">
        <v>0</v>
      </c>
      <c r="GP1459" s="113"/>
      <c r="GQ1459" s="113"/>
      <c r="GR1459" s="113"/>
      <c r="GS1459" s="113"/>
      <c r="GT1459" s="113"/>
      <c r="GU1459" s="46">
        <v>0</v>
      </c>
      <c r="GV1459" s="113"/>
      <c r="GW1459" s="113"/>
      <c r="GX1459" s="113"/>
      <c r="GY1459" s="113"/>
      <c r="GZ1459" s="113"/>
      <c r="HA1459" s="46">
        <v>0</v>
      </c>
      <c r="HB1459" s="113"/>
      <c r="HC1459" s="113"/>
      <c r="HD1459" s="113"/>
      <c r="HE1459" s="113"/>
      <c r="HF1459" s="113"/>
      <c r="HG1459" s="46">
        <v>0</v>
      </c>
      <c r="HH1459" s="113"/>
      <c r="HI1459" s="113"/>
      <c r="HJ1459" s="113"/>
      <c r="HK1459" s="113"/>
      <c r="HL1459" s="113"/>
      <c r="HM1459" s="121"/>
      <c r="HN1459" s="121"/>
      <c r="LM1459" t="str">
        <v/>
      </c>
      <c r="LN1459" t="str">
        <v/>
      </c>
      <c r="LO1459" t="str">
        <v/>
      </c>
    </row>
    <row r="1460" spans="30:327">
      <c r="AD1460" t="s">
        <v>18300</v>
      </c>
      <c r="AE1460" t="s">
        <v>23183</v>
      </c>
      <c r="AF1460" s="46">
        <v>0</v>
      </c>
      <c r="AG1460" s="113"/>
      <c r="AH1460" s="113"/>
      <c r="AI1460" s="113"/>
      <c r="AJ1460" s="113"/>
      <c r="AK1460" s="113"/>
      <c r="AL1460" s="46">
        <v>0</v>
      </c>
      <c r="AM1460" s="113"/>
      <c r="AN1460" s="113"/>
      <c r="AO1460" s="113"/>
      <c r="AP1460" s="113"/>
      <c r="AQ1460" s="113"/>
      <c r="AR1460" s="46">
        <v>0</v>
      </c>
      <c r="AS1460" s="113"/>
      <c r="AT1460" s="113"/>
      <c r="AU1460" s="113"/>
      <c r="AV1460" s="113"/>
      <c r="AW1460" s="113"/>
      <c r="AX1460" s="46">
        <v>0</v>
      </c>
      <c r="AY1460" s="113"/>
      <c r="AZ1460" s="113"/>
      <c r="BA1460" s="113"/>
      <c r="BB1460" s="113"/>
      <c r="BC1460" s="113"/>
      <c r="BD1460" s="46">
        <v>0</v>
      </c>
      <c r="BE1460" s="113"/>
      <c r="BF1460" s="113"/>
      <c r="BG1460" s="113"/>
      <c r="BH1460" s="113"/>
      <c r="BI1460" s="113"/>
      <c r="BJ1460" s="46">
        <v>0</v>
      </c>
      <c r="BK1460" s="113"/>
      <c r="BL1460" s="113"/>
      <c r="BM1460" s="113"/>
      <c r="BN1460" s="113"/>
      <c r="BO1460" s="113"/>
      <c r="BP1460" s="121"/>
      <c r="BQ1460" s="121"/>
      <c r="GA1460" t="s">
        <v>18300</v>
      </c>
      <c r="GB1460" t="s">
        <v>23183</v>
      </c>
      <c r="GC1460" s="46">
        <v>0</v>
      </c>
      <c r="GD1460" s="113"/>
      <c r="GE1460" s="113"/>
      <c r="GF1460" s="113"/>
      <c r="GG1460" s="113"/>
      <c r="GH1460" s="113"/>
      <c r="GI1460" s="46">
        <v>0</v>
      </c>
      <c r="GJ1460" s="113"/>
      <c r="GK1460" s="113"/>
      <c r="GL1460" s="113"/>
      <c r="GM1460" s="113"/>
      <c r="GN1460" s="113"/>
      <c r="GO1460" s="46">
        <v>0</v>
      </c>
      <c r="GP1460" s="113"/>
      <c r="GQ1460" s="113"/>
      <c r="GR1460" s="113"/>
      <c r="GS1460" s="113"/>
      <c r="GT1460" s="113"/>
      <c r="GU1460" s="46">
        <v>0</v>
      </c>
      <c r="GV1460" s="113"/>
      <c r="GW1460" s="113"/>
      <c r="GX1460" s="113"/>
      <c r="GY1460" s="113"/>
      <c r="GZ1460" s="113"/>
      <c r="HA1460" s="46">
        <v>0</v>
      </c>
      <c r="HB1460" s="113"/>
      <c r="HC1460" s="113"/>
      <c r="HD1460" s="113"/>
      <c r="HE1460" s="113"/>
      <c r="HF1460" s="113"/>
      <c r="HG1460" s="46">
        <v>0</v>
      </c>
      <c r="HH1460" s="113"/>
      <c r="HI1460" s="113"/>
      <c r="HJ1460" s="113"/>
      <c r="HK1460" s="113"/>
      <c r="HL1460" s="113"/>
      <c r="HM1460" s="121"/>
      <c r="HN1460" s="121"/>
      <c r="LM1460" t="str">
        <v/>
      </c>
      <c r="LN1460" t="str">
        <v/>
      </c>
      <c r="LO1460" t="str">
        <v/>
      </c>
    </row>
    <row r="1461" spans="30:327">
      <c r="AD1461" t="s">
        <v>18300</v>
      </c>
      <c r="AE1461" t="s">
        <v>23184</v>
      </c>
      <c r="AF1461" s="46">
        <v>0</v>
      </c>
      <c r="AG1461" s="113"/>
      <c r="AH1461" s="113"/>
      <c r="AI1461" s="113"/>
      <c r="AJ1461" s="113"/>
      <c r="AK1461" s="113"/>
      <c r="AL1461" s="46">
        <v>0</v>
      </c>
      <c r="AM1461" s="113"/>
      <c r="AN1461" s="113"/>
      <c r="AO1461" s="113"/>
      <c r="AP1461" s="113"/>
      <c r="AQ1461" s="113"/>
      <c r="AR1461" s="46">
        <v>0</v>
      </c>
      <c r="AS1461" s="113"/>
      <c r="AT1461" s="113"/>
      <c r="AU1461" s="113"/>
      <c r="AV1461" s="113"/>
      <c r="AW1461" s="113"/>
      <c r="AX1461" s="46">
        <v>0</v>
      </c>
      <c r="AY1461" s="113"/>
      <c r="AZ1461" s="113"/>
      <c r="BA1461" s="113"/>
      <c r="BB1461" s="113"/>
      <c r="BC1461" s="113"/>
      <c r="BD1461" s="46">
        <v>0</v>
      </c>
      <c r="BE1461" s="113"/>
      <c r="BF1461" s="113"/>
      <c r="BG1461" s="113"/>
      <c r="BH1461" s="113"/>
      <c r="BI1461" s="113"/>
      <c r="BJ1461" s="46">
        <v>0</v>
      </c>
      <c r="BK1461" s="113"/>
      <c r="BL1461" s="113"/>
      <c r="BM1461" s="113"/>
      <c r="BN1461" s="113"/>
      <c r="BO1461" s="113"/>
      <c r="BP1461" s="121"/>
      <c r="BQ1461" s="121"/>
      <c r="GA1461" t="s">
        <v>18300</v>
      </c>
      <c r="GB1461" t="s">
        <v>23184</v>
      </c>
      <c r="GC1461" s="46">
        <v>0</v>
      </c>
      <c r="GD1461" s="113"/>
      <c r="GE1461" s="113"/>
      <c r="GF1461" s="113"/>
      <c r="GG1461" s="113"/>
      <c r="GH1461" s="113"/>
      <c r="GI1461" s="46">
        <v>0</v>
      </c>
      <c r="GJ1461" s="113"/>
      <c r="GK1461" s="113"/>
      <c r="GL1461" s="113"/>
      <c r="GM1461" s="113"/>
      <c r="GN1461" s="113"/>
      <c r="GO1461" s="46">
        <v>0</v>
      </c>
      <c r="GP1461" s="113"/>
      <c r="GQ1461" s="113"/>
      <c r="GR1461" s="113"/>
      <c r="GS1461" s="113"/>
      <c r="GT1461" s="113"/>
      <c r="GU1461" s="46">
        <v>0</v>
      </c>
      <c r="GV1461" s="113"/>
      <c r="GW1461" s="113"/>
      <c r="GX1461" s="113"/>
      <c r="GY1461" s="113"/>
      <c r="GZ1461" s="113"/>
      <c r="HA1461" s="46">
        <v>0</v>
      </c>
      <c r="HB1461" s="113"/>
      <c r="HC1461" s="113"/>
      <c r="HD1461" s="113"/>
      <c r="HE1461" s="113"/>
      <c r="HF1461" s="113"/>
      <c r="HG1461" s="46">
        <v>0</v>
      </c>
      <c r="HH1461" s="113"/>
      <c r="HI1461" s="113"/>
      <c r="HJ1461" s="113"/>
      <c r="HK1461" s="113"/>
      <c r="HL1461" s="113"/>
      <c r="HM1461" s="121"/>
      <c r="HN1461" s="121"/>
      <c r="LM1461" t="str">
        <v/>
      </c>
      <c r="LN1461" t="str">
        <v/>
      </c>
      <c r="LO1461" t="str">
        <v/>
      </c>
    </row>
    <row r="1462" spans="30:327">
      <c r="AD1462" t="s">
        <v>18300</v>
      </c>
      <c r="AE1462" t="s">
        <v>23185</v>
      </c>
      <c r="AF1462" s="46">
        <v>0</v>
      </c>
      <c r="AG1462" s="113"/>
      <c r="AH1462" s="113"/>
      <c r="AI1462" s="113"/>
      <c r="AJ1462" s="113"/>
      <c r="AK1462" s="113"/>
      <c r="AL1462" s="46">
        <v>0</v>
      </c>
      <c r="AM1462" s="113"/>
      <c r="AN1462" s="113"/>
      <c r="AO1462" s="113"/>
      <c r="AP1462" s="113"/>
      <c r="AQ1462" s="113"/>
      <c r="AR1462" s="46">
        <v>0</v>
      </c>
      <c r="AS1462" s="113"/>
      <c r="AT1462" s="113"/>
      <c r="AU1462" s="113"/>
      <c r="AV1462" s="113"/>
      <c r="AW1462" s="113"/>
      <c r="AX1462" s="46">
        <v>0</v>
      </c>
      <c r="AY1462" s="113"/>
      <c r="AZ1462" s="113"/>
      <c r="BA1462" s="113"/>
      <c r="BB1462" s="113"/>
      <c r="BC1462" s="113"/>
      <c r="BD1462" s="46">
        <v>0</v>
      </c>
      <c r="BE1462" s="113"/>
      <c r="BF1462" s="113"/>
      <c r="BG1462" s="113"/>
      <c r="BH1462" s="113"/>
      <c r="BI1462" s="113"/>
      <c r="BJ1462" s="46">
        <v>0</v>
      </c>
      <c r="BK1462" s="113"/>
      <c r="BL1462" s="113"/>
      <c r="BM1462" s="113"/>
      <c r="BN1462" s="113"/>
      <c r="BO1462" s="113"/>
      <c r="BP1462" s="121"/>
      <c r="BQ1462" s="121"/>
      <c r="GA1462" t="s">
        <v>18300</v>
      </c>
      <c r="GB1462" t="s">
        <v>23185</v>
      </c>
      <c r="GC1462" s="46">
        <v>0</v>
      </c>
      <c r="GD1462" s="113"/>
      <c r="GE1462" s="113"/>
      <c r="GF1462" s="113"/>
      <c r="GG1462" s="113"/>
      <c r="GH1462" s="113"/>
      <c r="GI1462" s="46">
        <v>0</v>
      </c>
      <c r="GJ1462" s="113"/>
      <c r="GK1462" s="113"/>
      <c r="GL1462" s="113"/>
      <c r="GM1462" s="113"/>
      <c r="GN1462" s="113"/>
      <c r="GO1462" s="46">
        <v>0</v>
      </c>
      <c r="GP1462" s="113"/>
      <c r="GQ1462" s="113"/>
      <c r="GR1462" s="113"/>
      <c r="GS1462" s="113"/>
      <c r="GT1462" s="113"/>
      <c r="GU1462" s="46">
        <v>0</v>
      </c>
      <c r="GV1462" s="113"/>
      <c r="GW1462" s="113"/>
      <c r="GX1462" s="113"/>
      <c r="GY1462" s="113"/>
      <c r="GZ1462" s="113"/>
      <c r="HA1462" s="46">
        <v>0</v>
      </c>
      <c r="HB1462" s="113"/>
      <c r="HC1462" s="113"/>
      <c r="HD1462" s="113"/>
      <c r="HE1462" s="113"/>
      <c r="HF1462" s="113"/>
      <c r="HG1462" s="46">
        <v>0</v>
      </c>
      <c r="HH1462" s="113"/>
      <c r="HI1462" s="113"/>
      <c r="HJ1462" s="113"/>
      <c r="HK1462" s="113"/>
      <c r="HL1462" s="113"/>
      <c r="HM1462" s="121"/>
      <c r="HN1462" s="121"/>
      <c r="LM1462" t="str">
        <v/>
      </c>
      <c r="LN1462" t="str">
        <v/>
      </c>
      <c r="LO1462" t="str">
        <v/>
      </c>
    </row>
    <row r="1463" spans="30:327">
      <c r="AD1463" t="s">
        <v>18300</v>
      </c>
      <c r="AE1463" t="s">
        <v>23186</v>
      </c>
      <c r="AF1463" s="46">
        <v>0</v>
      </c>
      <c r="AG1463" s="113"/>
      <c r="AH1463" s="113"/>
      <c r="AI1463" s="113"/>
      <c r="AJ1463" s="113"/>
      <c r="AK1463" s="113"/>
      <c r="AL1463" s="46">
        <v>0</v>
      </c>
      <c r="AM1463" s="113"/>
      <c r="AN1463" s="113"/>
      <c r="AO1463" s="113"/>
      <c r="AP1463" s="113"/>
      <c r="AQ1463" s="113"/>
      <c r="AR1463" s="46">
        <v>0</v>
      </c>
      <c r="AS1463" s="113"/>
      <c r="AT1463" s="113"/>
      <c r="AU1463" s="113"/>
      <c r="AV1463" s="113"/>
      <c r="AW1463" s="113"/>
      <c r="AX1463" s="46">
        <v>0</v>
      </c>
      <c r="AY1463" s="113"/>
      <c r="AZ1463" s="113"/>
      <c r="BA1463" s="113"/>
      <c r="BB1463" s="113"/>
      <c r="BC1463" s="113"/>
      <c r="BD1463" s="46">
        <v>0</v>
      </c>
      <c r="BE1463" s="113"/>
      <c r="BF1463" s="113"/>
      <c r="BG1463" s="113"/>
      <c r="BH1463" s="113"/>
      <c r="BI1463" s="113"/>
      <c r="BJ1463" s="46">
        <v>0</v>
      </c>
      <c r="BK1463" s="113"/>
      <c r="BL1463" s="113"/>
      <c r="BM1463" s="113"/>
      <c r="BN1463" s="113"/>
      <c r="BO1463" s="113"/>
      <c r="BP1463" s="121"/>
      <c r="BQ1463" s="121"/>
      <c r="GA1463" t="s">
        <v>18300</v>
      </c>
      <c r="GB1463" t="s">
        <v>23186</v>
      </c>
      <c r="GC1463" s="46">
        <v>0</v>
      </c>
      <c r="GD1463" s="113"/>
      <c r="GE1463" s="113"/>
      <c r="GF1463" s="113"/>
      <c r="GG1463" s="113"/>
      <c r="GH1463" s="113"/>
      <c r="GI1463" s="46">
        <v>0</v>
      </c>
      <c r="GJ1463" s="113"/>
      <c r="GK1463" s="113"/>
      <c r="GL1463" s="113"/>
      <c r="GM1463" s="113"/>
      <c r="GN1463" s="113"/>
      <c r="GO1463" s="46">
        <v>0</v>
      </c>
      <c r="GP1463" s="113"/>
      <c r="GQ1463" s="113"/>
      <c r="GR1463" s="113"/>
      <c r="GS1463" s="113"/>
      <c r="GT1463" s="113"/>
      <c r="GU1463" s="46">
        <v>0</v>
      </c>
      <c r="GV1463" s="113"/>
      <c r="GW1463" s="113"/>
      <c r="GX1463" s="113"/>
      <c r="GY1463" s="113"/>
      <c r="GZ1463" s="113"/>
      <c r="HA1463" s="46">
        <v>0</v>
      </c>
      <c r="HB1463" s="113"/>
      <c r="HC1463" s="113"/>
      <c r="HD1463" s="113"/>
      <c r="HE1463" s="113"/>
      <c r="HF1463" s="113"/>
      <c r="HG1463" s="46">
        <v>0</v>
      </c>
      <c r="HH1463" s="113"/>
      <c r="HI1463" s="113"/>
      <c r="HJ1463" s="113"/>
      <c r="HK1463" s="113"/>
      <c r="HL1463" s="113"/>
      <c r="HM1463" s="121"/>
      <c r="HN1463" s="121"/>
      <c r="LM1463" t="str">
        <v/>
      </c>
      <c r="LN1463" t="str">
        <v/>
      </c>
      <c r="LO1463" t="str">
        <v/>
      </c>
    </row>
    <row r="1464" spans="30:327">
      <c r="AD1464" t="s">
        <v>18300</v>
      </c>
      <c r="AE1464" t="s">
        <v>23187</v>
      </c>
      <c r="AF1464" s="46">
        <v>0</v>
      </c>
      <c r="AG1464" s="113"/>
      <c r="AH1464" s="113"/>
      <c r="AI1464" s="113"/>
      <c r="AJ1464" s="113"/>
      <c r="AK1464" s="113"/>
      <c r="AL1464" s="46">
        <v>0</v>
      </c>
      <c r="AM1464" s="113"/>
      <c r="AN1464" s="113"/>
      <c r="AO1464" s="113"/>
      <c r="AP1464" s="113"/>
      <c r="AQ1464" s="113"/>
      <c r="AR1464" s="46">
        <v>0</v>
      </c>
      <c r="AS1464" s="113"/>
      <c r="AT1464" s="113"/>
      <c r="AU1464" s="113"/>
      <c r="AV1464" s="113"/>
      <c r="AW1464" s="113"/>
      <c r="AX1464" s="46">
        <v>0</v>
      </c>
      <c r="AY1464" s="113"/>
      <c r="AZ1464" s="113"/>
      <c r="BA1464" s="113"/>
      <c r="BB1464" s="113"/>
      <c r="BC1464" s="113"/>
      <c r="BD1464" s="46">
        <v>0</v>
      </c>
      <c r="BE1464" s="113"/>
      <c r="BF1464" s="113"/>
      <c r="BG1464" s="113"/>
      <c r="BH1464" s="113"/>
      <c r="BI1464" s="113"/>
      <c r="BJ1464" s="46">
        <v>0</v>
      </c>
      <c r="BK1464" s="113"/>
      <c r="BL1464" s="113"/>
      <c r="BM1464" s="113"/>
      <c r="BN1464" s="113"/>
      <c r="BO1464" s="113"/>
      <c r="BP1464" s="121"/>
      <c r="BQ1464" s="121"/>
      <c r="GA1464" t="s">
        <v>18300</v>
      </c>
      <c r="GB1464" t="s">
        <v>23187</v>
      </c>
      <c r="GC1464" s="46">
        <v>0</v>
      </c>
      <c r="GD1464" s="113"/>
      <c r="GE1464" s="113"/>
      <c r="GF1464" s="113"/>
      <c r="GG1464" s="113"/>
      <c r="GH1464" s="113"/>
      <c r="GI1464" s="46">
        <v>0</v>
      </c>
      <c r="GJ1464" s="113"/>
      <c r="GK1464" s="113"/>
      <c r="GL1464" s="113"/>
      <c r="GM1464" s="113"/>
      <c r="GN1464" s="113"/>
      <c r="GO1464" s="46">
        <v>0</v>
      </c>
      <c r="GP1464" s="113"/>
      <c r="GQ1464" s="113"/>
      <c r="GR1464" s="113"/>
      <c r="GS1464" s="113"/>
      <c r="GT1464" s="113"/>
      <c r="GU1464" s="46">
        <v>0</v>
      </c>
      <c r="GV1464" s="113"/>
      <c r="GW1464" s="113"/>
      <c r="GX1464" s="113"/>
      <c r="GY1464" s="113"/>
      <c r="GZ1464" s="113"/>
      <c r="HA1464" s="46">
        <v>0</v>
      </c>
      <c r="HB1464" s="113"/>
      <c r="HC1464" s="113"/>
      <c r="HD1464" s="113"/>
      <c r="HE1464" s="113"/>
      <c r="HF1464" s="113"/>
      <c r="HG1464" s="46">
        <v>0</v>
      </c>
      <c r="HH1464" s="113"/>
      <c r="HI1464" s="113"/>
      <c r="HJ1464" s="113"/>
      <c r="HK1464" s="113"/>
      <c r="HL1464" s="113"/>
      <c r="HM1464" s="121"/>
      <c r="HN1464" s="121"/>
      <c r="LM1464" t="str">
        <v/>
      </c>
      <c r="LN1464" t="str">
        <v/>
      </c>
      <c r="LO1464" t="str">
        <v/>
      </c>
    </row>
    <row r="1465" spans="30:327">
      <c r="AD1465" t="s">
        <v>18300</v>
      </c>
      <c r="AE1465" t="s">
        <v>23188</v>
      </c>
      <c r="AF1465" s="46">
        <v>0</v>
      </c>
      <c r="AG1465" s="113"/>
      <c r="AH1465" s="113"/>
      <c r="AI1465" s="113"/>
      <c r="AJ1465" s="113"/>
      <c r="AK1465" s="113"/>
      <c r="AL1465" s="46">
        <v>0</v>
      </c>
      <c r="AM1465" s="113"/>
      <c r="AN1465" s="113"/>
      <c r="AO1465" s="113"/>
      <c r="AP1465" s="113"/>
      <c r="AQ1465" s="113"/>
      <c r="AR1465" s="46">
        <v>0</v>
      </c>
      <c r="AS1465" s="113"/>
      <c r="AT1465" s="113"/>
      <c r="AU1465" s="113"/>
      <c r="AV1465" s="113"/>
      <c r="AW1465" s="113"/>
      <c r="AX1465" s="46">
        <v>0</v>
      </c>
      <c r="AY1465" s="113"/>
      <c r="AZ1465" s="113"/>
      <c r="BA1465" s="113"/>
      <c r="BB1465" s="113"/>
      <c r="BC1465" s="113"/>
      <c r="BD1465" s="46">
        <v>0</v>
      </c>
      <c r="BE1465" s="113"/>
      <c r="BF1465" s="113"/>
      <c r="BG1465" s="113"/>
      <c r="BH1465" s="113"/>
      <c r="BI1465" s="113"/>
      <c r="BJ1465" s="46">
        <v>0</v>
      </c>
      <c r="BK1465" s="113"/>
      <c r="BL1465" s="113"/>
      <c r="BM1465" s="113"/>
      <c r="BN1465" s="113"/>
      <c r="BO1465" s="113"/>
      <c r="BP1465" s="121"/>
      <c r="BQ1465" s="121"/>
      <c r="GA1465" t="s">
        <v>18300</v>
      </c>
      <c r="GB1465" t="s">
        <v>23188</v>
      </c>
      <c r="GC1465" s="46">
        <v>0</v>
      </c>
      <c r="GD1465" s="113"/>
      <c r="GE1465" s="113"/>
      <c r="GF1465" s="113"/>
      <c r="GG1465" s="113"/>
      <c r="GH1465" s="113"/>
      <c r="GI1465" s="46">
        <v>0</v>
      </c>
      <c r="GJ1465" s="113"/>
      <c r="GK1465" s="113"/>
      <c r="GL1465" s="113"/>
      <c r="GM1465" s="113"/>
      <c r="GN1465" s="113"/>
      <c r="GO1465" s="46">
        <v>0</v>
      </c>
      <c r="GP1465" s="113"/>
      <c r="GQ1465" s="113"/>
      <c r="GR1465" s="113"/>
      <c r="GS1465" s="113"/>
      <c r="GT1465" s="113"/>
      <c r="GU1465" s="46">
        <v>0</v>
      </c>
      <c r="GV1465" s="113"/>
      <c r="GW1465" s="113"/>
      <c r="GX1465" s="113"/>
      <c r="GY1465" s="113"/>
      <c r="GZ1465" s="113"/>
      <c r="HA1465" s="46">
        <v>0</v>
      </c>
      <c r="HB1465" s="113"/>
      <c r="HC1465" s="113"/>
      <c r="HD1465" s="113"/>
      <c r="HE1465" s="113"/>
      <c r="HF1465" s="113"/>
      <c r="HG1465" s="46">
        <v>0</v>
      </c>
      <c r="HH1465" s="113"/>
      <c r="HI1465" s="113"/>
      <c r="HJ1465" s="113"/>
      <c r="HK1465" s="113"/>
      <c r="HL1465" s="113"/>
      <c r="HM1465" s="121"/>
      <c r="HN1465" s="121"/>
      <c r="LM1465" t="str">
        <v/>
      </c>
      <c r="LN1465" t="str">
        <v/>
      </c>
      <c r="LO1465" t="str">
        <v/>
      </c>
    </row>
    <row r="1466" spans="30:327">
      <c r="AD1466" t="s">
        <v>18300</v>
      </c>
      <c r="AE1466" t="s">
        <v>23189</v>
      </c>
      <c r="AF1466" s="46">
        <v>0</v>
      </c>
      <c r="AG1466" s="113"/>
      <c r="AH1466" s="113"/>
      <c r="AI1466" s="113"/>
      <c r="AJ1466" s="113"/>
      <c r="AK1466" s="113"/>
      <c r="AL1466" s="46">
        <v>0</v>
      </c>
      <c r="AM1466" s="113"/>
      <c r="AN1466" s="113"/>
      <c r="AO1466" s="113"/>
      <c r="AP1466" s="113"/>
      <c r="AQ1466" s="113"/>
      <c r="AR1466" s="46">
        <v>0</v>
      </c>
      <c r="AS1466" s="113"/>
      <c r="AT1466" s="113"/>
      <c r="AU1466" s="113"/>
      <c r="AV1466" s="113"/>
      <c r="AW1466" s="113"/>
      <c r="AX1466" s="46">
        <v>0</v>
      </c>
      <c r="AY1466" s="113"/>
      <c r="AZ1466" s="113"/>
      <c r="BA1466" s="113"/>
      <c r="BB1466" s="113"/>
      <c r="BC1466" s="113"/>
      <c r="BD1466" s="46">
        <v>0</v>
      </c>
      <c r="BE1466" s="113"/>
      <c r="BF1466" s="113"/>
      <c r="BG1466" s="113"/>
      <c r="BH1466" s="113"/>
      <c r="BI1466" s="113"/>
      <c r="BJ1466" s="46">
        <v>0</v>
      </c>
      <c r="BK1466" s="113"/>
      <c r="BL1466" s="113"/>
      <c r="BM1466" s="113"/>
      <c r="BN1466" s="113"/>
      <c r="BO1466" s="113"/>
      <c r="BP1466" s="121"/>
      <c r="BQ1466" s="121"/>
      <c r="GA1466" t="s">
        <v>18300</v>
      </c>
      <c r="GB1466" t="s">
        <v>23189</v>
      </c>
      <c r="GC1466" s="46">
        <v>0</v>
      </c>
      <c r="GD1466" s="113"/>
      <c r="GE1466" s="113"/>
      <c r="GF1466" s="113"/>
      <c r="GG1466" s="113"/>
      <c r="GH1466" s="113"/>
      <c r="GI1466" s="46">
        <v>0</v>
      </c>
      <c r="GJ1466" s="113"/>
      <c r="GK1466" s="113"/>
      <c r="GL1466" s="113"/>
      <c r="GM1466" s="113"/>
      <c r="GN1466" s="113"/>
      <c r="GO1466" s="46">
        <v>0</v>
      </c>
      <c r="GP1466" s="113"/>
      <c r="GQ1466" s="113"/>
      <c r="GR1466" s="113"/>
      <c r="GS1466" s="113"/>
      <c r="GT1466" s="113"/>
      <c r="GU1466" s="46">
        <v>0</v>
      </c>
      <c r="GV1466" s="113"/>
      <c r="GW1466" s="113"/>
      <c r="GX1466" s="113"/>
      <c r="GY1466" s="113"/>
      <c r="GZ1466" s="113"/>
      <c r="HA1466" s="46">
        <v>0</v>
      </c>
      <c r="HB1466" s="113"/>
      <c r="HC1466" s="113"/>
      <c r="HD1466" s="113"/>
      <c r="HE1466" s="113"/>
      <c r="HF1466" s="113"/>
      <c r="HG1466" s="46">
        <v>0</v>
      </c>
      <c r="HH1466" s="113"/>
      <c r="HI1466" s="113"/>
      <c r="HJ1466" s="113"/>
      <c r="HK1466" s="113"/>
      <c r="HL1466" s="113"/>
      <c r="HM1466" s="121"/>
      <c r="HN1466" s="121"/>
      <c r="LM1466" t="str">
        <v/>
      </c>
      <c r="LN1466" t="str">
        <v/>
      </c>
      <c r="LO1466" t="str">
        <v/>
      </c>
    </row>
    <row r="1467" spans="30:327">
      <c r="AD1467" t="s">
        <v>18300</v>
      </c>
      <c r="AE1467" t="s">
        <v>23190</v>
      </c>
      <c r="AF1467" s="46">
        <v>0</v>
      </c>
      <c r="AG1467" s="113"/>
      <c r="AH1467" s="113"/>
      <c r="AI1467" s="113"/>
      <c r="AJ1467" s="113"/>
      <c r="AK1467" s="113"/>
      <c r="AL1467" s="46">
        <v>0</v>
      </c>
      <c r="AM1467" s="113"/>
      <c r="AN1467" s="113"/>
      <c r="AO1467" s="113"/>
      <c r="AP1467" s="113"/>
      <c r="AQ1467" s="113"/>
      <c r="AR1467" s="46">
        <v>0</v>
      </c>
      <c r="AS1467" s="113"/>
      <c r="AT1467" s="113"/>
      <c r="AU1467" s="113"/>
      <c r="AV1467" s="113"/>
      <c r="AW1467" s="113"/>
      <c r="AX1467" s="46">
        <v>0</v>
      </c>
      <c r="AY1467" s="113"/>
      <c r="AZ1467" s="113"/>
      <c r="BA1467" s="113"/>
      <c r="BB1467" s="113"/>
      <c r="BC1467" s="113"/>
      <c r="BD1467" s="46">
        <v>0</v>
      </c>
      <c r="BE1467" s="113"/>
      <c r="BF1467" s="113"/>
      <c r="BG1467" s="113"/>
      <c r="BH1467" s="113"/>
      <c r="BI1467" s="113"/>
      <c r="BJ1467" s="46">
        <v>0</v>
      </c>
      <c r="BK1467" s="113"/>
      <c r="BL1467" s="113"/>
      <c r="BM1467" s="113"/>
      <c r="BN1467" s="113"/>
      <c r="BO1467" s="113"/>
      <c r="BP1467" s="121"/>
      <c r="BQ1467" s="121"/>
      <c r="GA1467" t="s">
        <v>18300</v>
      </c>
      <c r="GB1467" t="s">
        <v>23190</v>
      </c>
      <c r="GC1467" s="46">
        <v>0</v>
      </c>
      <c r="GD1467" s="113"/>
      <c r="GE1467" s="113"/>
      <c r="GF1467" s="113"/>
      <c r="GG1467" s="113"/>
      <c r="GH1467" s="113"/>
      <c r="GI1467" s="46">
        <v>0</v>
      </c>
      <c r="GJ1467" s="113"/>
      <c r="GK1467" s="113"/>
      <c r="GL1467" s="113"/>
      <c r="GM1467" s="113"/>
      <c r="GN1467" s="113"/>
      <c r="GO1467" s="46">
        <v>0</v>
      </c>
      <c r="GP1467" s="113"/>
      <c r="GQ1467" s="113"/>
      <c r="GR1467" s="113"/>
      <c r="GS1467" s="113"/>
      <c r="GT1467" s="113"/>
      <c r="GU1467" s="46">
        <v>0</v>
      </c>
      <c r="GV1467" s="113"/>
      <c r="GW1467" s="113"/>
      <c r="GX1467" s="113"/>
      <c r="GY1467" s="113"/>
      <c r="GZ1467" s="113"/>
      <c r="HA1467" s="46">
        <v>0</v>
      </c>
      <c r="HB1467" s="113"/>
      <c r="HC1467" s="113"/>
      <c r="HD1467" s="113"/>
      <c r="HE1467" s="113"/>
      <c r="HF1467" s="113"/>
      <c r="HG1467" s="46">
        <v>0</v>
      </c>
      <c r="HH1467" s="113"/>
      <c r="HI1467" s="113"/>
      <c r="HJ1467" s="113"/>
      <c r="HK1467" s="113"/>
      <c r="HL1467" s="113"/>
      <c r="HM1467" s="121"/>
      <c r="HN1467" s="121"/>
      <c r="LM1467" t="str">
        <v/>
      </c>
      <c r="LN1467" t="str">
        <v/>
      </c>
      <c r="LO1467" t="str">
        <v/>
      </c>
    </row>
    <row r="1468" spans="30:327">
      <c r="AD1468" t="s">
        <v>18300</v>
      </c>
      <c r="AE1468" t="s">
        <v>23191</v>
      </c>
      <c r="AF1468" s="46">
        <v>0</v>
      </c>
      <c r="AG1468" s="113"/>
      <c r="AH1468" s="113"/>
      <c r="AI1468" s="113"/>
      <c r="AJ1468" s="113"/>
      <c r="AK1468" s="113"/>
      <c r="AL1468" s="46">
        <v>0</v>
      </c>
      <c r="AM1468" s="113"/>
      <c r="AN1468" s="113"/>
      <c r="AO1468" s="113"/>
      <c r="AP1468" s="113"/>
      <c r="AQ1468" s="113"/>
      <c r="AR1468" s="46">
        <v>0</v>
      </c>
      <c r="AS1468" s="113"/>
      <c r="AT1468" s="113"/>
      <c r="AU1468" s="113"/>
      <c r="AV1468" s="113"/>
      <c r="AW1468" s="113"/>
      <c r="AX1468" s="46">
        <v>0</v>
      </c>
      <c r="AY1468" s="113"/>
      <c r="AZ1468" s="113"/>
      <c r="BA1468" s="113"/>
      <c r="BB1468" s="113"/>
      <c r="BC1468" s="113"/>
      <c r="BD1468" s="46">
        <v>0</v>
      </c>
      <c r="BE1468" s="113"/>
      <c r="BF1468" s="113"/>
      <c r="BG1468" s="113"/>
      <c r="BH1468" s="113"/>
      <c r="BI1468" s="113"/>
      <c r="BJ1468" s="46">
        <v>0</v>
      </c>
      <c r="BK1468" s="113"/>
      <c r="BL1468" s="113"/>
      <c r="BM1468" s="113"/>
      <c r="BN1468" s="113"/>
      <c r="BO1468" s="113"/>
      <c r="BP1468" s="121"/>
      <c r="BQ1468" s="121"/>
      <c r="GA1468" t="s">
        <v>18300</v>
      </c>
      <c r="GB1468" t="s">
        <v>23191</v>
      </c>
      <c r="GC1468" s="46">
        <v>0</v>
      </c>
      <c r="GD1468" s="113"/>
      <c r="GE1468" s="113"/>
      <c r="GF1468" s="113"/>
      <c r="GG1468" s="113"/>
      <c r="GH1468" s="113"/>
      <c r="GI1468" s="46">
        <v>0</v>
      </c>
      <c r="GJ1468" s="113"/>
      <c r="GK1468" s="113"/>
      <c r="GL1468" s="113"/>
      <c r="GM1468" s="113"/>
      <c r="GN1468" s="113"/>
      <c r="GO1468" s="46">
        <v>0</v>
      </c>
      <c r="GP1468" s="113"/>
      <c r="GQ1468" s="113"/>
      <c r="GR1468" s="113"/>
      <c r="GS1468" s="113"/>
      <c r="GT1468" s="113"/>
      <c r="GU1468" s="46">
        <v>0</v>
      </c>
      <c r="GV1468" s="113"/>
      <c r="GW1468" s="113"/>
      <c r="GX1468" s="113"/>
      <c r="GY1468" s="113"/>
      <c r="GZ1468" s="113"/>
      <c r="HA1468" s="46">
        <v>0</v>
      </c>
      <c r="HB1468" s="113"/>
      <c r="HC1468" s="113"/>
      <c r="HD1468" s="113"/>
      <c r="HE1468" s="113"/>
      <c r="HF1468" s="113"/>
      <c r="HG1468" s="46">
        <v>0</v>
      </c>
      <c r="HH1468" s="113"/>
      <c r="HI1468" s="113"/>
      <c r="HJ1468" s="113"/>
      <c r="HK1468" s="113"/>
      <c r="HL1468" s="113"/>
      <c r="HM1468" s="121"/>
      <c r="HN1468" s="121"/>
      <c r="LM1468" t="str">
        <v/>
      </c>
      <c r="LN1468" t="str">
        <v/>
      </c>
      <c r="LO1468" t="str">
        <v/>
      </c>
    </row>
    <row r="1469" spans="30:327">
      <c r="AD1469" t="s">
        <v>18300</v>
      </c>
      <c r="AE1469" t="s">
        <v>23192</v>
      </c>
      <c r="AF1469" s="46">
        <v>0</v>
      </c>
      <c r="AG1469" s="113"/>
      <c r="AH1469" s="113"/>
      <c r="AI1469" s="113"/>
      <c r="AJ1469" s="113"/>
      <c r="AK1469" s="113"/>
      <c r="AL1469" s="46">
        <v>0</v>
      </c>
      <c r="AM1469" s="113"/>
      <c r="AN1469" s="113"/>
      <c r="AO1469" s="113"/>
      <c r="AP1469" s="113"/>
      <c r="AQ1469" s="113"/>
      <c r="AR1469" s="46">
        <v>0</v>
      </c>
      <c r="AS1469" s="113"/>
      <c r="AT1469" s="113"/>
      <c r="AU1469" s="113"/>
      <c r="AV1469" s="113"/>
      <c r="AW1469" s="113"/>
      <c r="AX1469" s="46">
        <v>0</v>
      </c>
      <c r="AY1469" s="113"/>
      <c r="AZ1469" s="113"/>
      <c r="BA1469" s="113"/>
      <c r="BB1469" s="113"/>
      <c r="BC1469" s="113"/>
      <c r="BD1469" s="46">
        <v>0</v>
      </c>
      <c r="BE1469" s="113"/>
      <c r="BF1469" s="113"/>
      <c r="BG1469" s="113"/>
      <c r="BH1469" s="113"/>
      <c r="BI1469" s="113"/>
      <c r="BJ1469" s="46">
        <v>0</v>
      </c>
      <c r="BK1469" s="113"/>
      <c r="BL1469" s="113"/>
      <c r="BM1469" s="113"/>
      <c r="BN1469" s="113"/>
      <c r="BO1469" s="113"/>
      <c r="BP1469" s="121"/>
      <c r="BQ1469" s="121"/>
      <c r="GA1469" t="s">
        <v>18300</v>
      </c>
      <c r="GB1469" t="s">
        <v>23192</v>
      </c>
      <c r="GC1469" s="46">
        <v>0</v>
      </c>
      <c r="GD1469" s="113"/>
      <c r="GE1469" s="113"/>
      <c r="GF1469" s="113"/>
      <c r="GG1469" s="113"/>
      <c r="GH1469" s="113"/>
      <c r="GI1469" s="46">
        <v>0</v>
      </c>
      <c r="GJ1469" s="113"/>
      <c r="GK1469" s="113"/>
      <c r="GL1469" s="113"/>
      <c r="GM1469" s="113"/>
      <c r="GN1469" s="113"/>
      <c r="GO1469" s="46">
        <v>0</v>
      </c>
      <c r="GP1469" s="113"/>
      <c r="GQ1469" s="113"/>
      <c r="GR1469" s="113"/>
      <c r="GS1469" s="113"/>
      <c r="GT1469" s="113"/>
      <c r="GU1469" s="46">
        <v>0</v>
      </c>
      <c r="GV1469" s="113"/>
      <c r="GW1469" s="113"/>
      <c r="GX1469" s="113"/>
      <c r="GY1469" s="113"/>
      <c r="GZ1469" s="113"/>
      <c r="HA1469" s="46">
        <v>0</v>
      </c>
      <c r="HB1469" s="113"/>
      <c r="HC1469" s="113"/>
      <c r="HD1469" s="113"/>
      <c r="HE1469" s="113"/>
      <c r="HF1469" s="113"/>
      <c r="HG1469" s="46">
        <v>0</v>
      </c>
      <c r="HH1469" s="113"/>
      <c r="HI1469" s="113"/>
      <c r="HJ1469" s="113"/>
      <c r="HK1469" s="113"/>
      <c r="HL1469" s="113"/>
      <c r="HM1469" s="121"/>
      <c r="HN1469" s="121"/>
      <c r="LM1469" t="str">
        <v/>
      </c>
      <c r="LN1469" t="str">
        <v/>
      </c>
      <c r="LO1469" t="str">
        <v/>
      </c>
    </row>
    <row r="1470" spans="30:327">
      <c r="AD1470" t="s">
        <v>18300</v>
      </c>
      <c r="AE1470" t="s">
        <v>23193</v>
      </c>
      <c r="AF1470" s="46">
        <v>0</v>
      </c>
      <c r="AG1470" s="113"/>
      <c r="AH1470" s="113"/>
      <c r="AI1470" s="113"/>
      <c r="AJ1470" s="113"/>
      <c r="AK1470" s="113"/>
      <c r="AL1470" s="46">
        <v>0</v>
      </c>
      <c r="AM1470" s="113"/>
      <c r="AN1470" s="113"/>
      <c r="AO1470" s="113"/>
      <c r="AP1470" s="113"/>
      <c r="AQ1470" s="113"/>
      <c r="AR1470" s="46">
        <v>0</v>
      </c>
      <c r="AS1470" s="113"/>
      <c r="AT1470" s="113"/>
      <c r="AU1470" s="113"/>
      <c r="AV1470" s="113"/>
      <c r="AW1470" s="113"/>
      <c r="AX1470" s="46">
        <v>0</v>
      </c>
      <c r="AY1470" s="113"/>
      <c r="AZ1470" s="113"/>
      <c r="BA1470" s="113"/>
      <c r="BB1470" s="113"/>
      <c r="BC1470" s="113"/>
      <c r="BD1470" s="46">
        <v>0</v>
      </c>
      <c r="BE1470" s="113"/>
      <c r="BF1470" s="113"/>
      <c r="BG1470" s="113"/>
      <c r="BH1470" s="113"/>
      <c r="BI1470" s="113"/>
      <c r="BJ1470" s="46">
        <v>0</v>
      </c>
      <c r="BK1470" s="113"/>
      <c r="BL1470" s="113"/>
      <c r="BM1470" s="113"/>
      <c r="BN1470" s="113"/>
      <c r="BO1470" s="113"/>
      <c r="BP1470" s="121"/>
      <c r="BQ1470" s="121"/>
      <c r="GA1470" t="s">
        <v>18300</v>
      </c>
      <c r="GB1470" t="s">
        <v>23193</v>
      </c>
      <c r="GC1470" s="46">
        <v>0</v>
      </c>
      <c r="GD1470" s="113"/>
      <c r="GE1470" s="113"/>
      <c r="GF1470" s="113"/>
      <c r="GG1470" s="113"/>
      <c r="GH1470" s="113"/>
      <c r="GI1470" s="46">
        <v>0</v>
      </c>
      <c r="GJ1470" s="113"/>
      <c r="GK1470" s="113"/>
      <c r="GL1470" s="113"/>
      <c r="GM1470" s="113"/>
      <c r="GN1470" s="113"/>
      <c r="GO1470" s="46">
        <v>0</v>
      </c>
      <c r="GP1470" s="113"/>
      <c r="GQ1470" s="113"/>
      <c r="GR1470" s="113"/>
      <c r="GS1470" s="113"/>
      <c r="GT1470" s="113"/>
      <c r="GU1470" s="46">
        <v>0</v>
      </c>
      <c r="GV1470" s="113"/>
      <c r="GW1470" s="113"/>
      <c r="GX1470" s="113"/>
      <c r="GY1470" s="113"/>
      <c r="GZ1470" s="113"/>
      <c r="HA1470" s="46">
        <v>0</v>
      </c>
      <c r="HB1470" s="113"/>
      <c r="HC1470" s="113"/>
      <c r="HD1470" s="113"/>
      <c r="HE1470" s="113"/>
      <c r="HF1470" s="113"/>
      <c r="HG1470" s="46">
        <v>0</v>
      </c>
      <c r="HH1470" s="113"/>
      <c r="HI1470" s="113"/>
      <c r="HJ1470" s="113"/>
      <c r="HK1470" s="113"/>
      <c r="HL1470" s="113"/>
      <c r="HM1470" s="121"/>
      <c r="HN1470" s="121"/>
      <c r="LM1470" t="str">
        <v/>
      </c>
      <c r="LN1470" t="str">
        <v/>
      </c>
      <c r="LO1470" t="str">
        <v/>
      </c>
    </row>
    <row r="1471" spans="30:327">
      <c r="AD1471" t="s">
        <v>18300</v>
      </c>
      <c r="AE1471" t="s">
        <v>23194</v>
      </c>
      <c r="AF1471" s="46">
        <v>0</v>
      </c>
      <c r="AG1471" s="113"/>
      <c r="AH1471" s="113"/>
      <c r="AI1471" s="113"/>
      <c r="AJ1471" s="113"/>
      <c r="AK1471" s="113"/>
      <c r="AL1471" s="46">
        <v>0</v>
      </c>
      <c r="AM1471" s="113"/>
      <c r="AN1471" s="113"/>
      <c r="AO1471" s="113"/>
      <c r="AP1471" s="113"/>
      <c r="AQ1471" s="113"/>
      <c r="AR1471" s="46">
        <v>0</v>
      </c>
      <c r="AS1471" s="113"/>
      <c r="AT1471" s="113"/>
      <c r="AU1471" s="113"/>
      <c r="AV1471" s="113"/>
      <c r="AW1471" s="113"/>
      <c r="AX1471" s="46">
        <v>0</v>
      </c>
      <c r="AY1471" s="113"/>
      <c r="AZ1471" s="113"/>
      <c r="BA1471" s="113"/>
      <c r="BB1471" s="113"/>
      <c r="BC1471" s="113"/>
      <c r="BD1471" s="46">
        <v>0</v>
      </c>
      <c r="BE1471" s="113"/>
      <c r="BF1471" s="113"/>
      <c r="BG1471" s="113"/>
      <c r="BH1471" s="113"/>
      <c r="BI1471" s="113"/>
      <c r="BJ1471" s="46">
        <v>0</v>
      </c>
      <c r="BK1471" s="113"/>
      <c r="BL1471" s="113"/>
      <c r="BM1471" s="113"/>
      <c r="BN1471" s="113"/>
      <c r="BO1471" s="113"/>
      <c r="BP1471" s="121"/>
      <c r="BQ1471" s="121"/>
      <c r="GA1471" t="s">
        <v>18300</v>
      </c>
      <c r="GB1471" t="s">
        <v>23194</v>
      </c>
      <c r="GC1471" s="46">
        <v>0</v>
      </c>
      <c r="GD1471" s="113"/>
      <c r="GE1471" s="113"/>
      <c r="GF1471" s="113"/>
      <c r="GG1471" s="113"/>
      <c r="GH1471" s="113"/>
      <c r="GI1471" s="46">
        <v>0</v>
      </c>
      <c r="GJ1471" s="113"/>
      <c r="GK1471" s="113"/>
      <c r="GL1471" s="113"/>
      <c r="GM1471" s="113"/>
      <c r="GN1471" s="113"/>
      <c r="GO1471" s="46">
        <v>0</v>
      </c>
      <c r="GP1471" s="113"/>
      <c r="GQ1471" s="113"/>
      <c r="GR1471" s="113"/>
      <c r="GS1471" s="113"/>
      <c r="GT1471" s="113"/>
      <c r="GU1471" s="46">
        <v>0</v>
      </c>
      <c r="GV1471" s="113"/>
      <c r="GW1471" s="113"/>
      <c r="GX1471" s="113"/>
      <c r="GY1471" s="113"/>
      <c r="GZ1471" s="113"/>
      <c r="HA1471" s="46">
        <v>0</v>
      </c>
      <c r="HB1471" s="113"/>
      <c r="HC1471" s="113"/>
      <c r="HD1471" s="113"/>
      <c r="HE1471" s="113"/>
      <c r="HF1471" s="113"/>
      <c r="HG1471" s="46">
        <v>0</v>
      </c>
      <c r="HH1471" s="113"/>
      <c r="HI1471" s="113"/>
      <c r="HJ1471" s="113"/>
      <c r="HK1471" s="113"/>
      <c r="HL1471" s="113"/>
      <c r="HM1471" s="121"/>
      <c r="HN1471" s="121"/>
      <c r="LM1471" t="str">
        <v/>
      </c>
      <c r="LN1471" t="str">
        <v/>
      </c>
      <c r="LO1471" t="str">
        <v/>
      </c>
    </row>
    <row r="1472" spans="30:327">
      <c r="AD1472" t="s">
        <v>18300</v>
      </c>
      <c r="AE1472" t="s">
        <v>23195</v>
      </c>
      <c r="AF1472" s="46">
        <v>0</v>
      </c>
      <c r="AG1472" s="113"/>
      <c r="AH1472" s="113"/>
      <c r="AI1472" s="113"/>
      <c r="AJ1472" s="113"/>
      <c r="AK1472" s="113"/>
      <c r="AL1472" s="46">
        <v>0</v>
      </c>
      <c r="AM1472" s="113"/>
      <c r="AN1472" s="113"/>
      <c r="AO1472" s="113"/>
      <c r="AP1472" s="113"/>
      <c r="AQ1472" s="113"/>
      <c r="AR1472" s="46">
        <v>0</v>
      </c>
      <c r="AS1472" s="113"/>
      <c r="AT1472" s="113"/>
      <c r="AU1472" s="113"/>
      <c r="AV1472" s="113"/>
      <c r="AW1472" s="113"/>
      <c r="AX1472" s="46">
        <v>0</v>
      </c>
      <c r="AY1472" s="113"/>
      <c r="AZ1472" s="113"/>
      <c r="BA1472" s="113"/>
      <c r="BB1472" s="113"/>
      <c r="BC1472" s="113"/>
      <c r="BD1472" s="46">
        <v>0</v>
      </c>
      <c r="BE1472" s="113"/>
      <c r="BF1472" s="113"/>
      <c r="BG1472" s="113"/>
      <c r="BH1472" s="113"/>
      <c r="BI1472" s="113"/>
      <c r="BJ1472" s="46">
        <v>0</v>
      </c>
      <c r="BK1472" s="113"/>
      <c r="BL1472" s="113"/>
      <c r="BM1472" s="113"/>
      <c r="BN1472" s="113"/>
      <c r="BO1472" s="113"/>
      <c r="BP1472" s="121"/>
      <c r="BQ1472" s="121"/>
      <c r="GA1472" t="s">
        <v>18300</v>
      </c>
      <c r="GB1472" t="s">
        <v>23195</v>
      </c>
      <c r="GC1472" s="46">
        <v>0</v>
      </c>
      <c r="GD1472" s="113"/>
      <c r="GE1472" s="113"/>
      <c r="GF1472" s="113"/>
      <c r="GG1472" s="113"/>
      <c r="GH1472" s="113"/>
      <c r="GI1472" s="46">
        <v>0</v>
      </c>
      <c r="GJ1472" s="113"/>
      <c r="GK1472" s="113"/>
      <c r="GL1472" s="113"/>
      <c r="GM1472" s="113"/>
      <c r="GN1472" s="113"/>
      <c r="GO1472" s="46">
        <v>0</v>
      </c>
      <c r="GP1472" s="113"/>
      <c r="GQ1472" s="113"/>
      <c r="GR1472" s="113"/>
      <c r="GS1472" s="113"/>
      <c r="GT1472" s="113"/>
      <c r="GU1472" s="46">
        <v>0</v>
      </c>
      <c r="GV1472" s="113"/>
      <c r="GW1472" s="113"/>
      <c r="GX1472" s="113"/>
      <c r="GY1472" s="113"/>
      <c r="GZ1472" s="113"/>
      <c r="HA1472" s="46">
        <v>0</v>
      </c>
      <c r="HB1472" s="113"/>
      <c r="HC1472" s="113"/>
      <c r="HD1472" s="113"/>
      <c r="HE1472" s="113"/>
      <c r="HF1472" s="113"/>
      <c r="HG1472" s="46">
        <v>0</v>
      </c>
      <c r="HH1472" s="113"/>
      <c r="HI1472" s="113"/>
      <c r="HJ1472" s="113"/>
      <c r="HK1472" s="113"/>
      <c r="HL1472" s="113"/>
      <c r="HM1472" s="121"/>
      <c r="HN1472" s="121"/>
      <c r="LM1472" t="str">
        <v/>
      </c>
      <c r="LN1472" t="str">
        <v/>
      </c>
      <c r="LO1472" t="str">
        <v/>
      </c>
    </row>
    <row r="1473" spans="30:327">
      <c r="AD1473" t="s">
        <v>18300</v>
      </c>
      <c r="AE1473" t="s">
        <v>23196</v>
      </c>
      <c r="AF1473" s="46">
        <v>0</v>
      </c>
      <c r="AG1473" s="113"/>
      <c r="AH1473" s="113"/>
      <c r="AI1473" s="113"/>
      <c r="AJ1473" s="113"/>
      <c r="AK1473" s="113"/>
      <c r="AL1473" s="46">
        <v>0</v>
      </c>
      <c r="AM1473" s="113"/>
      <c r="AN1473" s="113"/>
      <c r="AO1473" s="113"/>
      <c r="AP1473" s="113"/>
      <c r="AQ1473" s="113"/>
      <c r="AR1473" s="46">
        <v>0</v>
      </c>
      <c r="AS1473" s="113"/>
      <c r="AT1473" s="113"/>
      <c r="AU1473" s="113"/>
      <c r="AV1473" s="113"/>
      <c r="AW1473" s="113"/>
      <c r="AX1473" s="46">
        <v>0</v>
      </c>
      <c r="AY1473" s="113"/>
      <c r="AZ1473" s="113"/>
      <c r="BA1473" s="113"/>
      <c r="BB1473" s="113"/>
      <c r="BC1473" s="113"/>
      <c r="BD1473" s="46">
        <v>0</v>
      </c>
      <c r="BE1473" s="113"/>
      <c r="BF1473" s="113"/>
      <c r="BG1473" s="113"/>
      <c r="BH1473" s="113"/>
      <c r="BI1473" s="113"/>
      <c r="BJ1473" s="46">
        <v>0</v>
      </c>
      <c r="BK1473" s="113"/>
      <c r="BL1473" s="113"/>
      <c r="BM1473" s="113"/>
      <c r="BN1473" s="113"/>
      <c r="BO1473" s="113"/>
      <c r="BP1473" s="121"/>
      <c r="BQ1473" s="121"/>
      <c r="GA1473" t="s">
        <v>18300</v>
      </c>
      <c r="GB1473" t="s">
        <v>23196</v>
      </c>
      <c r="GC1473" s="46">
        <v>0</v>
      </c>
      <c r="GD1473" s="113"/>
      <c r="GE1473" s="113"/>
      <c r="GF1473" s="113"/>
      <c r="GG1473" s="113"/>
      <c r="GH1473" s="113"/>
      <c r="GI1473" s="46">
        <v>0</v>
      </c>
      <c r="GJ1473" s="113"/>
      <c r="GK1473" s="113"/>
      <c r="GL1473" s="113"/>
      <c r="GM1473" s="113"/>
      <c r="GN1473" s="113"/>
      <c r="GO1473" s="46">
        <v>0</v>
      </c>
      <c r="GP1473" s="113"/>
      <c r="GQ1473" s="113"/>
      <c r="GR1473" s="113"/>
      <c r="GS1473" s="113"/>
      <c r="GT1473" s="113"/>
      <c r="GU1473" s="46">
        <v>0</v>
      </c>
      <c r="GV1473" s="113"/>
      <c r="GW1473" s="113"/>
      <c r="GX1473" s="113"/>
      <c r="GY1473" s="113"/>
      <c r="GZ1473" s="113"/>
      <c r="HA1473" s="46">
        <v>0</v>
      </c>
      <c r="HB1473" s="113"/>
      <c r="HC1473" s="113"/>
      <c r="HD1473" s="113"/>
      <c r="HE1473" s="113"/>
      <c r="HF1473" s="113"/>
      <c r="HG1473" s="46">
        <v>0</v>
      </c>
      <c r="HH1473" s="113"/>
      <c r="HI1473" s="113"/>
      <c r="HJ1473" s="113"/>
      <c r="HK1473" s="113"/>
      <c r="HL1473" s="113"/>
      <c r="HM1473" s="121"/>
      <c r="HN1473" s="121"/>
      <c r="LM1473" t="str">
        <v/>
      </c>
      <c r="LN1473" t="str">
        <v/>
      </c>
      <c r="LO1473" t="str">
        <v/>
      </c>
    </row>
    <row r="1474" spans="30:327">
      <c r="AD1474" t="s">
        <v>18300</v>
      </c>
      <c r="AE1474" t="s">
        <v>23197</v>
      </c>
      <c r="AF1474" s="46">
        <v>0</v>
      </c>
      <c r="AG1474" s="113"/>
      <c r="AH1474" s="113"/>
      <c r="AI1474" s="113"/>
      <c r="AJ1474" s="113"/>
      <c r="AK1474" s="113"/>
      <c r="AL1474" s="46">
        <v>0</v>
      </c>
      <c r="AM1474" s="113"/>
      <c r="AN1474" s="113"/>
      <c r="AO1474" s="113"/>
      <c r="AP1474" s="113"/>
      <c r="AQ1474" s="113"/>
      <c r="AR1474" s="46">
        <v>0</v>
      </c>
      <c r="AS1474" s="113"/>
      <c r="AT1474" s="113"/>
      <c r="AU1474" s="113"/>
      <c r="AV1474" s="113"/>
      <c r="AW1474" s="113"/>
      <c r="AX1474" s="46">
        <v>0</v>
      </c>
      <c r="AY1474" s="113"/>
      <c r="AZ1474" s="113"/>
      <c r="BA1474" s="113"/>
      <c r="BB1474" s="113"/>
      <c r="BC1474" s="113"/>
      <c r="BD1474" s="46">
        <v>0</v>
      </c>
      <c r="BE1474" s="113"/>
      <c r="BF1474" s="113"/>
      <c r="BG1474" s="113"/>
      <c r="BH1474" s="113"/>
      <c r="BI1474" s="113"/>
      <c r="BJ1474" s="46">
        <v>0</v>
      </c>
      <c r="BK1474" s="113"/>
      <c r="BL1474" s="113"/>
      <c r="BM1474" s="113"/>
      <c r="BN1474" s="113"/>
      <c r="BO1474" s="113"/>
      <c r="BP1474" s="121"/>
      <c r="BQ1474" s="121"/>
      <c r="GA1474" t="s">
        <v>18300</v>
      </c>
      <c r="GB1474" t="s">
        <v>23197</v>
      </c>
      <c r="GC1474" s="46">
        <v>0</v>
      </c>
      <c r="GD1474" s="113"/>
      <c r="GE1474" s="113"/>
      <c r="GF1474" s="113"/>
      <c r="GG1474" s="113"/>
      <c r="GH1474" s="113"/>
      <c r="GI1474" s="46">
        <v>0</v>
      </c>
      <c r="GJ1474" s="113"/>
      <c r="GK1474" s="113"/>
      <c r="GL1474" s="113"/>
      <c r="GM1474" s="113"/>
      <c r="GN1474" s="113"/>
      <c r="GO1474" s="46">
        <v>0</v>
      </c>
      <c r="GP1474" s="113"/>
      <c r="GQ1474" s="113"/>
      <c r="GR1474" s="113"/>
      <c r="GS1474" s="113"/>
      <c r="GT1474" s="113"/>
      <c r="GU1474" s="46">
        <v>0</v>
      </c>
      <c r="GV1474" s="113"/>
      <c r="GW1474" s="113"/>
      <c r="GX1474" s="113"/>
      <c r="GY1474" s="113"/>
      <c r="GZ1474" s="113"/>
      <c r="HA1474" s="46">
        <v>0</v>
      </c>
      <c r="HB1474" s="113"/>
      <c r="HC1474" s="113"/>
      <c r="HD1474" s="113"/>
      <c r="HE1474" s="113"/>
      <c r="HF1474" s="113"/>
      <c r="HG1474" s="46">
        <v>0</v>
      </c>
      <c r="HH1474" s="113"/>
      <c r="HI1474" s="113"/>
      <c r="HJ1474" s="113"/>
      <c r="HK1474" s="113"/>
      <c r="HL1474" s="113"/>
      <c r="HM1474" s="121"/>
      <c r="HN1474" s="121"/>
      <c r="LM1474" t="str">
        <v/>
      </c>
      <c r="LN1474" t="str">
        <v/>
      </c>
      <c r="LO1474" t="str">
        <v/>
      </c>
    </row>
    <row r="1475" spans="30:327">
      <c r="AD1475" t="s">
        <v>18300</v>
      </c>
      <c r="AE1475" t="s">
        <v>23198</v>
      </c>
      <c r="AF1475" s="46">
        <v>0</v>
      </c>
      <c r="AG1475" s="113"/>
      <c r="AH1475" s="113"/>
      <c r="AI1475" s="113"/>
      <c r="AJ1475" s="113"/>
      <c r="AK1475" s="113"/>
      <c r="AL1475" s="46">
        <v>0</v>
      </c>
      <c r="AM1475" s="113"/>
      <c r="AN1475" s="113"/>
      <c r="AO1475" s="113"/>
      <c r="AP1475" s="113"/>
      <c r="AQ1475" s="113"/>
      <c r="AR1475" s="46">
        <v>0</v>
      </c>
      <c r="AS1475" s="113"/>
      <c r="AT1475" s="113"/>
      <c r="AU1475" s="113"/>
      <c r="AV1475" s="113"/>
      <c r="AW1475" s="113"/>
      <c r="AX1475" s="46">
        <v>0</v>
      </c>
      <c r="AY1475" s="113"/>
      <c r="AZ1475" s="113"/>
      <c r="BA1475" s="113"/>
      <c r="BB1475" s="113"/>
      <c r="BC1475" s="113"/>
      <c r="BD1475" s="46">
        <v>0</v>
      </c>
      <c r="BE1475" s="113"/>
      <c r="BF1475" s="113"/>
      <c r="BG1475" s="113"/>
      <c r="BH1475" s="113"/>
      <c r="BI1475" s="113"/>
      <c r="BJ1475" s="46">
        <v>0</v>
      </c>
      <c r="BK1475" s="113"/>
      <c r="BL1475" s="113"/>
      <c r="BM1475" s="113"/>
      <c r="BN1475" s="113"/>
      <c r="BO1475" s="113"/>
      <c r="BP1475" s="121"/>
      <c r="BQ1475" s="121"/>
      <c r="GA1475" t="s">
        <v>18300</v>
      </c>
      <c r="GB1475" t="s">
        <v>23198</v>
      </c>
      <c r="GC1475" s="46">
        <v>0</v>
      </c>
      <c r="GD1475" s="113"/>
      <c r="GE1475" s="113"/>
      <c r="GF1475" s="113"/>
      <c r="GG1475" s="113"/>
      <c r="GH1475" s="113"/>
      <c r="GI1475" s="46">
        <v>0</v>
      </c>
      <c r="GJ1475" s="113"/>
      <c r="GK1475" s="113"/>
      <c r="GL1475" s="113"/>
      <c r="GM1475" s="113"/>
      <c r="GN1475" s="113"/>
      <c r="GO1475" s="46">
        <v>0</v>
      </c>
      <c r="GP1475" s="113"/>
      <c r="GQ1475" s="113"/>
      <c r="GR1475" s="113"/>
      <c r="GS1475" s="113"/>
      <c r="GT1475" s="113"/>
      <c r="GU1475" s="46">
        <v>0</v>
      </c>
      <c r="GV1475" s="113"/>
      <c r="GW1475" s="113"/>
      <c r="GX1475" s="113"/>
      <c r="GY1475" s="113"/>
      <c r="GZ1475" s="113"/>
      <c r="HA1475" s="46">
        <v>0</v>
      </c>
      <c r="HB1475" s="113"/>
      <c r="HC1475" s="113"/>
      <c r="HD1475" s="113"/>
      <c r="HE1475" s="113"/>
      <c r="HF1475" s="113"/>
      <c r="HG1475" s="46">
        <v>0</v>
      </c>
      <c r="HH1475" s="113"/>
      <c r="HI1475" s="113"/>
      <c r="HJ1475" s="113"/>
      <c r="HK1475" s="113"/>
      <c r="HL1475" s="113"/>
      <c r="HM1475" s="121"/>
      <c r="HN1475" s="121"/>
      <c r="LM1475" t="str">
        <v/>
      </c>
      <c r="LN1475" t="str">
        <v/>
      </c>
      <c r="LO1475" t="str">
        <v/>
      </c>
    </row>
    <row r="1476" spans="30:327">
      <c r="AD1476" t="s">
        <v>18300</v>
      </c>
      <c r="AE1476" t="s">
        <v>23199</v>
      </c>
      <c r="AF1476" s="46">
        <v>0</v>
      </c>
      <c r="AG1476" s="113"/>
      <c r="AH1476" s="113"/>
      <c r="AI1476" s="113"/>
      <c r="AJ1476" s="113"/>
      <c r="AK1476" s="113"/>
      <c r="AL1476" s="46">
        <v>0</v>
      </c>
      <c r="AM1476" s="113"/>
      <c r="AN1476" s="113"/>
      <c r="AO1476" s="113"/>
      <c r="AP1476" s="113"/>
      <c r="AQ1476" s="113"/>
      <c r="AR1476" s="46">
        <v>0</v>
      </c>
      <c r="AS1476" s="113"/>
      <c r="AT1476" s="113"/>
      <c r="AU1476" s="113"/>
      <c r="AV1476" s="113"/>
      <c r="AW1476" s="113"/>
      <c r="AX1476" s="46">
        <v>0</v>
      </c>
      <c r="AY1476" s="113"/>
      <c r="AZ1476" s="113"/>
      <c r="BA1476" s="113"/>
      <c r="BB1476" s="113"/>
      <c r="BC1476" s="113"/>
      <c r="BD1476" s="46">
        <v>0</v>
      </c>
      <c r="BE1476" s="113"/>
      <c r="BF1476" s="113"/>
      <c r="BG1476" s="113"/>
      <c r="BH1476" s="113"/>
      <c r="BI1476" s="113"/>
      <c r="BJ1476" s="46">
        <v>0</v>
      </c>
      <c r="BK1476" s="113"/>
      <c r="BL1476" s="113"/>
      <c r="BM1476" s="113"/>
      <c r="BN1476" s="113"/>
      <c r="BO1476" s="113"/>
      <c r="BP1476" s="121"/>
      <c r="BQ1476" s="121"/>
      <c r="GA1476" t="s">
        <v>18300</v>
      </c>
      <c r="GB1476" t="s">
        <v>23199</v>
      </c>
      <c r="GC1476" s="46">
        <v>0</v>
      </c>
      <c r="GD1476" s="113"/>
      <c r="GE1476" s="113"/>
      <c r="GF1476" s="113"/>
      <c r="GG1476" s="113"/>
      <c r="GH1476" s="113"/>
      <c r="GI1476" s="46">
        <v>0</v>
      </c>
      <c r="GJ1476" s="113"/>
      <c r="GK1476" s="113"/>
      <c r="GL1476" s="113"/>
      <c r="GM1476" s="113"/>
      <c r="GN1476" s="113"/>
      <c r="GO1476" s="46">
        <v>0</v>
      </c>
      <c r="GP1476" s="113"/>
      <c r="GQ1476" s="113"/>
      <c r="GR1476" s="113"/>
      <c r="GS1476" s="113"/>
      <c r="GT1476" s="113"/>
      <c r="GU1476" s="46">
        <v>0</v>
      </c>
      <c r="GV1476" s="113"/>
      <c r="GW1476" s="113"/>
      <c r="GX1476" s="113"/>
      <c r="GY1476" s="113"/>
      <c r="GZ1476" s="113"/>
      <c r="HA1476" s="46">
        <v>0</v>
      </c>
      <c r="HB1476" s="113"/>
      <c r="HC1476" s="113"/>
      <c r="HD1476" s="113"/>
      <c r="HE1476" s="113"/>
      <c r="HF1476" s="113"/>
      <c r="HG1476" s="46">
        <v>0</v>
      </c>
      <c r="HH1476" s="113"/>
      <c r="HI1476" s="113"/>
      <c r="HJ1476" s="113"/>
      <c r="HK1476" s="113"/>
      <c r="HL1476" s="113"/>
      <c r="HM1476" s="121"/>
      <c r="HN1476" s="121"/>
      <c r="LM1476" t="str">
        <v/>
      </c>
      <c r="LN1476" t="str">
        <v/>
      </c>
      <c r="LO1476" t="str">
        <v/>
      </c>
    </row>
    <row r="1477" spans="30:327">
      <c r="AD1477" t="s">
        <v>18300</v>
      </c>
      <c r="AE1477" t="s">
        <v>23200</v>
      </c>
      <c r="AF1477" s="46">
        <v>0</v>
      </c>
      <c r="AG1477" s="113"/>
      <c r="AH1477" s="113"/>
      <c r="AI1477" s="113"/>
      <c r="AJ1477" s="113"/>
      <c r="AK1477" s="113"/>
      <c r="AL1477" s="46">
        <v>0</v>
      </c>
      <c r="AM1477" s="113"/>
      <c r="AN1477" s="113"/>
      <c r="AO1477" s="113"/>
      <c r="AP1477" s="113"/>
      <c r="AQ1477" s="113"/>
      <c r="AR1477" s="46">
        <v>0</v>
      </c>
      <c r="AS1477" s="113"/>
      <c r="AT1477" s="113"/>
      <c r="AU1477" s="113"/>
      <c r="AV1477" s="113"/>
      <c r="AW1477" s="113"/>
      <c r="AX1477" s="46">
        <v>0</v>
      </c>
      <c r="AY1477" s="113"/>
      <c r="AZ1477" s="113"/>
      <c r="BA1477" s="113"/>
      <c r="BB1477" s="113"/>
      <c r="BC1477" s="113"/>
      <c r="BD1477" s="46">
        <v>0</v>
      </c>
      <c r="BE1477" s="113"/>
      <c r="BF1477" s="113"/>
      <c r="BG1477" s="113"/>
      <c r="BH1477" s="113"/>
      <c r="BI1477" s="113"/>
      <c r="BJ1477" s="46">
        <v>0</v>
      </c>
      <c r="BK1477" s="113"/>
      <c r="BL1477" s="113"/>
      <c r="BM1477" s="113"/>
      <c r="BN1477" s="113"/>
      <c r="BO1477" s="113"/>
      <c r="BP1477" s="121"/>
      <c r="BQ1477" s="121"/>
      <c r="GA1477" t="s">
        <v>18300</v>
      </c>
      <c r="GB1477" t="s">
        <v>23200</v>
      </c>
      <c r="GC1477" s="46">
        <v>0</v>
      </c>
      <c r="GD1477" s="113"/>
      <c r="GE1477" s="113"/>
      <c r="GF1477" s="113"/>
      <c r="GG1477" s="113"/>
      <c r="GH1477" s="113"/>
      <c r="GI1477" s="46">
        <v>0</v>
      </c>
      <c r="GJ1477" s="113"/>
      <c r="GK1477" s="113"/>
      <c r="GL1477" s="113"/>
      <c r="GM1477" s="113"/>
      <c r="GN1477" s="113"/>
      <c r="GO1477" s="46">
        <v>0</v>
      </c>
      <c r="GP1477" s="113"/>
      <c r="GQ1477" s="113"/>
      <c r="GR1477" s="113"/>
      <c r="GS1477" s="113"/>
      <c r="GT1477" s="113"/>
      <c r="GU1477" s="46">
        <v>0</v>
      </c>
      <c r="GV1477" s="113"/>
      <c r="GW1477" s="113"/>
      <c r="GX1477" s="113"/>
      <c r="GY1477" s="113"/>
      <c r="GZ1477" s="113"/>
      <c r="HA1477" s="46">
        <v>0</v>
      </c>
      <c r="HB1477" s="113"/>
      <c r="HC1477" s="113"/>
      <c r="HD1477" s="113"/>
      <c r="HE1477" s="113"/>
      <c r="HF1477" s="113"/>
      <c r="HG1477" s="46">
        <v>0</v>
      </c>
      <c r="HH1477" s="113"/>
      <c r="HI1477" s="113"/>
      <c r="HJ1477" s="113"/>
      <c r="HK1477" s="113"/>
      <c r="HL1477" s="113"/>
      <c r="HM1477" s="121"/>
      <c r="HN1477" s="121"/>
      <c r="LM1477" t="str">
        <v/>
      </c>
      <c r="LN1477" t="str">
        <v/>
      </c>
      <c r="LO1477" t="str">
        <v/>
      </c>
    </row>
    <row r="1478" spans="30:327">
      <c r="AD1478" t="s">
        <v>18300</v>
      </c>
      <c r="AE1478" t="s">
        <v>23201</v>
      </c>
      <c r="AF1478" s="46">
        <v>0</v>
      </c>
      <c r="AG1478" s="113"/>
      <c r="AH1478" s="113"/>
      <c r="AI1478" s="113"/>
      <c r="AJ1478" s="113"/>
      <c r="AK1478" s="113"/>
      <c r="AL1478" s="46">
        <v>0</v>
      </c>
      <c r="AM1478" s="113"/>
      <c r="AN1478" s="113"/>
      <c r="AO1478" s="113"/>
      <c r="AP1478" s="113"/>
      <c r="AQ1478" s="113"/>
      <c r="AR1478" s="46">
        <v>0</v>
      </c>
      <c r="AS1478" s="113"/>
      <c r="AT1478" s="113"/>
      <c r="AU1478" s="113"/>
      <c r="AV1478" s="113"/>
      <c r="AW1478" s="113"/>
      <c r="AX1478" s="46">
        <v>0</v>
      </c>
      <c r="AY1478" s="113"/>
      <c r="AZ1478" s="113"/>
      <c r="BA1478" s="113"/>
      <c r="BB1478" s="113"/>
      <c r="BC1478" s="113"/>
      <c r="BD1478" s="46">
        <v>0</v>
      </c>
      <c r="BE1478" s="113"/>
      <c r="BF1478" s="113"/>
      <c r="BG1478" s="113"/>
      <c r="BH1478" s="113"/>
      <c r="BI1478" s="113"/>
      <c r="BJ1478" s="46">
        <v>0</v>
      </c>
      <c r="BK1478" s="113"/>
      <c r="BL1478" s="113"/>
      <c r="BM1478" s="113"/>
      <c r="BN1478" s="113"/>
      <c r="BO1478" s="113"/>
      <c r="BP1478" s="121"/>
      <c r="BQ1478" s="121"/>
      <c r="GA1478" t="s">
        <v>18300</v>
      </c>
      <c r="GB1478" t="s">
        <v>23201</v>
      </c>
      <c r="GC1478" s="46">
        <v>0</v>
      </c>
      <c r="GD1478" s="113"/>
      <c r="GE1478" s="113"/>
      <c r="GF1478" s="113"/>
      <c r="GG1478" s="113"/>
      <c r="GH1478" s="113"/>
      <c r="GI1478" s="46">
        <v>0</v>
      </c>
      <c r="GJ1478" s="113"/>
      <c r="GK1478" s="113"/>
      <c r="GL1478" s="113"/>
      <c r="GM1478" s="113"/>
      <c r="GN1478" s="113"/>
      <c r="GO1478" s="46">
        <v>0</v>
      </c>
      <c r="GP1478" s="113"/>
      <c r="GQ1478" s="113"/>
      <c r="GR1478" s="113"/>
      <c r="GS1478" s="113"/>
      <c r="GT1478" s="113"/>
      <c r="GU1478" s="46">
        <v>0</v>
      </c>
      <c r="GV1478" s="113"/>
      <c r="GW1478" s="113"/>
      <c r="GX1478" s="113"/>
      <c r="GY1478" s="113"/>
      <c r="GZ1478" s="113"/>
      <c r="HA1478" s="46">
        <v>0</v>
      </c>
      <c r="HB1478" s="113"/>
      <c r="HC1478" s="113"/>
      <c r="HD1478" s="113"/>
      <c r="HE1478" s="113"/>
      <c r="HF1478" s="113"/>
      <c r="HG1478" s="46">
        <v>0</v>
      </c>
      <c r="HH1478" s="113"/>
      <c r="HI1478" s="113"/>
      <c r="HJ1478" s="113"/>
      <c r="HK1478" s="113"/>
      <c r="HL1478" s="113"/>
      <c r="HM1478" s="121"/>
      <c r="HN1478" s="121"/>
      <c r="LM1478" t="str">
        <v/>
      </c>
      <c r="LN1478" t="str">
        <v/>
      </c>
      <c r="LO1478" t="str">
        <v/>
      </c>
    </row>
    <row r="1479" spans="30:327">
      <c r="AD1479" t="s">
        <v>18300</v>
      </c>
      <c r="AE1479" t="s">
        <v>23202</v>
      </c>
      <c r="AF1479" s="46">
        <v>0</v>
      </c>
      <c r="AG1479" s="113"/>
      <c r="AH1479" s="113"/>
      <c r="AI1479" s="113"/>
      <c r="AJ1479" s="113"/>
      <c r="AK1479" s="113"/>
      <c r="AL1479" s="46">
        <v>0</v>
      </c>
      <c r="AM1479" s="113"/>
      <c r="AN1479" s="113"/>
      <c r="AO1479" s="113"/>
      <c r="AP1479" s="113"/>
      <c r="AQ1479" s="113"/>
      <c r="AR1479" s="46">
        <v>0</v>
      </c>
      <c r="AS1479" s="113"/>
      <c r="AT1479" s="113"/>
      <c r="AU1479" s="113"/>
      <c r="AV1479" s="113"/>
      <c r="AW1479" s="113"/>
      <c r="AX1479" s="46">
        <v>0</v>
      </c>
      <c r="AY1479" s="113"/>
      <c r="AZ1479" s="113"/>
      <c r="BA1479" s="113"/>
      <c r="BB1479" s="113"/>
      <c r="BC1479" s="113"/>
      <c r="BD1479" s="46">
        <v>0</v>
      </c>
      <c r="BE1479" s="113"/>
      <c r="BF1479" s="113"/>
      <c r="BG1479" s="113"/>
      <c r="BH1479" s="113"/>
      <c r="BI1479" s="113"/>
      <c r="BJ1479" s="46">
        <v>0</v>
      </c>
      <c r="BK1479" s="113"/>
      <c r="BL1479" s="113"/>
      <c r="BM1479" s="113"/>
      <c r="BN1479" s="113"/>
      <c r="BO1479" s="113"/>
      <c r="BP1479" s="121"/>
      <c r="BQ1479" s="121"/>
      <c r="GA1479" t="s">
        <v>18300</v>
      </c>
      <c r="GB1479" t="s">
        <v>23202</v>
      </c>
      <c r="GC1479" s="46">
        <v>0</v>
      </c>
      <c r="GD1479" s="113"/>
      <c r="GE1479" s="113"/>
      <c r="GF1479" s="113"/>
      <c r="GG1479" s="113"/>
      <c r="GH1479" s="113"/>
      <c r="GI1479" s="46">
        <v>0</v>
      </c>
      <c r="GJ1479" s="113"/>
      <c r="GK1479" s="113"/>
      <c r="GL1479" s="113"/>
      <c r="GM1479" s="113"/>
      <c r="GN1479" s="113"/>
      <c r="GO1479" s="46">
        <v>0</v>
      </c>
      <c r="GP1479" s="113"/>
      <c r="GQ1479" s="113"/>
      <c r="GR1479" s="113"/>
      <c r="GS1479" s="113"/>
      <c r="GT1479" s="113"/>
      <c r="GU1479" s="46">
        <v>0</v>
      </c>
      <c r="GV1479" s="113"/>
      <c r="GW1479" s="113"/>
      <c r="GX1479" s="113"/>
      <c r="GY1479" s="113"/>
      <c r="GZ1479" s="113"/>
      <c r="HA1479" s="46">
        <v>0</v>
      </c>
      <c r="HB1479" s="113"/>
      <c r="HC1479" s="113"/>
      <c r="HD1479" s="113"/>
      <c r="HE1479" s="113"/>
      <c r="HF1479" s="113"/>
      <c r="HG1479" s="46">
        <v>0</v>
      </c>
      <c r="HH1479" s="113"/>
      <c r="HI1479" s="113"/>
      <c r="HJ1479" s="113"/>
      <c r="HK1479" s="113"/>
      <c r="HL1479" s="113"/>
      <c r="HM1479" s="121"/>
      <c r="HN1479" s="121"/>
      <c r="LM1479" t="str">
        <v/>
      </c>
      <c r="LN1479" t="str">
        <v/>
      </c>
      <c r="LO1479" t="str">
        <v/>
      </c>
    </row>
    <row r="1480" spans="30:327">
      <c r="AD1480" t="s">
        <v>18300</v>
      </c>
      <c r="AE1480" t="s">
        <v>23203</v>
      </c>
      <c r="AF1480" s="46">
        <v>0</v>
      </c>
      <c r="AG1480" s="113"/>
      <c r="AH1480" s="113"/>
      <c r="AI1480" s="113"/>
      <c r="AJ1480" s="113"/>
      <c r="AK1480" s="113"/>
      <c r="AL1480" s="46">
        <v>0</v>
      </c>
      <c r="AM1480" s="113"/>
      <c r="AN1480" s="113"/>
      <c r="AO1480" s="113"/>
      <c r="AP1480" s="113"/>
      <c r="AQ1480" s="113"/>
      <c r="AR1480" s="46">
        <v>0</v>
      </c>
      <c r="AS1480" s="113"/>
      <c r="AT1480" s="113"/>
      <c r="AU1480" s="113"/>
      <c r="AV1480" s="113"/>
      <c r="AW1480" s="113"/>
      <c r="AX1480" s="46">
        <v>0</v>
      </c>
      <c r="AY1480" s="113"/>
      <c r="AZ1480" s="113"/>
      <c r="BA1480" s="113"/>
      <c r="BB1480" s="113"/>
      <c r="BC1480" s="113"/>
      <c r="BD1480" s="46">
        <v>0</v>
      </c>
      <c r="BE1480" s="113"/>
      <c r="BF1480" s="113"/>
      <c r="BG1480" s="113"/>
      <c r="BH1480" s="113"/>
      <c r="BI1480" s="113"/>
      <c r="BJ1480" s="46">
        <v>0</v>
      </c>
      <c r="BK1480" s="113"/>
      <c r="BL1480" s="113"/>
      <c r="BM1480" s="113"/>
      <c r="BN1480" s="113"/>
      <c r="BO1480" s="113"/>
      <c r="BP1480" s="121"/>
      <c r="BQ1480" s="121"/>
      <c r="GA1480" t="s">
        <v>18300</v>
      </c>
      <c r="GB1480" t="s">
        <v>23203</v>
      </c>
      <c r="GC1480" s="46">
        <v>0</v>
      </c>
      <c r="GD1480" s="113"/>
      <c r="GE1480" s="113"/>
      <c r="GF1480" s="113"/>
      <c r="GG1480" s="113"/>
      <c r="GH1480" s="113"/>
      <c r="GI1480" s="46">
        <v>0</v>
      </c>
      <c r="GJ1480" s="113"/>
      <c r="GK1480" s="113"/>
      <c r="GL1480" s="113"/>
      <c r="GM1480" s="113"/>
      <c r="GN1480" s="113"/>
      <c r="GO1480" s="46">
        <v>0</v>
      </c>
      <c r="GP1480" s="113"/>
      <c r="GQ1480" s="113"/>
      <c r="GR1480" s="113"/>
      <c r="GS1480" s="113"/>
      <c r="GT1480" s="113"/>
      <c r="GU1480" s="46">
        <v>0</v>
      </c>
      <c r="GV1480" s="113"/>
      <c r="GW1480" s="113"/>
      <c r="GX1480" s="113"/>
      <c r="GY1480" s="113"/>
      <c r="GZ1480" s="113"/>
      <c r="HA1480" s="46">
        <v>0</v>
      </c>
      <c r="HB1480" s="113"/>
      <c r="HC1480" s="113"/>
      <c r="HD1480" s="113"/>
      <c r="HE1480" s="113"/>
      <c r="HF1480" s="113"/>
      <c r="HG1480" s="46">
        <v>0</v>
      </c>
      <c r="HH1480" s="113"/>
      <c r="HI1480" s="113"/>
      <c r="HJ1480" s="113"/>
      <c r="HK1480" s="113"/>
      <c r="HL1480" s="113"/>
      <c r="HM1480" s="121"/>
      <c r="HN1480" s="121"/>
      <c r="LM1480" t="str">
        <v/>
      </c>
      <c r="LN1480" t="str">
        <v/>
      </c>
      <c r="LO1480" t="str">
        <v/>
      </c>
    </row>
    <row r="1481" spans="30:327">
      <c r="AD1481" t="s">
        <v>18300</v>
      </c>
      <c r="AE1481" t="s">
        <v>23204</v>
      </c>
      <c r="AF1481" s="46">
        <v>0</v>
      </c>
      <c r="AG1481" s="113"/>
      <c r="AH1481" s="113"/>
      <c r="AI1481" s="113"/>
      <c r="AJ1481" s="113"/>
      <c r="AK1481" s="113"/>
      <c r="AL1481" s="46">
        <v>0</v>
      </c>
      <c r="AM1481" s="113"/>
      <c r="AN1481" s="113"/>
      <c r="AO1481" s="113"/>
      <c r="AP1481" s="113"/>
      <c r="AQ1481" s="113"/>
      <c r="AR1481" s="46">
        <v>0</v>
      </c>
      <c r="AS1481" s="113"/>
      <c r="AT1481" s="113"/>
      <c r="AU1481" s="113"/>
      <c r="AV1481" s="113"/>
      <c r="AW1481" s="113"/>
      <c r="AX1481" s="46">
        <v>0</v>
      </c>
      <c r="AY1481" s="113"/>
      <c r="AZ1481" s="113"/>
      <c r="BA1481" s="113"/>
      <c r="BB1481" s="113"/>
      <c r="BC1481" s="113"/>
      <c r="BD1481" s="46">
        <v>0</v>
      </c>
      <c r="BE1481" s="113"/>
      <c r="BF1481" s="113"/>
      <c r="BG1481" s="113"/>
      <c r="BH1481" s="113"/>
      <c r="BI1481" s="113"/>
      <c r="BJ1481" s="46">
        <v>0</v>
      </c>
      <c r="BK1481" s="113"/>
      <c r="BL1481" s="113"/>
      <c r="BM1481" s="113"/>
      <c r="BN1481" s="113"/>
      <c r="BO1481" s="113"/>
      <c r="BP1481" s="121"/>
      <c r="BQ1481" s="121"/>
      <c r="GA1481" t="s">
        <v>18300</v>
      </c>
      <c r="GB1481" t="s">
        <v>23204</v>
      </c>
      <c r="GC1481" s="46">
        <v>0</v>
      </c>
      <c r="GD1481" s="113"/>
      <c r="GE1481" s="113"/>
      <c r="GF1481" s="113"/>
      <c r="GG1481" s="113"/>
      <c r="GH1481" s="113"/>
      <c r="GI1481" s="46">
        <v>0</v>
      </c>
      <c r="GJ1481" s="113"/>
      <c r="GK1481" s="113"/>
      <c r="GL1481" s="113"/>
      <c r="GM1481" s="113"/>
      <c r="GN1481" s="113"/>
      <c r="GO1481" s="46">
        <v>0</v>
      </c>
      <c r="GP1481" s="113"/>
      <c r="GQ1481" s="113"/>
      <c r="GR1481" s="113"/>
      <c r="GS1481" s="113"/>
      <c r="GT1481" s="113"/>
      <c r="GU1481" s="46">
        <v>0</v>
      </c>
      <c r="GV1481" s="113"/>
      <c r="GW1481" s="113"/>
      <c r="GX1481" s="113"/>
      <c r="GY1481" s="113"/>
      <c r="GZ1481" s="113"/>
      <c r="HA1481" s="46">
        <v>0</v>
      </c>
      <c r="HB1481" s="113"/>
      <c r="HC1481" s="113"/>
      <c r="HD1481" s="113"/>
      <c r="HE1481" s="113"/>
      <c r="HF1481" s="113"/>
      <c r="HG1481" s="46">
        <v>0</v>
      </c>
      <c r="HH1481" s="113"/>
      <c r="HI1481" s="113"/>
      <c r="HJ1481" s="113"/>
      <c r="HK1481" s="113"/>
      <c r="HL1481" s="113"/>
      <c r="HM1481" s="121"/>
      <c r="HN1481" s="121"/>
      <c r="LM1481" t="str">
        <v/>
      </c>
      <c r="LN1481" t="str">
        <v/>
      </c>
      <c r="LO1481" t="str">
        <v/>
      </c>
    </row>
    <row r="1482" spans="30:327">
      <c r="AD1482" t="s">
        <v>18300</v>
      </c>
      <c r="AE1482" t="s">
        <v>23205</v>
      </c>
      <c r="AF1482" s="46">
        <v>0</v>
      </c>
      <c r="AG1482" s="113"/>
      <c r="AH1482" s="113"/>
      <c r="AI1482" s="113"/>
      <c r="AJ1482" s="113"/>
      <c r="AK1482" s="113"/>
      <c r="AL1482" s="46">
        <v>0</v>
      </c>
      <c r="AM1482" s="113"/>
      <c r="AN1482" s="113"/>
      <c r="AO1482" s="113"/>
      <c r="AP1482" s="113"/>
      <c r="AQ1482" s="113"/>
      <c r="AR1482" s="46">
        <v>0</v>
      </c>
      <c r="AS1482" s="113"/>
      <c r="AT1482" s="113"/>
      <c r="AU1482" s="113"/>
      <c r="AV1482" s="113"/>
      <c r="AW1482" s="113"/>
      <c r="AX1482" s="46">
        <v>0</v>
      </c>
      <c r="AY1482" s="113"/>
      <c r="AZ1482" s="113"/>
      <c r="BA1482" s="113"/>
      <c r="BB1482" s="113"/>
      <c r="BC1482" s="113"/>
      <c r="BD1482" s="46">
        <v>0</v>
      </c>
      <c r="BE1482" s="113"/>
      <c r="BF1482" s="113"/>
      <c r="BG1482" s="113"/>
      <c r="BH1482" s="113"/>
      <c r="BI1482" s="113"/>
      <c r="BJ1482" s="46">
        <v>0</v>
      </c>
      <c r="BK1482" s="113"/>
      <c r="BL1482" s="113"/>
      <c r="BM1482" s="113"/>
      <c r="BN1482" s="113"/>
      <c r="BO1482" s="113"/>
      <c r="BP1482" s="121"/>
      <c r="BQ1482" s="121"/>
      <c r="GA1482" t="s">
        <v>18300</v>
      </c>
      <c r="GB1482" t="s">
        <v>23205</v>
      </c>
      <c r="GC1482" s="46">
        <v>0</v>
      </c>
      <c r="GD1482" s="113"/>
      <c r="GE1482" s="113"/>
      <c r="GF1482" s="113"/>
      <c r="GG1482" s="113"/>
      <c r="GH1482" s="113"/>
      <c r="GI1482" s="46">
        <v>0</v>
      </c>
      <c r="GJ1482" s="113"/>
      <c r="GK1482" s="113"/>
      <c r="GL1482" s="113"/>
      <c r="GM1482" s="113"/>
      <c r="GN1482" s="113"/>
      <c r="GO1482" s="46">
        <v>0</v>
      </c>
      <c r="GP1482" s="113"/>
      <c r="GQ1482" s="113"/>
      <c r="GR1482" s="113"/>
      <c r="GS1482" s="113"/>
      <c r="GT1482" s="113"/>
      <c r="GU1482" s="46">
        <v>0</v>
      </c>
      <c r="GV1482" s="113"/>
      <c r="GW1482" s="113"/>
      <c r="GX1482" s="113"/>
      <c r="GY1482" s="113"/>
      <c r="GZ1482" s="113"/>
      <c r="HA1482" s="46">
        <v>0</v>
      </c>
      <c r="HB1482" s="113"/>
      <c r="HC1482" s="113"/>
      <c r="HD1482" s="113"/>
      <c r="HE1482" s="113"/>
      <c r="HF1482" s="113"/>
      <c r="HG1482" s="46">
        <v>0</v>
      </c>
      <c r="HH1482" s="113"/>
      <c r="HI1482" s="113"/>
      <c r="HJ1482" s="113"/>
      <c r="HK1482" s="113"/>
      <c r="HL1482" s="113"/>
      <c r="HM1482" s="121"/>
      <c r="HN1482" s="121"/>
      <c r="LM1482" t="str">
        <v/>
      </c>
      <c r="LN1482" t="str">
        <v/>
      </c>
      <c r="LO1482" t="str">
        <v/>
      </c>
    </row>
    <row r="1483" spans="30:327">
      <c r="AD1483" t="s">
        <v>18300</v>
      </c>
      <c r="AE1483" t="s">
        <v>23206</v>
      </c>
      <c r="AF1483" s="46">
        <v>0</v>
      </c>
      <c r="AG1483" s="113"/>
      <c r="AH1483" s="113"/>
      <c r="AI1483" s="113"/>
      <c r="AJ1483" s="113"/>
      <c r="AK1483" s="113"/>
      <c r="AL1483" s="46">
        <v>0</v>
      </c>
      <c r="AM1483" s="113"/>
      <c r="AN1483" s="113"/>
      <c r="AO1483" s="113"/>
      <c r="AP1483" s="113"/>
      <c r="AQ1483" s="113"/>
      <c r="AR1483" s="46">
        <v>0</v>
      </c>
      <c r="AS1483" s="113"/>
      <c r="AT1483" s="113"/>
      <c r="AU1483" s="113"/>
      <c r="AV1483" s="113"/>
      <c r="AW1483" s="113"/>
      <c r="AX1483" s="46">
        <v>0</v>
      </c>
      <c r="AY1483" s="113"/>
      <c r="AZ1483" s="113"/>
      <c r="BA1483" s="113"/>
      <c r="BB1483" s="113"/>
      <c r="BC1483" s="113"/>
      <c r="BD1483" s="46">
        <v>0</v>
      </c>
      <c r="BE1483" s="113"/>
      <c r="BF1483" s="113"/>
      <c r="BG1483" s="113"/>
      <c r="BH1483" s="113"/>
      <c r="BI1483" s="113"/>
      <c r="BJ1483" s="46">
        <v>0</v>
      </c>
      <c r="BK1483" s="113"/>
      <c r="BL1483" s="113"/>
      <c r="BM1483" s="113"/>
      <c r="BN1483" s="113"/>
      <c r="BO1483" s="113"/>
      <c r="BP1483" s="121"/>
      <c r="BQ1483" s="121"/>
      <c r="GA1483" t="s">
        <v>18300</v>
      </c>
      <c r="GB1483" t="s">
        <v>23206</v>
      </c>
      <c r="GC1483" s="46">
        <v>0</v>
      </c>
      <c r="GD1483" s="113"/>
      <c r="GE1483" s="113"/>
      <c r="GF1483" s="113"/>
      <c r="GG1483" s="113"/>
      <c r="GH1483" s="113"/>
      <c r="GI1483" s="46">
        <v>0</v>
      </c>
      <c r="GJ1483" s="113"/>
      <c r="GK1483" s="113"/>
      <c r="GL1483" s="113"/>
      <c r="GM1483" s="113"/>
      <c r="GN1483" s="113"/>
      <c r="GO1483" s="46">
        <v>0</v>
      </c>
      <c r="GP1483" s="113"/>
      <c r="GQ1483" s="113"/>
      <c r="GR1483" s="113"/>
      <c r="GS1483" s="113"/>
      <c r="GT1483" s="113"/>
      <c r="GU1483" s="46">
        <v>0</v>
      </c>
      <c r="GV1483" s="113"/>
      <c r="GW1483" s="113"/>
      <c r="GX1483" s="113"/>
      <c r="GY1483" s="113"/>
      <c r="GZ1483" s="113"/>
      <c r="HA1483" s="46">
        <v>0</v>
      </c>
      <c r="HB1483" s="113"/>
      <c r="HC1483" s="113"/>
      <c r="HD1483" s="113"/>
      <c r="HE1483" s="113"/>
      <c r="HF1483" s="113"/>
      <c r="HG1483" s="46">
        <v>0</v>
      </c>
      <c r="HH1483" s="113"/>
      <c r="HI1483" s="113"/>
      <c r="HJ1483" s="113"/>
      <c r="HK1483" s="113"/>
      <c r="HL1483" s="113"/>
      <c r="HM1483" s="121"/>
      <c r="HN1483" s="121"/>
      <c r="LM1483" t="str">
        <v/>
      </c>
      <c r="LN1483" t="str">
        <v/>
      </c>
      <c r="LO1483" t="str">
        <v/>
      </c>
    </row>
    <row r="1484" spans="30:327">
      <c r="AD1484" t="s">
        <v>18300</v>
      </c>
      <c r="AE1484" t="s">
        <v>23207</v>
      </c>
      <c r="AF1484" s="46">
        <v>0</v>
      </c>
      <c r="AG1484" s="113"/>
      <c r="AH1484" s="113"/>
      <c r="AI1484" s="113"/>
      <c r="AJ1484" s="113"/>
      <c r="AK1484" s="113"/>
      <c r="AL1484" s="46">
        <v>0</v>
      </c>
      <c r="AM1484" s="113"/>
      <c r="AN1484" s="113"/>
      <c r="AO1484" s="113"/>
      <c r="AP1484" s="113"/>
      <c r="AQ1484" s="113"/>
      <c r="AR1484" s="46">
        <v>0</v>
      </c>
      <c r="AS1484" s="113"/>
      <c r="AT1484" s="113"/>
      <c r="AU1484" s="113"/>
      <c r="AV1484" s="113"/>
      <c r="AW1484" s="113"/>
      <c r="AX1484" s="46">
        <v>0</v>
      </c>
      <c r="AY1484" s="113"/>
      <c r="AZ1484" s="113"/>
      <c r="BA1484" s="113"/>
      <c r="BB1484" s="113"/>
      <c r="BC1484" s="113"/>
      <c r="BD1484" s="46">
        <v>0</v>
      </c>
      <c r="BE1484" s="113"/>
      <c r="BF1484" s="113"/>
      <c r="BG1484" s="113"/>
      <c r="BH1484" s="113"/>
      <c r="BI1484" s="113"/>
      <c r="BJ1484" s="46">
        <v>0</v>
      </c>
      <c r="BK1484" s="113"/>
      <c r="BL1484" s="113"/>
      <c r="BM1484" s="113"/>
      <c r="BN1484" s="113"/>
      <c r="BO1484" s="113"/>
      <c r="BP1484" s="121"/>
      <c r="BQ1484" s="121"/>
      <c r="GA1484" t="s">
        <v>18300</v>
      </c>
      <c r="GB1484" t="s">
        <v>23207</v>
      </c>
      <c r="GC1484" s="46">
        <v>0</v>
      </c>
      <c r="GD1484" s="113"/>
      <c r="GE1484" s="113"/>
      <c r="GF1484" s="113"/>
      <c r="GG1484" s="113"/>
      <c r="GH1484" s="113"/>
      <c r="GI1484" s="46">
        <v>0</v>
      </c>
      <c r="GJ1484" s="113"/>
      <c r="GK1484" s="113"/>
      <c r="GL1484" s="113"/>
      <c r="GM1484" s="113"/>
      <c r="GN1484" s="113"/>
      <c r="GO1484" s="46">
        <v>0</v>
      </c>
      <c r="GP1484" s="113"/>
      <c r="GQ1484" s="113"/>
      <c r="GR1484" s="113"/>
      <c r="GS1484" s="113"/>
      <c r="GT1484" s="113"/>
      <c r="GU1484" s="46">
        <v>0</v>
      </c>
      <c r="GV1484" s="113"/>
      <c r="GW1484" s="113"/>
      <c r="GX1484" s="113"/>
      <c r="GY1484" s="113"/>
      <c r="GZ1484" s="113"/>
      <c r="HA1484" s="46">
        <v>0</v>
      </c>
      <c r="HB1484" s="113"/>
      <c r="HC1484" s="113"/>
      <c r="HD1484" s="113"/>
      <c r="HE1484" s="113"/>
      <c r="HF1484" s="113"/>
      <c r="HG1484" s="46">
        <v>0</v>
      </c>
      <c r="HH1484" s="113"/>
      <c r="HI1484" s="113"/>
      <c r="HJ1484" s="113"/>
      <c r="HK1484" s="113"/>
      <c r="HL1484" s="113"/>
      <c r="HM1484" s="121"/>
      <c r="HN1484" s="121"/>
      <c r="LM1484" t="str">
        <v/>
      </c>
      <c r="LN1484" t="str">
        <v/>
      </c>
      <c r="LO1484" t="str">
        <v/>
      </c>
    </row>
    <row r="1485" spans="30:327">
      <c r="AD1485" t="s">
        <v>18300</v>
      </c>
      <c r="AE1485" t="s">
        <v>23208</v>
      </c>
      <c r="AF1485" s="46">
        <v>0</v>
      </c>
      <c r="AG1485" s="113"/>
      <c r="AH1485" s="113"/>
      <c r="AI1485" s="113"/>
      <c r="AJ1485" s="113"/>
      <c r="AK1485" s="113"/>
      <c r="AL1485" s="46">
        <v>0</v>
      </c>
      <c r="AM1485" s="113"/>
      <c r="AN1485" s="113"/>
      <c r="AO1485" s="113"/>
      <c r="AP1485" s="113"/>
      <c r="AQ1485" s="113"/>
      <c r="AR1485" s="46">
        <v>0</v>
      </c>
      <c r="AS1485" s="113"/>
      <c r="AT1485" s="113"/>
      <c r="AU1485" s="113"/>
      <c r="AV1485" s="113"/>
      <c r="AW1485" s="113"/>
      <c r="AX1485" s="46">
        <v>0</v>
      </c>
      <c r="AY1485" s="113"/>
      <c r="AZ1485" s="113"/>
      <c r="BA1485" s="113"/>
      <c r="BB1485" s="113"/>
      <c r="BC1485" s="113"/>
      <c r="BD1485" s="46">
        <v>0</v>
      </c>
      <c r="BE1485" s="113"/>
      <c r="BF1485" s="113"/>
      <c r="BG1485" s="113"/>
      <c r="BH1485" s="113"/>
      <c r="BI1485" s="113"/>
      <c r="BJ1485" s="46">
        <v>0</v>
      </c>
      <c r="BK1485" s="113"/>
      <c r="BL1485" s="113"/>
      <c r="BM1485" s="113"/>
      <c r="BN1485" s="113"/>
      <c r="BO1485" s="113"/>
      <c r="BP1485" s="121"/>
      <c r="BQ1485" s="121"/>
      <c r="GA1485" t="s">
        <v>18300</v>
      </c>
      <c r="GB1485" t="s">
        <v>23208</v>
      </c>
      <c r="GC1485" s="46">
        <v>0</v>
      </c>
      <c r="GD1485" s="113"/>
      <c r="GE1485" s="113"/>
      <c r="GF1485" s="113"/>
      <c r="GG1485" s="113"/>
      <c r="GH1485" s="113"/>
      <c r="GI1485" s="46">
        <v>0</v>
      </c>
      <c r="GJ1485" s="113"/>
      <c r="GK1485" s="113"/>
      <c r="GL1485" s="113"/>
      <c r="GM1485" s="113"/>
      <c r="GN1485" s="113"/>
      <c r="GO1485" s="46">
        <v>0</v>
      </c>
      <c r="GP1485" s="113"/>
      <c r="GQ1485" s="113"/>
      <c r="GR1485" s="113"/>
      <c r="GS1485" s="113"/>
      <c r="GT1485" s="113"/>
      <c r="GU1485" s="46">
        <v>0</v>
      </c>
      <c r="GV1485" s="113"/>
      <c r="GW1485" s="113"/>
      <c r="GX1485" s="113"/>
      <c r="GY1485" s="113"/>
      <c r="GZ1485" s="113"/>
      <c r="HA1485" s="46">
        <v>0</v>
      </c>
      <c r="HB1485" s="113"/>
      <c r="HC1485" s="113"/>
      <c r="HD1485" s="113"/>
      <c r="HE1485" s="113"/>
      <c r="HF1485" s="113"/>
      <c r="HG1485" s="46">
        <v>0</v>
      </c>
      <c r="HH1485" s="113"/>
      <c r="HI1485" s="113"/>
      <c r="HJ1485" s="113"/>
      <c r="HK1485" s="113"/>
      <c r="HL1485" s="113"/>
      <c r="HM1485" s="121"/>
      <c r="HN1485" s="121"/>
      <c r="LM1485" t="str">
        <v/>
      </c>
      <c r="LN1485" t="str">
        <v/>
      </c>
      <c r="LO1485" t="str">
        <v/>
      </c>
    </row>
    <row r="1486" spans="30:327">
      <c r="AD1486" t="s">
        <v>18300</v>
      </c>
      <c r="AE1486" t="s">
        <v>23209</v>
      </c>
      <c r="AF1486" s="46">
        <v>0</v>
      </c>
      <c r="AG1486" s="113"/>
      <c r="AH1486" s="113"/>
      <c r="AI1486" s="113"/>
      <c r="AJ1486" s="113"/>
      <c r="AK1486" s="113"/>
      <c r="AL1486" s="46">
        <v>0</v>
      </c>
      <c r="AM1486" s="113"/>
      <c r="AN1486" s="113"/>
      <c r="AO1486" s="113"/>
      <c r="AP1486" s="113"/>
      <c r="AQ1486" s="113"/>
      <c r="AR1486" s="46">
        <v>0</v>
      </c>
      <c r="AS1486" s="113"/>
      <c r="AT1486" s="113"/>
      <c r="AU1486" s="113"/>
      <c r="AV1486" s="113"/>
      <c r="AW1486" s="113"/>
      <c r="AX1486" s="46">
        <v>0</v>
      </c>
      <c r="AY1486" s="113"/>
      <c r="AZ1486" s="113"/>
      <c r="BA1486" s="113"/>
      <c r="BB1486" s="113"/>
      <c r="BC1486" s="113"/>
      <c r="BD1486" s="46">
        <v>0</v>
      </c>
      <c r="BE1486" s="113"/>
      <c r="BF1486" s="113"/>
      <c r="BG1486" s="113"/>
      <c r="BH1486" s="113"/>
      <c r="BI1486" s="113"/>
      <c r="BJ1486" s="46">
        <v>0</v>
      </c>
      <c r="BK1486" s="113"/>
      <c r="BL1486" s="113"/>
      <c r="BM1486" s="113"/>
      <c r="BN1486" s="113"/>
      <c r="BO1486" s="113"/>
      <c r="BP1486" s="121"/>
      <c r="BQ1486" s="121"/>
      <c r="GA1486" t="s">
        <v>18300</v>
      </c>
      <c r="GB1486" t="s">
        <v>23209</v>
      </c>
      <c r="GC1486" s="46">
        <v>0</v>
      </c>
      <c r="GD1486" s="113"/>
      <c r="GE1486" s="113"/>
      <c r="GF1486" s="113"/>
      <c r="GG1486" s="113"/>
      <c r="GH1486" s="113"/>
      <c r="GI1486" s="46">
        <v>0</v>
      </c>
      <c r="GJ1486" s="113"/>
      <c r="GK1486" s="113"/>
      <c r="GL1486" s="113"/>
      <c r="GM1486" s="113"/>
      <c r="GN1486" s="113"/>
      <c r="GO1486" s="46">
        <v>0</v>
      </c>
      <c r="GP1486" s="113"/>
      <c r="GQ1486" s="113"/>
      <c r="GR1486" s="113"/>
      <c r="GS1486" s="113"/>
      <c r="GT1486" s="113"/>
      <c r="GU1486" s="46">
        <v>0</v>
      </c>
      <c r="GV1486" s="113"/>
      <c r="GW1486" s="113"/>
      <c r="GX1486" s="113"/>
      <c r="GY1486" s="113"/>
      <c r="GZ1486" s="113"/>
      <c r="HA1486" s="46">
        <v>0</v>
      </c>
      <c r="HB1486" s="113"/>
      <c r="HC1486" s="113"/>
      <c r="HD1486" s="113"/>
      <c r="HE1486" s="113"/>
      <c r="HF1486" s="113"/>
      <c r="HG1486" s="46">
        <v>0</v>
      </c>
      <c r="HH1486" s="113"/>
      <c r="HI1486" s="113"/>
      <c r="HJ1486" s="113"/>
      <c r="HK1486" s="113"/>
      <c r="HL1486" s="113"/>
      <c r="HM1486" s="121"/>
      <c r="HN1486" s="121"/>
      <c r="LM1486" t="str">
        <v/>
      </c>
      <c r="LN1486" t="str">
        <v/>
      </c>
      <c r="LO1486" t="str">
        <v/>
      </c>
    </row>
    <row r="1487" spans="30:327">
      <c r="AD1487" t="s">
        <v>18300</v>
      </c>
      <c r="AE1487" t="s">
        <v>23210</v>
      </c>
      <c r="AF1487" s="46">
        <v>0</v>
      </c>
      <c r="AG1487" s="113"/>
      <c r="AH1487" s="113"/>
      <c r="AI1487" s="113"/>
      <c r="AJ1487" s="113"/>
      <c r="AK1487" s="113"/>
      <c r="AL1487" s="46">
        <v>0</v>
      </c>
      <c r="AM1487" s="113"/>
      <c r="AN1487" s="113"/>
      <c r="AO1487" s="113"/>
      <c r="AP1487" s="113"/>
      <c r="AQ1487" s="113"/>
      <c r="AR1487" s="46">
        <v>0</v>
      </c>
      <c r="AS1487" s="113"/>
      <c r="AT1487" s="113"/>
      <c r="AU1487" s="113"/>
      <c r="AV1487" s="113"/>
      <c r="AW1487" s="113"/>
      <c r="AX1487" s="46">
        <v>0</v>
      </c>
      <c r="AY1487" s="113"/>
      <c r="AZ1487" s="113"/>
      <c r="BA1487" s="113"/>
      <c r="BB1487" s="113"/>
      <c r="BC1487" s="113"/>
      <c r="BD1487" s="46">
        <v>0</v>
      </c>
      <c r="BE1487" s="113"/>
      <c r="BF1487" s="113"/>
      <c r="BG1487" s="113"/>
      <c r="BH1487" s="113"/>
      <c r="BI1487" s="113"/>
      <c r="BJ1487" s="46">
        <v>0</v>
      </c>
      <c r="BK1487" s="113"/>
      <c r="BL1487" s="113"/>
      <c r="BM1487" s="113"/>
      <c r="BN1487" s="113"/>
      <c r="BO1487" s="113"/>
      <c r="BP1487" s="121"/>
      <c r="BQ1487" s="121"/>
      <c r="GA1487" t="s">
        <v>18300</v>
      </c>
      <c r="GB1487" t="s">
        <v>23210</v>
      </c>
      <c r="GC1487" s="46">
        <v>0</v>
      </c>
      <c r="GD1487" s="113"/>
      <c r="GE1487" s="113"/>
      <c r="GF1487" s="113"/>
      <c r="GG1487" s="113"/>
      <c r="GH1487" s="113"/>
      <c r="GI1487" s="46">
        <v>0</v>
      </c>
      <c r="GJ1487" s="113"/>
      <c r="GK1487" s="113"/>
      <c r="GL1487" s="113"/>
      <c r="GM1487" s="113"/>
      <c r="GN1487" s="113"/>
      <c r="GO1487" s="46">
        <v>0</v>
      </c>
      <c r="GP1487" s="113"/>
      <c r="GQ1487" s="113"/>
      <c r="GR1487" s="113"/>
      <c r="GS1487" s="113"/>
      <c r="GT1487" s="113"/>
      <c r="GU1487" s="46">
        <v>0</v>
      </c>
      <c r="GV1487" s="113"/>
      <c r="GW1487" s="113"/>
      <c r="GX1487" s="113"/>
      <c r="GY1487" s="113"/>
      <c r="GZ1487" s="113"/>
      <c r="HA1487" s="46">
        <v>0</v>
      </c>
      <c r="HB1487" s="113"/>
      <c r="HC1487" s="113"/>
      <c r="HD1487" s="113"/>
      <c r="HE1487" s="113"/>
      <c r="HF1487" s="113"/>
      <c r="HG1487" s="46">
        <v>0</v>
      </c>
      <c r="HH1487" s="113"/>
      <c r="HI1487" s="113"/>
      <c r="HJ1487" s="113"/>
      <c r="HK1487" s="113"/>
      <c r="HL1487" s="113"/>
      <c r="HM1487" s="121"/>
      <c r="HN1487" s="121"/>
      <c r="LM1487" t="str">
        <v/>
      </c>
      <c r="LN1487" t="str">
        <v/>
      </c>
      <c r="LO1487" t="str">
        <v/>
      </c>
    </row>
    <row r="1488" spans="30:327">
      <c r="AD1488" t="s">
        <v>18300</v>
      </c>
      <c r="AE1488" t="s">
        <v>23211</v>
      </c>
      <c r="AF1488" s="46">
        <v>0</v>
      </c>
      <c r="AG1488" s="113"/>
      <c r="AH1488" s="113"/>
      <c r="AI1488" s="113"/>
      <c r="AJ1488" s="113"/>
      <c r="AK1488" s="113"/>
      <c r="AL1488" s="46">
        <v>0</v>
      </c>
      <c r="AM1488" s="113"/>
      <c r="AN1488" s="113"/>
      <c r="AO1488" s="113"/>
      <c r="AP1488" s="113"/>
      <c r="AQ1488" s="113"/>
      <c r="AR1488" s="46">
        <v>0</v>
      </c>
      <c r="AS1488" s="113"/>
      <c r="AT1488" s="113"/>
      <c r="AU1488" s="113"/>
      <c r="AV1488" s="113"/>
      <c r="AW1488" s="113"/>
      <c r="AX1488" s="46">
        <v>0</v>
      </c>
      <c r="AY1488" s="113"/>
      <c r="AZ1488" s="113"/>
      <c r="BA1488" s="113"/>
      <c r="BB1488" s="113"/>
      <c r="BC1488" s="113"/>
      <c r="BD1488" s="46">
        <v>0</v>
      </c>
      <c r="BE1488" s="113"/>
      <c r="BF1488" s="113"/>
      <c r="BG1488" s="113"/>
      <c r="BH1488" s="113"/>
      <c r="BI1488" s="113"/>
      <c r="BJ1488" s="46">
        <v>0</v>
      </c>
      <c r="BK1488" s="113"/>
      <c r="BL1488" s="113"/>
      <c r="BM1488" s="113"/>
      <c r="BN1488" s="113"/>
      <c r="BO1488" s="113"/>
      <c r="BP1488" s="121"/>
      <c r="BQ1488" s="121"/>
      <c r="GA1488" t="s">
        <v>18300</v>
      </c>
      <c r="GB1488" t="s">
        <v>23211</v>
      </c>
      <c r="GC1488" s="46">
        <v>0</v>
      </c>
      <c r="GD1488" s="113"/>
      <c r="GE1488" s="113"/>
      <c r="GF1488" s="113"/>
      <c r="GG1488" s="113"/>
      <c r="GH1488" s="113"/>
      <c r="GI1488" s="46">
        <v>0</v>
      </c>
      <c r="GJ1488" s="113"/>
      <c r="GK1488" s="113"/>
      <c r="GL1488" s="113"/>
      <c r="GM1488" s="113"/>
      <c r="GN1488" s="113"/>
      <c r="GO1488" s="46">
        <v>0</v>
      </c>
      <c r="GP1488" s="113"/>
      <c r="GQ1488" s="113"/>
      <c r="GR1488" s="113"/>
      <c r="GS1488" s="113"/>
      <c r="GT1488" s="113"/>
      <c r="GU1488" s="46">
        <v>0</v>
      </c>
      <c r="GV1488" s="113"/>
      <c r="GW1488" s="113"/>
      <c r="GX1488" s="113"/>
      <c r="GY1488" s="113"/>
      <c r="GZ1488" s="113"/>
      <c r="HA1488" s="46">
        <v>0</v>
      </c>
      <c r="HB1488" s="113"/>
      <c r="HC1488" s="113"/>
      <c r="HD1488" s="113"/>
      <c r="HE1488" s="113"/>
      <c r="HF1488" s="113"/>
      <c r="HG1488" s="46">
        <v>0</v>
      </c>
      <c r="HH1488" s="113"/>
      <c r="HI1488" s="113"/>
      <c r="HJ1488" s="113"/>
      <c r="HK1488" s="113"/>
      <c r="HL1488" s="113"/>
      <c r="HM1488" s="121"/>
      <c r="HN1488" s="121"/>
      <c r="LM1488" t="str">
        <v/>
      </c>
      <c r="LN1488" t="str">
        <v/>
      </c>
      <c r="LO1488" t="str">
        <v/>
      </c>
    </row>
    <row r="1489" spans="30:327">
      <c r="AD1489" t="s">
        <v>18300</v>
      </c>
      <c r="AE1489" t="s">
        <v>23212</v>
      </c>
      <c r="AF1489" s="46">
        <v>0</v>
      </c>
      <c r="AG1489" s="113"/>
      <c r="AH1489" s="113"/>
      <c r="AI1489" s="113"/>
      <c r="AJ1489" s="113"/>
      <c r="AK1489" s="113"/>
      <c r="AL1489" s="46">
        <v>0</v>
      </c>
      <c r="AM1489" s="113"/>
      <c r="AN1489" s="113"/>
      <c r="AO1489" s="113"/>
      <c r="AP1489" s="113"/>
      <c r="AQ1489" s="113"/>
      <c r="AR1489" s="46">
        <v>0</v>
      </c>
      <c r="AS1489" s="113"/>
      <c r="AT1489" s="113"/>
      <c r="AU1489" s="113"/>
      <c r="AV1489" s="113"/>
      <c r="AW1489" s="113"/>
      <c r="AX1489" s="46">
        <v>0</v>
      </c>
      <c r="AY1489" s="113"/>
      <c r="AZ1489" s="113"/>
      <c r="BA1489" s="113"/>
      <c r="BB1489" s="113"/>
      <c r="BC1489" s="113"/>
      <c r="BD1489" s="46">
        <v>0</v>
      </c>
      <c r="BE1489" s="113"/>
      <c r="BF1489" s="113"/>
      <c r="BG1489" s="113"/>
      <c r="BH1489" s="113"/>
      <c r="BI1489" s="113"/>
      <c r="BJ1489" s="46">
        <v>0</v>
      </c>
      <c r="BK1489" s="113"/>
      <c r="BL1489" s="113"/>
      <c r="BM1489" s="113"/>
      <c r="BN1489" s="113"/>
      <c r="BO1489" s="113"/>
      <c r="BP1489" s="121"/>
      <c r="BQ1489" s="121"/>
      <c r="GA1489" t="s">
        <v>18300</v>
      </c>
      <c r="GB1489" t="s">
        <v>23212</v>
      </c>
      <c r="GC1489" s="46">
        <v>0</v>
      </c>
      <c r="GD1489" s="113"/>
      <c r="GE1489" s="113"/>
      <c r="GF1489" s="113"/>
      <c r="GG1489" s="113"/>
      <c r="GH1489" s="113"/>
      <c r="GI1489" s="46">
        <v>0</v>
      </c>
      <c r="GJ1489" s="113"/>
      <c r="GK1489" s="113"/>
      <c r="GL1489" s="113"/>
      <c r="GM1489" s="113"/>
      <c r="GN1489" s="113"/>
      <c r="GO1489" s="46">
        <v>0</v>
      </c>
      <c r="GP1489" s="113"/>
      <c r="GQ1489" s="113"/>
      <c r="GR1489" s="113"/>
      <c r="GS1489" s="113"/>
      <c r="GT1489" s="113"/>
      <c r="GU1489" s="46">
        <v>0</v>
      </c>
      <c r="GV1489" s="113"/>
      <c r="GW1489" s="113"/>
      <c r="GX1489" s="113"/>
      <c r="GY1489" s="113"/>
      <c r="GZ1489" s="113"/>
      <c r="HA1489" s="46">
        <v>0</v>
      </c>
      <c r="HB1489" s="113"/>
      <c r="HC1489" s="113"/>
      <c r="HD1489" s="113"/>
      <c r="HE1489" s="113"/>
      <c r="HF1489" s="113"/>
      <c r="HG1489" s="46">
        <v>0</v>
      </c>
      <c r="HH1489" s="113"/>
      <c r="HI1489" s="113"/>
      <c r="HJ1489" s="113"/>
      <c r="HK1489" s="113"/>
      <c r="HL1489" s="113"/>
      <c r="HM1489" s="121"/>
      <c r="HN1489" s="121"/>
      <c r="LM1489" t="str">
        <v/>
      </c>
      <c r="LN1489" t="str">
        <v/>
      </c>
      <c r="LO1489" t="str">
        <v/>
      </c>
    </row>
    <row r="1490" spans="30:327">
      <c r="AD1490" t="s">
        <v>18300</v>
      </c>
      <c r="AE1490" t="s">
        <v>23213</v>
      </c>
      <c r="AF1490" s="46">
        <v>0</v>
      </c>
      <c r="AG1490" s="113"/>
      <c r="AH1490" s="113"/>
      <c r="AI1490" s="113"/>
      <c r="AJ1490" s="113"/>
      <c r="AK1490" s="113"/>
      <c r="AL1490" s="46">
        <v>0</v>
      </c>
      <c r="AM1490" s="113"/>
      <c r="AN1490" s="113"/>
      <c r="AO1490" s="113"/>
      <c r="AP1490" s="113"/>
      <c r="AQ1490" s="113"/>
      <c r="AR1490" s="46">
        <v>0</v>
      </c>
      <c r="AS1490" s="113"/>
      <c r="AT1490" s="113"/>
      <c r="AU1490" s="113"/>
      <c r="AV1490" s="113"/>
      <c r="AW1490" s="113"/>
      <c r="AX1490" s="46">
        <v>0</v>
      </c>
      <c r="AY1490" s="113"/>
      <c r="AZ1490" s="113"/>
      <c r="BA1490" s="113"/>
      <c r="BB1490" s="113"/>
      <c r="BC1490" s="113"/>
      <c r="BD1490" s="46">
        <v>0</v>
      </c>
      <c r="BE1490" s="113"/>
      <c r="BF1490" s="113"/>
      <c r="BG1490" s="113"/>
      <c r="BH1490" s="113"/>
      <c r="BI1490" s="113"/>
      <c r="BJ1490" s="46">
        <v>0</v>
      </c>
      <c r="BK1490" s="113"/>
      <c r="BL1490" s="113"/>
      <c r="BM1490" s="113"/>
      <c r="BN1490" s="113"/>
      <c r="BO1490" s="113"/>
      <c r="BP1490" s="121"/>
      <c r="BQ1490" s="121"/>
      <c r="GA1490" t="s">
        <v>18300</v>
      </c>
      <c r="GB1490" t="s">
        <v>23213</v>
      </c>
      <c r="GC1490" s="46">
        <v>0</v>
      </c>
      <c r="GD1490" s="113"/>
      <c r="GE1490" s="113"/>
      <c r="GF1490" s="113"/>
      <c r="GG1490" s="113"/>
      <c r="GH1490" s="113"/>
      <c r="GI1490" s="46">
        <v>0</v>
      </c>
      <c r="GJ1490" s="113"/>
      <c r="GK1490" s="113"/>
      <c r="GL1490" s="113"/>
      <c r="GM1490" s="113"/>
      <c r="GN1490" s="113"/>
      <c r="GO1490" s="46">
        <v>0</v>
      </c>
      <c r="GP1490" s="113"/>
      <c r="GQ1490" s="113"/>
      <c r="GR1490" s="113"/>
      <c r="GS1490" s="113"/>
      <c r="GT1490" s="113"/>
      <c r="GU1490" s="46">
        <v>0</v>
      </c>
      <c r="GV1490" s="113"/>
      <c r="GW1490" s="113"/>
      <c r="GX1490" s="113"/>
      <c r="GY1490" s="113"/>
      <c r="GZ1490" s="113"/>
      <c r="HA1490" s="46">
        <v>0</v>
      </c>
      <c r="HB1490" s="113"/>
      <c r="HC1490" s="113"/>
      <c r="HD1490" s="113"/>
      <c r="HE1490" s="113"/>
      <c r="HF1490" s="113"/>
      <c r="HG1490" s="46">
        <v>0</v>
      </c>
      <c r="HH1490" s="113"/>
      <c r="HI1490" s="113"/>
      <c r="HJ1490" s="113"/>
      <c r="HK1490" s="113"/>
      <c r="HL1490" s="113"/>
      <c r="HM1490" s="121"/>
      <c r="HN1490" s="121"/>
      <c r="LM1490" t="str">
        <v/>
      </c>
      <c r="LN1490" t="str">
        <v/>
      </c>
      <c r="LO1490" t="str">
        <v/>
      </c>
    </row>
    <row r="1491" spans="30:327">
      <c r="AD1491" t="s">
        <v>18300</v>
      </c>
      <c r="AE1491" t="s">
        <v>23214</v>
      </c>
      <c r="AF1491" s="46">
        <v>0</v>
      </c>
      <c r="AG1491" s="113"/>
      <c r="AH1491" s="113"/>
      <c r="AI1491" s="113"/>
      <c r="AJ1491" s="113"/>
      <c r="AK1491" s="113"/>
      <c r="AL1491" s="46">
        <v>0</v>
      </c>
      <c r="AM1491" s="113"/>
      <c r="AN1491" s="113"/>
      <c r="AO1491" s="113"/>
      <c r="AP1491" s="113"/>
      <c r="AQ1491" s="113"/>
      <c r="AR1491" s="46">
        <v>0</v>
      </c>
      <c r="AS1491" s="113"/>
      <c r="AT1491" s="113"/>
      <c r="AU1491" s="113"/>
      <c r="AV1491" s="113"/>
      <c r="AW1491" s="113"/>
      <c r="AX1491" s="46">
        <v>0</v>
      </c>
      <c r="AY1491" s="113"/>
      <c r="AZ1491" s="113"/>
      <c r="BA1491" s="113"/>
      <c r="BB1491" s="113"/>
      <c r="BC1491" s="113"/>
      <c r="BD1491" s="46">
        <v>0</v>
      </c>
      <c r="BE1491" s="113"/>
      <c r="BF1491" s="113"/>
      <c r="BG1491" s="113"/>
      <c r="BH1491" s="113"/>
      <c r="BI1491" s="113"/>
      <c r="BJ1491" s="46">
        <v>0</v>
      </c>
      <c r="BK1491" s="113"/>
      <c r="BL1491" s="113"/>
      <c r="BM1491" s="113"/>
      <c r="BN1491" s="113"/>
      <c r="BO1491" s="113"/>
      <c r="BP1491" s="121"/>
      <c r="BQ1491" s="121"/>
      <c r="GA1491" t="s">
        <v>18300</v>
      </c>
      <c r="GB1491" t="s">
        <v>23214</v>
      </c>
      <c r="GC1491" s="46">
        <v>0</v>
      </c>
      <c r="GD1491" s="113"/>
      <c r="GE1491" s="113"/>
      <c r="GF1491" s="113"/>
      <c r="GG1491" s="113"/>
      <c r="GH1491" s="113"/>
      <c r="GI1491" s="46">
        <v>0</v>
      </c>
      <c r="GJ1491" s="113"/>
      <c r="GK1491" s="113"/>
      <c r="GL1491" s="113"/>
      <c r="GM1491" s="113"/>
      <c r="GN1491" s="113"/>
      <c r="GO1491" s="46">
        <v>0</v>
      </c>
      <c r="GP1491" s="113"/>
      <c r="GQ1491" s="113"/>
      <c r="GR1491" s="113"/>
      <c r="GS1491" s="113"/>
      <c r="GT1491" s="113"/>
      <c r="GU1491" s="46">
        <v>0</v>
      </c>
      <c r="GV1491" s="113"/>
      <c r="GW1491" s="113"/>
      <c r="GX1491" s="113"/>
      <c r="GY1491" s="113"/>
      <c r="GZ1491" s="113"/>
      <c r="HA1491" s="46">
        <v>0</v>
      </c>
      <c r="HB1491" s="113"/>
      <c r="HC1491" s="113"/>
      <c r="HD1491" s="113"/>
      <c r="HE1491" s="113"/>
      <c r="HF1491" s="113"/>
      <c r="HG1491" s="46">
        <v>0</v>
      </c>
      <c r="HH1491" s="113"/>
      <c r="HI1491" s="113"/>
      <c r="HJ1491" s="113"/>
      <c r="HK1491" s="113"/>
      <c r="HL1491" s="113"/>
      <c r="HM1491" s="121"/>
      <c r="HN1491" s="121"/>
      <c r="LM1491" t="str">
        <v/>
      </c>
      <c r="LN1491" t="str">
        <v/>
      </c>
      <c r="LO1491" t="str">
        <v/>
      </c>
    </row>
    <row r="1492" spans="30:327">
      <c r="AD1492" t="s">
        <v>18300</v>
      </c>
      <c r="AE1492" t="s">
        <v>23215</v>
      </c>
      <c r="AF1492" s="46">
        <v>0</v>
      </c>
      <c r="AG1492" s="113"/>
      <c r="AH1492" s="113"/>
      <c r="AI1492" s="113"/>
      <c r="AJ1492" s="113"/>
      <c r="AK1492" s="113"/>
      <c r="AL1492" s="46">
        <v>0</v>
      </c>
      <c r="AM1492" s="113"/>
      <c r="AN1492" s="113"/>
      <c r="AO1492" s="113"/>
      <c r="AP1492" s="113"/>
      <c r="AQ1492" s="113"/>
      <c r="AR1492" s="46">
        <v>0</v>
      </c>
      <c r="AS1492" s="113"/>
      <c r="AT1492" s="113"/>
      <c r="AU1492" s="113"/>
      <c r="AV1492" s="113"/>
      <c r="AW1492" s="113"/>
      <c r="AX1492" s="46">
        <v>0</v>
      </c>
      <c r="AY1492" s="113"/>
      <c r="AZ1492" s="113"/>
      <c r="BA1492" s="113"/>
      <c r="BB1492" s="113"/>
      <c r="BC1492" s="113"/>
      <c r="BD1492" s="46">
        <v>0</v>
      </c>
      <c r="BE1492" s="113"/>
      <c r="BF1492" s="113"/>
      <c r="BG1492" s="113"/>
      <c r="BH1492" s="113"/>
      <c r="BI1492" s="113"/>
      <c r="BJ1492" s="46">
        <v>0</v>
      </c>
      <c r="BK1492" s="113"/>
      <c r="BL1492" s="113"/>
      <c r="BM1492" s="113"/>
      <c r="BN1492" s="113"/>
      <c r="BO1492" s="113"/>
      <c r="BP1492" s="121"/>
      <c r="BQ1492" s="121"/>
      <c r="GA1492" t="s">
        <v>18300</v>
      </c>
      <c r="GB1492" t="s">
        <v>23215</v>
      </c>
      <c r="GC1492" s="46">
        <v>0</v>
      </c>
      <c r="GD1492" s="113"/>
      <c r="GE1492" s="113"/>
      <c r="GF1492" s="113"/>
      <c r="GG1492" s="113"/>
      <c r="GH1492" s="113"/>
      <c r="GI1492" s="46">
        <v>0</v>
      </c>
      <c r="GJ1492" s="113"/>
      <c r="GK1492" s="113"/>
      <c r="GL1492" s="113"/>
      <c r="GM1492" s="113"/>
      <c r="GN1492" s="113"/>
      <c r="GO1492" s="46">
        <v>0</v>
      </c>
      <c r="GP1492" s="113"/>
      <c r="GQ1492" s="113"/>
      <c r="GR1492" s="113"/>
      <c r="GS1492" s="113"/>
      <c r="GT1492" s="113"/>
      <c r="GU1492" s="46">
        <v>0</v>
      </c>
      <c r="GV1492" s="113"/>
      <c r="GW1492" s="113"/>
      <c r="GX1492" s="113"/>
      <c r="GY1492" s="113"/>
      <c r="GZ1492" s="113"/>
      <c r="HA1492" s="46">
        <v>0</v>
      </c>
      <c r="HB1492" s="113"/>
      <c r="HC1492" s="113"/>
      <c r="HD1492" s="113"/>
      <c r="HE1492" s="113"/>
      <c r="HF1492" s="113"/>
      <c r="HG1492" s="46">
        <v>0</v>
      </c>
      <c r="HH1492" s="113"/>
      <c r="HI1492" s="113"/>
      <c r="HJ1492" s="113"/>
      <c r="HK1492" s="113"/>
      <c r="HL1492" s="113"/>
      <c r="HM1492" s="121"/>
      <c r="HN1492" s="121"/>
      <c r="LM1492" t="str">
        <v/>
      </c>
      <c r="LN1492" t="str">
        <v/>
      </c>
      <c r="LO1492" t="str">
        <v/>
      </c>
    </row>
    <row r="1493" spans="30:327">
      <c r="AD1493" t="s">
        <v>18300</v>
      </c>
      <c r="AE1493" t="s">
        <v>23216</v>
      </c>
      <c r="AF1493" s="46">
        <v>0</v>
      </c>
      <c r="AG1493" s="113"/>
      <c r="AH1493" s="113"/>
      <c r="AI1493" s="113"/>
      <c r="AJ1493" s="113"/>
      <c r="AK1493" s="113"/>
      <c r="AL1493" s="46">
        <v>0</v>
      </c>
      <c r="AM1493" s="113"/>
      <c r="AN1493" s="113"/>
      <c r="AO1493" s="113"/>
      <c r="AP1493" s="113"/>
      <c r="AQ1493" s="113"/>
      <c r="AR1493" s="46">
        <v>0</v>
      </c>
      <c r="AS1493" s="113"/>
      <c r="AT1493" s="113"/>
      <c r="AU1493" s="113"/>
      <c r="AV1493" s="113"/>
      <c r="AW1493" s="113"/>
      <c r="AX1493" s="46">
        <v>0</v>
      </c>
      <c r="AY1493" s="113"/>
      <c r="AZ1493" s="113"/>
      <c r="BA1493" s="113"/>
      <c r="BB1493" s="113"/>
      <c r="BC1493" s="113"/>
      <c r="BD1493" s="46">
        <v>0</v>
      </c>
      <c r="BE1493" s="113"/>
      <c r="BF1493" s="113"/>
      <c r="BG1493" s="113"/>
      <c r="BH1493" s="113"/>
      <c r="BI1493" s="113"/>
      <c r="BJ1493" s="46">
        <v>0</v>
      </c>
      <c r="BK1493" s="113"/>
      <c r="BL1493" s="113"/>
      <c r="BM1493" s="113"/>
      <c r="BN1493" s="113"/>
      <c r="BO1493" s="113"/>
      <c r="BP1493" s="121"/>
      <c r="BQ1493" s="121"/>
      <c r="GA1493" t="s">
        <v>18300</v>
      </c>
      <c r="GB1493" t="s">
        <v>23216</v>
      </c>
      <c r="GC1493" s="46">
        <v>0</v>
      </c>
      <c r="GD1493" s="113"/>
      <c r="GE1493" s="113"/>
      <c r="GF1493" s="113"/>
      <c r="GG1493" s="113"/>
      <c r="GH1493" s="113"/>
      <c r="GI1493" s="46">
        <v>0</v>
      </c>
      <c r="GJ1493" s="113"/>
      <c r="GK1493" s="113"/>
      <c r="GL1493" s="113"/>
      <c r="GM1493" s="113"/>
      <c r="GN1493" s="113"/>
      <c r="GO1493" s="46">
        <v>0</v>
      </c>
      <c r="GP1493" s="113"/>
      <c r="GQ1493" s="113"/>
      <c r="GR1493" s="113"/>
      <c r="GS1493" s="113"/>
      <c r="GT1493" s="113"/>
      <c r="GU1493" s="46">
        <v>0</v>
      </c>
      <c r="GV1493" s="113"/>
      <c r="GW1493" s="113"/>
      <c r="GX1493" s="113"/>
      <c r="GY1493" s="113"/>
      <c r="GZ1493" s="113"/>
      <c r="HA1493" s="46">
        <v>0</v>
      </c>
      <c r="HB1493" s="113"/>
      <c r="HC1493" s="113"/>
      <c r="HD1493" s="113"/>
      <c r="HE1493" s="113"/>
      <c r="HF1493" s="113"/>
      <c r="HG1493" s="46">
        <v>0</v>
      </c>
      <c r="HH1493" s="113"/>
      <c r="HI1493" s="113"/>
      <c r="HJ1493" s="113"/>
      <c r="HK1493" s="113"/>
      <c r="HL1493" s="113"/>
      <c r="HM1493" s="121"/>
      <c r="HN1493" s="121"/>
      <c r="LM1493" t="str">
        <v/>
      </c>
      <c r="LN1493" t="str">
        <v/>
      </c>
      <c r="LO1493" t="str">
        <v/>
      </c>
    </row>
    <row r="1494" spans="30:327">
      <c r="LM1494" t="str">
        <v/>
      </c>
      <c r="LN1494" t="str">
        <v/>
      </c>
      <c r="LO1494" t="str">
        <v/>
      </c>
    </row>
    <row r="1495" spans="30:327">
      <c r="LM1495" t="str">
        <v/>
      </c>
      <c r="LN1495" t="str">
        <v/>
      </c>
      <c r="LO1495" t="str">
        <v/>
      </c>
    </row>
    <row r="1496" spans="30:327">
      <c r="LM1496" t="str">
        <v/>
      </c>
      <c r="LN1496" t="str">
        <v/>
      </c>
      <c r="LO1496" t="str">
        <v/>
      </c>
    </row>
    <row r="1497" spans="30:327">
      <c r="LM1497" t="str">
        <v/>
      </c>
      <c r="LN1497" t="str">
        <v/>
      </c>
      <c r="LO1497" t="str">
        <v/>
      </c>
    </row>
    <row r="1498" spans="30:327">
      <c r="LM1498" t="str">
        <v/>
      </c>
      <c r="LN1498" t="str">
        <v/>
      </c>
      <c r="LO1498" t="str">
        <v/>
      </c>
    </row>
    <row r="1499" spans="30:327">
      <c r="LM1499" t="str">
        <v/>
      </c>
      <c r="LN1499" t="str">
        <v/>
      </c>
      <c r="LO1499" t="str">
        <v/>
      </c>
    </row>
    <row r="1500" spans="30:327">
      <c r="LM1500" t="str">
        <v/>
      </c>
      <c r="LN1500" t="str">
        <v/>
      </c>
      <c r="LO1500" t="str">
        <v/>
      </c>
    </row>
    <row r="1501" spans="30:327">
      <c r="LM1501" t="str">
        <v/>
      </c>
      <c r="LN1501" t="str">
        <v/>
      </c>
      <c r="LO1501" t="str">
        <v/>
      </c>
    </row>
    <row r="1502" spans="30:327">
      <c r="LM1502" t="str">
        <v/>
      </c>
      <c r="LN1502" t="str">
        <v/>
      </c>
      <c r="LO1502" t="str">
        <v/>
      </c>
    </row>
    <row r="1503" spans="30:327">
      <c r="LM1503" t="str">
        <v/>
      </c>
      <c r="LN1503" t="str">
        <v/>
      </c>
      <c r="LO1503" t="str">
        <v/>
      </c>
    </row>
    <row r="1504" spans="30:327">
      <c r="LM1504" t="str">
        <v/>
      </c>
      <c r="LN1504" t="str">
        <v/>
      </c>
      <c r="LO1504" t="str">
        <v/>
      </c>
    </row>
    <row r="1505" spans="325:327">
      <c r="LM1505" t="str">
        <v/>
      </c>
      <c r="LN1505" t="str">
        <v/>
      </c>
      <c r="LO1505" t="str">
        <v/>
      </c>
    </row>
    <row r="1506" spans="325:327">
      <c r="LM1506" t="str">
        <v/>
      </c>
      <c r="LN1506" t="str">
        <v/>
      </c>
      <c r="LO1506" t="str">
        <v/>
      </c>
    </row>
    <row r="1507" spans="325:327">
      <c r="LM1507" t="str">
        <v/>
      </c>
      <c r="LN1507" t="str">
        <v/>
      </c>
      <c r="LO1507" t="str">
        <v/>
      </c>
    </row>
    <row r="1508" spans="325:327">
      <c r="LM1508" t="str">
        <v/>
      </c>
      <c r="LN1508" t="str">
        <v/>
      </c>
      <c r="LO1508" t="str">
        <v/>
      </c>
    </row>
    <row r="1509" spans="325:327">
      <c r="LM1509" t="str">
        <v/>
      </c>
      <c r="LN1509" t="str">
        <v/>
      </c>
      <c r="LO1509" t="str">
        <v/>
      </c>
    </row>
    <row r="1510" spans="325:327">
      <c r="LM1510" t="str">
        <v/>
      </c>
      <c r="LN1510" t="str">
        <v/>
      </c>
      <c r="LO1510" t="str">
        <v/>
      </c>
    </row>
    <row r="1511" spans="325:327">
      <c r="LM1511" t="str">
        <v/>
      </c>
      <c r="LN1511" t="str">
        <v/>
      </c>
      <c r="LO1511" t="str">
        <v/>
      </c>
    </row>
    <row r="1512" spans="325:327">
      <c r="LM1512" t="str">
        <v/>
      </c>
      <c r="LN1512" t="str">
        <v/>
      </c>
      <c r="LO1512" t="str">
        <v/>
      </c>
    </row>
    <row r="1513" spans="325:327">
      <c r="LM1513" t="str">
        <v/>
      </c>
      <c r="LN1513" t="str">
        <v/>
      </c>
      <c r="LO1513" t="str">
        <v/>
      </c>
    </row>
    <row r="1514" spans="325:327">
      <c r="LM1514" t="str">
        <v/>
      </c>
      <c r="LN1514" t="str">
        <v/>
      </c>
      <c r="LO1514" t="str">
        <v/>
      </c>
    </row>
    <row r="1515" spans="325:327">
      <c r="LM1515" t="str">
        <v/>
      </c>
      <c r="LN1515" t="str">
        <v/>
      </c>
      <c r="LO1515" t="str">
        <v/>
      </c>
    </row>
    <row r="1516" spans="325:327">
      <c r="LM1516" t="str">
        <v/>
      </c>
      <c r="LN1516" t="str">
        <v/>
      </c>
      <c r="LO1516" t="str">
        <v/>
      </c>
    </row>
    <row r="1517" spans="325:327">
      <c r="LM1517" t="str">
        <v/>
      </c>
      <c r="LN1517" t="str">
        <v/>
      </c>
      <c r="LO1517" t="str">
        <v/>
      </c>
    </row>
    <row r="1518" spans="325:327">
      <c r="LM1518" t="str">
        <v/>
      </c>
      <c r="LN1518" t="str">
        <v/>
      </c>
      <c r="LO1518" t="str">
        <v/>
      </c>
    </row>
    <row r="1519" spans="325:327">
      <c r="LM1519" t="str">
        <v/>
      </c>
      <c r="LN1519" t="str">
        <v/>
      </c>
      <c r="LO1519" t="str">
        <v/>
      </c>
    </row>
    <row r="1520" spans="325:327">
      <c r="LM1520" t="str">
        <v/>
      </c>
      <c r="LN1520" t="str">
        <v/>
      </c>
      <c r="LO1520" t="str">
        <v/>
      </c>
    </row>
    <row r="1521" spans="325:327">
      <c r="LM1521" t="str">
        <v/>
      </c>
      <c r="LN1521" t="str">
        <v/>
      </c>
      <c r="LO1521" t="str">
        <v/>
      </c>
    </row>
    <row r="1522" spans="325:327">
      <c r="LM1522" t="str">
        <v/>
      </c>
      <c r="LN1522" t="str">
        <v/>
      </c>
      <c r="LO1522" t="str">
        <v/>
      </c>
    </row>
    <row r="1523" spans="325:327">
      <c r="LM1523" t="str">
        <v/>
      </c>
      <c r="LN1523" t="str">
        <v/>
      </c>
      <c r="LO1523" t="str">
        <v/>
      </c>
    </row>
    <row r="1524" spans="325:327">
      <c r="LM1524" t="str">
        <v/>
      </c>
      <c r="LN1524" t="str">
        <v/>
      </c>
      <c r="LO1524" t="str">
        <v/>
      </c>
    </row>
    <row r="1525" spans="325:327">
      <c r="LM1525" t="str">
        <v/>
      </c>
      <c r="LN1525" t="str">
        <v/>
      </c>
      <c r="LO1525" t="str">
        <v/>
      </c>
    </row>
    <row r="1526" spans="325:327">
      <c r="LM1526" t="str">
        <v/>
      </c>
      <c r="LN1526" t="str">
        <v/>
      </c>
      <c r="LO1526" t="str">
        <v/>
      </c>
    </row>
    <row r="1527" spans="325:327">
      <c r="LM1527" t="str">
        <v/>
      </c>
      <c r="LN1527" t="str">
        <v/>
      </c>
      <c r="LO1527" t="str">
        <v/>
      </c>
    </row>
    <row r="1528" spans="325:327">
      <c r="LM1528" t="str">
        <v/>
      </c>
      <c r="LN1528" t="str">
        <v/>
      </c>
      <c r="LO1528" t="str">
        <v/>
      </c>
    </row>
    <row r="1529" spans="325:327">
      <c r="LM1529" t="str">
        <v/>
      </c>
      <c r="LN1529" t="str">
        <v/>
      </c>
      <c r="LO1529" t="str">
        <v/>
      </c>
    </row>
    <row r="1530" spans="325:327">
      <c r="LM1530" t="str">
        <v/>
      </c>
      <c r="LN1530" t="str">
        <v/>
      </c>
      <c r="LO1530" t="str">
        <v/>
      </c>
    </row>
    <row r="1531" spans="325:327">
      <c r="LM1531" t="str">
        <v/>
      </c>
      <c r="LN1531" t="str">
        <v/>
      </c>
      <c r="LO1531" t="str">
        <v/>
      </c>
    </row>
    <row r="1532" spans="325:327">
      <c r="LM1532" t="str">
        <v/>
      </c>
      <c r="LN1532" t="str">
        <v/>
      </c>
      <c r="LO1532" t="str">
        <v/>
      </c>
    </row>
    <row r="1533" spans="325:327">
      <c r="LM1533" t="str">
        <v/>
      </c>
      <c r="LN1533" t="str">
        <v/>
      </c>
      <c r="LO1533" t="str">
        <v/>
      </c>
    </row>
    <row r="1534" spans="325:327">
      <c r="LM1534" t="str">
        <v/>
      </c>
      <c r="LN1534" t="str">
        <v/>
      </c>
      <c r="LO1534" t="str">
        <v/>
      </c>
    </row>
    <row r="1535" spans="325:327">
      <c r="LM1535" t="str">
        <v/>
      </c>
      <c r="LN1535" t="str">
        <v/>
      </c>
      <c r="LO1535" t="str">
        <v/>
      </c>
    </row>
    <row r="1536" spans="325:327">
      <c r="LM1536" t="str">
        <v/>
      </c>
      <c r="LN1536" t="str">
        <v/>
      </c>
      <c r="LO1536" t="str">
        <v/>
      </c>
    </row>
    <row r="1537" spans="325:327">
      <c r="LM1537" t="str">
        <v/>
      </c>
      <c r="LN1537" t="str">
        <v/>
      </c>
      <c r="LO1537" t="str">
        <v/>
      </c>
    </row>
    <row r="1538" spans="325:327">
      <c r="LM1538" t="str">
        <v/>
      </c>
      <c r="LN1538" t="str">
        <v/>
      </c>
      <c r="LO1538" t="str">
        <v/>
      </c>
    </row>
    <row r="1539" spans="325:327">
      <c r="LM1539" t="str">
        <v/>
      </c>
      <c r="LN1539" t="str">
        <v/>
      </c>
      <c r="LO1539" t="str">
        <v/>
      </c>
    </row>
    <row r="1540" spans="325:327">
      <c r="LM1540" t="str">
        <v/>
      </c>
      <c r="LN1540" t="str">
        <v/>
      </c>
      <c r="LO1540" t="str">
        <v/>
      </c>
    </row>
    <row r="1541" spans="325:327">
      <c r="LM1541" t="str">
        <v/>
      </c>
      <c r="LN1541" t="str">
        <v/>
      </c>
      <c r="LO1541" t="str">
        <v/>
      </c>
    </row>
    <row r="1542" spans="325:327">
      <c r="LM1542" t="str">
        <v/>
      </c>
      <c r="LN1542" t="str">
        <v/>
      </c>
      <c r="LO1542" t="str">
        <v/>
      </c>
    </row>
    <row r="1543" spans="325:327">
      <c r="LM1543" t="str">
        <v/>
      </c>
      <c r="LN1543" t="str">
        <v/>
      </c>
      <c r="LO1543" t="str">
        <v/>
      </c>
    </row>
    <row r="1544" spans="325:327">
      <c r="LM1544" t="str">
        <v/>
      </c>
      <c r="LN1544" t="str">
        <v/>
      </c>
      <c r="LO1544" t="str">
        <v/>
      </c>
    </row>
    <row r="1545" spans="325:327">
      <c r="LM1545" t="str">
        <v/>
      </c>
      <c r="LN1545" t="str">
        <v/>
      </c>
      <c r="LO1545" t="str">
        <v/>
      </c>
    </row>
    <row r="1546" spans="325:327">
      <c r="LM1546" t="str">
        <v/>
      </c>
      <c r="LN1546" t="str">
        <v/>
      </c>
      <c r="LO1546" t="str">
        <v/>
      </c>
    </row>
    <row r="1547" spans="325:327">
      <c r="LM1547" t="str">
        <v/>
      </c>
      <c r="LN1547" t="str">
        <v/>
      </c>
      <c r="LO1547" t="str">
        <v/>
      </c>
    </row>
    <row r="1548" spans="325:327">
      <c r="LM1548" t="str">
        <v/>
      </c>
      <c r="LN1548" t="str">
        <v/>
      </c>
      <c r="LO1548" t="str">
        <v/>
      </c>
    </row>
    <row r="1549" spans="325:327">
      <c r="LM1549" t="str">
        <v/>
      </c>
      <c r="LN1549" t="str">
        <v/>
      </c>
      <c r="LO1549" t="str">
        <v/>
      </c>
    </row>
    <row r="1550" spans="325:327">
      <c r="LM1550" t="str">
        <v/>
      </c>
      <c r="LN1550" t="str">
        <v/>
      </c>
      <c r="LO1550" t="str">
        <v/>
      </c>
    </row>
    <row r="1551" spans="325:327">
      <c r="LM1551" t="str">
        <v/>
      </c>
      <c r="LN1551" t="str">
        <v/>
      </c>
      <c r="LO1551" t="str">
        <v/>
      </c>
    </row>
    <row r="1552" spans="325:327">
      <c r="LM1552" t="str">
        <v/>
      </c>
      <c r="LN1552" t="str">
        <v/>
      </c>
      <c r="LO1552" t="str">
        <v/>
      </c>
    </row>
    <row r="1553" spans="325:327">
      <c r="LM1553" t="str">
        <v/>
      </c>
      <c r="LN1553" t="str">
        <v/>
      </c>
      <c r="LO1553" t="str">
        <v/>
      </c>
    </row>
    <row r="1554" spans="325:327">
      <c r="LM1554" t="str">
        <v/>
      </c>
      <c r="LN1554" t="str">
        <v/>
      </c>
      <c r="LO1554" t="str">
        <v/>
      </c>
    </row>
    <row r="1555" spans="325:327">
      <c r="LM1555" t="str">
        <v/>
      </c>
      <c r="LN1555" t="str">
        <v/>
      </c>
      <c r="LO1555" t="str">
        <v/>
      </c>
    </row>
    <row r="1556" spans="325:327">
      <c r="LM1556" t="str">
        <v/>
      </c>
      <c r="LN1556" t="str">
        <v/>
      </c>
      <c r="LO1556" t="str">
        <v/>
      </c>
    </row>
    <row r="1557" spans="325:327">
      <c r="LM1557" t="str">
        <v/>
      </c>
      <c r="LN1557" t="str">
        <v/>
      </c>
      <c r="LO1557" t="str">
        <v/>
      </c>
    </row>
    <row r="1558" spans="325:327">
      <c r="LM1558" t="str">
        <v/>
      </c>
      <c r="LN1558" t="str">
        <v/>
      </c>
      <c r="LO1558" t="str">
        <v/>
      </c>
    </row>
    <row r="1559" spans="325:327">
      <c r="LM1559" t="str">
        <v/>
      </c>
      <c r="LN1559" t="str">
        <v/>
      </c>
      <c r="LO1559" t="str">
        <v/>
      </c>
    </row>
    <row r="1560" spans="325:327">
      <c r="LM1560" t="str">
        <v/>
      </c>
      <c r="LN1560" t="str">
        <v/>
      </c>
      <c r="LO1560" t="str">
        <v/>
      </c>
    </row>
    <row r="1561" spans="325:327">
      <c r="LM1561" t="str">
        <v/>
      </c>
      <c r="LN1561" t="str">
        <v/>
      </c>
      <c r="LO1561" t="str">
        <v/>
      </c>
    </row>
    <row r="1562" spans="325:327">
      <c r="LM1562" t="str">
        <v/>
      </c>
      <c r="LN1562" t="str">
        <v/>
      </c>
      <c r="LO1562" t="str">
        <v/>
      </c>
    </row>
    <row r="1563" spans="325:327">
      <c r="LM1563" t="str">
        <v/>
      </c>
      <c r="LN1563" t="str">
        <v/>
      </c>
      <c r="LO1563" t="str">
        <v/>
      </c>
    </row>
    <row r="1564" spans="325:327">
      <c r="LM1564" t="str">
        <v/>
      </c>
      <c r="LN1564" t="str">
        <v/>
      </c>
      <c r="LO1564" t="str">
        <v/>
      </c>
    </row>
    <row r="1565" spans="325:327">
      <c r="LM1565" t="str">
        <v/>
      </c>
      <c r="LN1565" t="str">
        <v/>
      </c>
      <c r="LO1565" t="str">
        <v/>
      </c>
    </row>
    <row r="1566" spans="325:327">
      <c r="LM1566" t="str">
        <v/>
      </c>
      <c r="LN1566" t="str">
        <v/>
      </c>
      <c r="LO1566" t="str">
        <v/>
      </c>
    </row>
    <row r="1567" spans="325:327">
      <c r="LM1567" t="str">
        <v/>
      </c>
      <c r="LN1567" t="str">
        <v/>
      </c>
      <c r="LO1567" t="str">
        <v/>
      </c>
    </row>
    <row r="1568" spans="325:327">
      <c r="LM1568" t="str">
        <v/>
      </c>
      <c r="LN1568" t="str">
        <v/>
      </c>
      <c r="LO1568" t="str">
        <v/>
      </c>
    </row>
    <row r="1569" spans="325:327">
      <c r="LM1569" t="str">
        <v/>
      </c>
      <c r="LN1569" t="str">
        <v/>
      </c>
      <c r="LO1569" t="str">
        <v/>
      </c>
    </row>
    <row r="1570" spans="325:327">
      <c r="LM1570" t="str">
        <v/>
      </c>
      <c r="LN1570" t="str">
        <v/>
      </c>
      <c r="LO1570" t="str">
        <v/>
      </c>
    </row>
    <row r="1571" spans="325:327">
      <c r="LM1571" t="str">
        <v/>
      </c>
      <c r="LN1571" t="str">
        <v/>
      </c>
      <c r="LO1571" t="str">
        <v/>
      </c>
    </row>
    <row r="1572" spans="325:327">
      <c r="LM1572" t="str">
        <v/>
      </c>
      <c r="LN1572" t="str">
        <v/>
      </c>
      <c r="LO1572" t="str">
        <v/>
      </c>
    </row>
    <row r="1573" spans="325:327">
      <c r="LM1573" t="str">
        <v/>
      </c>
      <c r="LN1573" t="str">
        <v/>
      </c>
      <c r="LO1573" t="str">
        <v/>
      </c>
    </row>
    <row r="1574" spans="325:327">
      <c r="LM1574" t="str">
        <v/>
      </c>
      <c r="LN1574" t="str">
        <v/>
      </c>
      <c r="LO1574" t="str">
        <v/>
      </c>
    </row>
    <row r="1575" spans="325:327">
      <c r="LM1575" t="str">
        <v/>
      </c>
      <c r="LN1575" t="str">
        <v/>
      </c>
      <c r="LO1575" t="str">
        <v/>
      </c>
    </row>
    <row r="1576" spans="325:327">
      <c r="LM1576" t="str">
        <v/>
      </c>
      <c r="LN1576" t="str">
        <v/>
      </c>
      <c r="LO1576" t="str">
        <v/>
      </c>
    </row>
    <row r="1577" spans="325:327">
      <c r="LM1577" t="str">
        <v/>
      </c>
      <c r="LN1577" t="str">
        <v/>
      </c>
      <c r="LO1577" t="str">
        <v/>
      </c>
    </row>
    <row r="1578" spans="325:327">
      <c r="LM1578" t="str">
        <v/>
      </c>
      <c r="LN1578" t="str">
        <v/>
      </c>
      <c r="LO1578" t="str">
        <v/>
      </c>
    </row>
    <row r="1579" spans="325:327">
      <c r="LM1579" t="str">
        <v/>
      </c>
      <c r="LN1579" t="str">
        <v/>
      </c>
      <c r="LO1579" t="str">
        <v/>
      </c>
    </row>
    <row r="1580" spans="325:327">
      <c r="LM1580" t="str">
        <v/>
      </c>
      <c r="LN1580" t="str">
        <v/>
      </c>
      <c r="LO1580" t="str">
        <v/>
      </c>
    </row>
    <row r="1581" spans="325:327">
      <c r="LM1581" t="str">
        <v/>
      </c>
      <c r="LN1581" t="str">
        <v/>
      </c>
      <c r="LO1581" t="str">
        <v/>
      </c>
    </row>
    <row r="1582" spans="325:327">
      <c r="LM1582" t="str">
        <v/>
      </c>
      <c r="LN1582" t="str">
        <v/>
      </c>
      <c r="LO1582" t="str">
        <v/>
      </c>
    </row>
    <row r="1583" spans="325:327">
      <c r="LM1583" t="str">
        <v/>
      </c>
      <c r="LN1583" t="str">
        <v/>
      </c>
      <c r="LO1583" t="str">
        <v/>
      </c>
    </row>
    <row r="1584" spans="325:327">
      <c r="LM1584" t="str">
        <v/>
      </c>
      <c r="LN1584" t="str">
        <v/>
      </c>
      <c r="LO1584" t="str">
        <v/>
      </c>
    </row>
    <row r="1585" spans="325:327">
      <c r="LM1585" t="str">
        <v/>
      </c>
      <c r="LN1585" t="str">
        <v/>
      </c>
      <c r="LO1585" t="str">
        <v/>
      </c>
    </row>
    <row r="1586" spans="325:327">
      <c r="LM1586" t="str">
        <v/>
      </c>
      <c r="LN1586" t="str">
        <v/>
      </c>
      <c r="LO1586" t="str">
        <v/>
      </c>
    </row>
    <row r="1587" spans="325:327">
      <c r="LM1587" t="str">
        <v/>
      </c>
      <c r="LN1587" t="str">
        <v/>
      </c>
      <c r="LO1587" t="str">
        <v/>
      </c>
    </row>
    <row r="1588" spans="325:327">
      <c r="LM1588" t="str">
        <v/>
      </c>
      <c r="LN1588" t="str">
        <v/>
      </c>
      <c r="LO1588" t="str">
        <v/>
      </c>
    </row>
    <row r="1589" spans="325:327">
      <c r="LM1589" t="str">
        <v/>
      </c>
      <c r="LN1589" t="str">
        <v/>
      </c>
      <c r="LO1589" t="str">
        <v/>
      </c>
    </row>
    <row r="1590" spans="325:327">
      <c r="LM1590" t="str">
        <v/>
      </c>
      <c r="LN1590" t="str">
        <v/>
      </c>
      <c r="LO1590" t="str">
        <v/>
      </c>
    </row>
    <row r="1591" spans="325:327">
      <c r="LM1591" t="str">
        <v/>
      </c>
      <c r="LN1591" t="str">
        <v/>
      </c>
      <c r="LO1591" t="str">
        <v/>
      </c>
    </row>
    <row r="1592" spans="325:327">
      <c r="LM1592" t="str">
        <v/>
      </c>
      <c r="LN1592" t="str">
        <v/>
      </c>
      <c r="LO1592" t="str">
        <v/>
      </c>
    </row>
    <row r="1593" spans="325:327">
      <c r="LM1593" t="str">
        <v/>
      </c>
      <c r="LN1593" t="str">
        <v/>
      </c>
      <c r="LO1593" t="str">
        <v/>
      </c>
    </row>
    <row r="1594" spans="325:327">
      <c r="LM1594" t="str">
        <v/>
      </c>
      <c r="LN1594" t="str">
        <v/>
      </c>
      <c r="LO1594" t="str">
        <v/>
      </c>
    </row>
    <row r="1595" spans="325:327">
      <c r="LM1595" t="str">
        <v/>
      </c>
      <c r="LN1595" t="str">
        <v/>
      </c>
      <c r="LO1595" t="str">
        <v/>
      </c>
    </row>
    <row r="1596" spans="325:327">
      <c r="LM1596" t="str">
        <v/>
      </c>
      <c r="LN1596" t="str">
        <v/>
      </c>
      <c r="LO1596" t="str">
        <v/>
      </c>
    </row>
    <row r="1597" spans="325:327">
      <c r="LM1597" t="str">
        <v/>
      </c>
      <c r="LN1597" t="str">
        <v/>
      </c>
      <c r="LO1597" t="str">
        <v/>
      </c>
    </row>
    <row r="1598" spans="325:327">
      <c r="LM1598" t="str">
        <v/>
      </c>
      <c r="LN1598" t="str">
        <v/>
      </c>
      <c r="LO1598" t="str">
        <v/>
      </c>
    </row>
    <row r="1599" spans="325:327">
      <c r="LM1599" t="str">
        <v/>
      </c>
      <c r="LN1599" t="str">
        <v/>
      </c>
      <c r="LO1599" t="str">
        <v/>
      </c>
    </row>
    <row r="1600" spans="325:327">
      <c r="LM1600" t="str">
        <v/>
      </c>
      <c r="LN1600" t="str">
        <v/>
      </c>
      <c r="LO1600" t="str">
        <v/>
      </c>
    </row>
    <row r="1601" spans="325:327">
      <c r="LM1601" t="str">
        <v/>
      </c>
      <c r="LN1601" t="str">
        <v/>
      </c>
      <c r="LO1601" t="str">
        <v/>
      </c>
    </row>
    <row r="1602" spans="325:327">
      <c r="LM1602" t="str">
        <v/>
      </c>
      <c r="LN1602" t="str">
        <v/>
      </c>
      <c r="LO1602" t="str">
        <v/>
      </c>
    </row>
    <row r="1603" spans="325:327">
      <c r="LM1603" t="str">
        <v/>
      </c>
      <c r="LN1603" t="str">
        <v/>
      </c>
      <c r="LO1603" t="str">
        <v/>
      </c>
    </row>
    <row r="1604" spans="325:327">
      <c r="LM1604" t="str">
        <v/>
      </c>
      <c r="LN1604" t="str">
        <v/>
      </c>
      <c r="LO1604" t="str">
        <v/>
      </c>
    </row>
    <row r="1605" spans="325:327">
      <c r="LM1605" t="str">
        <v/>
      </c>
      <c r="LN1605" t="str">
        <v/>
      </c>
      <c r="LO1605" t="str">
        <v/>
      </c>
    </row>
    <row r="1606" spans="325:327">
      <c r="LM1606" t="str">
        <v/>
      </c>
      <c r="LN1606" t="str">
        <v/>
      </c>
      <c r="LO1606" t="str">
        <v/>
      </c>
    </row>
    <row r="1607" spans="325:327">
      <c r="LM1607" t="str">
        <v/>
      </c>
      <c r="LN1607" t="str">
        <v/>
      </c>
      <c r="LO1607" t="str">
        <v/>
      </c>
    </row>
    <row r="1608" spans="325:327">
      <c r="LM1608" t="str">
        <v/>
      </c>
      <c r="LN1608" t="str">
        <v/>
      </c>
      <c r="LO1608" t="str">
        <v/>
      </c>
    </row>
    <row r="1609" spans="325:327">
      <c r="LM1609" t="str">
        <v/>
      </c>
      <c r="LN1609" t="str">
        <v/>
      </c>
      <c r="LO1609" t="str">
        <v/>
      </c>
    </row>
    <row r="1610" spans="325:327">
      <c r="LM1610" t="str">
        <v/>
      </c>
      <c r="LN1610" t="str">
        <v/>
      </c>
      <c r="LO1610" t="str">
        <v/>
      </c>
    </row>
    <row r="1611" spans="325:327">
      <c r="LM1611" t="str">
        <v/>
      </c>
      <c r="LN1611" t="str">
        <v/>
      </c>
      <c r="LO1611" t="str">
        <v/>
      </c>
    </row>
    <row r="1612" spans="325:327">
      <c r="LM1612" t="str">
        <v/>
      </c>
      <c r="LN1612" t="str">
        <v/>
      </c>
      <c r="LO1612" t="str">
        <v/>
      </c>
    </row>
    <row r="1613" spans="325:327">
      <c r="LM1613" t="str">
        <v/>
      </c>
      <c r="LN1613" t="str">
        <v/>
      </c>
      <c r="LO1613" t="str">
        <v/>
      </c>
    </row>
    <row r="1614" spans="325:327">
      <c r="LM1614" t="str">
        <v/>
      </c>
      <c r="LN1614" t="str">
        <v/>
      </c>
      <c r="LO1614" t="str">
        <v/>
      </c>
    </row>
    <row r="1615" spans="325:327">
      <c r="LM1615" t="str">
        <v/>
      </c>
      <c r="LN1615" t="str">
        <v/>
      </c>
      <c r="LO1615" t="str">
        <v/>
      </c>
    </row>
    <row r="1616" spans="325:327">
      <c r="LM1616" t="str">
        <v/>
      </c>
      <c r="LN1616" t="str">
        <v/>
      </c>
      <c r="LO1616" t="str">
        <v/>
      </c>
    </row>
    <row r="1617" spans="325:327">
      <c r="LM1617" t="str">
        <v/>
      </c>
      <c r="LN1617" t="str">
        <v/>
      </c>
      <c r="LO1617" t="str">
        <v/>
      </c>
    </row>
    <row r="1618" spans="325:327">
      <c r="LM1618" t="str">
        <v/>
      </c>
      <c r="LN1618" t="str">
        <v/>
      </c>
      <c r="LO1618" t="str">
        <v/>
      </c>
    </row>
    <row r="1619" spans="325:327">
      <c r="LM1619" t="str">
        <v/>
      </c>
      <c r="LN1619" t="str">
        <v/>
      </c>
      <c r="LO1619" t="str">
        <v/>
      </c>
    </row>
    <row r="1620" spans="325:327">
      <c r="LM1620" t="str">
        <v/>
      </c>
      <c r="LN1620" t="str">
        <v/>
      </c>
      <c r="LO1620" t="str">
        <v/>
      </c>
    </row>
    <row r="1621" spans="325:327">
      <c r="LM1621" t="str">
        <v/>
      </c>
      <c r="LN1621" t="str">
        <v/>
      </c>
      <c r="LO1621" t="str">
        <v/>
      </c>
    </row>
    <row r="1622" spans="325:327">
      <c r="LM1622" t="str">
        <v/>
      </c>
      <c r="LN1622" t="str">
        <v/>
      </c>
      <c r="LO1622" t="str">
        <v/>
      </c>
    </row>
    <row r="1623" spans="325:327">
      <c r="LM1623" t="str">
        <v/>
      </c>
      <c r="LN1623" t="str">
        <v/>
      </c>
      <c r="LO1623" t="str">
        <v/>
      </c>
    </row>
    <row r="1624" spans="325:327">
      <c r="LM1624" t="str">
        <v/>
      </c>
      <c r="LN1624" t="str">
        <v/>
      </c>
      <c r="LO1624" t="str">
        <v/>
      </c>
    </row>
    <row r="1625" spans="325:327">
      <c r="LM1625" t="str">
        <v/>
      </c>
      <c r="LN1625" t="str">
        <v/>
      </c>
      <c r="LO1625" t="str">
        <v/>
      </c>
    </row>
    <row r="1626" spans="325:327">
      <c r="LM1626" t="str">
        <v/>
      </c>
      <c r="LN1626" t="str">
        <v/>
      </c>
      <c r="LO1626" t="str">
        <v/>
      </c>
    </row>
    <row r="1627" spans="325:327">
      <c r="LM1627" t="str">
        <v/>
      </c>
      <c r="LN1627" t="str">
        <v/>
      </c>
      <c r="LO1627" t="str">
        <v/>
      </c>
    </row>
    <row r="1628" spans="325:327">
      <c r="LM1628" t="str">
        <v/>
      </c>
      <c r="LN1628" t="str">
        <v/>
      </c>
      <c r="LO1628" t="str">
        <v/>
      </c>
    </row>
    <row r="1629" spans="325:327">
      <c r="LM1629" t="str">
        <v/>
      </c>
      <c r="LN1629" t="str">
        <v/>
      </c>
      <c r="LO1629" t="str">
        <v/>
      </c>
    </row>
    <row r="1630" spans="325:327">
      <c r="LM1630" t="str">
        <v/>
      </c>
      <c r="LN1630" t="str">
        <v/>
      </c>
      <c r="LO1630" t="str">
        <v/>
      </c>
    </row>
    <row r="1631" spans="325:327">
      <c r="LM1631" t="str">
        <v/>
      </c>
      <c r="LN1631" t="str">
        <v/>
      </c>
      <c r="LO1631" t="str">
        <v/>
      </c>
    </row>
    <row r="1632" spans="325:327">
      <c r="LM1632" t="str">
        <v/>
      </c>
      <c r="LN1632" t="str">
        <v/>
      </c>
      <c r="LO1632" t="str">
        <v/>
      </c>
    </row>
    <row r="1633" spans="325:327">
      <c r="LM1633" t="str">
        <v/>
      </c>
      <c r="LN1633" t="str">
        <v/>
      </c>
      <c r="LO1633" t="str">
        <v/>
      </c>
    </row>
    <row r="1634" spans="325:327">
      <c r="LM1634" t="str">
        <v/>
      </c>
      <c r="LN1634" t="str">
        <v/>
      </c>
      <c r="LO1634" t="str">
        <v/>
      </c>
    </row>
    <row r="1635" spans="325:327">
      <c r="LM1635" t="str">
        <v/>
      </c>
      <c r="LN1635" t="str">
        <v/>
      </c>
      <c r="LO1635" t="str">
        <v/>
      </c>
    </row>
    <row r="1636" spans="325:327">
      <c r="LM1636" t="str">
        <v/>
      </c>
      <c r="LN1636" t="str">
        <v/>
      </c>
      <c r="LO1636" t="str">
        <v/>
      </c>
    </row>
    <row r="1637" spans="325:327">
      <c r="LM1637" t="str">
        <v/>
      </c>
      <c r="LN1637" t="str">
        <v/>
      </c>
      <c r="LO1637" t="str">
        <v/>
      </c>
    </row>
    <row r="1638" spans="325:327">
      <c r="LM1638" t="str">
        <v/>
      </c>
      <c r="LN1638" t="str">
        <v/>
      </c>
      <c r="LO1638" t="str">
        <v/>
      </c>
    </row>
    <row r="1639" spans="325:327">
      <c r="LM1639" t="str">
        <v/>
      </c>
      <c r="LN1639" t="str">
        <v/>
      </c>
      <c r="LO1639" t="str">
        <v/>
      </c>
    </row>
    <row r="1640" spans="325:327">
      <c r="LM1640" t="str">
        <v/>
      </c>
      <c r="LN1640" t="str">
        <v/>
      </c>
      <c r="LO1640" t="str">
        <v/>
      </c>
    </row>
    <row r="1641" spans="325:327">
      <c r="LM1641" t="str">
        <v/>
      </c>
      <c r="LN1641" t="str">
        <v/>
      </c>
      <c r="LO1641" t="str">
        <v/>
      </c>
    </row>
    <row r="1642" spans="325:327">
      <c r="LM1642" t="str">
        <v/>
      </c>
      <c r="LN1642" t="str">
        <v/>
      </c>
      <c r="LO1642" t="str">
        <v/>
      </c>
    </row>
    <row r="1643" spans="325:327">
      <c r="LM1643" t="str">
        <v/>
      </c>
      <c r="LN1643" t="str">
        <v/>
      </c>
      <c r="LO1643" t="str">
        <v/>
      </c>
    </row>
    <row r="1644" spans="325:327">
      <c r="LM1644" t="str">
        <v/>
      </c>
      <c r="LN1644" t="str">
        <v/>
      </c>
      <c r="LO1644" t="str">
        <v/>
      </c>
    </row>
    <row r="1645" spans="325:327">
      <c r="LM1645" t="str">
        <v/>
      </c>
      <c r="LN1645" t="str">
        <v/>
      </c>
      <c r="LO1645" t="str">
        <v/>
      </c>
    </row>
    <row r="1646" spans="325:327">
      <c r="LM1646" t="str">
        <v/>
      </c>
      <c r="LN1646" t="str">
        <v/>
      </c>
      <c r="LO1646" t="str">
        <v/>
      </c>
    </row>
    <row r="1647" spans="325:327">
      <c r="LM1647" t="str">
        <v/>
      </c>
      <c r="LN1647" t="str">
        <v/>
      </c>
      <c r="LO1647" t="str">
        <v/>
      </c>
    </row>
    <row r="1648" spans="325:327">
      <c r="LM1648" t="str">
        <v/>
      </c>
      <c r="LN1648" t="str">
        <v/>
      </c>
      <c r="LO1648" t="str">
        <v/>
      </c>
    </row>
    <row r="1649" spans="325:327">
      <c r="LM1649" t="str">
        <v/>
      </c>
      <c r="LN1649" t="str">
        <v/>
      </c>
      <c r="LO1649" t="str">
        <v/>
      </c>
    </row>
    <row r="1650" spans="325:327">
      <c r="LM1650" t="str">
        <v/>
      </c>
      <c r="LN1650" t="str">
        <v/>
      </c>
      <c r="LO1650" t="str">
        <v/>
      </c>
    </row>
    <row r="1651" spans="325:327">
      <c r="LM1651" t="str">
        <v/>
      </c>
      <c r="LN1651" t="str">
        <v/>
      </c>
      <c r="LO1651" t="str">
        <v/>
      </c>
    </row>
    <row r="1652" spans="325:327">
      <c r="LM1652" t="str">
        <v/>
      </c>
      <c r="LN1652" t="str">
        <v/>
      </c>
      <c r="LO1652" t="str">
        <v/>
      </c>
    </row>
    <row r="1653" spans="325:327">
      <c r="LM1653" t="str">
        <v/>
      </c>
      <c r="LN1653" t="str">
        <v/>
      </c>
      <c r="LO1653" t="str">
        <v/>
      </c>
    </row>
    <row r="1654" spans="325:327">
      <c r="LM1654" t="str">
        <v/>
      </c>
      <c r="LN1654" t="str">
        <v/>
      </c>
      <c r="LO1654" t="str">
        <v/>
      </c>
    </row>
    <row r="1655" spans="325:327">
      <c r="LM1655" t="str">
        <v/>
      </c>
      <c r="LN1655" t="str">
        <v/>
      </c>
      <c r="LO1655" t="str">
        <v/>
      </c>
    </row>
    <row r="1656" spans="325:327">
      <c r="LM1656" t="str">
        <v/>
      </c>
      <c r="LN1656" t="str">
        <v/>
      </c>
      <c r="LO1656" t="str">
        <v/>
      </c>
    </row>
    <row r="1657" spans="325:327">
      <c r="LM1657" t="str">
        <v/>
      </c>
      <c r="LN1657" t="str">
        <v/>
      </c>
      <c r="LO1657" t="str">
        <v/>
      </c>
    </row>
    <row r="1658" spans="325:327">
      <c r="LM1658" t="str">
        <v/>
      </c>
      <c r="LN1658" t="str">
        <v/>
      </c>
      <c r="LO1658" t="str">
        <v/>
      </c>
    </row>
    <row r="1659" spans="325:327">
      <c r="LM1659" t="str">
        <v/>
      </c>
      <c r="LN1659" t="str">
        <v/>
      </c>
      <c r="LO1659" t="str">
        <v/>
      </c>
    </row>
    <row r="1660" spans="325:327">
      <c r="LM1660" t="str">
        <v/>
      </c>
      <c r="LN1660" t="str">
        <v/>
      </c>
      <c r="LO1660" t="str">
        <v/>
      </c>
    </row>
    <row r="1661" spans="325:327">
      <c r="LM1661" t="str">
        <v/>
      </c>
      <c r="LN1661" t="str">
        <v/>
      </c>
      <c r="LO1661" t="str">
        <v/>
      </c>
    </row>
    <row r="1662" spans="325:327">
      <c r="LM1662" t="str">
        <v/>
      </c>
      <c r="LN1662" t="str">
        <v/>
      </c>
      <c r="LO1662" t="str">
        <v/>
      </c>
    </row>
    <row r="1663" spans="325:327">
      <c r="LM1663" t="str">
        <v/>
      </c>
      <c r="LN1663" t="str">
        <v/>
      </c>
      <c r="LO1663" t="str">
        <v/>
      </c>
    </row>
    <row r="1664" spans="325:327">
      <c r="LM1664" t="str">
        <v/>
      </c>
      <c r="LN1664" t="str">
        <v/>
      </c>
      <c r="LO1664" t="str">
        <v/>
      </c>
    </row>
    <row r="1665" spans="325:327">
      <c r="LM1665" t="str">
        <v/>
      </c>
      <c r="LN1665" t="str">
        <v/>
      </c>
      <c r="LO1665" t="str">
        <v/>
      </c>
    </row>
    <row r="1666" spans="325:327">
      <c r="LM1666" t="str">
        <v/>
      </c>
      <c r="LN1666" t="str">
        <v/>
      </c>
      <c r="LO1666" t="str">
        <v/>
      </c>
    </row>
    <row r="1667" spans="325:327">
      <c r="LM1667" t="str">
        <v/>
      </c>
      <c r="LN1667" t="str">
        <v/>
      </c>
      <c r="LO1667" t="str">
        <v/>
      </c>
    </row>
    <row r="1668" spans="325:327">
      <c r="LM1668" t="str">
        <v/>
      </c>
      <c r="LN1668" t="str">
        <v/>
      </c>
      <c r="LO1668" t="str">
        <v/>
      </c>
    </row>
    <row r="1669" spans="325:327">
      <c r="LM1669" t="str">
        <v/>
      </c>
      <c r="LN1669" t="str">
        <v/>
      </c>
      <c r="LO1669" t="str">
        <v/>
      </c>
    </row>
    <row r="1670" spans="325:327">
      <c r="LM1670" t="str">
        <v/>
      </c>
      <c r="LN1670" t="str">
        <v/>
      </c>
      <c r="LO1670" t="str">
        <v/>
      </c>
    </row>
    <row r="1671" spans="325:327">
      <c r="LM1671" t="str">
        <v/>
      </c>
      <c r="LN1671" t="str">
        <v/>
      </c>
      <c r="LO1671" t="str">
        <v/>
      </c>
    </row>
    <row r="1672" spans="325:327">
      <c r="LM1672" t="str">
        <v/>
      </c>
      <c r="LN1672" t="str">
        <v/>
      </c>
      <c r="LO1672" t="str">
        <v/>
      </c>
    </row>
    <row r="1673" spans="325:327">
      <c r="LM1673" t="str">
        <v/>
      </c>
      <c r="LN1673" t="str">
        <v/>
      </c>
      <c r="LO1673" t="str">
        <v/>
      </c>
    </row>
    <row r="1674" spans="325:327">
      <c r="LM1674" t="str">
        <v/>
      </c>
      <c r="LN1674" t="str">
        <v/>
      </c>
      <c r="LO1674" t="str">
        <v/>
      </c>
    </row>
    <row r="1675" spans="325:327">
      <c r="LM1675" t="str">
        <v/>
      </c>
      <c r="LN1675" t="str">
        <v/>
      </c>
      <c r="LO1675" t="str">
        <v/>
      </c>
    </row>
    <row r="1676" spans="325:327">
      <c r="LM1676" t="str">
        <v/>
      </c>
      <c r="LN1676" t="str">
        <v/>
      </c>
      <c r="LO1676" t="str">
        <v/>
      </c>
    </row>
    <row r="1677" spans="325:327">
      <c r="LM1677" t="str">
        <v/>
      </c>
      <c r="LN1677" t="str">
        <v/>
      </c>
      <c r="LO1677" t="str">
        <v/>
      </c>
    </row>
    <row r="1678" spans="325:327">
      <c r="LM1678" t="str">
        <v/>
      </c>
      <c r="LN1678" t="str">
        <v/>
      </c>
      <c r="LO1678" t="str">
        <v/>
      </c>
    </row>
    <row r="1679" spans="325:327">
      <c r="LM1679" t="str">
        <v/>
      </c>
      <c r="LN1679" t="str">
        <v/>
      </c>
      <c r="LO1679" t="str">
        <v/>
      </c>
    </row>
    <row r="1680" spans="325:327">
      <c r="LM1680" t="str">
        <v/>
      </c>
      <c r="LN1680" t="str">
        <v/>
      </c>
      <c r="LO1680" t="str">
        <v/>
      </c>
    </row>
    <row r="1681" spans="325:327">
      <c r="LM1681" t="str">
        <v/>
      </c>
      <c r="LN1681" t="str">
        <v/>
      </c>
      <c r="LO1681" t="str">
        <v/>
      </c>
    </row>
    <row r="1682" spans="325:327">
      <c r="LM1682" t="str">
        <v/>
      </c>
      <c r="LN1682" t="str">
        <v/>
      </c>
      <c r="LO1682" t="str">
        <v/>
      </c>
    </row>
    <row r="1683" spans="325:327">
      <c r="LM1683" t="str">
        <v/>
      </c>
      <c r="LN1683" t="str">
        <v/>
      </c>
      <c r="LO1683" t="str">
        <v/>
      </c>
    </row>
    <row r="1684" spans="325:327">
      <c r="LM1684" t="str">
        <v/>
      </c>
      <c r="LN1684" t="str">
        <v/>
      </c>
      <c r="LO1684" t="str">
        <v/>
      </c>
    </row>
    <row r="1685" spans="325:327">
      <c r="LM1685" t="str">
        <v/>
      </c>
      <c r="LN1685" t="str">
        <v/>
      </c>
      <c r="LO1685" t="str">
        <v/>
      </c>
    </row>
    <row r="1686" spans="325:327">
      <c r="LM1686" t="str">
        <v/>
      </c>
      <c r="LN1686" t="str">
        <v/>
      </c>
      <c r="LO1686" t="str">
        <v/>
      </c>
    </row>
    <row r="1687" spans="325:327">
      <c r="LM1687" t="str">
        <v/>
      </c>
      <c r="LN1687" t="str">
        <v/>
      </c>
      <c r="LO1687" t="str">
        <v/>
      </c>
    </row>
    <row r="1688" spans="325:327">
      <c r="LM1688" t="str">
        <v/>
      </c>
      <c r="LN1688" t="str">
        <v/>
      </c>
      <c r="LO1688" t="str">
        <v/>
      </c>
    </row>
    <row r="1689" spans="325:327">
      <c r="LM1689" t="str">
        <v/>
      </c>
      <c r="LN1689" t="str">
        <v/>
      </c>
      <c r="LO1689" t="str">
        <v/>
      </c>
    </row>
    <row r="1690" spans="325:327">
      <c r="LM1690" t="str">
        <v/>
      </c>
      <c r="LN1690" t="str">
        <v/>
      </c>
      <c r="LO1690" t="str">
        <v/>
      </c>
    </row>
    <row r="1691" spans="325:327">
      <c r="LM1691" t="str">
        <v/>
      </c>
      <c r="LN1691" t="str">
        <v/>
      </c>
      <c r="LO1691" t="str">
        <v/>
      </c>
    </row>
    <row r="1692" spans="325:327">
      <c r="LM1692" t="str">
        <v/>
      </c>
      <c r="LN1692" t="str">
        <v/>
      </c>
      <c r="LO1692" t="str">
        <v/>
      </c>
    </row>
    <row r="1693" spans="325:327">
      <c r="LM1693" t="str">
        <v/>
      </c>
      <c r="LN1693" t="str">
        <v/>
      </c>
      <c r="LO1693" t="str">
        <v/>
      </c>
    </row>
    <row r="1694" spans="325:327">
      <c r="LM1694" t="str">
        <v/>
      </c>
      <c r="LN1694" t="str">
        <v/>
      </c>
      <c r="LO1694" t="str">
        <v/>
      </c>
    </row>
    <row r="1695" spans="325:327">
      <c r="LM1695" t="str">
        <v/>
      </c>
      <c r="LN1695" t="str">
        <v/>
      </c>
      <c r="LO1695" t="str">
        <v/>
      </c>
    </row>
    <row r="1696" spans="325:327">
      <c r="LM1696" t="str">
        <v/>
      </c>
      <c r="LN1696" t="str">
        <v/>
      </c>
      <c r="LO1696" t="str">
        <v/>
      </c>
    </row>
    <row r="1697" spans="325:327">
      <c r="LM1697" t="str">
        <v/>
      </c>
      <c r="LN1697" t="str">
        <v/>
      </c>
      <c r="LO1697" t="str">
        <v/>
      </c>
    </row>
    <row r="1698" spans="325:327">
      <c r="LM1698" t="str">
        <v/>
      </c>
      <c r="LN1698" t="str">
        <v/>
      </c>
      <c r="LO1698" t="str">
        <v/>
      </c>
    </row>
    <row r="1699" spans="325:327">
      <c r="LM1699" t="str">
        <v/>
      </c>
      <c r="LN1699" t="str">
        <v/>
      </c>
      <c r="LO1699" t="str">
        <v/>
      </c>
    </row>
    <row r="1700" spans="325:327">
      <c r="LM1700" t="str">
        <v/>
      </c>
      <c r="LN1700" t="str">
        <v/>
      </c>
      <c r="LO1700" t="str">
        <v/>
      </c>
    </row>
    <row r="1701" spans="325:327">
      <c r="LM1701" t="str">
        <v/>
      </c>
      <c r="LN1701" t="str">
        <v/>
      </c>
      <c r="LO1701" t="str">
        <v/>
      </c>
    </row>
    <row r="1702" spans="325:327">
      <c r="LM1702" t="str">
        <v/>
      </c>
      <c r="LN1702" t="str">
        <v/>
      </c>
      <c r="LO1702" t="str">
        <v/>
      </c>
    </row>
    <row r="1703" spans="325:327">
      <c r="LM1703" t="str">
        <v/>
      </c>
      <c r="LN1703" t="str">
        <v/>
      </c>
      <c r="LO1703" t="str">
        <v/>
      </c>
    </row>
    <row r="1704" spans="325:327">
      <c r="LM1704" t="str">
        <v/>
      </c>
      <c r="LN1704" t="str">
        <v/>
      </c>
      <c r="LO1704" t="str">
        <v/>
      </c>
    </row>
    <row r="1705" spans="325:327">
      <c r="LM1705" t="str">
        <v/>
      </c>
      <c r="LN1705" t="str">
        <v/>
      </c>
      <c r="LO1705" t="str">
        <v/>
      </c>
    </row>
    <row r="1706" spans="325:327">
      <c r="LM1706" t="str">
        <v/>
      </c>
      <c r="LN1706" t="str">
        <v/>
      </c>
      <c r="LO1706" t="str">
        <v/>
      </c>
    </row>
    <row r="1707" spans="325:327">
      <c r="LM1707" t="str">
        <v/>
      </c>
      <c r="LN1707" t="str">
        <v/>
      </c>
      <c r="LO1707" t="str">
        <v/>
      </c>
    </row>
    <row r="1708" spans="325:327">
      <c r="LM1708" t="str">
        <v/>
      </c>
      <c r="LN1708" t="str">
        <v/>
      </c>
      <c r="LO1708" t="str">
        <v/>
      </c>
    </row>
    <row r="1709" spans="325:327">
      <c r="LM1709" t="str">
        <v/>
      </c>
      <c r="LN1709" t="str">
        <v/>
      </c>
      <c r="LO1709" t="str">
        <v/>
      </c>
    </row>
    <row r="1710" spans="325:327">
      <c r="LM1710" t="str">
        <v/>
      </c>
      <c r="LN1710" t="str">
        <v/>
      </c>
      <c r="LO1710" t="str">
        <v/>
      </c>
    </row>
    <row r="1711" spans="325:327">
      <c r="LM1711" t="str">
        <v/>
      </c>
      <c r="LN1711" t="str">
        <v/>
      </c>
      <c r="LO1711" t="str">
        <v/>
      </c>
    </row>
    <row r="1712" spans="325:327">
      <c r="LM1712" t="str">
        <v/>
      </c>
      <c r="LN1712" t="str">
        <v/>
      </c>
      <c r="LO1712" t="str">
        <v/>
      </c>
    </row>
    <row r="1713" spans="325:327">
      <c r="LM1713" t="str">
        <v/>
      </c>
      <c r="LN1713" t="str">
        <v/>
      </c>
      <c r="LO1713" t="str">
        <v/>
      </c>
    </row>
    <row r="1714" spans="325:327">
      <c r="LM1714" t="str">
        <v/>
      </c>
      <c r="LN1714" t="str">
        <v/>
      </c>
      <c r="LO1714" t="str">
        <v/>
      </c>
    </row>
    <row r="1715" spans="325:327">
      <c r="LM1715" t="str">
        <v/>
      </c>
      <c r="LN1715" t="str">
        <v/>
      </c>
      <c r="LO1715" t="str">
        <v/>
      </c>
    </row>
    <row r="1716" spans="325:327">
      <c r="LM1716" t="str">
        <v/>
      </c>
      <c r="LN1716" t="str">
        <v/>
      </c>
      <c r="LO1716" t="str">
        <v/>
      </c>
    </row>
    <row r="1717" spans="325:327">
      <c r="LM1717" t="str">
        <v/>
      </c>
      <c r="LN1717" t="str">
        <v/>
      </c>
      <c r="LO1717" t="str">
        <v/>
      </c>
    </row>
    <row r="1718" spans="325:327">
      <c r="LM1718" t="str">
        <v/>
      </c>
      <c r="LN1718" t="str">
        <v/>
      </c>
      <c r="LO1718" t="str">
        <v/>
      </c>
    </row>
    <row r="1719" spans="325:327">
      <c r="LM1719" t="str">
        <v/>
      </c>
      <c r="LN1719" t="str">
        <v/>
      </c>
      <c r="LO1719" t="str">
        <v/>
      </c>
    </row>
    <row r="1720" spans="325:327">
      <c r="LM1720" t="str">
        <v/>
      </c>
      <c r="LN1720" t="str">
        <v/>
      </c>
      <c r="LO1720" t="str">
        <v/>
      </c>
    </row>
    <row r="1721" spans="325:327">
      <c r="LM1721" t="str">
        <v/>
      </c>
      <c r="LN1721" t="str">
        <v/>
      </c>
      <c r="LO1721" t="str">
        <v/>
      </c>
    </row>
    <row r="1722" spans="325:327">
      <c r="LM1722" t="str">
        <v/>
      </c>
      <c r="LN1722" t="str">
        <v/>
      </c>
      <c r="LO1722" t="str">
        <v/>
      </c>
    </row>
    <row r="1723" spans="325:327">
      <c r="LM1723" t="str">
        <v/>
      </c>
      <c r="LN1723" t="str">
        <v/>
      </c>
      <c r="LO1723" t="str">
        <v/>
      </c>
    </row>
    <row r="1724" spans="325:327">
      <c r="LM1724" t="str">
        <v/>
      </c>
      <c r="LN1724" t="str">
        <v/>
      </c>
      <c r="LO1724" t="str">
        <v/>
      </c>
    </row>
    <row r="1725" spans="325:327">
      <c r="LM1725" t="str">
        <v/>
      </c>
      <c r="LN1725" t="str">
        <v/>
      </c>
      <c r="LO1725" t="str">
        <v/>
      </c>
    </row>
    <row r="1726" spans="325:327">
      <c r="LM1726" t="str">
        <v/>
      </c>
      <c r="LN1726" t="str">
        <v/>
      </c>
      <c r="LO1726" t="str">
        <v/>
      </c>
    </row>
    <row r="1727" spans="325:327">
      <c r="LM1727" t="str">
        <v/>
      </c>
      <c r="LN1727" t="str">
        <v/>
      </c>
      <c r="LO1727" t="str">
        <v/>
      </c>
    </row>
    <row r="1728" spans="325:327">
      <c r="LM1728" t="str">
        <v/>
      </c>
      <c r="LN1728" t="str">
        <v/>
      </c>
      <c r="LO1728" t="str">
        <v/>
      </c>
    </row>
    <row r="1729" spans="325:327">
      <c r="LM1729" t="str">
        <v/>
      </c>
      <c r="LN1729" t="str">
        <v/>
      </c>
      <c r="LO1729" t="str">
        <v/>
      </c>
    </row>
    <row r="1730" spans="325:327">
      <c r="LM1730" t="str">
        <v/>
      </c>
      <c r="LN1730" t="str">
        <v/>
      </c>
      <c r="LO1730" t="str">
        <v/>
      </c>
    </row>
    <row r="1731" spans="325:327">
      <c r="LM1731" t="str">
        <v/>
      </c>
      <c r="LN1731" t="str">
        <v/>
      </c>
      <c r="LO1731" t="str">
        <v/>
      </c>
    </row>
    <row r="1732" spans="325:327">
      <c r="LM1732" t="str">
        <v/>
      </c>
      <c r="LN1732" t="str">
        <v/>
      </c>
      <c r="LO1732" t="str">
        <v/>
      </c>
    </row>
    <row r="1733" spans="325:327">
      <c r="LM1733" t="str">
        <v/>
      </c>
      <c r="LN1733" t="str">
        <v/>
      </c>
      <c r="LO1733" t="str">
        <v/>
      </c>
    </row>
    <row r="1734" spans="325:327">
      <c r="LM1734" t="str">
        <v/>
      </c>
      <c r="LN1734" t="str">
        <v/>
      </c>
      <c r="LO1734" t="str">
        <v/>
      </c>
    </row>
    <row r="1735" spans="325:327">
      <c r="LM1735" t="str">
        <v/>
      </c>
      <c r="LN1735" t="str">
        <v/>
      </c>
      <c r="LO1735" t="str">
        <v/>
      </c>
    </row>
    <row r="1736" spans="325:327">
      <c r="LM1736" t="str">
        <v/>
      </c>
      <c r="LN1736" t="str">
        <v/>
      </c>
      <c r="LO1736" t="str">
        <v/>
      </c>
    </row>
    <row r="1737" spans="325:327">
      <c r="LM1737" t="str">
        <v/>
      </c>
      <c r="LN1737" t="str">
        <v/>
      </c>
      <c r="LO1737" t="str">
        <v/>
      </c>
    </row>
    <row r="1738" spans="325:327">
      <c r="LM1738" t="str">
        <v/>
      </c>
      <c r="LN1738" t="str">
        <v/>
      </c>
      <c r="LO1738" t="str">
        <v/>
      </c>
    </row>
    <row r="1739" spans="325:327">
      <c r="LM1739" t="str">
        <v/>
      </c>
      <c r="LN1739" t="str">
        <v/>
      </c>
      <c r="LO1739" t="str">
        <v/>
      </c>
    </row>
    <row r="1740" spans="325:327">
      <c r="LM1740" t="str">
        <v/>
      </c>
      <c r="LN1740" t="str">
        <v/>
      </c>
      <c r="LO1740" t="str">
        <v/>
      </c>
    </row>
    <row r="1741" spans="325:327">
      <c r="LM1741" t="str">
        <v/>
      </c>
      <c r="LN1741" t="str">
        <v/>
      </c>
      <c r="LO1741" t="str">
        <v/>
      </c>
    </row>
    <row r="1742" spans="325:327">
      <c r="LM1742" t="str">
        <v/>
      </c>
      <c r="LN1742" t="str">
        <v/>
      </c>
      <c r="LO1742" t="str">
        <v/>
      </c>
    </row>
    <row r="1743" spans="325:327">
      <c r="LM1743" t="str">
        <v/>
      </c>
      <c r="LN1743" t="str">
        <v/>
      </c>
      <c r="LO1743" t="str">
        <v/>
      </c>
    </row>
    <row r="1744" spans="325:327">
      <c r="LM1744" t="str">
        <v/>
      </c>
      <c r="LN1744" t="str">
        <v/>
      </c>
      <c r="LO1744" t="str">
        <v/>
      </c>
    </row>
    <row r="1745" spans="325:327">
      <c r="LM1745" t="str">
        <v/>
      </c>
      <c r="LN1745" t="str">
        <v/>
      </c>
      <c r="LO1745" t="str">
        <v/>
      </c>
    </row>
    <row r="1746" spans="325:327">
      <c r="LM1746" t="str">
        <v/>
      </c>
      <c r="LN1746" t="str">
        <v/>
      </c>
      <c r="LO1746" t="str">
        <v/>
      </c>
    </row>
    <row r="1747" spans="325:327">
      <c r="LM1747" t="str">
        <v/>
      </c>
      <c r="LN1747" t="str">
        <v/>
      </c>
      <c r="LO1747" t="str">
        <v/>
      </c>
    </row>
    <row r="1748" spans="325:327">
      <c r="LM1748" t="str">
        <v/>
      </c>
      <c r="LN1748" t="str">
        <v/>
      </c>
      <c r="LO1748" t="str">
        <v/>
      </c>
    </row>
    <row r="1749" spans="325:327">
      <c r="LM1749" t="str">
        <v/>
      </c>
      <c r="LN1749" t="str">
        <v/>
      </c>
      <c r="LO1749" t="str">
        <v/>
      </c>
    </row>
    <row r="1750" spans="325:327">
      <c r="LM1750" t="str">
        <v/>
      </c>
      <c r="LN1750" t="str">
        <v/>
      </c>
      <c r="LO1750" t="str">
        <v/>
      </c>
    </row>
    <row r="1751" spans="325:327">
      <c r="LM1751" t="str">
        <v/>
      </c>
      <c r="LN1751" t="str">
        <v/>
      </c>
      <c r="LO1751" t="str">
        <v/>
      </c>
    </row>
    <row r="1752" spans="325:327">
      <c r="LM1752" t="str">
        <v/>
      </c>
      <c r="LN1752" t="str">
        <v/>
      </c>
      <c r="LO1752" t="str">
        <v/>
      </c>
    </row>
    <row r="1753" spans="325:327">
      <c r="LM1753" t="str">
        <v/>
      </c>
      <c r="LN1753" t="str">
        <v/>
      </c>
      <c r="LO1753" t="str">
        <v/>
      </c>
    </row>
    <row r="1754" spans="325:327">
      <c r="LM1754" t="str">
        <v/>
      </c>
      <c r="LN1754" t="str">
        <v/>
      </c>
      <c r="LO1754" t="str">
        <v/>
      </c>
    </row>
    <row r="1755" spans="325:327">
      <c r="LM1755" t="str">
        <v/>
      </c>
      <c r="LN1755" t="str">
        <v/>
      </c>
      <c r="LO1755" t="str">
        <v/>
      </c>
    </row>
    <row r="1756" spans="325:327">
      <c r="LM1756" t="str">
        <v/>
      </c>
      <c r="LN1756" t="str">
        <v/>
      </c>
      <c r="LO1756" t="str">
        <v/>
      </c>
    </row>
    <row r="1757" spans="325:327">
      <c r="LM1757" t="str">
        <v/>
      </c>
      <c r="LN1757" t="str">
        <v/>
      </c>
      <c r="LO1757" t="str">
        <v/>
      </c>
    </row>
    <row r="1758" spans="325:327">
      <c r="LM1758" t="str">
        <v/>
      </c>
      <c r="LN1758" t="str">
        <v/>
      </c>
      <c r="LO1758" t="str">
        <v/>
      </c>
    </row>
    <row r="1759" spans="325:327">
      <c r="LM1759" t="str">
        <v/>
      </c>
      <c r="LN1759" t="str">
        <v/>
      </c>
      <c r="LO1759" t="str">
        <v/>
      </c>
    </row>
    <row r="1760" spans="325:327">
      <c r="LM1760" t="str">
        <v/>
      </c>
      <c r="LN1760" t="str">
        <v/>
      </c>
      <c r="LO1760" t="str">
        <v/>
      </c>
    </row>
    <row r="1761" spans="325:327">
      <c r="LM1761" t="str">
        <v/>
      </c>
      <c r="LN1761" t="str">
        <v/>
      </c>
      <c r="LO1761" t="str">
        <v/>
      </c>
    </row>
    <row r="1762" spans="325:327">
      <c r="LM1762" t="str">
        <v/>
      </c>
      <c r="LN1762" t="str">
        <v/>
      </c>
      <c r="LO1762" t="str">
        <v/>
      </c>
    </row>
    <row r="1763" spans="325:327">
      <c r="LM1763" t="str">
        <v/>
      </c>
      <c r="LN1763" t="str">
        <v/>
      </c>
      <c r="LO1763" t="str">
        <v/>
      </c>
    </row>
    <row r="1764" spans="325:327">
      <c r="LM1764" t="str">
        <v/>
      </c>
      <c r="LN1764" t="str">
        <v/>
      </c>
      <c r="LO1764" t="str">
        <v/>
      </c>
    </row>
    <row r="1765" spans="325:327">
      <c r="LM1765" t="str">
        <v/>
      </c>
      <c r="LN1765" t="str">
        <v/>
      </c>
      <c r="LO1765" t="str">
        <v/>
      </c>
    </row>
    <row r="1766" spans="325:327">
      <c r="LM1766" t="str">
        <v/>
      </c>
      <c r="LN1766" t="str">
        <v/>
      </c>
      <c r="LO1766" t="str">
        <v/>
      </c>
    </row>
    <row r="1767" spans="325:327">
      <c r="LM1767" t="str">
        <v/>
      </c>
      <c r="LN1767" t="str">
        <v/>
      </c>
      <c r="LO1767" t="str">
        <v/>
      </c>
    </row>
    <row r="1768" spans="325:327">
      <c r="LM1768" t="str">
        <v/>
      </c>
      <c r="LN1768" t="str">
        <v/>
      </c>
      <c r="LO1768" t="str">
        <v/>
      </c>
    </row>
    <row r="1769" spans="325:327">
      <c r="LM1769" t="str">
        <v/>
      </c>
      <c r="LN1769" t="str">
        <v/>
      </c>
      <c r="LO1769" t="str">
        <v/>
      </c>
    </row>
    <row r="1770" spans="325:327">
      <c r="LM1770" t="str">
        <v/>
      </c>
      <c r="LN1770" t="str">
        <v/>
      </c>
      <c r="LO1770" t="str">
        <v/>
      </c>
    </row>
    <row r="1771" spans="325:327">
      <c r="LM1771" t="str">
        <v/>
      </c>
      <c r="LN1771" t="str">
        <v/>
      </c>
      <c r="LO1771" t="str">
        <v/>
      </c>
    </row>
    <row r="1772" spans="325:327">
      <c r="LM1772" t="str">
        <v/>
      </c>
      <c r="LN1772" t="str">
        <v/>
      </c>
      <c r="LO1772" t="str">
        <v/>
      </c>
    </row>
    <row r="1773" spans="325:327">
      <c r="LM1773" t="str">
        <v/>
      </c>
      <c r="LN1773" t="str">
        <v/>
      </c>
      <c r="LO1773" t="str">
        <v/>
      </c>
    </row>
    <row r="1774" spans="325:327">
      <c r="LM1774" t="str">
        <v/>
      </c>
      <c r="LN1774" t="str">
        <v/>
      </c>
      <c r="LO1774" t="str">
        <v/>
      </c>
    </row>
    <row r="1775" spans="325:327">
      <c r="LM1775" t="str">
        <v/>
      </c>
      <c r="LN1775" t="str">
        <v/>
      </c>
      <c r="LO1775" t="str">
        <v/>
      </c>
    </row>
    <row r="1776" spans="325:327">
      <c r="LM1776" t="str">
        <v/>
      </c>
      <c r="LN1776" t="str">
        <v/>
      </c>
      <c r="LO1776" t="str">
        <v/>
      </c>
    </row>
    <row r="1777" spans="325:327">
      <c r="LM1777" t="str">
        <v/>
      </c>
      <c r="LN1777" t="str">
        <v/>
      </c>
      <c r="LO1777" t="str">
        <v/>
      </c>
    </row>
    <row r="1778" spans="325:327">
      <c r="LM1778" t="str">
        <v/>
      </c>
      <c r="LN1778" t="str">
        <v/>
      </c>
      <c r="LO1778" t="str">
        <v/>
      </c>
    </row>
    <row r="1779" spans="325:327">
      <c r="LM1779" t="str">
        <v/>
      </c>
      <c r="LN1779" t="str">
        <v/>
      </c>
      <c r="LO1779" t="str">
        <v/>
      </c>
    </row>
    <row r="1780" spans="325:327">
      <c r="LM1780" t="str">
        <v/>
      </c>
      <c r="LN1780" t="str">
        <v/>
      </c>
      <c r="LO1780" t="str">
        <v/>
      </c>
    </row>
    <row r="1781" spans="325:327">
      <c r="LM1781" t="str">
        <v/>
      </c>
      <c r="LN1781" t="str">
        <v/>
      </c>
      <c r="LO1781" t="str">
        <v/>
      </c>
    </row>
    <row r="1782" spans="325:327">
      <c r="LM1782" t="str">
        <v/>
      </c>
      <c r="LN1782" t="str">
        <v/>
      </c>
      <c r="LO1782" t="str">
        <v/>
      </c>
    </row>
    <row r="1783" spans="325:327">
      <c r="LM1783" t="str">
        <v/>
      </c>
      <c r="LN1783" t="str">
        <v/>
      </c>
      <c r="LO1783" t="str">
        <v/>
      </c>
    </row>
    <row r="1784" spans="325:327">
      <c r="LM1784" t="str">
        <v/>
      </c>
      <c r="LN1784" t="str">
        <v/>
      </c>
      <c r="LO1784" t="str">
        <v/>
      </c>
    </row>
    <row r="1785" spans="325:327">
      <c r="LM1785" t="str">
        <v/>
      </c>
      <c r="LN1785" t="str">
        <v/>
      </c>
      <c r="LO1785" t="str">
        <v/>
      </c>
    </row>
    <row r="1786" spans="325:327">
      <c r="LM1786" t="str">
        <v/>
      </c>
      <c r="LN1786" t="str">
        <v/>
      </c>
      <c r="LO1786" t="str">
        <v/>
      </c>
    </row>
    <row r="1787" spans="325:327">
      <c r="LM1787" t="str">
        <v/>
      </c>
      <c r="LN1787" t="str">
        <v/>
      </c>
      <c r="LO1787" t="str">
        <v/>
      </c>
    </row>
    <row r="1788" spans="325:327">
      <c r="LM1788" t="str">
        <v/>
      </c>
      <c r="LN1788" t="str">
        <v/>
      </c>
      <c r="LO1788" t="str">
        <v/>
      </c>
    </row>
    <row r="1789" spans="325:327">
      <c r="LM1789" t="str">
        <v/>
      </c>
      <c r="LN1789" t="str">
        <v/>
      </c>
      <c r="LO1789" t="str">
        <v/>
      </c>
    </row>
    <row r="1790" spans="325:327">
      <c r="LM1790" t="str">
        <v/>
      </c>
      <c r="LN1790" t="str">
        <v/>
      </c>
      <c r="LO1790" t="str">
        <v/>
      </c>
    </row>
    <row r="1791" spans="325:327">
      <c r="LM1791" t="str">
        <v/>
      </c>
      <c r="LN1791" t="str">
        <v/>
      </c>
      <c r="LO1791" t="str">
        <v/>
      </c>
    </row>
    <row r="1792" spans="325:327">
      <c r="LM1792" t="str">
        <v/>
      </c>
      <c r="LN1792" t="str">
        <v/>
      </c>
      <c r="LO1792" t="str">
        <v/>
      </c>
    </row>
    <row r="1793" spans="325:327">
      <c r="LM1793" t="str">
        <v/>
      </c>
      <c r="LN1793" t="str">
        <v/>
      </c>
      <c r="LO1793" t="str">
        <v/>
      </c>
    </row>
    <row r="1794" spans="325:327">
      <c r="LM1794" t="str">
        <v/>
      </c>
      <c r="LN1794" t="str">
        <v/>
      </c>
      <c r="LO1794" t="str">
        <v/>
      </c>
    </row>
    <row r="1795" spans="325:327">
      <c r="LM1795" t="str">
        <v/>
      </c>
      <c r="LN1795" t="str">
        <v/>
      </c>
      <c r="LO1795" t="str">
        <v/>
      </c>
    </row>
    <row r="1796" spans="325:327">
      <c r="LM1796" t="str">
        <v/>
      </c>
      <c r="LN1796" t="str">
        <v/>
      </c>
      <c r="LO1796" t="str">
        <v/>
      </c>
    </row>
    <row r="1797" spans="325:327">
      <c r="LM1797" t="str">
        <v/>
      </c>
      <c r="LN1797" t="str">
        <v/>
      </c>
      <c r="LO1797" t="str">
        <v/>
      </c>
    </row>
    <row r="1798" spans="325:327">
      <c r="LM1798" t="str">
        <v/>
      </c>
      <c r="LN1798" t="str">
        <v/>
      </c>
      <c r="LO1798" t="str">
        <v/>
      </c>
    </row>
    <row r="1799" spans="325:327">
      <c r="LM1799" t="str">
        <v/>
      </c>
      <c r="LN1799" t="str">
        <v/>
      </c>
      <c r="LO1799" t="str">
        <v/>
      </c>
    </row>
    <row r="1800" spans="325:327">
      <c r="LM1800" t="str">
        <v/>
      </c>
      <c r="LN1800" t="str">
        <v/>
      </c>
      <c r="LO1800" t="str">
        <v/>
      </c>
    </row>
    <row r="1801" spans="325:327">
      <c r="LM1801" t="str">
        <v/>
      </c>
      <c r="LN1801" t="str">
        <v/>
      </c>
      <c r="LO1801" t="str">
        <v/>
      </c>
    </row>
    <row r="1802" spans="325:327">
      <c r="LM1802" t="str">
        <v/>
      </c>
      <c r="LN1802" t="str">
        <v/>
      </c>
      <c r="LO1802" t="str">
        <v/>
      </c>
    </row>
    <row r="1803" spans="325:327">
      <c r="LM1803" t="str">
        <v/>
      </c>
      <c r="LN1803" t="str">
        <v/>
      </c>
      <c r="LO1803" t="str">
        <v/>
      </c>
    </row>
    <row r="1804" spans="325:327">
      <c r="LM1804" t="str">
        <v/>
      </c>
      <c r="LN1804" t="str">
        <v/>
      </c>
      <c r="LO1804" t="str">
        <v/>
      </c>
    </row>
    <row r="1805" spans="325:327">
      <c r="LM1805" t="str">
        <v/>
      </c>
      <c r="LN1805" t="str">
        <v/>
      </c>
      <c r="LO1805" t="str">
        <v/>
      </c>
    </row>
    <row r="1806" spans="325:327">
      <c r="LM1806" t="str">
        <v/>
      </c>
      <c r="LN1806" t="str">
        <v/>
      </c>
      <c r="LO1806" t="str">
        <v/>
      </c>
    </row>
    <row r="1807" spans="325:327">
      <c r="LM1807" t="str">
        <v/>
      </c>
      <c r="LN1807" t="str">
        <v/>
      </c>
      <c r="LO1807" t="str">
        <v/>
      </c>
    </row>
    <row r="1808" spans="325:327">
      <c r="LM1808" t="str">
        <v/>
      </c>
      <c r="LN1808" t="str">
        <v/>
      </c>
      <c r="LO1808" t="str">
        <v/>
      </c>
    </row>
    <row r="1809" spans="325:327">
      <c r="LM1809" t="str">
        <v/>
      </c>
      <c r="LN1809" t="str">
        <v/>
      </c>
      <c r="LO1809" t="str">
        <v/>
      </c>
    </row>
    <row r="1810" spans="325:327">
      <c r="LM1810" t="str">
        <v/>
      </c>
      <c r="LN1810" t="str">
        <v/>
      </c>
      <c r="LO1810" t="str">
        <v/>
      </c>
    </row>
    <row r="1811" spans="325:327">
      <c r="LM1811" t="str">
        <v/>
      </c>
      <c r="LN1811" t="str">
        <v/>
      </c>
      <c r="LO1811" t="str">
        <v/>
      </c>
    </row>
    <row r="1812" spans="325:327">
      <c r="LM1812" t="str">
        <v/>
      </c>
      <c r="LN1812" t="str">
        <v/>
      </c>
      <c r="LO1812" t="str">
        <v/>
      </c>
    </row>
    <row r="1813" spans="325:327">
      <c r="LM1813" t="str">
        <v/>
      </c>
      <c r="LN1813" t="str">
        <v/>
      </c>
      <c r="LO1813" t="str">
        <v/>
      </c>
    </row>
    <row r="1814" spans="325:327">
      <c r="LM1814" t="str">
        <v/>
      </c>
      <c r="LN1814" t="str">
        <v/>
      </c>
      <c r="LO1814" t="str">
        <v/>
      </c>
    </row>
    <row r="1815" spans="325:327">
      <c r="LM1815" t="str">
        <v/>
      </c>
      <c r="LN1815" t="str">
        <v/>
      </c>
      <c r="LO1815" t="str">
        <v/>
      </c>
    </row>
    <row r="1816" spans="325:327">
      <c r="LM1816" t="str">
        <v/>
      </c>
      <c r="LN1816" t="str">
        <v/>
      </c>
      <c r="LO1816" t="str">
        <v/>
      </c>
    </row>
    <row r="1817" spans="325:327">
      <c r="LM1817" t="str">
        <v/>
      </c>
      <c r="LN1817" t="str">
        <v/>
      </c>
      <c r="LO1817" t="str">
        <v/>
      </c>
    </row>
    <row r="1818" spans="325:327">
      <c r="LM1818" t="str">
        <v/>
      </c>
      <c r="LN1818" t="str">
        <v/>
      </c>
      <c r="LO1818" t="str">
        <v/>
      </c>
    </row>
    <row r="1819" spans="325:327">
      <c r="LM1819" t="str">
        <v/>
      </c>
      <c r="LN1819" t="str">
        <v/>
      </c>
      <c r="LO1819" t="str">
        <v/>
      </c>
    </row>
    <row r="1820" spans="325:327">
      <c r="LM1820" t="str">
        <v/>
      </c>
      <c r="LN1820" t="str">
        <v/>
      </c>
      <c r="LO1820" t="str">
        <v/>
      </c>
    </row>
    <row r="1821" spans="325:327">
      <c r="LM1821" t="str">
        <v/>
      </c>
      <c r="LN1821" t="str">
        <v/>
      </c>
      <c r="LO1821" t="str">
        <v/>
      </c>
    </row>
    <row r="1822" spans="325:327">
      <c r="LM1822" t="str">
        <v/>
      </c>
      <c r="LN1822" t="str">
        <v/>
      </c>
      <c r="LO1822" t="str">
        <v/>
      </c>
    </row>
    <row r="1823" spans="325:327">
      <c r="LM1823" t="str">
        <v/>
      </c>
      <c r="LN1823" t="str">
        <v/>
      </c>
      <c r="LO1823" t="str">
        <v/>
      </c>
    </row>
    <row r="1824" spans="325:327">
      <c r="LM1824" t="str">
        <v/>
      </c>
      <c r="LN1824" t="str">
        <v/>
      </c>
      <c r="LO1824" t="str">
        <v/>
      </c>
    </row>
    <row r="1825" spans="325:327">
      <c r="LM1825" t="str">
        <v/>
      </c>
      <c r="LN1825" t="str">
        <v/>
      </c>
      <c r="LO1825" t="str">
        <v/>
      </c>
    </row>
    <row r="1826" spans="325:327">
      <c r="LM1826" t="str">
        <v/>
      </c>
      <c r="LN1826" t="str">
        <v/>
      </c>
      <c r="LO1826" t="str">
        <v/>
      </c>
    </row>
    <row r="1827" spans="325:327">
      <c r="LM1827" t="str">
        <v/>
      </c>
      <c r="LN1827" t="str">
        <v/>
      </c>
      <c r="LO1827" t="str">
        <v/>
      </c>
    </row>
    <row r="1828" spans="325:327">
      <c r="LM1828" t="str">
        <v/>
      </c>
      <c r="LN1828" t="str">
        <v/>
      </c>
      <c r="LO1828" t="str">
        <v/>
      </c>
    </row>
    <row r="1829" spans="325:327">
      <c r="LM1829" t="str">
        <v/>
      </c>
      <c r="LN1829" t="str">
        <v/>
      </c>
      <c r="LO1829" t="str">
        <v/>
      </c>
    </row>
    <row r="1830" spans="325:327">
      <c r="LM1830" t="str">
        <v/>
      </c>
      <c r="LN1830" t="str">
        <v/>
      </c>
      <c r="LO1830" t="str">
        <v/>
      </c>
    </row>
    <row r="1831" spans="325:327">
      <c r="LM1831" t="str">
        <v/>
      </c>
      <c r="LN1831" t="str">
        <v/>
      </c>
      <c r="LO1831" t="str">
        <v/>
      </c>
    </row>
    <row r="1832" spans="325:327">
      <c r="LM1832" t="str">
        <v/>
      </c>
      <c r="LN1832" t="str">
        <v/>
      </c>
      <c r="LO1832" t="str">
        <v/>
      </c>
    </row>
    <row r="1833" spans="325:327">
      <c r="LM1833" t="str">
        <v/>
      </c>
      <c r="LN1833" t="str">
        <v/>
      </c>
      <c r="LO1833" t="str">
        <v/>
      </c>
    </row>
    <row r="1834" spans="325:327">
      <c r="LM1834" t="str">
        <v/>
      </c>
      <c r="LN1834" t="str">
        <v/>
      </c>
      <c r="LO1834" t="str">
        <v/>
      </c>
    </row>
    <row r="1835" spans="325:327">
      <c r="LM1835" t="str">
        <v/>
      </c>
      <c r="LN1835" t="str">
        <v/>
      </c>
      <c r="LO1835" t="str">
        <v/>
      </c>
    </row>
    <row r="1836" spans="325:327">
      <c r="LM1836" t="str">
        <v/>
      </c>
      <c r="LN1836" t="str">
        <v/>
      </c>
      <c r="LO1836" t="str">
        <v/>
      </c>
    </row>
    <row r="1837" spans="325:327">
      <c r="LM1837" t="str">
        <v/>
      </c>
      <c r="LN1837" t="str">
        <v/>
      </c>
      <c r="LO1837" t="str">
        <v/>
      </c>
    </row>
    <row r="1838" spans="325:327">
      <c r="LM1838" t="str">
        <v/>
      </c>
      <c r="LN1838" t="str">
        <v/>
      </c>
      <c r="LO1838" t="str">
        <v/>
      </c>
    </row>
    <row r="1839" spans="325:327">
      <c r="LM1839" t="str">
        <v/>
      </c>
      <c r="LN1839" t="str">
        <v/>
      </c>
      <c r="LO1839" t="str">
        <v/>
      </c>
    </row>
    <row r="1840" spans="325:327">
      <c r="LM1840" t="str">
        <v/>
      </c>
      <c r="LN1840" t="str">
        <v/>
      </c>
      <c r="LO1840" t="str">
        <v/>
      </c>
    </row>
    <row r="1841" spans="325:327">
      <c r="LM1841" t="str">
        <v/>
      </c>
      <c r="LN1841" t="str">
        <v/>
      </c>
      <c r="LO1841" t="str">
        <v/>
      </c>
    </row>
    <row r="1842" spans="325:327">
      <c r="LM1842" t="str">
        <v/>
      </c>
      <c r="LN1842" t="str">
        <v/>
      </c>
      <c r="LO1842" t="str">
        <v/>
      </c>
    </row>
    <row r="1843" spans="325:327">
      <c r="LM1843" t="str">
        <v/>
      </c>
      <c r="LN1843" t="str">
        <v/>
      </c>
      <c r="LO1843" t="str">
        <v/>
      </c>
    </row>
    <row r="1844" spans="325:327">
      <c r="LM1844" t="str">
        <v/>
      </c>
      <c r="LN1844" t="str">
        <v/>
      </c>
      <c r="LO1844" t="str">
        <v/>
      </c>
    </row>
    <row r="1845" spans="325:327">
      <c r="LM1845" t="str">
        <v/>
      </c>
      <c r="LN1845" t="str">
        <v/>
      </c>
      <c r="LO1845" t="str">
        <v/>
      </c>
    </row>
    <row r="1846" spans="325:327">
      <c r="LM1846" t="str">
        <v/>
      </c>
      <c r="LN1846" t="str">
        <v/>
      </c>
      <c r="LO1846" t="str">
        <v/>
      </c>
    </row>
    <row r="1847" spans="325:327">
      <c r="LM1847" t="str">
        <v/>
      </c>
      <c r="LN1847" t="str">
        <v/>
      </c>
      <c r="LO1847" t="str">
        <v/>
      </c>
    </row>
    <row r="1848" spans="325:327">
      <c r="LM1848" t="str">
        <v/>
      </c>
      <c r="LN1848" t="str">
        <v/>
      </c>
      <c r="LO1848" t="str">
        <v/>
      </c>
    </row>
    <row r="1849" spans="325:327">
      <c r="LM1849" t="str">
        <v/>
      </c>
      <c r="LN1849" t="str">
        <v/>
      </c>
      <c r="LO1849" t="str">
        <v/>
      </c>
    </row>
    <row r="1850" spans="325:327">
      <c r="LM1850" t="str">
        <v/>
      </c>
      <c r="LN1850" t="str">
        <v/>
      </c>
      <c r="LO1850" t="str">
        <v/>
      </c>
    </row>
    <row r="1851" spans="325:327">
      <c r="LM1851" t="str">
        <v/>
      </c>
      <c r="LN1851" t="str">
        <v/>
      </c>
      <c r="LO1851" t="str">
        <v/>
      </c>
    </row>
    <row r="1852" spans="325:327">
      <c r="LM1852" t="str">
        <v/>
      </c>
      <c r="LN1852" t="str">
        <v/>
      </c>
      <c r="LO1852" t="str">
        <v/>
      </c>
    </row>
    <row r="1853" spans="325:327">
      <c r="LM1853" t="str">
        <v/>
      </c>
      <c r="LN1853" t="str">
        <v/>
      </c>
      <c r="LO1853" t="str">
        <v/>
      </c>
    </row>
    <row r="1854" spans="325:327">
      <c r="LM1854" t="str">
        <v/>
      </c>
      <c r="LN1854" t="str">
        <v/>
      </c>
      <c r="LO1854" t="str">
        <v/>
      </c>
    </row>
    <row r="1855" spans="325:327">
      <c r="LM1855" t="str">
        <v/>
      </c>
      <c r="LN1855" t="str">
        <v/>
      </c>
      <c r="LO1855" t="str">
        <v/>
      </c>
    </row>
    <row r="1856" spans="325:327">
      <c r="LM1856" t="str">
        <v/>
      </c>
      <c r="LN1856" t="str">
        <v/>
      </c>
      <c r="LO1856" t="str">
        <v/>
      </c>
    </row>
    <row r="1857" spans="325:327">
      <c r="LM1857" t="str">
        <v/>
      </c>
      <c r="LN1857" t="str">
        <v/>
      </c>
      <c r="LO1857" t="str">
        <v/>
      </c>
    </row>
    <row r="1858" spans="325:327">
      <c r="LM1858" t="str">
        <v/>
      </c>
      <c r="LN1858" t="str">
        <v/>
      </c>
      <c r="LO1858" t="str">
        <v/>
      </c>
    </row>
    <row r="1859" spans="325:327">
      <c r="LM1859" t="str">
        <v/>
      </c>
      <c r="LN1859" t="str">
        <v/>
      </c>
      <c r="LO1859" t="str">
        <v/>
      </c>
    </row>
    <row r="1860" spans="325:327">
      <c r="LM1860" t="str">
        <v/>
      </c>
      <c r="LN1860" t="str">
        <v/>
      </c>
      <c r="LO1860" t="str">
        <v/>
      </c>
    </row>
    <row r="1861" spans="325:327">
      <c r="LM1861" t="str">
        <v/>
      </c>
      <c r="LN1861" t="str">
        <v/>
      </c>
      <c r="LO1861" t="str">
        <v/>
      </c>
    </row>
    <row r="1862" spans="325:327">
      <c r="LM1862" t="str">
        <v/>
      </c>
      <c r="LN1862" t="str">
        <v/>
      </c>
      <c r="LO1862" t="str">
        <v/>
      </c>
    </row>
    <row r="1863" spans="325:327">
      <c r="LM1863" t="str">
        <v/>
      </c>
      <c r="LN1863" t="str">
        <v/>
      </c>
      <c r="LO1863" t="str">
        <v/>
      </c>
    </row>
    <row r="1864" spans="325:327">
      <c r="LM1864" t="str">
        <v/>
      </c>
      <c r="LN1864" t="str">
        <v/>
      </c>
      <c r="LO1864" t="str">
        <v/>
      </c>
    </row>
    <row r="1865" spans="325:327">
      <c r="LM1865" t="str">
        <v/>
      </c>
      <c r="LN1865" t="str">
        <v/>
      </c>
      <c r="LO1865" t="str">
        <v/>
      </c>
    </row>
    <row r="1866" spans="325:327">
      <c r="LM1866" t="str">
        <v/>
      </c>
      <c r="LN1866" t="str">
        <v/>
      </c>
      <c r="LO1866" t="str">
        <v/>
      </c>
    </row>
    <row r="1867" spans="325:327">
      <c r="LM1867" t="str">
        <v/>
      </c>
      <c r="LN1867" t="str">
        <v/>
      </c>
      <c r="LO1867" t="str">
        <v/>
      </c>
    </row>
    <row r="1868" spans="325:327">
      <c r="LM1868" t="str">
        <v/>
      </c>
      <c r="LN1868" t="str">
        <v/>
      </c>
      <c r="LO1868" t="str">
        <v/>
      </c>
    </row>
    <row r="1869" spans="325:327">
      <c r="LM1869" t="str">
        <v/>
      </c>
      <c r="LN1869" t="str">
        <v/>
      </c>
      <c r="LO1869" t="str">
        <v/>
      </c>
    </row>
    <row r="1870" spans="325:327">
      <c r="LM1870" t="str">
        <v/>
      </c>
      <c r="LN1870" t="str">
        <v/>
      </c>
      <c r="LO1870" t="str">
        <v/>
      </c>
    </row>
    <row r="1871" spans="325:327">
      <c r="LM1871" t="str">
        <v/>
      </c>
      <c r="LN1871" t="str">
        <v/>
      </c>
      <c r="LO1871" t="str">
        <v/>
      </c>
    </row>
    <row r="1872" spans="325:327">
      <c r="LM1872" t="str">
        <v/>
      </c>
      <c r="LN1872" t="str">
        <v/>
      </c>
      <c r="LO1872" t="str">
        <v/>
      </c>
    </row>
    <row r="1873" spans="325:327">
      <c r="LM1873" t="str">
        <v/>
      </c>
      <c r="LN1873" t="str">
        <v/>
      </c>
      <c r="LO1873" t="str">
        <v/>
      </c>
    </row>
    <row r="1874" spans="325:327">
      <c r="LM1874" t="str">
        <v/>
      </c>
      <c r="LN1874" t="str">
        <v/>
      </c>
      <c r="LO1874" t="str">
        <v/>
      </c>
    </row>
    <row r="1875" spans="325:327">
      <c r="LM1875" t="str">
        <v/>
      </c>
      <c r="LN1875" t="str">
        <v/>
      </c>
      <c r="LO1875" t="str">
        <v/>
      </c>
    </row>
    <row r="1876" spans="325:327">
      <c r="LM1876" t="str">
        <v/>
      </c>
      <c r="LN1876" t="str">
        <v/>
      </c>
      <c r="LO1876" t="str">
        <v/>
      </c>
    </row>
    <row r="1877" spans="325:327">
      <c r="LM1877" t="str">
        <v/>
      </c>
      <c r="LN1877" t="str">
        <v/>
      </c>
      <c r="LO1877" t="str">
        <v/>
      </c>
    </row>
    <row r="1878" spans="325:327">
      <c r="LM1878" t="str">
        <v/>
      </c>
      <c r="LN1878" t="str">
        <v/>
      </c>
      <c r="LO1878" t="str">
        <v/>
      </c>
    </row>
    <row r="1879" spans="325:327">
      <c r="LM1879" t="str">
        <v/>
      </c>
      <c r="LN1879" t="str">
        <v/>
      </c>
      <c r="LO1879" t="str">
        <v/>
      </c>
    </row>
    <row r="1880" spans="325:327">
      <c r="LM1880" t="str">
        <v/>
      </c>
      <c r="LN1880" t="str">
        <v/>
      </c>
      <c r="LO1880" t="str">
        <v/>
      </c>
    </row>
    <row r="1881" spans="325:327">
      <c r="LM1881" t="str">
        <v/>
      </c>
      <c r="LN1881" t="str">
        <v/>
      </c>
      <c r="LO1881" t="str">
        <v/>
      </c>
    </row>
    <row r="1882" spans="325:327">
      <c r="LM1882" t="str">
        <v/>
      </c>
      <c r="LN1882" t="str">
        <v/>
      </c>
      <c r="LO1882" t="str">
        <v/>
      </c>
    </row>
    <row r="1883" spans="325:327">
      <c r="LM1883" t="str">
        <v/>
      </c>
      <c r="LN1883" t="str">
        <v/>
      </c>
      <c r="LO1883" t="str">
        <v/>
      </c>
    </row>
    <row r="1884" spans="325:327">
      <c r="LM1884" t="str">
        <v/>
      </c>
      <c r="LN1884" t="str">
        <v/>
      </c>
      <c r="LO1884" t="str">
        <v/>
      </c>
    </row>
    <row r="1885" spans="325:327">
      <c r="LM1885" t="str">
        <v/>
      </c>
      <c r="LN1885" t="str">
        <v/>
      </c>
      <c r="LO1885" t="str">
        <v/>
      </c>
    </row>
    <row r="1886" spans="325:327">
      <c r="LM1886" t="str">
        <v/>
      </c>
      <c r="LN1886" t="str">
        <v/>
      </c>
      <c r="LO1886" t="str">
        <v/>
      </c>
    </row>
    <row r="1887" spans="325:327">
      <c r="LM1887" t="str">
        <v/>
      </c>
      <c r="LN1887" t="str">
        <v/>
      </c>
      <c r="LO1887" t="str">
        <v/>
      </c>
    </row>
    <row r="1888" spans="325:327">
      <c r="LM1888" t="str">
        <v/>
      </c>
      <c r="LN1888" t="str">
        <v/>
      </c>
      <c r="LO1888" t="str">
        <v/>
      </c>
    </row>
    <row r="1889" spans="325:327">
      <c r="LM1889" t="str">
        <v/>
      </c>
      <c r="LN1889" t="str">
        <v/>
      </c>
      <c r="LO1889" t="str">
        <v/>
      </c>
    </row>
    <row r="1890" spans="325:327">
      <c r="LM1890" t="str">
        <v/>
      </c>
      <c r="LN1890" t="str">
        <v/>
      </c>
      <c r="LO1890" t="str">
        <v/>
      </c>
    </row>
    <row r="1891" spans="325:327">
      <c r="LM1891" t="str">
        <v/>
      </c>
      <c r="LN1891" t="str">
        <v/>
      </c>
      <c r="LO1891" t="str">
        <v/>
      </c>
    </row>
    <row r="1892" spans="325:327">
      <c r="LM1892" t="str">
        <v/>
      </c>
      <c r="LN1892" t="str">
        <v/>
      </c>
      <c r="LO1892" t="str">
        <v/>
      </c>
    </row>
    <row r="1893" spans="325:327">
      <c r="LM1893" t="str">
        <v/>
      </c>
      <c r="LN1893" t="str">
        <v/>
      </c>
      <c r="LO1893" t="str">
        <v/>
      </c>
    </row>
    <row r="1894" spans="325:327">
      <c r="LM1894" t="str">
        <v/>
      </c>
      <c r="LN1894" t="str">
        <v/>
      </c>
      <c r="LO1894" t="str">
        <v/>
      </c>
    </row>
    <row r="1895" spans="325:327">
      <c r="LM1895" t="str">
        <v/>
      </c>
      <c r="LN1895" t="str">
        <v/>
      </c>
      <c r="LO1895" t="str">
        <v/>
      </c>
    </row>
    <row r="1896" spans="325:327">
      <c r="LM1896" t="str">
        <v/>
      </c>
      <c r="LN1896" t="str">
        <v/>
      </c>
      <c r="LO1896" t="str">
        <v/>
      </c>
    </row>
    <row r="1897" spans="325:327">
      <c r="LM1897" t="str">
        <v/>
      </c>
      <c r="LN1897" t="str">
        <v/>
      </c>
      <c r="LO1897" t="str">
        <v/>
      </c>
    </row>
    <row r="1898" spans="325:327">
      <c r="LM1898" t="str">
        <v/>
      </c>
      <c r="LN1898" t="str">
        <v/>
      </c>
      <c r="LO1898" t="str">
        <v/>
      </c>
    </row>
    <row r="1899" spans="325:327">
      <c r="LM1899" t="str">
        <v/>
      </c>
      <c r="LN1899" t="str">
        <v/>
      </c>
      <c r="LO1899" t="str">
        <v/>
      </c>
    </row>
    <row r="1900" spans="325:327">
      <c r="LM1900" t="str">
        <v/>
      </c>
      <c r="LN1900" t="str">
        <v/>
      </c>
      <c r="LO1900" t="str">
        <v/>
      </c>
    </row>
    <row r="1901" spans="325:327">
      <c r="LM1901" t="str">
        <v/>
      </c>
      <c r="LN1901" t="str">
        <v/>
      </c>
      <c r="LO1901" t="str">
        <v/>
      </c>
    </row>
    <row r="1902" spans="325:327">
      <c r="LM1902" t="str">
        <v/>
      </c>
      <c r="LN1902" t="str">
        <v/>
      </c>
      <c r="LO1902" t="str">
        <v/>
      </c>
    </row>
    <row r="1903" spans="325:327">
      <c r="LM1903" t="str">
        <v/>
      </c>
      <c r="LN1903" t="str">
        <v/>
      </c>
      <c r="LO1903" t="str">
        <v/>
      </c>
    </row>
    <row r="1904" spans="325:327">
      <c r="LM1904" t="str">
        <v/>
      </c>
      <c r="LN1904" t="str">
        <v/>
      </c>
      <c r="LO1904" t="str">
        <v/>
      </c>
    </row>
    <row r="1905" spans="325:327">
      <c r="LM1905" t="str">
        <v/>
      </c>
      <c r="LN1905" t="str">
        <v/>
      </c>
      <c r="LO1905" t="str">
        <v/>
      </c>
    </row>
    <row r="1906" spans="325:327">
      <c r="LM1906" t="str">
        <v/>
      </c>
      <c r="LN1906" t="str">
        <v/>
      </c>
      <c r="LO1906" t="str">
        <v/>
      </c>
    </row>
    <row r="1907" spans="325:327">
      <c r="LM1907" t="str">
        <v/>
      </c>
      <c r="LN1907" t="str">
        <v/>
      </c>
      <c r="LO1907" t="str">
        <v/>
      </c>
    </row>
    <row r="1908" spans="325:327">
      <c r="LM1908" t="str">
        <v/>
      </c>
      <c r="LN1908" t="str">
        <v/>
      </c>
      <c r="LO1908" t="str">
        <v/>
      </c>
    </row>
    <row r="1909" spans="325:327">
      <c r="LM1909" t="str">
        <v/>
      </c>
      <c r="LN1909" t="str">
        <v/>
      </c>
      <c r="LO1909" t="str">
        <v/>
      </c>
    </row>
    <row r="1910" spans="325:327">
      <c r="LM1910" t="str">
        <v/>
      </c>
      <c r="LN1910" t="str">
        <v/>
      </c>
      <c r="LO1910" t="str">
        <v/>
      </c>
    </row>
    <row r="1911" spans="325:327">
      <c r="LM1911" t="str">
        <v/>
      </c>
      <c r="LN1911" t="str">
        <v/>
      </c>
      <c r="LO1911" t="str">
        <v/>
      </c>
    </row>
    <row r="1912" spans="325:327">
      <c r="LM1912" t="str">
        <v/>
      </c>
      <c r="LN1912" t="str">
        <v/>
      </c>
      <c r="LO1912" t="str">
        <v/>
      </c>
    </row>
    <row r="1913" spans="325:327">
      <c r="LM1913" t="str">
        <v/>
      </c>
      <c r="LN1913" t="str">
        <v/>
      </c>
      <c r="LO1913" t="str">
        <v/>
      </c>
    </row>
    <row r="1914" spans="325:327">
      <c r="LM1914" t="str">
        <v/>
      </c>
      <c r="LN1914" t="str">
        <v/>
      </c>
      <c r="LO1914" t="str">
        <v/>
      </c>
    </row>
    <row r="1915" spans="325:327">
      <c r="LM1915" t="str">
        <v/>
      </c>
      <c r="LN1915" t="str">
        <v/>
      </c>
      <c r="LO1915" t="str">
        <v/>
      </c>
    </row>
    <row r="1916" spans="325:327">
      <c r="LM1916" t="str">
        <v/>
      </c>
      <c r="LN1916" t="str">
        <v/>
      </c>
      <c r="LO1916" t="str">
        <v/>
      </c>
    </row>
    <row r="1917" spans="325:327">
      <c r="LM1917" t="str">
        <v/>
      </c>
      <c r="LN1917" t="str">
        <v/>
      </c>
      <c r="LO1917" t="str">
        <v/>
      </c>
    </row>
    <row r="1918" spans="325:327">
      <c r="LM1918" t="str">
        <v/>
      </c>
      <c r="LN1918" t="str">
        <v/>
      </c>
      <c r="LO1918" t="str">
        <v/>
      </c>
    </row>
    <row r="1919" spans="325:327">
      <c r="LM1919" t="str">
        <v/>
      </c>
      <c r="LN1919" t="str">
        <v/>
      </c>
      <c r="LO1919" t="str">
        <v/>
      </c>
    </row>
    <row r="1920" spans="325:327">
      <c r="LM1920" t="str">
        <v/>
      </c>
      <c r="LN1920" t="str">
        <v/>
      </c>
      <c r="LO1920" t="str">
        <v/>
      </c>
    </row>
    <row r="1921" spans="325:327">
      <c r="LM1921" t="str">
        <v/>
      </c>
      <c r="LN1921" t="str">
        <v/>
      </c>
      <c r="LO1921" t="str">
        <v/>
      </c>
    </row>
    <row r="1922" spans="325:327">
      <c r="LM1922" t="str">
        <v/>
      </c>
      <c r="LN1922" t="str">
        <v/>
      </c>
      <c r="LO1922" t="str">
        <v/>
      </c>
    </row>
    <row r="1923" spans="325:327">
      <c r="LM1923" t="str">
        <v/>
      </c>
      <c r="LN1923" t="str">
        <v/>
      </c>
      <c r="LO1923" t="str">
        <v/>
      </c>
    </row>
    <row r="1924" spans="325:327">
      <c r="LM1924" t="str">
        <v/>
      </c>
      <c r="LN1924" t="str">
        <v/>
      </c>
      <c r="LO1924" t="str">
        <v/>
      </c>
    </row>
    <row r="1925" spans="325:327">
      <c r="LM1925" t="str">
        <v/>
      </c>
      <c r="LN1925" t="str">
        <v/>
      </c>
      <c r="LO1925" t="str">
        <v/>
      </c>
    </row>
    <row r="1926" spans="325:327">
      <c r="LM1926" t="str">
        <v/>
      </c>
      <c r="LN1926" t="str">
        <v/>
      </c>
      <c r="LO1926" t="str">
        <v/>
      </c>
    </row>
    <row r="1927" spans="325:327">
      <c r="LM1927" t="str">
        <v/>
      </c>
      <c r="LN1927" t="str">
        <v/>
      </c>
      <c r="LO1927" t="str">
        <v/>
      </c>
    </row>
    <row r="1928" spans="325:327">
      <c r="LM1928" t="str">
        <v/>
      </c>
      <c r="LN1928" t="str">
        <v/>
      </c>
      <c r="LO1928" t="str">
        <v/>
      </c>
    </row>
    <row r="1929" spans="325:327">
      <c r="LM1929" t="str">
        <v/>
      </c>
      <c r="LN1929" t="str">
        <v/>
      </c>
      <c r="LO1929" t="str">
        <v/>
      </c>
    </row>
    <row r="1930" spans="325:327">
      <c r="LM1930" t="str">
        <v/>
      </c>
      <c r="LN1930" t="str">
        <v/>
      </c>
      <c r="LO1930" t="str">
        <v/>
      </c>
    </row>
    <row r="1931" spans="325:327">
      <c r="LM1931" t="str">
        <v/>
      </c>
      <c r="LN1931" t="str">
        <v/>
      </c>
      <c r="LO1931" t="str">
        <v/>
      </c>
    </row>
    <row r="1932" spans="325:327">
      <c r="LM1932" t="str">
        <v/>
      </c>
      <c r="LN1932" t="str">
        <v/>
      </c>
      <c r="LO1932" t="str">
        <v/>
      </c>
    </row>
    <row r="1933" spans="325:327">
      <c r="LM1933" t="str">
        <v/>
      </c>
      <c r="LN1933" t="str">
        <v/>
      </c>
      <c r="LO1933" t="str">
        <v/>
      </c>
    </row>
    <row r="1934" spans="325:327">
      <c r="LM1934" t="str">
        <v/>
      </c>
      <c r="LN1934" t="str">
        <v/>
      </c>
      <c r="LO1934" t="str">
        <v/>
      </c>
    </row>
    <row r="1935" spans="325:327">
      <c r="LM1935" t="str">
        <v/>
      </c>
      <c r="LN1935" t="str">
        <v/>
      </c>
      <c r="LO1935" t="str">
        <v/>
      </c>
    </row>
    <row r="1936" spans="325:327">
      <c r="LM1936" t="str">
        <v/>
      </c>
      <c r="LN1936" t="str">
        <v/>
      </c>
      <c r="LO1936" t="str">
        <v/>
      </c>
    </row>
    <row r="1937" spans="325:327">
      <c r="LM1937" t="str">
        <v/>
      </c>
      <c r="LN1937" t="str">
        <v/>
      </c>
      <c r="LO1937" t="str">
        <v/>
      </c>
    </row>
    <row r="1938" spans="325:327">
      <c r="LM1938" t="str">
        <v/>
      </c>
      <c r="LN1938" t="str">
        <v/>
      </c>
      <c r="LO1938" t="str">
        <v/>
      </c>
    </row>
    <row r="1939" spans="325:327">
      <c r="LM1939" t="str">
        <v/>
      </c>
      <c r="LN1939" t="str">
        <v/>
      </c>
      <c r="LO1939" t="str">
        <v/>
      </c>
    </row>
    <row r="1940" spans="325:327">
      <c r="LM1940" t="str">
        <v/>
      </c>
      <c r="LN1940" t="str">
        <v/>
      </c>
      <c r="LO1940" t="str">
        <v/>
      </c>
    </row>
    <row r="1941" spans="325:327">
      <c r="LM1941" t="str">
        <v/>
      </c>
      <c r="LN1941" t="str">
        <v/>
      </c>
      <c r="LO1941" t="str">
        <v/>
      </c>
    </row>
    <row r="1942" spans="325:327">
      <c r="LM1942" t="str">
        <v/>
      </c>
      <c r="LN1942" t="str">
        <v/>
      </c>
      <c r="LO1942" t="str">
        <v/>
      </c>
    </row>
    <row r="1943" spans="325:327">
      <c r="LM1943" t="str">
        <v/>
      </c>
      <c r="LN1943" t="str">
        <v/>
      </c>
      <c r="LO1943" t="str">
        <v/>
      </c>
    </row>
    <row r="1944" spans="325:327">
      <c r="LM1944" t="str">
        <v/>
      </c>
      <c r="LN1944" t="str">
        <v/>
      </c>
      <c r="LO1944" t="str">
        <v/>
      </c>
    </row>
    <row r="1945" spans="325:327">
      <c r="LM1945" t="str">
        <v/>
      </c>
      <c r="LN1945" t="str">
        <v/>
      </c>
      <c r="LO1945" t="str">
        <v/>
      </c>
    </row>
    <row r="1946" spans="325:327">
      <c r="LM1946" t="str">
        <v/>
      </c>
      <c r="LN1946" t="str">
        <v/>
      </c>
      <c r="LO1946" t="str">
        <v/>
      </c>
    </row>
    <row r="1947" spans="325:327">
      <c r="LM1947" t="str">
        <v/>
      </c>
      <c r="LN1947" t="str">
        <v/>
      </c>
      <c r="LO1947" t="str">
        <v/>
      </c>
    </row>
    <row r="1948" spans="325:327">
      <c r="LM1948" t="str">
        <v/>
      </c>
      <c r="LN1948" t="str">
        <v/>
      </c>
      <c r="LO1948" t="str">
        <v/>
      </c>
    </row>
    <row r="1949" spans="325:327">
      <c r="LM1949" t="str">
        <v/>
      </c>
      <c r="LN1949" t="str">
        <v/>
      </c>
      <c r="LO1949" t="str">
        <v/>
      </c>
    </row>
    <row r="1950" spans="325:327">
      <c r="LM1950" t="str">
        <v/>
      </c>
      <c r="LN1950" t="str">
        <v/>
      </c>
      <c r="LO1950" t="str">
        <v/>
      </c>
    </row>
    <row r="1951" spans="325:327">
      <c r="LM1951" t="str">
        <v/>
      </c>
      <c r="LN1951" t="str">
        <v/>
      </c>
      <c r="LO1951" t="str">
        <v/>
      </c>
    </row>
    <row r="1952" spans="325:327">
      <c r="LM1952" t="str">
        <v/>
      </c>
      <c r="LN1952" t="str">
        <v/>
      </c>
      <c r="LO1952" t="str">
        <v/>
      </c>
    </row>
    <row r="1953" spans="325:327">
      <c r="LM1953" t="str">
        <v/>
      </c>
      <c r="LN1953" t="str">
        <v/>
      </c>
      <c r="LO1953" t="str">
        <v/>
      </c>
    </row>
    <row r="1954" spans="325:327">
      <c r="LM1954" t="str">
        <v/>
      </c>
      <c r="LN1954" t="str">
        <v/>
      </c>
      <c r="LO1954" t="str">
        <v/>
      </c>
    </row>
    <row r="1955" spans="325:327">
      <c r="LM1955" t="str">
        <v/>
      </c>
      <c r="LN1955" t="str">
        <v/>
      </c>
      <c r="LO1955" t="str">
        <v/>
      </c>
    </row>
    <row r="1956" spans="325:327">
      <c r="LM1956" t="str">
        <v/>
      </c>
      <c r="LN1956" t="str">
        <v/>
      </c>
      <c r="LO1956" t="str">
        <v/>
      </c>
    </row>
    <row r="1957" spans="325:327">
      <c r="LM1957" t="str">
        <v/>
      </c>
      <c r="LN1957" t="str">
        <v/>
      </c>
      <c r="LO1957" t="str">
        <v/>
      </c>
    </row>
    <row r="1958" spans="325:327">
      <c r="LM1958" t="str">
        <v/>
      </c>
      <c r="LN1958" t="str">
        <v/>
      </c>
      <c r="LO1958" t="str">
        <v/>
      </c>
    </row>
    <row r="1959" spans="325:327">
      <c r="LM1959" t="str">
        <v/>
      </c>
      <c r="LN1959" t="str">
        <v/>
      </c>
      <c r="LO1959" t="str">
        <v/>
      </c>
    </row>
    <row r="1960" spans="325:327">
      <c r="LM1960" t="str">
        <v/>
      </c>
      <c r="LN1960" t="str">
        <v/>
      </c>
      <c r="LO1960" t="str">
        <v/>
      </c>
    </row>
    <row r="1961" spans="325:327">
      <c r="LM1961" t="str">
        <v/>
      </c>
      <c r="LN1961" t="str">
        <v/>
      </c>
      <c r="LO1961" t="str">
        <v/>
      </c>
    </row>
    <row r="1962" spans="325:327">
      <c r="LM1962" t="str">
        <v/>
      </c>
      <c r="LN1962" t="str">
        <v/>
      </c>
      <c r="LO1962" t="str">
        <v/>
      </c>
    </row>
    <row r="1963" spans="325:327">
      <c r="LM1963" t="str">
        <v/>
      </c>
      <c r="LN1963" t="str">
        <v/>
      </c>
      <c r="LO1963" t="str">
        <v/>
      </c>
    </row>
    <row r="1964" spans="325:327">
      <c r="LM1964" t="str">
        <v/>
      </c>
      <c r="LN1964" t="str">
        <v/>
      </c>
      <c r="LO1964" t="str">
        <v/>
      </c>
    </row>
    <row r="1965" spans="325:327">
      <c r="LM1965" t="str">
        <v/>
      </c>
      <c r="LN1965" t="str">
        <v/>
      </c>
      <c r="LO1965" t="str">
        <v/>
      </c>
    </row>
    <row r="1966" spans="325:327">
      <c r="LM1966" t="str">
        <v/>
      </c>
      <c r="LN1966" t="str">
        <v/>
      </c>
      <c r="LO1966" t="str">
        <v/>
      </c>
    </row>
    <row r="1967" spans="325:327">
      <c r="LM1967" t="str">
        <v/>
      </c>
      <c r="LN1967" t="str">
        <v/>
      </c>
      <c r="LO1967" t="str">
        <v/>
      </c>
    </row>
    <row r="1968" spans="325:327">
      <c r="LM1968" t="str">
        <v/>
      </c>
      <c r="LN1968" t="str">
        <v/>
      </c>
      <c r="LO1968" t="str">
        <v/>
      </c>
    </row>
    <row r="1969" spans="325:327">
      <c r="LM1969" t="str">
        <v/>
      </c>
      <c r="LN1969" t="str">
        <v/>
      </c>
      <c r="LO1969" t="str">
        <v/>
      </c>
    </row>
    <row r="1970" spans="325:327">
      <c r="LM1970" t="str">
        <v/>
      </c>
      <c r="LN1970" t="str">
        <v/>
      </c>
      <c r="LO1970" t="str">
        <v/>
      </c>
    </row>
    <row r="1971" spans="325:327">
      <c r="LM1971" t="str">
        <v/>
      </c>
      <c r="LN1971" t="str">
        <v/>
      </c>
      <c r="LO1971" t="str">
        <v/>
      </c>
    </row>
    <row r="1972" spans="325:327">
      <c r="LM1972" t="str">
        <v/>
      </c>
      <c r="LN1972" t="str">
        <v/>
      </c>
      <c r="LO1972" t="str">
        <v/>
      </c>
    </row>
    <row r="1973" spans="325:327">
      <c r="LM1973" t="str">
        <v/>
      </c>
      <c r="LN1973" t="str">
        <v/>
      </c>
      <c r="LO1973" t="str">
        <v/>
      </c>
    </row>
    <row r="1974" spans="325:327">
      <c r="LM1974" t="str">
        <v/>
      </c>
      <c r="LN1974" t="str">
        <v/>
      </c>
      <c r="LO1974" t="str">
        <v/>
      </c>
    </row>
    <row r="1975" spans="325:327">
      <c r="LM1975" t="str">
        <v/>
      </c>
      <c r="LN1975" t="str">
        <v/>
      </c>
      <c r="LO1975" t="str">
        <v/>
      </c>
    </row>
    <row r="1976" spans="325:327">
      <c r="LM1976" t="str">
        <v/>
      </c>
      <c r="LN1976" t="str">
        <v/>
      </c>
      <c r="LO1976" t="str">
        <v/>
      </c>
    </row>
    <row r="1977" spans="325:327">
      <c r="LM1977" t="str">
        <v/>
      </c>
      <c r="LN1977" t="str">
        <v/>
      </c>
      <c r="LO1977" t="str">
        <v/>
      </c>
    </row>
    <row r="1978" spans="325:327">
      <c r="LM1978" t="str">
        <v/>
      </c>
      <c r="LN1978" t="str">
        <v/>
      </c>
      <c r="LO1978" t="str">
        <v/>
      </c>
    </row>
    <row r="1979" spans="325:327">
      <c r="LM1979" t="str">
        <v/>
      </c>
      <c r="LN1979" t="str">
        <v/>
      </c>
      <c r="LO1979" t="str">
        <v/>
      </c>
    </row>
    <row r="1980" spans="325:327">
      <c r="LM1980" t="str">
        <v/>
      </c>
      <c r="LN1980" t="str">
        <v/>
      </c>
      <c r="LO1980" t="str">
        <v/>
      </c>
    </row>
    <row r="1981" spans="325:327">
      <c r="LM1981" t="str">
        <v/>
      </c>
      <c r="LN1981" t="str">
        <v/>
      </c>
      <c r="LO1981" t="str">
        <v/>
      </c>
    </row>
    <row r="1982" spans="325:327">
      <c r="LM1982" t="str">
        <v/>
      </c>
      <c r="LN1982" t="str">
        <v/>
      </c>
      <c r="LO1982" t="str">
        <v/>
      </c>
    </row>
    <row r="1983" spans="325:327">
      <c r="LM1983" t="str">
        <v/>
      </c>
      <c r="LN1983" t="str">
        <v/>
      </c>
      <c r="LO1983" t="str">
        <v/>
      </c>
    </row>
    <row r="1984" spans="325:327">
      <c r="LM1984" t="str">
        <v/>
      </c>
      <c r="LN1984" t="str">
        <v/>
      </c>
      <c r="LO1984" t="str">
        <v/>
      </c>
    </row>
    <row r="1985" spans="325:327">
      <c r="LM1985" t="str">
        <v/>
      </c>
      <c r="LN1985" t="str">
        <v/>
      </c>
      <c r="LO1985" t="str">
        <v/>
      </c>
    </row>
    <row r="1986" spans="325:327">
      <c r="LM1986" t="str">
        <v/>
      </c>
      <c r="LN1986" t="str">
        <v/>
      </c>
      <c r="LO1986" t="str">
        <v/>
      </c>
    </row>
    <row r="1987" spans="325:327">
      <c r="LM1987" t="str">
        <v/>
      </c>
      <c r="LN1987" t="str">
        <v/>
      </c>
      <c r="LO1987" t="str">
        <v/>
      </c>
    </row>
    <row r="1988" spans="325:327">
      <c r="LM1988" t="str">
        <v/>
      </c>
      <c r="LN1988" t="str">
        <v/>
      </c>
      <c r="LO1988" t="str">
        <v/>
      </c>
    </row>
    <row r="1989" spans="325:327">
      <c r="LM1989" t="str">
        <v/>
      </c>
      <c r="LN1989" t="str">
        <v/>
      </c>
      <c r="LO1989" t="str">
        <v/>
      </c>
    </row>
    <row r="1990" spans="325:327">
      <c r="LM1990" t="str">
        <v/>
      </c>
      <c r="LN1990" t="str">
        <v/>
      </c>
      <c r="LO1990" t="str">
        <v/>
      </c>
    </row>
    <row r="1991" spans="325:327">
      <c r="LM1991" t="str">
        <v/>
      </c>
      <c r="LN1991" t="str">
        <v/>
      </c>
      <c r="LO1991" t="str">
        <v/>
      </c>
    </row>
    <row r="1992" spans="325:327">
      <c r="LM1992" t="str">
        <v/>
      </c>
      <c r="LN1992" t="str">
        <v/>
      </c>
      <c r="LO1992" t="str">
        <v/>
      </c>
    </row>
    <row r="1993" spans="325:327">
      <c r="LM1993" t="str">
        <v/>
      </c>
      <c r="LN1993" t="str">
        <v/>
      </c>
      <c r="LO1993" t="str">
        <v/>
      </c>
    </row>
    <row r="1994" spans="325:327">
      <c r="LM1994" t="str">
        <v/>
      </c>
      <c r="LN1994" t="str">
        <v/>
      </c>
      <c r="LO1994" t="str">
        <v/>
      </c>
    </row>
    <row r="1995" spans="325:327">
      <c r="LM1995" t="str">
        <v/>
      </c>
      <c r="LN1995" t="str">
        <v/>
      </c>
      <c r="LO1995" t="str">
        <v/>
      </c>
    </row>
    <row r="1996" spans="325:327">
      <c r="LM1996" t="str">
        <v/>
      </c>
      <c r="LN1996" t="str">
        <v/>
      </c>
      <c r="LO1996" t="str">
        <v/>
      </c>
    </row>
    <row r="1997" spans="325:327">
      <c r="LM1997" t="str">
        <v/>
      </c>
      <c r="LN1997" t="str">
        <v/>
      </c>
      <c r="LO1997" t="str">
        <v/>
      </c>
    </row>
    <row r="1998" spans="325:327">
      <c r="LM1998" t="str">
        <v/>
      </c>
      <c r="LN1998" t="str">
        <v/>
      </c>
      <c r="LO1998" t="str">
        <v/>
      </c>
    </row>
    <row r="1999" spans="325:327">
      <c r="LM1999" t="str">
        <v/>
      </c>
      <c r="LN1999" t="str">
        <v/>
      </c>
      <c r="LO1999" t="str">
        <v/>
      </c>
    </row>
    <row r="2000" spans="325:327">
      <c r="LM2000" t="str">
        <v/>
      </c>
      <c r="LN2000" t="str">
        <v/>
      </c>
      <c r="LO2000" t="str">
        <v/>
      </c>
    </row>
    <row r="2001" spans="325:327">
      <c r="LM2001" t="str">
        <v/>
      </c>
      <c r="LN2001" t="str">
        <v/>
      </c>
      <c r="LO2001" t="str">
        <v/>
      </c>
    </row>
    <row r="2002" spans="325:327">
      <c r="LM2002" t="str">
        <v/>
      </c>
      <c r="LN2002" t="str">
        <v/>
      </c>
      <c r="LO2002" t="str">
        <v/>
      </c>
    </row>
    <row r="2003" spans="325:327">
      <c r="LM2003" t="str">
        <v/>
      </c>
      <c r="LN2003" t="str">
        <v/>
      </c>
      <c r="LO2003" t="str">
        <v/>
      </c>
    </row>
    <row r="2004" spans="325:327">
      <c r="LM2004" t="str">
        <v/>
      </c>
      <c r="LN2004" t="str">
        <v/>
      </c>
      <c r="LO2004" t="str">
        <v/>
      </c>
    </row>
    <row r="2005" spans="325:327">
      <c r="LM2005" t="str">
        <v/>
      </c>
      <c r="LN2005" t="str">
        <v/>
      </c>
      <c r="LO2005" t="str">
        <v/>
      </c>
    </row>
    <row r="2006" spans="325:327">
      <c r="LM2006" t="str">
        <v/>
      </c>
      <c r="LN2006" t="str">
        <v/>
      </c>
      <c r="LO2006" t="str">
        <v/>
      </c>
    </row>
    <row r="2007" spans="325:327">
      <c r="LM2007" t="str">
        <v/>
      </c>
      <c r="LN2007" t="str">
        <v/>
      </c>
      <c r="LO2007" t="str">
        <v/>
      </c>
    </row>
    <row r="2008" spans="325:327">
      <c r="LM2008" t="str">
        <v/>
      </c>
      <c r="LN2008" t="str">
        <v/>
      </c>
      <c r="LO2008" t="str">
        <v/>
      </c>
    </row>
    <row r="2009" spans="325:327">
      <c r="LM2009" t="str">
        <v/>
      </c>
      <c r="LN2009" t="str">
        <v/>
      </c>
      <c r="LO2009" t="str">
        <v/>
      </c>
    </row>
    <row r="2010" spans="325:327">
      <c r="LM2010" t="str">
        <v/>
      </c>
      <c r="LN2010" t="str">
        <v/>
      </c>
      <c r="LO2010" t="str">
        <v/>
      </c>
    </row>
    <row r="2011" spans="325:327">
      <c r="LM2011" t="str">
        <v/>
      </c>
      <c r="LN2011" t="str">
        <v/>
      </c>
      <c r="LO2011" t="str">
        <v/>
      </c>
    </row>
    <row r="2012" spans="325:327">
      <c r="LM2012" t="str">
        <v/>
      </c>
      <c r="LN2012" t="str">
        <v/>
      </c>
      <c r="LO2012" t="str">
        <v/>
      </c>
    </row>
    <row r="2013" spans="325:327">
      <c r="LM2013" t="str">
        <v/>
      </c>
      <c r="LN2013" t="str">
        <v/>
      </c>
      <c r="LO2013" t="str">
        <v/>
      </c>
    </row>
    <row r="2014" spans="325:327">
      <c r="LM2014" t="str">
        <v/>
      </c>
      <c r="LN2014" t="str">
        <v/>
      </c>
      <c r="LO2014" t="str">
        <v/>
      </c>
    </row>
    <row r="2015" spans="325:327">
      <c r="LM2015" t="str">
        <v/>
      </c>
      <c r="LN2015" t="str">
        <v/>
      </c>
      <c r="LO2015" t="str">
        <v/>
      </c>
    </row>
    <row r="2016" spans="325:327">
      <c r="LM2016" t="str">
        <v/>
      </c>
      <c r="LN2016" t="str">
        <v/>
      </c>
      <c r="LO2016" t="str">
        <v/>
      </c>
    </row>
    <row r="2017" spans="325:327">
      <c r="LM2017" t="str">
        <v/>
      </c>
      <c r="LN2017" t="str">
        <v/>
      </c>
      <c r="LO2017" t="str">
        <v/>
      </c>
    </row>
    <row r="2018" spans="325:327">
      <c r="LM2018" t="str">
        <v/>
      </c>
      <c r="LN2018" t="str">
        <v/>
      </c>
      <c r="LO2018" t="str">
        <v/>
      </c>
    </row>
    <row r="2019" spans="325:327">
      <c r="LM2019" t="str">
        <v/>
      </c>
      <c r="LN2019" t="str">
        <v/>
      </c>
      <c r="LO2019" t="str">
        <v/>
      </c>
    </row>
    <row r="2020" spans="325:327">
      <c r="LM2020" t="str">
        <v/>
      </c>
      <c r="LN2020" t="str">
        <v/>
      </c>
      <c r="LO2020" t="str">
        <v/>
      </c>
    </row>
    <row r="2021" spans="325:327">
      <c r="LM2021" t="str">
        <v/>
      </c>
      <c r="LN2021" t="str">
        <v/>
      </c>
      <c r="LO2021" t="str">
        <v/>
      </c>
    </row>
    <row r="2022" spans="325:327">
      <c r="LM2022" t="str">
        <v/>
      </c>
      <c r="LN2022" t="str">
        <v/>
      </c>
      <c r="LO2022" t="str">
        <v/>
      </c>
    </row>
    <row r="2023" spans="325:327">
      <c r="LM2023" t="str">
        <v/>
      </c>
      <c r="LN2023" t="str">
        <v/>
      </c>
      <c r="LO2023" t="str">
        <v/>
      </c>
    </row>
    <row r="2024" spans="325:327">
      <c r="LM2024" t="str">
        <v/>
      </c>
      <c r="LN2024" t="str">
        <v/>
      </c>
      <c r="LO2024" t="str">
        <v/>
      </c>
    </row>
    <row r="2025" spans="325:327">
      <c r="LM2025" t="str">
        <v/>
      </c>
      <c r="LN2025" t="str">
        <v/>
      </c>
      <c r="LO2025" t="str">
        <v/>
      </c>
    </row>
    <row r="2026" spans="325:327">
      <c r="LM2026" t="str">
        <v/>
      </c>
      <c r="LN2026" t="str">
        <v/>
      </c>
      <c r="LO2026" t="str">
        <v/>
      </c>
    </row>
    <row r="2027" spans="325:327">
      <c r="LM2027" t="str">
        <v/>
      </c>
      <c r="LN2027" t="str">
        <v/>
      </c>
      <c r="LO2027" t="str">
        <v/>
      </c>
    </row>
    <row r="2028" spans="325:327">
      <c r="LM2028" t="str">
        <v/>
      </c>
      <c r="LN2028" t="str">
        <v/>
      </c>
      <c r="LO2028" t="str">
        <v/>
      </c>
    </row>
    <row r="2029" spans="325:327">
      <c r="LM2029" t="str">
        <v/>
      </c>
      <c r="LN2029" t="str">
        <v/>
      </c>
      <c r="LO2029" t="str">
        <v/>
      </c>
    </row>
    <row r="2030" spans="325:327">
      <c r="LM2030" t="str">
        <v/>
      </c>
      <c r="LN2030" t="str">
        <v/>
      </c>
      <c r="LO2030" t="str">
        <v/>
      </c>
    </row>
    <row r="2031" spans="325:327">
      <c r="LM2031" t="str">
        <v/>
      </c>
      <c r="LN2031" t="str">
        <v/>
      </c>
      <c r="LO2031" t="str">
        <v/>
      </c>
    </row>
    <row r="2032" spans="325:327">
      <c r="LM2032" t="str">
        <v/>
      </c>
      <c r="LN2032" t="str">
        <v/>
      </c>
      <c r="LO2032" t="str">
        <v/>
      </c>
    </row>
    <row r="2033" spans="325:327">
      <c r="LM2033" t="str">
        <v/>
      </c>
      <c r="LN2033" t="str">
        <v/>
      </c>
      <c r="LO2033" t="str">
        <v/>
      </c>
    </row>
    <row r="2034" spans="325:327">
      <c r="LM2034" t="str">
        <v/>
      </c>
      <c r="LN2034" t="str">
        <v/>
      </c>
      <c r="LO2034" t="str">
        <v/>
      </c>
    </row>
    <row r="2035" spans="325:327">
      <c r="LM2035" t="str">
        <v/>
      </c>
      <c r="LN2035" t="str">
        <v/>
      </c>
      <c r="LO2035" t="str">
        <v/>
      </c>
    </row>
    <row r="2036" spans="325:327">
      <c r="LM2036" t="str">
        <v/>
      </c>
      <c r="LN2036" t="str">
        <v/>
      </c>
      <c r="LO2036" t="str">
        <v/>
      </c>
    </row>
    <row r="2037" spans="325:327">
      <c r="LM2037" t="str">
        <v/>
      </c>
      <c r="LN2037" t="str">
        <v/>
      </c>
      <c r="LO2037" t="str">
        <v/>
      </c>
    </row>
    <row r="2038" spans="325:327">
      <c r="LM2038" t="str">
        <v/>
      </c>
      <c r="LN2038" t="str">
        <v/>
      </c>
      <c r="LO2038" t="str">
        <v/>
      </c>
    </row>
    <row r="2039" spans="325:327">
      <c r="LM2039" t="str">
        <v/>
      </c>
      <c r="LN2039" t="str">
        <v/>
      </c>
      <c r="LO2039" t="str">
        <v/>
      </c>
    </row>
    <row r="2040" spans="325:327">
      <c r="LM2040" t="str">
        <v/>
      </c>
      <c r="LN2040" t="str">
        <v/>
      </c>
      <c r="LO2040" t="str">
        <v/>
      </c>
    </row>
    <row r="2041" spans="325:327">
      <c r="LM2041" t="str">
        <v/>
      </c>
      <c r="LN2041" t="str">
        <v/>
      </c>
      <c r="LO2041" t="str">
        <v/>
      </c>
    </row>
    <row r="2042" spans="325:327">
      <c r="LM2042" t="str">
        <v/>
      </c>
      <c r="LN2042" t="str">
        <v/>
      </c>
      <c r="LO2042" t="str">
        <v/>
      </c>
    </row>
    <row r="2043" spans="325:327">
      <c r="LM2043" t="str">
        <v/>
      </c>
      <c r="LN2043" t="str">
        <v/>
      </c>
      <c r="LO2043" t="str">
        <v/>
      </c>
    </row>
    <row r="2044" spans="325:327">
      <c r="LM2044" t="str">
        <v/>
      </c>
      <c r="LN2044" t="str">
        <v/>
      </c>
      <c r="LO2044" t="str">
        <v/>
      </c>
    </row>
    <row r="2045" spans="325:327">
      <c r="LM2045" t="str">
        <v/>
      </c>
      <c r="LN2045" t="str">
        <v/>
      </c>
      <c r="LO2045" t="str">
        <v/>
      </c>
    </row>
    <row r="2046" spans="325:327">
      <c r="LM2046" t="str">
        <v/>
      </c>
      <c r="LN2046" t="str">
        <v/>
      </c>
      <c r="LO2046" t="str">
        <v/>
      </c>
    </row>
    <row r="2047" spans="325:327">
      <c r="LM2047" t="str">
        <v/>
      </c>
      <c r="LN2047" t="str">
        <v/>
      </c>
      <c r="LO2047" t="str">
        <v/>
      </c>
    </row>
    <row r="2048" spans="325:327">
      <c r="LM2048" t="str">
        <v/>
      </c>
      <c r="LN2048" t="str">
        <v/>
      </c>
      <c r="LO2048" t="str">
        <v/>
      </c>
    </row>
    <row r="2049" spans="325:327">
      <c r="LM2049" t="str">
        <v/>
      </c>
      <c r="LN2049" t="str">
        <v/>
      </c>
      <c r="LO2049" t="str">
        <v/>
      </c>
    </row>
    <row r="2050" spans="325:327">
      <c r="LM2050" t="str">
        <v/>
      </c>
      <c r="LN2050" t="str">
        <v/>
      </c>
      <c r="LO2050" t="str">
        <v/>
      </c>
    </row>
    <row r="2051" spans="325:327">
      <c r="LM2051" t="str">
        <v/>
      </c>
      <c r="LN2051" t="str">
        <v/>
      </c>
      <c r="LO2051" t="str">
        <v/>
      </c>
    </row>
    <row r="2052" spans="325:327">
      <c r="LM2052" t="str">
        <v/>
      </c>
      <c r="LN2052" t="str">
        <v/>
      </c>
      <c r="LO2052" t="str">
        <v/>
      </c>
    </row>
    <row r="2053" spans="325:327">
      <c r="LM2053" t="str">
        <v/>
      </c>
      <c r="LN2053" t="str">
        <v/>
      </c>
      <c r="LO2053" t="str">
        <v/>
      </c>
    </row>
    <row r="2054" spans="325:327">
      <c r="LM2054" t="str">
        <v/>
      </c>
      <c r="LN2054" t="str">
        <v/>
      </c>
      <c r="LO2054" t="str">
        <v/>
      </c>
    </row>
    <row r="2055" spans="325:327">
      <c r="LM2055" t="str">
        <v/>
      </c>
      <c r="LN2055" t="str">
        <v/>
      </c>
      <c r="LO2055" t="str">
        <v/>
      </c>
    </row>
    <row r="2056" spans="325:327">
      <c r="LM2056" t="str">
        <v/>
      </c>
      <c r="LN2056" t="str">
        <v/>
      </c>
      <c r="LO2056" t="str">
        <v/>
      </c>
    </row>
    <row r="2057" spans="325:327">
      <c r="LM2057" t="str">
        <v/>
      </c>
      <c r="LN2057" t="str">
        <v/>
      </c>
      <c r="LO2057" t="str">
        <v/>
      </c>
    </row>
    <row r="2058" spans="325:327">
      <c r="LM2058" t="str">
        <v/>
      </c>
      <c r="LN2058" t="str">
        <v/>
      </c>
      <c r="LO2058" t="str">
        <v/>
      </c>
    </row>
    <row r="2059" spans="325:327">
      <c r="LM2059" t="str">
        <v/>
      </c>
      <c r="LN2059" t="str">
        <v/>
      </c>
      <c r="LO2059" t="str">
        <v/>
      </c>
    </row>
    <row r="2060" spans="325:327">
      <c r="LM2060" t="str">
        <v/>
      </c>
      <c r="LN2060" t="str">
        <v/>
      </c>
      <c r="LO2060" t="str">
        <v/>
      </c>
    </row>
    <row r="2061" spans="325:327">
      <c r="LM2061" t="str">
        <v/>
      </c>
      <c r="LN2061" t="str">
        <v/>
      </c>
      <c r="LO2061" t="str">
        <v/>
      </c>
    </row>
    <row r="2062" spans="325:327">
      <c r="LM2062" t="str">
        <v/>
      </c>
      <c r="LN2062" t="str">
        <v/>
      </c>
      <c r="LO2062" t="str">
        <v/>
      </c>
    </row>
    <row r="2063" spans="325:327">
      <c r="LM2063" t="str">
        <v/>
      </c>
      <c r="LN2063" t="str">
        <v/>
      </c>
      <c r="LO2063" t="str">
        <v/>
      </c>
    </row>
    <row r="2064" spans="325:327">
      <c r="LM2064" t="str">
        <v/>
      </c>
      <c r="LN2064" t="str">
        <v/>
      </c>
      <c r="LO2064" t="str">
        <v/>
      </c>
    </row>
    <row r="2065" spans="325:327">
      <c r="LM2065" t="str">
        <v/>
      </c>
      <c r="LN2065" t="str">
        <v/>
      </c>
      <c r="LO2065" t="str">
        <v/>
      </c>
    </row>
    <row r="2066" spans="325:327">
      <c r="LM2066" t="str">
        <v/>
      </c>
      <c r="LN2066" t="str">
        <v/>
      </c>
      <c r="LO2066" t="str">
        <v/>
      </c>
    </row>
    <row r="2067" spans="325:327">
      <c r="LM2067" t="str">
        <v/>
      </c>
      <c r="LN2067" t="str">
        <v/>
      </c>
      <c r="LO2067" t="str">
        <v/>
      </c>
    </row>
    <row r="2068" spans="325:327">
      <c r="LM2068" t="str">
        <v/>
      </c>
      <c r="LN2068" t="str">
        <v/>
      </c>
      <c r="LO2068" t="str">
        <v/>
      </c>
    </row>
    <row r="2069" spans="325:327">
      <c r="LM2069" t="str">
        <v/>
      </c>
      <c r="LN2069" t="str">
        <v/>
      </c>
      <c r="LO2069" t="str">
        <v/>
      </c>
    </row>
    <row r="2070" spans="325:327">
      <c r="LM2070" t="str">
        <v/>
      </c>
      <c r="LN2070" t="str">
        <v/>
      </c>
      <c r="LO2070" t="str">
        <v/>
      </c>
    </row>
    <row r="2071" spans="325:327">
      <c r="LM2071" t="str">
        <v/>
      </c>
      <c r="LN2071" t="str">
        <v/>
      </c>
      <c r="LO2071" t="str">
        <v/>
      </c>
    </row>
    <row r="2072" spans="325:327">
      <c r="LM2072" t="str">
        <v/>
      </c>
      <c r="LN2072" t="str">
        <v/>
      </c>
      <c r="LO2072" t="str">
        <v/>
      </c>
    </row>
    <row r="2073" spans="325:327">
      <c r="LM2073" t="str">
        <v/>
      </c>
      <c r="LN2073" t="str">
        <v/>
      </c>
      <c r="LO2073" t="str">
        <v/>
      </c>
    </row>
    <row r="2074" spans="325:327">
      <c r="LM2074" t="str">
        <v/>
      </c>
      <c r="LN2074" t="str">
        <v/>
      </c>
      <c r="LO2074" t="str">
        <v/>
      </c>
    </row>
    <row r="2075" spans="325:327">
      <c r="LM2075" t="str">
        <v/>
      </c>
      <c r="LN2075" t="str">
        <v/>
      </c>
      <c r="LO2075" t="str">
        <v/>
      </c>
    </row>
    <row r="2076" spans="325:327">
      <c r="LM2076" t="str">
        <v/>
      </c>
      <c r="LN2076" t="str">
        <v/>
      </c>
      <c r="LO2076" t="str">
        <v/>
      </c>
    </row>
    <row r="2077" spans="325:327">
      <c r="LM2077" t="str">
        <v/>
      </c>
      <c r="LN2077" t="str">
        <v/>
      </c>
      <c r="LO2077" t="str">
        <v/>
      </c>
    </row>
    <row r="2078" spans="325:327">
      <c r="LM2078" t="str">
        <v/>
      </c>
      <c r="LN2078" t="str">
        <v/>
      </c>
      <c r="LO2078" t="str">
        <v/>
      </c>
    </row>
    <row r="2079" spans="325:327">
      <c r="LM2079" t="str">
        <v/>
      </c>
      <c r="LN2079" t="str">
        <v/>
      </c>
      <c r="LO2079" t="str">
        <v/>
      </c>
    </row>
    <row r="2080" spans="325:327">
      <c r="LM2080" t="str">
        <v/>
      </c>
      <c r="LN2080" t="str">
        <v/>
      </c>
      <c r="LO2080" t="str">
        <v/>
      </c>
    </row>
    <row r="2081" spans="325:327">
      <c r="LM2081" t="str">
        <v/>
      </c>
      <c r="LN2081" t="str">
        <v/>
      </c>
      <c r="LO2081" t="str">
        <v/>
      </c>
    </row>
    <row r="2082" spans="325:327">
      <c r="LM2082" t="str">
        <v/>
      </c>
      <c r="LN2082" t="str">
        <v/>
      </c>
      <c r="LO2082" t="str">
        <v/>
      </c>
    </row>
    <row r="2083" spans="325:327">
      <c r="LM2083" t="str">
        <v/>
      </c>
      <c r="LN2083" t="str">
        <v/>
      </c>
      <c r="LO2083" t="str">
        <v/>
      </c>
    </row>
    <row r="2084" spans="325:327">
      <c r="LM2084" t="str">
        <v/>
      </c>
      <c r="LN2084" t="str">
        <v/>
      </c>
      <c r="LO2084" t="str">
        <v/>
      </c>
    </row>
    <row r="2085" spans="325:327">
      <c r="LM2085" t="str">
        <v/>
      </c>
      <c r="LN2085" t="str">
        <v/>
      </c>
      <c r="LO2085" t="str">
        <v/>
      </c>
    </row>
    <row r="2086" spans="325:327">
      <c r="LM2086" t="str">
        <v/>
      </c>
      <c r="LN2086" t="str">
        <v/>
      </c>
      <c r="LO2086" t="str">
        <v/>
      </c>
    </row>
    <row r="2087" spans="325:327">
      <c r="LM2087" t="str">
        <v/>
      </c>
      <c r="LN2087" t="str">
        <v/>
      </c>
      <c r="LO2087" t="str">
        <v/>
      </c>
    </row>
    <row r="2088" spans="325:327">
      <c r="LM2088" t="str">
        <v/>
      </c>
      <c r="LN2088" t="str">
        <v/>
      </c>
      <c r="LO2088" t="str">
        <v/>
      </c>
    </row>
    <row r="2089" spans="325:327">
      <c r="LM2089" t="str">
        <v/>
      </c>
      <c r="LN2089" t="str">
        <v/>
      </c>
      <c r="LO2089" t="str">
        <v/>
      </c>
    </row>
    <row r="2090" spans="325:327">
      <c r="LM2090" t="str">
        <v/>
      </c>
      <c r="LN2090" t="str">
        <v/>
      </c>
      <c r="LO2090" t="str">
        <v/>
      </c>
    </row>
    <row r="2091" spans="325:327">
      <c r="LM2091" t="str">
        <v/>
      </c>
      <c r="LN2091" t="str">
        <v/>
      </c>
      <c r="LO2091" t="str">
        <v/>
      </c>
    </row>
    <row r="2092" spans="325:327">
      <c r="LM2092" t="str">
        <v/>
      </c>
      <c r="LN2092" t="str">
        <v/>
      </c>
      <c r="LO2092" t="str">
        <v/>
      </c>
    </row>
    <row r="2093" spans="325:327">
      <c r="LM2093" t="str">
        <v/>
      </c>
      <c r="LN2093" t="str">
        <v/>
      </c>
      <c r="LO2093" t="str">
        <v/>
      </c>
    </row>
    <row r="2094" spans="325:327">
      <c r="LM2094" t="str">
        <v/>
      </c>
      <c r="LN2094" t="str">
        <v/>
      </c>
      <c r="LO2094" t="str">
        <v/>
      </c>
    </row>
    <row r="2095" spans="325:327">
      <c r="LM2095" t="str">
        <v/>
      </c>
      <c r="LN2095" t="str">
        <v/>
      </c>
      <c r="LO2095" t="str">
        <v/>
      </c>
    </row>
    <row r="2096" spans="325:327">
      <c r="LM2096" t="str">
        <v/>
      </c>
      <c r="LN2096" t="str">
        <v/>
      </c>
      <c r="LO2096" t="str">
        <v/>
      </c>
    </row>
    <row r="2097" spans="325:327">
      <c r="LM2097" t="str">
        <v/>
      </c>
      <c r="LN2097" t="str">
        <v/>
      </c>
      <c r="LO2097" t="str">
        <v/>
      </c>
    </row>
    <row r="2098" spans="325:327">
      <c r="LM2098" t="str">
        <v/>
      </c>
      <c r="LN2098" t="str">
        <v/>
      </c>
      <c r="LO2098" t="str">
        <v/>
      </c>
    </row>
    <row r="2099" spans="325:327">
      <c r="LM2099" t="str">
        <v/>
      </c>
      <c r="LN2099" t="str">
        <v/>
      </c>
      <c r="LO2099" t="str">
        <v/>
      </c>
    </row>
    <row r="2100" spans="325:327">
      <c r="LM2100" t="str">
        <v/>
      </c>
      <c r="LN2100" t="str">
        <v/>
      </c>
      <c r="LO2100" t="str">
        <v/>
      </c>
    </row>
    <row r="2101" spans="325:327">
      <c r="LM2101" t="str">
        <v/>
      </c>
      <c r="LN2101" t="str">
        <v/>
      </c>
      <c r="LO2101" t="str">
        <v/>
      </c>
    </row>
    <row r="2102" spans="325:327">
      <c r="LM2102" t="str">
        <v/>
      </c>
      <c r="LN2102" t="str">
        <v/>
      </c>
      <c r="LO2102" t="str">
        <v/>
      </c>
    </row>
    <row r="2103" spans="325:327">
      <c r="LM2103" t="str">
        <v/>
      </c>
      <c r="LN2103" t="str">
        <v/>
      </c>
      <c r="LO2103" t="str">
        <v/>
      </c>
    </row>
    <row r="2104" spans="325:327">
      <c r="LM2104" t="str">
        <v/>
      </c>
      <c r="LN2104" t="str">
        <v/>
      </c>
      <c r="LO2104" t="str">
        <v/>
      </c>
    </row>
    <row r="2105" spans="325:327">
      <c r="LM2105" t="str">
        <v/>
      </c>
      <c r="LN2105" t="str">
        <v/>
      </c>
      <c r="LO2105" t="str">
        <v/>
      </c>
    </row>
    <row r="2106" spans="325:327">
      <c r="LM2106" t="str">
        <v/>
      </c>
      <c r="LN2106" t="str">
        <v/>
      </c>
      <c r="LO2106" t="str">
        <v/>
      </c>
    </row>
    <row r="2107" spans="325:327">
      <c r="LM2107" t="str">
        <v/>
      </c>
      <c r="LN2107" t="str">
        <v/>
      </c>
      <c r="LO2107" t="str">
        <v/>
      </c>
    </row>
    <row r="2108" spans="325:327">
      <c r="LM2108" t="str">
        <v/>
      </c>
      <c r="LN2108" t="str">
        <v/>
      </c>
      <c r="LO2108" t="str">
        <v/>
      </c>
    </row>
    <row r="2109" spans="325:327">
      <c r="LM2109" t="str">
        <v/>
      </c>
      <c r="LN2109" t="str">
        <v/>
      </c>
      <c r="LO2109" t="str">
        <v/>
      </c>
    </row>
    <row r="2110" spans="325:327">
      <c r="LM2110" t="str">
        <v/>
      </c>
      <c r="LN2110" t="str">
        <v/>
      </c>
      <c r="LO2110" t="str">
        <v/>
      </c>
    </row>
    <row r="2111" spans="325:327">
      <c r="LM2111" t="str">
        <v/>
      </c>
      <c r="LN2111" t="str">
        <v/>
      </c>
      <c r="LO2111" t="str">
        <v/>
      </c>
    </row>
    <row r="2112" spans="325:327">
      <c r="LM2112" t="str">
        <v/>
      </c>
      <c r="LN2112" t="str">
        <v/>
      </c>
      <c r="LO2112" t="str">
        <v/>
      </c>
    </row>
    <row r="2113" spans="325:327">
      <c r="LM2113" t="str">
        <v/>
      </c>
      <c r="LN2113" t="str">
        <v/>
      </c>
      <c r="LO2113" t="str">
        <v/>
      </c>
    </row>
    <row r="2114" spans="325:327">
      <c r="LM2114" t="str">
        <v/>
      </c>
      <c r="LN2114" t="str">
        <v/>
      </c>
      <c r="LO2114" t="str">
        <v/>
      </c>
    </row>
    <row r="2115" spans="325:327">
      <c r="LM2115" t="str">
        <v/>
      </c>
      <c r="LN2115" t="str">
        <v/>
      </c>
      <c r="LO2115" t="str">
        <v/>
      </c>
    </row>
    <row r="2116" spans="325:327">
      <c r="LM2116" t="str">
        <v/>
      </c>
      <c r="LN2116" t="str">
        <v/>
      </c>
      <c r="LO2116" t="str">
        <v/>
      </c>
    </row>
    <row r="2117" spans="325:327">
      <c r="LM2117" t="str">
        <v/>
      </c>
      <c r="LN2117" t="str">
        <v/>
      </c>
      <c r="LO2117" t="str">
        <v/>
      </c>
    </row>
    <row r="2118" spans="325:327">
      <c r="LM2118" t="str">
        <v/>
      </c>
      <c r="LN2118" t="str">
        <v/>
      </c>
      <c r="LO2118" t="str">
        <v/>
      </c>
    </row>
    <row r="2119" spans="325:327">
      <c r="LM2119" t="str">
        <v/>
      </c>
      <c r="LN2119" t="str">
        <v/>
      </c>
      <c r="LO2119" t="str">
        <v/>
      </c>
    </row>
    <row r="2120" spans="325:327">
      <c r="LM2120" t="str">
        <v/>
      </c>
      <c r="LN2120" t="str">
        <v/>
      </c>
      <c r="LO2120" t="str">
        <v/>
      </c>
    </row>
    <row r="2121" spans="325:327">
      <c r="LM2121" t="str">
        <v/>
      </c>
      <c r="LN2121" t="str">
        <v/>
      </c>
      <c r="LO2121" t="str">
        <v/>
      </c>
    </row>
    <row r="2122" spans="325:327">
      <c r="LM2122" t="str">
        <v/>
      </c>
      <c r="LN2122" t="str">
        <v/>
      </c>
      <c r="LO2122" t="str">
        <v/>
      </c>
    </row>
    <row r="2123" spans="325:327">
      <c r="LM2123" t="str">
        <v/>
      </c>
      <c r="LN2123" t="str">
        <v/>
      </c>
      <c r="LO2123" t="str">
        <v/>
      </c>
    </row>
    <row r="2124" spans="325:327">
      <c r="LM2124" t="str">
        <v/>
      </c>
      <c r="LN2124" t="str">
        <v/>
      </c>
      <c r="LO2124" t="str">
        <v/>
      </c>
    </row>
    <row r="2125" spans="325:327">
      <c r="LM2125" t="str">
        <v/>
      </c>
      <c r="LN2125" t="str">
        <v/>
      </c>
      <c r="LO2125" t="str">
        <v/>
      </c>
    </row>
    <row r="2126" spans="325:327">
      <c r="LM2126" t="str">
        <v/>
      </c>
      <c r="LN2126" t="str">
        <v/>
      </c>
      <c r="LO2126" t="str">
        <v/>
      </c>
    </row>
    <row r="2127" spans="325:327">
      <c r="LM2127" t="str">
        <v/>
      </c>
      <c r="LN2127" t="str">
        <v/>
      </c>
      <c r="LO2127" t="str">
        <v/>
      </c>
    </row>
    <row r="2128" spans="325:327">
      <c r="LM2128" t="str">
        <v/>
      </c>
      <c r="LN2128" t="str">
        <v/>
      </c>
      <c r="LO2128" t="str">
        <v/>
      </c>
    </row>
    <row r="2129" spans="325:327">
      <c r="LM2129" t="str">
        <v/>
      </c>
      <c r="LN2129" t="str">
        <v/>
      </c>
      <c r="LO2129" t="str">
        <v/>
      </c>
    </row>
    <row r="2130" spans="325:327">
      <c r="LM2130" t="str">
        <v/>
      </c>
      <c r="LN2130" t="str">
        <v/>
      </c>
      <c r="LO2130" t="str">
        <v/>
      </c>
    </row>
    <row r="2131" spans="325:327">
      <c r="LM2131" t="str">
        <v/>
      </c>
      <c r="LN2131" t="str">
        <v/>
      </c>
      <c r="LO2131" t="str">
        <v/>
      </c>
    </row>
    <row r="2132" spans="325:327">
      <c r="LM2132" t="str">
        <v/>
      </c>
      <c r="LN2132" t="str">
        <v/>
      </c>
      <c r="LO2132" t="str">
        <v/>
      </c>
    </row>
    <row r="2133" spans="325:327">
      <c r="LM2133" t="str">
        <v/>
      </c>
      <c r="LN2133" t="str">
        <v/>
      </c>
      <c r="LO2133" t="str">
        <v/>
      </c>
    </row>
    <row r="2134" spans="325:327">
      <c r="LM2134" t="str">
        <v/>
      </c>
      <c r="LN2134" t="str">
        <v/>
      </c>
      <c r="LO2134" t="str">
        <v/>
      </c>
    </row>
    <row r="2135" spans="325:327">
      <c r="LM2135" t="str">
        <v/>
      </c>
      <c r="LN2135" t="str">
        <v/>
      </c>
      <c r="LO2135" t="str">
        <v/>
      </c>
    </row>
    <row r="2136" spans="325:327">
      <c r="LM2136" t="str">
        <v/>
      </c>
      <c r="LN2136" t="str">
        <v/>
      </c>
      <c r="LO2136" t="str">
        <v/>
      </c>
    </row>
    <row r="2137" spans="325:327">
      <c r="LM2137" t="str">
        <v/>
      </c>
      <c r="LN2137" t="str">
        <v/>
      </c>
      <c r="LO2137" t="str">
        <v/>
      </c>
    </row>
    <row r="2138" spans="325:327">
      <c r="LM2138" t="str">
        <v/>
      </c>
      <c r="LN2138" t="str">
        <v/>
      </c>
      <c r="LO2138" t="str">
        <v/>
      </c>
    </row>
    <row r="2139" spans="325:327">
      <c r="LM2139" t="str">
        <v/>
      </c>
      <c r="LN2139" t="str">
        <v/>
      </c>
      <c r="LO2139" t="str">
        <v/>
      </c>
    </row>
    <row r="2140" spans="325:327">
      <c r="LM2140" t="str">
        <v/>
      </c>
      <c r="LN2140" t="str">
        <v/>
      </c>
      <c r="LO2140" t="str">
        <v/>
      </c>
    </row>
    <row r="2141" spans="325:327">
      <c r="LM2141" t="str">
        <v/>
      </c>
      <c r="LN2141" t="str">
        <v/>
      </c>
      <c r="LO2141" t="str">
        <v/>
      </c>
    </row>
    <row r="2142" spans="325:327">
      <c r="LM2142" t="str">
        <v/>
      </c>
      <c r="LN2142" t="str">
        <v/>
      </c>
      <c r="LO2142" t="str">
        <v/>
      </c>
    </row>
    <row r="2143" spans="325:327">
      <c r="LM2143" t="str">
        <v/>
      </c>
      <c r="LN2143" t="str">
        <v/>
      </c>
      <c r="LO2143" t="str">
        <v/>
      </c>
    </row>
    <row r="2144" spans="325:327">
      <c r="LM2144" t="str">
        <v/>
      </c>
      <c r="LN2144" t="str">
        <v/>
      </c>
      <c r="LO2144" t="str">
        <v/>
      </c>
    </row>
    <row r="2145" spans="325:327">
      <c r="LM2145" t="str">
        <v/>
      </c>
      <c r="LN2145" t="str">
        <v/>
      </c>
      <c r="LO2145" t="str">
        <v/>
      </c>
    </row>
    <row r="2146" spans="325:327">
      <c r="LM2146" t="str">
        <v/>
      </c>
      <c r="LN2146" t="str">
        <v/>
      </c>
      <c r="LO2146" t="str">
        <v/>
      </c>
    </row>
    <row r="2147" spans="325:327">
      <c r="LM2147" t="str">
        <v/>
      </c>
      <c r="LN2147" t="str">
        <v/>
      </c>
      <c r="LO2147" t="str">
        <v/>
      </c>
    </row>
    <row r="2148" spans="325:327">
      <c r="LM2148" t="str">
        <v/>
      </c>
      <c r="LN2148" t="str">
        <v/>
      </c>
      <c r="LO2148" t="str">
        <v/>
      </c>
    </row>
    <row r="2149" spans="325:327">
      <c r="LM2149" t="str">
        <v/>
      </c>
      <c r="LN2149" t="str">
        <v/>
      </c>
      <c r="LO2149" t="str">
        <v/>
      </c>
    </row>
    <row r="2150" spans="325:327">
      <c r="LM2150" t="str">
        <v/>
      </c>
      <c r="LN2150" t="str">
        <v/>
      </c>
      <c r="LO2150" t="str">
        <v/>
      </c>
    </row>
    <row r="2151" spans="325:327">
      <c r="LM2151" t="str">
        <v/>
      </c>
      <c r="LN2151" t="str">
        <v/>
      </c>
      <c r="LO2151" t="str">
        <v/>
      </c>
    </row>
    <row r="2152" spans="325:327">
      <c r="LM2152" t="str">
        <v/>
      </c>
      <c r="LN2152" t="str">
        <v/>
      </c>
      <c r="LO2152" t="str">
        <v/>
      </c>
    </row>
    <row r="2153" spans="325:327">
      <c r="LM2153" t="str">
        <v/>
      </c>
      <c r="LN2153" t="str">
        <v/>
      </c>
      <c r="LO2153" t="str">
        <v/>
      </c>
    </row>
    <row r="2154" spans="325:327">
      <c r="LM2154" t="str">
        <v/>
      </c>
      <c r="LN2154" t="str">
        <v/>
      </c>
      <c r="LO2154" t="str">
        <v/>
      </c>
    </row>
    <row r="2155" spans="325:327">
      <c r="LM2155" t="str">
        <v/>
      </c>
      <c r="LN2155" t="str">
        <v/>
      </c>
      <c r="LO2155" t="str">
        <v/>
      </c>
    </row>
    <row r="2156" spans="325:327">
      <c r="LM2156" t="str">
        <v/>
      </c>
      <c r="LN2156" t="str">
        <v/>
      </c>
      <c r="LO2156" t="str">
        <v/>
      </c>
    </row>
    <row r="2157" spans="325:327">
      <c r="LM2157" t="str">
        <v/>
      </c>
      <c r="LN2157" t="str">
        <v/>
      </c>
      <c r="LO2157" t="str">
        <v/>
      </c>
    </row>
    <row r="2158" spans="325:327">
      <c r="LM2158" t="str">
        <v/>
      </c>
      <c r="LN2158" t="str">
        <v/>
      </c>
      <c r="LO2158" t="str">
        <v/>
      </c>
    </row>
    <row r="2159" spans="325:327">
      <c r="LM2159" t="str">
        <v/>
      </c>
      <c r="LN2159" t="str">
        <v/>
      </c>
      <c r="LO2159" t="str">
        <v/>
      </c>
    </row>
    <row r="2160" spans="325:327">
      <c r="LM2160" t="str">
        <v/>
      </c>
      <c r="LN2160" t="str">
        <v/>
      </c>
      <c r="LO2160" t="str">
        <v/>
      </c>
    </row>
    <row r="2161" spans="325:327">
      <c r="LM2161" t="str">
        <v/>
      </c>
      <c r="LN2161" t="str">
        <v/>
      </c>
      <c r="LO2161" t="str">
        <v/>
      </c>
    </row>
    <row r="2162" spans="325:327">
      <c r="LM2162" t="str">
        <v/>
      </c>
      <c r="LN2162" t="str">
        <v/>
      </c>
      <c r="LO2162" t="str">
        <v/>
      </c>
    </row>
    <row r="2163" spans="325:327">
      <c r="LM2163" t="str">
        <v/>
      </c>
      <c r="LN2163" t="str">
        <v/>
      </c>
      <c r="LO2163" t="str">
        <v/>
      </c>
    </row>
    <row r="2164" spans="325:327">
      <c r="LM2164" t="str">
        <v/>
      </c>
      <c r="LN2164" t="str">
        <v/>
      </c>
      <c r="LO2164" t="str">
        <v/>
      </c>
    </row>
    <row r="2165" spans="325:327">
      <c r="LM2165" t="str">
        <v/>
      </c>
      <c r="LN2165" t="str">
        <v/>
      </c>
      <c r="LO2165" t="str">
        <v/>
      </c>
    </row>
    <row r="2166" spans="325:327">
      <c r="LM2166" t="str">
        <v/>
      </c>
      <c r="LN2166" t="str">
        <v/>
      </c>
      <c r="LO2166" t="str">
        <v/>
      </c>
    </row>
    <row r="2167" spans="325:327">
      <c r="LM2167" t="str">
        <v/>
      </c>
      <c r="LN2167" t="str">
        <v/>
      </c>
      <c r="LO2167" t="str">
        <v/>
      </c>
    </row>
    <row r="2168" spans="325:327">
      <c r="LM2168" t="str">
        <v/>
      </c>
      <c r="LN2168" t="str">
        <v/>
      </c>
      <c r="LO2168" t="str">
        <v/>
      </c>
    </row>
    <row r="2169" spans="325:327">
      <c r="LM2169" t="str">
        <v/>
      </c>
      <c r="LN2169" t="str">
        <v/>
      </c>
      <c r="LO2169" t="str">
        <v/>
      </c>
    </row>
    <row r="2170" spans="325:327">
      <c r="LM2170" t="str">
        <v/>
      </c>
      <c r="LN2170" t="str">
        <v/>
      </c>
      <c r="LO2170" t="str">
        <v/>
      </c>
    </row>
    <row r="2171" spans="325:327">
      <c r="LM2171" t="str">
        <v/>
      </c>
      <c r="LN2171" t="str">
        <v/>
      </c>
      <c r="LO2171" t="str">
        <v/>
      </c>
    </row>
    <row r="2172" spans="325:327">
      <c r="LM2172" t="str">
        <v/>
      </c>
      <c r="LN2172" t="str">
        <v/>
      </c>
      <c r="LO2172" t="str">
        <v/>
      </c>
    </row>
    <row r="2173" spans="325:327">
      <c r="LM2173" t="str">
        <v/>
      </c>
      <c r="LN2173" t="str">
        <v/>
      </c>
      <c r="LO2173" t="str">
        <v/>
      </c>
    </row>
    <row r="2174" spans="325:327">
      <c r="LM2174" t="str">
        <v/>
      </c>
      <c r="LN2174" t="str">
        <v/>
      </c>
      <c r="LO2174" t="str">
        <v/>
      </c>
    </row>
    <row r="2175" spans="325:327">
      <c r="LM2175" t="str">
        <v/>
      </c>
      <c r="LN2175" t="str">
        <v/>
      </c>
      <c r="LO2175" t="str">
        <v/>
      </c>
    </row>
    <row r="2176" spans="325:327">
      <c r="LM2176" t="str">
        <v/>
      </c>
      <c r="LN2176" t="str">
        <v/>
      </c>
      <c r="LO2176" t="str">
        <v/>
      </c>
    </row>
    <row r="2177" spans="325:327">
      <c r="LM2177" t="str">
        <v/>
      </c>
      <c r="LN2177" t="str">
        <v/>
      </c>
      <c r="LO2177" t="str">
        <v/>
      </c>
    </row>
    <row r="2178" spans="325:327">
      <c r="LM2178" t="str">
        <v/>
      </c>
      <c r="LN2178" t="str">
        <v/>
      </c>
      <c r="LO2178" t="str">
        <v/>
      </c>
    </row>
    <row r="2179" spans="325:327">
      <c r="LM2179" t="str">
        <v/>
      </c>
      <c r="LN2179" t="str">
        <v/>
      </c>
      <c r="LO2179" t="str">
        <v/>
      </c>
    </row>
    <row r="2180" spans="325:327">
      <c r="LM2180" t="str">
        <v/>
      </c>
      <c r="LN2180" t="str">
        <v/>
      </c>
      <c r="LO2180" t="str">
        <v/>
      </c>
    </row>
    <row r="2181" spans="325:327">
      <c r="LM2181" t="str">
        <v/>
      </c>
      <c r="LN2181" t="str">
        <v/>
      </c>
      <c r="LO2181" t="str">
        <v/>
      </c>
    </row>
    <row r="2182" spans="325:327">
      <c r="LM2182" t="str">
        <v/>
      </c>
      <c r="LN2182" t="str">
        <v/>
      </c>
      <c r="LO2182" t="str">
        <v/>
      </c>
    </row>
    <row r="2183" spans="325:327">
      <c r="LM2183" t="str">
        <v/>
      </c>
      <c r="LN2183" t="str">
        <v/>
      </c>
      <c r="LO2183" t="str">
        <v/>
      </c>
    </row>
    <row r="2184" spans="325:327">
      <c r="LM2184" t="str">
        <v/>
      </c>
      <c r="LN2184" t="str">
        <v/>
      </c>
      <c r="LO2184" t="str">
        <v/>
      </c>
    </row>
    <row r="2185" spans="325:327">
      <c r="LM2185" t="str">
        <v/>
      </c>
      <c r="LN2185" t="str">
        <v/>
      </c>
      <c r="LO2185" t="str">
        <v/>
      </c>
    </row>
    <row r="2186" spans="325:327">
      <c r="LM2186" t="str">
        <v/>
      </c>
      <c r="LN2186" t="str">
        <v/>
      </c>
      <c r="LO2186" t="str">
        <v/>
      </c>
    </row>
    <row r="2187" spans="325:327">
      <c r="LM2187" t="str">
        <v/>
      </c>
      <c r="LN2187" t="str">
        <v/>
      </c>
      <c r="LO2187" t="str">
        <v/>
      </c>
    </row>
    <row r="2188" spans="325:327">
      <c r="LM2188" t="str">
        <v/>
      </c>
      <c r="LN2188" t="str">
        <v/>
      </c>
      <c r="LO2188" t="str">
        <v/>
      </c>
    </row>
    <row r="2189" spans="325:327">
      <c r="LM2189" t="str">
        <v/>
      </c>
      <c r="LN2189" t="str">
        <v/>
      </c>
      <c r="LO2189" t="str">
        <v/>
      </c>
    </row>
    <row r="2190" spans="325:327">
      <c r="LM2190" t="str">
        <v/>
      </c>
      <c r="LN2190" t="str">
        <v/>
      </c>
      <c r="LO2190" t="str">
        <v/>
      </c>
    </row>
    <row r="2191" spans="325:327">
      <c r="LM2191" t="str">
        <v/>
      </c>
      <c r="LN2191" t="str">
        <v/>
      </c>
      <c r="LO2191" t="str">
        <v/>
      </c>
    </row>
    <row r="2192" spans="325:327">
      <c r="LM2192" t="str">
        <v/>
      </c>
      <c r="LN2192" t="str">
        <v/>
      </c>
      <c r="LO2192" t="str">
        <v/>
      </c>
    </row>
    <row r="2193" spans="325:327">
      <c r="LM2193" t="str">
        <v/>
      </c>
      <c r="LN2193" t="str">
        <v/>
      </c>
      <c r="LO2193" t="str">
        <v/>
      </c>
    </row>
    <row r="2194" spans="325:327">
      <c r="LM2194" t="str">
        <v/>
      </c>
      <c r="LN2194" t="str">
        <v/>
      </c>
      <c r="LO2194" t="str">
        <v/>
      </c>
    </row>
    <row r="2195" spans="325:327">
      <c r="LM2195" t="str">
        <v/>
      </c>
      <c r="LN2195" t="str">
        <v/>
      </c>
      <c r="LO2195" t="str">
        <v/>
      </c>
    </row>
    <row r="2196" spans="325:327">
      <c r="LM2196" t="str">
        <v/>
      </c>
      <c r="LN2196" t="str">
        <v/>
      </c>
      <c r="LO2196" t="str">
        <v/>
      </c>
    </row>
    <row r="2197" spans="325:327">
      <c r="LM2197" t="str">
        <v/>
      </c>
      <c r="LN2197" t="str">
        <v/>
      </c>
      <c r="LO2197" t="str">
        <v/>
      </c>
    </row>
    <row r="2198" spans="325:327">
      <c r="LM2198" t="str">
        <v/>
      </c>
      <c r="LN2198" t="str">
        <v/>
      </c>
      <c r="LO2198" t="str">
        <v/>
      </c>
    </row>
    <row r="2199" spans="325:327">
      <c r="LM2199" t="str">
        <v/>
      </c>
      <c r="LN2199" t="str">
        <v/>
      </c>
      <c r="LO2199" t="str">
        <v/>
      </c>
    </row>
    <row r="2200" spans="325:327">
      <c r="LM2200" t="str">
        <v/>
      </c>
      <c r="LN2200" t="str">
        <v/>
      </c>
      <c r="LO2200" t="str">
        <v/>
      </c>
    </row>
    <row r="2201" spans="325:327">
      <c r="LM2201" t="str">
        <v/>
      </c>
      <c r="LN2201" t="str">
        <v/>
      </c>
      <c r="LO2201" t="str">
        <v/>
      </c>
    </row>
    <row r="2202" spans="325:327">
      <c r="LM2202" t="str">
        <v/>
      </c>
      <c r="LN2202" t="str">
        <v/>
      </c>
      <c r="LO2202" t="str">
        <v/>
      </c>
    </row>
    <row r="2203" spans="325:327">
      <c r="LM2203" t="str">
        <v/>
      </c>
      <c r="LN2203" t="str">
        <v/>
      </c>
      <c r="LO2203" t="str">
        <v/>
      </c>
    </row>
    <row r="2204" spans="325:327">
      <c r="LM2204" t="str">
        <v/>
      </c>
      <c r="LN2204" t="str">
        <v/>
      </c>
      <c r="LO2204" t="str">
        <v/>
      </c>
    </row>
    <row r="2205" spans="325:327">
      <c r="LM2205" t="str">
        <v/>
      </c>
      <c r="LN2205" t="str">
        <v/>
      </c>
      <c r="LO2205" t="str">
        <v/>
      </c>
    </row>
    <row r="2206" spans="325:327">
      <c r="LM2206" t="str">
        <v/>
      </c>
      <c r="LN2206" t="str">
        <v/>
      </c>
      <c r="LO2206" t="str">
        <v/>
      </c>
    </row>
    <row r="2207" spans="325:327">
      <c r="LM2207" t="str">
        <v/>
      </c>
      <c r="LN2207" t="str">
        <v/>
      </c>
      <c r="LO2207" t="str">
        <v/>
      </c>
    </row>
    <row r="2208" spans="325:327">
      <c r="LM2208" t="str">
        <v/>
      </c>
      <c r="LN2208" t="str">
        <v/>
      </c>
      <c r="LO2208" t="str">
        <v/>
      </c>
    </row>
    <row r="2209" spans="325:327">
      <c r="LM2209" t="str">
        <v/>
      </c>
      <c r="LN2209" t="str">
        <v/>
      </c>
      <c r="LO2209" t="str">
        <v/>
      </c>
    </row>
    <row r="2210" spans="325:327">
      <c r="LM2210" t="str">
        <v/>
      </c>
      <c r="LN2210" t="str">
        <v/>
      </c>
      <c r="LO2210" t="str">
        <v/>
      </c>
    </row>
    <row r="2211" spans="325:327">
      <c r="LM2211" t="str">
        <v/>
      </c>
      <c r="LN2211" t="str">
        <v/>
      </c>
      <c r="LO2211" t="str">
        <v/>
      </c>
    </row>
    <row r="2212" spans="325:327">
      <c r="LM2212" t="str">
        <v/>
      </c>
      <c r="LN2212" t="str">
        <v/>
      </c>
      <c r="LO2212" t="str">
        <v/>
      </c>
    </row>
    <row r="2213" spans="325:327">
      <c r="LM2213" t="str">
        <v/>
      </c>
      <c r="LN2213" t="str">
        <v/>
      </c>
      <c r="LO2213" t="str">
        <v/>
      </c>
    </row>
    <row r="2214" spans="325:327">
      <c r="LM2214" t="str">
        <v/>
      </c>
      <c r="LN2214" t="str">
        <v/>
      </c>
      <c r="LO2214" t="str">
        <v/>
      </c>
    </row>
    <row r="2215" spans="325:327">
      <c r="LM2215" t="str">
        <v/>
      </c>
      <c r="LN2215" t="str">
        <v/>
      </c>
      <c r="LO2215" t="str">
        <v/>
      </c>
    </row>
    <row r="2216" spans="325:327">
      <c r="LM2216" t="str">
        <v/>
      </c>
      <c r="LN2216" t="str">
        <v/>
      </c>
      <c r="LO2216" t="str">
        <v/>
      </c>
    </row>
    <row r="2217" spans="325:327">
      <c r="LM2217" t="str">
        <v/>
      </c>
      <c r="LN2217" t="str">
        <v/>
      </c>
      <c r="LO2217" t="str">
        <v/>
      </c>
    </row>
    <row r="2218" spans="325:327">
      <c r="LM2218" t="str">
        <v/>
      </c>
      <c r="LN2218" t="str">
        <v/>
      </c>
      <c r="LO2218" t="str">
        <v/>
      </c>
    </row>
    <row r="2219" spans="325:327">
      <c r="LM2219" t="str">
        <v/>
      </c>
      <c r="LN2219" t="str">
        <v/>
      </c>
      <c r="LO2219" t="str">
        <v/>
      </c>
    </row>
    <row r="2220" spans="325:327">
      <c r="LM2220" t="str">
        <v/>
      </c>
      <c r="LN2220" t="str">
        <v/>
      </c>
      <c r="LO2220" t="str">
        <v/>
      </c>
    </row>
    <row r="2221" spans="325:327">
      <c r="LM2221" t="str">
        <v/>
      </c>
      <c r="LN2221" t="str">
        <v/>
      </c>
      <c r="LO2221" t="str">
        <v/>
      </c>
    </row>
    <row r="2222" spans="325:327">
      <c r="LM2222" t="str">
        <v/>
      </c>
      <c r="LN2222" t="str">
        <v/>
      </c>
      <c r="LO2222" t="str">
        <v/>
      </c>
    </row>
    <row r="2223" spans="325:327">
      <c r="LM2223" t="str">
        <v/>
      </c>
      <c r="LN2223" t="str">
        <v/>
      </c>
      <c r="LO2223" t="str">
        <v/>
      </c>
    </row>
    <row r="2224" spans="325:327">
      <c r="LM2224" t="str">
        <v/>
      </c>
      <c r="LN2224" t="str">
        <v/>
      </c>
      <c r="LO2224" t="str">
        <v/>
      </c>
    </row>
    <row r="2225" spans="325:327">
      <c r="LM2225" t="str">
        <v/>
      </c>
      <c r="LN2225" t="str">
        <v/>
      </c>
      <c r="LO2225" t="str">
        <v/>
      </c>
    </row>
    <row r="2226" spans="325:327">
      <c r="LM2226" t="str">
        <v/>
      </c>
      <c r="LN2226" t="str">
        <v/>
      </c>
      <c r="LO2226" t="str">
        <v/>
      </c>
    </row>
    <row r="2227" spans="325:327">
      <c r="LM2227" t="str">
        <v/>
      </c>
      <c r="LN2227" t="str">
        <v/>
      </c>
      <c r="LO2227" t="str">
        <v/>
      </c>
    </row>
    <row r="2228" spans="325:327">
      <c r="LM2228" t="str">
        <v/>
      </c>
      <c r="LN2228" t="str">
        <v/>
      </c>
      <c r="LO2228" t="str">
        <v/>
      </c>
    </row>
    <row r="2229" spans="325:327">
      <c r="LM2229" t="str">
        <v/>
      </c>
      <c r="LN2229" t="str">
        <v/>
      </c>
      <c r="LO2229" t="str">
        <v/>
      </c>
    </row>
    <row r="2230" spans="325:327">
      <c r="LM2230" t="str">
        <v/>
      </c>
      <c r="LN2230" t="str">
        <v/>
      </c>
      <c r="LO2230" t="str">
        <v/>
      </c>
    </row>
    <row r="2231" spans="325:327">
      <c r="LM2231" t="str">
        <v/>
      </c>
      <c r="LN2231" t="str">
        <v/>
      </c>
      <c r="LO2231" t="str">
        <v/>
      </c>
    </row>
    <row r="2232" spans="325:327">
      <c r="LM2232" t="str">
        <v/>
      </c>
      <c r="LN2232" t="str">
        <v/>
      </c>
      <c r="LO2232" t="str">
        <v/>
      </c>
    </row>
    <row r="2233" spans="325:327">
      <c r="LM2233" t="str">
        <v/>
      </c>
      <c r="LN2233" t="str">
        <v/>
      </c>
      <c r="LO2233" t="str">
        <v/>
      </c>
    </row>
    <row r="2234" spans="325:327">
      <c r="LM2234" t="str">
        <v/>
      </c>
      <c r="LN2234" t="str">
        <v/>
      </c>
      <c r="LO2234" t="str">
        <v/>
      </c>
    </row>
    <row r="2235" spans="325:327">
      <c r="LM2235" t="str">
        <v/>
      </c>
      <c r="LN2235" t="str">
        <v/>
      </c>
      <c r="LO2235" t="str">
        <v/>
      </c>
    </row>
    <row r="2236" spans="325:327">
      <c r="LM2236" t="str">
        <v/>
      </c>
      <c r="LN2236" t="str">
        <v/>
      </c>
      <c r="LO2236" t="str">
        <v/>
      </c>
    </row>
    <row r="2237" spans="325:327">
      <c r="LM2237" t="str">
        <v/>
      </c>
      <c r="LN2237" t="str">
        <v/>
      </c>
      <c r="LO2237" t="str">
        <v/>
      </c>
    </row>
    <row r="2238" spans="325:327">
      <c r="LM2238" t="str">
        <v/>
      </c>
      <c r="LN2238" t="str">
        <v/>
      </c>
      <c r="LO2238" t="str">
        <v/>
      </c>
    </row>
    <row r="2239" spans="325:327">
      <c r="LM2239" t="str">
        <v/>
      </c>
      <c r="LN2239" t="str">
        <v/>
      </c>
      <c r="LO2239" t="str">
        <v/>
      </c>
    </row>
    <row r="2240" spans="325:327">
      <c r="LM2240" t="str">
        <v/>
      </c>
      <c r="LN2240" t="str">
        <v/>
      </c>
      <c r="LO2240" t="str">
        <v/>
      </c>
    </row>
    <row r="2241" spans="325:327">
      <c r="LM2241" t="str">
        <v/>
      </c>
      <c r="LN2241" t="str">
        <v/>
      </c>
      <c r="LO2241" t="str">
        <v/>
      </c>
    </row>
    <row r="2242" spans="325:327">
      <c r="LM2242" t="str">
        <v/>
      </c>
      <c r="LN2242" t="str">
        <v/>
      </c>
      <c r="LO2242" t="str">
        <v/>
      </c>
    </row>
    <row r="2243" spans="325:327">
      <c r="LM2243" t="str">
        <v/>
      </c>
      <c r="LN2243" t="str">
        <v/>
      </c>
      <c r="LO2243" t="str">
        <v/>
      </c>
    </row>
    <row r="2244" spans="325:327">
      <c r="LM2244" t="str">
        <v/>
      </c>
      <c r="LN2244" t="str">
        <v/>
      </c>
      <c r="LO2244" t="str">
        <v/>
      </c>
    </row>
    <row r="2245" spans="325:327">
      <c r="LM2245" t="str">
        <v/>
      </c>
      <c r="LN2245" t="str">
        <v/>
      </c>
      <c r="LO2245" t="str">
        <v/>
      </c>
    </row>
    <row r="2246" spans="325:327">
      <c r="LM2246" t="str">
        <v/>
      </c>
      <c r="LN2246" t="str">
        <v/>
      </c>
      <c r="LO2246" t="str">
        <v/>
      </c>
    </row>
    <row r="2247" spans="325:327">
      <c r="LM2247" t="str">
        <v/>
      </c>
      <c r="LN2247" t="str">
        <v/>
      </c>
      <c r="LO2247" t="str">
        <v/>
      </c>
    </row>
    <row r="2248" spans="325:327">
      <c r="LM2248" t="str">
        <v/>
      </c>
      <c r="LN2248" t="str">
        <v/>
      </c>
      <c r="LO2248" t="str">
        <v/>
      </c>
    </row>
    <row r="2249" spans="325:327">
      <c r="LM2249" t="str">
        <v/>
      </c>
      <c r="LN2249" t="str">
        <v/>
      </c>
      <c r="LO2249" t="str">
        <v/>
      </c>
    </row>
    <row r="2250" spans="325:327">
      <c r="LM2250" t="str">
        <v/>
      </c>
      <c r="LN2250" t="str">
        <v/>
      </c>
      <c r="LO2250" t="str">
        <v/>
      </c>
    </row>
    <row r="2251" spans="325:327">
      <c r="LM2251" t="str">
        <v/>
      </c>
      <c r="LN2251" t="str">
        <v/>
      </c>
      <c r="LO2251" t="str">
        <v/>
      </c>
    </row>
    <row r="2252" spans="325:327">
      <c r="LM2252" t="str">
        <v/>
      </c>
      <c r="LN2252" t="str">
        <v/>
      </c>
      <c r="LO2252" t="str">
        <v/>
      </c>
    </row>
    <row r="2253" spans="325:327">
      <c r="LM2253" t="str">
        <v/>
      </c>
      <c r="LN2253" t="str">
        <v/>
      </c>
      <c r="LO2253" t="str">
        <v/>
      </c>
    </row>
    <row r="2254" spans="325:327">
      <c r="LM2254" t="str">
        <v/>
      </c>
      <c r="LN2254" t="str">
        <v/>
      </c>
      <c r="LO2254" t="str">
        <v/>
      </c>
    </row>
    <row r="2255" spans="325:327">
      <c r="LM2255" t="str">
        <v/>
      </c>
      <c r="LN2255" t="str">
        <v/>
      </c>
      <c r="LO2255" t="str">
        <v/>
      </c>
    </row>
    <row r="2256" spans="325:327">
      <c r="LM2256" t="str">
        <v/>
      </c>
      <c r="LN2256" t="str">
        <v/>
      </c>
      <c r="LO2256" t="str">
        <v/>
      </c>
    </row>
    <row r="2257" spans="325:327">
      <c r="LM2257" t="str">
        <v/>
      </c>
      <c r="LN2257" t="str">
        <v/>
      </c>
      <c r="LO2257" t="str">
        <v/>
      </c>
    </row>
    <row r="2258" spans="325:327">
      <c r="LM2258" t="str">
        <v/>
      </c>
      <c r="LN2258" t="str">
        <v/>
      </c>
      <c r="LO2258" t="str">
        <v/>
      </c>
    </row>
    <row r="2259" spans="325:327">
      <c r="LM2259" t="str">
        <v/>
      </c>
      <c r="LN2259" t="str">
        <v/>
      </c>
      <c r="LO2259" t="str">
        <v/>
      </c>
    </row>
    <row r="2260" spans="325:327">
      <c r="LM2260" t="str">
        <v/>
      </c>
      <c r="LN2260" t="str">
        <v/>
      </c>
      <c r="LO2260" t="str">
        <v/>
      </c>
    </row>
    <row r="2261" spans="325:327">
      <c r="LM2261" t="str">
        <v/>
      </c>
      <c r="LN2261" t="str">
        <v/>
      </c>
      <c r="LO2261" t="str">
        <v/>
      </c>
    </row>
    <row r="2262" spans="325:327">
      <c r="LM2262" t="str">
        <v/>
      </c>
      <c r="LN2262" t="str">
        <v/>
      </c>
      <c r="LO2262" t="str">
        <v/>
      </c>
    </row>
    <row r="2263" spans="325:327">
      <c r="LM2263" t="str">
        <v/>
      </c>
      <c r="LN2263" t="str">
        <v/>
      </c>
      <c r="LO2263" t="str">
        <v/>
      </c>
    </row>
    <row r="2264" spans="325:327">
      <c r="LM2264" t="str">
        <v/>
      </c>
      <c r="LN2264" t="str">
        <v/>
      </c>
      <c r="LO2264" t="str">
        <v/>
      </c>
    </row>
    <row r="2265" spans="325:327">
      <c r="LM2265" t="str">
        <v/>
      </c>
      <c r="LN2265" t="str">
        <v/>
      </c>
      <c r="LO2265" t="str">
        <v/>
      </c>
    </row>
    <row r="2266" spans="325:327">
      <c r="LM2266" t="str">
        <v/>
      </c>
      <c r="LN2266" t="str">
        <v/>
      </c>
      <c r="LO2266" t="str">
        <v/>
      </c>
    </row>
    <row r="2267" spans="325:327">
      <c r="LM2267" t="str">
        <v/>
      </c>
      <c r="LN2267" t="str">
        <v/>
      </c>
      <c r="LO2267" t="str">
        <v/>
      </c>
    </row>
    <row r="2268" spans="325:327">
      <c r="LM2268" t="str">
        <v/>
      </c>
      <c r="LN2268" t="str">
        <v/>
      </c>
      <c r="LO2268" t="str">
        <v/>
      </c>
    </row>
    <row r="2269" spans="325:327">
      <c r="LM2269" t="str">
        <v/>
      </c>
      <c r="LN2269" t="str">
        <v/>
      </c>
      <c r="LO2269" t="str">
        <v/>
      </c>
    </row>
    <row r="2270" spans="325:327">
      <c r="LM2270" t="str">
        <v/>
      </c>
      <c r="LN2270" t="str">
        <v/>
      </c>
      <c r="LO2270" t="str">
        <v/>
      </c>
    </row>
    <row r="2271" spans="325:327">
      <c r="LM2271" t="str">
        <v/>
      </c>
      <c r="LN2271" t="str">
        <v/>
      </c>
      <c r="LO2271" t="str">
        <v/>
      </c>
    </row>
    <row r="2272" spans="325:327">
      <c r="LM2272" t="str">
        <v/>
      </c>
      <c r="LN2272" t="str">
        <v/>
      </c>
      <c r="LO2272" t="str">
        <v/>
      </c>
    </row>
    <row r="2273" spans="325:327">
      <c r="LM2273" t="str">
        <v/>
      </c>
      <c r="LN2273" t="str">
        <v/>
      </c>
      <c r="LO2273" t="str">
        <v/>
      </c>
    </row>
    <row r="2274" spans="325:327">
      <c r="LM2274" t="str">
        <v/>
      </c>
      <c r="LN2274" t="str">
        <v/>
      </c>
      <c r="LO2274" t="str">
        <v/>
      </c>
    </row>
    <row r="2275" spans="325:327">
      <c r="LM2275" t="str">
        <v/>
      </c>
      <c r="LN2275" t="str">
        <v/>
      </c>
      <c r="LO2275" t="str">
        <v/>
      </c>
    </row>
    <row r="2276" spans="325:327">
      <c r="LM2276" t="str">
        <v/>
      </c>
      <c r="LN2276" t="str">
        <v/>
      </c>
      <c r="LO2276" t="str">
        <v/>
      </c>
    </row>
    <row r="2277" spans="325:327">
      <c r="LM2277" t="str">
        <v/>
      </c>
      <c r="LN2277" t="str">
        <v/>
      </c>
      <c r="LO2277" t="str">
        <v/>
      </c>
    </row>
    <row r="2278" spans="325:327">
      <c r="LM2278" t="str">
        <v/>
      </c>
      <c r="LN2278" t="str">
        <v/>
      </c>
      <c r="LO2278" t="str">
        <v/>
      </c>
    </row>
    <row r="2279" spans="325:327">
      <c r="LM2279" t="str">
        <v/>
      </c>
      <c r="LN2279" t="str">
        <v/>
      </c>
      <c r="LO2279" t="str">
        <v/>
      </c>
    </row>
    <row r="2280" spans="325:327">
      <c r="LM2280" t="str">
        <v/>
      </c>
      <c r="LN2280" t="str">
        <v/>
      </c>
      <c r="LO2280" t="str">
        <v/>
      </c>
    </row>
    <row r="2281" spans="325:327">
      <c r="LM2281" t="str">
        <v/>
      </c>
      <c r="LN2281" t="str">
        <v/>
      </c>
      <c r="LO2281" t="str">
        <v/>
      </c>
    </row>
    <row r="2282" spans="325:327">
      <c r="LM2282" t="str">
        <v/>
      </c>
      <c r="LN2282" t="str">
        <v/>
      </c>
      <c r="LO2282" t="str">
        <v/>
      </c>
    </row>
    <row r="2283" spans="325:327">
      <c r="LM2283" t="str">
        <v/>
      </c>
      <c r="LN2283" t="str">
        <v/>
      </c>
      <c r="LO2283" t="str">
        <v/>
      </c>
    </row>
    <row r="2284" spans="325:327">
      <c r="LM2284" t="str">
        <v/>
      </c>
      <c r="LN2284" t="str">
        <v/>
      </c>
      <c r="LO2284" t="str">
        <v/>
      </c>
    </row>
    <row r="2285" spans="325:327">
      <c r="LM2285" t="str">
        <v/>
      </c>
      <c r="LN2285" t="str">
        <v/>
      </c>
      <c r="LO2285" t="str">
        <v/>
      </c>
    </row>
    <row r="2286" spans="325:327">
      <c r="LM2286" t="str">
        <v/>
      </c>
      <c r="LN2286" t="str">
        <v/>
      </c>
      <c r="LO2286" t="str">
        <v/>
      </c>
    </row>
    <row r="2287" spans="325:327">
      <c r="LM2287" t="str">
        <v/>
      </c>
      <c r="LN2287" t="str">
        <v/>
      </c>
      <c r="LO2287" t="str">
        <v/>
      </c>
    </row>
    <row r="2288" spans="325:327">
      <c r="LM2288" t="str">
        <v/>
      </c>
      <c r="LN2288" t="str">
        <v/>
      </c>
      <c r="LO2288" t="str">
        <v/>
      </c>
    </row>
    <row r="2289" spans="325:327">
      <c r="LM2289" t="str">
        <v/>
      </c>
      <c r="LN2289" t="str">
        <v/>
      </c>
      <c r="LO2289" t="str">
        <v/>
      </c>
    </row>
    <row r="2290" spans="325:327">
      <c r="LM2290" t="str">
        <v/>
      </c>
      <c r="LN2290" t="str">
        <v/>
      </c>
      <c r="LO2290" t="str">
        <v/>
      </c>
    </row>
    <row r="2291" spans="325:327">
      <c r="LM2291" t="str">
        <v/>
      </c>
      <c r="LN2291" t="str">
        <v/>
      </c>
      <c r="LO2291" t="str">
        <v/>
      </c>
    </row>
    <row r="2292" spans="325:327">
      <c r="LM2292" t="str">
        <v/>
      </c>
      <c r="LN2292" t="str">
        <v/>
      </c>
      <c r="LO2292" t="str">
        <v/>
      </c>
    </row>
    <row r="2293" spans="325:327">
      <c r="LM2293" t="str">
        <v/>
      </c>
      <c r="LN2293" t="str">
        <v/>
      </c>
      <c r="LO2293" t="str">
        <v/>
      </c>
    </row>
    <row r="2294" spans="325:327">
      <c r="LM2294" t="str">
        <v/>
      </c>
      <c r="LN2294" t="str">
        <v/>
      </c>
      <c r="LO2294" t="str">
        <v/>
      </c>
    </row>
    <row r="2295" spans="325:327">
      <c r="LM2295" t="str">
        <v/>
      </c>
      <c r="LN2295" t="str">
        <v/>
      </c>
      <c r="LO2295" t="str">
        <v/>
      </c>
    </row>
    <row r="2296" spans="325:327">
      <c r="LM2296" t="str">
        <v/>
      </c>
      <c r="LN2296" t="str">
        <v/>
      </c>
      <c r="LO2296" t="str">
        <v/>
      </c>
    </row>
    <row r="2297" spans="325:327">
      <c r="LM2297" t="str">
        <v/>
      </c>
      <c r="LN2297" t="str">
        <v/>
      </c>
      <c r="LO2297" t="str">
        <v/>
      </c>
    </row>
    <row r="2298" spans="325:327">
      <c r="LM2298" t="str">
        <v/>
      </c>
      <c r="LN2298" t="str">
        <v/>
      </c>
      <c r="LO2298" t="str">
        <v/>
      </c>
    </row>
    <row r="2299" spans="325:327">
      <c r="LM2299" t="str">
        <v/>
      </c>
      <c r="LN2299" t="str">
        <v/>
      </c>
      <c r="LO2299" t="str">
        <v/>
      </c>
    </row>
    <row r="2300" spans="325:327">
      <c r="LM2300" t="str">
        <v/>
      </c>
      <c r="LN2300" t="str">
        <v/>
      </c>
      <c r="LO2300" t="str">
        <v/>
      </c>
    </row>
    <row r="2301" spans="325:327">
      <c r="LM2301" t="str">
        <v/>
      </c>
      <c r="LN2301" t="str">
        <v/>
      </c>
      <c r="LO2301" t="str">
        <v/>
      </c>
    </row>
    <row r="2302" spans="325:327">
      <c r="LM2302" t="str">
        <v/>
      </c>
      <c r="LN2302" t="str">
        <v/>
      </c>
      <c r="LO2302" t="str">
        <v/>
      </c>
    </row>
    <row r="2303" spans="325:327">
      <c r="LM2303" t="str">
        <v/>
      </c>
      <c r="LN2303" t="str">
        <v/>
      </c>
      <c r="LO2303" t="str">
        <v/>
      </c>
    </row>
    <row r="2304" spans="325:327">
      <c r="LM2304" t="str">
        <v/>
      </c>
      <c r="LN2304" t="str">
        <v/>
      </c>
      <c r="LO2304" t="str">
        <v/>
      </c>
    </row>
    <row r="2305" spans="325:327">
      <c r="LM2305" t="str">
        <v/>
      </c>
      <c r="LN2305" t="str">
        <v/>
      </c>
      <c r="LO2305" t="str">
        <v/>
      </c>
    </row>
    <row r="2306" spans="325:327">
      <c r="LM2306" t="str">
        <v/>
      </c>
      <c r="LN2306" t="str">
        <v/>
      </c>
      <c r="LO2306" t="str">
        <v/>
      </c>
    </row>
    <row r="2307" spans="325:327">
      <c r="LM2307" t="str">
        <v/>
      </c>
      <c r="LN2307" t="str">
        <v/>
      </c>
      <c r="LO2307" t="str">
        <v/>
      </c>
    </row>
    <row r="2308" spans="325:327">
      <c r="LM2308" t="str">
        <v/>
      </c>
      <c r="LN2308" t="str">
        <v/>
      </c>
      <c r="LO2308" t="str">
        <v/>
      </c>
    </row>
    <row r="2309" spans="325:327">
      <c r="LM2309" t="str">
        <v/>
      </c>
      <c r="LN2309" t="str">
        <v/>
      </c>
      <c r="LO2309" t="str">
        <v/>
      </c>
    </row>
    <row r="2310" spans="325:327">
      <c r="LM2310" t="str">
        <v/>
      </c>
      <c r="LN2310" t="str">
        <v/>
      </c>
      <c r="LO2310" t="str">
        <v/>
      </c>
    </row>
    <row r="2311" spans="325:327">
      <c r="LM2311" t="str">
        <v/>
      </c>
      <c r="LN2311" t="str">
        <v/>
      </c>
      <c r="LO2311" t="str">
        <v/>
      </c>
    </row>
    <row r="2312" spans="325:327">
      <c r="LM2312" t="str">
        <v/>
      </c>
      <c r="LN2312" t="str">
        <v/>
      </c>
      <c r="LO2312" t="str">
        <v/>
      </c>
    </row>
    <row r="2313" spans="325:327">
      <c r="LM2313" t="str">
        <v/>
      </c>
      <c r="LN2313" t="str">
        <v/>
      </c>
      <c r="LO2313" t="str">
        <v/>
      </c>
    </row>
    <row r="2314" spans="325:327">
      <c r="LM2314" t="str">
        <v/>
      </c>
      <c r="LN2314" t="str">
        <v/>
      </c>
      <c r="LO2314" t="str">
        <v/>
      </c>
    </row>
    <row r="2315" spans="325:327">
      <c r="LM2315" t="str">
        <v/>
      </c>
      <c r="LN2315" t="str">
        <v/>
      </c>
      <c r="LO2315" t="str">
        <v/>
      </c>
    </row>
    <row r="2316" spans="325:327">
      <c r="LM2316" t="str">
        <v/>
      </c>
      <c r="LN2316" t="str">
        <v/>
      </c>
      <c r="LO2316" t="str">
        <v/>
      </c>
    </row>
    <row r="2317" spans="325:327">
      <c r="LM2317" t="str">
        <v/>
      </c>
      <c r="LN2317" t="str">
        <v/>
      </c>
      <c r="LO2317" t="str">
        <v/>
      </c>
    </row>
    <row r="2318" spans="325:327">
      <c r="LM2318" t="str">
        <v/>
      </c>
      <c r="LN2318" t="str">
        <v/>
      </c>
      <c r="LO2318" t="str">
        <v/>
      </c>
    </row>
    <row r="2319" spans="325:327">
      <c r="LM2319" t="str">
        <v/>
      </c>
      <c r="LN2319" t="str">
        <v/>
      </c>
      <c r="LO2319" t="str">
        <v/>
      </c>
    </row>
    <row r="2320" spans="325:327">
      <c r="LM2320" t="str">
        <v/>
      </c>
      <c r="LN2320" t="str">
        <v/>
      </c>
      <c r="LO2320" t="str">
        <v/>
      </c>
    </row>
    <row r="2321" spans="325:327">
      <c r="LM2321" t="str">
        <v/>
      </c>
      <c r="LN2321" t="str">
        <v/>
      </c>
      <c r="LO2321" t="str">
        <v/>
      </c>
    </row>
    <row r="2322" spans="325:327">
      <c r="LM2322" t="str">
        <v/>
      </c>
      <c r="LN2322" t="str">
        <v/>
      </c>
      <c r="LO2322" t="str">
        <v/>
      </c>
    </row>
    <row r="2323" spans="325:327">
      <c r="LM2323" t="str">
        <v/>
      </c>
      <c r="LN2323" t="str">
        <v/>
      </c>
      <c r="LO2323" t="str">
        <v/>
      </c>
    </row>
    <row r="2324" spans="325:327">
      <c r="LM2324" t="str">
        <v/>
      </c>
      <c r="LN2324" t="str">
        <v/>
      </c>
      <c r="LO2324" t="str">
        <v/>
      </c>
    </row>
    <row r="2325" spans="325:327">
      <c r="LM2325" t="str">
        <v/>
      </c>
      <c r="LN2325" t="str">
        <v/>
      </c>
      <c r="LO2325" t="str">
        <v/>
      </c>
    </row>
    <row r="2326" spans="325:327">
      <c r="LM2326" t="str">
        <v/>
      </c>
      <c r="LN2326" t="str">
        <v/>
      </c>
      <c r="LO2326" t="str">
        <v/>
      </c>
    </row>
    <row r="2327" spans="325:327">
      <c r="LM2327" t="str">
        <v/>
      </c>
      <c r="LN2327" t="str">
        <v/>
      </c>
      <c r="LO2327" t="str">
        <v/>
      </c>
    </row>
    <row r="2328" spans="325:327">
      <c r="LM2328" t="str">
        <v/>
      </c>
      <c r="LN2328" t="str">
        <v/>
      </c>
      <c r="LO2328" t="str">
        <v/>
      </c>
    </row>
    <row r="2329" spans="325:327">
      <c r="LM2329" t="str">
        <v/>
      </c>
      <c r="LN2329" t="str">
        <v/>
      </c>
      <c r="LO2329" t="str">
        <v/>
      </c>
    </row>
    <row r="2330" spans="325:327">
      <c r="LM2330" t="str">
        <v/>
      </c>
      <c r="LN2330" t="str">
        <v/>
      </c>
      <c r="LO2330" t="str">
        <v/>
      </c>
    </row>
    <row r="2331" spans="325:327">
      <c r="LM2331" t="str">
        <v/>
      </c>
      <c r="LN2331" t="str">
        <v/>
      </c>
      <c r="LO2331" t="str">
        <v/>
      </c>
    </row>
    <row r="2332" spans="325:327">
      <c r="LM2332" t="str">
        <v/>
      </c>
      <c r="LN2332" t="str">
        <v/>
      </c>
      <c r="LO2332" t="str">
        <v/>
      </c>
    </row>
    <row r="2333" spans="325:327">
      <c r="LM2333" t="str">
        <v/>
      </c>
      <c r="LN2333" t="str">
        <v/>
      </c>
      <c r="LO2333" t="str">
        <v/>
      </c>
    </row>
    <row r="2334" spans="325:327">
      <c r="LM2334" t="str">
        <v/>
      </c>
      <c r="LN2334" t="str">
        <v/>
      </c>
      <c r="LO2334" t="str">
        <v/>
      </c>
    </row>
    <row r="2335" spans="325:327">
      <c r="LM2335" t="str">
        <v/>
      </c>
      <c r="LN2335" t="str">
        <v/>
      </c>
      <c r="LO2335" t="str">
        <v/>
      </c>
    </row>
    <row r="2336" spans="325:327">
      <c r="LM2336" t="str">
        <v/>
      </c>
      <c r="LN2336" t="str">
        <v/>
      </c>
      <c r="LO2336" t="str">
        <v/>
      </c>
    </row>
    <row r="2337" spans="325:327">
      <c r="LM2337" t="str">
        <v/>
      </c>
      <c r="LN2337" t="str">
        <v/>
      </c>
      <c r="LO2337" t="str">
        <v/>
      </c>
    </row>
    <row r="2338" spans="325:327">
      <c r="LM2338" t="str">
        <v/>
      </c>
      <c r="LN2338" t="str">
        <v/>
      </c>
      <c r="LO2338" t="str">
        <v/>
      </c>
    </row>
    <row r="2339" spans="325:327">
      <c r="LM2339" t="str">
        <v/>
      </c>
      <c r="LN2339" t="str">
        <v/>
      </c>
      <c r="LO2339" t="str">
        <v/>
      </c>
    </row>
    <row r="2340" spans="325:327">
      <c r="LM2340" t="str">
        <v/>
      </c>
      <c r="LN2340" t="str">
        <v/>
      </c>
      <c r="LO2340" t="str">
        <v/>
      </c>
    </row>
    <row r="2341" spans="325:327">
      <c r="LM2341" t="str">
        <v/>
      </c>
      <c r="LN2341" t="str">
        <v/>
      </c>
      <c r="LO2341" t="str">
        <v/>
      </c>
    </row>
    <row r="2342" spans="325:327">
      <c r="LM2342" t="str">
        <v/>
      </c>
      <c r="LN2342" t="str">
        <v/>
      </c>
      <c r="LO2342" t="str">
        <v/>
      </c>
    </row>
    <row r="2343" spans="325:327">
      <c r="LM2343" t="str">
        <v/>
      </c>
      <c r="LN2343" t="str">
        <v/>
      </c>
      <c r="LO2343" t="str">
        <v/>
      </c>
    </row>
    <row r="2344" spans="325:327">
      <c r="LM2344" t="str">
        <v/>
      </c>
      <c r="LN2344" t="str">
        <v/>
      </c>
      <c r="LO2344" t="str">
        <v/>
      </c>
    </row>
    <row r="2345" spans="325:327">
      <c r="LM2345" t="str">
        <v/>
      </c>
      <c r="LN2345" t="str">
        <v/>
      </c>
      <c r="LO2345" t="str">
        <v/>
      </c>
    </row>
    <row r="2346" spans="325:327">
      <c r="LM2346" t="str">
        <v/>
      </c>
      <c r="LN2346" t="str">
        <v/>
      </c>
      <c r="LO2346" t="str">
        <v/>
      </c>
    </row>
    <row r="2347" spans="325:327">
      <c r="LM2347" t="str">
        <v/>
      </c>
      <c r="LN2347" t="str">
        <v/>
      </c>
      <c r="LO2347" t="str">
        <v/>
      </c>
    </row>
    <row r="2348" spans="325:327">
      <c r="LM2348" t="str">
        <v/>
      </c>
      <c r="LN2348" t="str">
        <v/>
      </c>
      <c r="LO2348" t="str">
        <v/>
      </c>
    </row>
    <row r="2349" spans="325:327">
      <c r="LM2349" t="str">
        <v/>
      </c>
      <c r="LN2349" t="str">
        <v/>
      </c>
      <c r="LO2349" t="str">
        <v/>
      </c>
    </row>
    <row r="2350" spans="325:327">
      <c r="LM2350" t="str">
        <v/>
      </c>
      <c r="LN2350" t="str">
        <v/>
      </c>
      <c r="LO2350" t="str">
        <v/>
      </c>
    </row>
    <row r="2351" spans="325:327">
      <c r="LM2351" t="str">
        <v/>
      </c>
      <c r="LN2351" t="str">
        <v/>
      </c>
      <c r="LO2351" t="str">
        <v/>
      </c>
    </row>
    <row r="2352" spans="325:327">
      <c r="LM2352" t="str">
        <v/>
      </c>
      <c r="LN2352" t="str">
        <v/>
      </c>
      <c r="LO2352" t="str">
        <v/>
      </c>
    </row>
    <row r="2353" spans="325:327">
      <c r="LM2353" t="str">
        <v/>
      </c>
      <c r="LN2353" t="str">
        <v/>
      </c>
      <c r="LO2353" t="str">
        <v/>
      </c>
    </row>
    <row r="2354" spans="325:327">
      <c r="LM2354" t="str">
        <v/>
      </c>
      <c r="LN2354" t="str">
        <v/>
      </c>
      <c r="LO2354" t="str">
        <v/>
      </c>
    </row>
    <row r="2355" spans="325:327">
      <c r="LM2355" t="str">
        <v/>
      </c>
      <c r="LN2355" t="str">
        <v/>
      </c>
      <c r="LO2355" t="str">
        <v/>
      </c>
    </row>
    <row r="2356" spans="325:327">
      <c r="LM2356" t="str">
        <v/>
      </c>
      <c r="LN2356" t="str">
        <v/>
      </c>
      <c r="LO2356" t="str">
        <v/>
      </c>
    </row>
    <row r="2357" spans="325:327">
      <c r="LM2357" t="str">
        <v/>
      </c>
      <c r="LN2357" t="str">
        <v/>
      </c>
      <c r="LO2357" t="str">
        <v/>
      </c>
    </row>
    <row r="2358" spans="325:327">
      <c r="LM2358" t="str">
        <v/>
      </c>
      <c r="LN2358" t="str">
        <v/>
      </c>
      <c r="LO2358" t="str">
        <v/>
      </c>
    </row>
    <row r="2359" spans="325:327">
      <c r="LM2359" t="str">
        <v/>
      </c>
      <c r="LN2359" t="str">
        <v/>
      </c>
      <c r="LO2359" t="str">
        <v/>
      </c>
    </row>
    <row r="2360" spans="325:327">
      <c r="LM2360" t="str">
        <v/>
      </c>
      <c r="LN2360" t="str">
        <v/>
      </c>
      <c r="LO2360" t="str">
        <v/>
      </c>
    </row>
    <row r="2361" spans="325:327">
      <c r="LM2361" t="str">
        <v/>
      </c>
      <c r="LN2361" t="str">
        <v/>
      </c>
      <c r="LO2361" t="str">
        <v/>
      </c>
    </row>
    <row r="2362" spans="325:327">
      <c r="LM2362" t="str">
        <v/>
      </c>
      <c r="LN2362" t="str">
        <v/>
      </c>
      <c r="LO2362" t="str">
        <v/>
      </c>
    </row>
    <row r="2363" spans="325:327">
      <c r="LM2363" t="str">
        <v/>
      </c>
      <c r="LN2363" t="str">
        <v/>
      </c>
      <c r="LO2363" t="str">
        <v/>
      </c>
    </row>
    <row r="2364" spans="325:327">
      <c r="LM2364" t="str">
        <v/>
      </c>
      <c r="LN2364" t="str">
        <v/>
      </c>
      <c r="LO2364" t="str">
        <v/>
      </c>
    </row>
    <row r="2365" spans="325:327">
      <c r="LM2365" t="str">
        <v/>
      </c>
      <c r="LN2365" t="str">
        <v/>
      </c>
      <c r="LO2365" t="str">
        <v/>
      </c>
    </row>
    <row r="2366" spans="325:327">
      <c r="LM2366" t="str">
        <v/>
      </c>
      <c r="LN2366" t="str">
        <v/>
      </c>
      <c r="LO2366" t="str">
        <v/>
      </c>
    </row>
    <row r="2367" spans="325:327">
      <c r="LM2367" t="str">
        <v/>
      </c>
      <c r="LN2367" t="str">
        <v/>
      </c>
      <c r="LO2367" t="str">
        <v/>
      </c>
    </row>
    <row r="2368" spans="325:327">
      <c r="LM2368" t="str">
        <v/>
      </c>
      <c r="LN2368" t="str">
        <v/>
      </c>
      <c r="LO2368" t="str">
        <v/>
      </c>
    </row>
    <row r="2369" spans="325:327">
      <c r="LM2369" t="str">
        <v/>
      </c>
      <c r="LN2369" t="str">
        <v/>
      </c>
      <c r="LO2369" t="str">
        <v/>
      </c>
    </row>
    <row r="2370" spans="325:327">
      <c r="LM2370" t="str">
        <v/>
      </c>
      <c r="LN2370" t="str">
        <v/>
      </c>
      <c r="LO2370" t="str">
        <v/>
      </c>
    </row>
    <row r="2371" spans="325:327">
      <c r="LM2371" t="str">
        <v/>
      </c>
      <c r="LN2371" t="str">
        <v/>
      </c>
      <c r="LO2371" t="str">
        <v/>
      </c>
    </row>
    <row r="2372" spans="325:327">
      <c r="LM2372" t="str">
        <v/>
      </c>
      <c r="LN2372" t="str">
        <v/>
      </c>
      <c r="LO2372" t="str">
        <v/>
      </c>
    </row>
    <row r="2373" spans="325:327">
      <c r="LM2373" t="str">
        <v/>
      </c>
      <c r="LN2373" t="str">
        <v/>
      </c>
      <c r="LO2373" t="str">
        <v/>
      </c>
    </row>
    <row r="2374" spans="325:327">
      <c r="LM2374" t="str">
        <v/>
      </c>
      <c r="LN2374" t="str">
        <v/>
      </c>
      <c r="LO2374" t="str">
        <v/>
      </c>
    </row>
    <row r="2375" spans="325:327">
      <c r="LM2375" t="str">
        <v/>
      </c>
      <c r="LN2375" t="str">
        <v/>
      </c>
      <c r="LO2375" t="str">
        <v/>
      </c>
    </row>
    <row r="2376" spans="325:327">
      <c r="LM2376" t="str">
        <v/>
      </c>
      <c r="LN2376" t="str">
        <v/>
      </c>
      <c r="LO2376" t="str">
        <v/>
      </c>
    </row>
    <row r="2377" spans="325:327">
      <c r="LM2377" t="str">
        <v/>
      </c>
      <c r="LN2377" t="str">
        <v/>
      </c>
      <c r="LO2377" t="str">
        <v/>
      </c>
    </row>
    <row r="2378" spans="325:327">
      <c r="LM2378" t="str">
        <v/>
      </c>
      <c r="LN2378" t="str">
        <v/>
      </c>
      <c r="LO2378" t="str">
        <v/>
      </c>
    </row>
    <row r="2379" spans="325:327">
      <c r="LM2379" t="str">
        <v/>
      </c>
      <c r="LN2379" t="str">
        <v/>
      </c>
      <c r="LO2379" t="str">
        <v/>
      </c>
    </row>
    <row r="2380" spans="325:327">
      <c r="LM2380" t="str">
        <v/>
      </c>
      <c r="LN2380" t="str">
        <v/>
      </c>
      <c r="LO2380" t="str">
        <v/>
      </c>
    </row>
    <row r="2381" spans="325:327">
      <c r="LM2381" t="str">
        <v/>
      </c>
      <c r="LN2381" t="str">
        <v/>
      </c>
      <c r="LO2381" t="str">
        <v/>
      </c>
    </row>
    <row r="2382" spans="325:327">
      <c r="LM2382" t="str">
        <v/>
      </c>
      <c r="LN2382" t="str">
        <v/>
      </c>
      <c r="LO2382" t="str">
        <v/>
      </c>
    </row>
    <row r="2383" spans="325:327">
      <c r="LM2383" t="str">
        <v/>
      </c>
      <c r="LN2383" t="str">
        <v/>
      </c>
      <c r="LO2383" t="str">
        <v/>
      </c>
    </row>
    <row r="2384" spans="325:327">
      <c r="LM2384" t="str">
        <v/>
      </c>
      <c r="LN2384" t="str">
        <v/>
      </c>
      <c r="LO2384" t="str">
        <v/>
      </c>
    </row>
    <row r="2385" spans="325:327">
      <c r="LM2385" t="str">
        <v/>
      </c>
      <c r="LN2385" t="str">
        <v/>
      </c>
      <c r="LO2385" t="str">
        <v/>
      </c>
    </row>
    <row r="2386" spans="325:327">
      <c r="LM2386" t="str">
        <v/>
      </c>
      <c r="LN2386" t="str">
        <v/>
      </c>
      <c r="LO2386" t="str">
        <v/>
      </c>
    </row>
    <row r="2387" spans="325:327">
      <c r="LM2387" t="str">
        <v/>
      </c>
      <c r="LN2387" t="str">
        <v/>
      </c>
      <c r="LO2387" t="str">
        <v/>
      </c>
    </row>
    <row r="2388" spans="325:327">
      <c r="LM2388" t="str">
        <v/>
      </c>
      <c r="LN2388" t="str">
        <v/>
      </c>
      <c r="LO2388" t="str">
        <v/>
      </c>
    </row>
    <row r="2389" spans="325:327">
      <c r="LM2389" t="str">
        <v/>
      </c>
      <c r="LN2389" t="str">
        <v/>
      </c>
      <c r="LO2389" t="str">
        <v/>
      </c>
    </row>
    <row r="2390" spans="325:327">
      <c r="LM2390" t="str">
        <v/>
      </c>
      <c r="LN2390" t="str">
        <v/>
      </c>
      <c r="LO2390" t="str">
        <v/>
      </c>
    </row>
    <row r="2391" spans="325:327">
      <c r="LM2391" t="str">
        <v/>
      </c>
      <c r="LN2391" t="str">
        <v/>
      </c>
      <c r="LO2391" t="str">
        <v/>
      </c>
    </row>
    <row r="2392" spans="325:327">
      <c r="LM2392" t="str">
        <v/>
      </c>
      <c r="LN2392" t="str">
        <v/>
      </c>
      <c r="LO2392" t="str">
        <v/>
      </c>
    </row>
    <row r="2393" spans="325:327">
      <c r="LM2393" t="str">
        <v/>
      </c>
      <c r="LN2393" t="str">
        <v/>
      </c>
      <c r="LO2393" t="str">
        <v/>
      </c>
    </row>
    <row r="2394" spans="325:327">
      <c r="LM2394" t="str">
        <v/>
      </c>
      <c r="LN2394" t="str">
        <v/>
      </c>
      <c r="LO2394" t="str">
        <v/>
      </c>
    </row>
    <row r="2395" spans="325:327">
      <c r="LM2395" t="str">
        <v/>
      </c>
      <c r="LN2395" t="str">
        <v/>
      </c>
      <c r="LO2395" t="str">
        <v/>
      </c>
    </row>
    <row r="2396" spans="325:327">
      <c r="LM2396" t="str">
        <v/>
      </c>
      <c r="LN2396" t="str">
        <v/>
      </c>
      <c r="LO2396" t="str">
        <v/>
      </c>
    </row>
    <row r="2397" spans="325:327">
      <c r="LM2397" t="str">
        <v/>
      </c>
      <c r="LN2397" t="str">
        <v/>
      </c>
      <c r="LO2397" t="str">
        <v/>
      </c>
    </row>
    <row r="2398" spans="325:327">
      <c r="LM2398" t="str">
        <v/>
      </c>
      <c r="LN2398" t="str">
        <v/>
      </c>
      <c r="LO2398" t="str">
        <v/>
      </c>
    </row>
    <row r="2399" spans="325:327">
      <c r="LM2399" t="str">
        <v/>
      </c>
      <c r="LN2399" t="str">
        <v/>
      </c>
      <c r="LO2399" t="str">
        <v/>
      </c>
    </row>
    <row r="2400" spans="325:327">
      <c r="LM2400" t="str">
        <v/>
      </c>
      <c r="LN2400" t="str">
        <v/>
      </c>
      <c r="LO2400" t="str">
        <v/>
      </c>
    </row>
    <row r="2401" spans="325:327">
      <c r="LM2401" t="str">
        <v/>
      </c>
      <c r="LN2401" t="str">
        <v/>
      </c>
      <c r="LO2401" t="str">
        <v/>
      </c>
    </row>
    <row r="2402" spans="325:327">
      <c r="LM2402" t="str">
        <v/>
      </c>
      <c r="LN2402" t="str">
        <v/>
      </c>
      <c r="LO2402" t="str">
        <v/>
      </c>
    </row>
    <row r="2403" spans="325:327">
      <c r="LM2403" t="str">
        <v/>
      </c>
      <c r="LN2403" t="str">
        <v/>
      </c>
      <c r="LO2403" t="str">
        <v/>
      </c>
    </row>
    <row r="2404" spans="325:327">
      <c r="LM2404" t="str">
        <v/>
      </c>
      <c r="LN2404" t="str">
        <v/>
      </c>
      <c r="LO2404" t="str">
        <v/>
      </c>
    </row>
    <row r="2405" spans="325:327">
      <c r="LM2405" t="str">
        <v/>
      </c>
      <c r="LN2405" t="str">
        <v/>
      </c>
      <c r="LO2405" t="str">
        <v/>
      </c>
    </row>
    <row r="2406" spans="325:327">
      <c r="LM2406" t="str">
        <v/>
      </c>
      <c r="LN2406" t="str">
        <v/>
      </c>
      <c r="LO2406" t="str">
        <v/>
      </c>
    </row>
    <row r="2407" spans="325:327">
      <c r="LM2407" t="str">
        <v/>
      </c>
      <c r="LN2407" t="str">
        <v/>
      </c>
      <c r="LO2407" t="str">
        <v/>
      </c>
    </row>
    <row r="2408" spans="325:327">
      <c r="LM2408" t="str">
        <v/>
      </c>
      <c r="LN2408" t="str">
        <v/>
      </c>
      <c r="LO2408" t="str">
        <v/>
      </c>
    </row>
    <row r="2409" spans="325:327">
      <c r="LM2409" t="str">
        <v/>
      </c>
      <c r="LN2409" t="str">
        <v/>
      </c>
      <c r="LO2409" t="str">
        <v/>
      </c>
    </row>
    <row r="2410" spans="325:327">
      <c r="LM2410" t="str">
        <v/>
      </c>
      <c r="LN2410" t="str">
        <v/>
      </c>
      <c r="LO2410" t="str">
        <v/>
      </c>
    </row>
    <row r="2411" spans="325:327">
      <c r="LM2411" t="str">
        <v/>
      </c>
      <c r="LN2411" t="str">
        <v/>
      </c>
      <c r="LO2411" t="str">
        <v/>
      </c>
    </row>
    <row r="2412" spans="325:327">
      <c r="LM2412" t="str">
        <v/>
      </c>
      <c r="LN2412" t="str">
        <v/>
      </c>
      <c r="LO2412" t="str">
        <v/>
      </c>
    </row>
    <row r="2413" spans="325:327">
      <c r="LM2413" t="str">
        <v/>
      </c>
      <c r="LN2413" t="str">
        <v/>
      </c>
      <c r="LO2413" t="str">
        <v/>
      </c>
    </row>
    <row r="2414" spans="325:327">
      <c r="LM2414" t="str">
        <v/>
      </c>
      <c r="LN2414" t="str">
        <v/>
      </c>
      <c r="LO2414" t="str">
        <v/>
      </c>
    </row>
    <row r="2415" spans="325:327">
      <c r="LM2415" t="str">
        <v/>
      </c>
      <c r="LN2415" t="str">
        <v/>
      </c>
      <c r="LO2415" t="str">
        <v/>
      </c>
    </row>
    <row r="2416" spans="325:327">
      <c r="LM2416" t="str">
        <v/>
      </c>
      <c r="LN2416" t="str">
        <v/>
      </c>
      <c r="LO2416" t="str">
        <v/>
      </c>
    </row>
    <row r="2417" spans="325:327">
      <c r="LM2417" t="str">
        <v/>
      </c>
      <c r="LN2417" t="str">
        <v/>
      </c>
      <c r="LO2417" t="str">
        <v/>
      </c>
    </row>
    <row r="2418" spans="325:327">
      <c r="LM2418" t="str">
        <v/>
      </c>
      <c r="LN2418" t="str">
        <v/>
      </c>
      <c r="LO2418" t="str">
        <v/>
      </c>
    </row>
    <row r="2419" spans="325:327">
      <c r="LM2419" t="str">
        <v/>
      </c>
      <c r="LN2419" t="str">
        <v/>
      </c>
      <c r="LO2419" t="str">
        <v/>
      </c>
    </row>
    <row r="2420" spans="325:327">
      <c r="LM2420" t="str">
        <v/>
      </c>
      <c r="LN2420" t="str">
        <v/>
      </c>
      <c r="LO2420" t="str">
        <v/>
      </c>
    </row>
    <row r="2421" spans="325:327">
      <c r="LM2421" t="str">
        <v/>
      </c>
      <c r="LN2421" t="str">
        <v/>
      </c>
      <c r="LO2421" t="str">
        <v/>
      </c>
    </row>
    <row r="2422" spans="325:327">
      <c r="LM2422" t="str">
        <v/>
      </c>
      <c r="LN2422" t="str">
        <v/>
      </c>
      <c r="LO2422" t="str">
        <v/>
      </c>
    </row>
    <row r="2423" spans="325:327">
      <c r="LM2423" t="str">
        <v/>
      </c>
      <c r="LN2423" t="str">
        <v/>
      </c>
      <c r="LO2423" t="str">
        <v/>
      </c>
    </row>
    <row r="2424" spans="325:327">
      <c r="LM2424" t="str">
        <v/>
      </c>
      <c r="LN2424" t="str">
        <v/>
      </c>
      <c r="LO2424" t="str">
        <v/>
      </c>
    </row>
    <row r="2425" spans="325:327">
      <c r="LM2425" t="str">
        <v/>
      </c>
      <c r="LN2425" t="str">
        <v/>
      </c>
      <c r="LO2425" t="str">
        <v/>
      </c>
    </row>
    <row r="2426" spans="325:327">
      <c r="LM2426" t="str">
        <v/>
      </c>
      <c r="LN2426" t="str">
        <v/>
      </c>
      <c r="LO2426" t="str">
        <v/>
      </c>
    </row>
    <row r="2427" spans="325:327">
      <c r="LM2427" t="str">
        <v/>
      </c>
      <c r="LN2427" t="str">
        <v/>
      </c>
      <c r="LO2427" t="str">
        <v/>
      </c>
    </row>
    <row r="2428" spans="325:327">
      <c r="LM2428" t="str">
        <v/>
      </c>
      <c r="LN2428" t="str">
        <v/>
      </c>
      <c r="LO2428" t="str">
        <v/>
      </c>
    </row>
    <row r="2429" spans="325:327">
      <c r="LM2429" t="str">
        <v/>
      </c>
      <c r="LN2429" t="str">
        <v/>
      </c>
      <c r="LO2429" t="str">
        <v/>
      </c>
    </row>
    <row r="2430" spans="325:327">
      <c r="LM2430" t="str">
        <v/>
      </c>
      <c r="LN2430" t="str">
        <v/>
      </c>
      <c r="LO2430" t="str">
        <v/>
      </c>
    </row>
    <row r="2431" spans="325:327">
      <c r="LM2431" t="str">
        <v/>
      </c>
      <c r="LN2431" t="str">
        <v/>
      </c>
      <c r="LO2431" t="str">
        <v/>
      </c>
    </row>
    <row r="2432" spans="325:327">
      <c r="LM2432" t="str">
        <v/>
      </c>
      <c r="LN2432" t="str">
        <v/>
      </c>
      <c r="LO2432" t="str">
        <v/>
      </c>
    </row>
    <row r="2433" spans="325:327">
      <c r="LM2433" t="str">
        <v/>
      </c>
      <c r="LN2433" t="str">
        <v/>
      </c>
      <c r="LO2433" t="str">
        <v/>
      </c>
    </row>
    <row r="2434" spans="325:327">
      <c r="LM2434" t="str">
        <v/>
      </c>
      <c r="LN2434" t="str">
        <v/>
      </c>
      <c r="LO2434" t="str">
        <v/>
      </c>
    </row>
    <row r="2435" spans="325:327">
      <c r="LM2435" t="str">
        <v/>
      </c>
      <c r="LN2435" t="str">
        <v/>
      </c>
      <c r="LO2435" t="str">
        <v/>
      </c>
    </row>
    <row r="2436" spans="325:327">
      <c r="LM2436" t="str">
        <v/>
      </c>
      <c r="LN2436" t="str">
        <v/>
      </c>
      <c r="LO2436" t="str">
        <v/>
      </c>
    </row>
    <row r="2437" spans="325:327">
      <c r="LM2437" t="str">
        <v/>
      </c>
      <c r="LN2437" t="str">
        <v/>
      </c>
      <c r="LO2437" t="str">
        <v/>
      </c>
    </row>
    <row r="2438" spans="325:327">
      <c r="LM2438" t="str">
        <v/>
      </c>
      <c r="LN2438" t="str">
        <v/>
      </c>
      <c r="LO2438" t="str">
        <v/>
      </c>
    </row>
    <row r="2439" spans="325:327">
      <c r="LM2439" t="str">
        <v/>
      </c>
      <c r="LN2439" t="str">
        <v/>
      </c>
      <c r="LO2439" t="str">
        <v/>
      </c>
    </row>
    <row r="2440" spans="325:327">
      <c r="LM2440" t="str">
        <v/>
      </c>
      <c r="LN2440" t="str">
        <v/>
      </c>
      <c r="LO2440" t="str">
        <v/>
      </c>
    </row>
    <row r="2441" spans="325:327">
      <c r="LM2441" t="str">
        <v/>
      </c>
      <c r="LN2441" t="str">
        <v/>
      </c>
      <c r="LO2441" t="str">
        <v/>
      </c>
    </row>
    <row r="2442" spans="325:327">
      <c r="LM2442" t="str">
        <v/>
      </c>
      <c r="LN2442" t="str">
        <v/>
      </c>
      <c r="LO2442" t="str">
        <v/>
      </c>
    </row>
    <row r="2443" spans="325:327">
      <c r="LM2443" t="str">
        <v/>
      </c>
      <c r="LN2443" t="str">
        <v/>
      </c>
      <c r="LO2443" t="str">
        <v/>
      </c>
    </row>
    <row r="2444" spans="325:327">
      <c r="LM2444" t="str">
        <v/>
      </c>
      <c r="LN2444" t="str">
        <v/>
      </c>
      <c r="LO2444" t="str">
        <v/>
      </c>
    </row>
    <row r="2445" spans="325:327">
      <c r="LM2445" t="str">
        <v/>
      </c>
      <c r="LN2445" t="str">
        <v/>
      </c>
      <c r="LO2445" t="str">
        <v/>
      </c>
    </row>
    <row r="2446" spans="325:327">
      <c r="LM2446" t="str">
        <v/>
      </c>
      <c r="LN2446" t="str">
        <v/>
      </c>
      <c r="LO2446" t="str">
        <v/>
      </c>
    </row>
    <row r="2447" spans="325:327">
      <c r="LM2447" t="str">
        <v/>
      </c>
      <c r="LN2447" t="str">
        <v/>
      </c>
      <c r="LO2447" t="str">
        <v/>
      </c>
    </row>
    <row r="2448" spans="325:327">
      <c r="LM2448" t="str">
        <v/>
      </c>
      <c r="LN2448" t="str">
        <v/>
      </c>
      <c r="LO2448" t="str">
        <v/>
      </c>
    </row>
    <row r="2449" spans="325:327">
      <c r="LM2449" t="str">
        <v/>
      </c>
      <c r="LN2449" t="str">
        <v/>
      </c>
      <c r="LO2449" t="str">
        <v/>
      </c>
    </row>
    <row r="2450" spans="325:327">
      <c r="LM2450" t="str">
        <v/>
      </c>
      <c r="LN2450" t="str">
        <v/>
      </c>
      <c r="LO2450" t="str">
        <v/>
      </c>
    </row>
    <row r="2451" spans="325:327">
      <c r="LM2451" t="str">
        <v/>
      </c>
      <c r="LN2451" t="str">
        <v/>
      </c>
      <c r="LO2451" t="str">
        <v/>
      </c>
    </row>
    <row r="2452" spans="325:327">
      <c r="LM2452" t="str">
        <v/>
      </c>
      <c r="LN2452" t="str">
        <v/>
      </c>
      <c r="LO2452" t="str">
        <v/>
      </c>
    </row>
    <row r="2453" spans="325:327">
      <c r="LM2453" t="str">
        <v/>
      </c>
      <c r="LN2453" t="str">
        <v/>
      </c>
      <c r="LO2453" t="str">
        <v/>
      </c>
    </row>
    <row r="2454" spans="325:327">
      <c r="LM2454" t="str">
        <v/>
      </c>
      <c r="LN2454" t="str">
        <v/>
      </c>
      <c r="LO2454" t="str">
        <v/>
      </c>
    </row>
    <row r="2455" spans="325:327">
      <c r="LM2455" t="str">
        <v/>
      </c>
      <c r="LN2455" t="str">
        <v/>
      </c>
      <c r="LO2455" t="str">
        <v/>
      </c>
    </row>
    <row r="2456" spans="325:327">
      <c r="LM2456" t="str">
        <v/>
      </c>
      <c r="LN2456" t="str">
        <v/>
      </c>
      <c r="LO2456" t="str">
        <v/>
      </c>
    </row>
    <row r="2457" spans="325:327">
      <c r="LM2457" t="str">
        <v/>
      </c>
      <c r="LN2457" t="str">
        <v/>
      </c>
      <c r="LO2457" t="str">
        <v/>
      </c>
    </row>
    <row r="2458" spans="325:327">
      <c r="LM2458" t="str">
        <v/>
      </c>
      <c r="LN2458" t="str">
        <v/>
      </c>
      <c r="LO2458" t="str">
        <v/>
      </c>
    </row>
    <row r="2459" spans="325:327">
      <c r="LM2459" t="str">
        <v/>
      </c>
      <c r="LN2459" t="str">
        <v/>
      </c>
      <c r="LO2459" t="str">
        <v/>
      </c>
    </row>
    <row r="2460" spans="325:327">
      <c r="LM2460" t="str">
        <v/>
      </c>
      <c r="LN2460" t="str">
        <v/>
      </c>
      <c r="LO2460" t="str">
        <v/>
      </c>
    </row>
    <row r="2461" spans="325:327">
      <c r="LM2461" t="str">
        <v/>
      </c>
      <c r="LN2461" t="str">
        <v/>
      </c>
      <c r="LO2461" t="str">
        <v/>
      </c>
    </row>
    <row r="2462" spans="325:327">
      <c r="LM2462" t="str">
        <v/>
      </c>
      <c r="LN2462" t="str">
        <v/>
      </c>
      <c r="LO2462" t="str">
        <v/>
      </c>
    </row>
    <row r="2463" spans="325:327">
      <c r="LM2463" t="str">
        <v/>
      </c>
      <c r="LN2463" t="str">
        <v/>
      </c>
      <c r="LO2463" t="str">
        <v/>
      </c>
    </row>
    <row r="2464" spans="325:327">
      <c r="LM2464" t="str">
        <v/>
      </c>
      <c r="LN2464" t="str">
        <v/>
      </c>
      <c r="LO2464" t="str">
        <v/>
      </c>
    </row>
    <row r="2465" spans="325:327">
      <c r="LM2465" t="str">
        <v/>
      </c>
      <c r="LN2465" t="str">
        <v/>
      </c>
      <c r="LO2465" t="str">
        <v/>
      </c>
    </row>
    <row r="2466" spans="325:327">
      <c r="LM2466" t="str">
        <v/>
      </c>
      <c r="LN2466" t="str">
        <v/>
      </c>
      <c r="LO2466" t="str">
        <v/>
      </c>
    </row>
    <row r="2467" spans="325:327">
      <c r="LM2467" t="str">
        <v/>
      </c>
      <c r="LN2467" t="str">
        <v/>
      </c>
      <c r="LO2467" t="str">
        <v/>
      </c>
    </row>
    <row r="2468" spans="325:327">
      <c r="LM2468" t="str">
        <v/>
      </c>
      <c r="LN2468" t="str">
        <v/>
      </c>
      <c r="LO2468" t="str">
        <v/>
      </c>
    </row>
    <row r="2469" spans="325:327">
      <c r="LM2469" t="str">
        <v/>
      </c>
      <c r="LN2469" t="str">
        <v/>
      </c>
      <c r="LO2469" t="str">
        <v/>
      </c>
    </row>
    <row r="2470" spans="325:327">
      <c r="LM2470" t="str">
        <v/>
      </c>
      <c r="LN2470" t="str">
        <v/>
      </c>
      <c r="LO2470" t="str">
        <v/>
      </c>
    </row>
    <row r="2471" spans="325:327">
      <c r="LM2471" t="str">
        <v/>
      </c>
      <c r="LN2471" t="str">
        <v/>
      </c>
      <c r="LO2471" t="str">
        <v/>
      </c>
    </row>
    <row r="2472" spans="325:327">
      <c r="LM2472" t="str">
        <v/>
      </c>
      <c r="LN2472" t="str">
        <v/>
      </c>
      <c r="LO2472" t="str">
        <v/>
      </c>
    </row>
    <row r="2473" spans="325:327">
      <c r="LM2473" t="str">
        <v/>
      </c>
      <c r="LN2473" t="str">
        <v/>
      </c>
      <c r="LO2473" t="str">
        <v/>
      </c>
    </row>
    <row r="2474" spans="325:327">
      <c r="LM2474" t="str">
        <v/>
      </c>
      <c r="LN2474" t="str">
        <v/>
      </c>
      <c r="LO2474" t="str">
        <v/>
      </c>
    </row>
    <row r="2475" spans="325:327">
      <c r="LM2475" t="str">
        <v/>
      </c>
      <c r="LN2475" t="str">
        <v/>
      </c>
      <c r="LO2475" t="str">
        <v/>
      </c>
    </row>
    <row r="2476" spans="325:327">
      <c r="LM2476" t="str">
        <v/>
      </c>
      <c r="LN2476" t="str">
        <v/>
      </c>
      <c r="LO2476" t="str">
        <v/>
      </c>
    </row>
    <row r="2477" spans="325:327">
      <c r="LM2477" t="str">
        <v/>
      </c>
      <c r="LN2477" t="str">
        <v/>
      </c>
      <c r="LO2477" t="str">
        <v/>
      </c>
    </row>
    <row r="2478" spans="325:327">
      <c r="LM2478" t="str">
        <v/>
      </c>
      <c r="LN2478" t="str">
        <v/>
      </c>
      <c r="LO2478" t="str">
        <v/>
      </c>
    </row>
    <row r="2479" spans="325:327">
      <c r="LM2479" t="str">
        <v/>
      </c>
      <c r="LN2479" t="str">
        <v/>
      </c>
      <c r="LO2479" t="str">
        <v/>
      </c>
    </row>
    <row r="2480" spans="325:327">
      <c r="LM2480" t="str">
        <v/>
      </c>
      <c r="LN2480" t="str">
        <v/>
      </c>
      <c r="LO2480" t="str">
        <v/>
      </c>
    </row>
    <row r="2481" spans="325:327">
      <c r="LM2481" t="str">
        <v/>
      </c>
      <c r="LN2481" t="str">
        <v/>
      </c>
      <c r="LO2481" t="str">
        <v/>
      </c>
    </row>
    <row r="2482" spans="325:327">
      <c r="LM2482" t="str">
        <v/>
      </c>
      <c r="LN2482" t="str">
        <v/>
      </c>
      <c r="LO2482" t="str">
        <v/>
      </c>
    </row>
    <row r="2483" spans="325:327">
      <c r="LM2483" t="str">
        <v/>
      </c>
      <c r="LN2483" t="str">
        <v/>
      </c>
      <c r="LO2483" t="str">
        <v/>
      </c>
    </row>
    <row r="2484" spans="325:327">
      <c r="LM2484" t="str">
        <v/>
      </c>
      <c r="LN2484" t="str">
        <v/>
      </c>
      <c r="LO2484" t="str">
        <v/>
      </c>
    </row>
    <row r="2485" spans="325:327">
      <c r="LM2485" t="str">
        <v/>
      </c>
      <c r="LN2485" t="str">
        <v/>
      </c>
      <c r="LO2485" t="str">
        <v/>
      </c>
    </row>
    <row r="2486" spans="325:327">
      <c r="LM2486" t="str">
        <v/>
      </c>
      <c r="LN2486" t="str">
        <v/>
      </c>
      <c r="LO2486" t="str">
        <v/>
      </c>
    </row>
    <row r="2487" spans="325:327">
      <c r="LM2487" t="str">
        <v/>
      </c>
      <c r="LN2487" t="str">
        <v/>
      </c>
      <c r="LO2487" t="str">
        <v/>
      </c>
    </row>
    <row r="2488" spans="325:327">
      <c r="LM2488" t="str">
        <v/>
      </c>
      <c r="LN2488" t="str">
        <v/>
      </c>
      <c r="LO2488" t="str">
        <v/>
      </c>
    </row>
    <row r="2489" spans="325:327">
      <c r="LM2489" t="str">
        <v/>
      </c>
      <c r="LN2489" t="str">
        <v/>
      </c>
      <c r="LO2489" t="str">
        <v/>
      </c>
    </row>
    <row r="2490" spans="325:327">
      <c r="LM2490" t="str">
        <v/>
      </c>
      <c r="LN2490" t="str">
        <v/>
      </c>
      <c r="LO2490" t="str">
        <v/>
      </c>
    </row>
    <row r="2491" spans="325:327">
      <c r="LM2491" t="str">
        <v/>
      </c>
      <c r="LN2491" t="str">
        <v/>
      </c>
      <c r="LO2491" t="str">
        <v/>
      </c>
    </row>
    <row r="2492" spans="325:327">
      <c r="LM2492" t="str">
        <v/>
      </c>
      <c r="LN2492" t="str">
        <v/>
      </c>
      <c r="LO2492" t="str">
        <v/>
      </c>
    </row>
    <row r="2493" spans="325:327">
      <c r="LM2493" t="str">
        <v/>
      </c>
      <c r="LN2493" t="str">
        <v/>
      </c>
      <c r="LO2493" t="str">
        <v/>
      </c>
    </row>
    <row r="2494" spans="325:327">
      <c r="LM2494" t="str">
        <v/>
      </c>
      <c r="LN2494" t="str">
        <v/>
      </c>
      <c r="LO2494" t="str">
        <v/>
      </c>
    </row>
    <row r="2495" spans="325:327">
      <c r="LM2495" t="str">
        <v/>
      </c>
      <c r="LN2495" t="str">
        <v/>
      </c>
      <c r="LO2495" t="str">
        <v/>
      </c>
    </row>
    <row r="2496" spans="325:327">
      <c r="LM2496" t="str">
        <v/>
      </c>
      <c r="LN2496" t="str">
        <v/>
      </c>
      <c r="LO2496" t="str">
        <v/>
      </c>
    </row>
    <row r="2497" spans="325:327">
      <c r="LM2497" t="str">
        <v/>
      </c>
      <c r="LN2497" t="str">
        <v/>
      </c>
      <c r="LO2497" t="str">
        <v/>
      </c>
    </row>
    <row r="2498" spans="325:327">
      <c r="LM2498" t="str">
        <v/>
      </c>
      <c r="LN2498" t="str">
        <v/>
      </c>
      <c r="LO2498" t="str">
        <v/>
      </c>
    </row>
    <row r="2499" spans="325:327">
      <c r="LM2499" t="str">
        <v/>
      </c>
      <c r="LN2499" t="str">
        <v/>
      </c>
      <c r="LO2499" t="str">
        <v/>
      </c>
    </row>
    <row r="2500" spans="325:327">
      <c r="LM2500" t="str">
        <v/>
      </c>
      <c r="LN2500" t="str">
        <v/>
      </c>
      <c r="LO2500" t="str">
        <v/>
      </c>
    </row>
    <row r="2501" spans="325:327">
      <c r="LM2501" t="str">
        <v/>
      </c>
      <c r="LN2501" t="str">
        <v/>
      </c>
      <c r="LO2501" t="str">
        <v/>
      </c>
    </row>
    <row r="2502" spans="325:327">
      <c r="LM2502" t="str">
        <v/>
      </c>
      <c r="LN2502" t="str">
        <v/>
      </c>
      <c r="LO2502" t="str">
        <v/>
      </c>
    </row>
    <row r="2503" spans="325:327">
      <c r="LM2503" t="str">
        <v/>
      </c>
      <c r="LN2503" t="str">
        <v/>
      </c>
      <c r="LO2503" t="str">
        <v/>
      </c>
    </row>
    <row r="2504" spans="325:327">
      <c r="LM2504" t="str">
        <v/>
      </c>
      <c r="LN2504" t="str">
        <v/>
      </c>
      <c r="LO2504" t="str">
        <v/>
      </c>
    </row>
    <row r="2505" spans="325:327">
      <c r="LM2505" t="str">
        <v/>
      </c>
      <c r="LN2505" t="str">
        <v/>
      </c>
      <c r="LO2505" t="str">
        <v/>
      </c>
    </row>
    <row r="2506" spans="325:327">
      <c r="LM2506" t="str">
        <v/>
      </c>
      <c r="LN2506" t="str">
        <v/>
      </c>
      <c r="LO2506" t="str">
        <v/>
      </c>
    </row>
    <row r="2507" spans="325:327">
      <c r="LM2507" t="str">
        <v/>
      </c>
      <c r="LN2507" t="str">
        <v/>
      </c>
      <c r="LO2507" t="str">
        <v/>
      </c>
    </row>
    <row r="2508" spans="325:327">
      <c r="LM2508" t="str">
        <v/>
      </c>
      <c r="LN2508" t="str">
        <v/>
      </c>
      <c r="LO2508" t="str">
        <v/>
      </c>
    </row>
    <row r="2509" spans="325:327">
      <c r="LM2509" t="str">
        <v/>
      </c>
      <c r="LN2509" t="str">
        <v/>
      </c>
      <c r="LO2509" t="str">
        <v/>
      </c>
    </row>
    <row r="2510" spans="325:327">
      <c r="LM2510" t="str">
        <v/>
      </c>
      <c r="LN2510" t="str">
        <v/>
      </c>
      <c r="LO2510" t="str">
        <v/>
      </c>
    </row>
    <row r="2511" spans="325:327">
      <c r="LM2511" t="str">
        <v/>
      </c>
      <c r="LN2511" t="str">
        <v/>
      </c>
      <c r="LO2511" t="str">
        <v/>
      </c>
    </row>
    <row r="2512" spans="325:327">
      <c r="LM2512" t="str">
        <v/>
      </c>
      <c r="LN2512" t="str">
        <v/>
      </c>
      <c r="LO2512" t="str">
        <v/>
      </c>
    </row>
    <row r="2513" spans="325:327">
      <c r="LM2513" t="str">
        <v/>
      </c>
      <c r="LN2513" t="str">
        <v/>
      </c>
      <c r="LO2513" t="str">
        <v/>
      </c>
    </row>
    <row r="2514" spans="325:327">
      <c r="LM2514" t="str">
        <v/>
      </c>
      <c r="LN2514" t="str">
        <v/>
      </c>
      <c r="LO2514" t="str">
        <v/>
      </c>
    </row>
    <row r="2515" spans="325:327">
      <c r="LM2515" t="str">
        <v/>
      </c>
      <c r="LN2515" t="str">
        <v/>
      </c>
      <c r="LO2515" t="str">
        <v/>
      </c>
    </row>
    <row r="2516" spans="325:327">
      <c r="LM2516" t="str">
        <v/>
      </c>
      <c r="LN2516" t="str">
        <v/>
      </c>
      <c r="LO2516" t="str">
        <v/>
      </c>
    </row>
    <row r="2517" spans="325:327">
      <c r="LM2517" t="str">
        <v/>
      </c>
      <c r="LN2517" t="str">
        <v/>
      </c>
      <c r="LO2517" t="str">
        <v/>
      </c>
    </row>
    <row r="2518" spans="325:327">
      <c r="LM2518" t="str">
        <v/>
      </c>
      <c r="LN2518" t="str">
        <v/>
      </c>
      <c r="LO2518" t="str">
        <v/>
      </c>
    </row>
    <row r="2519" spans="325:327">
      <c r="LM2519" t="str">
        <v/>
      </c>
      <c r="LN2519" t="str">
        <v/>
      </c>
      <c r="LO2519" t="str">
        <v/>
      </c>
    </row>
    <row r="2520" spans="325:327">
      <c r="LM2520" t="str">
        <v/>
      </c>
      <c r="LN2520" t="str">
        <v/>
      </c>
      <c r="LO2520" t="str">
        <v/>
      </c>
    </row>
    <row r="2521" spans="325:327">
      <c r="LM2521" t="str">
        <v/>
      </c>
      <c r="LN2521" t="str">
        <v/>
      </c>
      <c r="LO2521" t="str">
        <v/>
      </c>
    </row>
    <row r="2522" spans="325:327">
      <c r="LM2522" t="str">
        <v/>
      </c>
      <c r="LN2522" t="str">
        <v/>
      </c>
      <c r="LO2522" t="str">
        <v/>
      </c>
    </row>
    <row r="2523" spans="325:327">
      <c r="LM2523" t="str">
        <v/>
      </c>
      <c r="LN2523" t="str">
        <v/>
      </c>
      <c r="LO2523" t="str">
        <v/>
      </c>
    </row>
    <row r="2524" spans="325:327">
      <c r="LM2524" t="str">
        <v/>
      </c>
      <c r="LN2524" t="str">
        <v/>
      </c>
      <c r="LO2524" t="str">
        <v/>
      </c>
    </row>
    <row r="2525" spans="325:327">
      <c r="LM2525" t="str">
        <v/>
      </c>
      <c r="LN2525" t="str">
        <v/>
      </c>
      <c r="LO2525" t="str">
        <v/>
      </c>
    </row>
    <row r="2526" spans="325:327">
      <c r="LM2526" t="str">
        <v/>
      </c>
      <c r="LN2526" t="str">
        <v/>
      </c>
      <c r="LO2526" t="str">
        <v/>
      </c>
    </row>
    <row r="2527" spans="325:327">
      <c r="LM2527" t="str">
        <v/>
      </c>
      <c r="LN2527" t="str">
        <v/>
      </c>
      <c r="LO2527" t="str">
        <v/>
      </c>
    </row>
    <row r="2528" spans="325:327">
      <c r="LM2528" t="str">
        <v/>
      </c>
      <c r="LN2528" t="str">
        <v/>
      </c>
      <c r="LO2528" t="str">
        <v/>
      </c>
    </row>
    <row r="2529" spans="325:327">
      <c r="LM2529" t="str">
        <v/>
      </c>
      <c r="LN2529" t="str">
        <v/>
      </c>
      <c r="LO2529" t="str">
        <v/>
      </c>
    </row>
    <row r="2530" spans="325:327">
      <c r="LM2530" t="str">
        <v/>
      </c>
      <c r="LN2530" t="str">
        <v/>
      </c>
      <c r="LO2530" t="str">
        <v/>
      </c>
    </row>
    <row r="2531" spans="325:327">
      <c r="LM2531" t="str">
        <v/>
      </c>
      <c r="LN2531" t="str">
        <v/>
      </c>
      <c r="LO2531" t="str">
        <v/>
      </c>
    </row>
    <row r="2532" spans="325:327">
      <c r="LM2532" t="str">
        <v/>
      </c>
      <c r="LN2532" t="str">
        <v/>
      </c>
      <c r="LO2532" t="str">
        <v/>
      </c>
    </row>
    <row r="2533" spans="325:327">
      <c r="LM2533" t="str">
        <v/>
      </c>
      <c r="LN2533" t="str">
        <v/>
      </c>
      <c r="LO2533" t="str">
        <v/>
      </c>
    </row>
    <row r="2534" spans="325:327">
      <c r="LM2534" t="str">
        <v/>
      </c>
      <c r="LN2534" t="str">
        <v/>
      </c>
      <c r="LO2534" t="str">
        <v/>
      </c>
    </row>
    <row r="2535" spans="325:327">
      <c r="LM2535" t="str">
        <v/>
      </c>
      <c r="LN2535" t="str">
        <v/>
      </c>
      <c r="LO2535" t="str">
        <v/>
      </c>
    </row>
    <row r="2536" spans="325:327">
      <c r="LM2536" t="str">
        <v/>
      </c>
      <c r="LN2536" t="str">
        <v/>
      </c>
      <c r="LO2536" t="str">
        <v/>
      </c>
    </row>
    <row r="2537" spans="325:327">
      <c r="LM2537" t="str">
        <v/>
      </c>
      <c r="LN2537" t="str">
        <v/>
      </c>
      <c r="LO2537" t="str">
        <v/>
      </c>
    </row>
    <row r="2538" spans="325:327">
      <c r="LM2538" t="str">
        <v/>
      </c>
      <c r="LN2538" t="str">
        <v/>
      </c>
      <c r="LO2538" t="str">
        <v/>
      </c>
    </row>
    <row r="2539" spans="325:327">
      <c r="LM2539" t="str">
        <v/>
      </c>
      <c r="LN2539" t="str">
        <v/>
      </c>
      <c r="LO2539" t="str">
        <v/>
      </c>
    </row>
    <row r="2540" spans="325:327">
      <c r="LM2540" t="str">
        <v/>
      </c>
      <c r="LN2540" t="str">
        <v/>
      </c>
      <c r="LO2540" t="str">
        <v/>
      </c>
    </row>
    <row r="2541" spans="325:327">
      <c r="LM2541" t="str">
        <v/>
      </c>
      <c r="LN2541" t="str">
        <v/>
      </c>
      <c r="LO2541" t="str">
        <v/>
      </c>
    </row>
    <row r="2542" spans="325:327">
      <c r="LM2542" t="str">
        <v/>
      </c>
      <c r="LN2542" t="str">
        <v/>
      </c>
      <c r="LO2542" t="str">
        <v/>
      </c>
    </row>
    <row r="2543" spans="325:327">
      <c r="LM2543" t="str">
        <v/>
      </c>
      <c r="LN2543" t="str">
        <v/>
      </c>
      <c r="LO2543" t="str">
        <v/>
      </c>
    </row>
    <row r="2544" spans="325:327">
      <c r="LM2544" t="str">
        <v/>
      </c>
      <c r="LN2544" t="str">
        <v/>
      </c>
      <c r="LO2544" t="str">
        <v/>
      </c>
    </row>
    <row r="2545" spans="325:327">
      <c r="LM2545" t="str">
        <v/>
      </c>
      <c r="LN2545" t="str">
        <v/>
      </c>
      <c r="LO2545" t="str">
        <v/>
      </c>
    </row>
    <row r="2546" spans="325:327">
      <c r="LM2546" t="str">
        <v/>
      </c>
      <c r="LN2546" t="str">
        <v/>
      </c>
      <c r="LO2546" t="str">
        <v/>
      </c>
    </row>
    <row r="2547" spans="325:327">
      <c r="LM2547" t="str">
        <v/>
      </c>
      <c r="LN2547" t="str">
        <v/>
      </c>
      <c r="LO2547" t="str">
        <v/>
      </c>
    </row>
    <row r="2548" spans="325:327">
      <c r="LM2548" t="str">
        <v/>
      </c>
      <c r="LN2548" t="str">
        <v/>
      </c>
      <c r="LO2548" t="str">
        <v/>
      </c>
    </row>
    <row r="2549" spans="325:327">
      <c r="LM2549" t="str">
        <v/>
      </c>
      <c r="LN2549" t="str">
        <v/>
      </c>
      <c r="LO2549" t="str">
        <v/>
      </c>
    </row>
    <row r="2550" spans="325:327">
      <c r="LM2550" t="str">
        <v/>
      </c>
      <c r="LN2550" t="str">
        <v/>
      </c>
      <c r="LO2550" t="str">
        <v/>
      </c>
    </row>
    <row r="2551" spans="325:327">
      <c r="LM2551" t="str">
        <v/>
      </c>
      <c r="LN2551" t="str">
        <v/>
      </c>
      <c r="LO2551" t="str">
        <v/>
      </c>
    </row>
    <row r="2552" spans="325:327">
      <c r="LM2552" t="str">
        <v/>
      </c>
      <c r="LN2552" t="str">
        <v/>
      </c>
      <c r="LO2552" t="str">
        <v/>
      </c>
    </row>
    <row r="2553" spans="325:327">
      <c r="LM2553" t="str">
        <v/>
      </c>
      <c r="LN2553" t="str">
        <v/>
      </c>
      <c r="LO2553" t="str">
        <v/>
      </c>
    </row>
    <row r="2554" spans="325:327">
      <c r="LM2554" t="str">
        <v/>
      </c>
      <c r="LN2554" t="str">
        <v/>
      </c>
      <c r="LO2554" t="str">
        <v/>
      </c>
    </row>
    <row r="2555" spans="325:327">
      <c r="LM2555" t="str">
        <v/>
      </c>
      <c r="LN2555" t="str">
        <v/>
      </c>
      <c r="LO2555" t="str">
        <v/>
      </c>
    </row>
    <row r="2556" spans="325:327">
      <c r="LM2556" t="str">
        <v/>
      </c>
      <c r="LN2556" t="str">
        <v/>
      </c>
      <c r="LO2556" t="str">
        <v/>
      </c>
    </row>
    <row r="2557" spans="325:327">
      <c r="LM2557" t="str">
        <v/>
      </c>
      <c r="LN2557" t="str">
        <v/>
      </c>
      <c r="LO2557" t="str">
        <v/>
      </c>
    </row>
    <row r="2558" spans="325:327">
      <c r="LM2558" t="str">
        <v/>
      </c>
      <c r="LN2558" t="str">
        <v/>
      </c>
      <c r="LO2558" t="str">
        <v/>
      </c>
    </row>
    <row r="2559" spans="325:327">
      <c r="LM2559" t="str">
        <v/>
      </c>
      <c r="LN2559" t="str">
        <v/>
      </c>
      <c r="LO2559" t="str">
        <v/>
      </c>
    </row>
    <row r="2560" spans="325:327">
      <c r="LM2560" t="str">
        <v/>
      </c>
      <c r="LN2560" t="str">
        <v/>
      </c>
      <c r="LO2560" t="str">
        <v/>
      </c>
    </row>
    <row r="2561" spans="325:327">
      <c r="LM2561" t="str">
        <v/>
      </c>
      <c r="LN2561" t="str">
        <v/>
      </c>
      <c r="LO2561" t="str">
        <v/>
      </c>
    </row>
    <row r="2562" spans="325:327">
      <c r="LM2562" t="str">
        <v/>
      </c>
      <c r="LN2562" t="str">
        <v/>
      </c>
      <c r="LO2562" t="str">
        <v/>
      </c>
    </row>
    <row r="2563" spans="325:327">
      <c r="LM2563" t="str">
        <v/>
      </c>
      <c r="LN2563" t="str">
        <v/>
      </c>
      <c r="LO2563" t="str">
        <v/>
      </c>
    </row>
    <row r="2564" spans="325:327">
      <c r="LM2564" t="str">
        <v/>
      </c>
      <c r="LN2564" t="str">
        <v/>
      </c>
      <c r="LO2564" t="str">
        <v/>
      </c>
    </row>
    <row r="2565" spans="325:327">
      <c r="LM2565" t="str">
        <v/>
      </c>
      <c r="LN2565" t="str">
        <v/>
      </c>
      <c r="LO2565" t="str">
        <v/>
      </c>
    </row>
    <row r="2566" spans="325:327">
      <c r="LM2566" t="str">
        <v/>
      </c>
      <c r="LN2566" t="str">
        <v/>
      </c>
      <c r="LO2566" t="str">
        <v/>
      </c>
    </row>
    <row r="2567" spans="325:327">
      <c r="LM2567" t="str">
        <v/>
      </c>
      <c r="LN2567" t="str">
        <v/>
      </c>
      <c r="LO2567" t="str">
        <v/>
      </c>
    </row>
    <row r="2568" spans="325:327">
      <c r="LM2568" t="str">
        <v/>
      </c>
      <c r="LN2568" t="str">
        <v/>
      </c>
      <c r="LO2568" t="str">
        <v/>
      </c>
    </row>
    <row r="2569" spans="325:327">
      <c r="LM2569" t="str">
        <v/>
      </c>
      <c r="LN2569" t="str">
        <v/>
      </c>
      <c r="LO2569" t="str">
        <v/>
      </c>
    </row>
    <row r="2570" spans="325:327">
      <c r="LM2570" t="str">
        <v/>
      </c>
      <c r="LN2570" t="str">
        <v/>
      </c>
      <c r="LO2570" t="str">
        <v/>
      </c>
    </row>
    <row r="2571" spans="325:327">
      <c r="LM2571" t="str">
        <v/>
      </c>
      <c r="LN2571" t="str">
        <v/>
      </c>
      <c r="LO2571" t="str">
        <v/>
      </c>
    </row>
    <row r="2572" spans="325:327">
      <c r="LM2572" t="str">
        <v/>
      </c>
      <c r="LN2572" t="str">
        <v/>
      </c>
      <c r="LO2572" t="str">
        <v/>
      </c>
    </row>
    <row r="2573" spans="325:327">
      <c r="LM2573" t="str">
        <v/>
      </c>
      <c r="LN2573" t="str">
        <v/>
      </c>
      <c r="LO2573" t="str">
        <v/>
      </c>
    </row>
    <row r="2574" spans="325:327">
      <c r="LM2574" t="str">
        <v/>
      </c>
      <c r="LN2574" t="str">
        <v/>
      </c>
      <c r="LO2574" t="str">
        <v/>
      </c>
    </row>
    <row r="2575" spans="325:327">
      <c r="LM2575" t="str">
        <v/>
      </c>
      <c r="LN2575" t="str">
        <v/>
      </c>
      <c r="LO2575" t="str">
        <v/>
      </c>
    </row>
    <row r="2576" spans="325:327">
      <c r="LM2576" t="str">
        <v/>
      </c>
      <c r="LN2576" t="str">
        <v/>
      </c>
      <c r="LO2576" t="str">
        <v/>
      </c>
    </row>
    <row r="2577" spans="325:327">
      <c r="LM2577" t="str">
        <v/>
      </c>
      <c r="LN2577" t="str">
        <v/>
      </c>
      <c r="LO2577" t="str">
        <v/>
      </c>
    </row>
    <row r="2578" spans="325:327">
      <c r="LM2578" t="str">
        <v/>
      </c>
      <c r="LN2578" t="str">
        <v/>
      </c>
      <c r="LO2578" t="str">
        <v/>
      </c>
    </row>
    <row r="2579" spans="325:327">
      <c r="LM2579" t="str">
        <v/>
      </c>
      <c r="LN2579" t="str">
        <v/>
      </c>
      <c r="LO2579" t="str">
        <v/>
      </c>
    </row>
    <row r="2580" spans="325:327">
      <c r="LM2580" t="str">
        <v/>
      </c>
      <c r="LN2580" t="str">
        <v/>
      </c>
      <c r="LO2580" t="str">
        <v/>
      </c>
    </row>
    <row r="2581" spans="325:327">
      <c r="LM2581" t="str">
        <v/>
      </c>
      <c r="LN2581" t="str">
        <v/>
      </c>
      <c r="LO2581" t="str">
        <v/>
      </c>
    </row>
    <row r="2582" spans="325:327">
      <c r="LM2582" t="str">
        <v/>
      </c>
      <c r="LN2582" t="str">
        <v/>
      </c>
      <c r="LO2582" t="str">
        <v/>
      </c>
    </row>
    <row r="2583" spans="325:327">
      <c r="LM2583" t="str">
        <v/>
      </c>
      <c r="LN2583" t="str">
        <v/>
      </c>
      <c r="LO2583" t="str">
        <v/>
      </c>
    </row>
    <row r="2584" spans="325:327">
      <c r="LM2584" t="str">
        <v/>
      </c>
      <c r="LN2584" t="str">
        <v/>
      </c>
      <c r="LO2584" t="str">
        <v/>
      </c>
    </row>
    <row r="2585" spans="325:327">
      <c r="LM2585" t="str">
        <v/>
      </c>
      <c r="LN2585" t="str">
        <v/>
      </c>
      <c r="LO2585" t="str">
        <v/>
      </c>
    </row>
    <row r="2586" spans="325:327">
      <c r="LM2586" t="str">
        <v/>
      </c>
      <c r="LN2586" t="str">
        <v/>
      </c>
      <c r="LO2586" t="str">
        <v/>
      </c>
    </row>
    <row r="2587" spans="325:327">
      <c r="LM2587" t="str">
        <v/>
      </c>
      <c r="LN2587" t="str">
        <v/>
      </c>
      <c r="LO2587" t="str">
        <v/>
      </c>
    </row>
    <row r="2588" spans="325:327">
      <c r="LM2588" t="str">
        <v/>
      </c>
      <c r="LN2588" t="str">
        <v/>
      </c>
      <c r="LO2588" t="str">
        <v/>
      </c>
    </row>
    <row r="2589" spans="325:327">
      <c r="LM2589" t="str">
        <v/>
      </c>
      <c r="LN2589" t="str">
        <v/>
      </c>
      <c r="LO2589" t="str">
        <v/>
      </c>
    </row>
    <row r="2590" spans="325:327">
      <c r="LM2590" t="str">
        <v/>
      </c>
      <c r="LN2590" t="str">
        <v/>
      </c>
      <c r="LO2590" t="str">
        <v/>
      </c>
    </row>
    <row r="2591" spans="325:327">
      <c r="LM2591" t="str">
        <v/>
      </c>
      <c r="LN2591" t="str">
        <v/>
      </c>
      <c r="LO2591" t="str">
        <v/>
      </c>
    </row>
    <row r="2592" spans="325:327">
      <c r="LM2592" t="str">
        <v/>
      </c>
      <c r="LN2592" t="str">
        <v/>
      </c>
      <c r="LO2592" t="str">
        <v/>
      </c>
    </row>
    <row r="2593" spans="325:327">
      <c r="LM2593" t="str">
        <v/>
      </c>
      <c r="LN2593" t="str">
        <v/>
      </c>
      <c r="LO2593" t="str">
        <v/>
      </c>
    </row>
    <row r="2594" spans="325:327">
      <c r="LM2594" t="str">
        <v/>
      </c>
      <c r="LN2594" t="str">
        <v/>
      </c>
      <c r="LO2594" t="str">
        <v/>
      </c>
    </row>
    <row r="2595" spans="325:327">
      <c r="LM2595" t="str">
        <v/>
      </c>
      <c r="LN2595" t="str">
        <v/>
      </c>
      <c r="LO2595" t="str">
        <v/>
      </c>
    </row>
    <row r="2596" spans="325:327">
      <c r="LM2596" t="str">
        <v/>
      </c>
      <c r="LN2596" t="str">
        <v/>
      </c>
      <c r="LO2596" t="str">
        <v/>
      </c>
    </row>
    <row r="2597" spans="325:327">
      <c r="LM2597" t="str">
        <v/>
      </c>
      <c r="LN2597" t="str">
        <v/>
      </c>
      <c r="LO2597" t="str">
        <v/>
      </c>
    </row>
    <row r="2598" spans="325:327">
      <c r="LM2598" t="str">
        <v/>
      </c>
      <c r="LN2598" t="str">
        <v/>
      </c>
      <c r="LO2598" t="str">
        <v/>
      </c>
    </row>
    <row r="2599" spans="325:327">
      <c r="LM2599" t="str">
        <v/>
      </c>
      <c r="LN2599" t="str">
        <v/>
      </c>
      <c r="LO2599" t="str">
        <v/>
      </c>
    </row>
    <row r="2600" spans="325:327">
      <c r="LM2600" t="str">
        <v/>
      </c>
      <c r="LN2600" t="str">
        <v/>
      </c>
      <c r="LO2600" t="str">
        <v/>
      </c>
    </row>
    <row r="2601" spans="325:327">
      <c r="LM2601" t="str">
        <v/>
      </c>
      <c r="LN2601" t="str">
        <v/>
      </c>
      <c r="LO2601" t="str">
        <v/>
      </c>
    </row>
    <row r="2602" spans="325:327">
      <c r="LM2602" t="str">
        <v/>
      </c>
      <c r="LN2602" t="str">
        <v/>
      </c>
      <c r="LO2602" t="str">
        <v/>
      </c>
    </row>
    <row r="2603" spans="325:327">
      <c r="LM2603" t="str">
        <v/>
      </c>
      <c r="LN2603" t="str">
        <v/>
      </c>
      <c r="LO2603" t="str">
        <v/>
      </c>
    </row>
    <row r="2604" spans="325:327">
      <c r="LM2604" t="str">
        <v/>
      </c>
      <c r="LN2604" t="str">
        <v/>
      </c>
      <c r="LO2604" t="str">
        <v/>
      </c>
    </row>
    <row r="2605" spans="325:327">
      <c r="LM2605" t="str">
        <v/>
      </c>
      <c r="LN2605" t="str">
        <v/>
      </c>
      <c r="LO2605" t="str">
        <v/>
      </c>
    </row>
    <row r="2606" spans="325:327">
      <c r="LM2606" t="str">
        <v/>
      </c>
      <c r="LN2606" t="str">
        <v/>
      </c>
      <c r="LO2606" t="str">
        <v/>
      </c>
    </row>
    <row r="2607" spans="325:327">
      <c r="LM2607" t="str">
        <v/>
      </c>
      <c r="LN2607" t="str">
        <v/>
      </c>
      <c r="LO2607" t="str">
        <v/>
      </c>
    </row>
    <row r="2608" spans="325:327">
      <c r="LM2608" t="str">
        <v/>
      </c>
      <c r="LN2608" t="str">
        <v/>
      </c>
      <c r="LO2608" t="str">
        <v/>
      </c>
    </row>
    <row r="2609" spans="325:327">
      <c r="LM2609" t="str">
        <v/>
      </c>
      <c r="LN2609" t="str">
        <v/>
      </c>
      <c r="LO2609" t="str">
        <v/>
      </c>
    </row>
    <row r="2610" spans="325:327">
      <c r="LM2610" t="str">
        <v/>
      </c>
      <c r="LN2610" t="str">
        <v/>
      </c>
      <c r="LO2610" t="str">
        <v/>
      </c>
    </row>
    <row r="2611" spans="325:327">
      <c r="LM2611" t="str">
        <v/>
      </c>
      <c r="LN2611" t="str">
        <v/>
      </c>
      <c r="LO2611" t="str">
        <v/>
      </c>
    </row>
    <row r="2612" spans="325:327">
      <c r="LM2612" t="str">
        <v/>
      </c>
      <c r="LN2612" t="str">
        <v/>
      </c>
      <c r="LO2612" t="str">
        <v/>
      </c>
    </row>
    <row r="2613" spans="325:327">
      <c r="LM2613" t="str">
        <v/>
      </c>
      <c r="LN2613" t="str">
        <v/>
      </c>
      <c r="LO2613" t="str">
        <v/>
      </c>
    </row>
    <row r="2614" spans="325:327">
      <c r="LM2614" t="str">
        <v/>
      </c>
      <c r="LN2614" t="str">
        <v/>
      </c>
      <c r="LO2614" t="str">
        <v/>
      </c>
    </row>
    <row r="2615" spans="325:327">
      <c r="LM2615" t="str">
        <v/>
      </c>
      <c r="LN2615" t="str">
        <v/>
      </c>
      <c r="LO2615" t="str">
        <v/>
      </c>
    </row>
    <row r="2616" spans="325:327">
      <c r="LM2616" t="str">
        <v/>
      </c>
      <c r="LN2616" t="str">
        <v/>
      </c>
      <c r="LO2616" t="str">
        <v/>
      </c>
    </row>
    <row r="2617" spans="325:327">
      <c r="LM2617" t="str">
        <v/>
      </c>
      <c r="LN2617" t="str">
        <v/>
      </c>
      <c r="LO2617" t="str">
        <v/>
      </c>
    </row>
    <row r="2618" spans="325:327">
      <c r="LM2618" t="str">
        <v/>
      </c>
      <c r="LN2618" t="str">
        <v/>
      </c>
      <c r="LO2618" t="str">
        <v/>
      </c>
    </row>
    <row r="2619" spans="325:327">
      <c r="LM2619" t="str">
        <v/>
      </c>
      <c r="LN2619" t="str">
        <v/>
      </c>
      <c r="LO2619" t="str">
        <v/>
      </c>
    </row>
    <row r="2620" spans="325:327">
      <c r="LM2620" t="str">
        <v/>
      </c>
      <c r="LN2620" t="str">
        <v/>
      </c>
      <c r="LO2620" t="str">
        <v/>
      </c>
    </row>
    <row r="2621" spans="325:327">
      <c r="LM2621" t="str">
        <v/>
      </c>
      <c r="LN2621" t="str">
        <v/>
      </c>
      <c r="LO2621" t="str">
        <v/>
      </c>
    </row>
    <row r="2622" spans="325:327">
      <c r="LM2622" t="str">
        <v/>
      </c>
      <c r="LN2622" t="str">
        <v/>
      </c>
      <c r="LO2622" t="str">
        <v/>
      </c>
    </row>
    <row r="2623" spans="325:327">
      <c r="LM2623" t="str">
        <v/>
      </c>
      <c r="LN2623" t="str">
        <v/>
      </c>
      <c r="LO2623" t="str">
        <v/>
      </c>
    </row>
    <row r="2624" spans="325:327">
      <c r="LM2624" t="str">
        <v/>
      </c>
      <c r="LN2624" t="str">
        <v/>
      </c>
      <c r="LO2624" t="str">
        <v/>
      </c>
    </row>
    <row r="2625" spans="325:327">
      <c r="LM2625" t="str">
        <v/>
      </c>
      <c r="LN2625" t="str">
        <v/>
      </c>
      <c r="LO2625" t="str">
        <v/>
      </c>
    </row>
    <row r="2626" spans="325:327">
      <c r="LM2626" t="str">
        <v/>
      </c>
      <c r="LN2626" t="str">
        <v/>
      </c>
      <c r="LO2626" t="str">
        <v/>
      </c>
    </row>
    <row r="2627" spans="325:327">
      <c r="LM2627" t="str">
        <v/>
      </c>
      <c r="LN2627" t="str">
        <v/>
      </c>
      <c r="LO2627" t="str">
        <v/>
      </c>
    </row>
    <row r="2628" spans="325:327">
      <c r="LM2628" t="str">
        <v/>
      </c>
      <c r="LN2628" t="str">
        <v/>
      </c>
      <c r="LO2628" t="str">
        <v/>
      </c>
    </row>
    <row r="2629" spans="325:327">
      <c r="LM2629" t="str">
        <v/>
      </c>
      <c r="LN2629" t="str">
        <v/>
      </c>
      <c r="LO2629" t="str">
        <v/>
      </c>
    </row>
    <row r="2630" spans="325:327">
      <c r="LM2630" t="str">
        <v/>
      </c>
      <c r="LN2630" t="str">
        <v/>
      </c>
      <c r="LO2630" t="str">
        <v/>
      </c>
    </row>
    <row r="2631" spans="325:327">
      <c r="LM2631" t="str">
        <v/>
      </c>
      <c r="LN2631" t="str">
        <v/>
      </c>
      <c r="LO2631" t="str">
        <v/>
      </c>
    </row>
    <row r="2632" spans="325:327">
      <c r="LM2632" t="str">
        <v/>
      </c>
      <c r="LN2632" t="str">
        <v/>
      </c>
      <c r="LO2632" t="str">
        <v/>
      </c>
    </row>
    <row r="2633" spans="325:327">
      <c r="LM2633" t="str">
        <v/>
      </c>
      <c r="LN2633" t="str">
        <v/>
      </c>
      <c r="LO2633" t="str">
        <v/>
      </c>
    </row>
    <row r="2634" spans="325:327">
      <c r="LM2634" t="str">
        <v/>
      </c>
      <c r="LN2634" t="str">
        <v/>
      </c>
      <c r="LO2634" t="str">
        <v/>
      </c>
    </row>
    <row r="2635" spans="325:327">
      <c r="LM2635" t="str">
        <v/>
      </c>
      <c r="LN2635" t="str">
        <v/>
      </c>
      <c r="LO2635" t="str">
        <v/>
      </c>
    </row>
    <row r="2636" spans="325:327">
      <c r="LM2636" t="str">
        <v/>
      </c>
      <c r="LN2636" t="str">
        <v/>
      </c>
      <c r="LO2636" t="str">
        <v/>
      </c>
    </row>
    <row r="2637" spans="325:327">
      <c r="LM2637" t="str">
        <v/>
      </c>
      <c r="LN2637" t="str">
        <v/>
      </c>
      <c r="LO2637" t="str">
        <v/>
      </c>
    </row>
    <row r="2638" spans="325:327">
      <c r="LM2638" t="str">
        <v/>
      </c>
      <c r="LN2638" t="str">
        <v/>
      </c>
      <c r="LO2638" t="str">
        <v/>
      </c>
    </row>
    <row r="2639" spans="325:327">
      <c r="LM2639" t="str">
        <v/>
      </c>
      <c r="LN2639" t="str">
        <v/>
      </c>
      <c r="LO2639" t="str">
        <v/>
      </c>
    </row>
    <row r="2640" spans="325:327">
      <c r="LM2640" t="str">
        <v/>
      </c>
      <c r="LN2640" t="str">
        <v/>
      </c>
      <c r="LO2640" t="str">
        <v/>
      </c>
    </row>
    <row r="2641" spans="325:327">
      <c r="LM2641" t="str">
        <v/>
      </c>
      <c r="LN2641" t="str">
        <v/>
      </c>
      <c r="LO2641" t="str">
        <v/>
      </c>
    </row>
    <row r="2642" spans="325:327">
      <c r="LM2642" t="str">
        <v/>
      </c>
      <c r="LN2642" t="str">
        <v/>
      </c>
      <c r="LO2642" t="str">
        <v/>
      </c>
    </row>
    <row r="2643" spans="325:327">
      <c r="LM2643" t="str">
        <v/>
      </c>
      <c r="LN2643" t="str">
        <v/>
      </c>
      <c r="LO2643" t="str">
        <v/>
      </c>
    </row>
    <row r="2644" spans="325:327">
      <c r="LM2644" t="str">
        <v/>
      </c>
      <c r="LN2644" t="str">
        <v/>
      </c>
      <c r="LO2644" t="str">
        <v/>
      </c>
    </row>
    <row r="2645" spans="325:327">
      <c r="LM2645" t="str">
        <v/>
      </c>
      <c r="LN2645" t="str">
        <v/>
      </c>
      <c r="LO2645" t="str">
        <v/>
      </c>
    </row>
    <row r="2646" spans="325:327">
      <c r="LM2646" t="str">
        <v/>
      </c>
      <c r="LN2646" t="str">
        <v/>
      </c>
      <c r="LO2646" t="str">
        <v/>
      </c>
    </row>
    <row r="2647" spans="325:327">
      <c r="LM2647" t="str">
        <v/>
      </c>
      <c r="LN2647" t="str">
        <v/>
      </c>
      <c r="LO2647" t="str">
        <v/>
      </c>
    </row>
    <row r="2648" spans="325:327">
      <c r="LM2648" t="str">
        <v/>
      </c>
      <c r="LN2648" t="str">
        <v/>
      </c>
      <c r="LO2648" t="str">
        <v/>
      </c>
    </row>
    <row r="2649" spans="325:327">
      <c r="LM2649" t="str">
        <v/>
      </c>
      <c r="LN2649" t="str">
        <v/>
      </c>
      <c r="LO2649" t="str">
        <v/>
      </c>
    </row>
    <row r="2650" spans="325:327">
      <c r="LM2650" t="str">
        <v/>
      </c>
      <c r="LN2650" t="str">
        <v/>
      </c>
      <c r="LO2650" t="str">
        <v/>
      </c>
    </row>
    <row r="2651" spans="325:327">
      <c r="LM2651" t="str">
        <v/>
      </c>
      <c r="LN2651" t="str">
        <v/>
      </c>
      <c r="LO2651" t="str">
        <v/>
      </c>
    </row>
    <row r="2652" spans="325:327">
      <c r="LM2652" t="str">
        <v/>
      </c>
      <c r="LN2652" t="str">
        <v/>
      </c>
      <c r="LO2652" t="str">
        <v/>
      </c>
    </row>
    <row r="2653" spans="325:327">
      <c r="LM2653" t="str">
        <v/>
      </c>
      <c r="LN2653" t="str">
        <v/>
      </c>
      <c r="LO2653" t="str">
        <v/>
      </c>
    </row>
    <row r="2654" spans="325:327">
      <c r="LM2654" t="str">
        <v/>
      </c>
      <c r="LN2654" t="str">
        <v/>
      </c>
      <c r="LO2654" t="str">
        <v/>
      </c>
    </row>
    <row r="2655" spans="325:327">
      <c r="LM2655" t="str">
        <v/>
      </c>
      <c r="LN2655" t="str">
        <v/>
      </c>
      <c r="LO2655" t="str">
        <v/>
      </c>
    </row>
    <row r="2656" spans="325:327">
      <c r="LM2656" t="str">
        <v/>
      </c>
      <c r="LN2656" t="str">
        <v/>
      </c>
      <c r="LO2656" t="str">
        <v/>
      </c>
    </row>
    <row r="2657" spans="325:327">
      <c r="LM2657" t="str">
        <v/>
      </c>
      <c r="LN2657" t="str">
        <v/>
      </c>
      <c r="LO2657" t="str">
        <v/>
      </c>
    </row>
    <row r="2658" spans="325:327">
      <c r="LM2658" t="str">
        <v/>
      </c>
      <c r="LN2658" t="str">
        <v/>
      </c>
      <c r="LO2658" t="str">
        <v/>
      </c>
    </row>
    <row r="2659" spans="325:327">
      <c r="LM2659" t="str">
        <v/>
      </c>
      <c r="LN2659" t="str">
        <v/>
      </c>
      <c r="LO2659" t="str">
        <v/>
      </c>
    </row>
    <row r="2660" spans="325:327">
      <c r="LM2660" t="str">
        <v/>
      </c>
      <c r="LN2660" t="str">
        <v/>
      </c>
      <c r="LO2660" t="str">
        <v/>
      </c>
    </row>
    <row r="2661" spans="325:327">
      <c r="LM2661" t="str">
        <v/>
      </c>
      <c r="LN2661" t="str">
        <v/>
      </c>
      <c r="LO2661" t="str">
        <v/>
      </c>
    </row>
    <row r="2662" spans="325:327">
      <c r="LM2662" t="str">
        <v/>
      </c>
      <c r="LN2662" t="str">
        <v/>
      </c>
      <c r="LO2662" t="str">
        <v/>
      </c>
    </row>
    <row r="2663" spans="325:327">
      <c r="LM2663" t="str">
        <v/>
      </c>
      <c r="LN2663" t="str">
        <v/>
      </c>
      <c r="LO2663" t="str">
        <v/>
      </c>
    </row>
    <row r="2664" spans="325:327">
      <c r="LM2664" t="str">
        <v/>
      </c>
      <c r="LN2664" t="str">
        <v/>
      </c>
      <c r="LO2664" t="str">
        <v/>
      </c>
    </row>
    <row r="2665" spans="325:327">
      <c r="LM2665" t="str">
        <v/>
      </c>
      <c r="LN2665" t="str">
        <v/>
      </c>
      <c r="LO2665" t="str">
        <v/>
      </c>
    </row>
    <row r="2666" spans="325:327">
      <c r="LM2666" t="str">
        <v/>
      </c>
      <c r="LN2666" t="str">
        <v/>
      </c>
      <c r="LO2666" t="str">
        <v/>
      </c>
    </row>
    <row r="2667" spans="325:327">
      <c r="LM2667" t="str">
        <v/>
      </c>
      <c r="LN2667" t="str">
        <v/>
      </c>
      <c r="LO2667" t="str">
        <v/>
      </c>
    </row>
    <row r="2668" spans="325:327">
      <c r="LM2668" t="str">
        <v/>
      </c>
      <c r="LN2668" t="str">
        <v/>
      </c>
      <c r="LO2668" t="str">
        <v/>
      </c>
    </row>
    <row r="2669" spans="325:327">
      <c r="LM2669" t="str">
        <v/>
      </c>
      <c r="LN2669" t="str">
        <v/>
      </c>
      <c r="LO2669" t="str">
        <v/>
      </c>
    </row>
    <row r="2670" spans="325:327">
      <c r="LM2670" t="str">
        <v/>
      </c>
      <c r="LN2670" t="str">
        <v/>
      </c>
      <c r="LO2670" t="str">
        <v/>
      </c>
    </row>
    <row r="2671" spans="325:327">
      <c r="LM2671" t="str">
        <v/>
      </c>
      <c r="LN2671" t="str">
        <v/>
      </c>
      <c r="LO2671" t="str">
        <v/>
      </c>
    </row>
    <row r="2672" spans="325:327">
      <c r="LM2672" t="str">
        <v/>
      </c>
      <c r="LN2672" t="str">
        <v/>
      </c>
      <c r="LO2672" t="str">
        <v/>
      </c>
    </row>
    <row r="2673" spans="325:327">
      <c r="LM2673" t="str">
        <v/>
      </c>
      <c r="LN2673" t="str">
        <v/>
      </c>
      <c r="LO2673" t="str">
        <v/>
      </c>
    </row>
    <row r="2674" spans="325:327">
      <c r="LM2674" t="str">
        <v/>
      </c>
      <c r="LN2674" t="str">
        <v/>
      </c>
      <c r="LO2674" t="str">
        <v/>
      </c>
    </row>
    <row r="2675" spans="325:327">
      <c r="LM2675" t="str">
        <v/>
      </c>
      <c r="LN2675" t="str">
        <v/>
      </c>
      <c r="LO2675" t="str">
        <v/>
      </c>
    </row>
    <row r="2676" spans="325:327">
      <c r="LM2676" t="str">
        <v/>
      </c>
      <c r="LN2676" t="str">
        <v/>
      </c>
      <c r="LO2676" t="str">
        <v/>
      </c>
    </row>
    <row r="2677" spans="325:327">
      <c r="LM2677" t="str">
        <v/>
      </c>
      <c r="LN2677" t="str">
        <v/>
      </c>
      <c r="LO2677" t="str">
        <v/>
      </c>
    </row>
    <row r="2678" spans="325:327">
      <c r="LM2678" t="str">
        <v/>
      </c>
      <c r="LN2678" t="str">
        <v/>
      </c>
      <c r="LO2678" t="str">
        <v/>
      </c>
    </row>
    <row r="2679" spans="325:327">
      <c r="LM2679" t="str">
        <v/>
      </c>
      <c r="LN2679" t="str">
        <v/>
      </c>
      <c r="LO2679" t="str">
        <v/>
      </c>
    </row>
    <row r="2680" spans="325:327">
      <c r="LM2680" t="str">
        <v/>
      </c>
      <c r="LN2680" t="str">
        <v/>
      </c>
      <c r="LO2680" t="str">
        <v/>
      </c>
    </row>
    <row r="2681" spans="325:327">
      <c r="LM2681" t="str">
        <v/>
      </c>
      <c r="LN2681" t="str">
        <v/>
      </c>
      <c r="LO2681" t="str">
        <v/>
      </c>
    </row>
    <row r="2682" spans="325:327">
      <c r="LM2682" t="str">
        <v/>
      </c>
      <c r="LN2682" t="str">
        <v/>
      </c>
      <c r="LO2682" t="str">
        <v/>
      </c>
    </row>
    <row r="2683" spans="325:327">
      <c r="LM2683" t="str">
        <v/>
      </c>
      <c r="LN2683" t="str">
        <v/>
      </c>
      <c r="LO2683" t="str">
        <v/>
      </c>
    </row>
    <row r="2684" spans="325:327">
      <c r="LM2684" t="str">
        <v/>
      </c>
      <c r="LN2684" t="str">
        <v/>
      </c>
      <c r="LO2684" t="str">
        <v/>
      </c>
    </row>
    <row r="2685" spans="325:327">
      <c r="LM2685" t="str">
        <v/>
      </c>
      <c r="LN2685" t="str">
        <v/>
      </c>
      <c r="LO2685" t="str">
        <v/>
      </c>
    </row>
    <row r="2686" spans="325:327">
      <c r="LM2686" t="str">
        <v/>
      </c>
      <c r="LN2686" t="str">
        <v/>
      </c>
      <c r="LO2686" t="str">
        <v/>
      </c>
    </row>
    <row r="2687" spans="325:327">
      <c r="LM2687" t="str">
        <v/>
      </c>
      <c r="LN2687" t="str">
        <v/>
      </c>
      <c r="LO2687" t="str">
        <v/>
      </c>
    </row>
    <row r="2688" spans="325:327">
      <c r="LM2688" t="str">
        <v/>
      </c>
      <c r="LN2688" t="str">
        <v/>
      </c>
      <c r="LO2688" t="str">
        <v/>
      </c>
    </row>
    <row r="2689" spans="325:327">
      <c r="LM2689" t="str">
        <v/>
      </c>
      <c r="LN2689" t="str">
        <v/>
      </c>
      <c r="LO2689" t="str">
        <v/>
      </c>
    </row>
    <row r="2690" spans="325:327">
      <c r="LM2690" t="str">
        <v/>
      </c>
      <c r="LN2690" t="str">
        <v/>
      </c>
      <c r="LO2690" t="str">
        <v/>
      </c>
    </row>
    <row r="2691" spans="325:327">
      <c r="LM2691" t="str">
        <v/>
      </c>
      <c r="LN2691" t="str">
        <v/>
      </c>
      <c r="LO2691" t="str">
        <v/>
      </c>
    </row>
    <row r="2692" spans="325:327">
      <c r="LM2692" t="str">
        <v/>
      </c>
      <c r="LN2692" t="str">
        <v/>
      </c>
      <c r="LO2692" t="str">
        <v/>
      </c>
    </row>
    <row r="2693" spans="325:327">
      <c r="LM2693" t="str">
        <v/>
      </c>
      <c r="LN2693" t="str">
        <v/>
      </c>
      <c r="LO2693" t="str">
        <v/>
      </c>
    </row>
    <row r="2694" spans="325:327">
      <c r="LM2694" t="str">
        <v/>
      </c>
      <c r="LN2694" t="str">
        <v/>
      </c>
      <c r="LO2694" t="str">
        <v/>
      </c>
    </row>
    <row r="2695" spans="325:327">
      <c r="LM2695" t="str">
        <v/>
      </c>
      <c r="LN2695" t="str">
        <v/>
      </c>
      <c r="LO2695" t="str">
        <v/>
      </c>
    </row>
    <row r="2696" spans="325:327">
      <c r="LM2696" t="str">
        <v/>
      </c>
      <c r="LN2696" t="str">
        <v/>
      </c>
      <c r="LO2696" t="str">
        <v/>
      </c>
    </row>
    <row r="2697" spans="325:327">
      <c r="LM2697" t="str">
        <v/>
      </c>
      <c r="LN2697" t="str">
        <v/>
      </c>
      <c r="LO2697" t="str">
        <v/>
      </c>
    </row>
    <row r="2698" spans="325:327">
      <c r="LM2698" t="str">
        <v/>
      </c>
      <c r="LN2698" t="str">
        <v/>
      </c>
      <c r="LO2698" t="str">
        <v/>
      </c>
    </row>
    <row r="2699" spans="325:327">
      <c r="LM2699" t="str">
        <v/>
      </c>
      <c r="LN2699" t="str">
        <v/>
      </c>
      <c r="LO2699" t="str">
        <v/>
      </c>
    </row>
    <row r="2700" spans="325:327">
      <c r="LM2700" t="str">
        <v/>
      </c>
      <c r="LN2700" t="str">
        <v/>
      </c>
      <c r="LO2700" t="str">
        <v/>
      </c>
    </row>
    <row r="2701" spans="325:327">
      <c r="LM2701" t="str">
        <v/>
      </c>
      <c r="LN2701" t="str">
        <v/>
      </c>
      <c r="LO2701" t="str">
        <v/>
      </c>
    </row>
    <row r="2702" spans="325:327">
      <c r="LM2702" t="str">
        <v/>
      </c>
      <c r="LN2702" t="str">
        <v/>
      </c>
      <c r="LO2702" t="str">
        <v/>
      </c>
    </row>
    <row r="2703" spans="325:327">
      <c r="LM2703" t="str">
        <v/>
      </c>
      <c r="LN2703" t="str">
        <v/>
      </c>
      <c r="LO2703" t="str">
        <v/>
      </c>
    </row>
    <row r="2704" spans="325:327">
      <c r="LM2704" t="str">
        <v/>
      </c>
      <c r="LN2704" t="str">
        <v/>
      </c>
      <c r="LO2704" t="str">
        <v/>
      </c>
    </row>
    <row r="2705" spans="325:327">
      <c r="LM2705" t="str">
        <v/>
      </c>
      <c r="LN2705" t="str">
        <v/>
      </c>
      <c r="LO2705" t="str">
        <v/>
      </c>
    </row>
    <row r="2706" spans="325:327">
      <c r="LM2706" t="str">
        <v/>
      </c>
      <c r="LN2706" t="str">
        <v/>
      </c>
      <c r="LO2706" t="str">
        <v/>
      </c>
    </row>
    <row r="2707" spans="325:327">
      <c r="LM2707" t="str">
        <v/>
      </c>
      <c r="LN2707" t="str">
        <v/>
      </c>
      <c r="LO2707" t="str">
        <v/>
      </c>
    </row>
    <row r="2708" spans="325:327">
      <c r="LM2708" t="str">
        <v/>
      </c>
      <c r="LN2708" t="str">
        <v/>
      </c>
      <c r="LO2708" t="str">
        <v/>
      </c>
    </row>
    <row r="2709" spans="325:327">
      <c r="LM2709" t="str">
        <v/>
      </c>
      <c r="LN2709" t="str">
        <v/>
      </c>
      <c r="LO2709" t="str">
        <v/>
      </c>
    </row>
    <row r="2710" spans="325:327">
      <c r="LM2710" t="str">
        <v/>
      </c>
      <c r="LN2710" t="str">
        <v/>
      </c>
      <c r="LO2710" t="str">
        <v/>
      </c>
    </row>
    <row r="2711" spans="325:327">
      <c r="LM2711" t="str">
        <v/>
      </c>
      <c r="LN2711" t="str">
        <v/>
      </c>
      <c r="LO2711" t="str">
        <v/>
      </c>
    </row>
    <row r="2712" spans="325:327">
      <c r="LM2712" t="str">
        <v/>
      </c>
      <c r="LN2712" t="str">
        <v/>
      </c>
      <c r="LO2712" t="str">
        <v/>
      </c>
    </row>
    <row r="2713" spans="325:327">
      <c r="LM2713" t="str">
        <v/>
      </c>
      <c r="LN2713" t="str">
        <v/>
      </c>
      <c r="LO2713" t="str">
        <v/>
      </c>
    </row>
    <row r="2714" spans="325:327">
      <c r="LM2714" t="str">
        <v/>
      </c>
      <c r="LN2714" t="str">
        <v/>
      </c>
      <c r="LO2714" t="str">
        <v/>
      </c>
    </row>
    <row r="2715" spans="325:327">
      <c r="LM2715" t="str">
        <v/>
      </c>
      <c r="LN2715" t="str">
        <v/>
      </c>
      <c r="LO2715" t="str">
        <v/>
      </c>
    </row>
    <row r="2716" spans="325:327">
      <c r="LM2716" t="str">
        <v/>
      </c>
      <c r="LN2716" t="str">
        <v/>
      </c>
      <c r="LO2716" t="str">
        <v/>
      </c>
    </row>
    <row r="2717" spans="325:327">
      <c r="LM2717" t="str">
        <v/>
      </c>
      <c r="LN2717" t="str">
        <v/>
      </c>
      <c r="LO2717" t="str">
        <v/>
      </c>
    </row>
    <row r="2718" spans="325:327">
      <c r="LM2718" t="str">
        <v/>
      </c>
      <c r="LN2718" t="str">
        <v/>
      </c>
      <c r="LO2718" t="str">
        <v/>
      </c>
    </row>
    <row r="2719" spans="325:327">
      <c r="LM2719" t="str">
        <v/>
      </c>
      <c r="LN2719" t="str">
        <v/>
      </c>
      <c r="LO2719" t="str">
        <v/>
      </c>
    </row>
    <row r="2720" spans="325:327">
      <c r="LM2720" t="str">
        <v/>
      </c>
      <c r="LN2720" t="str">
        <v/>
      </c>
      <c r="LO2720" t="str">
        <v/>
      </c>
    </row>
    <row r="2721" spans="325:327">
      <c r="LM2721" t="str">
        <v/>
      </c>
      <c r="LN2721" t="str">
        <v/>
      </c>
      <c r="LO2721" t="str">
        <v/>
      </c>
    </row>
    <row r="2722" spans="325:327">
      <c r="LM2722" t="str">
        <v/>
      </c>
      <c r="LN2722" t="str">
        <v/>
      </c>
      <c r="LO2722" t="str">
        <v/>
      </c>
    </row>
    <row r="2723" spans="325:327">
      <c r="LM2723" t="str">
        <v/>
      </c>
      <c r="LN2723" t="str">
        <v/>
      </c>
      <c r="LO2723" t="str">
        <v/>
      </c>
    </row>
    <row r="2724" spans="325:327">
      <c r="LM2724" t="str">
        <v/>
      </c>
      <c r="LN2724" t="str">
        <v/>
      </c>
      <c r="LO2724" t="str">
        <v/>
      </c>
    </row>
    <row r="2725" spans="325:327">
      <c r="LM2725" t="str">
        <v/>
      </c>
      <c r="LN2725" t="str">
        <v/>
      </c>
      <c r="LO2725" t="str">
        <v/>
      </c>
    </row>
    <row r="2726" spans="325:327">
      <c r="LM2726" t="str">
        <v/>
      </c>
      <c r="LN2726" t="str">
        <v/>
      </c>
      <c r="LO2726" t="str">
        <v/>
      </c>
    </row>
    <row r="2727" spans="325:327">
      <c r="LM2727" t="str">
        <v/>
      </c>
      <c r="LN2727" t="str">
        <v/>
      </c>
      <c r="LO2727" t="str">
        <v/>
      </c>
    </row>
    <row r="2728" spans="325:327">
      <c r="LM2728" t="str">
        <v/>
      </c>
      <c r="LN2728" t="str">
        <v/>
      </c>
      <c r="LO2728" t="str">
        <v/>
      </c>
    </row>
    <row r="2729" spans="325:327">
      <c r="LM2729" t="str">
        <v/>
      </c>
      <c r="LN2729" t="str">
        <v/>
      </c>
      <c r="LO2729" t="str">
        <v/>
      </c>
    </row>
    <row r="2730" spans="325:327">
      <c r="LM2730" t="str">
        <v/>
      </c>
      <c r="LN2730" t="str">
        <v/>
      </c>
      <c r="LO2730" t="str">
        <v/>
      </c>
    </row>
    <row r="2731" spans="325:327">
      <c r="LM2731" t="str">
        <v/>
      </c>
      <c r="LN2731" t="str">
        <v/>
      </c>
      <c r="LO2731" t="str">
        <v/>
      </c>
    </row>
    <row r="2732" spans="325:327">
      <c r="LM2732" t="str">
        <v/>
      </c>
      <c r="LN2732" t="str">
        <v/>
      </c>
      <c r="LO2732" t="str">
        <v/>
      </c>
    </row>
    <row r="2733" spans="325:327">
      <c r="LM2733" t="str">
        <v/>
      </c>
      <c r="LN2733" t="str">
        <v/>
      </c>
      <c r="LO2733" t="str">
        <v/>
      </c>
    </row>
    <row r="2734" spans="325:327">
      <c r="LM2734" t="str">
        <v/>
      </c>
      <c r="LN2734" t="str">
        <v/>
      </c>
      <c r="LO2734" t="str">
        <v/>
      </c>
    </row>
    <row r="2735" spans="325:327">
      <c r="LM2735" t="str">
        <v/>
      </c>
      <c r="LN2735" t="str">
        <v/>
      </c>
      <c r="LO2735" t="str">
        <v/>
      </c>
    </row>
    <row r="2736" spans="325:327">
      <c r="LM2736" t="str">
        <v/>
      </c>
      <c r="LN2736" t="str">
        <v/>
      </c>
      <c r="LO2736" t="str">
        <v/>
      </c>
    </row>
    <row r="2737" spans="325:327">
      <c r="LM2737" t="str">
        <v/>
      </c>
      <c r="LN2737" t="str">
        <v/>
      </c>
      <c r="LO2737" t="str">
        <v/>
      </c>
    </row>
    <row r="2738" spans="325:327">
      <c r="LM2738" t="str">
        <v/>
      </c>
      <c r="LN2738" t="str">
        <v/>
      </c>
      <c r="LO2738" t="str">
        <v/>
      </c>
    </row>
    <row r="2739" spans="325:327">
      <c r="LM2739" t="str">
        <v/>
      </c>
      <c r="LN2739" t="str">
        <v/>
      </c>
      <c r="LO2739" t="str">
        <v/>
      </c>
    </row>
    <row r="2740" spans="325:327">
      <c r="LM2740" t="str">
        <v/>
      </c>
      <c r="LN2740" t="str">
        <v/>
      </c>
      <c r="LO2740" t="str">
        <v/>
      </c>
    </row>
    <row r="2741" spans="325:327">
      <c r="LM2741" t="str">
        <v/>
      </c>
      <c r="LN2741" t="str">
        <v/>
      </c>
      <c r="LO2741" t="str">
        <v/>
      </c>
    </row>
    <row r="2742" spans="325:327">
      <c r="LM2742" t="str">
        <v/>
      </c>
      <c r="LN2742" t="str">
        <v/>
      </c>
      <c r="LO2742" t="str">
        <v/>
      </c>
    </row>
    <row r="2743" spans="325:327">
      <c r="LM2743" t="str">
        <v/>
      </c>
      <c r="LN2743" t="str">
        <v/>
      </c>
      <c r="LO2743" t="str">
        <v/>
      </c>
    </row>
    <row r="2744" spans="325:327">
      <c r="LM2744" t="str">
        <v/>
      </c>
      <c r="LN2744" t="str">
        <v/>
      </c>
      <c r="LO2744" t="str">
        <v/>
      </c>
    </row>
    <row r="2745" spans="325:327">
      <c r="LM2745" t="str">
        <v/>
      </c>
      <c r="LN2745" t="str">
        <v/>
      </c>
      <c r="LO2745" t="str">
        <v/>
      </c>
    </row>
    <row r="2746" spans="325:327">
      <c r="LM2746" t="str">
        <v/>
      </c>
      <c r="LN2746" t="str">
        <v/>
      </c>
      <c r="LO2746" t="str">
        <v/>
      </c>
    </row>
    <row r="2747" spans="325:327">
      <c r="LM2747" t="str">
        <v/>
      </c>
      <c r="LN2747" t="str">
        <v/>
      </c>
      <c r="LO2747" t="str">
        <v/>
      </c>
    </row>
    <row r="2748" spans="325:327">
      <c r="LM2748" t="str">
        <v/>
      </c>
      <c r="LN2748" t="str">
        <v/>
      </c>
      <c r="LO2748" t="str">
        <v/>
      </c>
    </row>
    <row r="2749" spans="325:327">
      <c r="LM2749" t="str">
        <v/>
      </c>
      <c r="LN2749" t="str">
        <v/>
      </c>
      <c r="LO2749" t="str">
        <v/>
      </c>
    </row>
    <row r="2750" spans="325:327">
      <c r="LM2750" t="str">
        <v/>
      </c>
      <c r="LN2750" t="str">
        <v/>
      </c>
      <c r="LO2750" t="str">
        <v/>
      </c>
    </row>
    <row r="2751" spans="325:327">
      <c r="LM2751" t="str">
        <v/>
      </c>
      <c r="LN2751" t="str">
        <v/>
      </c>
      <c r="LO2751" t="str">
        <v/>
      </c>
    </row>
    <row r="2752" spans="325:327">
      <c r="LM2752" t="str">
        <v/>
      </c>
      <c r="LN2752" t="str">
        <v/>
      </c>
      <c r="LO2752" t="str">
        <v/>
      </c>
    </row>
    <row r="2753" spans="325:327">
      <c r="LM2753" t="str">
        <v/>
      </c>
      <c r="LN2753" t="str">
        <v/>
      </c>
      <c r="LO2753" t="str">
        <v/>
      </c>
    </row>
    <row r="2754" spans="325:327">
      <c r="LM2754" t="str">
        <v/>
      </c>
      <c r="LN2754" t="str">
        <v/>
      </c>
      <c r="LO2754" t="str">
        <v/>
      </c>
    </row>
    <row r="2755" spans="325:327">
      <c r="LM2755" t="str">
        <v/>
      </c>
      <c r="LN2755" t="str">
        <v/>
      </c>
      <c r="LO2755" t="str">
        <v/>
      </c>
    </row>
    <row r="2756" spans="325:327">
      <c r="LM2756" t="str">
        <v/>
      </c>
      <c r="LN2756" t="str">
        <v/>
      </c>
      <c r="LO2756" t="str">
        <v/>
      </c>
    </row>
    <row r="2757" spans="325:327">
      <c r="LM2757" t="str">
        <v/>
      </c>
      <c r="LN2757" t="str">
        <v/>
      </c>
      <c r="LO2757" t="str">
        <v/>
      </c>
    </row>
    <row r="2758" spans="325:327">
      <c r="LM2758" t="str">
        <v/>
      </c>
      <c r="LN2758" t="str">
        <v/>
      </c>
      <c r="LO2758" t="str">
        <v/>
      </c>
    </row>
    <row r="2759" spans="325:327">
      <c r="LM2759" t="str">
        <v/>
      </c>
      <c r="LN2759" t="str">
        <v/>
      </c>
      <c r="LO2759" t="str">
        <v/>
      </c>
    </row>
    <row r="2760" spans="325:327">
      <c r="LM2760" t="str">
        <v/>
      </c>
      <c r="LN2760" t="str">
        <v/>
      </c>
      <c r="LO2760" t="str">
        <v/>
      </c>
    </row>
    <row r="2761" spans="325:327">
      <c r="LM2761" t="str">
        <v/>
      </c>
      <c r="LN2761" t="str">
        <v/>
      </c>
      <c r="LO2761" t="str">
        <v/>
      </c>
    </row>
    <row r="2762" spans="325:327">
      <c r="LM2762" t="str">
        <v/>
      </c>
      <c r="LN2762" t="str">
        <v/>
      </c>
      <c r="LO2762" t="str">
        <v/>
      </c>
    </row>
    <row r="2763" spans="325:327">
      <c r="LM2763" t="str">
        <v/>
      </c>
      <c r="LN2763" t="str">
        <v/>
      </c>
      <c r="LO2763" t="str">
        <v/>
      </c>
    </row>
    <row r="2764" spans="325:327">
      <c r="LM2764" t="str">
        <v/>
      </c>
      <c r="LN2764" t="str">
        <v/>
      </c>
      <c r="LO2764" t="str">
        <v/>
      </c>
    </row>
    <row r="2765" spans="325:327">
      <c r="LM2765" t="str">
        <v/>
      </c>
      <c r="LN2765" t="str">
        <v/>
      </c>
      <c r="LO2765" t="str">
        <v/>
      </c>
    </row>
    <row r="2766" spans="325:327">
      <c r="LM2766" t="str">
        <v/>
      </c>
      <c r="LN2766" t="str">
        <v/>
      </c>
      <c r="LO2766" t="str">
        <v/>
      </c>
    </row>
    <row r="2767" spans="325:327">
      <c r="LM2767" t="str">
        <v/>
      </c>
      <c r="LN2767" t="str">
        <v/>
      </c>
      <c r="LO2767" t="str">
        <v/>
      </c>
    </row>
    <row r="2768" spans="325:327">
      <c r="LM2768" t="str">
        <v/>
      </c>
      <c r="LN2768" t="str">
        <v/>
      </c>
      <c r="LO2768" t="str">
        <v/>
      </c>
    </row>
    <row r="2769" spans="325:327">
      <c r="LM2769" t="str">
        <v/>
      </c>
      <c r="LN2769" t="str">
        <v/>
      </c>
      <c r="LO2769" t="str">
        <v/>
      </c>
    </row>
    <row r="2770" spans="325:327">
      <c r="LM2770" t="str">
        <v/>
      </c>
      <c r="LN2770" t="str">
        <v/>
      </c>
      <c r="LO2770" t="str">
        <v/>
      </c>
    </row>
    <row r="2771" spans="325:327">
      <c r="LM2771" t="str">
        <v/>
      </c>
      <c r="LN2771" t="str">
        <v/>
      </c>
      <c r="LO2771" t="str">
        <v/>
      </c>
    </row>
    <row r="2772" spans="325:327">
      <c r="LM2772" t="str">
        <v/>
      </c>
      <c r="LN2772" t="str">
        <v/>
      </c>
      <c r="LO2772" t="str">
        <v/>
      </c>
    </row>
    <row r="2773" spans="325:327">
      <c r="LM2773" t="str">
        <v/>
      </c>
      <c r="LN2773" t="str">
        <v/>
      </c>
      <c r="LO2773" t="str">
        <v/>
      </c>
    </row>
    <row r="2774" spans="325:327">
      <c r="LM2774" t="str">
        <v/>
      </c>
      <c r="LN2774" t="str">
        <v/>
      </c>
      <c r="LO2774" t="str">
        <v/>
      </c>
    </row>
    <row r="2775" spans="325:327">
      <c r="LM2775" t="str">
        <v/>
      </c>
      <c r="LN2775" t="str">
        <v/>
      </c>
      <c r="LO2775" t="str">
        <v/>
      </c>
    </row>
    <row r="2776" spans="325:327">
      <c r="LM2776" t="str">
        <v/>
      </c>
      <c r="LN2776" t="str">
        <v/>
      </c>
      <c r="LO2776" t="str">
        <v/>
      </c>
    </row>
    <row r="2777" spans="325:327">
      <c r="LM2777" t="str">
        <v/>
      </c>
      <c r="LN2777" t="str">
        <v/>
      </c>
      <c r="LO2777" t="str">
        <v/>
      </c>
    </row>
    <row r="2778" spans="325:327">
      <c r="LM2778" t="str">
        <v/>
      </c>
      <c r="LN2778" t="str">
        <v/>
      </c>
      <c r="LO2778" t="str">
        <v/>
      </c>
    </row>
    <row r="2779" spans="325:327">
      <c r="LM2779" t="str">
        <v/>
      </c>
      <c r="LN2779" t="str">
        <v/>
      </c>
      <c r="LO2779" t="str">
        <v/>
      </c>
    </row>
    <row r="2780" spans="325:327">
      <c r="LM2780" t="str">
        <v/>
      </c>
      <c r="LN2780" t="str">
        <v/>
      </c>
      <c r="LO2780" t="str">
        <v/>
      </c>
    </row>
    <row r="2781" spans="325:327">
      <c r="LM2781" t="str">
        <v/>
      </c>
      <c r="LN2781" t="str">
        <v/>
      </c>
      <c r="LO2781" t="str">
        <v/>
      </c>
    </row>
    <row r="2782" spans="325:327">
      <c r="LM2782" t="str">
        <v/>
      </c>
      <c r="LN2782" t="str">
        <v/>
      </c>
      <c r="LO2782" t="str">
        <v/>
      </c>
    </row>
    <row r="2783" spans="325:327">
      <c r="LM2783" t="str">
        <v/>
      </c>
      <c r="LN2783" t="str">
        <v/>
      </c>
      <c r="LO2783" t="str">
        <v/>
      </c>
    </row>
    <row r="2784" spans="325:327">
      <c r="LM2784" t="str">
        <v/>
      </c>
      <c r="LN2784" t="str">
        <v/>
      </c>
      <c r="LO2784" t="str">
        <v/>
      </c>
    </row>
    <row r="2785" spans="325:327">
      <c r="LM2785" t="str">
        <v/>
      </c>
      <c r="LN2785" t="str">
        <v/>
      </c>
      <c r="LO2785" t="str">
        <v/>
      </c>
    </row>
    <row r="2786" spans="325:327">
      <c r="LM2786" t="str">
        <v/>
      </c>
      <c r="LN2786" t="str">
        <v/>
      </c>
      <c r="LO2786" t="str">
        <v/>
      </c>
    </row>
    <row r="2787" spans="325:327">
      <c r="LM2787" t="str">
        <v/>
      </c>
      <c r="LN2787" t="str">
        <v/>
      </c>
      <c r="LO2787" t="str">
        <v/>
      </c>
    </row>
    <row r="2788" spans="325:327">
      <c r="LM2788" t="str">
        <v/>
      </c>
      <c r="LN2788" t="str">
        <v/>
      </c>
      <c r="LO2788" t="str">
        <v/>
      </c>
    </row>
    <row r="2789" spans="325:327">
      <c r="LM2789" t="str">
        <v/>
      </c>
      <c r="LN2789" t="str">
        <v/>
      </c>
      <c r="LO2789" t="str">
        <v/>
      </c>
    </row>
    <row r="2790" spans="325:327">
      <c r="LM2790" t="str">
        <v/>
      </c>
      <c r="LN2790" t="str">
        <v/>
      </c>
      <c r="LO2790" t="str">
        <v/>
      </c>
    </row>
    <row r="2791" spans="325:327">
      <c r="LM2791" t="str">
        <v/>
      </c>
      <c r="LN2791" t="str">
        <v/>
      </c>
      <c r="LO2791" t="str">
        <v/>
      </c>
    </row>
    <row r="2792" spans="325:327">
      <c r="LM2792" t="str">
        <v/>
      </c>
      <c r="LN2792" t="str">
        <v/>
      </c>
      <c r="LO2792" t="str">
        <v/>
      </c>
    </row>
    <row r="2793" spans="325:327">
      <c r="LM2793" t="str">
        <v/>
      </c>
      <c r="LN2793" t="str">
        <v/>
      </c>
      <c r="LO2793" t="str">
        <v/>
      </c>
    </row>
    <row r="2794" spans="325:327">
      <c r="LM2794" t="str">
        <v/>
      </c>
      <c r="LN2794" t="str">
        <v/>
      </c>
      <c r="LO2794" t="str">
        <v/>
      </c>
    </row>
    <row r="2795" spans="325:327">
      <c r="LM2795" t="str">
        <v/>
      </c>
      <c r="LN2795" t="str">
        <v/>
      </c>
      <c r="LO2795" t="str">
        <v/>
      </c>
    </row>
    <row r="2796" spans="325:327">
      <c r="LM2796" t="str">
        <v/>
      </c>
      <c r="LN2796" t="str">
        <v/>
      </c>
      <c r="LO2796" t="str">
        <v/>
      </c>
    </row>
    <row r="2797" spans="325:327">
      <c r="LM2797" t="str">
        <v/>
      </c>
      <c r="LN2797" t="str">
        <v/>
      </c>
      <c r="LO2797" t="str">
        <v/>
      </c>
    </row>
    <row r="2798" spans="325:327">
      <c r="LM2798" t="str">
        <v/>
      </c>
      <c r="LN2798" t="str">
        <v/>
      </c>
      <c r="LO2798" t="str">
        <v/>
      </c>
    </row>
    <row r="2799" spans="325:327">
      <c r="LM2799" t="str">
        <v/>
      </c>
      <c r="LN2799" t="str">
        <v/>
      </c>
      <c r="LO2799" t="str">
        <v/>
      </c>
    </row>
    <row r="2800" spans="325:327">
      <c r="LM2800" t="str">
        <v/>
      </c>
      <c r="LN2800" t="str">
        <v/>
      </c>
      <c r="LO2800" t="str">
        <v/>
      </c>
    </row>
    <row r="2801" spans="325:327">
      <c r="LM2801" t="str">
        <v/>
      </c>
      <c r="LN2801" t="str">
        <v/>
      </c>
      <c r="LO2801" t="str">
        <v/>
      </c>
    </row>
    <row r="2802" spans="325:327">
      <c r="LM2802" t="str">
        <v/>
      </c>
      <c r="LN2802" t="str">
        <v/>
      </c>
      <c r="LO2802" t="str">
        <v/>
      </c>
    </row>
    <row r="2803" spans="325:327">
      <c r="LM2803" t="str">
        <v/>
      </c>
      <c r="LN2803" t="str">
        <v/>
      </c>
      <c r="LO2803" t="str">
        <v/>
      </c>
    </row>
    <row r="2804" spans="325:327">
      <c r="LM2804" t="str">
        <v/>
      </c>
      <c r="LN2804" t="str">
        <v/>
      </c>
      <c r="LO2804" t="str">
        <v/>
      </c>
    </row>
    <row r="2805" spans="325:327">
      <c r="LM2805" t="str">
        <v/>
      </c>
      <c r="LN2805" t="str">
        <v/>
      </c>
      <c r="LO2805" t="str">
        <v/>
      </c>
    </row>
    <row r="2806" spans="325:327">
      <c r="LM2806" t="str">
        <v/>
      </c>
      <c r="LN2806" t="str">
        <v/>
      </c>
      <c r="LO2806" t="str">
        <v/>
      </c>
    </row>
    <row r="2807" spans="325:327">
      <c r="LM2807" t="str">
        <v/>
      </c>
      <c r="LN2807" t="str">
        <v/>
      </c>
      <c r="LO2807" t="str">
        <v/>
      </c>
    </row>
    <row r="2808" spans="325:327">
      <c r="LM2808" t="str">
        <v/>
      </c>
      <c r="LN2808" t="str">
        <v/>
      </c>
      <c r="LO2808" t="str">
        <v/>
      </c>
    </row>
    <row r="2809" spans="325:327">
      <c r="LM2809" t="str">
        <v/>
      </c>
      <c r="LN2809" t="str">
        <v/>
      </c>
      <c r="LO2809" t="str">
        <v/>
      </c>
    </row>
    <row r="2810" spans="325:327">
      <c r="LM2810" t="str">
        <v/>
      </c>
      <c r="LN2810" t="str">
        <v/>
      </c>
      <c r="LO2810" t="str">
        <v/>
      </c>
    </row>
    <row r="2811" spans="325:327">
      <c r="LM2811" t="str">
        <v/>
      </c>
      <c r="LN2811" t="str">
        <v/>
      </c>
      <c r="LO2811" t="str">
        <v/>
      </c>
    </row>
    <row r="2812" spans="325:327">
      <c r="LM2812" t="str">
        <v/>
      </c>
      <c r="LN2812" t="str">
        <v/>
      </c>
      <c r="LO2812" t="str">
        <v/>
      </c>
    </row>
    <row r="2813" spans="325:327">
      <c r="LM2813" t="str">
        <v/>
      </c>
      <c r="LN2813" t="str">
        <v/>
      </c>
      <c r="LO2813" t="str">
        <v/>
      </c>
    </row>
    <row r="2814" spans="325:327">
      <c r="LM2814" t="str">
        <v/>
      </c>
      <c r="LN2814" t="str">
        <v/>
      </c>
      <c r="LO2814" t="str">
        <v/>
      </c>
    </row>
    <row r="2815" spans="325:327">
      <c r="LM2815" t="str">
        <v/>
      </c>
      <c r="LN2815" t="str">
        <v/>
      </c>
      <c r="LO2815" t="str">
        <v/>
      </c>
    </row>
    <row r="2816" spans="325:327">
      <c r="LM2816" t="str">
        <v/>
      </c>
      <c r="LN2816" t="str">
        <v/>
      </c>
      <c r="LO2816" t="str">
        <v/>
      </c>
    </row>
    <row r="2817" spans="325:327">
      <c r="LM2817" t="str">
        <v/>
      </c>
      <c r="LN2817" t="str">
        <v/>
      </c>
      <c r="LO2817" t="str">
        <v/>
      </c>
    </row>
    <row r="2818" spans="325:327">
      <c r="LM2818" t="str">
        <v/>
      </c>
      <c r="LN2818" t="str">
        <v/>
      </c>
      <c r="LO2818" t="str">
        <v/>
      </c>
    </row>
    <row r="2819" spans="325:327">
      <c r="LM2819" t="str">
        <v/>
      </c>
      <c r="LN2819" t="str">
        <v/>
      </c>
      <c r="LO2819" t="str">
        <v/>
      </c>
    </row>
    <row r="2820" spans="325:327">
      <c r="LM2820" t="str">
        <v/>
      </c>
      <c r="LN2820" t="str">
        <v/>
      </c>
      <c r="LO2820" t="str">
        <v/>
      </c>
    </row>
    <row r="2821" spans="325:327">
      <c r="LM2821" t="str">
        <v/>
      </c>
      <c r="LN2821" t="str">
        <v/>
      </c>
      <c r="LO2821" t="str">
        <v/>
      </c>
    </row>
    <row r="2822" spans="325:327">
      <c r="LM2822" t="str">
        <v/>
      </c>
      <c r="LN2822" t="str">
        <v/>
      </c>
      <c r="LO2822" t="str">
        <v/>
      </c>
    </row>
    <row r="2823" spans="325:327">
      <c r="LM2823" t="str">
        <v/>
      </c>
      <c r="LN2823" t="str">
        <v/>
      </c>
      <c r="LO2823" t="str">
        <v/>
      </c>
    </row>
    <row r="2824" spans="325:327">
      <c r="LM2824" t="str">
        <v/>
      </c>
      <c r="LN2824" t="str">
        <v/>
      </c>
      <c r="LO2824" t="str">
        <v/>
      </c>
    </row>
    <row r="2825" spans="325:327">
      <c r="LM2825" t="str">
        <v/>
      </c>
      <c r="LN2825" t="str">
        <v/>
      </c>
      <c r="LO2825" t="str">
        <v/>
      </c>
    </row>
    <row r="2826" spans="325:327">
      <c r="LM2826" t="str">
        <v/>
      </c>
      <c r="LN2826" t="str">
        <v/>
      </c>
      <c r="LO2826" t="str">
        <v/>
      </c>
    </row>
    <row r="2827" spans="325:327">
      <c r="LM2827" t="str">
        <v/>
      </c>
      <c r="LN2827" t="str">
        <v/>
      </c>
      <c r="LO2827" t="str">
        <v/>
      </c>
    </row>
    <row r="2828" spans="325:327">
      <c r="LM2828" t="str">
        <v/>
      </c>
      <c r="LN2828" t="str">
        <v/>
      </c>
      <c r="LO2828" t="str">
        <v/>
      </c>
    </row>
    <row r="2829" spans="325:327">
      <c r="LM2829" t="str">
        <v/>
      </c>
      <c r="LN2829" t="str">
        <v/>
      </c>
      <c r="LO2829" t="str">
        <v/>
      </c>
    </row>
    <row r="2830" spans="325:327">
      <c r="LM2830" t="str">
        <v/>
      </c>
      <c r="LN2830" t="str">
        <v/>
      </c>
      <c r="LO2830" t="str">
        <v/>
      </c>
    </row>
    <row r="2831" spans="325:327">
      <c r="LM2831" t="str">
        <v/>
      </c>
      <c r="LN2831" t="str">
        <v/>
      </c>
      <c r="LO2831" t="str">
        <v/>
      </c>
    </row>
    <row r="2832" spans="325:327">
      <c r="LM2832" t="str">
        <v/>
      </c>
      <c r="LN2832" t="str">
        <v/>
      </c>
      <c r="LO2832" t="str">
        <v/>
      </c>
    </row>
    <row r="2833" spans="325:327">
      <c r="LM2833" t="str">
        <v/>
      </c>
      <c r="LN2833" t="str">
        <v/>
      </c>
      <c r="LO2833" t="str">
        <v/>
      </c>
    </row>
    <row r="2834" spans="325:327">
      <c r="LM2834" t="str">
        <v/>
      </c>
      <c r="LN2834" t="str">
        <v/>
      </c>
      <c r="LO2834" t="str">
        <v/>
      </c>
    </row>
    <row r="2835" spans="325:327">
      <c r="LM2835" t="str">
        <v/>
      </c>
      <c r="LN2835" t="str">
        <v/>
      </c>
      <c r="LO2835" t="str">
        <v/>
      </c>
    </row>
    <row r="2836" spans="325:327">
      <c r="LM2836" t="str">
        <v/>
      </c>
      <c r="LN2836" t="str">
        <v/>
      </c>
      <c r="LO2836" t="str">
        <v/>
      </c>
    </row>
    <row r="2837" spans="325:327">
      <c r="LM2837" t="str">
        <v/>
      </c>
      <c r="LN2837" t="str">
        <v/>
      </c>
      <c r="LO2837" t="str">
        <v/>
      </c>
    </row>
    <row r="2838" spans="325:327">
      <c r="LM2838" t="str">
        <v/>
      </c>
      <c r="LN2838" t="str">
        <v/>
      </c>
      <c r="LO2838" t="str">
        <v/>
      </c>
    </row>
    <row r="2839" spans="325:327">
      <c r="LM2839" t="str">
        <v/>
      </c>
      <c r="LN2839" t="str">
        <v/>
      </c>
      <c r="LO2839" t="str">
        <v/>
      </c>
    </row>
    <row r="2840" spans="325:327">
      <c r="LM2840" t="str">
        <v/>
      </c>
      <c r="LN2840" t="str">
        <v/>
      </c>
      <c r="LO2840" t="str">
        <v/>
      </c>
    </row>
    <row r="2841" spans="325:327">
      <c r="LM2841" t="str">
        <v/>
      </c>
      <c r="LN2841" t="str">
        <v/>
      </c>
      <c r="LO2841" t="str">
        <v/>
      </c>
    </row>
    <row r="2842" spans="325:327">
      <c r="LM2842" t="str">
        <v/>
      </c>
      <c r="LN2842" t="str">
        <v/>
      </c>
      <c r="LO2842" t="str">
        <v/>
      </c>
    </row>
    <row r="2843" spans="325:327">
      <c r="LM2843" t="str">
        <v/>
      </c>
      <c r="LN2843" t="str">
        <v/>
      </c>
      <c r="LO2843" t="str">
        <v/>
      </c>
    </row>
    <row r="2844" spans="325:327">
      <c r="LM2844" t="str">
        <v/>
      </c>
      <c r="LN2844" t="str">
        <v/>
      </c>
      <c r="LO2844" t="str">
        <v/>
      </c>
    </row>
    <row r="2845" spans="325:327">
      <c r="LM2845" t="str">
        <v/>
      </c>
      <c r="LN2845" t="str">
        <v/>
      </c>
      <c r="LO2845" t="str">
        <v/>
      </c>
    </row>
    <row r="2846" spans="325:327">
      <c r="LM2846" t="str">
        <v/>
      </c>
      <c r="LN2846" t="str">
        <v/>
      </c>
      <c r="LO2846" t="str">
        <v/>
      </c>
    </row>
    <row r="2847" spans="325:327">
      <c r="LM2847" t="str">
        <v/>
      </c>
      <c r="LN2847" t="str">
        <v/>
      </c>
      <c r="LO2847" t="str">
        <v/>
      </c>
    </row>
    <row r="2848" spans="325:327">
      <c r="LM2848" t="str">
        <v/>
      </c>
      <c r="LN2848" t="str">
        <v/>
      </c>
      <c r="LO2848" t="str">
        <v/>
      </c>
    </row>
    <row r="2849" spans="325:327">
      <c r="LM2849" t="str">
        <v/>
      </c>
      <c r="LN2849" t="str">
        <v/>
      </c>
      <c r="LO2849" t="str">
        <v/>
      </c>
    </row>
    <row r="2850" spans="325:327">
      <c r="LM2850" t="str">
        <v/>
      </c>
      <c r="LN2850" t="str">
        <v/>
      </c>
      <c r="LO2850" t="str">
        <v/>
      </c>
    </row>
    <row r="2851" spans="325:327">
      <c r="LM2851" t="str">
        <v/>
      </c>
      <c r="LN2851" t="str">
        <v/>
      </c>
      <c r="LO2851" t="str">
        <v/>
      </c>
    </row>
    <row r="2852" spans="325:327">
      <c r="LM2852" t="str">
        <v/>
      </c>
      <c r="LN2852" t="str">
        <v/>
      </c>
      <c r="LO2852" t="str">
        <v/>
      </c>
    </row>
    <row r="2853" spans="325:327">
      <c r="LM2853" t="str">
        <v/>
      </c>
      <c r="LN2853" t="str">
        <v/>
      </c>
      <c r="LO2853" t="str">
        <v/>
      </c>
    </row>
    <row r="2854" spans="325:327">
      <c r="LM2854" t="str">
        <v/>
      </c>
      <c r="LN2854" t="str">
        <v/>
      </c>
      <c r="LO2854" t="str">
        <v/>
      </c>
    </row>
    <row r="2855" spans="325:327">
      <c r="LM2855" t="str">
        <v/>
      </c>
      <c r="LN2855" t="str">
        <v/>
      </c>
      <c r="LO2855" t="str">
        <v/>
      </c>
    </row>
    <row r="2856" spans="325:327">
      <c r="LM2856" t="str">
        <v/>
      </c>
      <c r="LN2856" t="str">
        <v/>
      </c>
      <c r="LO2856" t="str">
        <v/>
      </c>
    </row>
    <row r="2857" spans="325:327">
      <c r="LM2857" t="str">
        <v/>
      </c>
      <c r="LN2857" t="str">
        <v/>
      </c>
      <c r="LO2857" t="str">
        <v/>
      </c>
    </row>
    <row r="2858" spans="325:327">
      <c r="LM2858" t="str">
        <v/>
      </c>
      <c r="LN2858" t="str">
        <v/>
      </c>
      <c r="LO2858" t="str">
        <v/>
      </c>
    </row>
    <row r="2859" spans="325:327">
      <c r="LM2859" t="str">
        <v/>
      </c>
      <c r="LN2859" t="str">
        <v/>
      </c>
      <c r="LO2859" t="str">
        <v/>
      </c>
    </row>
    <row r="2860" spans="325:327">
      <c r="LM2860" t="str">
        <v/>
      </c>
      <c r="LN2860" t="str">
        <v/>
      </c>
      <c r="LO2860" t="str">
        <v/>
      </c>
    </row>
    <row r="2861" spans="325:327">
      <c r="LM2861" t="str">
        <v/>
      </c>
      <c r="LN2861" t="str">
        <v/>
      </c>
      <c r="LO2861" t="str">
        <v/>
      </c>
    </row>
    <row r="2862" spans="325:327">
      <c r="LM2862" t="str">
        <v/>
      </c>
      <c r="LN2862" t="str">
        <v/>
      </c>
      <c r="LO2862" t="str">
        <v/>
      </c>
    </row>
    <row r="2863" spans="325:327">
      <c r="LM2863" t="str">
        <v/>
      </c>
      <c r="LN2863" t="str">
        <v/>
      </c>
      <c r="LO2863" t="str">
        <v/>
      </c>
    </row>
    <row r="2864" spans="325:327">
      <c r="LM2864" t="str">
        <v/>
      </c>
      <c r="LN2864" t="str">
        <v/>
      </c>
      <c r="LO2864" t="str">
        <v/>
      </c>
    </row>
    <row r="2865" spans="325:327">
      <c r="LM2865" t="str">
        <v/>
      </c>
      <c r="LN2865" t="str">
        <v/>
      </c>
      <c r="LO2865" t="str">
        <v/>
      </c>
    </row>
    <row r="2866" spans="325:327">
      <c r="LM2866" t="str">
        <v/>
      </c>
      <c r="LN2866" t="str">
        <v/>
      </c>
      <c r="LO2866" t="str">
        <v/>
      </c>
    </row>
    <row r="2867" spans="325:327">
      <c r="LM2867" t="str">
        <v/>
      </c>
      <c r="LN2867" t="str">
        <v/>
      </c>
      <c r="LO2867" t="str">
        <v/>
      </c>
    </row>
    <row r="2868" spans="325:327">
      <c r="LM2868" t="str">
        <v/>
      </c>
      <c r="LN2868" t="str">
        <v/>
      </c>
      <c r="LO2868" t="str">
        <v/>
      </c>
    </row>
    <row r="2869" spans="325:327">
      <c r="LM2869" t="str">
        <v/>
      </c>
      <c r="LN2869" t="str">
        <v/>
      </c>
      <c r="LO2869" t="str">
        <v/>
      </c>
    </row>
    <row r="2870" spans="325:327">
      <c r="LM2870" t="str">
        <v/>
      </c>
      <c r="LN2870" t="str">
        <v/>
      </c>
      <c r="LO2870" t="str">
        <v/>
      </c>
    </row>
    <row r="2871" spans="325:327">
      <c r="LM2871" t="str">
        <v/>
      </c>
      <c r="LN2871" t="str">
        <v/>
      </c>
      <c r="LO2871" t="str">
        <v/>
      </c>
    </row>
    <row r="2872" spans="325:327">
      <c r="LM2872" t="str">
        <v/>
      </c>
      <c r="LN2872" t="str">
        <v/>
      </c>
      <c r="LO2872" t="str">
        <v/>
      </c>
    </row>
    <row r="2873" spans="325:327">
      <c r="LM2873" t="str">
        <v/>
      </c>
      <c r="LN2873" t="str">
        <v/>
      </c>
      <c r="LO2873" t="str">
        <v/>
      </c>
    </row>
    <row r="2874" spans="325:327">
      <c r="LM2874" t="str">
        <v/>
      </c>
      <c r="LN2874" t="str">
        <v/>
      </c>
      <c r="LO2874" t="str">
        <v/>
      </c>
    </row>
    <row r="2875" spans="325:327">
      <c r="LM2875" t="str">
        <v/>
      </c>
      <c r="LN2875" t="str">
        <v/>
      </c>
      <c r="LO2875" t="str">
        <v/>
      </c>
    </row>
    <row r="2876" spans="325:327">
      <c r="LM2876" t="str">
        <v/>
      </c>
      <c r="LN2876" t="str">
        <v/>
      </c>
      <c r="LO2876" t="str">
        <v/>
      </c>
    </row>
    <row r="2877" spans="325:327">
      <c r="LM2877" t="str">
        <v/>
      </c>
      <c r="LN2877" t="str">
        <v/>
      </c>
      <c r="LO2877" t="str">
        <v/>
      </c>
    </row>
    <row r="2878" spans="325:327">
      <c r="LM2878" t="str">
        <v/>
      </c>
      <c r="LN2878" t="str">
        <v/>
      </c>
      <c r="LO2878" t="str">
        <v/>
      </c>
    </row>
    <row r="2879" spans="325:327">
      <c r="LM2879" t="str">
        <v/>
      </c>
      <c r="LN2879" t="str">
        <v/>
      </c>
      <c r="LO2879" t="str">
        <v/>
      </c>
    </row>
    <row r="2880" spans="325:327">
      <c r="LM2880" t="str">
        <v/>
      </c>
      <c r="LN2880" t="str">
        <v/>
      </c>
      <c r="LO2880" t="str">
        <v/>
      </c>
    </row>
    <row r="2881" spans="325:327">
      <c r="LM2881" t="str">
        <v/>
      </c>
      <c r="LN2881" t="str">
        <v/>
      </c>
      <c r="LO2881" t="str">
        <v/>
      </c>
    </row>
    <row r="2882" spans="325:327">
      <c r="LM2882" t="str">
        <v/>
      </c>
      <c r="LN2882" t="str">
        <v/>
      </c>
      <c r="LO2882" t="str">
        <v/>
      </c>
    </row>
    <row r="2883" spans="325:327">
      <c r="LM2883" t="str">
        <v/>
      </c>
      <c r="LN2883" t="str">
        <v/>
      </c>
      <c r="LO2883" t="str">
        <v/>
      </c>
    </row>
    <row r="2884" spans="325:327">
      <c r="LM2884" t="str">
        <v/>
      </c>
      <c r="LN2884" t="str">
        <v/>
      </c>
      <c r="LO2884" t="str">
        <v/>
      </c>
    </row>
    <row r="2885" spans="325:327">
      <c r="LM2885" t="str">
        <v/>
      </c>
      <c r="LN2885" t="str">
        <v/>
      </c>
      <c r="LO2885" t="str">
        <v/>
      </c>
    </row>
    <row r="2886" spans="325:327">
      <c r="LM2886" t="str">
        <v/>
      </c>
      <c r="LN2886" t="str">
        <v/>
      </c>
      <c r="LO2886" t="str">
        <v/>
      </c>
    </row>
    <row r="2887" spans="325:327">
      <c r="LM2887" t="str">
        <v/>
      </c>
      <c r="LN2887" t="str">
        <v/>
      </c>
      <c r="LO2887" t="str">
        <v/>
      </c>
    </row>
    <row r="2888" spans="325:327">
      <c r="LM2888" t="str">
        <v/>
      </c>
      <c r="LN2888" t="str">
        <v/>
      </c>
      <c r="LO2888" t="str">
        <v/>
      </c>
    </row>
    <row r="2889" spans="325:327">
      <c r="LM2889" t="str">
        <v/>
      </c>
      <c r="LN2889" t="str">
        <v/>
      </c>
      <c r="LO2889" t="str">
        <v/>
      </c>
    </row>
    <row r="2890" spans="325:327">
      <c r="LM2890" t="str">
        <v/>
      </c>
      <c r="LN2890" t="str">
        <v/>
      </c>
      <c r="LO2890" t="str">
        <v/>
      </c>
    </row>
    <row r="2891" spans="325:327">
      <c r="LM2891" t="str">
        <v/>
      </c>
      <c r="LN2891" t="str">
        <v/>
      </c>
      <c r="LO2891" t="str">
        <v/>
      </c>
    </row>
    <row r="2892" spans="325:327">
      <c r="LM2892" t="str">
        <v/>
      </c>
      <c r="LN2892" t="str">
        <v/>
      </c>
      <c r="LO2892" t="str">
        <v/>
      </c>
    </row>
    <row r="2893" spans="325:327">
      <c r="LM2893" t="str">
        <v/>
      </c>
      <c r="LN2893" t="str">
        <v/>
      </c>
      <c r="LO2893" t="str">
        <v/>
      </c>
    </row>
    <row r="2894" spans="325:327">
      <c r="LM2894" t="str">
        <v/>
      </c>
      <c r="LN2894" t="str">
        <v/>
      </c>
      <c r="LO2894" t="str">
        <v/>
      </c>
    </row>
    <row r="2895" spans="325:327">
      <c r="LM2895" t="str">
        <v/>
      </c>
      <c r="LN2895" t="str">
        <v/>
      </c>
      <c r="LO2895" t="str">
        <v/>
      </c>
    </row>
    <row r="2896" spans="325:327">
      <c r="LM2896" t="str">
        <v/>
      </c>
      <c r="LN2896" t="str">
        <v/>
      </c>
      <c r="LO2896" t="str">
        <v/>
      </c>
    </row>
    <row r="2897" spans="325:327">
      <c r="LM2897" t="str">
        <v/>
      </c>
      <c r="LN2897" t="str">
        <v/>
      </c>
      <c r="LO2897" t="str">
        <v/>
      </c>
    </row>
    <row r="2898" spans="325:327">
      <c r="LM2898" t="str">
        <v/>
      </c>
      <c r="LN2898" t="str">
        <v/>
      </c>
      <c r="LO2898" t="str">
        <v/>
      </c>
    </row>
    <row r="2899" spans="325:327">
      <c r="LM2899" t="str">
        <v/>
      </c>
      <c r="LN2899" t="str">
        <v/>
      </c>
      <c r="LO2899" t="str">
        <v/>
      </c>
    </row>
    <row r="2900" spans="325:327">
      <c r="LM2900" t="str">
        <v/>
      </c>
      <c r="LN2900" t="str">
        <v/>
      </c>
      <c r="LO2900" t="str">
        <v/>
      </c>
    </row>
    <row r="2901" spans="325:327">
      <c r="LM2901" t="str">
        <v/>
      </c>
      <c r="LN2901" t="str">
        <v/>
      </c>
      <c r="LO2901" t="str">
        <v/>
      </c>
    </row>
    <row r="2902" spans="325:327">
      <c r="LM2902" t="str">
        <v/>
      </c>
      <c r="LN2902" t="str">
        <v/>
      </c>
      <c r="LO2902" t="str">
        <v/>
      </c>
    </row>
    <row r="2903" spans="325:327">
      <c r="LM2903" t="str">
        <v/>
      </c>
      <c r="LN2903" t="str">
        <v/>
      </c>
      <c r="LO2903" t="str">
        <v/>
      </c>
    </row>
    <row r="2904" spans="325:327">
      <c r="LM2904" t="str">
        <v/>
      </c>
      <c r="LN2904" t="str">
        <v/>
      </c>
      <c r="LO2904" t="str">
        <v/>
      </c>
    </row>
    <row r="2905" spans="325:327">
      <c r="LM2905" t="str">
        <v/>
      </c>
      <c r="LN2905" t="str">
        <v/>
      </c>
      <c r="LO2905" t="str">
        <v/>
      </c>
    </row>
    <row r="2906" spans="325:327">
      <c r="LM2906" t="str">
        <v/>
      </c>
      <c r="LN2906" t="str">
        <v/>
      </c>
      <c r="LO2906" t="str">
        <v/>
      </c>
    </row>
    <row r="2907" spans="325:327">
      <c r="LM2907" t="str">
        <v/>
      </c>
      <c r="LN2907" t="str">
        <v/>
      </c>
      <c r="LO2907" t="str">
        <v/>
      </c>
    </row>
    <row r="2908" spans="325:327">
      <c r="LM2908" t="str">
        <v/>
      </c>
      <c r="LN2908" t="str">
        <v/>
      </c>
      <c r="LO2908" t="str">
        <v/>
      </c>
    </row>
    <row r="2909" spans="325:327">
      <c r="LM2909" t="str">
        <v/>
      </c>
      <c r="LN2909" t="str">
        <v/>
      </c>
      <c r="LO2909" t="str">
        <v/>
      </c>
    </row>
    <row r="2910" spans="325:327">
      <c r="LM2910" t="str">
        <v/>
      </c>
      <c r="LN2910" t="str">
        <v/>
      </c>
      <c r="LO2910" t="str">
        <v/>
      </c>
    </row>
    <row r="2911" spans="325:327">
      <c r="LM2911" t="str">
        <v/>
      </c>
      <c r="LN2911" t="str">
        <v/>
      </c>
      <c r="LO2911" t="str">
        <v/>
      </c>
    </row>
    <row r="2912" spans="325:327">
      <c r="LM2912" t="str">
        <v/>
      </c>
      <c r="LN2912" t="str">
        <v/>
      </c>
      <c r="LO2912" t="str">
        <v/>
      </c>
    </row>
    <row r="2913" spans="325:327">
      <c r="LM2913" t="str">
        <v/>
      </c>
      <c r="LN2913" t="str">
        <v/>
      </c>
      <c r="LO2913" t="str">
        <v/>
      </c>
    </row>
    <row r="2914" spans="325:327">
      <c r="LM2914" t="str">
        <v/>
      </c>
      <c r="LN2914" t="str">
        <v/>
      </c>
      <c r="LO2914" t="str">
        <v/>
      </c>
    </row>
    <row r="2915" spans="325:327">
      <c r="LM2915" t="str">
        <v/>
      </c>
      <c r="LN2915" t="str">
        <v/>
      </c>
      <c r="LO2915" t="str">
        <v/>
      </c>
    </row>
    <row r="2916" spans="325:327">
      <c r="LM2916" t="str">
        <v/>
      </c>
      <c r="LN2916" t="str">
        <v/>
      </c>
      <c r="LO2916" t="str">
        <v/>
      </c>
    </row>
    <row r="2917" spans="325:327">
      <c r="LM2917" t="str">
        <v/>
      </c>
      <c r="LN2917" t="str">
        <v/>
      </c>
      <c r="LO2917" t="str">
        <v/>
      </c>
    </row>
    <row r="2918" spans="325:327">
      <c r="LM2918" t="str">
        <v/>
      </c>
      <c r="LN2918" t="str">
        <v/>
      </c>
      <c r="LO2918" t="str">
        <v/>
      </c>
    </row>
    <row r="2919" spans="325:327">
      <c r="LM2919" t="str">
        <v/>
      </c>
      <c r="LN2919" t="str">
        <v/>
      </c>
      <c r="LO2919" t="str">
        <v/>
      </c>
    </row>
    <row r="2920" spans="325:327">
      <c r="LM2920" t="str">
        <v/>
      </c>
      <c r="LN2920" t="str">
        <v/>
      </c>
      <c r="LO2920" t="str">
        <v/>
      </c>
    </row>
    <row r="2921" spans="325:327">
      <c r="LM2921" t="str">
        <v/>
      </c>
      <c r="LN2921" t="str">
        <v/>
      </c>
      <c r="LO2921" t="str">
        <v/>
      </c>
    </row>
    <row r="2922" spans="325:327">
      <c r="LM2922" t="str">
        <v/>
      </c>
      <c r="LN2922" t="str">
        <v/>
      </c>
      <c r="LO2922" t="str">
        <v/>
      </c>
    </row>
    <row r="2923" spans="325:327">
      <c r="LM2923" t="str">
        <v/>
      </c>
      <c r="LN2923" t="str">
        <v/>
      </c>
      <c r="LO2923" t="str">
        <v/>
      </c>
    </row>
    <row r="2924" spans="325:327">
      <c r="LM2924" t="str">
        <v/>
      </c>
      <c r="LN2924" t="str">
        <v/>
      </c>
      <c r="LO2924" t="str">
        <v/>
      </c>
    </row>
    <row r="2925" spans="325:327">
      <c r="LM2925" t="str">
        <v/>
      </c>
      <c r="LN2925" t="str">
        <v/>
      </c>
      <c r="LO2925" t="str">
        <v/>
      </c>
    </row>
    <row r="2926" spans="325:327">
      <c r="LM2926" t="str">
        <v/>
      </c>
      <c r="LN2926" t="str">
        <v/>
      </c>
      <c r="LO2926" t="str">
        <v/>
      </c>
    </row>
    <row r="2927" spans="325:327">
      <c r="LM2927" t="str">
        <v/>
      </c>
      <c r="LN2927" t="str">
        <v/>
      </c>
      <c r="LO2927" t="str">
        <v/>
      </c>
    </row>
    <row r="2928" spans="325:327">
      <c r="LM2928" t="str">
        <v/>
      </c>
      <c r="LN2928" t="str">
        <v/>
      </c>
      <c r="LO2928" t="str">
        <v/>
      </c>
    </row>
    <row r="2929" spans="325:327">
      <c r="LM2929" t="str">
        <v/>
      </c>
      <c r="LN2929" t="str">
        <v/>
      </c>
      <c r="LO2929" t="str">
        <v/>
      </c>
    </row>
    <row r="2930" spans="325:327">
      <c r="LM2930" t="str">
        <v/>
      </c>
      <c r="LN2930" t="str">
        <v/>
      </c>
      <c r="LO2930" t="str">
        <v/>
      </c>
    </row>
    <row r="2931" spans="325:327">
      <c r="LM2931" t="str">
        <v/>
      </c>
      <c r="LN2931" t="str">
        <v/>
      </c>
      <c r="LO2931" t="str">
        <v/>
      </c>
    </row>
    <row r="2932" spans="325:327">
      <c r="LM2932" t="str">
        <v/>
      </c>
      <c r="LN2932" t="str">
        <v/>
      </c>
      <c r="LO2932" t="str">
        <v/>
      </c>
    </row>
    <row r="2933" spans="325:327">
      <c r="LM2933" t="str">
        <v/>
      </c>
      <c r="LN2933" t="str">
        <v/>
      </c>
      <c r="LO2933" t="str">
        <v/>
      </c>
    </row>
    <row r="2934" spans="325:327">
      <c r="LM2934" t="str">
        <v/>
      </c>
      <c r="LN2934" t="str">
        <v/>
      </c>
      <c r="LO2934" t="str">
        <v/>
      </c>
    </row>
    <row r="2935" spans="325:327">
      <c r="LM2935" t="str">
        <v/>
      </c>
      <c r="LN2935" t="str">
        <v/>
      </c>
      <c r="LO2935" t="str">
        <v/>
      </c>
    </row>
    <row r="2936" spans="325:327">
      <c r="LM2936" t="str">
        <v/>
      </c>
      <c r="LN2936" t="str">
        <v/>
      </c>
      <c r="LO2936" t="str">
        <v/>
      </c>
    </row>
    <row r="2937" spans="325:327">
      <c r="LM2937" t="str">
        <v/>
      </c>
      <c r="LN2937" t="str">
        <v/>
      </c>
      <c r="LO2937" t="str">
        <v/>
      </c>
    </row>
    <row r="2938" spans="325:327">
      <c r="LM2938" t="str">
        <v/>
      </c>
      <c r="LN2938" t="str">
        <v/>
      </c>
      <c r="LO2938" t="str">
        <v/>
      </c>
    </row>
    <row r="2939" spans="325:327">
      <c r="LM2939" t="str">
        <v/>
      </c>
      <c r="LN2939" t="str">
        <v/>
      </c>
      <c r="LO2939" t="str">
        <v/>
      </c>
    </row>
    <row r="2940" spans="325:327">
      <c r="LM2940" t="str">
        <v/>
      </c>
      <c r="LN2940" t="str">
        <v/>
      </c>
      <c r="LO2940" t="str">
        <v/>
      </c>
    </row>
    <row r="2941" spans="325:327">
      <c r="LM2941" t="str">
        <v/>
      </c>
      <c r="LN2941" t="str">
        <v/>
      </c>
      <c r="LO2941" t="str">
        <v/>
      </c>
    </row>
    <row r="2942" spans="325:327">
      <c r="LM2942" t="str">
        <v/>
      </c>
      <c r="LN2942" t="str">
        <v/>
      </c>
      <c r="LO2942" t="str">
        <v/>
      </c>
    </row>
    <row r="2943" spans="325:327">
      <c r="LM2943" t="str">
        <v/>
      </c>
      <c r="LN2943" t="str">
        <v/>
      </c>
      <c r="LO2943" t="str">
        <v/>
      </c>
    </row>
    <row r="2944" spans="325:327">
      <c r="LM2944" t="str">
        <v/>
      </c>
      <c r="LN2944" t="str">
        <v/>
      </c>
      <c r="LO2944" t="str">
        <v/>
      </c>
    </row>
    <row r="2945" spans="325:327">
      <c r="LM2945" t="str">
        <v/>
      </c>
      <c r="LN2945" t="str">
        <v/>
      </c>
      <c r="LO2945" t="str">
        <v/>
      </c>
    </row>
    <row r="2946" spans="325:327">
      <c r="LM2946" t="str">
        <v/>
      </c>
      <c r="LN2946" t="str">
        <v/>
      </c>
      <c r="LO2946" t="str">
        <v/>
      </c>
    </row>
    <row r="2947" spans="325:327">
      <c r="LM2947" t="str">
        <v/>
      </c>
      <c r="LN2947" t="str">
        <v/>
      </c>
      <c r="LO2947" t="str">
        <v/>
      </c>
    </row>
    <row r="2948" spans="325:327">
      <c r="LM2948" t="str">
        <v/>
      </c>
      <c r="LN2948" t="str">
        <v/>
      </c>
      <c r="LO2948" t="str">
        <v/>
      </c>
    </row>
    <row r="2949" spans="325:327">
      <c r="LM2949" t="str">
        <v/>
      </c>
      <c r="LN2949" t="str">
        <v/>
      </c>
      <c r="LO2949" t="str">
        <v/>
      </c>
    </row>
    <row r="2950" spans="325:327">
      <c r="LM2950" t="str">
        <v/>
      </c>
      <c r="LN2950" t="str">
        <v/>
      </c>
      <c r="LO2950" t="str">
        <v/>
      </c>
    </row>
    <row r="2951" spans="325:327">
      <c r="LM2951" t="str">
        <v/>
      </c>
      <c r="LN2951" t="str">
        <v/>
      </c>
      <c r="LO2951" t="str">
        <v/>
      </c>
    </row>
    <row r="2952" spans="325:327">
      <c r="LM2952" t="str">
        <v/>
      </c>
      <c r="LN2952" t="str">
        <v/>
      </c>
      <c r="LO2952" t="str">
        <v/>
      </c>
    </row>
    <row r="2953" spans="325:327">
      <c r="LM2953" t="str">
        <v/>
      </c>
      <c r="LN2953" t="str">
        <v/>
      </c>
      <c r="LO2953" t="str">
        <v/>
      </c>
    </row>
    <row r="2954" spans="325:327">
      <c r="LM2954" t="str">
        <v/>
      </c>
      <c r="LN2954" t="str">
        <v/>
      </c>
      <c r="LO2954" t="str">
        <v/>
      </c>
    </row>
    <row r="2955" spans="325:327">
      <c r="LM2955" t="str">
        <v/>
      </c>
      <c r="LN2955" t="str">
        <v/>
      </c>
      <c r="LO2955" t="str">
        <v/>
      </c>
    </row>
    <row r="2956" spans="325:327">
      <c r="LM2956" t="str">
        <v/>
      </c>
      <c r="LN2956" t="str">
        <v/>
      </c>
      <c r="LO2956" t="str">
        <v/>
      </c>
    </row>
    <row r="2957" spans="325:327">
      <c r="LM2957" t="str">
        <v/>
      </c>
      <c r="LN2957" t="str">
        <v/>
      </c>
      <c r="LO2957" t="str">
        <v/>
      </c>
    </row>
    <row r="2958" spans="325:327">
      <c r="LM2958" t="str">
        <v/>
      </c>
      <c r="LN2958" t="str">
        <v/>
      </c>
      <c r="LO2958" t="str">
        <v/>
      </c>
    </row>
    <row r="2959" spans="325:327">
      <c r="LM2959" t="str">
        <v/>
      </c>
      <c r="LN2959" t="str">
        <v/>
      </c>
      <c r="LO2959" t="str">
        <v/>
      </c>
    </row>
    <row r="2960" spans="325:327">
      <c r="LM2960" t="str">
        <v/>
      </c>
      <c r="LN2960" t="str">
        <v/>
      </c>
      <c r="LO2960" t="str">
        <v/>
      </c>
    </row>
    <row r="2961" spans="325:327">
      <c r="LM2961" t="str">
        <v/>
      </c>
      <c r="LN2961" t="str">
        <v/>
      </c>
      <c r="LO2961" t="str">
        <v/>
      </c>
    </row>
    <row r="2962" spans="325:327">
      <c r="LM2962" t="str">
        <v/>
      </c>
      <c r="LN2962" t="str">
        <v/>
      </c>
      <c r="LO2962" t="str">
        <v/>
      </c>
    </row>
    <row r="2963" spans="325:327">
      <c r="LM2963" t="str">
        <v/>
      </c>
      <c r="LN2963" t="str">
        <v/>
      </c>
      <c r="LO2963" t="str">
        <v/>
      </c>
    </row>
    <row r="2964" spans="325:327">
      <c r="LM2964" t="str">
        <v/>
      </c>
      <c r="LN2964" t="str">
        <v/>
      </c>
      <c r="LO2964" t="str">
        <v/>
      </c>
    </row>
    <row r="2965" spans="325:327">
      <c r="LM2965" t="str">
        <v/>
      </c>
      <c r="LN2965" t="str">
        <v/>
      </c>
      <c r="LO2965" t="str">
        <v/>
      </c>
    </row>
    <row r="2966" spans="325:327">
      <c r="LM2966" t="str">
        <v/>
      </c>
      <c r="LN2966" t="str">
        <v/>
      </c>
      <c r="LO2966" t="str">
        <v/>
      </c>
    </row>
    <row r="2967" spans="325:327">
      <c r="LM2967" t="str">
        <v/>
      </c>
      <c r="LN2967" t="str">
        <v/>
      </c>
      <c r="LO2967" t="str">
        <v/>
      </c>
    </row>
    <row r="2968" spans="325:327">
      <c r="LM2968" t="str">
        <v/>
      </c>
      <c r="LN2968" t="str">
        <v/>
      </c>
      <c r="LO2968" t="str">
        <v/>
      </c>
    </row>
    <row r="2969" spans="325:327">
      <c r="LM2969" t="str">
        <v/>
      </c>
      <c r="LN2969" t="str">
        <v/>
      </c>
      <c r="LO2969" t="str">
        <v/>
      </c>
    </row>
    <row r="2970" spans="325:327">
      <c r="LM2970" t="str">
        <v/>
      </c>
      <c r="LN2970" t="str">
        <v/>
      </c>
      <c r="LO2970" t="str">
        <v/>
      </c>
    </row>
    <row r="2971" spans="325:327">
      <c r="LM2971" t="str">
        <v/>
      </c>
      <c r="LN2971" t="str">
        <v/>
      </c>
      <c r="LO2971" t="str">
        <v/>
      </c>
    </row>
    <row r="2972" spans="325:327">
      <c r="LM2972" t="str">
        <v/>
      </c>
      <c r="LN2972" t="str">
        <v/>
      </c>
      <c r="LO2972" t="str">
        <v/>
      </c>
    </row>
    <row r="2973" spans="325:327">
      <c r="LM2973" t="str">
        <v/>
      </c>
      <c r="LN2973" t="str">
        <v/>
      </c>
      <c r="LO2973" t="str">
        <v/>
      </c>
    </row>
    <row r="2974" spans="325:327">
      <c r="LM2974" t="str">
        <v/>
      </c>
      <c r="LN2974" t="str">
        <v/>
      </c>
      <c r="LO2974" t="str">
        <v/>
      </c>
    </row>
    <row r="2975" spans="325:327">
      <c r="LM2975" t="str">
        <v/>
      </c>
      <c r="LN2975" t="str">
        <v/>
      </c>
      <c r="LO2975" t="str">
        <v/>
      </c>
    </row>
    <row r="2976" spans="325:327">
      <c r="LM2976" t="str">
        <v/>
      </c>
      <c r="LN2976" t="str">
        <v/>
      </c>
      <c r="LO2976" t="str">
        <v/>
      </c>
    </row>
    <row r="2977" spans="325:327">
      <c r="LM2977" t="str">
        <v/>
      </c>
      <c r="LN2977" t="str">
        <v/>
      </c>
      <c r="LO2977" t="str">
        <v/>
      </c>
    </row>
    <row r="2978" spans="325:327">
      <c r="LM2978" t="str">
        <v/>
      </c>
      <c r="LN2978" t="str">
        <v/>
      </c>
      <c r="LO2978" t="str">
        <v/>
      </c>
    </row>
    <row r="2979" spans="325:327">
      <c r="LM2979" t="str">
        <v/>
      </c>
      <c r="LN2979" t="str">
        <v/>
      </c>
      <c r="LO2979" t="str">
        <v/>
      </c>
    </row>
    <row r="2980" spans="325:327">
      <c r="LM2980" t="str">
        <v/>
      </c>
      <c r="LN2980" t="str">
        <v/>
      </c>
      <c r="LO2980" t="str">
        <v/>
      </c>
    </row>
    <row r="2981" spans="325:327">
      <c r="LM2981" t="str">
        <v/>
      </c>
      <c r="LN2981" t="str">
        <v/>
      </c>
      <c r="LO2981" t="str">
        <v/>
      </c>
    </row>
    <row r="2982" spans="325:327">
      <c r="LM2982" t="str">
        <v/>
      </c>
      <c r="LN2982" t="str">
        <v/>
      </c>
      <c r="LO2982" t="str">
        <v/>
      </c>
    </row>
    <row r="2983" spans="325:327">
      <c r="LM2983" t="str">
        <v/>
      </c>
      <c r="LN2983" t="str">
        <v/>
      </c>
      <c r="LO2983" t="str">
        <v/>
      </c>
    </row>
    <row r="2984" spans="325:327">
      <c r="LM2984" t="str">
        <v/>
      </c>
      <c r="LN2984" t="str">
        <v/>
      </c>
      <c r="LO2984" t="str">
        <v/>
      </c>
    </row>
    <row r="2985" spans="325:327">
      <c r="LM2985" t="str">
        <v/>
      </c>
      <c r="LN2985" t="str">
        <v/>
      </c>
      <c r="LO2985" t="str">
        <v/>
      </c>
    </row>
    <row r="2986" spans="325:327">
      <c r="LM2986" t="str">
        <v/>
      </c>
      <c r="LN2986" t="str">
        <v/>
      </c>
      <c r="LO2986" t="str">
        <v/>
      </c>
    </row>
    <row r="2987" spans="325:327">
      <c r="LM2987" t="str">
        <v/>
      </c>
      <c r="LN2987" t="str">
        <v/>
      </c>
      <c r="LO2987" t="str">
        <v/>
      </c>
    </row>
    <row r="2988" spans="325:327">
      <c r="LM2988" t="str">
        <v/>
      </c>
      <c r="LN2988" t="str">
        <v/>
      </c>
      <c r="LO2988" t="str">
        <v/>
      </c>
    </row>
    <row r="2989" spans="325:327">
      <c r="LM2989" t="str">
        <v/>
      </c>
      <c r="LN2989" t="str">
        <v/>
      </c>
      <c r="LO2989" t="str">
        <v/>
      </c>
    </row>
    <row r="2990" spans="325:327">
      <c r="LM2990" t="str">
        <v/>
      </c>
      <c r="LN2990" t="str">
        <v/>
      </c>
      <c r="LO2990" t="str">
        <v/>
      </c>
    </row>
    <row r="2991" spans="325:327">
      <c r="LM2991" t="str">
        <v/>
      </c>
      <c r="LN2991" t="str">
        <v/>
      </c>
      <c r="LO2991" t="str">
        <v/>
      </c>
    </row>
    <row r="2992" spans="325:327">
      <c r="LM2992" t="str">
        <v/>
      </c>
      <c r="LN2992" t="str">
        <v/>
      </c>
      <c r="LO2992" t="str">
        <v/>
      </c>
    </row>
    <row r="2993" spans="325:327">
      <c r="LM2993" t="str">
        <v/>
      </c>
      <c r="LN2993" t="str">
        <v/>
      </c>
      <c r="LO2993" t="str">
        <v/>
      </c>
    </row>
    <row r="2994" spans="325:327">
      <c r="LM2994" t="str">
        <v/>
      </c>
      <c r="LN2994" t="str">
        <v/>
      </c>
      <c r="LO2994" t="str">
        <v/>
      </c>
    </row>
    <row r="2995" spans="325:327">
      <c r="LM2995" t="str">
        <v/>
      </c>
      <c r="LN2995" t="str">
        <v/>
      </c>
      <c r="LO2995" t="str">
        <v/>
      </c>
    </row>
    <row r="2996" spans="325:327">
      <c r="LM2996" t="str">
        <v/>
      </c>
      <c r="LN2996" t="str">
        <v/>
      </c>
      <c r="LO2996" t="str">
        <v/>
      </c>
    </row>
    <row r="2997" spans="325:327">
      <c r="LM2997" t="str">
        <v/>
      </c>
      <c r="LN2997" t="str">
        <v/>
      </c>
      <c r="LO2997" t="str">
        <v/>
      </c>
    </row>
    <row r="2998" spans="325:327">
      <c r="LM2998" t="str">
        <v/>
      </c>
      <c r="LN2998" t="str">
        <v/>
      </c>
      <c r="LO2998" t="str">
        <v/>
      </c>
    </row>
    <row r="2999" spans="325:327">
      <c r="LM2999" t="str">
        <v/>
      </c>
      <c r="LN2999" t="str">
        <v/>
      </c>
      <c r="LO2999" t="str">
        <v/>
      </c>
    </row>
    <row r="3000" spans="325:327">
      <c r="LM3000" t="str">
        <v/>
      </c>
      <c r="LN3000" t="str">
        <v/>
      </c>
      <c r="LO3000" t="str">
        <v/>
      </c>
    </row>
    <row r="3001" spans="325:327">
      <c r="LM3001" t="str">
        <v/>
      </c>
      <c r="LN3001" t="str">
        <v/>
      </c>
      <c r="LO3001" t="str">
        <v/>
      </c>
    </row>
    <row r="3002" spans="325:327">
      <c r="LM3002" t="str">
        <v/>
      </c>
      <c r="LN3002" t="str">
        <v/>
      </c>
      <c r="LO3002" t="str">
        <v/>
      </c>
    </row>
    <row r="3003" spans="325:327">
      <c r="LM3003" t="str">
        <v/>
      </c>
      <c r="LN3003" t="str">
        <v/>
      </c>
      <c r="LO3003" t="str">
        <v/>
      </c>
    </row>
    <row r="3004" spans="325:327">
      <c r="LM3004" t="str">
        <v/>
      </c>
      <c r="LN3004" t="str">
        <v/>
      </c>
      <c r="LO3004" t="str">
        <v/>
      </c>
    </row>
    <row r="3005" spans="325:327">
      <c r="LM3005" t="str">
        <v/>
      </c>
      <c r="LN3005" t="str">
        <v/>
      </c>
      <c r="LO3005" t="str">
        <v/>
      </c>
    </row>
    <row r="3006" spans="325:327">
      <c r="LN3006" t="str">
        <v/>
      </c>
      <c r="LO3006" t="str">
        <v/>
      </c>
    </row>
    <row r="3007" spans="325:327">
      <c r="LN3007" t="str">
        <v/>
      </c>
      <c r="LO3007" t="str">
        <v/>
      </c>
    </row>
    <row r="3008" spans="325:327">
      <c r="LN3008" t="str">
        <v/>
      </c>
      <c r="LO3008" t="str">
        <v/>
      </c>
    </row>
    <row r="3009" spans="326:327">
      <c r="LN3009" t="str">
        <v/>
      </c>
      <c r="LO3009" t="str">
        <v/>
      </c>
    </row>
    <row r="3010" spans="326:327">
      <c r="LN3010" t="str">
        <v/>
      </c>
      <c r="LO3010" t="str">
        <v/>
      </c>
    </row>
    <row r="3011" spans="326:327">
      <c r="LN3011" t="str">
        <v/>
      </c>
      <c r="LO3011" t="str">
        <v/>
      </c>
    </row>
    <row r="3012" spans="326:327">
      <c r="LN3012" t="str">
        <v/>
      </c>
      <c r="LO3012" t="str">
        <v/>
      </c>
    </row>
    <row r="3013" spans="326:327">
      <c r="LN3013" t="str">
        <v/>
      </c>
      <c r="LO3013" t="str">
        <v/>
      </c>
    </row>
    <row r="3014" spans="326:327">
      <c r="LN3014" t="str">
        <v/>
      </c>
      <c r="LO3014" t="str">
        <v/>
      </c>
    </row>
    <row r="3015" spans="326:327">
      <c r="LN3015" t="str">
        <v/>
      </c>
      <c r="LO3015" t="str">
        <v/>
      </c>
    </row>
    <row r="3016" spans="326:327">
      <c r="LN3016" t="str">
        <v/>
      </c>
      <c r="LO3016" t="str">
        <v/>
      </c>
    </row>
    <row r="3017" spans="326:327">
      <c r="LN3017" t="str">
        <v/>
      </c>
      <c r="LO3017" t="str">
        <v/>
      </c>
    </row>
    <row r="3018" spans="326:327">
      <c r="LN3018" t="str">
        <v/>
      </c>
      <c r="LO3018" t="str">
        <v/>
      </c>
    </row>
    <row r="3019" spans="326:327">
      <c r="LN3019" t="str">
        <v/>
      </c>
      <c r="LO3019" t="str">
        <v/>
      </c>
    </row>
    <row r="3020" spans="326:327">
      <c r="LN3020" t="str">
        <v/>
      </c>
      <c r="LO3020" t="str">
        <v/>
      </c>
    </row>
    <row r="3021" spans="326:327">
      <c r="LN3021" t="str">
        <v/>
      </c>
      <c r="LO3021" t="str">
        <v/>
      </c>
    </row>
    <row r="3022" spans="326:327">
      <c r="LN3022" t="str">
        <v/>
      </c>
      <c r="LO3022" t="str">
        <v/>
      </c>
    </row>
    <row r="3023" spans="326:327">
      <c r="LN3023" t="str">
        <v/>
      </c>
      <c r="LO3023" t="str">
        <v/>
      </c>
    </row>
    <row r="3024" spans="326:327">
      <c r="LN3024" t="str">
        <v/>
      </c>
      <c r="LO3024" t="str">
        <v/>
      </c>
    </row>
    <row r="3025" spans="326:327">
      <c r="LN3025" t="str">
        <v/>
      </c>
      <c r="LO3025" t="str">
        <v/>
      </c>
    </row>
    <row r="3026" spans="326:327">
      <c r="LN3026" t="str">
        <v/>
      </c>
      <c r="LO3026" t="str">
        <v/>
      </c>
    </row>
    <row r="3027" spans="326:327">
      <c r="LN3027" t="str">
        <v/>
      </c>
      <c r="LO3027" t="str">
        <v/>
      </c>
    </row>
    <row r="3028" spans="326:327">
      <c r="LN3028" t="str">
        <v/>
      </c>
      <c r="LO3028" t="str">
        <v/>
      </c>
    </row>
    <row r="3029" spans="326:327">
      <c r="LN3029" t="str">
        <v/>
      </c>
      <c r="LO3029" t="str">
        <v/>
      </c>
    </row>
    <row r="3030" spans="326:327">
      <c r="LN3030" t="str">
        <v/>
      </c>
      <c r="LO3030" t="str">
        <v/>
      </c>
    </row>
    <row r="3031" spans="326:327">
      <c r="LN3031" t="str">
        <v/>
      </c>
      <c r="LO3031" t="str">
        <v/>
      </c>
    </row>
    <row r="3032" spans="326:327">
      <c r="LN3032" t="str">
        <v/>
      </c>
      <c r="LO3032" t="str">
        <v/>
      </c>
    </row>
    <row r="3033" spans="326:327">
      <c r="LN3033" t="str">
        <v/>
      </c>
      <c r="LO3033" t="str">
        <v/>
      </c>
    </row>
    <row r="3034" spans="326:327">
      <c r="LN3034" t="str">
        <v/>
      </c>
      <c r="LO3034" t="str">
        <v/>
      </c>
    </row>
    <row r="3035" spans="326:327">
      <c r="LN3035" t="str">
        <v/>
      </c>
      <c r="LO3035" t="str">
        <v/>
      </c>
    </row>
    <row r="3036" spans="326:327">
      <c r="LN3036" t="str">
        <v/>
      </c>
      <c r="LO3036" t="str">
        <v/>
      </c>
    </row>
    <row r="3037" spans="326:327">
      <c r="LN3037" t="str">
        <v/>
      </c>
      <c r="LO3037" t="str">
        <v/>
      </c>
    </row>
    <row r="3038" spans="326:327">
      <c r="LN3038" t="str">
        <v/>
      </c>
      <c r="LO3038" t="str">
        <v/>
      </c>
    </row>
    <row r="3039" spans="326:327">
      <c r="LN3039" t="str">
        <v/>
      </c>
      <c r="LO3039" t="str">
        <v/>
      </c>
    </row>
    <row r="3040" spans="326:327">
      <c r="LN3040" t="str">
        <v/>
      </c>
      <c r="LO3040" t="str">
        <v/>
      </c>
    </row>
    <row r="3041" spans="326:327">
      <c r="LN3041" t="str">
        <v/>
      </c>
      <c r="LO3041" t="str">
        <v/>
      </c>
    </row>
    <row r="3042" spans="326:327">
      <c r="LN3042" t="str">
        <v/>
      </c>
      <c r="LO3042" t="str">
        <v/>
      </c>
    </row>
    <row r="3043" spans="326:327">
      <c r="LN3043" t="str">
        <v/>
      </c>
      <c r="LO3043" t="str">
        <v/>
      </c>
    </row>
    <row r="3044" spans="326:327">
      <c r="LN3044" t="str">
        <v/>
      </c>
      <c r="LO3044" t="str">
        <v/>
      </c>
    </row>
    <row r="3045" spans="326:327">
      <c r="LN3045" t="str">
        <v/>
      </c>
      <c r="LO3045" t="str">
        <v/>
      </c>
    </row>
    <row r="3046" spans="326:327">
      <c r="LN3046" t="str">
        <v/>
      </c>
      <c r="LO3046" t="str">
        <v/>
      </c>
    </row>
    <row r="3047" spans="326:327">
      <c r="LN3047" t="str">
        <v/>
      </c>
      <c r="LO3047" t="str">
        <v/>
      </c>
    </row>
    <row r="3048" spans="326:327">
      <c r="LN3048" t="str">
        <v/>
      </c>
      <c r="LO3048" t="str">
        <v/>
      </c>
    </row>
    <row r="3049" spans="326:327">
      <c r="LN3049" t="str">
        <v/>
      </c>
      <c r="LO3049" t="str">
        <v/>
      </c>
    </row>
    <row r="3050" spans="326:327">
      <c r="LN3050" t="str">
        <v/>
      </c>
      <c r="LO3050" t="str">
        <v/>
      </c>
    </row>
    <row r="3051" spans="326:327">
      <c r="LN3051" t="str">
        <v/>
      </c>
      <c r="LO3051" t="str">
        <v/>
      </c>
    </row>
    <row r="3052" spans="326:327">
      <c r="LN3052" t="str">
        <v/>
      </c>
      <c r="LO3052" t="str">
        <v/>
      </c>
    </row>
    <row r="3053" spans="326:327">
      <c r="LN3053" t="str">
        <v/>
      </c>
      <c r="LO3053" t="str">
        <v/>
      </c>
    </row>
    <row r="3054" spans="326:327">
      <c r="LN3054" t="str">
        <v/>
      </c>
      <c r="LO3054" t="str">
        <v/>
      </c>
    </row>
    <row r="3055" spans="326:327">
      <c r="LN3055" t="str">
        <v/>
      </c>
      <c r="LO3055" t="str">
        <v/>
      </c>
    </row>
    <row r="3056" spans="326:327">
      <c r="LN3056" t="str">
        <v/>
      </c>
      <c r="LO3056" t="str">
        <v/>
      </c>
    </row>
    <row r="3057" spans="326:327">
      <c r="LN3057" t="str">
        <v/>
      </c>
      <c r="LO3057" t="str">
        <v/>
      </c>
    </row>
    <row r="3058" spans="326:327">
      <c r="LN3058" t="str">
        <v/>
      </c>
      <c r="LO3058" t="str">
        <v/>
      </c>
    </row>
    <row r="3059" spans="326:327">
      <c r="LN3059" t="str">
        <v/>
      </c>
      <c r="LO3059" t="str">
        <v/>
      </c>
    </row>
    <row r="3060" spans="326:327">
      <c r="LN3060" t="str">
        <v/>
      </c>
      <c r="LO3060" t="str">
        <v/>
      </c>
    </row>
    <row r="3061" spans="326:327">
      <c r="LN3061" t="str">
        <v/>
      </c>
      <c r="LO3061" t="str">
        <v/>
      </c>
    </row>
    <row r="3062" spans="326:327">
      <c r="LN3062" t="str">
        <v/>
      </c>
      <c r="LO3062" t="str">
        <v/>
      </c>
    </row>
    <row r="3063" spans="326:327">
      <c r="LN3063" t="str">
        <v/>
      </c>
      <c r="LO3063" t="str">
        <v/>
      </c>
    </row>
    <row r="3064" spans="326:327">
      <c r="LN3064" t="str">
        <v/>
      </c>
      <c r="LO3064" t="str">
        <v/>
      </c>
    </row>
    <row r="3065" spans="326:327">
      <c r="LN3065" t="str">
        <v/>
      </c>
      <c r="LO3065" t="str">
        <v/>
      </c>
    </row>
    <row r="3066" spans="326:327">
      <c r="LN3066" t="str">
        <v/>
      </c>
      <c r="LO3066" t="str">
        <v/>
      </c>
    </row>
    <row r="3067" spans="326:327">
      <c r="LN3067" t="str">
        <v/>
      </c>
      <c r="LO3067" t="str">
        <v/>
      </c>
    </row>
    <row r="3068" spans="326:327">
      <c r="LN3068" t="str">
        <v/>
      </c>
      <c r="LO3068" t="str">
        <v/>
      </c>
    </row>
    <row r="3069" spans="326:327">
      <c r="LN3069" t="str">
        <v/>
      </c>
      <c r="LO3069" t="str">
        <v/>
      </c>
    </row>
    <row r="3070" spans="326:327">
      <c r="LN3070" t="str">
        <v/>
      </c>
      <c r="LO3070" t="str">
        <v/>
      </c>
    </row>
    <row r="3071" spans="326:327">
      <c r="LN3071" t="str">
        <v/>
      </c>
      <c r="LO3071" t="str">
        <v/>
      </c>
    </row>
    <row r="3072" spans="326:327">
      <c r="LN3072" t="str">
        <v/>
      </c>
      <c r="LO3072" t="str">
        <v/>
      </c>
    </row>
    <row r="3073" spans="326:327">
      <c r="LN3073" t="str">
        <v/>
      </c>
      <c r="LO3073" t="str">
        <v/>
      </c>
    </row>
    <row r="3074" spans="326:327">
      <c r="LN3074" t="str">
        <v/>
      </c>
      <c r="LO3074" t="str">
        <v/>
      </c>
    </row>
    <row r="3075" spans="326:327">
      <c r="LN3075" t="str">
        <v/>
      </c>
      <c r="LO3075" t="str">
        <v/>
      </c>
    </row>
    <row r="3076" spans="326:327">
      <c r="LN3076" t="str">
        <v/>
      </c>
      <c r="LO3076" t="str">
        <v/>
      </c>
    </row>
    <row r="3077" spans="326:327">
      <c r="LN3077" t="str">
        <v/>
      </c>
      <c r="LO3077" t="str">
        <v/>
      </c>
    </row>
    <row r="3078" spans="326:327">
      <c r="LN3078" t="str">
        <v/>
      </c>
      <c r="LO3078" t="str">
        <v/>
      </c>
    </row>
    <row r="3079" spans="326:327">
      <c r="LN3079" t="str">
        <v/>
      </c>
      <c r="LO3079" t="str">
        <v/>
      </c>
    </row>
    <row r="3080" spans="326:327">
      <c r="LN3080" t="str">
        <v/>
      </c>
      <c r="LO3080" t="str">
        <v/>
      </c>
    </row>
    <row r="3081" spans="326:327">
      <c r="LN3081" t="str">
        <v/>
      </c>
      <c r="LO3081" t="str">
        <v/>
      </c>
    </row>
    <row r="3082" spans="326:327">
      <c r="LN3082" t="str">
        <v/>
      </c>
      <c r="LO3082" t="str">
        <v/>
      </c>
    </row>
    <row r="3083" spans="326:327">
      <c r="LN3083" t="str">
        <v/>
      </c>
      <c r="LO3083" t="str">
        <v/>
      </c>
    </row>
    <row r="3084" spans="326:327">
      <c r="LN3084" t="str">
        <v/>
      </c>
      <c r="LO3084" t="str">
        <v/>
      </c>
    </row>
    <row r="3085" spans="326:327">
      <c r="LN3085" t="str">
        <v/>
      </c>
      <c r="LO3085" t="str">
        <v/>
      </c>
    </row>
    <row r="3086" spans="326:327">
      <c r="LN3086" t="str">
        <v/>
      </c>
      <c r="LO3086" t="str">
        <v/>
      </c>
    </row>
    <row r="3087" spans="326:327">
      <c r="LN3087" t="str">
        <v/>
      </c>
      <c r="LO3087" t="str">
        <v/>
      </c>
    </row>
    <row r="3088" spans="326:327">
      <c r="LN3088" t="str">
        <v/>
      </c>
      <c r="LO3088" t="str">
        <v/>
      </c>
    </row>
    <row r="3089" spans="326:327">
      <c r="LN3089" t="str">
        <v/>
      </c>
      <c r="LO3089" t="str">
        <v/>
      </c>
    </row>
    <row r="3090" spans="326:327">
      <c r="LN3090" t="str">
        <v/>
      </c>
      <c r="LO3090" t="str">
        <v/>
      </c>
    </row>
    <row r="3091" spans="326:327">
      <c r="LN3091" t="str">
        <v/>
      </c>
      <c r="LO3091" t="str">
        <v/>
      </c>
    </row>
    <row r="3092" spans="326:327">
      <c r="LN3092" t="str">
        <v/>
      </c>
      <c r="LO3092" t="str">
        <v/>
      </c>
    </row>
    <row r="3093" spans="326:327">
      <c r="LN3093" t="str">
        <v/>
      </c>
      <c r="LO3093" t="str">
        <v/>
      </c>
    </row>
    <row r="3094" spans="326:327">
      <c r="LN3094" t="str">
        <v/>
      </c>
      <c r="LO3094" t="str">
        <v/>
      </c>
    </row>
    <row r="3095" spans="326:327">
      <c r="LN3095" t="str">
        <v/>
      </c>
      <c r="LO3095" t="str">
        <v/>
      </c>
    </row>
    <row r="3096" spans="326:327">
      <c r="LN3096" t="str">
        <v/>
      </c>
      <c r="LO3096" t="str">
        <v/>
      </c>
    </row>
    <row r="3097" spans="326:327">
      <c r="LN3097" t="str">
        <v/>
      </c>
      <c r="LO3097" t="str">
        <v/>
      </c>
    </row>
    <row r="3098" spans="326:327">
      <c r="LN3098" t="str">
        <v/>
      </c>
      <c r="LO3098" t="str">
        <v/>
      </c>
    </row>
    <row r="3099" spans="326:327">
      <c r="LN3099" t="str">
        <v/>
      </c>
      <c r="LO3099" t="str">
        <v/>
      </c>
    </row>
    <row r="3100" spans="326:327">
      <c r="LN3100" t="str">
        <v/>
      </c>
      <c r="LO3100" t="str">
        <v/>
      </c>
    </row>
    <row r="3101" spans="326:327">
      <c r="LN3101" t="str">
        <v/>
      </c>
      <c r="LO3101" t="str">
        <v/>
      </c>
    </row>
    <row r="3102" spans="326:327">
      <c r="LN3102" t="str">
        <v/>
      </c>
      <c r="LO3102" t="str">
        <v/>
      </c>
    </row>
    <row r="3103" spans="326:327">
      <c r="LN3103" t="str">
        <v/>
      </c>
      <c r="LO3103" t="str">
        <v/>
      </c>
    </row>
    <row r="3104" spans="326:327">
      <c r="LN3104" t="str">
        <v/>
      </c>
      <c r="LO3104" t="str">
        <v/>
      </c>
    </row>
    <row r="3105" spans="326:327">
      <c r="LN3105" t="str">
        <v/>
      </c>
      <c r="LO3105" t="str">
        <v/>
      </c>
    </row>
    <row r="3106" spans="326:327">
      <c r="LN3106" t="str">
        <v/>
      </c>
      <c r="LO3106" t="str">
        <v/>
      </c>
    </row>
    <row r="3107" spans="326:327">
      <c r="LN3107" t="str">
        <v/>
      </c>
      <c r="LO3107" t="str">
        <v/>
      </c>
    </row>
    <row r="3108" spans="326:327">
      <c r="LN3108" t="str">
        <v/>
      </c>
      <c r="LO3108" t="str">
        <v/>
      </c>
    </row>
    <row r="3109" spans="326:327">
      <c r="LN3109" t="str">
        <v/>
      </c>
      <c r="LO3109" t="str">
        <v/>
      </c>
    </row>
    <row r="3110" spans="326:327">
      <c r="LN3110" t="str">
        <v/>
      </c>
      <c r="LO3110" t="str">
        <v/>
      </c>
    </row>
    <row r="3111" spans="326:327">
      <c r="LN3111" t="str">
        <v/>
      </c>
      <c r="LO3111" t="str">
        <v/>
      </c>
    </row>
    <row r="3112" spans="326:327">
      <c r="LN3112" t="str">
        <v/>
      </c>
      <c r="LO3112" t="str">
        <v/>
      </c>
    </row>
    <row r="3113" spans="326:327">
      <c r="LN3113" t="str">
        <v/>
      </c>
      <c r="LO3113" t="str">
        <v/>
      </c>
    </row>
    <row r="3114" spans="326:327">
      <c r="LN3114" t="str">
        <v/>
      </c>
      <c r="LO3114" t="str">
        <v/>
      </c>
    </row>
    <row r="3115" spans="326:327">
      <c r="LN3115" t="str">
        <v/>
      </c>
      <c r="LO3115" t="str">
        <v/>
      </c>
    </row>
    <row r="3116" spans="326:327">
      <c r="LN3116" t="str">
        <v/>
      </c>
      <c r="LO3116" t="str">
        <v/>
      </c>
    </row>
    <row r="3117" spans="326:327">
      <c r="LN3117" t="str">
        <v/>
      </c>
      <c r="LO3117" t="str">
        <v/>
      </c>
    </row>
    <row r="3118" spans="326:327">
      <c r="LN3118" t="str">
        <v/>
      </c>
      <c r="LO3118" t="str">
        <v/>
      </c>
    </row>
    <row r="3119" spans="326:327">
      <c r="LN3119" t="str">
        <v/>
      </c>
      <c r="LO3119" t="str">
        <v/>
      </c>
    </row>
    <row r="3120" spans="326:327">
      <c r="LN3120" t="str">
        <v/>
      </c>
      <c r="LO3120" t="str">
        <v/>
      </c>
    </row>
    <row r="3121" spans="326:327">
      <c r="LN3121" t="str">
        <v/>
      </c>
      <c r="LO3121" t="str">
        <v/>
      </c>
    </row>
    <row r="3122" spans="326:327">
      <c r="LN3122" t="str">
        <v/>
      </c>
      <c r="LO3122" t="str">
        <v/>
      </c>
    </row>
    <row r="3123" spans="326:327">
      <c r="LN3123" t="str">
        <v/>
      </c>
      <c r="LO3123" t="str">
        <v/>
      </c>
    </row>
    <row r="3124" spans="326:327">
      <c r="LN3124" t="str">
        <v/>
      </c>
      <c r="LO3124" t="str">
        <v/>
      </c>
    </row>
    <row r="3125" spans="326:327">
      <c r="LN3125" t="str">
        <v/>
      </c>
      <c r="LO3125" t="str">
        <v/>
      </c>
    </row>
    <row r="3126" spans="326:327">
      <c r="LN3126" t="str">
        <v/>
      </c>
      <c r="LO3126" t="str">
        <v/>
      </c>
    </row>
    <row r="3127" spans="326:327">
      <c r="LN3127" t="str">
        <v/>
      </c>
      <c r="LO3127" t="str">
        <v/>
      </c>
    </row>
    <row r="3128" spans="326:327">
      <c r="LN3128" t="str">
        <v/>
      </c>
      <c r="LO3128" t="str">
        <v/>
      </c>
    </row>
    <row r="3129" spans="326:327">
      <c r="LN3129" t="str">
        <v/>
      </c>
      <c r="LO3129" t="str">
        <v/>
      </c>
    </row>
    <row r="3130" spans="326:327">
      <c r="LN3130" t="str">
        <v/>
      </c>
      <c r="LO3130" t="str">
        <v/>
      </c>
    </row>
    <row r="3131" spans="326:327">
      <c r="LN3131" t="str">
        <v/>
      </c>
      <c r="LO3131" t="str">
        <v/>
      </c>
    </row>
    <row r="3132" spans="326:327">
      <c r="LN3132" t="str">
        <v/>
      </c>
      <c r="LO3132" t="str">
        <v/>
      </c>
    </row>
    <row r="3133" spans="326:327">
      <c r="LN3133" t="str">
        <v/>
      </c>
      <c r="LO3133" t="str">
        <v/>
      </c>
    </row>
    <row r="3134" spans="326:327">
      <c r="LN3134" t="str">
        <v/>
      </c>
      <c r="LO3134" t="str">
        <v/>
      </c>
    </row>
    <row r="3135" spans="326:327">
      <c r="LN3135" t="str">
        <v/>
      </c>
      <c r="LO3135" t="str">
        <v/>
      </c>
    </row>
    <row r="3136" spans="326:327">
      <c r="LN3136" t="str">
        <v/>
      </c>
      <c r="LO3136" t="str">
        <v/>
      </c>
    </row>
    <row r="3137" spans="326:327">
      <c r="LN3137" t="str">
        <v/>
      </c>
      <c r="LO3137" t="str">
        <v/>
      </c>
    </row>
    <row r="3138" spans="326:327">
      <c r="LN3138" t="str">
        <v/>
      </c>
      <c r="LO3138" t="str">
        <v/>
      </c>
    </row>
    <row r="3139" spans="326:327">
      <c r="LN3139" t="str">
        <v/>
      </c>
      <c r="LO3139" t="str">
        <v/>
      </c>
    </row>
    <row r="3140" spans="326:327">
      <c r="LN3140" t="str">
        <v/>
      </c>
      <c r="LO3140" t="str">
        <v/>
      </c>
    </row>
    <row r="3141" spans="326:327">
      <c r="LN3141" t="str">
        <v/>
      </c>
      <c r="LO3141" t="str">
        <v/>
      </c>
    </row>
    <row r="3142" spans="326:327">
      <c r="LN3142" t="str">
        <v/>
      </c>
      <c r="LO3142" t="str">
        <v/>
      </c>
    </row>
    <row r="3143" spans="326:327">
      <c r="LN3143" t="str">
        <v/>
      </c>
      <c r="LO3143" t="str">
        <v/>
      </c>
    </row>
    <row r="3144" spans="326:327">
      <c r="LN3144" t="str">
        <v/>
      </c>
      <c r="LO3144" t="str">
        <v/>
      </c>
    </row>
    <row r="3145" spans="326:327">
      <c r="LN3145" t="str">
        <v/>
      </c>
      <c r="LO3145" t="str">
        <v/>
      </c>
    </row>
    <row r="3146" spans="326:327">
      <c r="LN3146" t="str">
        <v/>
      </c>
      <c r="LO3146" t="str">
        <v/>
      </c>
    </row>
    <row r="3147" spans="326:327">
      <c r="LN3147" t="str">
        <v/>
      </c>
      <c r="LO3147" t="str">
        <v/>
      </c>
    </row>
    <row r="3148" spans="326:327">
      <c r="LN3148" t="str">
        <v/>
      </c>
      <c r="LO3148" t="str">
        <v/>
      </c>
    </row>
    <row r="3149" spans="326:327">
      <c r="LN3149" t="str">
        <v/>
      </c>
      <c r="LO3149" t="str">
        <v/>
      </c>
    </row>
    <row r="3150" spans="326:327">
      <c r="LN3150" t="str">
        <v/>
      </c>
      <c r="LO3150" t="str">
        <v/>
      </c>
    </row>
    <row r="3151" spans="326:327">
      <c r="LN3151" t="str">
        <v/>
      </c>
      <c r="LO3151" t="str">
        <v/>
      </c>
    </row>
    <row r="3152" spans="326:327">
      <c r="LN3152" t="str">
        <v/>
      </c>
      <c r="LO3152" t="str">
        <v/>
      </c>
    </row>
    <row r="3153" spans="326:327">
      <c r="LN3153" t="str">
        <v/>
      </c>
      <c r="LO3153" t="str">
        <v/>
      </c>
    </row>
    <row r="3154" spans="326:327">
      <c r="LN3154" t="str">
        <v/>
      </c>
      <c r="LO3154" t="str">
        <v/>
      </c>
    </row>
    <row r="3155" spans="326:327">
      <c r="LN3155" t="str">
        <v/>
      </c>
      <c r="LO3155" t="str">
        <v/>
      </c>
    </row>
    <row r="3156" spans="326:327">
      <c r="LN3156" t="str">
        <v/>
      </c>
      <c r="LO3156" t="str">
        <v/>
      </c>
    </row>
    <row r="3157" spans="326:327">
      <c r="LN3157" t="str">
        <v/>
      </c>
      <c r="LO3157" t="str">
        <v/>
      </c>
    </row>
    <row r="3158" spans="326:327">
      <c r="LN3158" t="str">
        <v/>
      </c>
      <c r="LO3158" t="str">
        <v/>
      </c>
    </row>
    <row r="3159" spans="326:327">
      <c r="LN3159" t="str">
        <v/>
      </c>
      <c r="LO3159" t="str">
        <v/>
      </c>
    </row>
    <row r="3160" spans="326:327">
      <c r="LN3160" t="str">
        <v/>
      </c>
      <c r="LO3160" t="str">
        <v/>
      </c>
    </row>
    <row r="3161" spans="326:327">
      <c r="LN3161" t="str">
        <v/>
      </c>
      <c r="LO3161" t="str">
        <v/>
      </c>
    </row>
    <row r="3162" spans="326:327">
      <c r="LN3162" t="str">
        <v/>
      </c>
      <c r="LO3162" t="str">
        <v/>
      </c>
    </row>
    <row r="3163" spans="326:327">
      <c r="LN3163" t="str">
        <v/>
      </c>
      <c r="LO3163" t="str">
        <v/>
      </c>
    </row>
    <row r="3164" spans="326:327">
      <c r="LN3164" t="str">
        <v/>
      </c>
      <c r="LO3164" t="str">
        <v/>
      </c>
    </row>
    <row r="3165" spans="326:327">
      <c r="LN3165" t="str">
        <v/>
      </c>
      <c r="LO3165" t="str">
        <v/>
      </c>
    </row>
    <row r="3166" spans="326:327">
      <c r="LN3166" t="str">
        <v/>
      </c>
      <c r="LO3166" t="str">
        <v/>
      </c>
    </row>
    <row r="3167" spans="326:327">
      <c r="LN3167" t="str">
        <v/>
      </c>
      <c r="LO3167" t="str">
        <v/>
      </c>
    </row>
    <row r="3168" spans="326:327">
      <c r="LN3168" t="str">
        <v/>
      </c>
      <c r="LO3168" t="str">
        <v/>
      </c>
    </row>
    <row r="3169" spans="326:327">
      <c r="LN3169" t="str">
        <v/>
      </c>
      <c r="LO3169" t="str">
        <v/>
      </c>
    </row>
    <row r="3170" spans="326:327">
      <c r="LN3170" t="str">
        <v/>
      </c>
      <c r="LO3170" t="str">
        <v/>
      </c>
    </row>
    <row r="3171" spans="326:327">
      <c r="LN3171" t="str">
        <v/>
      </c>
      <c r="LO3171" t="str">
        <v/>
      </c>
    </row>
    <row r="3172" spans="326:327">
      <c r="LN3172" t="str">
        <v/>
      </c>
      <c r="LO3172" t="str">
        <v/>
      </c>
    </row>
    <row r="3173" spans="326:327">
      <c r="LN3173" t="str">
        <v/>
      </c>
      <c r="LO3173" t="str">
        <v/>
      </c>
    </row>
    <row r="3174" spans="326:327">
      <c r="LN3174" t="str">
        <v/>
      </c>
      <c r="LO3174" t="str">
        <v/>
      </c>
    </row>
    <row r="3175" spans="326:327">
      <c r="LN3175" t="str">
        <v/>
      </c>
      <c r="LO3175" t="str">
        <v/>
      </c>
    </row>
    <row r="3176" spans="326:327">
      <c r="LN3176" t="str">
        <v/>
      </c>
      <c r="LO3176" t="str">
        <v/>
      </c>
    </row>
    <row r="3177" spans="326:327">
      <c r="LN3177" t="str">
        <v/>
      </c>
      <c r="LO3177" t="str">
        <v/>
      </c>
    </row>
    <row r="3178" spans="326:327">
      <c r="LN3178" t="str">
        <v/>
      </c>
      <c r="LO3178" t="str">
        <v/>
      </c>
    </row>
    <row r="3179" spans="326:327">
      <c r="LN3179" t="str">
        <v/>
      </c>
      <c r="LO3179" t="str">
        <v/>
      </c>
    </row>
    <row r="3180" spans="326:327">
      <c r="LN3180" t="str">
        <v/>
      </c>
      <c r="LO3180" t="str">
        <v/>
      </c>
    </row>
    <row r="3181" spans="326:327">
      <c r="LN3181" t="str">
        <v/>
      </c>
      <c r="LO3181" t="str">
        <v/>
      </c>
    </row>
    <row r="3182" spans="326:327">
      <c r="LN3182" t="str">
        <v/>
      </c>
      <c r="LO3182" t="str">
        <v/>
      </c>
    </row>
    <row r="3183" spans="326:327">
      <c r="LN3183" t="str">
        <v/>
      </c>
      <c r="LO3183" t="str">
        <v/>
      </c>
    </row>
    <row r="3184" spans="326:327">
      <c r="LN3184" t="str">
        <v/>
      </c>
      <c r="LO3184" t="str">
        <v/>
      </c>
    </row>
    <row r="3185" spans="326:327">
      <c r="LN3185" t="str">
        <v/>
      </c>
      <c r="LO3185" t="str">
        <v/>
      </c>
    </row>
    <row r="3186" spans="326:327">
      <c r="LN3186" t="str">
        <v/>
      </c>
      <c r="LO3186" t="str">
        <v/>
      </c>
    </row>
    <row r="3187" spans="326:327">
      <c r="LN3187" t="str">
        <v/>
      </c>
      <c r="LO3187" t="str">
        <v/>
      </c>
    </row>
    <row r="3188" spans="326:327">
      <c r="LN3188" t="str">
        <v/>
      </c>
      <c r="LO3188" t="str">
        <v/>
      </c>
    </row>
    <row r="3189" spans="326:327">
      <c r="LN3189" t="str">
        <v/>
      </c>
      <c r="LO3189" t="str">
        <v/>
      </c>
    </row>
    <row r="3190" spans="326:327">
      <c r="LN3190" t="str">
        <v/>
      </c>
      <c r="LO3190" t="str">
        <v/>
      </c>
    </row>
    <row r="3191" spans="326:327">
      <c r="LN3191" t="str">
        <v/>
      </c>
      <c r="LO3191" t="str">
        <v/>
      </c>
    </row>
    <row r="3192" spans="326:327">
      <c r="LN3192" t="str">
        <v/>
      </c>
      <c r="LO3192" t="str">
        <v/>
      </c>
    </row>
    <row r="3193" spans="326:327">
      <c r="LN3193" t="str">
        <v/>
      </c>
      <c r="LO3193" t="str">
        <v/>
      </c>
    </row>
    <row r="3194" spans="326:327">
      <c r="LN3194" t="str">
        <v/>
      </c>
      <c r="LO3194" t="str">
        <v/>
      </c>
    </row>
    <row r="3195" spans="326:327">
      <c r="LN3195" t="str">
        <v/>
      </c>
      <c r="LO3195" t="str">
        <v/>
      </c>
    </row>
    <row r="3196" spans="326:327">
      <c r="LN3196" t="str">
        <v/>
      </c>
      <c r="LO3196" t="str">
        <v/>
      </c>
    </row>
    <row r="3197" spans="326:327">
      <c r="LN3197" t="str">
        <v/>
      </c>
      <c r="LO3197" t="str">
        <v/>
      </c>
    </row>
    <row r="3198" spans="326:327">
      <c r="LN3198" t="str">
        <v/>
      </c>
      <c r="LO3198" t="str">
        <v/>
      </c>
    </row>
    <row r="3199" spans="326:327">
      <c r="LN3199" t="str">
        <v/>
      </c>
      <c r="LO3199" t="str">
        <v/>
      </c>
    </row>
    <row r="3200" spans="326:327">
      <c r="LN3200" t="str">
        <v/>
      </c>
      <c r="LO3200" t="str">
        <v/>
      </c>
    </row>
    <row r="3201" spans="326:327">
      <c r="LN3201" t="str">
        <v/>
      </c>
      <c r="LO3201" t="str">
        <v/>
      </c>
    </row>
    <row r="3202" spans="326:327">
      <c r="LN3202" t="str">
        <v/>
      </c>
      <c r="LO3202" t="str">
        <v/>
      </c>
    </row>
    <row r="3203" spans="326:327">
      <c r="LN3203" t="str">
        <v/>
      </c>
      <c r="LO3203" t="str">
        <v/>
      </c>
    </row>
    <row r="3204" spans="326:327">
      <c r="LN3204" t="str">
        <v/>
      </c>
      <c r="LO3204" t="str">
        <v/>
      </c>
    </row>
    <row r="3205" spans="326:327">
      <c r="LN3205" t="str">
        <v/>
      </c>
      <c r="LO3205" t="str">
        <v/>
      </c>
    </row>
    <row r="3206" spans="326:327">
      <c r="LN3206" t="str">
        <v/>
      </c>
      <c r="LO3206" t="str">
        <v/>
      </c>
    </row>
    <row r="3207" spans="326:327">
      <c r="LN3207" t="str">
        <v/>
      </c>
      <c r="LO3207" t="str">
        <v/>
      </c>
    </row>
    <row r="3208" spans="326:327">
      <c r="LN3208" t="str">
        <v/>
      </c>
      <c r="LO3208" t="str">
        <v/>
      </c>
    </row>
    <row r="3209" spans="326:327">
      <c r="LN3209" t="str">
        <v/>
      </c>
      <c r="LO3209" t="str">
        <v/>
      </c>
    </row>
    <row r="3210" spans="326:327">
      <c r="LN3210" t="str">
        <v/>
      </c>
      <c r="LO3210" t="str">
        <v/>
      </c>
    </row>
    <row r="3211" spans="326:327">
      <c r="LN3211" t="str">
        <v/>
      </c>
      <c r="LO3211" t="str">
        <v/>
      </c>
    </row>
    <row r="3212" spans="326:327">
      <c r="LN3212" t="str">
        <v/>
      </c>
      <c r="LO3212" t="str">
        <v/>
      </c>
    </row>
    <row r="3213" spans="326:327">
      <c r="LN3213" t="str">
        <v/>
      </c>
      <c r="LO3213" t="str">
        <v/>
      </c>
    </row>
    <row r="3214" spans="326:327">
      <c r="LN3214" t="str">
        <v/>
      </c>
      <c r="LO3214" t="str">
        <v/>
      </c>
    </row>
    <row r="3215" spans="326:327">
      <c r="LN3215" t="str">
        <v/>
      </c>
      <c r="LO3215" t="str">
        <v/>
      </c>
    </row>
    <row r="3216" spans="326:327">
      <c r="LN3216" t="str">
        <v/>
      </c>
      <c r="LO3216" t="str">
        <v/>
      </c>
    </row>
    <row r="3217" spans="326:327">
      <c r="LN3217" t="str">
        <v/>
      </c>
      <c r="LO3217" t="str">
        <v/>
      </c>
    </row>
    <row r="3218" spans="326:327">
      <c r="LN3218" t="str">
        <v/>
      </c>
      <c r="LO3218" t="str">
        <v/>
      </c>
    </row>
    <row r="3219" spans="326:327">
      <c r="LN3219" t="str">
        <v/>
      </c>
      <c r="LO3219" t="str">
        <v/>
      </c>
    </row>
    <row r="3220" spans="326:327">
      <c r="LN3220" t="str">
        <v/>
      </c>
      <c r="LO3220" t="str">
        <v/>
      </c>
    </row>
    <row r="3221" spans="326:327">
      <c r="LN3221" t="str">
        <v/>
      </c>
      <c r="LO3221" t="str">
        <v/>
      </c>
    </row>
    <row r="3222" spans="326:327">
      <c r="LN3222" t="str">
        <v/>
      </c>
      <c r="LO3222" t="str">
        <v/>
      </c>
    </row>
    <row r="3223" spans="326:327">
      <c r="LN3223" t="str">
        <v/>
      </c>
      <c r="LO3223" t="str">
        <v/>
      </c>
    </row>
    <row r="3224" spans="326:327">
      <c r="LN3224" t="str">
        <v/>
      </c>
      <c r="LO3224" t="str">
        <v/>
      </c>
    </row>
    <row r="3225" spans="326:327">
      <c r="LN3225" t="str">
        <v/>
      </c>
      <c r="LO3225" t="str">
        <v/>
      </c>
    </row>
    <row r="3226" spans="326:327">
      <c r="LN3226" t="str">
        <v/>
      </c>
      <c r="LO3226" t="str">
        <v/>
      </c>
    </row>
    <row r="3227" spans="326:327">
      <c r="LN3227" t="str">
        <v/>
      </c>
      <c r="LO3227" t="str">
        <v/>
      </c>
    </row>
    <row r="3228" spans="326:327">
      <c r="LN3228" t="str">
        <v/>
      </c>
      <c r="LO3228" t="str">
        <v/>
      </c>
    </row>
    <row r="3229" spans="326:327">
      <c r="LN3229" t="str">
        <v/>
      </c>
      <c r="LO3229" t="str">
        <v/>
      </c>
    </row>
    <row r="3230" spans="326:327">
      <c r="LN3230" t="str">
        <v/>
      </c>
      <c r="LO3230" t="str">
        <v/>
      </c>
    </row>
    <row r="3231" spans="326:327">
      <c r="LN3231" t="str">
        <v/>
      </c>
      <c r="LO3231" t="str">
        <v/>
      </c>
    </row>
    <row r="3232" spans="326:327">
      <c r="LN3232" t="str">
        <v/>
      </c>
      <c r="LO3232" t="str">
        <v/>
      </c>
    </row>
    <row r="3233" spans="326:327">
      <c r="LN3233" t="str">
        <v/>
      </c>
      <c r="LO3233" t="str">
        <v/>
      </c>
    </row>
    <row r="3234" spans="326:327">
      <c r="LN3234" t="str">
        <v/>
      </c>
      <c r="LO3234" t="str">
        <v/>
      </c>
    </row>
    <row r="3235" spans="326:327">
      <c r="LN3235" t="str">
        <v/>
      </c>
      <c r="LO3235" t="str">
        <v/>
      </c>
    </row>
    <row r="3236" spans="326:327">
      <c r="LN3236" t="str">
        <v/>
      </c>
      <c r="LO3236" t="str">
        <v/>
      </c>
    </row>
    <row r="3237" spans="326:327">
      <c r="LN3237" t="str">
        <v/>
      </c>
      <c r="LO3237" t="str">
        <v/>
      </c>
    </row>
    <row r="3238" spans="326:327">
      <c r="LN3238" t="str">
        <v/>
      </c>
      <c r="LO3238" t="str">
        <v/>
      </c>
    </row>
    <row r="3239" spans="326:327">
      <c r="LN3239" t="str">
        <v/>
      </c>
      <c r="LO3239" t="str">
        <v/>
      </c>
    </row>
    <row r="3240" spans="326:327">
      <c r="LN3240" t="str">
        <v/>
      </c>
      <c r="LO3240" t="str">
        <v/>
      </c>
    </row>
    <row r="3241" spans="326:327">
      <c r="LN3241" t="str">
        <v/>
      </c>
      <c r="LO3241" t="str">
        <v/>
      </c>
    </row>
    <row r="3242" spans="326:327">
      <c r="LN3242" t="str">
        <v/>
      </c>
      <c r="LO3242" t="str">
        <v/>
      </c>
    </row>
    <row r="3243" spans="326:327">
      <c r="LN3243" t="str">
        <v/>
      </c>
      <c r="LO3243" t="str">
        <v/>
      </c>
    </row>
    <row r="3244" spans="326:327">
      <c r="LN3244" t="str">
        <v/>
      </c>
      <c r="LO3244" t="str">
        <v/>
      </c>
    </row>
    <row r="3245" spans="326:327">
      <c r="LN3245" t="str">
        <v/>
      </c>
      <c r="LO3245" t="str">
        <v/>
      </c>
    </row>
    <row r="3246" spans="326:327">
      <c r="LN3246" t="str">
        <v/>
      </c>
      <c r="LO3246" t="str">
        <v/>
      </c>
    </row>
    <row r="3247" spans="326:327">
      <c r="LN3247" t="str">
        <v/>
      </c>
      <c r="LO3247" t="str">
        <v/>
      </c>
    </row>
    <row r="3248" spans="326:327">
      <c r="LN3248" t="str">
        <v/>
      </c>
      <c r="LO3248" t="str">
        <v/>
      </c>
    </row>
    <row r="3249" spans="326:327">
      <c r="LN3249" t="str">
        <v/>
      </c>
      <c r="LO3249" t="str">
        <v/>
      </c>
    </row>
    <row r="3250" spans="326:327">
      <c r="LN3250" t="str">
        <v/>
      </c>
      <c r="LO3250" t="str">
        <v/>
      </c>
    </row>
    <row r="3251" spans="326:327">
      <c r="LN3251" t="str">
        <v/>
      </c>
      <c r="LO3251" t="str">
        <v/>
      </c>
    </row>
    <row r="3252" spans="326:327">
      <c r="LN3252" t="str">
        <v/>
      </c>
      <c r="LO3252" t="str">
        <v/>
      </c>
    </row>
    <row r="3253" spans="326:327">
      <c r="LN3253" t="str">
        <v/>
      </c>
      <c r="LO3253" t="str">
        <v/>
      </c>
    </row>
    <row r="3254" spans="326:327">
      <c r="LN3254" t="str">
        <v/>
      </c>
      <c r="LO3254" t="str">
        <v/>
      </c>
    </row>
    <row r="3255" spans="326:327">
      <c r="LN3255" t="str">
        <v/>
      </c>
      <c r="LO3255" t="str">
        <v/>
      </c>
    </row>
    <row r="3256" spans="326:327">
      <c r="LN3256" t="str">
        <v/>
      </c>
      <c r="LO3256" t="str">
        <v/>
      </c>
    </row>
    <row r="3257" spans="326:327">
      <c r="LN3257" t="str">
        <v/>
      </c>
      <c r="LO3257" t="str">
        <v/>
      </c>
    </row>
    <row r="3258" spans="326:327">
      <c r="LN3258" t="str">
        <v/>
      </c>
      <c r="LO3258" t="str">
        <v/>
      </c>
    </row>
    <row r="3259" spans="326:327">
      <c r="LN3259" t="str">
        <v/>
      </c>
      <c r="LO3259" t="str">
        <v/>
      </c>
    </row>
    <row r="3260" spans="326:327">
      <c r="LN3260" t="str">
        <v/>
      </c>
      <c r="LO3260" t="str">
        <v/>
      </c>
    </row>
    <row r="3261" spans="326:327">
      <c r="LN3261" t="str">
        <v/>
      </c>
      <c r="LO3261" t="str">
        <v/>
      </c>
    </row>
    <row r="3262" spans="326:327">
      <c r="LN3262" t="str">
        <v/>
      </c>
      <c r="LO3262" t="str">
        <v/>
      </c>
    </row>
    <row r="3263" spans="326:327">
      <c r="LN3263" t="str">
        <v/>
      </c>
      <c r="LO3263" t="str">
        <v/>
      </c>
    </row>
    <row r="3264" spans="326:327">
      <c r="LN3264" t="str">
        <v/>
      </c>
      <c r="LO3264" t="str">
        <v/>
      </c>
    </row>
    <row r="3265" spans="326:327">
      <c r="LN3265" t="str">
        <v/>
      </c>
      <c r="LO3265" t="str">
        <v/>
      </c>
    </row>
    <row r="3266" spans="326:327">
      <c r="LN3266" t="str">
        <v/>
      </c>
      <c r="LO3266" t="str">
        <v/>
      </c>
    </row>
    <row r="3267" spans="326:327">
      <c r="LN3267" t="str">
        <v/>
      </c>
      <c r="LO3267" t="str">
        <v/>
      </c>
    </row>
    <row r="3268" spans="326:327">
      <c r="LN3268" t="str">
        <v/>
      </c>
      <c r="LO3268" t="str">
        <v/>
      </c>
    </row>
    <row r="3269" spans="326:327">
      <c r="LN3269" t="str">
        <v/>
      </c>
      <c r="LO3269" t="str">
        <v/>
      </c>
    </row>
    <row r="3270" spans="326:327">
      <c r="LN3270" t="str">
        <v/>
      </c>
      <c r="LO3270" t="str">
        <v/>
      </c>
    </row>
    <row r="3271" spans="326:327">
      <c r="LN3271" t="str">
        <v/>
      </c>
      <c r="LO3271" t="str">
        <v/>
      </c>
    </row>
    <row r="3272" spans="326:327">
      <c r="LN3272" t="str">
        <v/>
      </c>
      <c r="LO3272" t="str">
        <v/>
      </c>
    </row>
    <row r="3273" spans="326:327">
      <c r="LN3273" t="str">
        <v/>
      </c>
      <c r="LO3273" t="str">
        <v/>
      </c>
    </row>
    <row r="3274" spans="326:327">
      <c r="LN3274" t="str">
        <v/>
      </c>
      <c r="LO3274" t="str">
        <v/>
      </c>
    </row>
    <row r="3275" spans="326:327">
      <c r="LN3275" t="str">
        <v/>
      </c>
      <c r="LO3275" t="str">
        <v/>
      </c>
    </row>
    <row r="3276" spans="326:327">
      <c r="LN3276" t="str">
        <v/>
      </c>
      <c r="LO3276" t="str">
        <v/>
      </c>
    </row>
    <row r="3277" spans="326:327">
      <c r="LN3277" t="str">
        <v/>
      </c>
      <c r="LO3277" t="str">
        <v/>
      </c>
    </row>
    <row r="3278" spans="326:327">
      <c r="LN3278" t="str">
        <v/>
      </c>
      <c r="LO3278" t="str">
        <v/>
      </c>
    </row>
    <row r="3279" spans="326:327">
      <c r="LN3279" t="str">
        <v/>
      </c>
      <c r="LO3279" t="str">
        <v/>
      </c>
    </row>
    <row r="3280" spans="326:327">
      <c r="LN3280" t="str">
        <v/>
      </c>
      <c r="LO3280" t="str">
        <v/>
      </c>
    </row>
    <row r="3281" spans="326:327">
      <c r="LN3281" t="str">
        <v/>
      </c>
      <c r="LO3281" t="str">
        <v/>
      </c>
    </row>
    <row r="3282" spans="326:327">
      <c r="LN3282" t="str">
        <v/>
      </c>
      <c r="LO3282" t="str">
        <v/>
      </c>
    </row>
    <row r="3283" spans="326:327">
      <c r="LN3283" t="str">
        <v/>
      </c>
      <c r="LO3283" t="str">
        <v/>
      </c>
    </row>
    <row r="3284" spans="326:327">
      <c r="LN3284" t="str">
        <v/>
      </c>
      <c r="LO3284" t="str">
        <v/>
      </c>
    </row>
    <row r="3285" spans="326:327">
      <c r="LN3285" t="str">
        <v/>
      </c>
      <c r="LO3285" t="str">
        <v/>
      </c>
    </row>
    <row r="3286" spans="326:327">
      <c r="LN3286" t="str">
        <v/>
      </c>
      <c r="LO3286" t="str">
        <v/>
      </c>
    </row>
    <row r="3287" spans="326:327">
      <c r="LN3287" t="str">
        <v/>
      </c>
      <c r="LO3287" t="str">
        <v/>
      </c>
    </row>
    <row r="3288" spans="326:327">
      <c r="LN3288" t="str">
        <v/>
      </c>
      <c r="LO3288" t="str">
        <v/>
      </c>
    </row>
    <row r="3289" spans="326:327">
      <c r="LN3289" t="str">
        <v/>
      </c>
      <c r="LO3289" t="str">
        <v/>
      </c>
    </row>
    <row r="3290" spans="326:327">
      <c r="LN3290" t="str">
        <v/>
      </c>
      <c r="LO3290" t="str">
        <v/>
      </c>
    </row>
    <row r="3291" spans="326:327">
      <c r="LN3291" t="str">
        <v/>
      </c>
      <c r="LO3291" t="str">
        <v/>
      </c>
    </row>
    <row r="3292" spans="326:327">
      <c r="LN3292" t="str">
        <v/>
      </c>
      <c r="LO3292" t="str">
        <v/>
      </c>
    </row>
    <row r="3293" spans="326:327">
      <c r="LN3293" t="str">
        <v/>
      </c>
      <c r="LO3293" t="str">
        <v/>
      </c>
    </row>
    <row r="3294" spans="326:327">
      <c r="LN3294" t="str">
        <v/>
      </c>
      <c r="LO3294" t="str">
        <v/>
      </c>
    </row>
    <row r="3295" spans="326:327">
      <c r="LN3295" t="str">
        <v/>
      </c>
      <c r="LO3295" t="str">
        <v/>
      </c>
    </row>
    <row r="3296" spans="326:327">
      <c r="LN3296" t="str">
        <v/>
      </c>
      <c r="LO3296" t="str">
        <v/>
      </c>
    </row>
    <row r="3297" spans="326:327">
      <c r="LN3297" t="str">
        <v/>
      </c>
      <c r="LO3297" t="str">
        <v/>
      </c>
    </row>
    <row r="3298" spans="326:327">
      <c r="LN3298" t="str">
        <v/>
      </c>
      <c r="LO3298" t="str">
        <v/>
      </c>
    </row>
    <row r="3299" spans="326:327">
      <c r="LN3299" t="str">
        <v/>
      </c>
      <c r="LO3299" t="str">
        <v/>
      </c>
    </row>
    <row r="3300" spans="326:327">
      <c r="LN3300" t="str">
        <v/>
      </c>
      <c r="LO3300" t="str">
        <v/>
      </c>
    </row>
    <row r="3301" spans="326:327">
      <c r="LN3301" t="str">
        <v/>
      </c>
      <c r="LO3301" t="str">
        <v/>
      </c>
    </row>
    <row r="3302" spans="326:327">
      <c r="LN3302" t="str">
        <v/>
      </c>
      <c r="LO3302" t="str">
        <v/>
      </c>
    </row>
    <row r="3303" spans="326:327">
      <c r="LN3303" t="str">
        <v/>
      </c>
      <c r="LO3303" t="str">
        <v/>
      </c>
    </row>
    <row r="3304" spans="326:327">
      <c r="LN3304" t="str">
        <v/>
      </c>
      <c r="LO3304" t="str">
        <v/>
      </c>
    </row>
    <row r="3305" spans="326:327">
      <c r="LN3305" t="str">
        <v/>
      </c>
      <c r="LO3305" t="str">
        <v/>
      </c>
    </row>
    <row r="3306" spans="326:327">
      <c r="LN3306" t="str">
        <v/>
      </c>
      <c r="LO3306" t="str">
        <v/>
      </c>
    </row>
    <row r="3307" spans="326:327">
      <c r="LN3307" t="str">
        <v/>
      </c>
      <c r="LO3307" t="str">
        <v/>
      </c>
    </row>
    <row r="3308" spans="326:327">
      <c r="LN3308" t="str">
        <v/>
      </c>
      <c r="LO3308" t="str">
        <v/>
      </c>
    </row>
    <row r="3309" spans="326:327">
      <c r="LN3309" t="str">
        <v/>
      </c>
      <c r="LO3309" t="str">
        <v/>
      </c>
    </row>
    <row r="3310" spans="326:327">
      <c r="LN3310" t="str">
        <v/>
      </c>
      <c r="LO3310" t="str">
        <v/>
      </c>
    </row>
    <row r="3311" spans="326:327">
      <c r="LN3311" t="str">
        <v/>
      </c>
      <c r="LO3311" t="str">
        <v/>
      </c>
    </row>
    <row r="3312" spans="326:327">
      <c r="LN3312" t="str">
        <v/>
      </c>
      <c r="LO3312" t="str">
        <v/>
      </c>
    </row>
    <row r="3313" spans="326:327">
      <c r="LN3313" t="str">
        <v/>
      </c>
      <c r="LO3313" t="str">
        <v/>
      </c>
    </row>
    <row r="3314" spans="326:327">
      <c r="LN3314" t="str">
        <v/>
      </c>
      <c r="LO3314" t="str">
        <v/>
      </c>
    </row>
    <row r="3315" spans="326:327">
      <c r="LN3315" t="str">
        <v/>
      </c>
      <c r="LO3315" t="str">
        <v/>
      </c>
    </row>
    <row r="3316" spans="326:327">
      <c r="LN3316" t="str">
        <v/>
      </c>
      <c r="LO3316" t="str">
        <v/>
      </c>
    </row>
    <row r="3317" spans="326:327">
      <c r="LN3317" t="str">
        <v/>
      </c>
      <c r="LO3317" t="str">
        <v/>
      </c>
    </row>
    <row r="3318" spans="326:327">
      <c r="LN3318" t="str">
        <v/>
      </c>
      <c r="LO3318" t="str">
        <v/>
      </c>
    </row>
    <row r="3319" spans="326:327">
      <c r="LN3319" t="str">
        <v/>
      </c>
      <c r="LO3319" t="str">
        <v/>
      </c>
    </row>
    <row r="3320" spans="326:327">
      <c r="LN3320" t="str">
        <v/>
      </c>
      <c r="LO3320" t="str">
        <v/>
      </c>
    </row>
    <row r="3321" spans="326:327">
      <c r="LN3321" t="str">
        <v/>
      </c>
      <c r="LO3321" t="str">
        <v/>
      </c>
    </row>
    <row r="3322" spans="326:327">
      <c r="LN3322" t="str">
        <v/>
      </c>
      <c r="LO3322" t="str">
        <v/>
      </c>
    </row>
    <row r="3323" spans="326:327">
      <c r="LN3323" t="str">
        <v/>
      </c>
      <c r="LO3323" t="str">
        <v/>
      </c>
    </row>
    <row r="3324" spans="326:327">
      <c r="LN3324" t="str">
        <v/>
      </c>
      <c r="LO3324" t="str">
        <v/>
      </c>
    </row>
    <row r="3325" spans="326:327">
      <c r="LN3325" t="str">
        <v/>
      </c>
      <c r="LO3325" t="str">
        <v/>
      </c>
    </row>
    <row r="3326" spans="326:327">
      <c r="LN3326" t="str">
        <v/>
      </c>
      <c r="LO3326" t="str">
        <v/>
      </c>
    </row>
    <row r="3327" spans="326:327">
      <c r="LN3327" t="str">
        <v/>
      </c>
      <c r="LO3327" t="str">
        <v/>
      </c>
    </row>
    <row r="3328" spans="326:327">
      <c r="LN3328" t="str">
        <v/>
      </c>
      <c r="LO3328" t="str">
        <v/>
      </c>
    </row>
    <row r="3329" spans="326:327">
      <c r="LN3329" t="str">
        <v/>
      </c>
      <c r="LO3329" t="str">
        <v/>
      </c>
    </row>
    <row r="3330" spans="326:327">
      <c r="LN3330" t="str">
        <v/>
      </c>
      <c r="LO3330" t="str">
        <v/>
      </c>
    </row>
    <row r="3331" spans="326:327">
      <c r="LN3331" t="str">
        <v/>
      </c>
      <c r="LO3331" t="str">
        <v/>
      </c>
    </row>
    <row r="3332" spans="326:327">
      <c r="LN3332" t="str">
        <v/>
      </c>
      <c r="LO3332" t="str">
        <v/>
      </c>
    </row>
    <row r="3333" spans="326:327">
      <c r="LN3333" t="str">
        <v/>
      </c>
      <c r="LO3333" t="str">
        <v/>
      </c>
    </row>
    <row r="3334" spans="326:327">
      <c r="LN3334" t="str">
        <v/>
      </c>
      <c r="LO3334" t="str">
        <v/>
      </c>
    </row>
    <row r="3335" spans="326:327">
      <c r="LN3335" t="str">
        <v/>
      </c>
      <c r="LO3335" t="str">
        <v/>
      </c>
    </row>
    <row r="3336" spans="326:327">
      <c r="LN3336" t="str">
        <v/>
      </c>
      <c r="LO3336" t="str">
        <v/>
      </c>
    </row>
    <row r="3337" spans="326:327">
      <c r="LN3337" t="str">
        <v/>
      </c>
      <c r="LO3337" t="str">
        <v/>
      </c>
    </row>
    <row r="3338" spans="326:327">
      <c r="LN3338" t="str">
        <v/>
      </c>
      <c r="LO3338" t="str">
        <v/>
      </c>
    </row>
    <row r="3339" spans="326:327">
      <c r="LN3339" t="str">
        <v/>
      </c>
      <c r="LO3339" t="str">
        <v/>
      </c>
    </row>
    <row r="3340" spans="326:327">
      <c r="LN3340" t="str">
        <v/>
      </c>
      <c r="LO3340" t="str">
        <v/>
      </c>
    </row>
    <row r="3341" spans="326:327">
      <c r="LN3341" t="str">
        <v/>
      </c>
      <c r="LO3341" t="str">
        <v/>
      </c>
    </row>
    <row r="3342" spans="326:327">
      <c r="LN3342" t="str">
        <v/>
      </c>
      <c r="LO3342" t="str">
        <v/>
      </c>
    </row>
    <row r="3343" spans="326:327">
      <c r="LN3343" t="str">
        <v/>
      </c>
      <c r="LO3343" t="str">
        <v/>
      </c>
    </row>
    <row r="3344" spans="326:327">
      <c r="LN3344" t="str">
        <v/>
      </c>
      <c r="LO3344" t="str">
        <v/>
      </c>
    </row>
    <row r="3345" spans="326:327">
      <c r="LN3345" t="str">
        <v/>
      </c>
      <c r="LO3345" t="str">
        <v/>
      </c>
    </row>
    <row r="3346" spans="326:327">
      <c r="LN3346" t="str">
        <v/>
      </c>
      <c r="LO3346" t="str">
        <v/>
      </c>
    </row>
    <row r="3347" spans="326:327">
      <c r="LN3347" t="str">
        <v/>
      </c>
      <c r="LO3347" t="str">
        <v/>
      </c>
    </row>
    <row r="3348" spans="326:327">
      <c r="LN3348" t="str">
        <v/>
      </c>
      <c r="LO3348" t="str">
        <v/>
      </c>
    </row>
    <row r="3349" spans="326:327">
      <c r="LN3349" t="str">
        <v/>
      </c>
      <c r="LO3349" t="str">
        <v/>
      </c>
    </row>
    <row r="3350" spans="326:327">
      <c r="LN3350" t="str">
        <v/>
      </c>
      <c r="LO3350" t="str">
        <v/>
      </c>
    </row>
    <row r="3351" spans="326:327">
      <c r="LN3351" t="str">
        <v/>
      </c>
      <c r="LO3351" t="str">
        <v/>
      </c>
    </row>
    <row r="3352" spans="326:327">
      <c r="LN3352" t="str">
        <v/>
      </c>
      <c r="LO3352" t="str">
        <v/>
      </c>
    </row>
    <row r="3353" spans="326:327">
      <c r="LN3353" t="str">
        <v/>
      </c>
      <c r="LO3353" t="str">
        <v/>
      </c>
    </row>
    <row r="3354" spans="326:327">
      <c r="LN3354" t="str">
        <v/>
      </c>
      <c r="LO3354" t="str">
        <v/>
      </c>
    </row>
    <row r="3355" spans="326:327">
      <c r="LN3355" t="str">
        <v/>
      </c>
      <c r="LO3355" t="str">
        <v/>
      </c>
    </row>
    <row r="3356" spans="326:327">
      <c r="LN3356" t="str">
        <v/>
      </c>
      <c r="LO3356" t="str">
        <v/>
      </c>
    </row>
    <row r="3357" spans="326:327">
      <c r="LN3357" t="str">
        <v/>
      </c>
      <c r="LO3357" t="str">
        <v/>
      </c>
    </row>
    <row r="3358" spans="326:327">
      <c r="LN3358" t="str">
        <v/>
      </c>
      <c r="LO3358" t="str">
        <v/>
      </c>
    </row>
    <row r="3359" spans="326:327">
      <c r="LN3359" t="str">
        <v/>
      </c>
      <c r="LO3359" t="str">
        <v/>
      </c>
    </row>
    <row r="3360" spans="326:327">
      <c r="LN3360" t="str">
        <v/>
      </c>
      <c r="LO3360" t="str">
        <v/>
      </c>
    </row>
    <row r="3361" spans="326:327">
      <c r="LN3361" t="str">
        <v/>
      </c>
      <c r="LO3361" t="str">
        <v/>
      </c>
    </row>
    <row r="3362" spans="326:327">
      <c r="LN3362" t="str">
        <v/>
      </c>
      <c r="LO3362" t="str">
        <v/>
      </c>
    </row>
    <row r="3363" spans="326:327">
      <c r="LN3363" t="str">
        <v/>
      </c>
      <c r="LO3363" t="str">
        <v/>
      </c>
    </row>
    <row r="3364" spans="326:327">
      <c r="LN3364" t="str">
        <v/>
      </c>
      <c r="LO3364" t="str">
        <v/>
      </c>
    </row>
    <row r="3365" spans="326:327">
      <c r="LN3365" t="str">
        <v/>
      </c>
      <c r="LO3365" t="str">
        <v/>
      </c>
    </row>
    <row r="3366" spans="326:327">
      <c r="LN3366" t="str">
        <v/>
      </c>
      <c r="LO3366" t="str">
        <v/>
      </c>
    </row>
    <row r="3367" spans="326:327">
      <c r="LN3367" t="str">
        <v/>
      </c>
      <c r="LO3367" t="str">
        <v/>
      </c>
    </row>
    <row r="3368" spans="326:327">
      <c r="LN3368" t="str">
        <v/>
      </c>
      <c r="LO3368" t="str">
        <v/>
      </c>
    </row>
    <row r="3369" spans="326:327">
      <c r="LN3369" t="str">
        <v/>
      </c>
      <c r="LO3369" t="str">
        <v/>
      </c>
    </row>
    <row r="3370" spans="326:327">
      <c r="LN3370" t="str">
        <v/>
      </c>
      <c r="LO3370" t="str">
        <v/>
      </c>
    </row>
    <row r="3371" spans="326:327">
      <c r="LN3371" t="str">
        <v/>
      </c>
      <c r="LO3371" t="str">
        <v/>
      </c>
    </row>
    <row r="3372" spans="326:327">
      <c r="LN3372" t="str">
        <v/>
      </c>
      <c r="LO3372" t="str">
        <v/>
      </c>
    </row>
    <row r="3373" spans="326:327">
      <c r="LN3373" t="str">
        <v/>
      </c>
      <c r="LO3373" t="str">
        <v/>
      </c>
    </row>
    <row r="3374" spans="326:327">
      <c r="LN3374" t="str">
        <v/>
      </c>
      <c r="LO3374" t="str">
        <v/>
      </c>
    </row>
    <row r="3375" spans="326:327">
      <c r="LN3375" t="str">
        <v/>
      </c>
      <c r="LO3375" t="str">
        <v/>
      </c>
    </row>
    <row r="3376" spans="326:327">
      <c r="LN3376" t="str">
        <v/>
      </c>
      <c r="LO3376" t="str">
        <v/>
      </c>
    </row>
    <row r="3377" spans="326:327">
      <c r="LN3377" t="str">
        <v/>
      </c>
      <c r="LO3377" t="str">
        <v/>
      </c>
    </row>
    <row r="3378" spans="326:327">
      <c r="LN3378" t="str">
        <v/>
      </c>
      <c r="LO3378" t="str">
        <v/>
      </c>
    </row>
    <row r="3379" spans="326:327">
      <c r="LN3379" t="str">
        <v/>
      </c>
      <c r="LO3379" t="str">
        <v/>
      </c>
    </row>
    <row r="3380" spans="326:327">
      <c r="LN3380" t="str">
        <v/>
      </c>
      <c r="LO3380" t="str">
        <v/>
      </c>
    </row>
    <row r="3381" spans="326:327">
      <c r="LN3381" t="str">
        <v/>
      </c>
      <c r="LO3381" t="str">
        <v/>
      </c>
    </row>
    <row r="3382" spans="326:327">
      <c r="LN3382" t="str">
        <v/>
      </c>
      <c r="LO3382" t="str">
        <v/>
      </c>
    </row>
    <row r="3383" spans="326:327">
      <c r="LN3383" t="str">
        <v/>
      </c>
      <c r="LO3383" t="str">
        <v/>
      </c>
    </row>
    <row r="3384" spans="326:327">
      <c r="LN3384" t="str">
        <v/>
      </c>
      <c r="LO3384" t="str">
        <v/>
      </c>
    </row>
    <row r="3385" spans="326:327">
      <c r="LN3385" t="str">
        <v/>
      </c>
      <c r="LO3385" t="str">
        <v/>
      </c>
    </row>
    <row r="3386" spans="326:327">
      <c r="LN3386" t="str">
        <v/>
      </c>
      <c r="LO3386" t="str">
        <v/>
      </c>
    </row>
    <row r="3387" spans="326:327">
      <c r="LN3387" t="str">
        <v/>
      </c>
      <c r="LO3387" t="str">
        <v/>
      </c>
    </row>
    <row r="3388" spans="326:327">
      <c r="LN3388" t="str">
        <v/>
      </c>
      <c r="LO3388" t="str">
        <v/>
      </c>
    </row>
    <row r="3389" spans="326:327">
      <c r="LN3389" t="str">
        <v/>
      </c>
      <c r="LO3389" t="str">
        <v/>
      </c>
    </row>
    <row r="3390" spans="326:327">
      <c r="LN3390" t="str">
        <v/>
      </c>
      <c r="LO3390" t="str">
        <v/>
      </c>
    </row>
    <row r="3391" spans="326:327">
      <c r="LN3391" t="str">
        <v/>
      </c>
      <c r="LO3391" t="str">
        <v/>
      </c>
    </row>
    <row r="3392" spans="326:327">
      <c r="LN3392" t="str">
        <v/>
      </c>
      <c r="LO3392" t="str">
        <v/>
      </c>
    </row>
    <row r="3393" spans="326:327">
      <c r="LN3393" t="str">
        <v/>
      </c>
      <c r="LO3393" t="str">
        <v/>
      </c>
    </row>
    <row r="3394" spans="326:327">
      <c r="LN3394" t="str">
        <v/>
      </c>
      <c r="LO3394" t="str">
        <v/>
      </c>
    </row>
    <row r="3395" spans="326:327">
      <c r="LN3395" t="str">
        <v/>
      </c>
      <c r="LO3395" t="str">
        <v/>
      </c>
    </row>
    <row r="3396" spans="326:327">
      <c r="LN3396" t="str">
        <v/>
      </c>
      <c r="LO3396" t="str">
        <v/>
      </c>
    </row>
    <row r="3397" spans="326:327">
      <c r="LN3397" t="str">
        <v/>
      </c>
      <c r="LO3397" t="str">
        <v/>
      </c>
    </row>
    <row r="3398" spans="326:327">
      <c r="LN3398" t="str">
        <v/>
      </c>
      <c r="LO3398" t="str">
        <v/>
      </c>
    </row>
    <row r="3399" spans="326:327">
      <c r="LN3399" t="str">
        <v/>
      </c>
      <c r="LO3399" t="str">
        <v/>
      </c>
    </row>
    <row r="3400" spans="326:327">
      <c r="LN3400" t="str">
        <v/>
      </c>
      <c r="LO3400" t="str">
        <v/>
      </c>
    </row>
    <row r="3401" spans="326:327">
      <c r="LN3401" t="str">
        <v/>
      </c>
      <c r="LO3401" t="str">
        <v/>
      </c>
    </row>
    <row r="3402" spans="326:327">
      <c r="LN3402" t="str">
        <v/>
      </c>
      <c r="LO3402" t="str">
        <v/>
      </c>
    </row>
    <row r="3403" spans="326:327">
      <c r="LN3403" t="str">
        <v/>
      </c>
      <c r="LO3403" t="str">
        <v/>
      </c>
    </row>
    <row r="3404" spans="326:327">
      <c r="LN3404" t="str">
        <v/>
      </c>
      <c r="LO3404" t="str">
        <v/>
      </c>
    </row>
    <row r="3405" spans="326:327">
      <c r="LN3405" t="str">
        <v/>
      </c>
      <c r="LO3405" t="str">
        <v/>
      </c>
    </row>
    <row r="3406" spans="326:327">
      <c r="LN3406" t="str">
        <v/>
      </c>
      <c r="LO3406" t="str">
        <v/>
      </c>
    </row>
    <row r="3407" spans="326:327">
      <c r="LN3407" t="str">
        <v/>
      </c>
      <c r="LO3407" t="str">
        <v/>
      </c>
    </row>
    <row r="3408" spans="326:327">
      <c r="LN3408" t="str">
        <v/>
      </c>
      <c r="LO3408" t="str">
        <v/>
      </c>
    </row>
    <row r="3409" spans="326:327">
      <c r="LN3409" t="str">
        <v/>
      </c>
      <c r="LO3409" t="str">
        <v/>
      </c>
    </row>
    <row r="3410" spans="326:327">
      <c r="LN3410" t="str">
        <v/>
      </c>
      <c r="LO3410" t="str">
        <v/>
      </c>
    </row>
    <row r="3411" spans="326:327">
      <c r="LN3411" t="str">
        <v/>
      </c>
      <c r="LO3411" t="str">
        <v/>
      </c>
    </row>
    <row r="3412" spans="326:327">
      <c r="LN3412" t="str">
        <v/>
      </c>
      <c r="LO3412" t="str">
        <v/>
      </c>
    </row>
    <row r="3413" spans="326:327">
      <c r="LN3413" t="str">
        <v/>
      </c>
      <c r="LO3413" t="str">
        <v/>
      </c>
    </row>
    <row r="3414" spans="326:327">
      <c r="LN3414" t="str">
        <v/>
      </c>
      <c r="LO3414" t="str">
        <v/>
      </c>
    </row>
    <row r="3415" spans="326:327">
      <c r="LN3415" t="str">
        <v/>
      </c>
      <c r="LO3415" t="str">
        <v/>
      </c>
    </row>
    <row r="3416" spans="326:327">
      <c r="LN3416" t="str">
        <v/>
      </c>
      <c r="LO3416" t="str">
        <v/>
      </c>
    </row>
    <row r="3417" spans="326:327">
      <c r="LN3417" t="str">
        <v/>
      </c>
      <c r="LO3417" t="str">
        <v/>
      </c>
    </row>
    <row r="3418" spans="326:327">
      <c r="LN3418" t="str">
        <v/>
      </c>
      <c r="LO3418" t="str">
        <v/>
      </c>
    </row>
    <row r="3419" spans="326:327">
      <c r="LN3419" t="str">
        <v/>
      </c>
      <c r="LO3419" t="str">
        <v/>
      </c>
    </row>
    <row r="3420" spans="326:327">
      <c r="LN3420" t="str">
        <v/>
      </c>
      <c r="LO3420" t="str">
        <v/>
      </c>
    </row>
    <row r="3421" spans="326:327">
      <c r="LN3421" t="str">
        <v/>
      </c>
      <c r="LO3421" t="str">
        <v/>
      </c>
    </row>
    <row r="3422" spans="326:327">
      <c r="LN3422" t="str">
        <v/>
      </c>
      <c r="LO3422" t="str">
        <v/>
      </c>
    </row>
    <row r="3423" spans="326:327">
      <c r="LN3423" t="str">
        <v/>
      </c>
      <c r="LO3423" t="str">
        <v/>
      </c>
    </row>
    <row r="3424" spans="326:327">
      <c r="LN3424" t="str">
        <v/>
      </c>
      <c r="LO3424" t="str">
        <v/>
      </c>
    </row>
    <row r="3425" spans="326:327">
      <c r="LN3425" t="str">
        <v/>
      </c>
      <c r="LO3425" t="str">
        <v/>
      </c>
    </row>
    <row r="3426" spans="326:327">
      <c r="LN3426" t="str">
        <v/>
      </c>
      <c r="LO3426" t="str">
        <v/>
      </c>
    </row>
    <row r="3427" spans="326:327">
      <c r="LN3427" t="str">
        <v/>
      </c>
      <c r="LO3427" t="str">
        <v/>
      </c>
    </row>
    <row r="3428" spans="326:327">
      <c r="LN3428" t="str">
        <v/>
      </c>
      <c r="LO3428" t="str">
        <v/>
      </c>
    </row>
    <row r="3429" spans="326:327">
      <c r="LN3429" t="str">
        <v/>
      </c>
      <c r="LO3429" t="str">
        <v/>
      </c>
    </row>
    <row r="3430" spans="326:327">
      <c r="LN3430" t="str">
        <v/>
      </c>
      <c r="LO3430" t="str">
        <v/>
      </c>
    </row>
    <row r="3431" spans="326:327">
      <c r="LN3431" t="str">
        <v/>
      </c>
      <c r="LO3431" t="str">
        <v/>
      </c>
    </row>
    <row r="3432" spans="326:327">
      <c r="LN3432" t="str">
        <v/>
      </c>
      <c r="LO3432" t="str">
        <v/>
      </c>
    </row>
    <row r="3433" spans="326:327">
      <c r="LN3433" t="str">
        <v/>
      </c>
      <c r="LO3433" t="str">
        <v/>
      </c>
    </row>
    <row r="3434" spans="326:327">
      <c r="LN3434" t="str">
        <v/>
      </c>
      <c r="LO3434" t="str">
        <v/>
      </c>
    </row>
    <row r="3435" spans="326:327">
      <c r="LN3435" t="str">
        <v/>
      </c>
      <c r="LO3435" t="str">
        <v/>
      </c>
    </row>
    <row r="3436" spans="326:327">
      <c r="LN3436" t="str">
        <v/>
      </c>
      <c r="LO3436" t="str">
        <v/>
      </c>
    </row>
    <row r="3437" spans="326:327">
      <c r="LN3437" t="str">
        <v/>
      </c>
      <c r="LO3437" t="str">
        <v/>
      </c>
    </row>
    <row r="3438" spans="326:327">
      <c r="LN3438" t="str">
        <v/>
      </c>
      <c r="LO3438" t="str">
        <v/>
      </c>
    </row>
    <row r="3439" spans="326:327">
      <c r="LN3439" t="str">
        <v/>
      </c>
      <c r="LO3439" t="str">
        <v/>
      </c>
    </row>
    <row r="3440" spans="326:327">
      <c r="LN3440" t="str">
        <v/>
      </c>
      <c r="LO3440" t="str">
        <v/>
      </c>
    </row>
    <row r="3441" spans="326:327">
      <c r="LN3441" t="str">
        <v/>
      </c>
      <c r="LO3441" t="str">
        <v/>
      </c>
    </row>
    <row r="3442" spans="326:327">
      <c r="LN3442" t="str">
        <v/>
      </c>
      <c r="LO3442" t="str">
        <v/>
      </c>
    </row>
    <row r="3443" spans="326:327">
      <c r="LN3443" t="str">
        <v/>
      </c>
      <c r="LO3443" t="str">
        <v/>
      </c>
    </row>
    <row r="3444" spans="326:327">
      <c r="LN3444" t="str">
        <v/>
      </c>
      <c r="LO3444" t="str">
        <v/>
      </c>
    </row>
    <row r="3445" spans="326:327">
      <c r="LN3445" t="str">
        <v/>
      </c>
      <c r="LO3445" t="str">
        <v/>
      </c>
    </row>
    <row r="3446" spans="326:327">
      <c r="LN3446" t="str">
        <v/>
      </c>
      <c r="LO3446" t="str">
        <v/>
      </c>
    </row>
    <row r="3447" spans="326:327">
      <c r="LN3447" t="str">
        <v/>
      </c>
      <c r="LO3447" t="str">
        <v/>
      </c>
    </row>
    <row r="3448" spans="326:327">
      <c r="LN3448" t="str">
        <v/>
      </c>
      <c r="LO3448" t="str">
        <v/>
      </c>
    </row>
    <row r="3449" spans="326:327">
      <c r="LN3449" t="str">
        <v/>
      </c>
      <c r="LO3449" t="str">
        <v/>
      </c>
    </row>
    <row r="3450" spans="326:327">
      <c r="LN3450" t="str">
        <v/>
      </c>
      <c r="LO3450" t="str">
        <v/>
      </c>
    </row>
    <row r="3451" spans="326:327">
      <c r="LN3451" t="str">
        <v/>
      </c>
      <c r="LO3451" t="str">
        <v/>
      </c>
    </row>
    <row r="3452" spans="326:327">
      <c r="LN3452" t="str">
        <v/>
      </c>
      <c r="LO3452" t="str">
        <v/>
      </c>
    </row>
    <row r="3453" spans="326:327">
      <c r="LN3453" t="str">
        <v/>
      </c>
      <c r="LO3453" t="str">
        <v/>
      </c>
    </row>
    <row r="3454" spans="326:327">
      <c r="LN3454" t="str">
        <v/>
      </c>
      <c r="LO3454" t="str">
        <v/>
      </c>
    </row>
    <row r="3455" spans="326:327">
      <c r="LN3455" t="str">
        <v/>
      </c>
      <c r="LO3455" t="str">
        <v/>
      </c>
    </row>
    <row r="3456" spans="326:327">
      <c r="LN3456" t="str">
        <v/>
      </c>
      <c r="LO3456" t="str">
        <v/>
      </c>
    </row>
    <row r="3457" spans="326:327">
      <c r="LN3457" t="str">
        <v/>
      </c>
      <c r="LO3457" t="str">
        <v/>
      </c>
    </row>
    <row r="3458" spans="326:327">
      <c r="LN3458" t="str">
        <v/>
      </c>
      <c r="LO3458" t="str">
        <v/>
      </c>
    </row>
    <row r="3459" spans="326:327">
      <c r="LN3459" t="str">
        <v/>
      </c>
      <c r="LO3459" t="str">
        <v/>
      </c>
    </row>
    <row r="3460" spans="326:327">
      <c r="LN3460" t="str">
        <v/>
      </c>
      <c r="LO3460" t="str">
        <v/>
      </c>
    </row>
    <row r="3461" spans="326:327">
      <c r="LN3461" t="str">
        <v/>
      </c>
      <c r="LO3461" t="str">
        <v/>
      </c>
    </row>
    <row r="3462" spans="326:327">
      <c r="LN3462" t="str">
        <v/>
      </c>
      <c r="LO3462" t="str">
        <v/>
      </c>
    </row>
    <row r="3463" spans="326:327">
      <c r="LN3463" t="str">
        <v/>
      </c>
      <c r="LO3463" t="str">
        <v/>
      </c>
    </row>
    <row r="3464" spans="326:327">
      <c r="LN3464" t="str">
        <v/>
      </c>
      <c r="LO3464" t="str">
        <v/>
      </c>
    </row>
    <row r="3465" spans="326:327">
      <c r="LN3465" t="str">
        <v/>
      </c>
      <c r="LO3465" t="str">
        <v/>
      </c>
    </row>
    <row r="3466" spans="326:327">
      <c r="LN3466" t="str">
        <v/>
      </c>
      <c r="LO3466" t="str">
        <v/>
      </c>
    </row>
    <row r="3467" spans="326:327">
      <c r="LN3467" t="str">
        <v/>
      </c>
      <c r="LO3467" t="str">
        <v/>
      </c>
    </row>
    <row r="3468" spans="326:327">
      <c r="LN3468" t="str">
        <v/>
      </c>
      <c r="LO3468" t="str">
        <v/>
      </c>
    </row>
    <row r="3469" spans="326:327">
      <c r="LN3469" t="str">
        <v/>
      </c>
      <c r="LO3469" t="str">
        <v/>
      </c>
    </row>
    <row r="3470" spans="326:327">
      <c r="LN3470" t="str">
        <v/>
      </c>
      <c r="LO3470" t="str">
        <v/>
      </c>
    </row>
    <row r="3471" spans="326:327">
      <c r="LN3471" t="str">
        <v/>
      </c>
      <c r="LO3471" t="str">
        <v/>
      </c>
    </row>
    <row r="3472" spans="326:327">
      <c r="LN3472" t="str">
        <v/>
      </c>
      <c r="LO3472" t="str">
        <v/>
      </c>
    </row>
    <row r="3473" spans="326:327">
      <c r="LN3473" t="str">
        <v/>
      </c>
      <c r="LO3473" t="str">
        <v/>
      </c>
    </row>
    <row r="3474" spans="326:327">
      <c r="LN3474" t="str">
        <v/>
      </c>
      <c r="LO3474" t="str">
        <v/>
      </c>
    </row>
    <row r="3475" spans="326:327">
      <c r="LN3475" t="str">
        <v/>
      </c>
      <c r="LO3475" t="str">
        <v/>
      </c>
    </row>
    <row r="3476" spans="326:327">
      <c r="LN3476" t="str">
        <v/>
      </c>
      <c r="LO3476" t="str">
        <v/>
      </c>
    </row>
    <row r="3477" spans="326:327">
      <c r="LN3477" t="str">
        <v/>
      </c>
      <c r="LO3477" t="str">
        <v/>
      </c>
    </row>
    <row r="3478" spans="326:327">
      <c r="LN3478" t="str">
        <v/>
      </c>
      <c r="LO3478" t="str">
        <v/>
      </c>
    </row>
    <row r="3479" spans="326:327">
      <c r="LN3479" t="str">
        <v/>
      </c>
      <c r="LO3479" t="str">
        <v/>
      </c>
    </row>
    <row r="3480" spans="326:327">
      <c r="LN3480" t="str">
        <v/>
      </c>
      <c r="LO3480" t="str">
        <v/>
      </c>
    </row>
    <row r="3481" spans="326:327">
      <c r="LN3481" t="str">
        <v/>
      </c>
      <c r="LO3481" t="str">
        <v/>
      </c>
    </row>
    <row r="3482" spans="326:327">
      <c r="LN3482" t="str">
        <v/>
      </c>
      <c r="LO3482" t="str">
        <v/>
      </c>
    </row>
    <row r="3483" spans="326:327">
      <c r="LN3483" t="str">
        <v/>
      </c>
      <c r="LO3483" t="str">
        <v/>
      </c>
    </row>
    <row r="3484" spans="326:327">
      <c r="LN3484" t="str">
        <v/>
      </c>
      <c r="LO3484" t="str">
        <v/>
      </c>
    </row>
    <row r="3485" spans="326:327">
      <c r="LN3485" t="str">
        <v/>
      </c>
      <c r="LO3485" t="str">
        <v/>
      </c>
    </row>
    <row r="3486" spans="326:327">
      <c r="LN3486" t="str">
        <v/>
      </c>
      <c r="LO3486" t="str">
        <v/>
      </c>
    </row>
    <row r="3487" spans="326:327">
      <c r="LN3487" t="str">
        <v/>
      </c>
      <c r="LO3487" t="str">
        <v/>
      </c>
    </row>
    <row r="3488" spans="326:327">
      <c r="LN3488" t="str">
        <v/>
      </c>
      <c r="LO3488" t="str">
        <v/>
      </c>
    </row>
    <row r="3489" spans="326:327">
      <c r="LN3489" t="str">
        <v/>
      </c>
      <c r="LO3489" t="str">
        <v/>
      </c>
    </row>
    <row r="3490" spans="326:327">
      <c r="LN3490" t="str">
        <v/>
      </c>
      <c r="LO3490" t="str">
        <v/>
      </c>
    </row>
    <row r="3491" spans="326:327">
      <c r="LN3491" t="str">
        <v/>
      </c>
      <c r="LO3491" t="str">
        <v/>
      </c>
    </row>
    <row r="3492" spans="326:327">
      <c r="LN3492" t="str">
        <v/>
      </c>
      <c r="LO3492" t="str">
        <v/>
      </c>
    </row>
    <row r="3493" spans="326:327">
      <c r="LN3493" t="str">
        <v/>
      </c>
      <c r="LO3493" t="str">
        <v/>
      </c>
    </row>
    <row r="3494" spans="326:327">
      <c r="LN3494" t="str">
        <v/>
      </c>
      <c r="LO3494" t="str">
        <v/>
      </c>
    </row>
    <row r="3495" spans="326:327">
      <c r="LN3495" t="str">
        <v/>
      </c>
      <c r="LO3495" t="str">
        <v/>
      </c>
    </row>
    <row r="3496" spans="326:327">
      <c r="LN3496" t="str">
        <v/>
      </c>
      <c r="LO3496" t="str">
        <v/>
      </c>
    </row>
    <row r="3497" spans="326:327">
      <c r="LN3497" t="str">
        <v/>
      </c>
      <c r="LO3497" t="str">
        <v/>
      </c>
    </row>
    <row r="3498" spans="326:327">
      <c r="LN3498" t="str">
        <v/>
      </c>
      <c r="LO3498" t="str">
        <v/>
      </c>
    </row>
    <row r="3499" spans="326:327">
      <c r="LN3499" t="str">
        <v/>
      </c>
      <c r="LO3499" t="str">
        <v/>
      </c>
    </row>
    <row r="3500" spans="326:327">
      <c r="LN3500" t="str">
        <v/>
      </c>
      <c r="LO3500" t="str">
        <v/>
      </c>
    </row>
    <row r="3501" spans="326:327">
      <c r="LN3501" t="str">
        <v/>
      </c>
      <c r="LO3501" t="str">
        <v/>
      </c>
    </row>
    <row r="3502" spans="326:327">
      <c r="LN3502" t="str">
        <v/>
      </c>
      <c r="LO3502" t="str">
        <v/>
      </c>
    </row>
    <row r="3503" spans="326:327">
      <c r="LN3503" t="str">
        <v/>
      </c>
      <c r="LO3503" t="str">
        <v/>
      </c>
    </row>
    <row r="3504" spans="326:327">
      <c r="LN3504" t="str">
        <v/>
      </c>
      <c r="LO3504" t="str">
        <v/>
      </c>
    </row>
    <row r="3505" spans="326:327">
      <c r="LN3505" t="str">
        <v/>
      </c>
      <c r="LO3505" t="str">
        <v/>
      </c>
    </row>
    <row r="3506" spans="326:327">
      <c r="LN3506" t="str">
        <v/>
      </c>
      <c r="LO3506" t="str">
        <v/>
      </c>
    </row>
    <row r="3507" spans="326:327">
      <c r="LN3507" t="str">
        <v/>
      </c>
      <c r="LO3507" t="str">
        <v/>
      </c>
    </row>
    <row r="3508" spans="326:327">
      <c r="LN3508" t="str">
        <v/>
      </c>
      <c r="LO3508" t="str">
        <v/>
      </c>
    </row>
    <row r="3509" spans="326:327">
      <c r="LN3509" t="str">
        <v/>
      </c>
      <c r="LO3509" t="str">
        <v/>
      </c>
    </row>
    <row r="3510" spans="326:327">
      <c r="LN3510" t="str">
        <v/>
      </c>
      <c r="LO3510" t="str">
        <v/>
      </c>
    </row>
    <row r="3511" spans="326:327">
      <c r="LN3511" t="str">
        <v/>
      </c>
      <c r="LO3511" t="str">
        <v/>
      </c>
    </row>
    <row r="3512" spans="326:327">
      <c r="LN3512" t="str">
        <v/>
      </c>
      <c r="LO3512" t="str">
        <v/>
      </c>
    </row>
    <row r="3513" spans="326:327">
      <c r="LN3513" t="str">
        <v/>
      </c>
      <c r="LO3513" t="str">
        <v/>
      </c>
    </row>
    <row r="3514" spans="326:327">
      <c r="LN3514" t="str">
        <v/>
      </c>
      <c r="LO3514" t="str">
        <v/>
      </c>
    </row>
    <row r="3515" spans="326:327">
      <c r="LN3515" t="str">
        <v/>
      </c>
      <c r="LO3515" t="str">
        <v/>
      </c>
    </row>
    <row r="3516" spans="326:327">
      <c r="LN3516" t="str">
        <v/>
      </c>
      <c r="LO3516" t="str">
        <v/>
      </c>
    </row>
    <row r="3517" spans="326:327">
      <c r="LN3517" t="str">
        <v/>
      </c>
      <c r="LO3517" t="str">
        <v/>
      </c>
    </row>
    <row r="3518" spans="326:327">
      <c r="LN3518" t="str">
        <v/>
      </c>
      <c r="LO3518" t="str">
        <v/>
      </c>
    </row>
    <row r="3519" spans="326:327">
      <c r="LN3519" t="str">
        <v/>
      </c>
      <c r="LO3519" t="str">
        <v/>
      </c>
    </row>
    <row r="3520" spans="326:327">
      <c r="LN3520" t="str">
        <v/>
      </c>
      <c r="LO3520" t="str">
        <v/>
      </c>
    </row>
    <row r="3521" spans="326:327">
      <c r="LN3521" t="str">
        <v/>
      </c>
      <c r="LO3521" t="str">
        <v/>
      </c>
    </row>
    <row r="3522" spans="326:327">
      <c r="LN3522" t="str">
        <v/>
      </c>
      <c r="LO3522" t="str">
        <v/>
      </c>
    </row>
    <row r="3523" spans="326:327">
      <c r="LN3523" t="str">
        <v/>
      </c>
      <c r="LO3523" t="str">
        <v/>
      </c>
    </row>
    <row r="3524" spans="326:327">
      <c r="LN3524" t="str">
        <v/>
      </c>
      <c r="LO3524" t="str">
        <v/>
      </c>
    </row>
    <row r="3525" spans="326:327">
      <c r="LN3525" t="str">
        <v/>
      </c>
      <c r="LO3525" t="str">
        <v/>
      </c>
    </row>
    <row r="3526" spans="326:327">
      <c r="LN3526" t="str">
        <v/>
      </c>
      <c r="LO3526" t="str">
        <v/>
      </c>
    </row>
    <row r="3527" spans="326:327">
      <c r="LN3527" t="str">
        <v/>
      </c>
      <c r="LO3527" t="str">
        <v/>
      </c>
    </row>
    <row r="3528" spans="326:327">
      <c r="LN3528" t="str">
        <v/>
      </c>
      <c r="LO3528" t="str">
        <v/>
      </c>
    </row>
    <row r="3529" spans="326:327">
      <c r="LN3529" t="str">
        <v/>
      </c>
      <c r="LO3529" t="str">
        <v/>
      </c>
    </row>
    <row r="3530" spans="326:327">
      <c r="LN3530" t="str">
        <v/>
      </c>
      <c r="LO3530" t="str">
        <v/>
      </c>
    </row>
    <row r="3531" spans="326:327">
      <c r="LN3531" t="str">
        <v/>
      </c>
      <c r="LO3531" t="str">
        <v/>
      </c>
    </row>
    <row r="3532" spans="326:327">
      <c r="LN3532" t="str">
        <v/>
      </c>
      <c r="LO3532" t="str">
        <v/>
      </c>
    </row>
    <row r="3533" spans="326:327">
      <c r="LN3533" t="str">
        <v/>
      </c>
      <c r="LO3533" t="str">
        <v/>
      </c>
    </row>
    <row r="3534" spans="326:327">
      <c r="LN3534" t="str">
        <v/>
      </c>
      <c r="LO3534" t="str">
        <v/>
      </c>
    </row>
    <row r="3535" spans="326:327">
      <c r="LN3535" t="str">
        <v/>
      </c>
      <c r="LO3535" t="str">
        <v/>
      </c>
    </row>
    <row r="3536" spans="326:327">
      <c r="LN3536" t="str">
        <v/>
      </c>
      <c r="LO3536" t="str">
        <v/>
      </c>
    </row>
    <row r="3537" spans="326:327">
      <c r="LN3537" t="str">
        <v/>
      </c>
      <c r="LO3537" t="str">
        <v/>
      </c>
    </row>
    <row r="3538" spans="326:327">
      <c r="LN3538" t="str">
        <v/>
      </c>
      <c r="LO3538" t="str">
        <v/>
      </c>
    </row>
    <row r="3539" spans="326:327">
      <c r="LN3539" t="str">
        <v/>
      </c>
      <c r="LO3539" t="str">
        <v/>
      </c>
    </row>
    <row r="3540" spans="326:327">
      <c r="LN3540" t="str">
        <v/>
      </c>
      <c r="LO3540" t="str">
        <v/>
      </c>
    </row>
    <row r="3541" spans="326:327">
      <c r="LN3541" t="str">
        <v/>
      </c>
      <c r="LO3541" t="str">
        <v/>
      </c>
    </row>
    <row r="3542" spans="326:327">
      <c r="LN3542" t="str">
        <v/>
      </c>
      <c r="LO3542" t="str">
        <v/>
      </c>
    </row>
    <row r="3543" spans="326:327">
      <c r="LN3543" t="str">
        <v/>
      </c>
      <c r="LO3543" t="str">
        <v/>
      </c>
    </row>
    <row r="3544" spans="326:327">
      <c r="LN3544" t="str">
        <v/>
      </c>
      <c r="LO3544" t="str">
        <v/>
      </c>
    </row>
    <row r="3545" spans="326:327">
      <c r="LN3545" t="str">
        <v/>
      </c>
      <c r="LO3545" t="str">
        <v/>
      </c>
    </row>
    <row r="3546" spans="326:327">
      <c r="LN3546" t="str">
        <v/>
      </c>
      <c r="LO3546" t="str">
        <v/>
      </c>
    </row>
    <row r="3547" spans="326:327">
      <c r="LN3547" t="str">
        <v/>
      </c>
      <c r="LO3547" t="str">
        <v/>
      </c>
    </row>
    <row r="3548" spans="326:327">
      <c r="LN3548" t="str">
        <v/>
      </c>
      <c r="LO3548" t="str">
        <v/>
      </c>
    </row>
    <row r="3549" spans="326:327">
      <c r="LN3549" t="str">
        <v/>
      </c>
      <c r="LO3549" t="str">
        <v/>
      </c>
    </row>
    <row r="3550" spans="326:327">
      <c r="LN3550" t="str">
        <v/>
      </c>
      <c r="LO3550" t="str">
        <v/>
      </c>
    </row>
    <row r="3551" spans="326:327">
      <c r="LN3551" t="str">
        <v/>
      </c>
      <c r="LO3551" t="str">
        <v/>
      </c>
    </row>
    <row r="3552" spans="326:327">
      <c r="LN3552" t="str">
        <v/>
      </c>
      <c r="LO3552" t="str">
        <v/>
      </c>
    </row>
    <row r="3553" spans="326:327">
      <c r="LN3553" t="str">
        <v/>
      </c>
      <c r="LO3553" t="str">
        <v/>
      </c>
    </row>
    <row r="3554" spans="326:327">
      <c r="LN3554" t="str">
        <v/>
      </c>
      <c r="LO3554" t="str">
        <v/>
      </c>
    </row>
    <row r="3555" spans="326:327">
      <c r="LN3555" t="str">
        <v/>
      </c>
      <c r="LO3555" t="str">
        <v/>
      </c>
    </row>
    <row r="3556" spans="326:327">
      <c r="LN3556" t="str">
        <v/>
      </c>
      <c r="LO3556" t="str">
        <v/>
      </c>
    </row>
    <row r="3557" spans="326:327">
      <c r="LN3557" t="str">
        <v/>
      </c>
      <c r="LO3557" t="str">
        <v/>
      </c>
    </row>
    <row r="3558" spans="326:327">
      <c r="LN3558" t="str">
        <v/>
      </c>
      <c r="LO3558" t="str">
        <v/>
      </c>
    </row>
    <row r="3559" spans="326:327">
      <c r="LN3559" t="str">
        <v/>
      </c>
      <c r="LO3559" t="str">
        <v/>
      </c>
    </row>
    <row r="3560" spans="326:327">
      <c r="LN3560" t="str">
        <v/>
      </c>
      <c r="LO3560" t="str">
        <v/>
      </c>
    </row>
    <row r="3561" spans="326:327">
      <c r="LN3561" t="str">
        <v/>
      </c>
      <c r="LO3561" t="str">
        <v/>
      </c>
    </row>
    <row r="3562" spans="326:327">
      <c r="LN3562" t="str">
        <v/>
      </c>
      <c r="LO3562" t="str">
        <v/>
      </c>
    </row>
    <row r="3563" spans="326:327">
      <c r="LN3563" t="str">
        <v/>
      </c>
      <c r="LO3563" t="str">
        <v/>
      </c>
    </row>
    <row r="3564" spans="326:327">
      <c r="LN3564" t="str">
        <v/>
      </c>
      <c r="LO3564" t="str">
        <v/>
      </c>
    </row>
    <row r="3565" spans="326:327">
      <c r="LN3565" t="str">
        <v/>
      </c>
      <c r="LO3565" t="str">
        <v/>
      </c>
    </row>
    <row r="3566" spans="326:327">
      <c r="LN3566" t="str">
        <v/>
      </c>
      <c r="LO3566" t="str">
        <v/>
      </c>
    </row>
    <row r="3567" spans="326:327">
      <c r="LN3567" t="str">
        <v/>
      </c>
      <c r="LO3567" t="str">
        <v/>
      </c>
    </row>
    <row r="3568" spans="326:327">
      <c r="LN3568" t="str">
        <v/>
      </c>
      <c r="LO3568" t="str">
        <v/>
      </c>
    </row>
    <row r="3569" spans="326:327">
      <c r="LN3569" t="str">
        <v/>
      </c>
      <c r="LO3569" t="str">
        <v/>
      </c>
    </row>
    <row r="3570" spans="326:327">
      <c r="LN3570" t="str">
        <v/>
      </c>
      <c r="LO3570" t="str">
        <v/>
      </c>
    </row>
    <row r="3571" spans="326:327">
      <c r="LN3571" t="str">
        <v/>
      </c>
      <c r="LO3571" t="str">
        <v/>
      </c>
    </row>
    <row r="3572" spans="326:327">
      <c r="LN3572" t="str">
        <v/>
      </c>
      <c r="LO3572" t="str">
        <v/>
      </c>
    </row>
    <row r="3573" spans="326:327">
      <c r="LN3573" t="str">
        <v/>
      </c>
      <c r="LO3573" t="str">
        <v/>
      </c>
    </row>
    <row r="3574" spans="326:327">
      <c r="LN3574" t="str">
        <v/>
      </c>
      <c r="LO3574" t="str">
        <v/>
      </c>
    </row>
    <row r="3575" spans="326:327">
      <c r="LN3575" t="str">
        <v/>
      </c>
      <c r="LO3575" t="str">
        <v/>
      </c>
    </row>
    <row r="3576" spans="326:327">
      <c r="LN3576" t="str">
        <v/>
      </c>
      <c r="LO3576" t="str">
        <v/>
      </c>
    </row>
    <row r="3577" spans="326:327">
      <c r="LN3577" t="str">
        <v/>
      </c>
      <c r="LO3577" t="str">
        <v/>
      </c>
    </row>
    <row r="3578" spans="326:327">
      <c r="LN3578" t="str">
        <v/>
      </c>
      <c r="LO3578" t="str">
        <v/>
      </c>
    </row>
    <row r="3579" spans="326:327">
      <c r="LN3579" t="str">
        <v/>
      </c>
      <c r="LO3579" t="str">
        <v/>
      </c>
    </row>
    <row r="3580" spans="326:327">
      <c r="LN3580" t="str">
        <v/>
      </c>
      <c r="LO3580" t="str">
        <v/>
      </c>
    </row>
    <row r="3581" spans="326:327">
      <c r="LN3581" t="str">
        <v/>
      </c>
      <c r="LO3581" t="str">
        <v/>
      </c>
    </row>
    <row r="3582" spans="326:327">
      <c r="LN3582" t="str">
        <v/>
      </c>
      <c r="LO3582" t="str">
        <v/>
      </c>
    </row>
    <row r="3583" spans="326:327">
      <c r="LN3583" t="str">
        <v/>
      </c>
      <c r="LO3583" t="str">
        <v/>
      </c>
    </row>
    <row r="3584" spans="326:327">
      <c r="LN3584" t="str">
        <v/>
      </c>
      <c r="LO3584" t="str">
        <v/>
      </c>
    </row>
    <row r="3585" spans="326:327">
      <c r="LN3585" t="str">
        <v/>
      </c>
      <c r="LO3585" t="str">
        <v/>
      </c>
    </row>
    <row r="3586" spans="326:327">
      <c r="LN3586" t="str">
        <v/>
      </c>
      <c r="LO3586" t="str">
        <v/>
      </c>
    </row>
    <row r="3587" spans="326:327">
      <c r="LN3587" t="str">
        <v/>
      </c>
      <c r="LO3587" t="str">
        <v/>
      </c>
    </row>
    <row r="3588" spans="326:327">
      <c r="LN3588" t="str">
        <v/>
      </c>
      <c r="LO3588" t="str">
        <v/>
      </c>
    </row>
    <row r="3589" spans="326:327">
      <c r="LN3589" t="str">
        <v/>
      </c>
      <c r="LO3589" t="str">
        <v/>
      </c>
    </row>
    <row r="3590" spans="326:327">
      <c r="LN3590" t="str">
        <v/>
      </c>
      <c r="LO3590" t="str">
        <v/>
      </c>
    </row>
    <row r="3591" spans="326:327">
      <c r="LN3591" t="str">
        <v/>
      </c>
      <c r="LO3591" t="str">
        <v/>
      </c>
    </row>
    <row r="3592" spans="326:327">
      <c r="LN3592" t="str">
        <v/>
      </c>
      <c r="LO3592" t="str">
        <v/>
      </c>
    </row>
    <row r="3593" spans="326:327">
      <c r="LN3593" t="str">
        <v/>
      </c>
      <c r="LO3593" t="str">
        <v/>
      </c>
    </row>
    <row r="3594" spans="326:327">
      <c r="LN3594" t="str">
        <v/>
      </c>
      <c r="LO3594" t="str">
        <v/>
      </c>
    </row>
    <row r="3595" spans="326:327">
      <c r="LN3595" t="str">
        <v/>
      </c>
      <c r="LO3595" t="str">
        <v/>
      </c>
    </row>
    <row r="3596" spans="326:327">
      <c r="LN3596" t="str">
        <v/>
      </c>
      <c r="LO3596" t="str">
        <v/>
      </c>
    </row>
    <row r="3597" spans="326:327">
      <c r="LN3597" t="str">
        <v/>
      </c>
      <c r="LO3597" t="str">
        <v/>
      </c>
    </row>
    <row r="3598" spans="326:327">
      <c r="LN3598" t="str">
        <v/>
      </c>
      <c r="LO3598" t="str">
        <v/>
      </c>
    </row>
    <row r="3599" spans="326:327">
      <c r="LN3599" t="str">
        <v/>
      </c>
      <c r="LO3599" t="str">
        <v/>
      </c>
    </row>
    <row r="3600" spans="326:327">
      <c r="LN3600" t="str">
        <v/>
      </c>
      <c r="LO3600" t="str">
        <v/>
      </c>
    </row>
    <row r="3601" spans="326:327">
      <c r="LN3601" t="str">
        <v/>
      </c>
      <c r="LO3601" t="str">
        <v/>
      </c>
    </row>
    <row r="3602" spans="326:327">
      <c r="LN3602" t="str">
        <v/>
      </c>
      <c r="LO3602" t="str">
        <v/>
      </c>
    </row>
    <row r="3603" spans="326:327">
      <c r="LN3603" t="str">
        <v/>
      </c>
      <c r="LO3603" t="str">
        <v/>
      </c>
    </row>
    <row r="3604" spans="326:327">
      <c r="LN3604" t="str">
        <v/>
      </c>
      <c r="LO3604" t="str">
        <v/>
      </c>
    </row>
    <row r="3605" spans="326:327">
      <c r="LN3605" t="str">
        <v/>
      </c>
      <c r="LO3605" t="str">
        <v/>
      </c>
    </row>
    <row r="3606" spans="326:327">
      <c r="LN3606" t="str">
        <v/>
      </c>
      <c r="LO3606" t="str">
        <v/>
      </c>
    </row>
    <row r="3607" spans="326:327">
      <c r="LN3607" t="str">
        <v/>
      </c>
      <c r="LO3607" t="str">
        <v/>
      </c>
    </row>
    <row r="3608" spans="326:327">
      <c r="LN3608" t="str">
        <v/>
      </c>
      <c r="LO3608" t="str">
        <v/>
      </c>
    </row>
    <row r="3609" spans="326:327">
      <c r="LN3609" t="str">
        <v/>
      </c>
      <c r="LO3609" t="str">
        <v/>
      </c>
    </row>
    <row r="3610" spans="326:327">
      <c r="LN3610" t="str">
        <v/>
      </c>
      <c r="LO3610" t="str">
        <v/>
      </c>
    </row>
    <row r="3611" spans="326:327">
      <c r="LN3611" t="str">
        <v/>
      </c>
      <c r="LO3611" t="str">
        <v/>
      </c>
    </row>
    <row r="3612" spans="326:327">
      <c r="LN3612" t="str">
        <v/>
      </c>
      <c r="LO3612" t="str">
        <v/>
      </c>
    </row>
    <row r="3613" spans="326:327">
      <c r="LN3613" t="str">
        <v/>
      </c>
      <c r="LO3613" t="str">
        <v/>
      </c>
    </row>
    <row r="3614" spans="326:327">
      <c r="LN3614" t="str">
        <v/>
      </c>
      <c r="LO3614" t="str">
        <v/>
      </c>
    </row>
    <row r="3615" spans="326:327">
      <c r="LN3615" t="str">
        <v/>
      </c>
      <c r="LO3615" t="str">
        <v/>
      </c>
    </row>
    <row r="3616" spans="326:327">
      <c r="LN3616" t="str">
        <v/>
      </c>
      <c r="LO3616" t="str">
        <v/>
      </c>
    </row>
    <row r="3617" spans="326:327">
      <c r="LN3617" t="str">
        <v/>
      </c>
      <c r="LO3617" t="str">
        <v/>
      </c>
    </row>
    <row r="3618" spans="326:327">
      <c r="LN3618" t="str">
        <v/>
      </c>
      <c r="LO3618" t="str">
        <v/>
      </c>
    </row>
    <row r="3619" spans="326:327">
      <c r="LN3619" t="str">
        <v/>
      </c>
      <c r="LO3619" t="str">
        <v/>
      </c>
    </row>
    <row r="3620" spans="326:327">
      <c r="LN3620" t="str">
        <v/>
      </c>
      <c r="LO3620" t="str">
        <v/>
      </c>
    </row>
    <row r="3621" spans="326:327">
      <c r="LN3621" t="str">
        <v/>
      </c>
      <c r="LO3621" t="str">
        <v/>
      </c>
    </row>
    <row r="3622" spans="326:327">
      <c r="LN3622" t="str">
        <v/>
      </c>
      <c r="LO3622" t="str">
        <v/>
      </c>
    </row>
    <row r="3623" spans="326:327">
      <c r="LN3623" t="str">
        <v/>
      </c>
      <c r="LO3623" t="str">
        <v/>
      </c>
    </row>
    <row r="3624" spans="326:327">
      <c r="LN3624" t="str">
        <v/>
      </c>
      <c r="LO3624" t="str">
        <v/>
      </c>
    </row>
    <row r="3625" spans="326:327">
      <c r="LN3625" t="str">
        <v/>
      </c>
      <c r="LO3625" t="str">
        <v/>
      </c>
    </row>
    <row r="3626" spans="326:327">
      <c r="LN3626" t="str">
        <v/>
      </c>
      <c r="LO3626" t="str">
        <v/>
      </c>
    </row>
    <row r="3627" spans="326:327">
      <c r="LN3627" t="str">
        <v/>
      </c>
      <c r="LO3627" t="str">
        <v/>
      </c>
    </row>
    <row r="3628" spans="326:327">
      <c r="LN3628" t="str">
        <v/>
      </c>
      <c r="LO3628" t="str">
        <v/>
      </c>
    </row>
    <row r="3629" spans="326:327">
      <c r="LN3629" t="str">
        <v/>
      </c>
      <c r="LO3629" t="str">
        <v/>
      </c>
    </row>
    <row r="3630" spans="326:327">
      <c r="LN3630" t="str">
        <v/>
      </c>
      <c r="LO3630" t="str">
        <v/>
      </c>
    </row>
    <row r="3631" spans="326:327">
      <c r="LN3631" t="str">
        <v/>
      </c>
      <c r="LO3631" t="str">
        <v/>
      </c>
    </row>
    <row r="3632" spans="326:327">
      <c r="LN3632" t="str">
        <v/>
      </c>
      <c r="LO3632" t="str">
        <v/>
      </c>
    </row>
    <row r="3633" spans="326:327">
      <c r="LN3633" t="str">
        <v/>
      </c>
      <c r="LO3633" t="str">
        <v/>
      </c>
    </row>
    <row r="3634" spans="326:327">
      <c r="LN3634" t="str">
        <v/>
      </c>
      <c r="LO3634" t="str">
        <v/>
      </c>
    </row>
    <row r="3635" spans="326:327">
      <c r="LN3635" t="str">
        <v/>
      </c>
      <c r="LO3635" t="str">
        <v/>
      </c>
    </row>
    <row r="3636" spans="326:327">
      <c r="LN3636" t="str">
        <v/>
      </c>
      <c r="LO3636" t="str">
        <v/>
      </c>
    </row>
    <row r="3637" spans="326:327">
      <c r="LN3637" t="str">
        <v/>
      </c>
      <c r="LO3637" t="str">
        <v/>
      </c>
    </row>
    <row r="3638" spans="326:327">
      <c r="LN3638" t="str">
        <v/>
      </c>
      <c r="LO3638" t="str">
        <v/>
      </c>
    </row>
    <row r="3639" spans="326:327">
      <c r="LN3639" t="str">
        <v/>
      </c>
      <c r="LO3639" t="str">
        <v/>
      </c>
    </row>
    <row r="3640" spans="326:327">
      <c r="LN3640" t="str">
        <v/>
      </c>
      <c r="LO3640" t="str">
        <v/>
      </c>
    </row>
    <row r="3641" spans="326:327">
      <c r="LN3641" t="str">
        <v/>
      </c>
      <c r="LO3641" t="str">
        <v/>
      </c>
    </row>
    <row r="3642" spans="326:327">
      <c r="LN3642" t="str">
        <v/>
      </c>
      <c r="LO3642" t="str">
        <v/>
      </c>
    </row>
    <row r="3643" spans="326:327">
      <c r="LN3643" t="str">
        <v/>
      </c>
      <c r="LO3643" t="str">
        <v/>
      </c>
    </row>
    <row r="3644" spans="326:327">
      <c r="LN3644" t="str">
        <v/>
      </c>
      <c r="LO3644" t="str">
        <v/>
      </c>
    </row>
    <row r="3645" spans="326:327">
      <c r="LN3645" t="str">
        <v/>
      </c>
      <c r="LO3645" t="str">
        <v/>
      </c>
    </row>
    <row r="3646" spans="326:327">
      <c r="LN3646" t="str">
        <v/>
      </c>
      <c r="LO3646" t="str">
        <v/>
      </c>
    </row>
    <row r="3647" spans="326:327">
      <c r="LN3647" t="str">
        <v/>
      </c>
      <c r="LO3647" t="str">
        <v/>
      </c>
    </row>
    <row r="3648" spans="326:327">
      <c r="LN3648" t="str">
        <v/>
      </c>
      <c r="LO3648" t="str">
        <v/>
      </c>
    </row>
    <row r="3649" spans="326:327">
      <c r="LN3649" t="str">
        <v/>
      </c>
      <c r="LO3649" t="str">
        <v/>
      </c>
    </row>
    <row r="3650" spans="326:327">
      <c r="LN3650" t="str">
        <v/>
      </c>
      <c r="LO3650" t="str">
        <v/>
      </c>
    </row>
    <row r="3651" spans="326:327">
      <c r="LN3651" t="str">
        <v/>
      </c>
      <c r="LO3651" t="str">
        <v/>
      </c>
    </row>
    <row r="3652" spans="326:327">
      <c r="LN3652" t="str">
        <v/>
      </c>
      <c r="LO3652" t="str">
        <v/>
      </c>
    </row>
    <row r="3653" spans="326:327">
      <c r="LN3653" t="str">
        <v/>
      </c>
      <c r="LO3653" t="str">
        <v/>
      </c>
    </row>
    <row r="3654" spans="326:327">
      <c r="LN3654" t="str">
        <v/>
      </c>
      <c r="LO3654" t="str">
        <v/>
      </c>
    </row>
    <row r="3655" spans="326:327">
      <c r="LN3655" t="str">
        <v/>
      </c>
      <c r="LO3655" t="str">
        <v/>
      </c>
    </row>
    <row r="3656" spans="326:327">
      <c r="LN3656" t="str">
        <v/>
      </c>
      <c r="LO3656" t="str">
        <v/>
      </c>
    </row>
    <row r="3657" spans="326:327">
      <c r="LN3657" t="str">
        <v/>
      </c>
      <c r="LO3657" t="str">
        <v/>
      </c>
    </row>
    <row r="3658" spans="326:327">
      <c r="LN3658" t="str">
        <v/>
      </c>
      <c r="LO3658" t="str">
        <v/>
      </c>
    </row>
    <row r="3659" spans="326:327">
      <c r="LN3659" t="str">
        <v/>
      </c>
      <c r="LO3659" t="str">
        <v/>
      </c>
    </row>
    <row r="3660" spans="326:327">
      <c r="LN3660" t="str">
        <v/>
      </c>
      <c r="LO3660" t="str">
        <v/>
      </c>
    </row>
    <row r="3661" spans="326:327">
      <c r="LN3661" t="str">
        <v/>
      </c>
      <c r="LO3661" t="str">
        <v/>
      </c>
    </row>
    <row r="3662" spans="326:327">
      <c r="LN3662" t="str">
        <v/>
      </c>
      <c r="LO3662" t="str">
        <v/>
      </c>
    </row>
    <row r="3663" spans="326:327">
      <c r="LN3663" t="str">
        <v/>
      </c>
      <c r="LO3663" t="str">
        <v/>
      </c>
    </row>
    <row r="3664" spans="326:327">
      <c r="LN3664" t="str">
        <v/>
      </c>
      <c r="LO3664" t="str">
        <v/>
      </c>
    </row>
    <row r="3665" spans="326:327">
      <c r="LN3665" t="str">
        <v/>
      </c>
      <c r="LO3665" t="str">
        <v/>
      </c>
    </row>
    <row r="3666" spans="326:327">
      <c r="LN3666" t="str">
        <v/>
      </c>
      <c r="LO3666" t="str">
        <v/>
      </c>
    </row>
    <row r="3667" spans="326:327">
      <c r="LN3667" t="str">
        <v/>
      </c>
      <c r="LO3667" t="str">
        <v/>
      </c>
    </row>
    <row r="3668" spans="326:327">
      <c r="LN3668" t="str">
        <v/>
      </c>
      <c r="LO3668" t="str">
        <v/>
      </c>
    </row>
    <row r="3669" spans="326:327">
      <c r="LN3669" t="str">
        <v/>
      </c>
      <c r="LO3669" t="str">
        <v/>
      </c>
    </row>
    <row r="3670" spans="326:327">
      <c r="LN3670" t="str">
        <v/>
      </c>
      <c r="LO3670" t="str">
        <v/>
      </c>
    </row>
    <row r="3671" spans="326:327">
      <c r="LN3671" t="str">
        <v/>
      </c>
      <c r="LO3671" t="str">
        <v/>
      </c>
    </row>
    <row r="3672" spans="326:327">
      <c r="LN3672" t="str">
        <v/>
      </c>
      <c r="LO3672" t="str">
        <v/>
      </c>
    </row>
    <row r="3673" spans="326:327">
      <c r="LN3673" t="str">
        <v/>
      </c>
      <c r="LO3673" t="str">
        <v/>
      </c>
    </row>
    <row r="3674" spans="326:327">
      <c r="LN3674" t="str">
        <v/>
      </c>
      <c r="LO3674" t="str">
        <v/>
      </c>
    </row>
    <row r="3675" spans="326:327">
      <c r="LN3675" t="str">
        <v/>
      </c>
      <c r="LO3675" t="str">
        <v/>
      </c>
    </row>
    <row r="3676" spans="326:327">
      <c r="LN3676" t="str">
        <v/>
      </c>
      <c r="LO3676" t="str">
        <v/>
      </c>
    </row>
    <row r="3677" spans="326:327">
      <c r="LN3677" t="str">
        <v/>
      </c>
      <c r="LO3677" t="str">
        <v/>
      </c>
    </row>
    <row r="3678" spans="326:327">
      <c r="LN3678" t="str">
        <v/>
      </c>
      <c r="LO3678" t="str">
        <v/>
      </c>
    </row>
    <row r="3679" spans="326:327">
      <c r="LN3679" t="str">
        <v/>
      </c>
      <c r="LO3679" t="str">
        <v/>
      </c>
    </row>
    <row r="3680" spans="326:327">
      <c r="LN3680" t="str">
        <v/>
      </c>
      <c r="LO3680" t="str">
        <v/>
      </c>
    </row>
    <row r="3681" spans="326:327">
      <c r="LN3681" t="str">
        <v/>
      </c>
      <c r="LO3681" t="str">
        <v/>
      </c>
    </row>
    <row r="3682" spans="326:327">
      <c r="LN3682" t="str">
        <v/>
      </c>
      <c r="LO3682" t="str">
        <v/>
      </c>
    </row>
    <row r="3683" spans="326:327">
      <c r="LN3683" t="str">
        <v/>
      </c>
      <c r="LO3683" t="str">
        <v/>
      </c>
    </row>
    <row r="3684" spans="326:327">
      <c r="LN3684" t="str">
        <v/>
      </c>
      <c r="LO3684" t="str">
        <v/>
      </c>
    </row>
    <row r="3685" spans="326:327">
      <c r="LN3685" t="str">
        <v/>
      </c>
      <c r="LO3685" t="str">
        <v/>
      </c>
    </row>
    <row r="3686" spans="326:327">
      <c r="LN3686" t="str">
        <v/>
      </c>
      <c r="LO3686" t="str">
        <v/>
      </c>
    </row>
    <row r="3687" spans="326:327">
      <c r="LN3687" t="str">
        <v/>
      </c>
      <c r="LO3687" t="str">
        <v/>
      </c>
    </row>
    <row r="3688" spans="326:327">
      <c r="LN3688" t="str">
        <v/>
      </c>
      <c r="LO3688" t="str">
        <v/>
      </c>
    </row>
    <row r="3689" spans="326:327">
      <c r="LN3689" t="str">
        <v/>
      </c>
      <c r="LO3689" t="str">
        <v/>
      </c>
    </row>
    <row r="3690" spans="326:327">
      <c r="LN3690" t="str">
        <v/>
      </c>
      <c r="LO3690" t="str">
        <v/>
      </c>
    </row>
    <row r="3691" spans="326:327">
      <c r="LN3691" t="str">
        <v/>
      </c>
      <c r="LO3691" t="str">
        <v/>
      </c>
    </row>
    <row r="3692" spans="326:327">
      <c r="LN3692" t="str">
        <v/>
      </c>
      <c r="LO3692" t="str">
        <v/>
      </c>
    </row>
    <row r="3693" spans="326:327">
      <c r="LN3693" t="str">
        <v/>
      </c>
      <c r="LO3693" t="str">
        <v/>
      </c>
    </row>
    <row r="3694" spans="326:327">
      <c r="LN3694" t="str">
        <v/>
      </c>
      <c r="LO3694" t="str">
        <v/>
      </c>
    </row>
    <row r="3695" spans="326:327">
      <c r="LN3695" t="str">
        <v/>
      </c>
      <c r="LO3695" t="str">
        <v/>
      </c>
    </row>
    <row r="3696" spans="326:327">
      <c r="LN3696" t="str">
        <v/>
      </c>
      <c r="LO3696" t="str">
        <v/>
      </c>
    </row>
    <row r="3697" spans="326:327">
      <c r="LN3697" t="str">
        <v/>
      </c>
      <c r="LO3697" t="str">
        <v/>
      </c>
    </row>
    <row r="3698" spans="326:327">
      <c r="LN3698" t="str">
        <v/>
      </c>
      <c r="LO3698" t="str">
        <v/>
      </c>
    </row>
    <row r="3699" spans="326:327">
      <c r="LN3699" t="str">
        <v/>
      </c>
      <c r="LO3699" t="str">
        <v/>
      </c>
    </row>
    <row r="3700" spans="326:327">
      <c r="LN3700" t="str">
        <v/>
      </c>
      <c r="LO3700" t="str">
        <v/>
      </c>
    </row>
    <row r="3701" spans="326:327">
      <c r="LN3701" t="str">
        <v/>
      </c>
      <c r="LO3701" t="str">
        <v/>
      </c>
    </row>
    <row r="3702" spans="326:327">
      <c r="LN3702" t="str">
        <v/>
      </c>
      <c r="LO3702" t="str">
        <v/>
      </c>
    </row>
    <row r="3703" spans="326:327">
      <c r="LN3703" t="str">
        <v/>
      </c>
      <c r="LO3703" t="str">
        <v/>
      </c>
    </row>
    <row r="3704" spans="326:327">
      <c r="LN3704" t="str">
        <v/>
      </c>
      <c r="LO3704" t="str">
        <v/>
      </c>
    </row>
    <row r="3705" spans="326:327">
      <c r="LN3705" t="str">
        <v/>
      </c>
      <c r="LO3705" t="str">
        <v/>
      </c>
    </row>
    <row r="3706" spans="326:327">
      <c r="LN3706" t="str">
        <v/>
      </c>
      <c r="LO3706" t="str">
        <v/>
      </c>
    </row>
    <row r="3707" spans="326:327">
      <c r="LN3707" t="str">
        <v/>
      </c>
      <c r="LO3707" t="str">
        <v/>
      </c>
    </row>
    <row r="3708" spans="326:327">
      <c r="LN3708" t="str">
        <v/>
      </c>
      <c r="LO3708" t="str">
        <v/>
      </c>
    </row>
    <row r="3709" spans="326:327">
      <c r="LN3709" t="str">
        <v/>
      </c>
      <c r="LO3709" t="str">
        <v/>
      </c>
    </row>
    <row r="3710" spans="326:327">
      <c r="LN3710" t="str">
        <v/>
      </c>
      <c r="LO3710" t="str">
        <v/>
      </c>
    </row>
    <row r="3711" spans="326:327">
      <c r="LN3711" t="str">
        <v/>
      </c>
      <c r="LO3711" t="str">
        <v/>
      </c>
    </row>
    <row r="3712" spans="326:327">
      <c r="LN3712" t="str">
        <v/>
      </c>
      <c r="LO3712" t="str">
        <v/>
      </c>
    </row>
    <row r="3713" spans="326:327">
      <c r="LN3713" t="str">
        <v/>
      </c>
      <c r="LO3713" t="str">
        <v/>
      </c>
    </row>
    <row r="3714" spans="326:327">
      <c r="LN3714" t="str">
        <v/>
      </c>
      <c r="LO3714" t="str">
        <v/>
      </c>
    </row>
    <row r="3715" spans="326:327">
      <c r="LN3715" t="str">
        <v/>
      </c>
      <c r="LO3715" t="str">
        <v/>
      </c>
    </row>
    <row r="3716" spans="326:327">
      <c r="LN3716" t="str">
        <v/>
      </c>
      <c r="LO3716" t="str">
        <v/>
      </c>
    </row>
    <row r="3717" spans="326:327">
      <c r="LN3717" t="str">
        <v/>
      </c>
      <c r="LO3717" t="str">
        <v/>
      </c>
    </row>
    <row r="3718" spans="326:327">
      <c r="LN3718" t="str">
        <v/>
      </c>
      <c r="LO3718" t="str">
        <v/>
      </c>
    </row>
    <row r="3719" spans="326:327">
      <c r="LN3719" t="str">
        <v/>
      </c>
      <c r="LO3719" t="str">
        <v/>
      </c>
    </row>
    <row r="3720" spans="326:327">
      <c r="LN3720" t="str">
        <v/>
      </c>
      <c r="LO3720" t="str">
        <v/>
      </c>
    </row>
    <row r="3721" spans="326:327">
      <c r="LN3721" t="str">
        <v/>
      </c>
      <c r="LO3721" t="str">
        <v/>
      </c>
    </row>
    <row r="3722" spans="326:327">
      <c r="LN3722" t="str">
        <v/>
      </c>
      <c r="LO3722" t="str">
        <v/>
      </c>
    </row>
    <row r="3723" spans="326:327">
      <c r="LN3723" t="str">
        <v/>
      </c>
      <c r="LO3723" t="str">
        <v/>
      </c>
    </row>
    <row r="3724" spans="326:327">
      <c r="LN3724" t="str">
        <v/>
      </c>
      <c r="LO3724" t="str">
        <v/>
      </c>
    </row>
    <row r="3725" spans="326:327">
      <c r="LN3725" t="str">
        <v/>
      </c>
      <c r="LO3725" t="str">
        <v/>
      </c>
    </row>
    <row r="3726" spans="326:327">
      <c r="LN3726" t="str">
        <v/>
      </c>
      <c r="LO3726" t="str">
        <v/>
      </c>
    </row>
    <row r="3727" spans="326:327">
      <c r="LN3727" t="str">
        <v/>
      </c>
      <c r="LO3727" t="str">
        <v/>
      </c>
    </row>
    <row r="3728" spans="326:327">
      <c r="LN3728" t="str">
        <v/>
      </c>
      <c r="LO3728" t="str">
        <v/>
      </c>
    </row>
    <row r="3729" spans="326:327">
      <c r="LN3729" t="str">
        <v/>
      </c>
      <c r="LO3729" t="str">
        <v/>
      </c>
    </row>
    <row r="3730" spans="326:327">
      <c r="LN3730" t="str">
        <v/>
      </c>
      <c r="LO3730" t="str">
        <v/>
      </c>
    </row>
    <row r="3731" spans="326:327">
      <c r="LN3731" t="str">
        <v/>
      </c>
      <c r="LO3731" t="str">
        <v/>
      </c>
    </row>
    <row r="3732" spans="326:327">
      <c r="LN3732" t="str">
        <v/>
      </c>
      <c r="LO3732" t="str">
        <v/>
      </c>
    </row>
    <row r="3733" spans="326:327">
      <c r="LN3733" t="str">
        <v/>
      </c>
      <c r="LO3733" t="str">
        <v/>
      </c>
    </row>
    <row r="3734" spans="326:327">
      <c r="LN3734" t="str">
        <v/>
      </c>
      <c r="LO3734" t="str">
        <v/>
      </c>
    </row>
    <row r="3735" spans="326:327">
      <c r="LN3735" t="str">
        <v/>
      </c>
      <c r="LO3735" t="str">
        <v/>
      </c>
    </row>
    <row r="3736" spans="326:327">
      <c r="LN3736" t="str">
        <v/>
      </c>
      <c r="LO3736" t="str">
        <v/>
      </c>
    </row>
    <row r="3737" spans="326:327">
      <c r="LN3737" t="str">
        <v/>
      </c>
      <c r="LO3737" t="str">
        <v/>
      </c>
    </row>
    <row r="3738" spans="326:327">
      <c r="LN3738" t="str">
        <v/>
      </c>
      <c r="LO3738" t="str">
        <v/>
      </c>
    </row>
    <row r="3739" spans="326:327">
      <c r="LN3739" t="str">
        <v/>
      </c>
      <c r="LO3739" t="str">
        <v/>
      </c>
    </row>
    <row r="3740" spans="326:327">
      <c r="LN3740" t="str">
        <v/>
      </c>
      <c r="LO3740" t="str">
        <v/>
      </c>
    </row>
    <row r="3741" spans="326:327">
      <c r="LN3741" t="str">
        <v/>
      </c>
      <c r="LO3741" t="str">
        <v/>
      </c>
    </row>
    <row r="3742" spans="326:327">
      <c r="LN3742" t="str">
        <v/>
      </c>
      <c r="LO3742" t="str">
        <v/>
      </c>
    </row>
    <row r="3743" spans="326:327">
      <c r="LN3743" t="str">
        <v/>
      </c>
      <c r="LO3743" t="str">
        <v/>
      </c>
    </row>
    <row r="3744" spans="326:327">
      <c r="LN3744" t="str">
        <v/>
      </c>
      <c r="LO3744" t="str">
        <v/>
      </c>
    </row>
    <row r="3745" spans="326:327">
      <c r="LN3745" t="str">
        <v/>
      </c>
      <c r="LO3745" t="str">
        <v/>
      </c>
    </row>
    <row r="3746" spans="326:327">
      <c r="LN3746" t="str">
        <v/>
      </c>
      <c r="LO3746" t="str">
        <v/>
      </c>
    </row>
    <row r="3747" spans="326:327">
      <c r="LN3747" t="str">
        <v/>
      </c>
      <c r="LO3747" t="str">
        <v/>
      </c>
    </row>
    <row r="3748" spans="326:327">
      <c r="LN3748" t="str">
        <v/>
      </c>
      <c r="LO3748" t="str">
        <v/>
      </c>
    </row>
    <row r="3749" spans="326:327">
      <c r="LN3749" t="str">
        <v/>
      </c>
      <c r="LO3749" t="str">
        <v/>
      </c>
    </row>
    <row r="3750" spans="326:327">
      <c r="LN3750" t="str">
        <v/>
      </c>
      <c r="LO3750" t="str">
        <v/>
      </c>
    </row>
    <row r="3751" spans="326:327">
      <c r="LN3751" t="str">
        <v/>
      </c>
      <c r="LO3751" t="str">
        <v/>
      </c>
    </row>
    <row r="3752" spans="326:327">
      <c r="LN3752" t="str">
        <v/>
      </c>
      <c r="LO3752" t="str">
        <v/>
      </c>
    </row>
    <row r="3753" spans="326:327">
      <c r="LN3753" t="str">
        <v/>
      </c>
      <c r="LO3753" t="str">
        <v/>
      </c>
    </row>
    <row r="3754" spans="326:327">
      <c r="LN3754" t="str">
        <v/>
      </c>
      <c r="LO3754" t="str">
        <v/>
      </c>
    </row>
    <row r="3755" spans="326:327">
      <c r="LN3755" t="str">
        <v/>
      </c>
      <c r="LO3755" t="str">
        <v/>
      </c>
    </row>
    <row r="3756" spans="326:327">
      <c r="LN3756" t="str">
        <v/>
      </c>
      <c r="LO3756" t="str">
        <v/>
      </c>
    </row>
    <row r="3757" spans="326:327">
      <c r="LN3757" t="str">
        <v/>
      </c>
      <c r="LO3757" t="str">
        <v/>
      </c>
    </row>
    <row r="3758" spans="326:327">
      <c r="LN3758" t="str">
        <v/>
      </c>
      <c r="LO3758" t="str">
        <v/>
      </c>
    </row>
    <row r="3759" spans="326:327">
      <c r="LN3759" t="str">
        <v/>
      </c>
      <c r="LO3759" t="str">
        <v/>
      </c>
    </row>
    <row r="3760" spans="326:327">
      <c r="LN3760" t="str">
        <v/>
      </c>
      <c r="LO3760" t="str">
        <v/>
      </c>
    </row>
    <row r="3761" spans="326:327">
      <c r="LN3761" t="str">
        <v/>
      </c>
      <c r="LO3761" t="str">
        <v/>
      </c>
    </row>
    <row r="3762" spans="326:327">
      <c r="LN3762" t="str">
        <v/>
      </c>
      <c r="LO3762" t="str">
        <v/>
      </c>
    </row>
    <row r="3763" spans="326:327">
      <c r="LN3763" t="str">
        <v/>
      </c>
      <c r="LO3763" t="str">
        <v/>
      </c>
    </row>
    <row r="3764" spans="326:327">
      <c r="LN3764" t="str">
        <v/>
      </c>
      <c r="LO3764" t="str">
        <v/>
      </c>
    </row>
    <row r="3765" spans="326:327">
      <c r="LN3765" t="str">
        <v/>
      </c>
      <c r="LO3765" t="str">
        <v/>
      </c>
    </row>
    <row r="3766" spans="326:327">
      <c r="LN3766" t="str">
        <v/>
      </c>
      <c r="LO3766" t="str">
        <v/>
      </c>
    </row>
    <row r="3767" spans="326:327">
      <c r="LN3767" t="str">
        <v/>
      </c>
      <c r="LO3767" t="str">
        <v/>
      </c>
    </row>
    <row r="3768" spans="326:327">
      <c r="LN3768" t="str">
        <v/>
      </c>
      <c r="LO3768" t="str">
        <v/>
      </c>
    </row>
    <row r="3769" spans="326:327">
      <c r="LN3769" t="str">
        <v/>
      </c>
      <c r="LO3769" t="str">
        <v/>
      </c>
    </row>
    <row r="3770" spans="326:327">
      <c r="LN3770" t="str">
        <v/>
      </c>
      <c r="LO3770" t="str">
        <v/>
      </c>
    </row>
    <row r="3771" spans="326:327">
      <c r="LN3771" t="str">
        <v/>
      </c>
      <c r="LO3771" t="str">
        <v/>
      </c>
    </row>
    <row r="3772" spans="326:327">
      <c r="LN3772" t="str">
        <v/>
      </c>
      <c r="LO3772" t="str">
        <v/>
      </c>
    </row>
    <row r="3773" spans="326:327">
      <c r="LN3773" t="str">
        <v/>
      </c>
      <c r="LO3773" t="str">
        <v/>
      </c>
    </row>
    <row r="3774" spans="326:327">
      <c r="LN3774" t="str">
        <v/>
      </c>
      <c r="LO3774" t="str">
        <v/>
      </c>
    </row>
    <row r="3775" spans="326:327">
      <c r="LN3775" t="str">
        <v/>
      </c>
      <c r="LO3775" t="str">
        <v/>
      </c>
    </row>
    <row r="3776" spans="326:327">
      <c r="LN3776" t="str">
        <v/>
      </c>
      <c r="LO3776" t="str">
        <v/>
      </c>
    </row>
    <row r="3777" spans="326:327">
      <c r="LN3777" t="str">
        <v/>
      </c>
      <c r="LO3777" t="str">
        <v/>
      </c>
    </row>
    <row r="3778" spans="326:327">
      <c r="LN3778" t="str">
        <v/>
      </c>
      <c r="LO3778" t="str">
        <v/>
      </c>
    </row>
    <row r="3779" spans="326:327">
      <c r="LN3779" t="str">
        <v/>
      </c>
      <c r="LO3779" t="str">
        <v/>
      </c>
    </row>
    <row r="3780" spans="326:327">
      <c r="LN3780" t="str">
        <v/>
      </c>
      <c r="LO3780" t="str">
        <v/>
      </c>
    </row>
    <row r="3781" spans="326:327">
      <c r="LN3781" t="str">
        <v/>
      </c>
      <c r="LO3781" t="str">
        <v/>
      </c>
    </row>
    <row r="3782" spans="326:327">
      <c r="LN3782" t="str">
        <v/>
      </c>
      <c r="LO3782" t="str">
        <v/>
      </c>
    </row>
    <row r="3783" spans="326:327">
      <c r="LN3783" t="str">
        <v/>
      </c>
      <c r="LO3783" t="str">
        <v/>
      </c>
    </row>
    <row r="3784" spans="326:327">
      <c r="LN3784" t="str">
        <v/>
      </c>
      <c r="LO3784" t="str">
        <v/>
      </c>
    </row>
    <row r="3785" spans="326:327">
      <c r="LN3785" t="str">
        <v/>
      </c>
      <c r="LO3785" t="str">
        <v/>
      </c>
    </row>
    <row r="3786" spans="326:327">
      <c r="LN3786" t="str">
        <v/>
      </c>
      <c r="LO3786" t="str">
        <v/>
      </c>
    </row>
    <row r="3787" spans="326:327">
      <c r="LN3787" t="str">
        <v/>
      </c>
      <c r="LO3787" t="str">
        <v/>
      </c>
    </row>
    <row r="3788" spans="326:327">
      <c r="LN3788" t="str">
        <v/>
      </c>
      <c r="LO3788" t="str">
        <v/>
      </c>
    </row>
    <row r="3789" spans="326:327">
      <c r="LN3789" t="str">
        <v/>
      </c>
      <c r="LO3789" t="str">
        <v/>
      </c>
    </row>
    <row r="3790" spans="326:327">
      <c r="LN3790" t="str">
        <v/>
      </c>
      <c r="LO3790" t="str">
        <v/>
      </c>
    </row>
    <row r="3791" spans="326:327">
      <c r="LN3791" t="str">
        <v/>
      </c>
      <c r="LO3791" t="str">
        <v/>
      </c>
    </row>
    <row r="3792" spans="326:327">
      <c r="LN3792" t="str">
        <v/>
      </c>
      <c r="LO3792" t="str">
        <v/>
      </c>
    </row>
    <row r="3793" spans="326:327">
      <c r="LN3793" t="str">
        <v/>
      </c>
      <c r="LO3793" t="str">
        <v/>
      </c>
    </row>
    <row r="3794" spans="326:327">
      <c r="LN3794" t="str">
        <v/>
      </c>
      <c r="LO3794" t="str">
        <v/>
      </c>
    </row>
    <row r="3795" spans="326:327">
      <c r="LN3795" t="str">
        <v/>
      </c>
      <c r="LO3795" t="str">
        <v/>
      </c>
    </row>
    <row r="3796" spans="326:327">
      <c r="LN3796" t="str">
        <v/>
      </c>
      <c r="LO3796" t="str">
        <v/>
      </c>
    </row>
    <row r="3797" spans="326:327">
      <c r="LN3797" t="str">
        <v/>
      </c>
      <c r="LO3797" t="str">
        <v/>
      </c>
    </row>
    <row r="3798" spans="326:327">
      <c r="LN3798" t="str">
        <v/>
      </c>
      <c r="LO3798" t="str">
        <v/>
      </c>
    </row>
    <row r="3799" spans="326:327">
      <c r="LN3799" t="str">
        <v/>
      </c>
      <c r="LO3799" t="str">
        <v/>
      </c>
    </row>
    <row r="3800" spans="326:327">
      <c r="LN3800" t="str">
        <v/>
      </c>
      <c r="LO3800" t="str">
        <v/>
      </c>
    </row>
    <row r="3801" spans="326:327">
      <c r="LN3801" t="str">
        <v/>
      </c>
      <c r="LO3801" t="str">
        <v/>
      </c>
    </row>
    <row r="3802" spans="326:327">
      <c r="LN3802" t="str">
        <v/>
      </c>
      <c r="LO3802" t="str">
        <v/>
      </c>
    </row>
    <row r="3803" spans="326:327">
      <c r="LN3803" t="str">
        <v/>
      </c>
      <c r="LO3803" t="str">
        <v/>
      </c>
    </row>
    <row r="3804" spans="326:327">
      <c r="LN3804" t="str">
        <v/>
      </c>
      <c r="LO3804" t="str">
        <v/>
      </c>
    </row>
    <row r="3805" spans="326:327">
      <c r="LN3805" t="str">
        <v/>
      </c>
      <c r="LO3805" t="str">
        <v/>
      </c>
    </row>
    <row r="3806" spans="326:327">
      <c r="LN3806" t="str">
        <v/>
      </c>
      <c r="LO3806" t="str">
        <v/>
      </c>
    </row>
    <row r="3807" spans="326:327">
      <c r="LN3807" t="str">
        <v/>
      </c>
      <c r="LO3807" t="str">
        <v/>
      </c>
    </row>
    <row r="3808" spans="326:327">
      <c r="LN3808" t="str">
        <v/>
      </c>
      <c r="LO3808" t="str">
        <v/>
      </c>
    </row>
    <row r="3809" spans="326:327">
      <c r="LN3809" t="str">
        <v/>
      </c>
      <c r="LO3809" t="str">
        <v/>
      </c>
    </row>
    <row r="3810" spans="326:327">
      <c r="LN3810" t="str">
        <v/>
      </c>
      <c r="LO3810" t="str">
        <v/>
      </c>
    </row>
    <row r="3811" spans="326:327">
      <c r="LN3811" t="str">
        <v/>
      </c>
      <c r="LO3811" t="str">
        <v/>
      </c>
    </row>
    <row r="3812" spans="326:327">
      <c r="LN3812" t="str">
        <v/>
      </c>
      <c r="LO3812" t="str">
        <v/>
      </c>
    </row>
    <row r="3813" spans="326:327">
      <c r="LN3813" t="str">
        <v/>
      </c>
      <c r="LO3813" t="str">
        <v/>
      </c>
    </row>
    <row r="3814" spans="326:327">
      <c r="LN3814" t="str">
        <v/>
      </c>
      <c r="LO3814" t="str">
        <v/>
      </c>
    </row>
    <row r="3815" spans="326:327">
      <c r="LN3815" t="str">
        <v/>
      </c>
      <c r="LO3815" t="str">
        <v/>
      </c>
    </row>
    <row r="3816" spans="326:327">
      <c r="LN3816" t="str">
        <v/>
      </c>
      <c r="LO3816" t="str">
        <v/>
      </c>
    </row>
    <row r="3817" spans="326:327">
      <c r="LN3817" t="str">
        <v/>
      </c>
      <c r="LO3817" t="str">
        <v/>
      </c>
    </row>
    <row r="3818" spans="326:327">
      <c r="LN3818" t="str">
        <v/>
      </c>
      <c r="LO3818" t="str">
        <v/>
      </c>
    </row>
    <row r="3819" spans="326:327">
      <c r="LN3819" t="str">
        <v/>
      </c>
      <c r="LO3819" t="str">
        <v/>
      </c>
    </row>
    <row r="3820" spans="326:327">
      <c r="LN3820" t="str">
        <v/>
      </c>
      <c r="LO3820" t="str">
        <v/>
      </c>
    </row>
    <row r="3821" spans="326:327">
      <c r="LN3821" t="str">
        <v/>
      </c>
      <c r="LO3821" t="str">
        <v/>
      </c>
    </row>
    <row r="3822" spans="326:327">
      <c r="LN3822" t="str">
        <v/>
      </c>
      <c r="LO3822" t="str">
        <v/>
      </c>
    </row>
    <row r="3823" spans="326:327">
      <c r="LN3823" t="str">
        <v/>
      </c>
      <c r="LO3823" t="str">
        <v/>
      </c>
    </row>
    <row r="3824" spans="326:327">
      <c r="LN3824" t="str">
        <v/>
      </c>
      <c r="LO3824" t="str">
        <v/>
      </c>
    </row>
    <row r="3825" spans="326:327">
      <c r="LN3825" t="str">
        <v/>
      </c>
      <c r="LO3825" t="str">
        <v/>
      </c>
    </row>
    <row r="3826" spans="326:327">
      <c r="LN3826" t="str">
        <v/>
      </c>
      <c r="LO3826" t="str">
        <v/>
      </c>
    </row>
    <row r="3827" spans="326:327">
      <c r="LN3827" t="str">
        <v/>
      </c>
      <c r="LO3827" t="str">
        <v/>
      </c>
    </row>
    <row r="3828" spans="326:327">
      <c r="LN3828" t="str">
        <v/>
      </c>
      <c r="LO3828" t="str">
        <v/>
      </c>
    </row>
    <row r="3829" spans="326:327">
      <c r="LN3829" t="str">
        <v/>
      </c>
      <c r="LO3829" t="str">
        <v/>
      </c>
    </row>
    <row r="3830" spans="326:327">
      <c r="LN3830" t="str">
        <v/>
      </c>
      <c r="LO3830" t="str">
        <v/>
      </c>
    </row>
    <row r="3831" spans="326:327">
      <c r="LN3831" t="str">
        <v/>
      </c>
      <c r="LO3831" t="str">
        <v/>
      </c>
    </row>
    <row r="3832" spans="326:327">
      <c r="LN3832" t="str">
        <v/>
      </c>
      <c r="LO3832" t="str">
        <v/>
      </c>
    </row>
    <row r="3833" spans="326:327">
      <c r="LN3833" t="str">
        <v/>
      </c>
      <c r="LO3833" t="str">
        <v/>
      </c>
    </row>
    <row r="3834" spans="326:327">
      <c r="LN3834" t="str">
        <v/>
      </c>
      <c r="LO3834" t="str">
        <v/>
      </c>
    </row>
    <row r="3835" spans="326:327">
      <c r="LN3835" t="str">
        <v/>
      </c>
      <c r="LO3835" t="str">
        <v/>
      </c>
    </row>
    <row r="3836" spans="326:327">
      <c r="LN3836" t="str">
        <v/>
      </c>
      <c r="LO3836" t="str">
        <v/>
      </c>
    </row>
    <row r="3837" spans="326:327">
      <c r="LN3837" t="str">
        <v/>
      </c>
      <c r="LO3837" t="str">
        <v/>
      </c>
    </row>
    <row r="3838" spans="326:327">
      <c r="LN3838" t="str">
        <v/>
      </c>
      <c r="LO3838" t="str">
        <v/>
      </c>
    </row>
    <row r="3839" spans="326:327">
      <c r="LN3839" t="str">
        <v/>
      </c>
      <c r="LO3839" t="str">
        <v/>
      </c>
    </row>
    <row r="3840" spans="326:327">
      <c r="LN3840" t="str">
        <v/>
      </c>
      <c r="LO3840" t="str">
        <v/>
      </c>
    </row>
    <row r="3841" spans="326:327">
      <c r="LN3841" t="str">
        <v/>
      </c>
      <c r="LO3841" t="str">
        <v/>
      </c>
    </row>
    <row r="3842" spans="326:327">
      <c r="LN3842" t="str">
        <v/>
      </c>
      <c r="LO3842" t="str">
        <v/>
      </c>
    </row>
    <row r="3843" spans="326:327">
      <c r="LN3843" t="str">
        <v/>
      </c>
      <c r="LO3843" t="str">
        <v/>
      </c>
    </row>
    <row r="3844" spans="326:327">
      <c r="LN3844" t="str">
        <v/>
      </c>
      <c r="LO3844" t="str">
        <v/>
      </c>
    </row>
    <row r="3845" spans="326:327">
      <c r="LN3845" t="str">
        <v/>
      </c>
      <c r="LO3845" t="str">
        <v/>
      </c>
    </row>
    <row r="3846" spans="326:327">
      <c r="LN3846" t="str">
        <v/>
      </c>
      <c r="LO3846" t="str">
        <v/>
      </c>
    </row>
    <row r="3847" spans="326:327">
      <c r="LN3847" t="str">
        <v/>
      </c>
      <c r="LO3847" t="str">
        <v/>
      </c>
    </row>
    <row r="3848" spans="326:327">
      <c r="LN3848" t="str">
        <v/>
      </c>
      <c r="LO3848" t="str">
        <v/>
      </c>
    </row>
    <row r="3849" spans="326:327">
      <c r="LN3849" t="str">
        <v/>
      </c>
      <c r="LO3849" t="str">
        <v/>
      </c>
    </row>
    <row r="3850" spans="326:327">
      <c r="LN3850" t="str">
        <v/>
      </c>
      <c r="LO3850" t="str">
        <v/>
      </c>
    </row>
    <row r="3851" spans="326:327">
      <c r="LN3851" t="str">
        <v/>
      </c>
      <c r="LO3851" t="str">
        <v/>
      </c>
    </row>
    <row r="3852" spans="326:327">
      <c r="LN3852" t="str">
        <v/>
      </c>
      <c r="LO3852" t="str">
        <v/>
      </c>
    </row>
    <row r="3853" spans="326:327">
      <c r="LN3853" t="str">
        <v/>
      </c>
      <c r="LO3853" t="str">
        <v/>
      </c>
    </row>
    <row r="3854" spans="326:327">
      <c r="LN3854" t="str">
        <v/>
      </c>
      <c r="LO3854" t="str">
        <v/>
      </c>
    </row>
    <row r="3855" spans="326:327">
      <c r="LN3855" t="str">
        <v/>
      </c>
      <c r="LO3855" t="str">
        <v/>
      </c>
    </row>
    <row r="3856" spans="326:327">
      <c r="LN3856" t="str">
        <v/>
      </c>
      <c r="LO3856" t="str">
        <v/>
      </c>
    </row>
    <row r="3857" spans="326:327">
      <c r="LN3857" t="str">
        <v/>
      </c>
      <c r="LO3857" t="str">
        <v/>
      </c>
    </row>
    <row r="3858" spans="326:327">
      <c r="LN3858" t="str">
        <v/>
      </c>
      <c r="LO3858" t="str">
        <v/>
      </c>
    </row>
    <row r="3859" spans="326:327">
      <c r="LN3859" t="str">
        <v/>
      </c>
      <c r="LO3859" t="str">
        <v/>
      </c>
    </row>
    <row r="3860" spans="326:327">
      <c r="LN3860" t="str">
        <v/>
      </c>
      <c r="LO3860" t="str">
        <v/>
      </c>
    </row>
    <row r="3861" spans="326:327">
      <c r="LN3861" t="str">
        <v/>
      </c>
      <c r="LO3861" t="str">
        <v/>
      </c>
    </row>
    <row r="3862" spans="326:327">
      <c r="LN3862" t="str">
        <v/>
      </c>
      <c r="LO3862" t="str">
        <v/>
      </c>
    </row>
    <row r="3863" spans="326:327">
      <c r="LN3863" t="str">
        <v/>
      </c>
      <c r="LO3863" t="str">
        <v/>
      </c>
    </row>
    <row r="3864" spans="326:327">
      <c r="LN3864" t="str">
        <v/>
      </c>
      <c r="LO3864" t="str">
        <v/>
      </c>
    </row>
    <row r="3865" spans="326:327">
      <c r="LN3865" t="str">
        <v/>
      </c>
      <c r="LO3865" t="str">
        <v/>
      </c>
    </row>
    <row r="3866" spans="326:327">
      <c r="LN3866" t="str">
        <v/>
      </c>
      <c r="LO3866" t="str">
        <v/>
      </c>
    </row>
    <row r="3867" spans="326:327">
      <c r="LN3867" t="str">
        <v/>
      </c>
      <c r="LO3867" t="str">
        <v/>
      </c>
    </row>
    <row r="3868" spans="326:327">
      <c r="LN3868" t="str">
        <v/>
      </c>
      <c r="LO3868" t="str">
        <v/>
      </c>
    </row>
    <row r="3869" spans="326:327">
      <c r="LN3869" t="str">
        <v/>
      </c>
      <c r="LO3869" t="str">
        <v/>
      </c>
    </row>
    <row r="3870" spans="326:327">
      <c r="LN3870" t="str">
        <v/>
      </c>
      <c r="LO3870" t="str">
        <v/>
      </c>
    </row>
    <row r="3871" spans="326:327">
      <c r="LN3871" t="str">
        <v/>
      </c>
      <c r="LO3871" t="str">
        <v/>
      </c>
    </row>
    <row r="3872" spans="326:327">
      <c r="LN3872" t="str">
        <v/>
      </c>
      <c r="LO3872" t="str">
        <v/>
      </c>
    </row>
    <row r="3873" spans="326:327">
      <c r="LN3873" t="str">
        <v/>
      </c>
      <c r="LO3873" t="str">
        <v/>
      </c>
    </row>
    <row r="3874" spans="326:327">
      <c r="LN3874" t="str">
        <v/>
      </c>
      <c r="LO3874" t="str">
        <v/>
      </c>
    </row>
    <row r="3875" spans="326:327">
      <c r="LN3875" t="str">
        <v/>
      </c>
      <c r="LO3875" t="str">
        <v/>
      </c>
    </row>
    <row r="3876" spans="326:327">
      <c r="LN3876" t="str">
        <v/>
      </c>
      <c r="LO3876" t="str">
        <v/>
      </c>
    </row>
    <row r="3877" spans="326:327">
      <c r="LN3877" t="str">
        <v/>
      </c>
      <c r="LO3877" t="str">
        <v/>
      </c>
    </row>
    <row r="3878" spans="326:327">
      <c r="LN3878" t="str">
        <v/>
      </c>
      <c r="LO3878" t="str">
        <v/>
      </c>
    </row>
    <row r="3879" spans="326:327">
      <c r="LN3879" t="str">
        <v/>
      </c>
      <c r="LO3879" t="str">
        <v/>
      </c>
    </row>
    <row r="3880" spans="326:327">
      <c r="LN3880" t="str">
        <v/>
      </c>
      <c r="LO3880" t="str">
        <v/>
      </c>
    </row>
    <row r="3881" spans="326:327">
      <c r="LN3881" t="str">
        <v/>
      </c>
      <c r="LO3881" t="str">
        <v/>
      </c>
    </row>
    <row r="3882" spans="326:327">
      <c r="LN3882" t="str">
        <v/>
      </c>
      <c r="LO3882" t="str">
        <v/>
      </c>
    </row>
    <row r="3883" spans="326:327">
      <c r="LN3883" t="str">
        <v/>
      </c>
      <c r="LO3883" t="str">
        <v/>
      </c>
    </row>
    <row r="3884" spans="326:327">
      <c r="LN3884" t="str">
        <v/>
      </c>
      <c r="LO3884" t="str">
        <v/>
      </c>
    </row>
    <row r="3885" spans="326:327">
      <c r="LN3885" t="str">
        <v/>
      </c>
      <c r="LO3885" t="str">
        <v/>
      </c>
    </row>
    <row r="3886" spans="326:327">
      <c r="LN3886" t="str">
        <v/>
      </c>
      <c r="LO3886" t="str">
        <v/>
      </c>
    </row>
    <row r="3887" spans="326:327">
      <c r="LN3887" t="str">
        <v/>
      </c>
      <c r="LO3887" t="str">
        <v/>
      </c>
    </row>
    <row r="3888" spans="326:327">
      <c r="LN3888" t="str">
        <v/>
      </c>
      <c r="LO3888" t="str">
        <v/>
      </c>
    </row>
    <row r="3889" spans="326:327">
      <c r="LN3889" t="str">
        <v/>
      </c>
      <c r="LO3889" t="str">
        <v/>
      </c>
    </row>
    <row r="3890" spans="326:327">
      <c r="LN3890" t="str">
        <v/>
      </c>
      <c r="LO3890" t="str">
        <v/>
      </c>
    </row>
    <row r="3891" spans="326:327">
      <c r="LN3891" t="str">
        <v/>
      </c>
      <c r="LO3891" t="str">
        <v/>
      </c>
    </row>
    <row r="3892" spans="326:327">
      <c r="LN3892" t="str">
        <v/>
      </c>
      <c r="LO3892" t="str">
        <v/>
      </c>
    </row>
    <row r="3893" spans="326:327">
      <c r="LN3893" t="str">
        <v/>
      </c>
      <c r="LO3893" t="str">
        <v/>
      </c>
    </row>
    <row r="3894" spans="326:327">
      <c r="LN3894" t="str">
        <v/>
      </c>
      <c r="LO3894" t="str">
        <v/>
      </c>
    </row>
    <row r="3895" spans="326:327">
      <c r="LN3895" t="str">
        <v/>
      </c>
      <c r="LO3895" t="str">
        <v/>
      </c>
    </row>
    <row r="3896" spans="326:327">
      <c r="LN3896" t="str">
        <v/>
      </c>
      <c r="LO3896" t="str">
        <v/>
      </c>
    </row>
    <row r="3897" spans="326:327">
      <c r="LN3897" t="str">
        <v/>
      </c>
      <c r="LO3897" t="str">
        <v/>
      </c>
    </row>
    <row r="3898" spans="326:327">
      <c r="LN3898" t="str">
        <v/>
      </c>
      <c r="LO3898" t="str">
        <v/>
      </c>
    </row>
    <row r="3899" spans="326:327">
      <c r="LN3899" t="str">
        <v/>
      </c>
      <c r="LO3899" t="str">
        <v/>
      </c>
    </row>
    <row r="3900" spans="326:327">
      <c r="LN3900" t="str">
        <v/>
      </c>
      <c r="LO3900" t="str">
        <v/>
      </c>
    </row>
    <row r="3901" spans="326:327">
      <c r="LN3901" t="str">
        <v/>
      </c>
      <c r="LO3901" t="str">
        <v/>
      </c>
    </row>
    <row r="3902" spans="326:327">
      <c r="LN3902" t="str">
        <v/>
      </c>
      <c r="LO3902" t="str">
        <v/>
      </c>
    </row>
    <row r="3903" spans="326:327">
      <c r="LN3903" t="str">
        <v/>
      </c>
      <c r="LO3903" t="str">
        <v/>
      </c>
    </row>
    <row r="3904" spans="326:327">
      <c r="LN3904" t="str">
        <v/>
      </c>
      <c r="LO3904" t="str">
        <v/>
      </c>
    </row>
    <row r="3905" spans="326:327">
      <c r="LN3905" t="str">
        <v/>
      </c>
      <c r="LO3905" t="str">
        <v/>
      </c>
    </row>
    <row r="3906" spans="326:327">
      <c r="LN3906" t="str">
        <v/>
      </c>
      <c r="LO3906" t="str">
        <v/>
      </c>
    </row>
    <row r="3907" spans="326:327">
      <c r="LN3907" t="str">
        <v/>
      </c>
      <c r="LO3907" t="str">
        <v/>
      </c>
    </row>
    <row r="3908" spans="326:327">
      <c r="LN3908" t="str">
        <v/>
      </c>
      <c r="LO3908" t="str">
        <v/>
      </c>
    </row>
    <row r="3909" spans="326:327">
      <c r="LN3909" t="str">
        <v/>
      </c>
      <c r="LO3909" t="str">
        <v/>
      </c>
    </row>
    <row r="3910" spans="326:327">
      <c r="LN3910" t="str">
        <v/>
      </c>
      <c r="LO3910" t="str">
        <v/>
      </c>
    </row>
    <row r="3911" spans="326:327">
      <c r="LN3911" t="str">
        <v/>
      </c>
      <c r="LO3911" t="str">
        <v/>
      </c>
    </row>
    <row r="3912" spans="326:327">
      <c r="LN3912" t="str">
        <v/>
      </c>
      <c r="LO3912" t="str">
        <v/>
      </c>
    </row>
    <row r="3913" spans="326:327">
      <c r="LN3913" t="str">
        <v/>
      </c>
      <c r="LO3913" t="str">
        <v/>
      </c>
    </row>
    <row r="3914" spans="326:327">
      <c r="LN3914" t="str">
        <v/>
      </c>
      <c r="LO3914" t="str">
        <v/>
      </c>
    </row>
    <row r="3915" spans="326:327">
      <c r="LN3915" t="str">
        <v/>
      </c>
      <c r="LO3915" t="str">
        <v/>
      </c>
    </row>
    <row r="3916" spans="326:327">
      <c r="LN3916" t="str">
        <v/>
      </c>
      <c r="LO3916" t="str">
        <v/>
      </c>
    </row>
    <row r="3917" spans="326:327">
      <c r="LN3917" t="str">
        <v/>
      </c>
      <c r="LO3917" t="str">
        <v/>
      </c>
    </row>
    <row r="3918" spans="326:327">
      <c r="LN3918" t="str">
        <v/>
      </c>
      <c r="LO3918" t="str">
        <v/>
      </c>
    </row>
    <row r="3919" spans="326:327">
      <c r="LN3919" t="str">
        <v/>
      </c>
      <c r="LO3919" t="str">
        <v/>
      </c>
    </row>
    <row r="3920" spans="326:327">
      <c r="LN3920" t="str">
        <v/>
      </c>
      <c r="LO3920" t="str">
        <v/>
      </c>
    </row>
    <row r="3921" spans="326:327">
      <c r="LN3921" t="str">
        <v/>
      </c>
      <c r="LO3921" t="str">
        <v/>
      </c>
    </row>
    <row r="3922" spans="326:327">
      <c r="LN3922" t="str">
        <v/>
      </c>
      <c r="LO3922" t="str">
        <v/>
      </c>
    </row>
    <row r="3923" spans="326:327">
      <c r="LN3923" t="str">
        <v/>
      </c>
      <c r="LO3923" t="str">
        <v/>
      </c>
    </row>
    <row r="3924" spans="326:327">
      <c r="LN3924" t="str">
        <v/>
      </c>
      <c r="LO3924" t="str">
        <v/>
      </c>
    </row>
    <row r="3925" spans="326:327">
      <c r="LN3925" t="str">
        <v/>
      </c>
      <c r="LO3925" t="str">
        <v/>
      </c>
    </row>
    <row r="3926" spans="326:327">
      <c r="LN3926" t="str">
        <v/>
      </c>
      <c r="LO3926" t="str">
        <v/>
      </c>
    </row>
    <row r="3927" spans="326:327">
      <c r="LN3927" t="str">
        <v/>
      </c>
      <c r="LO3927" t="str">
        <v/>
      </c>
    </row>
    <row r="3928" spans="326:327">
      <c r="LN3928" t="str">
        <v/>
      </c>
      <c r="LO3928" t="str">
        <v/>
      </c>
    </row>
    <row r="3929" spans="326:327">
      <c r="LN3929" t="str">
        <v/>
      </c>
      <c r="LO3929" t="str">
        <v/>
      </c>
    </row>
    <row r="3930" spans="326:327">
      <c r="LN3930" t="str">
        <v/>
      </c>
      <c r="LO3930" t="str">
        <v/>
      </c>
    </row>
    <row r="3931" spans="326:327">
      <c r="LN3931" t="str">
        <v/>
      </c>
      <c r="LO3931" t="str">
        <v/>
      </c>
    </row>
    <row r="3932" spans="326:327">
      <c r="LN3932" t="str">
        <v/>
      </c>
      <c r="LO3932" t="str">
        <v/>
      </c>
    </row>
    <row r="3933" spans="326:327">
      <c r="LN3933" t="str">
        <v/>
      </c>
      <c r="LO3933" t="str">
        <v/>
      </c>
    </row>
    <row r="3934" spans="326:327">
      <c r="LN3934" t="str">
        <v/>
      </c>
      <c r="LO3934" t="str">
        <v/>
      </c>
    </row>
    <row r="3935" spans="326:327">
      <c r="LN3935" t="str">
        <v/>
      </c>
      <c r="LO3935" t="str">
        <v/>
      </c>
    </row>
    <row r="3936" spans="326:327">
      <c r="LN3936" t="str">
        <v/>
      </c>
      <c r="LO3936" t="str">
        <v/>
      </c>
    </row>
    <row r="3937" spans="326:327">
      <c r="LN3937" t="str">
        <v/>
      </c>
      <c r="LO3937" t="str">
        <v/>
      </c>
    </row>
    <row r="3938" spans="326:327">
      <c r="LN3938" t="str">
        <v/>
      </c>
      <c r="LO3938" t="str">
        <v/>
      </c>
    </row>
    <row r="3939" spans="326:327">
      <c r="LN3939" t="str">
        <v/>
      </c>
      <c r="LO3939" t="str">
        <v/>
      </c>
    </row>
    <row r="3940" spans="326:327">
      <c r="LN3940" t="str">
        <v/>
      </c>
      <c r="LO3940" t="str">
        <v/>
      </c>
    </row>
    <row r="3941" spans="326:327">
      <c r="LN3941" t="str">
        <v/>
      </c>
      <c r="LO3941" t="str">
        <v/>
      </c>
    </row>
    <row r="3942" spans="326:327">
      <c r="LN3942" t="str">
        <v/>
      </c>
      <c r="LO3942" t="str">
        <v/>
      </c>
    </row>
    <row r="3943" spans="326:327">
      <c r="LN3943" t="str">
        <v/>
      </c>
      <c r="LO3943" t="str">
        <v/>
      </c>
    </row>
    <row r="3944" spans="326:327">
      <c r="LN3944" t="str">
        <v/>
      </c>
      <c r="LO3944" t="str">
        <v/>
      </c>
    </row>
    <row r="3945" spans="326:327">
      <c r="LN3945" t="str">
        <v/>
      </c>
      <c r="LO3945" t="str">
        <v/>
      </c>
    </row>
    <row r="3946" spans="326:327">
      <c r="LN3946" t="str">
        <v/>
      </c>
      <c r="LO3946" t="str">
        <v/>
      </c>
    </row>
    <row r="3947" spans="326:327">
      <c r="LN3947" t="str">
        <v/>
      </c>
      <c r="LO3947" t="str">
        <v/>
      </c>
    </row>
    <row r="3948" spans="326:327">
      <c r="LN3948" t="str">
        <v/>
      </c>
      <c r="LO3948" t="str">
        <v/>
      </c>
    </row>
    <row r="3949" spans="326:327">
      <c r="LN3949" t="str">
        <v/>
      </c>
      <c r="LO3949" t="str">
        <v/>
      </c>
    </row>
    <row r="3950" spans="326:327">
      <c r="LN3950" t="str">
        <v/>
      </c>
      <c r="LO3950" t="str">
        <v/>
      </c>
    </row>
    <row r="3951" spans="326:327">
      <c r="LN3951" t="str">
        <v/>
      </c>
      <c r="LO3951" t="str">
        <v/>
      </c>
    </row>
    <row r="3952" spans="326:327">
      <c r="LN3952" t="str">
        <v/>
      </c>
      <c r="LO3952" t="str">
        <v/>
      </c>
    </row>
    <row r="3953" spans="326:327">
      <c r="LN3953" t="str">
        <v/>
      </c>
      <c r="LO3953" t="str">
        <v/>
      </c>
    </row>
    <row r="3954" spans="326:327">
      <c r="LN3954" t="str">
        <v/>
      </c>
      <c r="LO3954" t="str">
        <v/>
      </c>
    </row>
    <row r="3955" spans="326:327">
      <c r="LN3955" t="str">
        <v/>
      </c>
      <c r="LO3955" t="str">
        <v/>
      </c>
    </row>
    <row r="3956" spans="326:327">
      <c r="LN3956" t="str">
        <v/>
      </c>
      <c r="LO3956" t="str">
        <v/>
      </c>
    </row>
    <row r="3957" spans="326:327">
      <c r="LN3957" t="str">
        <v/>
      </c>
      <c r="LO3957" t="str">
        <v/>
      </c>
    </row>
    <row r="3958" spans="326:327">
      <c r="LN3958" t="str">
        <v/>
      </c>
      <c r="LO3958" t="str">
        <v/>
      </c>
    </row>
    <row r="3959" spans="326:327">
      <c r="LN3959" t="str">
        <v/>
      </c>
      <c r="LO3959" t="str">
        <v/>
      </c>
    </row>
    <row r="3960" spans="326:327">
      <c r="LN3960" t="str">
        <v/>
      </c>
      <c r="LO3960" t="str">
        <v/>
      </c>
    </row>
    <row r="3961" spans="326:327">
      <c r="LN3961" t="str">
        <v/>
      </c>
      <c r="LO3961" t="str">
        <v/>
      </c>
    </row>
    <row r="3962" spans="326:327">
      <c r="LN3962" t="str">
        <v/>
      </c>
      <c r="LO3962" t="str">
        <v/>
      </c>
    </row>
    <row r="3963" spans="326:327">
      <c r="LN3963" t="str">
        <v/>
      </c>
      <c r="LO3963" t="str">
        <v/>
      </c>
    </row>
    <row r="3964" spans="326:327">
      <c r="LN3964" t="str">
        <v/>
      </c>
      <c r="LO3964" t="str">
        <v/>
      </c>
    </row>
    <row r="3965" spans="326:327">
      <c r="LN3965" t="str">
        <v/>
      </c>
      <c r="LO3965" t="str">
        <v/>
      </c>
    </row>
    <row r="3966" spans="326:327">
      <c r="LN3966" t="str">
        <v/>
      </c>
      <c r="LO3966" t="str">
        <v/>
      </c>
    </row>
    <row r="3967" spans="326:327">
      <c r="LN3967" t="str">
        <v/>
      </c>
      <c r="LO3967" t="str">
        <v/>
      </c>
    </row>
    <row r="3968" spans="326:327">
      <c r="LN3968" t="str">
        <v/>
      </c>
      <c r="LO3968" t="str">
        <v/>
      </c>
    </row>
    <row r="3969" spans="326:327">
      <c r="LN3969" t="str">
        <v/>
      </c>
      <c r="LO3969" t="str">
        <v/>
      </c>
    </row>
    <row r="3970" spans="326:327">
      <c r="LN3970" t="str">
        <v/>
      </c>
      <c r="LO3970" t="str">
        <v/>
      </c>
    </row>
    <row r="3971" spans="326:327">
      <c r="LN3971" t="str">
        <v/>
      </c>
      <c r="LO3971" t="str">
        <v/>
      </c>
    </row>
    <row r="3972" spans="326:327">
      <c r="LN3972" t="str">
        <v/>
      </c>
      <c r="LO3972" t="str">
        <v/>
      </c>
    </row>
    <row r="3973" spans="326:327">
      <c r="LN3973" t="str">
        <v/>
      </c>
      <c r="LO3973" t="str">
        <v/>
      </c>
    </row>
    <row r="3974" spans="326:327">
      <c r="LN3974" t="str">
        <v/>
      </c>
      <c r="LO3974" t="str">
        <v/>
      </c>
    </row>
    <row r="3975" spans="326:327">
      <c r="LN3975" t="str">
        <v/>
      </c>
      <c r="LO3975" t="str">
        <v/>
      </c>
    </row>
    <row r="3976" spans="326:327">
      <c r="LN3976" t="str">
        <v/>
      </c>
      <c r="LO3976" t="str">
        <v/>
      </c>
    </row>
    <row r="3977" spans="326:327">
      <c r="LN3977" t="str">
        <v/>
      </c>
      <c r="LO3977" t="str">
        <v/>
      </c>
    </row>
    <row r="3978" spans="326:327">
      <c r="LN3978" t="str">
        <v/>
      </c>
      <c r="LO3978" t="str">
        <v/>
      </c>
    </row>
    <row r="3979" spans="326:327">
      <c r="LN3979" t="str">
        <v/>
      </c>
      <c r="LO3979" t="str">
        <v/>
      </c>
    </row>
    <row r="3980" spans="326:327">
      <c r="LN3980" t="str">
        <v/>
      </c>
      <c r="LO3980" t="str">
        <v/>
      </c>
    </row>
    <row r="3981" spans="326:327">
      <c r="LN3981" t="str">
        <v/>
      </c>
      <c r="LO3981" t="str">
        <v/>
      </c>
    </row>
    <row r="3982" spans="326:327">
      <c r="LN3982" t="str">
        <v/>
      </c>
      <c r="LO3982" t="str">
        <v/>
      </c>
    </row>
    <row r="3983" spans="326:327">
      <c r="LN3983" t="str">
        <v/>
      </c>
      <c r="LO3983" t="str">
        <v/>
      </c>
    </row>
    <row r="3984" spans="326:327">
      <c r="LN3984" t="str">
        <v/>
      </c>
      <c r="LO3984" t="str">
        <v/>
      </c>
    </row>
    <row r="3985" spans="326:327">
      <c r="LN3985" t="str">
        <v/>
      </c>
      <c r="LO3985" t="str">
        <v/>
      </c>
    </row>
    <row r="3986" spans="326:327">
      <c r="LN3986" t="str">
        <v/>
      </c>
      <c r="LO3986" t="str">
        <v/>
      </c>
    </row>
    <row r="3987" spans="326:327">
      <c r="LN3987" t="str">
        <v/>
      </c>
      <c r="LO3987" t="str">
        <v/>
      </c>
    </row>
    <row r="3988" spans="326:327">
      <c r="LN3988" t="str">
        <v/>
      </c>
      <c r="LO3988" t="str">
        <v/>
      </c>
    </row>
    <row r="3989" spans="326:327">
      <c r="LN3989" t="str">
        <v/>
      </c>
      <c r="LO3989" t="str">
        <v/>
      </c>
    </row>
    <row r="3990" spans="326:327">
      <c r="LN3990" t="str">
        <v/>
      </c>
      <c r="LO3990" t="str">
        <v/>
      </c>
    </row>
    <row r="3991" spans="326:327">
      <c r="LN3991" t="str">
        <v/>
      </c>
      <c r="LO3991" t="str">
        <v/>
      </c>
    </row>
    <row r="3992" spans="326:327">
      <c r="LN3992" t="str">
        <v/>
      </c>
      <c r="LO3992" t="str">
        <v/>
      </c>
    </row>
    <row r="3993" spans="326:327">
      <c r="LN3993" t="str">
        <v/>
      </c>
      <c r="LO3993" t="str">
        <v/>
      </c>
    </row>
    <row r="3994" spans="326:327">
      <c r="LN3994" t="str">
        <v/>
      </c>
      <c r="LO3994" t="str">
        <v/>
      </c>
    </row>
    <row r="3995" spans="326:327">
      <c r="LN3995" t="str">
        <v/>
      </c>
      <c r="LO3995" t="str">
        <v/>
      </c>
    </row>
    <row r="3996" spans="326:327">
      <c r="LN3996" t="str">
        <v/>
      </c>
      <c r="LO3996" t="str">
        <v/>
      </c>
    </row>
    <row r="3997" spans="326:327">
      <c r="LN3997" t="str">
        <v/>
      </c>
      <c r="LO3997" t="str">
        <v/>
      </c>
    </row>
    <row r="3998" spans="326:327">
      <c r="LN3998" t="str">
        <v/>
      </c>
      <c r="LO3998" t="str">
        <v/>
      </c>
    </row>
    <row r="3999" spans="326:327">
      <c r="LN3999" t="str">
        <v/>
      </c>
      <c r="LO3999" t="str">
        <v/>
      </c>
    </row>
    <row r="4000" spans="326:327">
      <c r="LN4000" t="str">
        <v/>
      </c>
      <c r="LO4000" t="str">
        <v/>
      </c>
    </row>
    <row r="4001" spans="326:327">
      <c r="LN4001" t="str">
        <v/>
      </c>
      <c r="LO4001" t="str">
        <v/>
      </c>
    </row>
    <row r="4002" spans="326:327">
      <c r="LN4002" t="str">
        <v/>
      </c>
      <c r="LO4002" t="str">
        <v/>
      </c>
    </row>
    <row r="4003" spans="326:327">
      <c r="LN4003" t="str">
        <v/>
      </c>
      <c r="LO4003" t="str">
        <v/>
      </c>
    </row>
    <row r="4004" spans="326:327">
      <c r="LN4004" t="str">
        <v/>
      </c>
      <c r="LO4004" t="str">
        <v/>
      </c>
    </row>
    <row r="4005" spans="326:327">
      <c r="LN4005" t="str">
        <v/>
      </c>
      <c r="LO4005" t="str">
        <v/>
      </c>
    </row>
    <row r="4006" spans="326:327">
      <c r="LN4006" t="str">
        <v/>
      </c>
      <c r="LO4006" t="str">
        <v/>
      </c>
    </row>
    <row r="4007" spans="326:327">
      <c r="LN4007" t="str">
        <v/>
      </c>
      <c r="LO4007" t="str">
        <v/>
      </c>
    </row>
    <row r="4008" spans="326:327">
      <c r="LN4008" t="str">
        <v/>
      </c>
      <c r="LO4008" t="str">
        <v/>
      </c>
    </row>
    <row r="4009" spans="326:327">
      <c r="LN4009" t="str">
        <v/>
      </c>
      <c r="LO4009" t="str">
        <v/>
      </c>
    </row>
    <row r="4010" spans="326:327">
      <c r="LN4010" t="str">
        <v/>
      </c>
      <c r="LO4010" t="str">
        <v/>
      </c>
    </row>
    <row r="4011" spans="326:327">
      <c r="LN4011" t="str">
        <v/>
      </c>
      <c r="LO4011" t="str">
        <v/>
      </c>
    </row>
    <row r="4012" spans="326:327">
      <c r="LN4012" t="str">
        <v/>
      </c>
      <c r="LO4012" t="str">
        <v/>
      </c>
    </row>
    <row r="4013" spans="326:327">
      <c r="LN4013" t="str">
        <v/>
      </c>
      <c r="LO4013" t="str">
        <v/>
      </c>
    </row>
    <row r="4014" spans="326:327">
      <c r="LN4014" t="str">
        <v/>
      </c>
      <c r="LO4014" t="str">
        <v/>
      </c>
    </row>
    <row r="4015" spans="326:327">
      <c r="LN4015" t="str">
        <v/>
      </c>
      <c r="LO4015" t="str">
        <v/>
      </c>
    </row>
    <row r="4016" spans="326:327">
      <c r="LN4016" t="str">
        <v/>
      </c>
      <c r="LO4016" t="str">
        <v/>
      </c>
    </row>
    <row r="4017" spans="326:327">
      <c r="LN4017" t="str">
        <v/>
      </c>
      <c r="LO4017" t="str">
        <v/>
      </c>
    </row>
    <row r="4018" spans="326:327">
      <c r="LN4018" t="str">
        <v/>
      </c>
      <c r="LO4018" t="str">
        <v/>
      </c>
    </row>
    <row r="4019" spans="326:327">
      <c r="LN4019" t="str">
        <v/>
      </c>
      <c r="LO4019" t="str">
        <v/>
      </c>
    </row>
    <row r="4020" spans="326:327">
      <c r="LN4020" t="str">
        <v/>
      </c>
      <c r="LO4020" t="str">
        <v/>
      </c>
    </row>
    <row r="4021" spans="326:327">
      <c r="LN4021" t="str">
        <v/>
      </c>
      <c r="LO4021" t="str">
        <v/>
      </c>
    </row>
    <row r="4022" spans="326:327">
      <c r="LN4022" t="str">
        <v/>
      </c>
      <c r="LO4022" t="str">
        <v/>
      </c>
    </row>
    <row r="4023" spans="326:327">
      <c r="LN4023" t="str">
        <v/>
      </c>
      <c r="LO4023" t="str">
        <v/>
      </c>
    </row>
    <row r="4024" spans="326:327">
      <c r="LN4024" t="str">
        <v/>
      </c>
      <c r="LO4024" t="str">
        <v/>
      </c>
    </row>
    <row r="4025" spans="326:327">
      <c r="LN4025" t="str">
        <v/>
      </c>
      <c r="LO4025" t="str">
        <v/>
      </c>
    </row>
    <row r="4026" spans="326:327">
      <c r="LN4026" t="str">
        <v/>
      </c>
      <c r="LO4026" t="str">
        <v/>
      </c>
    </row>
    <row r="4027" spans="326:327">
      <c r="LN4027" t="str">
        <v/>
      </c>
      <c r="LO4027" t="str">
        <v/>
      </c>
    </row>
    <row r="4028" spans="326:327">
      <c r="LN4028" t="str">
        <v/>
      </c>
      <c r="LO4028" t="str">
        <v/>
      </c>
    </row>
    <row r="4029" spans="326:327">
      <c r="LN4029" t="str">
        <v/>
      </c>
      <c r="LO4029" t="str">
        <v/>
      </c>
    </row>
    <row r="4030" spans="326:327">
      <c r="LN4030" t="str">
        <v/>
      </c>
      <c r="LO4030" t="str">
        <v/>
      </c>
    </row>
    <row r="4031" spans="326:327">
      <c r="LN4031" t="str">
        <v/>
      </c>
      <c r="LO4031" t="str">
        <v/>
      </c>
    </row>
    <row r="4032" spans="326:327">
      <c r="LN4032" t="str">
        <v/>
      </c>
      <c r="LO4032" t="str">
        <v/>
      </c>
    </row>
    <row r="4033" spans="326:327">
      <c r="LN4033" t="str">
        <v/>
      </c>
      <c r="LO4033" t="str">
        <v/>
      </c>
    </row>
    <row r="4034" spans="326:327">
      <c r="LN4034" t="str">
        <v/>
      </c>
      <c r="LO4034" t="str">
        <v/>
      </c>
    </row>
    <row r="4035" spans="326:327">
      <c r="LN4035" t="str">
        <v/>
      </c>
      <c r="LO4035" t="str">
        <v/>
      </c>
    </row>
    <row r="4036" spans="326:327">
      <c r="LN4036" t="str">
        <v/>
      </c>
      <c r="LO4036" t="str">
        <v/>
      </c>
    </row>
    <row r="4037" spans="326:327">
      <c r="LN4037" t="str">
        <v/>
      </c>
      <c r="LO4037" t="str">
        <v/>
      </c>
    </row>
    <row r="4038" spans="326:327">
      <c r="LN4038" t="str">
        <v/>
      </c>
      <c r="LO4038" t="str">
        <v/>
      </c>
    </row>
    <row r="4039" spans="326:327">
      <c r="LN4039" t="str">
        <v/>
      </c>
      <c r="LO4039" t="str">
        <v/>
      </c>
    </row>
    <row r="4040" spans="326:327">
      <c r="LN4040" t="str">
        <v/>
      </c>
      <c r="LO4040" t="str">
        <v/>
      </c>
    </row>
    <row r="4041" spans="326:327">
      <c r="LN4041" t="str">
        <v/>
      </c>
      <c r="LO4041" t="str">
        <v/>
      </c>
    </row>
    <row r="4042" spans="326:327">
      <c r="LN4042" t="str">
        <v/>
      </c>
      <c r="LO4042" t="str">
        <v/>
      </c>
    </row>
    <row r="4043" spans="326:327">
      <c r="LN4043" t="str">
        <v/>
      </c>
      <c r="LO4043" t="str">
        <v/>
      </c>
    </row>
    <row r="4044" spans="326:327">
      <c r="LN4044" t="str">
        <v/>
      </c>
      <c r="LO4044" t="str">
        <v/>
      </c>
    </row>
    <row r="4045" spans="326:327">
      <c r="LN4045" t="str">
        <v/>
      </c>
      <c r="LO4045" t="str">
        <v/>
      </c>
    </row>
    <row r="4046" spans="326:327">
      <c r="LN4046" t="str">
        <v/>
      </c>
      <c r="LO4046" t="str">
        <v/>
      </c>
    </row>
    <row r="4047" spans="326:327">
      <c r="LN4047" t="str">
        <v/>
      </c>
      <c r="LO4047" t="str">
        <v/>
      </c>
    </row>
    <row r="4048" spans="326:327">
      <c r="LN4048" t="str">
        <v/>
      </c>
      <c r="LO4048" t="str">
        <v/>
      </c>
    </row>
    <row r="4049" spans="326:327">
      <c r="LN4049" t="str">
        <v/>
      </c>
      <c r="LO4049" t="str">
        <v/>
      </c>
    </row>
    <row r="4050" spans="326:327">
      <c r="LN4050" t="str">
        <v/>
      </c>
      <c r="LO4050" t="str">
        <v/>
      </c>
    </row>
    <row r="4051" spans="326:327">
      <c r="LN4051" t="str">
        <v/>
      </c>
      <c r="LO4051" t="str">
        <v/>
      </c>
    </row>
    <row r="4052" spans="326:327">
      <c r="LN4052" t="str">
        <v/>
      </c>
      <c r="LO4052" t="str">
        <v/>
      </c>
    </row>
    <row r="4053" spans="326:327">
      <c r="LN4053" t="str">
        <v/>
      </c>
      <c r="LO4053" t="str">
        <v/>
      </c>
    </row>
    <row r="4054" spans="326:327">
      <c r="LN4054" t="str">
        <v/>
      </c>
      <c r="LO4054" t="str">
        <v/>
      </c>
    </row>
    <row r="4055" spans="326:327">
      <c r="LN4055" t="str">
        <v/>
      </c>
      <c r="LO4055" t="str">
        <v/>
      </c>
    </row>
    <row r="4056" spans="326:327">
      <c r="LN4056" t="str">
        <v/>
      </c>
      <c r="LO4056" t="str">
        <v/>
      </c>
    </row>
    <row r="4057" spans="326:327">
      <c r="LN4057" t="str">
        <v/>
      </c>
      <c r="LO4057" t="str">
        <v/>
      </c>
    </row>
    <row r="4058" spans="326:327">
      <c r="LN4058" t="str">
        <v/>
      </c>
      <c r="LO4058" t="str">
        <v/>
      </c>
    </row>
    <row r="4059" spans="326:327">
      <c r="LN4059" t="str">
        <v/>
      </c>
      <c r="LO4059" t="str">
        <v/>
      </c>
    </row>
    <row r="4060" spans="326:327">
      <c r="LN4060" t="str">
        <v/>
      </c>
      <c r="LO4060" t="str">
        <v/>
      </c>
    </row>
    <row r="4061" spans="326:327">
      <c r="LN4061" t="str">
        <v/>
      </c>
      <c r="LO4061" t="str">
        <v/>
      </c>
    </row>
    <row r="4062" spans="326:327">
      <c r="LN4062" t="str">
        <v/>
      </c>
      <c r="LO4062" t="str">
        <v/>
      </c>
    </row>
    <row r="4063" spans="326:327">
      <c r="LN4063" t="str">
        <v/>
      </c>
      <c r="LO4063" t="str">
        <v/>
      </c>
    </row>
    <row r="4064" spans="326:327">
      <c r="LN4064" t="str">
        <v/>
      </c>
      <c r="LO4064" t="str">
        <v/>
      </c>
    </row>
    <row r="4065" spans="326:327">
      <c r="LN4065" t="str">
        <v/>
      </c>
      <c r="LO4065" t="str">
        <v/>
      </c>
    </row>
    <row r="4066" spans="326:327">
      <c r="LN4066" t="str">
        <v/>
      </c>
      <c r="LO4066" t="str">
        <v/>
      </c>
    </row>
    <row r="4067" spans="326:327">
      <c r="LN4067" t="str">
        <v/>
      </c>
      <c r="LO4067" t="str">
        <v/>
      </c>
    </row>
    <row r="4068" spans="326:327">
      <c r="LN4068" t="str">
        <v/>
      </c>
      <c r="LO4068" t="str">
        <v/>
      </c>
    </row>
    <row r="4069" spans="326:327">
      <c r="LN4069" t="str">
        <v/>
      </c>
      <c r="LO4069" t="str">
        <v/>
      </c>
    </row>
    <row r="4070" spans="326:327">
      <c r="LN4070" t="str">
        <v/>
      </c>
      <c r="LO4070" t="str">
        <v/>
      </c>
    </row>
    <row r="4071" spans="326:327">
      <c r="LN4071" t="str">
        <v/>
      </c>
      <c r="LO4071" t="str">
        <v/>
      </c>
    </row>
    <row r="4072" spans="326:327">
      <c r="LN4072" t="str">
        <v/>
      </c>
      <c r="LO4072" t="str">
        <v/>
      </c>
    </row>
    <row r="4073" spans="326:327">
      <c r="LN4073" t="str">
        <v/>
      </c>
      <c r="LO4073" t="str">
        <v/>
      </c>
    </row>
    <row r="4074" spans="326:327">
      <c r="LN4074" t="str">
        <v/>
      </c>
      <c r="LO4074" t="str">
        <v/>
      </c>
    </row>
    <row r="4075" spans="326:327">
      <c r="LN4075" t="str">
        <v/>
      </c>
      <c r="LO4075" t="str">
        <v/>
      </c>
    </row>
    <row r="4076" spans="326:327">
      <c r="LN4076" t="str">
        <v/>
      </c>
      <c r="LO4076" t="str">
        <v/>
      </c>
    </row>
    <row r="4077" spans="326:327">
      <c r="LN4077" t="str">
        <v/>
      </c>
      <c r="LO4077" t="str">
        <v/>
      </c>
    </row>
    <row r="4078" spans="326:327">
      <c r="LN4078" t="str">
        <v/>
      </c>
      <c r="LO4078" t="str">
        <v/>
      </c>
    </row>
    <row r="4079" spans="326:327">
      <c r="LN4079" t="str">
        <v/>
      </c>
      <c r="LO4079" t="str">
        <v/>
      </c>
    </row>
    <row r="4080" spans="326:327">
      <c r="LN4080" t="str">
        <v/>
      </c>
      <c r="LO4080" t="str">
        <v/>
      </c>
    </row>
    <row r="4081" spans="326:327">
      <c r="LN4081" t="str">
        <v/>
      </c>
      <c r="LO4081" t="str">
        <v/>
      </c>
    </row>
    <row r="4082" spans="326:327">
      <c r="LN4082" t="str">
        <v/>
      </c>
      <c r="LO4082" t="str">
        <v/>
      </c>
    </row>
    <row r="4083" spans="326:327">
      <c r="LN4083" t="str">
        <v/>
      </c>
      <c r="LO4083" t="str">
        <v/>
      </c>
    </row>
    <row r="4084" spans="326:327">
      <c r="LN4084" t="str">
        <v/>
      </c>
      <c r="LO4084" t="str">
        <v/>
      </c>
    </row>
    <row r="4085" spans="326:327">
      <c r="LN4085" t="str">
        <v/>
      </c>
      <c r="LO4085" t="str">
        <v/>
      </c>
    </row>
    <row r="4086" spans="326:327">
      <c r="LN4086" t="str">
        <v/>
      </c>
      <c r="LO4086" t="str">
        <v/>
      </c>
    </row>
    <row r="4087" spans="326:327">
      <c r="LN4087" t="str">
        <v/>
      </c>
      <c r="LO4087" t="str">
        <v/>
      </c>
    </row>
    <row r="4088" spans="326:327">
      <c r="LN4088" t="str">
        <v/>
      </c>
      <c r="LO4088" t="str">
        <v/>
      </c>
    </row>
    <row r="4089" spans="326:327">
      <c r="LN4089" t="str">
        <v/>
      </c>
      <c r="LO4089" t="str">
        <v/>
      </c>
    </row>
    <row r="4090" spans="326:327">
      <c r="LN4090" t="str">
        <v/>
      </c>
      <c r="LO4090" t="str">
        <v/>
      </c>
    </row>
    <row r="4091" spans="326:327">
      <c r="LN4091" t="str">
        <v/>
      </c>
      <c r="LO4091" t="str">
        <v/>
      </c>
    </row>
    <row r="4092" spans="326:327">
      <c r="LN4092" t="str">
        <v/>
      </c>
      <c r="LO4092" t="str">
        <v/>
      </c>
    </row>
    <row r="4093" spans="326:327">
      <c r="LN4093" t="str">
        <v/>
      </c>
      <c r="LO4093" t="str">
        <v/>
      </c>
    </row>
    <row r="4094" spans="326:327">
      <c r="LN4094" t="str">
        <v/>
      </c>
      <c r="LO4094" t="str">
        <v/>
      </c>
    </row>
    <row r="4095" spans="326:327">
      <c r="LN4095" t="str">
        <v/>
      </c>
      <c r="LO4095" t="str">
        <v/>
      </c>
    </row>
    <row r="4096" spans="326:327">
      <c r="LN4096" t="str">
        <v/>
      </c>
      <c r="LO4096" t="str">
        <v/>
      </c>
    </row>
    <row r="4097" spans="326:327">
      <c r="LN4097" t="str">
        <v/>
      </c>
      <c r="LO4097" t="str">
        <v/>
      </c>
    </row>
    <row r="4098" spans="326:327">
      <c r="LN4098" t="str">
        <v/>
      </c>
      <c r="LO4098" t="str">
        <v/>
      </c>
    </row>
    <row r="4099" spans="326:327">
      <c r="LN4099" t="str">
        <v/>
      </c>
      <c r="LO4099" t="str">
        <v/>
      </c>
    </row>
    <row r="4100" spans="326:327">
      <c r="LN4100" t="str">
        <v/>
      </c>
      <c r="LO4100" t="str">
        <v/>
      </c>
    </row>
    <row r="4101" spans="326:327">
      <c r="LN4101" t="str">
        <v/>
      </c>
      <c r="LO4101" t="str">
        <v/>
      </c>
    </row>
    <row r="4102" spans="326:327">
      <c r="LN4102" t="str">
        <v/>
      </c>
      <c r="LO4102" t="str">
        <v/>
      </c>
    </row>
    <row r="4103" spans="326:327">
      <c r="LN4103" t="str">
        <v/>
      </c>
      <c r="LO4103" t="str">
        <v/>
      </c>
    </row>
    <row r="4104" spans="326:327">
      <c r="LN4104" t="str">
        <v/>
      </c>
      <c r="LO4104" t="str">
        <v/>
      </c>
    </row>
    <row r="4105" spans="326:327">
      <c r="LN4105" t="str">
        <v/>
      </c>
      <c r="LO4105" t="str">
        <v/>
      </c>
    </row>
    <row r="4106" spans="326:327">
      <c r="LN4106" t="str">
        <v/>
      </c>
      <c r="LO4106" t="str">
        <v/>
      </c>
    </row>
    <row r="4107" spans="326:327">
      <c r="LN4107" t="str">
        <v/>
      </c>
      <c r="LO4107" t="str">
        <v/>
      </c>
    </row>
    <row r="4108" spans="326:327">
      <c r="LN4108" t="str">
        <v/>
      </c>
      <c r="LO4108" t="str">
        <v/>
      </c>
    </row>
    <row r="4109" spans="326:327">
      <c r="LN4109" t="str">
        <v/>
      </c>
      <c r="LO4109" t="str">
        <v/>
      </c>
    </row>
    <row r="4110" spans="326:327">
      <c r="LN4110" t="str">
        <v/>
      </c>
      <c r="LO4110" t="str">
        <v/>
      </c>
    </row>
    <row r="4111" spans="326:327">
      <c r="LN4111" t="str">
        <v/>
      </c>
      <c r="LO4111" t="str">
        <v/>
      </c>
    </row>
    <row r="4112" spans="326:327">
      <c r="LN4112" t="str">
        <v/>
      </c>
      <c r="LO4112" t="str">
        <v/>
      </c>
    </row>
    <row r="4113" spans="326:327">
      <c r="LN4113" t="str">
        <v/>
      </c>
      <c r="LO4113" t="str">
        <v/>
      </c>
    </row>
    <row r="4114" spans="326:327">
      <c r="LN4114" t="str">
        <v/>
      </c>
      <c r="LO4114" t="str">
        <v/>
      </c>
    </row>
    <row r="4115" spans="326:327">
      <c r="LN4115" t="str">
        <v/>
      </c>
      <c r="LO4115" t="str">
        <v/>
      </c>
    </row>
    <row r="4116" spans="326:327">
      <c r="LN4116" t="str">
        <v/>
      </c>
      <c r="LO4116" t="str">
        <v/>
      </c>
    </row>
    <row r="4117" spans="326:327">
      <c r="LN4117" t="str">
        <v/>
      </c>
      <c r="LO4117" t="str">
        <v/>
      </c>
    </row>
    <row r="4118" spans="326:327">
      <c r="LN4118" t="str">
        <v/>
      </c>
      <c r="LO4118" t="str">
        <v/>
      </c>
    </row>
    <row r="4119" spans="326:327">
      <c r="LN4119" t="str">
        <v/>
      </c>
      <c r="LO4119" t="str">
        <v/>
      </c>
    </row>
    <row r="4120" spans="326:327">
      <c r="LN4120" t="str">
        <v/>
      </c>
      <c r="LO4120" t="str">
        <v/>
      </c>
    </row>
    <row r="4121" spans="326:327">
      <c r="LN4121" t="str">
        <v/>
      </c>
      <c r="LO4121" t="str">
        <v/>
      </c>
    </row>
    <row r="4122" spans="326:327">
      <c r="LN4122" t="str">
        <v/>
      </c>
      <c r="LO4122" t="str">
        <v/>
      </c>
    </row>
    <row r="4123" spans="326:327">
      <c r="LN4123" t="str">
        <v/>
      </c>
      <c r="LO4123" t="str">
        <v/>
      </c>
    </row>
    <row r="4124" spans="326:327">
      <c r="LN4124" t="str">
        <v/>
      </c>
      <c r="LO4124" t="str">
        <v/>
      </c>
    </row>
    <row r="4125" spans="326:327">
      <c r="LN4125" t="str">
        <v/>
      </c>
      <c r="LO4125" t="str">
        <v/>
      </c>
    </row>
    <row r="4126" spans="326:327">
      <c r="LN4126" t="str">
        <v/>
      </c>
      <c r="LO4126" t="str">
        <v/>
      </c>
    </row>
    <row r="4127" spans="326:327">
      <c r="LN4127" t="str">
        <v/>
      </c>
      <c r="LO4127" t="str">
        <v/>
      </c>
    </row>
    <row r="4128" spans="326:327">
      <c r="LN4128" t="str">
        <v/>
      </c>
      <c r="LO4128" t="str">
        <v/>
      </c>
    </row>
    <row r="4129" spans="326:327">
      <c r="LN4129" t="str">
        <v/>
      </c>
      <c r="LO4129" t="str">
        <v/>
      </c>
    </row>
    <row r="4130" spans="326:327">
      <c r="LN4130" t="str">
        <v/>
      </c>
      <c r="LO4130" t="str">
        <v/>
      </c>
    </row>
    <row r="4131" spans="326:327">
      <c r="LN4131" t="str">
        <v/>
      </c>
      <c r="LO4131" t="str">
        <v/>
      </c>
    </row>
    <row r="4132" spans="326:327">
      <c r="LN4132" t="str">
        <v/>
      </c>
      <c r="LO4132" t="str">
        <v/>
      </c>
    </row>
    <row r="4133" spans="326:327">
      <c r="LN4133" t="str">
        <v/>
      </c>
      <c r="LO4133" t="str">
        <v/>
      </c>
    </row>
    <row r="4134" spans="326:327">
      <c r="LN4134" t="str">
        <v/>
      </c>
      <c r="LO4134" t="str">
        <v/>
      </c>
    </row>
    <row r="4135" spans="326:327">
      <c r="LN4135" t="str">
        <v/>
      </c>
      <c r="LO4135" t="str">
        <v/>
      </c>
    </row>
    <row r="4136" spans="326:327">
      <c r="LN4136" t="str">
        <v/>
      </c>
      <c r="LO4136" t="str">
        <v/>
      </c>
    </row>
    <row r="4137" spans="326:327">
      <c r="LN4137" t="str">
        <v/>
      </c>
      <c r="LO4137" t="str">
        <v/>
      </c>
    </row>
    <row r="4138" spans="326:327">
      <c r="LN4138" t="str">
        <v/>
      </c>
      <c r="LO4138" t="str">
        <v/>
      </c>
    </row>
    <row r="4139" spans="326:327">
      <c r="LN4139" t="str">
        <v/>
      </c>
      <c r="LO4139" t="str">
        <v/>
      </c>
    </row>
    <row r="4140" spans="326:327">
      <c r="LN4140" t="str">
        <v/>
      </c>
      <c r="LO4140" t="str">
        <v/>
      </c>
    </row>
    <row r="4141" spans="326:327">
      <c r="LN4141" t="str">
        <v/>
      </c>
      <c r="LO4141" t="str">
        <v/>
      </c>
    </row>
    <row r="4142" spans="326:327">
      <c r="LN4142" t="str">
        <v/>
      </c>
      <c r="LO4142" t="str">
        <v/>
      </c>
    </row>
    <row r="4143" spans="326:327">
      <c r="LN4143" t="str">
        <v/>
      </c>
      <c r="LO4143" t="str">
        <v/>
      </c>
    </row>
    <row r="4144" spans="326:327">
      <c r="LN4144" t="str">
        <v/>
      </c>
      <c r="LO4144" t="str">
        <v/>
      </c>
    </row>
    <row r="4145" spans="326:327">
      <c r="LN4145" t="str">
        <v/>
      </c>
      <c r="LO4145" t="str">
        <v/>
      </c>
    </row>
    <row r="4146" spans="326:327">
      <c r="LN4146" t="str">
        <v/>
      </c>
      <c r="LO4146" t="str">
        <v/>
      </c>
    </row>
    <row r="4147" spans="326:327">
      <c r="LN4147" t="str">
        <v/>
      </c>
      <c r="LO4147" t="str">
        <v/>
      </c>
    </row>
    <row r="4148" spans="326:327">
      <c r="LN4148" t="str">
        <v/>
      </c>
      <c r="LO4148" t="str">
        <v/>
      </c>
    </row>
    <row r="4149" spans="326:327">
      <c r="LN4149" t="str">
        <v/>
      </c>
      <c r="LO4149" t="str">
        <v/>
      </c>
    </row>
    <row r="4150" spans="326:327">
      <c r="LN4150" t="str">
        <v/>
      </c>
      <c r="LO4150" t="str">
        <v/>
      </c>
    </row>
    <row r="4151" spans="326:327">
      <c r="LN4151" t="str">
        <v/>
      </c>
      <c r="LO4151" t="str">
        <v/>
      </c>
    </row>
    <row r="4152" spans="326:327">
      <c r="LN4152" t="str">
        <v/>
      </c>
      <c r="LO4152" t="str">
        <v/>
      </c>
    </row>
    <row r="4153" spans="326:327">
      <c r="LN4153" t="str">
        <v/>
      </c>
      <c r="LO4153" t="str">
        <v/>
      </c>
    </row>
    <row r="4154" spans="326:327">
      <c r="LN4154" t="str">
        <v/>
      </c>
      <c r="LO4154" t="str">
        <v/>
      </c>
    </row>
    <row r="4155" spans="326:327">
      <c r="LN4155" t="str">
        <v/>
      </c>
      <c r="LO4155" t="str">
        <v/>
      </c>
    </row>
    <row r="4156" spans="326:327">
      <c r="LN4156" t="str">
        <v/>
      </c>
      <c r="LO4156" t="str">
        <v/>
      </c>
    </row>
    <row r="4157" spans="326:327">
      <c r="LN4157" t="str">
        <v/>
      </c>
      <c r="LO4157" t="str">
        <v/>
      </c>
    </row>
    <row r="4158" spans="326:327">
      <c r="LN4158" t="str">
        <v/>
      </c>
      <c r="LO4158" t="str">
        <v/>
      </c>
    </row>
    <row r="4159" spans="326:327">
      <c r="LN4159" t="str">
        <v/>
      </c>
      <c r="LO4159" t="str">
        <v/>
      </c>
    </row>
    <row r="4160" spans="326:327">
      <c r="LN4160" t="str">
        <v/>
      </c>
      <c r="LO4160" t="str">
        <v/>
      </c>
    </row>
    <row r="4161" spans="326:327">
      <c r="LN4161" t="str">
        <v/>
      </c>
      <c r="LO4161" t="str">
        <v/>
      </c>
    </row>
    <row r="4162" spans="326:327">
      <c r="LN4162" t="str">
        <v/>
      </c>
      <c r="LO4162" t="str">
        <v/>
      </c>
    </row>
    <row r="4163" spans="326:327">
      <c r="LN4163" t="str">
        <v/>
      </c>
      <c r="LO4163" t="str">
        <v/>
      </c>
    </row>
    <row r="4164" spans="326:327">
      <c r="LN4164" t="str">
        <v/>
      </c>
      <c r="LO4164" t="str">
        <v/>
      </c>
    </row>
    <row r="4165" spans="326:327">
      <c r="LN4165" t="str">
        <v/>
      </c>
      <c r="LO4165" t="str">
        <v/>
      </c>
    </row>
    <row r="4166" spans="326:327">
      <c r="LN4166" t="str">
        <v/>
      </c>
      <c r="LO4166" t="str">
        <v/>
      </c>
    </row>
    <row r="4167" spans="326:327">
      <c r="LN4167" t="str">
        <v/>
      </c>
      <c r="LO4167" t="str">
        <v/>
      </c>
    </row>
    <row r="4168" spans="326:327">
      <c r="LN4168" t="str">
        <v/>
      </c>
      <c r="LO4168" t="str">
        <v/>
      </c>
    </row>
    <row r="4169" spans="326:327">
      <c r="LN4169" t="str">
        <v/>
      </c>
      <c r="LO4169" t="str">
        <v/>
      </c>
    </row>
    <row r="4170" spans="326:327">
      <c r="LN4170" t="str">
        <v/>
      </c>
      <c r="LO4170" t="str">
        <v/>
      </c>
    </row>
    <row r="4171" spans="326:327">
      <c r="LN4171" t="str">
        <v/>
      </c>
      <c r="LO4171" t="str">
        <v/>
      </c>
    </row>
    <row r="4172" spans="326:327">
      <c r="LN4172" t="str">
        <v/>
      </c>
      <c r="LO4172" t="str">
        <v/>
      </c>
    </row>
    <row r="4173" spans="326:327">
      <c r="LN4173" t="str">
        <v/>
      </c>
      <c r="LO4173" t="str">
        <v/>
      </c>
    </row>
    <row r="4174" spans="326:327">
      <c r="LN4174" t="str">
        <v/>
      </c>
      <c r="LO4174" t="str">
        <v/>
      </c>
    </row>
    <row r="4175" spans="326:327">
      <c r="LN4175" t="str">
        <v/>
      </c>
      <c r="LO4175" t="str">
        <v/>
      </c>
    </row>
    <row r="4176" spans="326:327">
      <c r="LN4176" t="str">
        <v/>
      </c>
      <c r="LO4176" t="str">
        <v/>
      </c>
    </row>
    <row r="4177" spans="326:327">
      <c r="LN4177" t="str">
        <v/>
      </c>
      <c r="LO4177" t="str">
        <v/>
      </c>
    </row>
    <row r="4178" spans="326:327">
      <c r="LN4178" t="str">
        <v/>
      </c>
      <c r="LO4178" t="str">
        <v/>
      </c>
    </row>
    <row r="4179" spans="326:327">
      <c r="LN4179" t="str">
        <v/>
      </c>
      <c r="LO4179" t="str">
        <v/>
      </c>
    </row>
    <row r="4180" spans="326:327">
      <c r="LN4180" t="str">
        <v/>
      </c>
      <c r="LO4180" t="str">
        <v/>
      </c>
    </row>
    <row r="4181" spans="326:327">
      <c r="LN4181" t="str">
        <v/>
      </c>
      <c r="LO4181" t="str">
        <v/>
      </c>
    </row>
    <row r="4182" spans="326:327">
      <c r="LN4182" t="str">
        <v/>
      </c>
      <c r="LO4182" t="str">
        <v/>
      </c>
    </row>
    <row r="4183" spans="326:327">
      <c r="LN4183" t="str">
        <v/>
      </c>
      <c r="LO4183" t="str">
        <v/>
      </c>
    </row>
    <row r="4184" spans="326:327">
      <c r="LN4184" t="str">
        <v/>
      </c>
      <c r="LO4184" t="str">
        <v/>
      </c>
    </row>
    <row r="4185" spans="326:327">
      <c r="LN4185" t="str">
        <v/>
      </c>
      <c r="LO4185" t="str">
        <v/>
      </c>
    </row>
    <row r="4186" spans="326:327">
      <c r="LN4186" t="str">
        <v/>
      </c>
      <c r="LO4186" t="str">
        <v/>
      </c>
    </row>
    <row r="4187" spans="326:327">
      <c r="LN4187" t="str">
        <v/>
      </c>
      <c r="LO4187" t="str">
        <v/>
      </c>
    </row>
    <row r="4188" spans="326:327">
      <c r="LN4188" t="str">
        <v/>
      </c>
      <c r="LO4188" t="str">
        <v/>
      </c>
    </row>
    <row r="4189" spans="326:327">
      <c r="LN4189" t="str">
        <v/>
      </c>
      <c r="LO4189" t="str">
        <v/>
      </c>
    </row>
    <row r="4190" spans="326:327">
      <c r="LN4190" t="str">
        <v/>
      </c>
      <c r="LO4190" t="str">
        <v/>
      </c>
    </row>
    <row r="4191" spans="326:327">
      <c r="LN4191" t="str">
        <v/>
      </c>
      <c r="LO4191" t="str">
        <v/>
      </c>
    </row>
    <row r="4192" spans="326:327">
      <c r="LN4192" t="str">
        <v/>
      </c>
      <c r="LO4192" t="str">
        <v/>
      </c>
    </row>
    <row r="4193" spans="326:327">
      <c r="LN4193" t="str">
        <v/>
      </c>
      <c r="LO4193" t="str">
        <v/>
      </c>
    </row>
    <row r="4194" spans="326:327">
      <c r="LN4194" t="str">
        <v/>
      </c>
      <c r="LO4194" t="str">
        <v/>
      </c>
    </row>
    <row r="4195" spans="326:327">
      <c r="LN4195" t="str">
        <v/>
      </c>
      <c r="LO4195" t="str">
        <v/>
      </c>
    </row>
    <row r="4196" spans="326:327">
      <c r="LN4196" t="str">
        <v/>
      </c>
      <c r="LO4196" t="str">
        <v/>
      </c>
    </row>
    <row r="4197" spans="326:327">
      <c r="LN4197" t="str">
        <v/>
      </c>
      <c r="LO4197" t="str">
        <v/>
      </c>
    </row>
    <row r="4198" spans="326:327">
      <c r="LN4198" t="str">
        <v/>
      </c>
      <c r="LO4198" t="str">
        <v/>
      </c>
    </row>
    <row r="4199" spans="326:327">
      <c r="LN4199" t="str">
        <v/>
      </c>
      <c r="LO4199" t="str">
        <v/>
      </c>
    </row>
    <row r="4200" spans="326:327">
      <c r="LN4200" t="str">
        <v/>
      </c>
      <c r="LO4200" t="str">
        <v/>
      </c>
    </row>
    <row r="4201" spans="326:327">
      <c r="LN4201" t="str">
        <v/>
      </c>
      <c r="LO4201" t="str">
        <v/>
      </c>
    </row>
    <row r="4202" spans="326:327">
      <c r="LN4202" t="str">
        <v/>
      </c>
      <c r="LO4202" t="str">
        <v/>
      </c>
    </row>
    <row r="4203" spans="326:327">
      <c r="LN4203" t="str">
        <v/>
      </c>
      <c r="LO4203" t="str">
        <v/>
      </c>
    </row>
    <row r="4204" spans="326:327">
      <c r="LN4204" t="str">
        <v/>
      </c>
      <c r="LO4204" t="str">
        <v/>
      </c>
    </row>
    <row r="4205" spans="326:327">
      <c r="LN4205" t="str">
        <v/>
      </c>
      <c r="LO4205" t="str">
        <v/>
      </c>
    </row>
    <row r="4206" spans="326:327">
      <c r="LN4206" t="str">
        <v/>
      </c>
      <c r="LO4206" t="str">
        <v/>
      </c>
    </row>
    <row r="4207" spans="326:327">
      <c r="LN4207" t="str">
        <v/>
      </c>
      <c r="LO4207" t="str">
        <v/>
      </c>
    </row>
    <row r="4208" spans="326:327">
      <c r="LN4208" t="str">
        <v/>
      </c>
      <c r="LO4208" t="str">
        <v/>
      </c>
    </row>
    <row r="4209" spans="326:327">
      <c r="LN4209" t="str">
        <v/>
      </c>
      <c r="LO4209" t="str">
        <v/>
      </c>
    </row>
    <row r="4210" spans="326:327">
      <c r="LN4210" t="str">
        <v/>
      </c>
      <c r="LO4210" t="str">
        <v/>
      </c>
    </row>
    <row r="4211" spans="326:327">
      <c r="LN4211" t="str">
        <v/>
      </c>
      <c r="LO4211" t="str">
        <v/>
      </c>
    </row>
    <row r="4212" spans="326:327">
      <c r="LN4212" t="str">
        <v/>
      </c>
      <c r="LO4212" t="str">
        <v/>
      </c>
    </row>
    <row r="4213" spans="326:327">
      <c r="LN4213" t="str">
        <v/>
      </c>
      <c r="LO4213" t="str">
        <v/>
      </c>
    </row>
    <row r="4214" spans="326:327">
      <c r="LN4214" t="str">
        <v/>
      </c>
      <c r="LO4214" t="str">
        <v/>
      </c>
    </row>
    <row r="4215" spans="326:327">
      <c r="LN4215" t="str">
        <v/>
      </c>
      <c r="LO4215" t="str">
        <v/>
      </c>
    </row>
    <row r="4216" spans="326:327">
      <c r="LN4216" t="str">
        <v/>
      </c>
      <c r="LO4216" t="str">
        <v/>
      </c>
    </row>
    <row r="4217" spans="326:327">
      <c r="LN4217" t="str">
        <v/>
      </c>
      <c r="LO4217" t="str">
        <v/>
      </c>
    </row>
    <row r="4218" spans="326:327">
      <c r="LN4218" t="str">
        <v/>
      </c>
      <c r="LO4218" t="str">
        <v/>
      </c>
    </row>
    <row r="4219" spans="326:327">
      <c r="LN4219" t="str">
        <v/>
      </c>
      <c r="LO4219" t="str">
        <v/>
      </c>
    </row>
    <row r="4220" spans="326:327">
      <c r="LN4220" t="str">
        <v/>
      </c>
      <c r="LO4220" t="str">
        <v/>
      </c>
    </row>
    <row r="4221" spans="326:327">
      <c r="LN4221" t="str">
        <v/>
      </c>
      <c r="LO4221" t="str">
        <v/>
      </c>
    </row>
    <row r="4222" spans="326:327">
      <c r="LN4222" t="str">
        <v/>
      </c>
      <c r="LO4222" t="str">
        <v/>
      </c>
    </row>
    <row r="4223" spans="326:327">
      <c r="LN4223" t="str">
        <v/>
      </c>
      <c r="LO4223" t="str">
        <v/>
      </c>
    </row>
    <row r="4224" spans="326:327">
      <c r="LN4224" t="str">
        <v/>
      </c>
      <c r="LO4224" t="str">
        <v/>
      </c>
    </row>
    <row r="4225" spans="326:327">
      <c r="LN4225" t="str">
        <v/>
      </c>
      <c r="LO4225" t="str">
        <v/>
      </c>
    </row>
    <row r="4226" spans="326:327">
      <c r="LN4226" t="str">
        <v/>
      </c>
      <c r="LO4226" t="str">
        <v/>
      </c>
    </row>
    <row r="4227" spans="326:327">
      <c r="LN4227" t="str">
        <v/>
      </c>
      <c r="LO4227" t="str">
        <v/>
      </c>
    </row>
    <row r="4228" spans="326:327">
      <c r="LN4228" t="str">
        <v/>
      </c>
      <c r="LO4228" t="str">
        <v/>
      </c>
    </row>
    <row r="4229" spans="326:327">
      <c r="LN4229" t="str">
        <v/>
      </c>
      <c r="LO4229" t="str">
        <v/>
      </c>
    </row>
    <row r="4230" spans="326:327">
      <c r="LN4230" t="str">
        <v/>
      </c>
      <c r="LO4230" t="str">
        <v/>
      </c>
    </row>
    <row r="4231" spans="326:327">
      <c r="LN4231" t="str">
        <v/>
      </c>
      <c r="LO4231" t="str">
        <v/>
      </c>
    </row>
    <row r="4232" spans="326:327">
      <c r="LN4232" t="str">
        <v/>
      </c>
      <c r="LO4232" t="str">
        <v/>
      </c>
    </row>
    <row r="4233" spans="326:327">
      <c r="LN4233" t="str">
        <v/>
      </c>
      <c r="LO4233" t="str">
        <v/>
      </c>
    </row>
    <row r="4234" spans="326:327">
      <c r="LN4234" t="str">
        <v/>
      </c>
      <c r="LO4234" t="str">
        <v/>
      </c>
    </row>
    <row r="4235" spans="326:327">
      <c r="LN4235" t="str">
        <v/>
      </c>
      <c r="LO4235" t="str">
        <v/>
      </c>
    </row>
    <row r="4236" spans="326:327">
      <c r="LN4236" t="str">
        <v/>
      </c>
      <c r="LO4236" t="str">
        <v/>
      </c>
    </row>
    <row r="4237" spans="326:327">
      <c r="LN4237" t="str">
        <v/>
      </c>
      <c r="LO4237" t="str">
        <v/>
      </c>
    </row>
    <row r="4238" spans="326:327">
      <c r="LN4238" t="str">
        <v/>
      </c>
      <c r="LO4238" t="str">
        <v/>
      </c>
    </row>
    <row r="4239" spans="326:327">
      <c r="LN4239" t="str">
        <v/>
      </c>
      <c r="LO4239" t="str">
        <v/>
      </c>
    </row>
    <row r="4240" spans="326:327">
      <c r="LN4240" t="str">
        <v/>
      </c>
      <c r="LO4240" t="str">
        <v/>
      </c>
    </row>
    <row r="4241" spans="326:327">
      <c r="LN4241" t="str">
        <v/>
      </c>
      <c r="LO4241" t="str">
        <v/>
      </c>
    </row>
    <row r="4242" spans="326:327">
      <c r="LN4242" t="str">
        <v/>
      </c>
      <c r="LO4242" t="str">
        <v/>
      </c>
    </row>
    <row r="4243" spans="326:327">
      <c r="LN4243" t="str">
        <v/>
      </c>
      <c r="LO4243" t="str">
        <v/>
      </c>
    </row>
    <row r="4244" spans="326:327">
      <c r="LN4244" t="str">
        <v/>
      </c>
      <c r="LO4244" t="str">
        <v/>
      </c>
    </row>
    <row r="4245" spans="326:327">
      <c r="LN4245" t="str">
        <v/>
      </c>
      <c r="LO4245" t="str">
        <v/>
      </c>
    </row>
    <row r="4246" spans="326:327">
      <c r="LN4246" t="str">
        <v/>
      </c>
      <c r="LO4246" t="str">
        <v/>
      </c>
    </row>
    <row r="4247" spans="326:327">
      <c r="LN4247" t="str">
        <v/>
      </c>
      <c r="LO4247" t="str">
        <v/>
      </c>
    </row>
    <row r="4248" spans="326:327">
      <c r="LN4248" t="str">
        <v/>
      </c>
      <c r="LO4248" t="str">
        <v/>
      </c>
    </row>
    <row r="4249" spans="326:327">
      <c r="LN4249" t="str">
        <v/>
      </c>
      <c r="LO4249" t="str">
        <v/>
      </c>
    </row>
    <row r="4250" spans="326:327">
      <c r="LN4250" t="str">
        <v/>
      </c>
      <c r="LO4250" t="str">
        <v/>
      </c>
    </row>
    <row r="4251" spans="326:327">
      <c r="LN4251" t="str">
        <v/>
      </c>
      <c r="LO4251" t="str">
        <v/>
      </c>
    </row>
    <row r="4252" spans="326:327">
      <c r="LN4252" t="str">
        <v/>
      </c>
      <c r="LO4252" t="str">
        <v/>
      </c>
    </row>
    <row r="4253" spans="326:327">
      <c r="LN4253" t="str">
        <v/>
      </c>
      <c r="LO4253" t="str">
        <v/>
      </c>
    </row>
    <row r="4254" spans="326:327">
      <c r="LN4254" t="str">
        <v/>
      </c>
      <c r="LO4254" t="str">
        <v/>
      </c>
    </row>
    <row r="4255" spans="326:327">
      <c r="LN4255" t="str">
        <v/>
      </c>
      <c r="LO4255" t="str">
        <v/>
      </c>
    </row>
    <row r="4256" spans="326:327">
      <c r="LN4256" t="str">
        <v/>
      </c>
      <c r="LO4256" t="str">
        <v/>
      </c>
    </row>
    <row r="4257" spans="326:327">
      <c r="LN4257" t="str">
        <v/>
      </c>
      <c r="LO4257" t="str">
        <v/>
      </c>
    </row>
    <row r="4258" spans="326:327">
      <c r="LN4258" t="str">
        <v/>
      </c>
      <c r="LO4258" t="str">
        <v/>
      </c>
    </row>
    <row r="4259" spans="326:327">
      <c r="LN4259" t="str">
        <v/>
      </c>
      <c r="LO4259" t="str">
        <v/>
      </c>
    </row>
    <row r="4260" spans="326:327">
      <c r="LN4260" t="str">
        <v/>
      </c>
      <c r="LO4260" t="str">
        <v/>
      </c>
    </row>
    <row r="4261" spans="326:327">
      <c r="LN4261" t="str">
        <v/>
      </c>
      <c r="LO4261" t="str">
        <v/>
      </c>
    </row>
    <row r="4262" spans="326:327">
      <c r="LN4262" t="str">
        <v/>
      </c>
      <c r="LO4262" t="str">
        <v/>
      </c>
    </row>
    <row r="4263" spans="326:327">
      <c r="LN4263" t="str">
        <v/>
      </c>
      <c r="LO4263" t="str">
        <v/>
      </c>
    </row>
    <row r="4264" spans="326:327">
      <c r="LN4264" t="str">
        <v/>
      </c>
      <c r="LO4264" t="str">
        <v/>
      </c>
    </row>
    <row r="4265" spans="326:327">
      <c r="LN4265" t="str">
        <v/>
      </c>
      <c r="LO4265" t="str">
        <v/>
      </c>
    </row>
    <row r="4266" spans="326:327">
      <c r="LN4266" t="str">
        <v/>
      </c>
      <c r="LO4266" t="str">
        <v/>
      </c>
    </row>
    <row r="4267" spans="326:327">
      <c r="LN4267" t="str">
        <v/>
      </c>
      <c r="LO4267" t="str">
        <v/>
      </c>
    </row>
    <row r="4268" spans="326:327">
      <c r="LN4268" t="str">
        <v/>
      </c>
      <c r="LO4268" t="str">
        <v/>
      </c>
    </row>
    <row r="4269" spans="326:327">
      <c r="LN4269" t="str">
        <v/>
      </c>
      <c r="LO4269" t="str">
        <v/>
      </c>
    </row>
    <row r="4270" spans="326:327">
      <c r="LN4270" t="str">
        <v/>
      </c>
      <c r="LO4270" t="str">
        <v/>
      </c>
    </row>
    <row r="4271" spans="326:327">
      <c r="LN4271" t="str">
        <v/>
      </c>
      <c r="LO4271" t="str">
        <v/>
      </c>
    </row>
    <row r="4272" spans="326:327">
      <c r="LN4272" t="str">
        <v/>
      </c>
      <c r="LO4272" t="str">
        <v/>
      </c>
    </row>
    <row r="4273" spans="326:327">
      <c r="LN4273" t="str">
        <v/>
      </c>
      <c r="LO4273" t="str">
        <v/>
      </c>
    </row>
    <row r="4274" spans="326:327">
      <c r="LN4274" t="str">
        <v/>
      </c>
      <c r="LO4274" t="str">
        <v/>
      </c>
    </row>
    <row r="4275" spans="326:327">
      <c r="LN4275" t="str">
        <v/>
      </c>
      <c r="LO4275" t="str">
        <v/>
      </c>
    </row>
    <row r="4276" spans="326:327">
      <c r="LN4276" t="str">
        <v/>
      </c>
      <c r="LO4276" t="str">
        <v/>
      </c>
    </row>
    <row r="4277" spans="326:327">
      <c r="LN4277" t="str">
        <v/>
      </c>
      <c r="LO4277" t="str">
        <v/>
      </c>
    </row>
    <row r="4278" spans="326:327">
      <c r="LN4278" t="str">
        <v/>
      </c>
      <c r="LO4278" t="str">
        <v/>
      </c>
    </row>
    <row r="4279" spans="326:327">
      <c r="LN4279" t="str">
        <v/>
      </c>
      <c r="LO4279" t="str">
        <v/>
      </c>
    </row>
    <row r="4280" spans="326:327">
      <c r="LN4280" t="str">
        <v/>
      </c>
      <c r="LO4280" t="str">
        <v/>
      </c>
    </row>
    <row r="4281" spans="326:327">
      <c r="LN4281" t="str">
        <v/>
      </c>
      <c r="LO4281" t="str">
        <v/>
      </c>
    </row>
    <row r="4282" spans="326:327">
      <c r="LN4282" t="str">
        <v/>
      </c>
      <c r="LO4282" t="str">
        <v/>
      </c>
    </row>
    <row r="4283" spans="326:327">
      <c r="LN4283" t="str">
        <v/>
      </c>
      <c r="LO4283" t="str">
        <v/>
      </c>
    </row>
    <row r="4284" spans="326:327">
      <c r="LN4284" t="str">
        <v/>
      </c>
      <c r="LO4284" t="str">
        <v/>
      </c>
    </row>
    <row r="4285" spans="326:327">
      <c r="LN4285" t="str">
        <v/>
      </c>
      <c r="LO4285" t="str">
        <v/>
      </c>
    </row>
    <row r="4286" spans="326:327">
      <c r="LN4286" t="str">
        <v/>
      </c>
      <c r="LO4286" t="str">
        <v/>
      </c>
    </row>
    <row r="4287" spans="326:327">
      <c r="LN4287" t="str">
        <v/>
      </c>
      <c r="LO4287" t="str">
        <v/>
      </c>
    </row>
    <row r="4288" spans="326:327">
      <c r="LN4288" t="str">
        <v/>
      </c>
      <c r="LO4288" t="str">
        <v/>
      </c>
    </row>
    <row r="4289" spans="326:327">
      <c r="LN4289" t="str">
        <v/>
      </c>
      <c r="LO4289" t="str">
        <v/>
      </c>
    </row>
    <row r="4290" spans="326:327">
      <c r="LN4290" t="str">
        <v/>
      </c>
      <c r="LO4290" t="str">
        <v/>
      </c>
    </row>
    <row r="4291" spans="326:327">
      <c r="LN4291" t="str">
        <v/>
      </c>
      <c r="LO4291" t="str">
        <v/>
      </c>
    </row>
    <row r="4292" spans="326:327">
      <c r="LN4292" t="str">
        <v/>
      </c>
      <c r="LO4292" t="str">
        <v/>
      </c>
    </row>
    <row r="4293" spans="326:327">
      <c r="LN4293" t="str">
        <v/>
      </c>
      <c r="LO4293" t="str">
        <v/>
      </c>
    </row>
    <row r="4294" spans="326:327">
      <c r="LN4294" t="str">
        <v/>
      </c>
      <c r="LO4294" t="str">
        <v/>
      </c>
    </row>
    <row r="4295" spans="326:327">
      <c r="LN4295" t="str">
        <v/>
      </c>
      <c r="LO4295" t="str">
        <v/>
      </c>
    </row>
    <row r="4296" spans="326:327">
      <c r="LN4296" t="str">
        <v/>
      </c>
      <c r="LO4296" t="str">
        <v/>
      </c>
    </row>
    <row r="4297" spans="326:327">
      <c r="LN4297" t="str">
        <v/>
      </c>
      <c r="LO4297" t="str">
        <v/>
      </c>
    </row>
    <row r="4298" spans="326:327">
      <c r="LN4298" t="str">
        <v/>
      </c>
      <c r="LO4298" t="str">
        <v/>
      </c>
    </row>
    <row r="4299" spans="326:327">
      <c r="LN4299" t="str">
        <v/>
      </c>
      <c r="LO4299" t="str">
        <v/>
      </c>
    </row>
    <row r="4300" spans="326:327">
      <c r="LN4300" t="str">
        <v/>
      </c>
      <c r="LO4300" t="str">
        <v/>
      </c>
    </row>
    <row r="4301" spans="326:327">
      <c r="LN4301" t="str">
        <v/>
      </c>
      <c r="LO4301" t="str">
        <v/>
      </c>
    </row>
    <row r="4302" spans="326:327">
      <c r="LN4302" t="str">
        <v/>
      </c>
      <c r="LO4302" t="str">
        <v/>
      </c>
    </row>
    <row r="4303" spans="326:327">
      <c r="LN4303" t="str">
        <v/>
      </c>
      <c r="LO4303" t="str">
        <v/>
      </c>
    </row>
    <row r="4304" spans="326:327">
      <c r="LN4304" t="str">
        <v/>
      </c>
      <c r="LO4304" t="str">
        <v/>
      </c>
    </row>
    <row r="4305" spans="326:327">
      <c r="LN4305" t="str">
        <v/>
      </c>
      <c r="LO4305" t="str">
        <v/>
      </c>
    </row>
    <row r="4306" spans="326:327">
      <c r="LN4306" t="str">
        <v/>
      </c>
      <c r="LO4306" t="str">
        <v/>
      </c>
    </row>
    <row r="4307" spans="326:327">
      <c r="LN4307" t="str">
        <v/>
      </c>
      <c r="LO4307" t="str">
        <v/>
      </c>
    </row>
    <row r="4308" spans="326:327">
      <c r="LN4308" t="str">
        <v/>
      </c>
      <c r="LO4308" t="str">
        <v/>
      </c>
    </row>
    <row r="4309" spans="326:327">
      <c r="LN4309" t="str">
        <v/>
      </c>
      <c r="LO4309" t="str">
        <v/>
      </c>
    </row>
    <row r="4310" spans="326:327">
      <c r="LN4310" t="str">
        <v/>
      </c>
      <c r="LO4310" t="str">
        <v/>
      </c>
    </row>
    <row r="4311" spans="326:327">
      <c r="LN4311" t="str">
        <v/>
      </c>
      <c r="LO4311" t="str">
        <v/>
      </c>
    </row>
    <row r="4312" spans="326:327">
      <c r="LN4312" t="str">
        <v/>
      </c>
      <c r="LO4312" t="str">
        <v/>
      </c>
    </row>
    <row r="4313" spans="326:327">
      <c r="LN4313" t="str">
        <v/>
      </c>
      <c r="LO4313" t="str">
        <v/>
      </c>
    </row>
    <row r="4314" spans="326:327">
      <c r="LN4314" t="str">
        <v/>
      </c>
      <c r="LO4314" t="str">
        <v/>
      </c>
    </row>
    <row r="4315" spans="326:327">
      <c r="LN4315" t="str">
        <v/>
      </c>
      <c r="LO4315" t="str">
        <v/>
      </c>
    </row>
    <row r="4316" spans="326:327">
      <c r="LN4316" t="str">
        <v/>
      </c>
      <c r="LO4316" t="str">
        <v/>
      </c>
    </row>
    <row r="4317" spans="326:327">
      <c r="LN4317" t="str">
        <v/>
      </c>
      <c r="LO4317" t="str">
        <v/>
      </c>
    </row>
    <row r="4318" spans="326:327">
      <c r="LN4318" t="str">
        <v/>
      </c>
      <c r="LO4318" t="str">
        <v/>
      </c>
    </row>
    <row r="4319" spans="326:327">
      <c r="LN4319" t="str">
        <v/>
      </c>
      <c r="LO4319" t="str">
        <v/>
      </c>
    </row>
    <row r="4320" spans="326:327">
      <c r="LN4320" t="str">
        <v/>
      </c>
      <c r="LO4320" t="str">
        <v/>
      </c>
    </row>
    <row r="4321" spans="326:327">
      <c r="LN4321" t="str">
        <v/>
      </c>
      <c r="LO4321" t="str">
        <v/>
      </c>
    </row>
    <row r="4322" spans="326:327">
      <c r="LN4322" t="str">
        <v/>
      </c>
      <c r="LO4322" t="str">
        <v/>
      </c>
    </row>
    <row r="4323" spans="326:327">
      <c r="LN4323" t="str">
        <v/>
      </c>
      <c r="LO4323" t="str">
        <v/>
      </c>
    </row>
    <row r="4324" spans="326:327">
      <c r="LN4324" t="str">
        <v/>
      </c>
      <c r="LO4324" t="str">
        <v/>
      </c>
    </row>
    <row r="4325" spans="326:327">
      <c r="LN4325" t="str">
        <v/>
      </c>
      <c r="LO4325" t="str">
        <v/>
      </c>
    </row>
    <row r="4326" spans="326:327">
      <c r="LN4326" t="str">
        <v/>
      </c>
      <c r="LO4326" t="str">
        <v/>
      </c>
    </row>
    <row r="4327" spans="326:327">
      <c r="LN4327" t="str">
        <v/>
      </c>
      <c r="LO4327" t="str">
        <v/>
      </c>
    </row>
    <row r="4328" spans="326:327">
      <c r="LN4328" t="str">
        <v/>
      </c>
      <c r="LO4328" t="str">
        <v/>
      </c>
    </row>
    <row r="4329" spans="326:327">
      <c r="LN4329" t="str">
        <v/>
      </c>
      <c r="LO4329" t="str">
        <v/>
      </c>
    </row>
    <row r="4330" spans="326:327">
      <c r="LN4330" t="str">
        <v/>
      </c>
      <c r="LO4330" t="str">
        <v/>
      </c>
    </row>
    <row r="4331" spans="326:327">
      <c r="LN4331" t="str">
        <v/>
      </c>
      <c r="LO4331" t="str">
        <v/>
      </c>
    </row>
    <row r="4332" spans="326:327">
      <c r="LN4332" t="str">
        <v/>
      </c>
      <c r="LO4332" t="str">
        <v/>
      </c>
    </row>
    <row r="4333" spans="326:327">
      <c r="LN4333" t="str">
        <v/>
      </c>
      <c r="LO4333" t="str">
        <v/>
      </c>
    </row>
    <row r="4334" spans="326:327">
      <c r="LN4334" t="str">
        <v/>
      </c>
      <c r="LO4334" t="str">
        <v/>
      </c>
    </row>
    <row r="4335" spans="326:327">
      <c r="LN4335" t="str">
        <v/>
      </c>
      <c r="LO4335" t="str">
        <v/>
      </c>
    </row>
    <row r="4336" spans="326:327">
      <c r="LN4336" t="str">
        <v/>
      </c>
      <c r="LO4336" t="str">
        <v/>
      </c>
    </row>
    <row r="4337" spans="326:327">
      <c r="LN4337" t="str">
        <v/>
      </c>
      <c r="LO4337" t="str">
        <v/>
      </c>
    </row>
    <row r="4338" spans="326:327">
      <c r="LN4338" t="str">
        <v/>
      </c>
      <c r="LO4338" t="str">
        <v/>
      </c>
    </row>
    <row r="4339" spans="326:327">
      <c r="LN4339" t="str">
        <v/>
      </c>
      <c r="LO4339" t="str">
        <v/>
      </c>
    </row>
    <row r="4340" spans="326:327">
      <c r="LN4340" t="str">
        <v/>
      </c>
      <c r="LO4340" t="str">
        <v/>
      </c>
    </row>
    <row r="4341" spans="326:327">
      <c r="LN4341" t="str">
        <v/>
      </c>
      <c r="LO4341" t="str">
        <v/>
      </c>
    </row>
    <row r="4342" spans="326:327">
      <c r="LN4342" t="str">
        <v/>
      </c>
      <c r="LO4342" t="str">
        <v/>
      </c>
    </row>
    <row r="4343" spans="326:327">
      <c r="LN4343" t="str">
        <v/>
      </c>
      <c r="LO4343" t="str">
        <v/>
      </c>
    </row>
    <row r="4344" spans="326:327">
      <c r="LN4344" t="str">
        <v/>
      </c>
      <c r="LO4344" t="str">
        <v/>
      </c>
    </row>
    <row r="4345" spans="326:327">
      <c r="LN4345" t="str">
        <v/>
      </c>
      <c r="LO4345" t="str">
        <v/>
      </c>
    </row>
    <row r="4346" spans="326:327">
      <c r="LN4346" t="str">
        <v/>
      </c>
      <c r="LO4346" t="str">
        <v/>
      </c>
    </row>
    <row r="4347" spans="326:327">
      <c r="LN4347" t="str">
        <v/>
      </c>
      <c r="LO4347" t="str">
        <v/>
      </c>
    </row>
    <row r="4348" spans="326:327">
      <c r="LN4348" t="str">
        <v/>
      </c>
      <c r="LO4348" t="str">
        <v/>
      </c>
    </row>
    <row r="4349" spans="326:327">
      <c r="LN4349" t="str">
        <v/>
      </c>
      <c r="LO4349" t="str">
        <v/>
      </c>
    </row>
    <row r="4350" spans="326:327">
      <c r="LN4350" t="str">
        <v/>
      </c>
      <c r="LO4350" t="str">
        <v/>
      </c>
    </row>
    <row r="4351" spans="326:327">
      <c r="LN4351" t="str">
        <v/>
      </c>
      <c r="LO4351" t="str">
        <v/>
      </c>
    </row>
    <row r="4352" spans="326:327">
      <c r="LN4352" t="str">
        <v/>
      </c>
      <c r="LO4352" t="str">
        <v/>
      </c>
    </row>
    <row r="4353" spans="326:327">
      <c r="LN4353" t="str">
        <v/>
      </c>
      <c r="LO4353" t="str">
        <v/>
      </c>
    </row>
    <row r="4354" spans="326:327">
      <c r="LN4354" t="str">
        <v/>
      </c>
      <c r="LO4354" t="str">
        <v/>
      </c>
    </row>
    <row r="4355" spans="326:327">
      <c r="LN4355" t="str">
        <v/>
      </c>
      <c r="LO4355" t="str">
        <v/>
      </c>
    </row>
    <row r="4356" spans="326:327">
      <c r="LN4356" t="str">
        <v/>
      </c>
      <c r="LO4356" t="str">
        <v/>
      </c>
    </row>
    <row r="4357" spans="326:327">
      <c r="LN4357" t="str">
        <v/>
      </c>
      <c r="LO4357" t="str">
        <v/>
      </c>
    </row>
    <row r="4358" spans="326:327">
      <c r="LN4358" t="str">
        <v/>
      </c>
      <c r="LO4358" t="str">
        <v/>
      </c>
    </row>
    <row r="4359" spans="326:327">
      <c r="LN4359" t="str">
        <v/>
      </c>
      <c r="LO4359" t="str">
        <v/>
      </c>
    </row>
    <row r="4360" spans="326:327">
      <c r="LN4360" t="str">
        <v/>
      </c>
      <c r="LO4360" t="str">
        <v/>
      </c>
    </row>
    <row r="4361" spans="326:327">
      <c r="LN4361" t="str">
        <v/>
      </c>
      <c r="LO4361" t="str">
        <v/>
      </c>
    </row>
    <row r="4362" spans="326:327">
      <c r="LN4362" t="str">
        <v/>
      </c>
      <c r="LO4362" t="str">
        <v/>
      </c>
    </row>
    <row r="4363" spans="326:327">
      <c r="LN4363" t="str">
        <v/>
      </c>
      <c r="LO4363" t="str">
        <v/>
      </c>
    </row>
    <row r="4364" spans="326:327">
      <c r="LN4364" t="str">
        <v/>
      </c>
      <c r="LO4364" t="str">
        <v/>
      </c>
    </row>
    <row r="4365" spans="326:327">
      <c r="LN4365" t="str">
        <v/>
      </c>
      <c r="LO4365" t="str">
        <v/>
      </c>
    </row>
    <row r="4366" spans="326:327">
      <c r="LN4366" t="str">
        <v/>
      </c>
      <c r="LO4366" t="str">
        <v/>
      </c>
    </row>
    <row r="4367" spans="326:327">
      <c r="LN4367" t="str">
        <v/>
      </c>
      <c r="LO4367" t="str">
        <v/>
      </c>
    </row>
    <row r="4368" spans="326:327">
      <c r="LN4368" t="str">
        <v/>
      </c>
      <c r="LO4368" t="str">
        <v/>
      </c>
    </row>
    <row r="4369" spans="326:327">
      <c r="LN4369" t="str">
        <v/>
      </c>
      <c r="LO4369" t="str">
        <v/>
      </c>
    </row>
    <row r="4370" spans="326:327">
      <c r="LN4370" t="str">
        <v/>
      </c>
      <c r="LO4370" t="str">
        <v/>
      </c>
    </row>
    <row r="4371" spans="326:327">
      <c r="LN4371" t="str">
        <v/>
      </c>
      <c r="LO4371" t="str">
        <v/>
      </c>
    </row>
    <row r="4372" spans="326:327">
      <c r="LN4372" t="str">
        <v/>
      </c>
      <c r="LO4372" t="str">
        <v/>
      </c>
    </row>
    <row r="4373" spans="326:327">
      <c r="LN4373" t="str">
        <v/>
      </c>
      <c r="LO4373" t="str">
        <v/>
      </c>
    </row>
    <row r="4374" spans="326:327">
      <c r="LN4374" t="str">
        <v/>
      </c>
      <c r="LO4374" t="str">
        <v/>
      </c>
    </row>
    <row r="4375" spans="326:327">
      <c r="LN4375" t="str">
        <v/>
      </c>
      <c r="LO4375" t="str">
        <v/>
      </c>
    </row>
    <row r="4376" spans="326:327">
      <c r="LN4376" t="str">
        <v/>
      </c>
      <c r="LO4376" t="str">
        <v/>
      </c>
    </row>
    <row r="4377" spans="326:327">
      <c r="LN4377" t="str">
        <v/>
      </c>
      <c r="LO4377" t="str">
        <v/>
      </c>
    </row>
    <row r="4378" spans="326:327">
      <c r="LN4378" t="str">
        <v/>
      </c>
      <c r="LO4378" t="str">
        <v/>
      </c>
    </row>
    <row r="4379" spans="326:327">
      <c r="LN4379" t="str">
        <v/>
      </c>
      <c r="LO4379" t="str">
        <v/>
      </c>
    </row>
    <row r="4380" spans="326:327">
      <c r="LN4380" t="str">
        <v/>
      </c>
      <c r="LO4380" t="str">
        <v/>
      </c>
    </row>
    <row r="4381" spans="326:327">
      <c r="LN4381" t="str">
        <v/>
      </c>
      <c r="LO4381" t="str">
        <v/>
      </c>
    </row>
    <row r="4382" spans="326:327">
      <c r="LN4382" t="str">
        <v/>
      </c>
      <c r="LO4382" t="str">
        <v/>
      </c>
    </row>
    <row r="4383" spans="326:327">
      <c r="LN4383" t="str">
        <v/>
      </c>
      <c r="LO4383" t="str">
        <v/>
      </c>
    </row>
    <row r="4384" spans="326:327">
      <c r="LN4384" t="str">
        <v/>
      </c>
      <c r="LO4384" t="str">
        <v/>
      </c>
    </row>
    <row r="4385" spans="326:327">
      <c r="LN4385" t="str">
        <v/>
      </c>
      <c r="LO4385" t="str">
        <v/>
      </c>
    </row>
    <row r="4386" spans="326:327">
      <c r="LN4386" t="str">
        <v/>
      </c>
      <c r="LO4386" t="str">
        <v/>
      </c>
    </row>
    <row r="4387" spans="326:327">
      <c r="LN4387" t="str">
        <v/>
      </c>
      <c r="LO4387" t="str">
        <v/>
      </c>
    </row>
    <row r="4388" spans="326:327">
      <c r="LN4388" t="str">
        <v/>
      </c>
      <c r="LO4388" t="str">
        <v/>
      </c>
    </row>
    <row r="4389" spans="326:327">
      <c r="LN4389" t="str">
        <v/>
      </c>
      <c r="LO4389" t="str">
        <v/>
      </c>
    </row>
    <row r="4390" spans="326:327">
      <c r="LN4390" t="str">
        <v/>
      </c>
      <c r="LO4390" t="str">
        <v/>
      </c>
    </row>
    <row r="4391" spans="326:327">
      <c r="LN4391" t="str">
        <v/>
      </c>
      <c r="LO4391" t="str">
        <v/>
      </c>
    </row>
    <row r="4392" spans="326:327">
      <c r="LN4392" t="str">
        <v/>
      </c>
      <c r="LO4392" t="str">
        <v/>
      </c>
    </row>
    <row r="4393" spans="326:327">
      <c r="LN4393" t="str">
        <v/>
      </c>
      <c r="LO4393" t="str">
        <v/>
      </c>
    </row>
    <row r="4394" spans="326:327">
      <c r="LN4394" t="str">
        <v/>
      </c>
      <c r="LO4394" t="str">
        <v/>
      </c>
    </row>
    <row r="4395" spans="326:327">
      <c r="LN4395" t="str">
        <v/>
      </c>
      <c r="LO4395" t="str">
        <v/>
      </c>
    </row>
    <row r="4396" spans="326:327">
      <c r="LN4396" t="str">
        <v/>
      </c>
      <c r="LO4396" t="str">
        <v/>
      </c>
    </row>
    <row r="4397" spans="326:327">
      <c r="LN4397" t="str">
        <v/>
      </c>
      <c r="LO4397" t="str">
        <v/>
      </c>
    </row>
    <row r="4398" spans="326:327">
      <c r="LN4398" t="str">
        <v/>
      </c>
      <c r="LO4398" t="str">
        <v/>
      </c>
    </row>
    <row r="4399" spans="326:327">
      <c r="LN4399" t="str">
        <v/>
      </c>
      <c r="LO4399" t="str">
        <v/>
      </c>
    </row>
    <row r="4400" spans="326:327">
      <c r="LN4400" t="str">
        <v/>
      </c>
      <c r="LO4400" t="str">
        <v/>
      </c>
    </row>
    <row r="4401" spans="326:327">
      <c r="LN4401" t="str">
        <v/>
      </c>
      <c r="LO4401" t="str">
        <v/>
      </c>
    </row>
    <row r="4402" spans="326:327">
      <c r="LN4402" t="str">
        <v/>
      </c>
      <c r="LO4402" t="str">
        <v/>
      </c>
    </row>
    <row r="4403" spans="326:327">
      <c r="LN4403" t="str">
        <v/>
      </c>
      <c r="LO4403" t="str">
        <v/>
      </c>
    </row>
    <row r="4404" spans="326:327">
      <c r="LN4404" t="str">
        <v/>
      </c>
      <c r="LO4404" t="str">
        <v/>
      </c>
    </row>
    <row r="4405" spans="326:327">
      <c r="LN4405" t="str">
        <v/>
      </c>
      <c r="LO4405" t="str">
        <v/>
      </c>
    </row>
    <row r="4406" spans="326:327">
      <c r="LN4406" t="str">
        <v/>
      </c>
      <c r="LO4406" t="str">
        <v/>
      </c>
    </row>
    <row r="4407" spans="326:327">
      <c r="LN4407" t="str">
        <v/>
      </c>
      <c r="LO4407" t="str">
        <v/>
      </c>
    </row>
    <row r="4408" spans="326:327">
      <c r="LN4408" t="str">
        <v/>
      </c>
      <c r="LO4408" t="str">
        <v/>
      </c>
    </row>
    <row r="4409" spans="326:327">
      <c r="LN4409" t="str">
        <v/>
      </c>
      <c r="LO4409" t="str">
        <v/>
      </c>
    </row>
    <row r="4410" spans="326:327">
      <c r="LN4410" t="str">
        <v/>
      </c>
      <c r="LO4410" t="str">
        <v/>
      </c>
    </row>
    <row r="4411" spans="326:327">
      <c r="LN4411" t="str">
        <v/>
      </c>
      <c r="LO4411" t="str">
        <v/>
      </c>
    </row>
    <row r="4412" spans="326:327">
      <c r="LN4412" t="str">
        <v/>
      </c>
      <c r="LO4412" t="str">
        <v/>
      </c>
    </row>
    <row r="4413" spans="326:327">
      <c r="LN4413" t="str">
        <v/>
      </c>
      <c r="LO4413" t="str">
        <v/>
      </c>
    </row>
    <row r="4414" spans="326:327">
      <c r="LN4414" t="str">
        <v/>
      </c>
      <c r="LO4414" t="str">
        <v/>
      </c>
    </row>
    <row r="4415" spans="326:327">
      <c r="LN4415" t="str">
        <v/>
      </c>
      <c r="LO4415" t="str">
        <v/>
      </c>
    </row>
    <row r="4416" spans="326:327">
      <c r="LN4416" t="str">
        <v/>
      </c>
      <c r="LO4416" t="str">
        <v/>
      </c>
    </row>
    <row r="4417" spans="326:327">
      <c r="LN4417" t="str">
        <v/>
      </c>
      <c r="LO4417" t="str">
        <v/>
      </c>
    </row>
    <row r="4418" spans="326:327">
      <c r="LN4418" t="str">
        <v/>
      </c>
      <c r="LO4418" t="str">
        <v/>
      </c>
    </row>
    <row r="4419" spans="326:327">
      <c r="LN4419" t="str">
        <v/>
      </c>
      <c r="LO4419" t="str">
        <v/>
      </c>
    </row>
    <row r="4420" spans="326:327">
      <c r="LN4420" t="str">
        <v/>
      </c>
      <c r="LO4420" t="str">
        <v/>
      </c>
    </row>
    <row r="4421" spans="326:327">
      <c r="LN4421" t="str">
        <v/>
      </c>
      <c r="LO4421" t="str">
        <v/>
      </c>
    </row>
    <row r="4422" spans="326:327">
      <c r="LN4422" t="str">
        <v/>
      </c>
      <c r="LO4422" t="str">
        <v/>
      </c>
    </row>
    <row r="4423" spans="326:327">
      <c r="LN4423" t="str">
        <v/>
      </c>
      <c r="LO4423" t="str">
        <v/>
      </c>
    </row>
    <row r="4424" spans="326:327">
      <c r="LN4424" t="str">
        <v/>
      </c>
      <c r="LO4424" t="str">
        <v/>
      </c>
    </row>
    <row r="4425" spans="326:327">
      <c r="LN4425" t="str">
        <v/>
      </c>
      <c r="LO4425" t="str">
        <v/>
      </c>
    </row>
    <row r="4426" spans="326:327">
      <c r="LN4426" t="str">
        <v/>
      </c>
      <c r="LO4426" t="str">
        <v/>
      </c>
    </row>
    <row r="4427" spans="326:327">
      <c r="LN4427" t="str">
        <v/>
      </c>
      <c r="LO4427" t="str">
        <v/>
      </c>
    </row>
    <row r="4428" spans="326:327">
      <c r="LN4428" t="str">
        <v/>
      </c>
      <c r="LO4428" t="str">
        <v/>
      </c>
    </row>
    <row r="4429" spans="326:327">
      <c r="LN4429" t="str">
        <v/>
      </c>
      <c r="LO4429" t="str">
        <v/>
      </c>
    </row>
    <row r="4430" spans="326:327">
      <c r="LN4430" t="str">
        <v/>
      </c>
      <c r="LO4430" t="str">
        <v/>
      </c>
    </row>
    <row r="4431" spans="326:327">
      <c r="LN4431" t="str">
        <v/>
      </c>
      <c r="LO4431" t="str">
        <v/>
      </c>
    </row>
    <row r="4432" spans="326:327">
      <c r="LN4432" t="str">
        <v/>
      </c>
      <c r="LO4432" t="str">
        <v/>
      </c>
    </row>
    <row r="4433" spans="326:327">
      <c r="LN4433" t="str">
        <v/>
      </c>
      <c r="LO4433" t="str">
        <v/>
      </c>
    </row>
    <row r="4434" spans="326:327">
      <c r="LN4434" t="str">
        <v/>
      </c>
      <c r="LO4434" t="str">
        <v/>
      </c>
    </row>
    <row r="4435" spans="326:327">
      <c r="LN4435" t="str">
        <v/>
      </c>
      <c r="LO4435" t="str">
        <v/>
      </c>
    </row>
    <row r="4436" spans="326:327">
      <c r="LN4436" t="str">
        <v/>
      </c>
      <c r="LO4436" t="str">
        <v/>
      </c>
    </row>
    <row r="4437" spans="326:327">
      <c r="LN4437" t="str">
        <v/>
      </c>
      <c r="LO4437" t="str">
        <v/>
      </c>
    </row>
    <row r="4438" spans="326:327">
      <c r="LN4438" t="str">
        <v/>
      </c>
      <c r="LO4438" t="str">
        <v/>
      </c>
    </row>
    <row r="4439" spans="326:327">
      <c r="LN4439" t="str">
        <v/>
      </c>
      <c r="LO4439" t="str">
        <v/>
      </c>
    </row>
    <row r="4440" spans="326:327">
      <c r="LN4440" t="str">
        <v/>
      </c>
      <c r="LO4440" t="str">
        <v/>
      </c>
    </row>
    <row r="4441" spans="326:327">
      <c r="LN4441" t="str">
        <v/>
      </c>
      <c r="LO4441" t="str">
        <v/>
      </c>
    </row>
    <row r="4442" spans="326:327">
      <c r="LN4442" t="str">
        <v/>
      </c>
      <c r="LO4442" t="str">
        <v/>
      </c>
    </row>
    <row r="4443" spans="326:327">
      <c r="LN4443" t="str">
        <v/>
      </c>
      <c r="LO4443" t="str">
        <v/>
      </c>
    </row>
    <row r="4444" spans="326:327">
      <c r="LN4444" t="str">
        <v/>
      </c>
      <c r="LO4444" t="str">
        <v/>
      </c>
    </row>
    <row r="4445" spans="326:327">
      <c r="LN4445" t="str">
        <v/>
      </c>
      <c r="LO4445" t="str">
        <v/>
      </c>
    </row>
    <row r="4446" spans="326:327">
      <c r="LN4446" t="str">
        <v/>
      </c>
      <c r="LO4446" t="str">
        <v/>
      </c>
    </row>
    <row r="4447" spans="326:327">
      <c r="LN4447" t="str">
        <v/>
      </c>
      <c r="LO4447" t="str">
        <v/>
      </c>
    </row>
    <row r="4448" spans="326:327">
      <c r="LN4448" t="str">
        <v/>
      </c>
      <c r="LO4448" t="str">
        <v/>
      </c>
    </row>
    <row r="4449" spans="326:327">
      <c r="LN4449" t="str">
        <v/>
      </c>
      <c r="LO4449" t="str">
        <v/>
      </c>
    </row>
    <row r="4450" spans="326:327">
      <c r="LN4450" t="str">
        <v/>
      </c>
      <c r="LO4450" t="str">
        <v/>
      </c>
    </row>
    <row r="4451" spans="326:327">
      <c r="LN4451" t="str">
        <v/>
      </c>
      <c r="LO4451" t="str">
        <v/>
      </c>
    </row>
    <row r="4452" spans="326:327">
      <c r="LN4452" t="str">
        <v/>
      </c>
      <c r="LO4452" t="str">
        <v/>
      </c>
    </row>
    <row r="4453" spans="326:327">
      <c r="LN4453" t="str">
        <v/>
      </c>
      <c r="LO4453" t="str">
        <v/>
      </c>
    </row>
    <row r="4454" spans="326:327">
      <c r="LN4454" t="str">
        <v/>
      </c>
      <c r="LO4454" t="str">
        <v/>
      </c>
    </row>
    <row r="4455" spans="326:327">
      <c r="LN4455" t="str">
        <v/>
      </c>
      <c r="LO4455" t="str">
        <v/>
      </c>
    </row>
    <row r="4456" spans="326:327">
      <c r="LN4456" t="str">
        <v/>
      </c>
      <c r="LO4456" t="str">
        <v/>
      </c>
    </row>
    <row r="4457" spans="326:327">
      <c r="LN4457" t="str">
        <v/>
      </c>
      <c r="LO4457" t="str">
        <v/>
      </c>
    </row>
    <row r="4458" spans="326:327">
      <c r="LN4458" t="str">
        <v/>
      </c>
      <c r="LO4458" t="str">
        <v/>
      </c>
    </row>
    <row r="4459" spans="326:327">
      <c r="LN4459" t="str">
        <v/>
      </c>
      <c r="LO4459" t="str">
        <v/>
      </c>
    </row>
    <row r="4460" spans="326:327">
      <c r="LN4460" t="str">
        <v/>
      </c>
      <c r="LO4460" t="str">
        <v/>
      </c>
    </row>
    <row r="4461" spans="326:327">
      <c r="LN4461" t="str">
        <v/>
      </c>
      <c r="LO4461" t="str">
        <v/>
      </c>
    </row>
    <row r="4462" spans="326:327">
      <c r="LN4462" t="str">
        <v/>
      </c>
      <c r="LO4462" t="str">
        <v/>
      </c>
    </row>
    <row r="4463" spans="326:327">
      <c r="LN4463" t="str">
        <v/>
      </c>
      <c r="LO4463" t="str">
        <v/>
      </c>
    </row>
    <row r="4464" spans="326:327">
      <c r="LN4464" t="str">
        <v/>
      </c>
      <c r="LO4464" t="str">
        <v/>
      </c>
    </row>
    <row r="4465" spans="326:327">
      <c r="LN4465" t="str">
        <v/>
      </c>
      <c r="LO4465" t="str">
        <v/>
      </c>
    </row>
    <row r="4466" spans="326:327">
      <c r="LN4466" t="str">
        <v/>
      </c>
      <c r="LO4466" t="str">
        <v/>
      </c>
    </row>
    <row r="4467" spans="326:327">
      <c r="LN4467" t="str">
        <v/>
      </c>
      <c r="LO4467" t="str">
        <v/>
      </c>
    </row>
    <row r="4468" spans="326:327">
      <c r="LN4468" t="str">
        <v/>
      </c>
      <c r="LO4468" t="str">
        <v/>
      </c>
    </row>
    <row r="4469" spans="326:327">
      <c r="LN4469" t="str">
        <v/>
      </c>
      <c r="LO4469" t="str">
        <v/>
      </c>
    </row>
    <row r="4470" spans="326:327">
      <c r="LN4470" t="str">
        <v/>
      </c>
      <c r="LO4470" t="str">
        <v/>
      </c>
    </row>
    <row r="4471" spans="326:327">
      <c r="LN4471" t="str">
        <v/>
      </c>
      <c r="LO4471" t="str">
        <v/>
      </c>
    </row>
    <row r="4472" spans="326:327">
      <c r="LN4472" t="str">
        <v/>
      </c>
      <c r="LO4472" t="str">
        <v/>
      </c>
    </row>
    <row r="4473" spans="326:327">
      <c r="LN4473" t="str">
        <v/>
      </c>
      <c r="LO4473" t="str">
        <v/>
      </c>
    </row>
    <row r="4474" spans="326:327">
      <c r="LN4474" t="str">
        <v/>
      </c>
      <c r="LO4474" t="str">
        <v/>
      </c>
    </row>
    <row r="4475" spans="326:327">
      <c r="LN4475" t="str">
        <v/>
      </c>
      <c r="LO4475" t="str">
        <v/>
      </c>
    </row>
    <row r="4476" spans="326:327">
      <c r="LN4476" t="str">
        <v/>
      </c>
      <c r="LO4476" t="str">
        <v/>
      </c>
    </row>
    <row r="4477" spans="326:327">
      <c r="LN4477" t="str">
        <v/>
      </c>
      <c r="LO4477" t="str">
        <v/>
      </c>
    </row>
    <row r="4478" spans="326:327">
      <c r="LN4478" t="str">
        <v/>
      </c>
      <c r="LO4478" t="str">
        <v/>
      </c>
    </row>
    <row r="4479" spans="326:327">
      <c r="LN4479" t="str">
        <v/>
      </c>
      <c r="LO4479" t="str">
        <v/>
      </c>
    </row>
    <row r="4480" spans="326:327">
      <c r="LN4480" t="str">
        <v/>
      </c>
      <c r="LO4480" t="str">
        <v/>
      </c>
    </row>
    <row r="4481" spans="326:327">
      <c r="LN4481" t="str">
        <v/>
      </c>
      <c r="LO4481" t="str">
        <v/>
      </c>
    </row>
    <row r="4482" spans="326:327">
      <c r="LN4482" t="str">
        <v/>
      </c>
      <c r="LO4482" t="str">
        <v/>
      </c>
    </row>
    <row r="4483" spans="326:327">
      <c r="LN4483" t="str">
        <v/>
      </c>
      <c r="LO4483" t="str">
        <v/>
      </c>
    </row>
    <row r="4484" spans="326:327">
      <c r="LN4484" t="str">
        <v/>
      </c>
      <c r="LO4484" t="str">
        <v/>
      </c>
    </row>
    <row r="4485" spans="326:327">
      <c r="LN4485" t="str">
        <v/>
      </c>
      <c r="LO4485" t="str">
        <v/>
      </c>
    </row>
    <row r="4486" spans="326:327">
      <c r="LN4486" t="str">
        <v/>
      </c>
      <c r="LO4486" t="str">
        <v/>
      </c>
    </row>
    <row r="4487" spans="326:327">
      <c r="LN4487" t="str">
        <v/>
      </c>
      <c r="LO4487" t="str">
        <v/>
      </c>
    </row>
    <row r="4488" spans="326:327">
      <c r="LN4488" t="str">
        <v/>
      </c>
      <c r="LO4488" t="str">
        <v/>
      </c>
    </row>
    <row r="4489" spans="326:327">
      <c r="LN4489" t="str">
        <v/>
      </c>
      <c r="LO4489" t="str">
        <v/>
      </c>
    </row>
    <row r="4490" spans="326:327">
      <c r="LN4490" t="str">
        <v/>
      </c>
      <c r="LO4490" t="str">
        <v/>
      </c>
    </row>
    <row r="4491" spans="326:327">
      <c r="LN4491" t="str">
        <v/>
      </c>
      <c r="LO4491" t="str">
        <v/>
      </c>
    </row>
    <row r="4492" spans="326:327">
      <c r="LN4492" t="str">
        <v/>
      </c>
      <c r="LO4492" t="str">
        <v/>
      </c>
    </row>
    <row r="4493" spans="326:327">
      <c r="LN4493" t="str">
        <v/>
      </c>
      <c r="LO4493" t="str">
        <v/>
      </c>
    </row>
    <row r="4494" spans="326:327">
      <c r="LN4494" t="str">
        <v/>
      </c>
      <c r="LO4494" t="str">
        <v/>
      </c>
    </row>
    <row r="4495" spans="326:327">
      <c r="LN4495" t="str">
        <v/>
      </c>
      <c r="LO4495" t="str">
        <v/>
      </c>
    </row>
    <row r="4496" spans="326:327">
      <c r="LN4496" t="str">
        <v/>
      </c>
      <c r="LO4496" t="str">
        <v/>
      </c>
    </row>
    <row r="4497" spans="326:327">
      <c r="LN4497" t="str">
        <v/>
      </c>
      <c r="LO4497" t="str">
        <v/>
      </c>
    </row>
    <row r="4498" spans="326:327">
      <c r="LN4498" t="str">
        <v/>
      </c>
      <c r="LO4498" t="str">
        <v/>
      </c>
    </row>
    <row r="4499" spans="326:327">
      <c r="LN4499" t="str">
        <v/>
      </c>
      <c r="LO4499" t="str">
        <v/>
      </c>
    </row>
    <row r="4500" spans="326:327">
      <c r="LN4500" t="str">
        <v/>
      </c>
      <c r="LO4500" t="str">
        <v/>
      </c>
    </row>
    <row r="4501" spans="326:327">
      <c r="LN4501" t="str">
        <v/>
      </c>
      <c r="LO4501" t="str">
        <v/>
      </c>
    </row>
    <row r="4502" spans="326:327">
      <c r="LN4502" t="str">
        <v/>
      </c>
      <c r="LO4502" t="str">
        <v/>
      </c>
    </row>
    <row r="4503" spans="326:327">
      <c r="LN4503" t="str">
        <v/>
      </c>
      <c r="LO4503" t="str">
        <v/>
      </c>
    </row>
    <row r="4504" spans="326:327">
      <c r="LN4504" t="str">
        <v/>
      </c>
      <c r="LO4504" t="str">
        <v/>
      </c>
    </row>
    <row r="4505" spans="326:327">
      <c r="LN4505" t="str">
        <v/>
      </c>
      <c r="LO4505" t="str">
        <v/>
      </c>
    </row>
    <row r="4506" spans="326:327">
      <c r="LN4506" t="str">
        <v/>
      </c>
      <c r="LO4506" t="str">
        <v/>
      </c>
    </row>
    <row r="4507" spans="326:327">
      <c r="LN4507" t="str">
        <v/>
      </c>
      <c r="LO4507" t="str">
        <v/>
      </c>
    </row>
    <row r="4508" spans="326:327">
      <c r="LN4508" t="str">
        <v/>
      </c>
      <c r="LO4508" t="str">
        <v/>
      </c>
    </row>
    <row r="4509" spans="326:327">
      <c r="LN4509" t="str">
        <v/>
      </c>
      <c r="LO4509" t="str">
        <v/>
      </c>
    </row>
    <row r="4510" spans="326:327">
      <c r="LN4510" t="str">
        <v/>
      </c>
      <c r="LO4510" t="str">
        <v/>
      </c>
    </row>
    <row r="4511" spans="326:327">
      <c r="LN4511" t="str">
        <v/>
      </c>
      <c r="LO4511" t="str">
        <v/>
      </c>
    </row>
    <row r="4512" spans="326:327">
      <c r="LN4512" t="str">
        <v/>
      </c>
      <c r="LO4512" t="str">
        <v/>
      </c>
    </row>
    <row r="4513" spans="326:327">
      <c r="LN4513" t="str">
        <v/>
      </c>
      <c r="LO4513" t="str">
        <v/>
      </c>
    </row>
    <row r="4514" spans="326:327">
      <c r="LN4514" t="str">
        <v/>
      </c>
      <c r="LO4514" t="str">
        <v/>
      </c>
    </row>
    <row r="4515" spans="326:327">
      <c r="LN4515" t="str">
        <v/>
      </c>
      <c r="LO4515" t="str">
        <v/>
      </c>
    </row>
    <row r="4516" spans="326:327">
      <c r="LN4516" t="str">
        <v/>
      </c>
      <c r="LO4516" t="str">
        <v/>
      </c>
    </row>
    <row r="4517" spans="326:327">
      <c r="LN4517" t="str">
        <v/>
      </c>
      <c r="LO4517" t="str">
        <v/>
      </c>
    </row>
    <row r="4518" spans="326:327">
      <c r="LN4518" t="str">
        <v/>
      </c>
      <c r="LO4518" t="str">
        <v/>
      </c>
    </row>
    <row r="4519" spans="326:327">
      <c r="LN4519" t="str">
        <v/>
      </c>
      <c r="LO4519" t="str">
        <v/>
      </c>
    </row>
    <row r="4520" spans="326:327">
      <c r="LN4520" t="str">
        <v/>
      </c>
      <c r="LO4520" t="str">
        <v/>
      </c>
    </row>
    <row r="4521" spans="326:327">
      <c r="LN4521" t="str">
        <v/>
      </c>
      <c r="LO4521" t="str">
        <v/>
      </c>
    </row>
    <row r="4522" spans="326:327">
      <c r="LN4522" t="str">
        <v/>
      </c>
      <c r="LO4522" t="str">
        <v/>
      </c>
    </row>
    <row r="4523" spans="326:327">
      <c r="LN4523" t="str">
        <v/>
      </c>
      <c r="LO4523" t="str">
        <v/>
      </c>
    </row>
    <row r="4524" spans="326:327">
      <c r="LN4524" t="str">
        <v/>
      </c>
      <c r="LO4524" t="str">
        <v/>
      </c>
    </row>
    <row r="4525" spans="326:327">
      <c r="LN4525" t="str">
        <v/>
      </c>
      <c r="LO4525" t="str">
        <v/>
      </c>
    </row>
    <row r="4526" spans="326:327">
      <c r="LN4526" t="str">
        <v/>
      </c>
      <c r="LO4526" t="str">
        <v/>
      </c>
    </row>
    <row r="4527" spans="326:327">
      <c r="LN4527" t="str">
        <v/>
      </c>
      <c r="LO4527" t="str">
        <v/>
      </c>
    </row>
    <row r="4528" spans="326:327">
      <c r="LN4528" t="str">
        <v/>
      </c>
      <c r="LO4528" t="str">
        <v/>
      </c>
    </row>
    <row r="4529" spans="326:327">
      <c r="LN4529" t="str">
        <v/>
      </c>
      <c r="LO4529" t="str">
        <v/>
      </c>
    </row>
    <row r="4530" spans="326:327">
      <c r="LN4530" t="str">
        <v/>
      </c>
      <c r="LO4530" t="str">
        <v/>
      </c>
    </row>
    <row r="4531" spans="326:327">
      <c r="LN4531" t="str">
        <v/>
      </c>
      <c r="LO4531" t="str">
        <v/>
      </c>
    </row>
    <row r="4532" spans="326:327">
      <c r="LN4532" t="str">
        <v/>
      </c>
      <c r="LO4532" t="str">
        <v/>
      </c>
    </row>
    <row r="4533" spans="326:327">
      <c r="LN4533" t="str">
        <v/>
      </c>
      <c r="LO4533" t="str">
        <v/>
      </c>
    </row>
    <row r="4534" spans="326:327">
      <c r="LN4534" t="str">
        <v/>
      </c>
      <c r="LO4534" t="str">
        <v/>
      </c>
    </row>
    <row r="4535" spans="326:327">
      <c r="LN4535" t="str">
        <v/>
      </c>
      <c r="LO4535" t="str">
        <v/>
      </c>
    </row>
    <row r="4536" spans="326:327">
      <c r="LN4536" t="str">
        <v/>
      </c>
      <c r="LO4536" t="str">
        <v/>
      </c>
    </row>
    <row r="4537" spans="326:327">
      <c r="LN4537" t="str">
        <v/>
      </c>
      <c r="LO4537" t="str">
        <v/>
      </c>
    </row>
    <row r="4538" spans="326:327">
      <c r="LN4538" t="str">
        <v/>
      </c>
      <c r="LO4538" t="str">
        <v/>
      </c>
    </row>
    <row r="4539" spans="326:327">
      <c r="LN4539" t="str">
        <v/>
      </c>
      <c r="LO4539" t="str">
        <v/>
      </c>
    </row>
    <row r="4540" spans="326:327">
      <c r="LN4540" t="str">
        <v/>
      </c>
      <c r="LO4540" t="str">
        <v/>
      </c>
    </row>
    <row r="4541" spans="326:327">
      <c r="LN4541" t="str">
        <v/>
      </c>
      <c r="LO4541" t="str">
        <v/>
      </c>
    </row>
    <row r="4542" spans="326:327">
      <c r="LN4542" t="str">
        <v/>
      </c>
      <c r="LO4542" t="str">
        <v/>
      </c>
    </row>
    <row r="4543" spans="326:327">
      <c r="LN4543" t="str">
        <v/>
      </c>
      <c r="LO4543" t="str">
        <v/>
      </c>
    </row>
    <row r="4544" spans="326:327">
      <c r="LN4544" t="str">
        <v/>
      </c>
      <c r="LO4544" t="str">
        <v/>
      </c>
    </row>
    <row r="4545" spans="326:327">
      <c r="LN4545" t="str">
        <v/>
      </c>
      <c r="LO4545" t="str">
        <v/>
      </c>
    </row>
    <row r="4546" spans="326:327">
      <c r="LN4546" t="str">
        <v/>
      </c>
      <c r="LO4546" t="str">
        <v/>
      </c>
    </row>
    <row r="4547" spans="326:327">
      <c r="LN4547" t="str">
        <v/>
      </c>
      <c r="LO4547" t="str">
        <v/>
      </c>
    </row>
    <row r="4548" spans="326:327">
      <c r="LN4548" t="str">
        <v/>
      </c>
      <c r="LO4548" t="str">
        <v/>
      </c>
    </row>
    <row r="4549" spans="326:327">
      <c r="LN4549" t="str">
        <v/>
      </c>
      <c r="LO4549" t="str">
        <v/>
      </c>
    </row>
    <row r="4550" spans="326:327">
      <c r="LN4550" t="str">
        <v/>
      </c>
      <c r="LO4550" t="str">
        <v/>
      </c>
    </row>
    <row r="4551" spans="326:327">
      <c r="LN4551" t="str">
        <v/>
      </c>
      <c r="LO4551" t="str">
        <v/>
      </c>
    </row>
    <row r="4552" spans="326:327">
      <c r="LN4552" t="str">
        <v/>
      </c>
      <c r="LO4552" t="str">
        <v/>
      </c>
    </row>
    <row r="4553" spans="326:327">
      <c r="LN4553" t="str">
        <v/>
      </c>
      <c r="LO4553" t="str">
        <v/>
      </c>
    </row>
    <row r="4554" spans="326:327">
      <c r="LN4554" t="str">
        <v/>
      </c>
      <c r="LO4554" t="str">
        <v/>
      </c>
    </row>
    <row r="4555" spans="326:327">
      <c r="LN4555" t="str">
        <v/>
      </c>
      <c r="LO4555" t="str">
        <v/>
      </c>
    </row>
    <row r="4556" spans="326:327">
      <c r="LN4556" t="str">
        <v/>
      </c>
      <c r="LO4556" t="str">
        <v/>
      </c>
    </row>
    <row r="4557" spans="326:327">
      <c r="LN4557" t="str">
        <v/>
      </c>
      <c r="LO4557" t="str">
        <v/>
      </c>
    </row>
    <row r="4558" spans="326:327">
      <c r="LN4558" t="str">
        <v/>
      </c>
      <c r="LO4558" t="str">
        <v/>
      </c>
    </row>
    <row r="4559" spans="326:327">
      <c r="LN4559" t="str">
        <v/>
      </c>
      <c r="LO4559" t="str">
        <v/>
      </c>
    </row>
    <row r="4560" spans="326:327">
      <c r="LN4560" t="str">
        <v/>
      </c>
      <c r="LO4560" t="str">
        <v/>
      </c>
    </row>
    <row r="4561" spans="326:327">
      <c r="LN4561" t="str">
        <v/>
      </c>
      <c r="LO4561" t="str">
        <v/>
      </c>
    </row>
    <row r="4562" spans="326:327">
      <c r="LN4562" t="str">
        <v/>
      </c>
      <c r="LO4562" t="str">
        <v/>
      </c>
    </row>
    <row r="4563" spans="326:327">
      <c r="LN4563" t="str">
        <v/>
      </c>
      <c r="LO4563" t="str">
        <v/>
      </c>
    </row>
    <row r="4564" spans="326:327">
      <c r="LN4564" t="str">
        <v/>
      </c>
      <c r="LO4564" t="str">
        <v/>
      </c>
    </row>
    <row r="4565" spans="326:327">
      <c r="LN4565" t="str">
        <v/>
      </c>
      <c r="LO4565" t="str">
        <v/>
      </c>
    </row>
    <row r="4566" spans="326:327">
      <c r="LN4566" t="str">
        <v/>
      </c>
      <c r="LO4566" t="str">
        <v/>
      </c>
    </row>
    <row r="4567" spans="326:327">
      <c r="LN4567" t="str">
        <v/>
      </c>
      <c r="LO4567" t="str">
        <v/>
      </c>
    </row>
    <row r="4568" spans="326:327">
      <c r="LN4568" t="str">
        <v/>
      </c>
      <c r="LO4568" t="str">
        <v/>
      </c>
    </row>
    <row r="4569" spans="326:327">
      <c r="LN4569" t="str">
        <v/>
      </c>
      <c r="LO4569" t="str">
        <v/>
      </c>
    </row>
    <row r="4570" spans="326:327">
      <c r="LN4570" t="str">
        <v/>
      </c>
      <c r="LO4570" t="str">
        <v/>
      </c>
    </row>
    <row r="4571" spans="326:327">
      <c r="LN4571" t="str">
        <v/>
      </c>
      <c r="LO4571" t="str">
        <v/>
      </c>
    </row>
    <row r="4572" spans="326:327">
      <c r="LN4572" t="str">
        <v/>
      </c>
      <c r="LO4572" t="str">
        <v/>
      </c>
    </row>
    <row r="4573" spans="326:327">
      <c r="LN4573" t="str">
        <v/>
      </c>
      <c r="LO4573" t="str">
        <v/>
      </c>
    </row>
    <row r="4574" spans="326:327">
      <c r="LN4574" t="str">
        <v/>
      </c>
      <c r="LO4574" t="str">
        <v/>
      </c>
    </row>
    <row r="4575" spans="326:327">
      <c r="LN4575" t="str">
        <v/>
      </c>
      <c r="LO4575" t="str">
        <v/>
      </c>
    </row>
    <row r="4576" spans="326:327">
      <c r="LN4576" t="str">
        <v/>
      </c>
      <c r="LO4576" t="str">
        <v/>
      </c>
    </row>
    <row r="4577" spans="326:327">
      <c r="LN4577" t="str">
        <v/>
      </c>
      <c r="LO4577" t="str">
        <v/>
      </c>
    </row>
    <row r="4578" spans="326:327">
      <c r="LN4578" t="str">
        <v/>
      </c>
      <c r="LO4578" t="str">
        <v/>
      </c>
    </row>
    <row r="4579" spans="326:327">
      <c r="LN4579" t="str">
        <v/>
      </c>
      <c r="LO4579" t="str">
        <v/>
      </c>
    </row>
    <row r="4580" spans="326:327">
      <c r="LN4580" t="str">
        <v/>
      </c>
      <c r="LO4580" t="str">
        <v/>
      </c>
    </row>
    <row r="4581" spans="326:327">
      <c r="LN4581" t="str">
        <v/>
      </c>
      <c r="LO4581" t="str">
        <v/>
      </c>
    </row>
    <row r="4582" spans="326:327">
      <c r="LN4582" t="str">
        <v/>
      </c>
      <c r="LO4582" t="str">
        <v/>
      </c>
    </row>
    <row r="4583" spans="326:327">
      <c r="LN4583" t="str">
        <v/>
      </c>
      <c r="LO4583" t="str">
        <v/>
      </c>
    </row>
    <row r="4584" spans="326:327">
      <c r="LN4584" t="str">
        <v/>
      </c>
      <c r="LO4584" t="str">
        <v/>
      </c>
    </row>
    <row r="4585" spans="326:327">
      <c r="LN4585" t="str">
        <v/>
      </c>
      <c r="LO4585" t="str">
        <v/>
      </c>
    </row>
    <row r="4586" spans="326:327">
      <c r="LN4586" t="str">
        <v/>
      </c>
      <c r="LO4586" t="str">
        <v/>
      </c>
    </row>
    <row r="4587" spans="326:327">
      <c r="LN4587" t="str">
        <v/>
      </c>
      <c r="LO4587" t="str">
        <v/>
      </c>
    </row>
    <row r="4588" spans="326:327">
      <c r="LN4588" t="str">
        <v/>
      </c>
      <c r="LO4588" t="str">
        <v/>
      </c>
    </row>
    <row r="4589" spans="326:327">
      <c r="LN4589" t="str">
        <v/>
      </c>
      <c r="LO4589" t="str">
        <v/>
      </c>
    </row>
    <row r="4590" spans="326:327">
      <c r="LN4590" t="str">
        <v/>
      </c>
      <c r="LO4590" t="str">
        <v/>
      </c>
    </row>
    <row r="4591" spans="326:327">
      <c r="LN4591" t="str">
        <v/>
      </c>
      <c r="LO4591" t="str">
        <v/>
      </c>
    </row>
    <row r="4592" spans="326:327">
      <c r="LN4592" t="str">
        <v/>
      </c>
      <c r="LO4592" t="str">
        <v/>
      </c>
    </row>
    <row r="4593" spans="326:327">
      <c r="LN4593" t="str">
        <v/>
      </c>
      <c r="LO4593" t="str">
        <v/>
      </c>
    </row>
    <row r="4594" spans="326:327">
      <c r="LN4594" t="str">
        <v/>
      </c>
      <c r="LO4594" t="str">
        <v/>
      </c>
    </row>
    <row r="4595" spans="326:327">
      <c r="LN4595" t="str">
        <v/>
      </c>
      <c r="LO4595" t="str">
        <v/>
      </c>
    </row>
    <row r="4596" spans="326:327">
      <c r="LN4596" t="str">
        <v/>
      </c>
      <c r="LO4596" t="str">
        <v/>
      </c>
    </row>
    <row r="4597" spans="326:327">
      <c r="LN4597" t="str">
        <v/>
      </c>
      <c r="LO4597" t="str">
        <v/>
      </c>
    </row>
    <row r="4598" spans="326:327">
      <c r="LN4598" t="str">
        <v/>
      </c>
      <c r="LO4598" t="str">
        <v/>
      </c>
    </row>
    <row r="4599" spans="326:327">
      <c r="LN4599" t="str">
        <v/>
      </c>
      <c r="LO4599" t="str">
        <v/>
      </c>
    </row>
    <row r="4600" spans="326:327">
      <c r="LN4600" t="str">
        <v/>
      </c>
      <c r="LO4600" t="str">
        <v/>
      </c>
    </row>
    <row r="4601" spans="326:327">
      <c r="LN4601" t="str">
        <v/>
      </c>
      <c r="LO4601" t="str">
        <v/>
      </c>
    </row>
    <row r="4602" spans="326:327">
      <c r="LN4602" t="str">
        <v/>
      </c>
      <c r="LO4602" t="str">
        <v/>
      </c>
    </row>
    <row r="4603" spans="326:327">
      <c r="LN4603" t="str">
        <v/>
      </c>
      <c r="LO4603" t="str">
        <v/>
      </c>
    </row>
    <row r="4604" spans="326:327">
      <c r="LN4604" t="str">
        <v/>
      </c>
      <c r="LO4604" t="str">
        <v/>
      </c>
    </row>
    <row r="4605" spans="326:327">
      <c r="LN4605" t="str">
        <v/>
      </c>
      <c r="LO4605" t="str">
        <v/>
      </c>
    </row>
    <row r="4606" spans="326:327">
      <c r="LN4606" t="str">
        <v/>
      </c>
      <c r="LO4606" t="str">
        <v/>
      </c>
    </row>
    <row r="4607" spans="326:327">
      <c r="LN4607" t="str">
        <v/>
      </c>
      <c r="LO4607" t="str">
        <v/>
      </c>
    </row>
    <row r="4608" spans="326:327">
      <c r="LN4608" t="str">
        <v/>
      </c>
      <c r="LO4608" t="str">
        <v/>
      </c>
    </row>
    <row r="4609" spans="326:327">
      <c r="LN4609" t="str">
        <v/>
      </c>
      <c r="LO4609" t="str">
        <v/>
      </c>
    </row>
    <row r="4610" spans="326:327">
      <c r="LN4610" t="str">
        <v/>
      </c>
      <c r="LO4610" t="str">
        <v/>
      </c>
    </row>
    <row r="4611" spans="326:327">
      <c r="LN4611" t="str">
        <v/>
      </c>
      <c r="LO4611" t="str">
        <v/>
      </c>
    </row>
    <row r="4612" spans="326:327">
      <c r="LN4612" t="str">
        <v/>
      </c>
      <c r="LO4612" t="str">
        <v/>
      </c>
    </row>
    <row r="4613" spans="326:327">
      <c r="LN4613" t="str">
        <v/>
      </c>
      <c r="LO4613" t="str">
        <v/>
      </c>
    </row>
    <row r="4614" spans="326:327">
      <c r="LN4614" t="str">
        <v/>
      </c>
      <c r="LO4614" t="str">
        <v/>
      </c>
    </row>
    <row r="4615" spans="326:327">
      <c r="LN4615" t="str">
        <v/>
      </c>
      <c r="LO4615" t="str">
        <v/>
      </c>
    </row>
    <row r="4616" spans="326:327">
      <c r="LN4616" t="str">
        <v/>
      </c>
      <c r="LO4616" t="str">
        <v/>
      </c>
    </row>
    <row r="4617" spans="326:327">
      <c r="LN4617" t="str">
        <v/>
      </c>
      <c r="LO4617" t="str">
        <v/>
      </c>
    </row>
    <row r="4618" spans="326:327">
      <c r="LN4618" t="str">
        <v/>
      </c>
      <c r="LO4618" t="str">
        <v/>
      </c>
    </row>
    <row r="4619" spans="326:327">
      <c r="LN4619" t="str">
        <v/>
      </c>
      <c r="LO4619" t="str">
        <v/>
      </c>
    </row>
    <row r="4620" spans="326:327">
      <c r="LN4620" t="str">
        <v/>
      </c>
      <c r="LO4620" t="str">
        <v/>
      </c>
    </row>
    <row r="4621" spans="326:327">
      <c r="LN4621" t="str">
        <v/>
      </c>
      <c r="LO4621" t="str">
        <v/>
      </c>
    </row>
    <row r="4622" spans="326:327">
      <c r="LN4622" t="str">
        <v/>
      </c>
      <c r="LO4622" t="str">
        <v/>
      </c>
    </row>
    <row r="4623" spans="326:327">
      <c r="LN4623" t="str">
        <v/>
      </c>
      <c r="LO4623" t="str">
        <v/>
      </c>
    </row>
    <row r="4624" spans="326:327">
      <c r="LN4624" t="str">
        <v/>
      </c>
      <c r="LO4624" t="str">
        <v/>
      </c>
    </row>
    <row r="4625" spans="326:327">
      <c r="LN4625" t="str">
        <v/>
      </c>
      <c r="LO4625" t="str">
        <v/>
      </c>
    </row>
    <row r="4626" spans="326:327">
      <c r="LN4626" t="str">
        <v/>
      </c>
      <c r="LO4626" t="str">
        <v/>
      </c>
    </row>
    <row r="4627" spans="326:327">
      <c r="LN4627" t="str">
        <v/>
      </c>
      <c r="LO4627" t="str">
        <v/>
      </c>
    </row>
    <row r="4628" spans="326:327">
      <c r="LN4628" t="str">
        <v/>
      </c>
      <c r="LO4628" t="str">
        <v/>
      </c>
    </row>
    <row r="4629" spans="326:327">
      <c r="LN4629" t="str">
        <v/>
      </c>
      <c r="LO4629" t="str">
        <v/>
      </c>
    </row>
    <row r="4630" spans="326:327">
      <c r="LN4630" t="str">
        <v/>
      </c>
      <c r="LO4630" t="str">
        <v/>
      </c>
    </row>
    <row r="4631" spans="326:327">
      <c r="LN4631" t="str">
        <v/>
      </c>
      <c r="LO4631" t="str">
        <v/>
      </c>
    </row>
    <row r="4632" spans="326:327">
      <c r="LN4632" t="str">
        <v/>
      </c>
      <c r="LO4632" t="str">
        <v/>
      </c>
    </row>
    <row r="4633" spans="326:327">
      <c r="LN4633" t="str">
        <v/>
      </c>
      <c r="LO4633" t="str">
        <v/>
      </c>
    </row>
    <row r="4634" spans="326:327">
      <c r="LN4634" t="str">
        <v/>
      </c>
      <c r="LO4634" t="str">
        <v/>
      </c>
    </row>
    <row r="4635" spans="326:327">
      <c r="LN4635" t="str">
        <v/>
      </c>
      <c r="LO4635" t="str">
        <v/>
      </c>
    </row>
    <row r="4636" spans="326:327">
      <c r="LN4636" t="str">
        <v/>
      </c>
      <c r="LO4636" t="str">
        <v/>
      </c>
    </row>
    <row r="4637" spans="326:327">
      <c r="LN4637" t="str">
        <v/>
      </c>
      <c r="LO4637" t="str">
        <v/>
      </c>
    </row>
    <row r="4638" spans="326:327">
      <c r="LN4638" t="str">
        <v/>
      </c>
      <c r="LO4638" t="str">
        <v/>
      </c>
    </row>
    <row r="4639" spans="326:327">
      <c r="LN4639" t="str">
        <v/>
      </c>
      <c r="LO4639" t="str">
        <v/>
      </c>
    </row>
    <row r="4640" spans="326:327">
      <c r="LN4640" t="str">
        <v/>
      </c>
      <c r="LO4640" t="str">
        <v/>
      </c>
    </row>
    <row r="4641" spans="326:327">
      <c r="LN4641" t="str">
        <v/>
      </c>
      <c r="LO4641" t="str">
        <v/>
      </c>
    </row>
    <row r="4642" spans="326:327">
      <c r="LN4642" t="str">
        <v/>
      </c>
      <c r="LO4642" t="str">
        <v/>
      </c>
    </row>
    <row r="4643" spans="326:327">
      <c r="LN4643" t="str">
        <v/>
      </c>
      <c r="LO4643" t="str">
        <v/>
      </c>
    </row>
    <row r="4644" spans="326:327">
      <c r="LN4644" t="str">
        <v/>
      </c>
      <c r="LO4644" t="str">
        <v/>
      </c>
    </row>
    <row r="4645" spans="326:327">
      <c r="LN4645" t="str">
        <v/>
      </c>
      <c r="LO4645" t="str">
        <v/>
      </c>
    </row>
    <row r="4646" spans="326:327">
      <c r="LN4646" t="str">
        <v/>
      </c>
      <c r="LO4646" t="str">
        <v/>
      </c>
    </row>
    <row r="4647" spans="326:327">
      <c r="LN4647" t="str">
        <v/>
      </c>
      <c r="LO4647" t="str">
        <v/>
      </c>
    </row>
    <row r="4648" spans="326:327">
      <c r="LN4648" t="str">
        <v/>
      </c>
      <c r="LO4648" t="str">
        <v/>
      </c>
    </row>
    <row r="4649" spans="326:327">
      <c r="LN4649" t="str">
        <v/>
      </c>
      <c r="LO4649" t="str">
        <v/>
      </c>
    </row>
    <row r="4650" spans="326:327">
      <c r="LN4650" t="str">
        <v/>
      </c>
      <c r="LO4650" t="str">
        <v/>
      </c>
    </row>
    <row r="4651" spans="326:327">
      <c r="LN4651" t="str">
        <v/>
      </c>
      <c r="LO4651" t="str">
        <v/>
      </c>
    </row>
    <row r="4652" spans="326:327">
      <c r="LN4652" t="str">
        <v/>
      </c>
      <c r="LO4652" t="str">
        <v/>
      </c>
    </row>
    <row r="4653" spans="326:327">
      <c r="LN4653" t="str">
        <v/>
      </c>
      <c r="LO4653" t="str">
        <v/>
      </c>
    </row>
    <row r="4654" spans="326:327">
      <c r="LN4654" t="str">
        <v/>
      </c>
      <c r="LO4654" t="str">
        <v/>
      </c>
    </row>
    <row r="4655" spans="326:327">
      <c r="LN4655" t="str">
        <v/>
      </c>
      <c r="LO4655" t="str">
        <v/>
      </c>
    </row>
    <row r="4656" spans="326:327">
      <c r="LN4656" t="str">
        <v/>
      </c>
      <c r="LO4656" t="str">
        <v/>
      </c>
    </row>
    <row r="4657" spans="326:327">
      <c r="LN4657" t="str">
        <v/>
      </c>
      <c r="LO4657" t="str">
        <v/>
      </c>
    </row>
    <row r="4658" spans="326:327">
      <c r="LN4658" t="str">
        <v/>
      </c>
      <c r="LO4658" t="str">
        <v/>
      </c>
    </row>
    <row r="4659" spans="326:327">
      <c r="LN4659" t="str">
        <v/>
      </c>
      <c r="LO4659" t="str">
        <v/>
      </c>
    </row>
    <row r="4660" spans="326:327">
      <c r="LN4660" t="str">
        <v/>
      </c>
      <c r="LO4660" t="str">
        <v/>
      </c>
    </row>
    <row r="4661" spans="326:327">
      <c r="LN4661" t="str">
        <v/>
      </c>
      <c r="LO4661" t="str">
        <v/>
      </c>
    </row>
    <row r="4662" spans="326:327">
      <c r="LN4662" t="str">
        <v/>
      </c>
      <c r="LO4662" t="str">
        <v/>
      </c>
    </row>
    <row r="4663" spans="326:327">
      <c r="LN4663" t="str">
        <v/>
      </c>
      <c r="LO4663" t="str">
        <v/>
      </c>
    </row>
    <row r="4664" spans="326:327">
      <c r="LN4664" t="str">
        <v/>
      </c>
      <c r="LO4664" t="str">
        <v/>
      </c>
    </row>
    <row r="4665" spans="326:327">
      <c r="LN4665" t="str">
        <v/>
      </c>
      <c r="LO4665" t="str">
        <v/>
      </c>
    </row>
    <row r="4666" spans="326:327">
      <c r="LN4666" t="str">
        <v/>
      </c>
      <c r="LO4666" t="str">
        <v/>
      </c>
    </row>
    <row r="4667" spans="326:327">
      <c r="LN4667" t="str">
        <v/>
      </c>
      <c r="LO4667" t="str">
        <v/>
      </c>
    </row>
    <row r="4668" spans="326:327">
      <c r="LN4668" t="str">
        <v/>
      </c>
      <c r="LO4668" t="str">
        <v/>
      </c>
    </row>
    <row r="4669" spans="326:327">
      <c r="LN4669" t="str">
        <v/>
      </c>
      <c r="LO4669" t="str">
        <v/>
      </c>
    </row>
    <row r="4670" spans="326:327">
      <c r="LN4670" t="str">
        <v/>
      </c>
      <c r="LO4670" t="str">
        <v/>
      </c>
    </row>
    <row r="4671" spans="326:327">
      <c r="LN4671" t="str">
        <v/>
      </c>
      <c r="LO4671" t="str">
        <v/>
      </c>
    </row>
    <row r="4672" spans="326:327">
      <c r="LN4672" t="str">
        <v/>
      </c>
      <c r="LO4672" t="str">
        <v/>
      </c>
    </row>
    <row r="4673" spans="326:327">
      <c r="LN4673" t="str">
        <v/>
      </c>
      <c r="LO4673" t="str">
        <v/>
      </c>
    </row>
    <row r="4674" spans="326:327">
      <c r="LN4674" t="str">
        <v/>
      </c>
      <c r="LO4674" t="str">
        <v/>
      </c>
    </row>
    <row r="4675" spans="326:327">
      <c r="LN4675" t="str">
        <v/>
      </c>
      <c r="LO4675" t="str">
        <v/>
      </c>
    </row>
    <row r="4676" spans="326:327">
      <c r="LN4676" t="str">
        <v/>
      </c>
      <c r="LO4676" t="str">
        <v/>
      </c>
    </row>
    <row r="4677" spans="326:327">
      <c r="LN4677" t="str">
        <v/>
      </c>
      <c r="LO4677" t="str">
        <v/>
      </c>
    </row>
    <row r="4678" spans="326:327">
      <c r="LN4678" t="str">
        <v/>
      </c>
      <c r="LO4678" t="str">
        <v/>
      </c>
    </row>
    <row r="4679" spans="326:327">
      <c r="LN4679" t="str">
        <v/>
      </c>
      <c r="LO4679" t="str">
        <v/>
      </c>
    </row>
    <row r="4680" spans="326:327">
      <c r="LN4680" t="str">
        <v/>
      </c>
      <c r="LO4680" t="str">
        <v/>
      </c>
    </row>
    <row r="4681" spans="326:327">
      <c r="LN4681" t="str">
        <v/>
      </c>
      <c r="LO4681" t="str">
        <v/>
      </c>
    </row>
    <row r="4682" spans="326:327">
      <c r="LN4682" t="str">
        <v/>
      </c>
      <c r="LO4682" t="str">
        <v/>
      </c>
    </row>
    <row r="4683" spans="326:327">
      <c r="LN4683" t="str">
        <v/>
      </c>
      <c r="LO4683" t="str">
        <v/>
      </c>
    </row>
    <row r="4684" spans="326:327">
      <c r="LN4684" t="str">
        <v/>
      </c>
      <c r="LO4684" t="str">
        <v/>
      </c>
    </row>
    <row r="4685" spans="326:327">
      <c r="LN4685" t="str">
        <v/>
      </c>
      <c r="LO4685" t="str">
        <v/>
      </c>
    </row>
    <row r="4686" spans="326:327">
      <c r="LN4686" t="str">
        <v/>
      </c>
      <c r="LO4686" t="str">
        <v/>
      </c>
    </row>
    <row r="4687" spans="326:327">
      <c r="LN4687" t="str">
        <v/>
      </c>
      <c r="LO4687" t="str">
        <v/>
      </c>
    </row>
    <row r="4688" spans="326:327">
      <c r="LN4688" t="str">
        <v/>
      </c>
      <c r="LO4688" t="str">
        <v/>
      </c>
    </row>
    <row r="4689" spans="326:327">
      <c r="LN4689" t="str">
        <v/>
      </c>
      <c r="LO4689" t="str">
        <v/>
      </c>
    </row>
    <row r="4690" spans="326:327">
      <c r="LN4690" t="str">
        <v/>
      </c>
      <c r="LO4690" t="str">
        <v/>
      </c>
    </row>
    <row r="4691" spans="326:327">
      <c r="LN4691" t="str">
        <v/>
      </c>
      <c r="LO4691" t="str">
        <v/>
      </c>
    </row>
    <row r="4692" spans="326:327">
      <c r="LN4692" t="str">
        <v/>
      </c>
      <c r="LO4692" t="str">
        <v/>
      </c>
    </row>
    <row r="4693" spans="326:327">
      <c r="LN4693" t="str">
        <v/>
      </c>
      <c r="LO4693" t="str">
        <v/>
      </c>
    </row>
    <row r="4694" spans="326:327">
      <c r="LN4694" t="str">
        <v/>
      </c>
      <c r="LO4694" t="str">
        <v/>
      </c>
    </row>
    <row r="4695" spans="326:327">
      <c r="LN4695" t="str">
        <v/>
      </c>
      <c r="LO4695" t="str">
        <v/>
      </c>
    </row>
    <row r="4696" spans="326:327">
      <c r="LN4696" t="str">
        <v/>
      </c>
      <c r="LO4696" t="str">
        <v/>
      </c>
    </row>
    <row r="4697" spans="326:327">
      <c r="LN4697" t="str">
        <v/>
      </c>
      <c r="LO4697" t="str">
        <v/>
      </c>
    </row>
    <row r="4698" spans="326:327">
      <c r="LN4698" t="str">
        <v/>
      </c>
      <c r="LO4698" t="str">
        <v/>
      </c>
    </row>
    <row r="4699" spans="326:327">
      <c r="LN4699" t="str">
        <v/>
      </c>
      <c r="LO4699" t="str">
        <v/>
      </c>
    </row>
    <row r="4700" spans="326:327">
      <c r="LN4700" t="str">
        <v/>
      </c>
      <c r="LO4700" t="str">
        <v/>
      </c>
    </row>
    <row r="4701" spans="326:327">
      <c r="LN4701" t="str">
        <v/>
      </c>
      <c r="LO4701" t="str">
        <v/>
      </c>
    </row>
    <row r="4702" spans="326:327">
      <c r="LN4702" t="str">
        <v/>
      </c>
      <c r="LO4702" t="str">
        <v/>
      </c>
    </row>
    <row r="4703" spans="326:327">
      <c r="LN4703" t="str">
        <v/>
      </c>
      <c r="LO4703" t="str">
        <v/>
      </c>
    </row>
    <row r="4704" spans="326:327">
      <c r="LN4704" t="str">
        <v/>
      </c>
      <c r="LO4704" t="str">
        <v/>
      </c>
    </row>
    <row r="4705" spans="326:327">
      <c r="LN4705" t="str">
        <v/>
      </c>
      <c r="LO4705" t="str">
        <v/>
      </c>
    </row>
    <row r="4706" spans="326:327">
      <c r="LN4706" t="str">
        <v/>
      </c>
      <c r="LO4706" t="str">
        <v/>
      </c>
    </row>
    <row r="4707" spans="326:327">
      <c r="LN4707" t="str">
        <v/>
      </c>
      <c r="LO4707" t="str">
        <v/>
      </c>
    </row>
    <row r="4708" spans="326:327">
      <c r="LN4708" t="str">
        <v/>
      </c>
      <c r="LO4708" t="str">
        <v/>
      </c>
    </row>
    <row r="4709" spans="326:327">
      <c r="LN4709" t="str">
        <v/>
      </c>
      <c r="LO4709" t="str">
        <v/>
      </c>
    </row>
    <row r="4710" spans="326:327">
      <c r="LN4710" t="str">
        <v/>
      </c>
      <c r="LO4710" t="str">
        <v/>
      </c>
    </row>
    <row r="4711" spans="326:327">
      <c r="LN4711" t="str">
        <v/>
      </c>
      <c r="LO4711" t="str">
        <v/>
      </c>
    </row>
    <row r="4712" spans="326:327">
      <c r="LN4712" t="str">
        <v/>
      </c>
      <c r="LO4712" t="str">
        <v/>
      </c>
    </row>
    <row r="4713" spans="326:327">
      <c r="LN4713" t="str">
        <v/>
      </c>
      <c r="LO4713" t="str">
        <v/>
      </c>
    </row>
    <row r="4714" spans="326:327">
      <c r="LN4714" t="str">
        <v/>
      </c>
      <c r="LO4714" t="str">
        <v/>
      </c>
    </row>
    <row r="4715" spans="326:327">
      <c r="LN4715" t="str">
        <v/>
      </c>
      <c r="LO4715" t="str">
        <v/>
      </c>
    </row>
    <row r="4716" spans="326:327">
      <c r="LN4716" t="str">
        <v/>
      </c>
      <c r="LO4716" t="str">
        <v/>
      </c>
    </row>
    <row r="4717" spans="326:327">
      <c r="LN4717" t="str">
        <v/>
      </c>
      <c r="LO4717" t="str">
        <v/>
      </c>
    </row>
    <row r="4718" spans="326:327">
      <c r="LN4718" t="str">
        <v/>
      </c>
      <c r="LO4718" t="str">
        <v/>
      </c>
    </row>
    <row r="4719" spans="326:327">
      <c r="LN4719" t="str">
        <v/>
      </c>
      <c r="LO4719" t="str">
        <v/>
      </c>
    </row>
    <row r="4720" spans="326:327">
      <c r="LN4720" t="str">
        <v/>
      </c>
      <c r="LO4720" t="str">
        <v/>
      </c>
    </row>
    <row r="4721" spans="326:327">
      <c r="LN4721" t="str">
        <v/>
      </c>
      <c r="LO4721" t="str">
        <v/>
      </c>
    </row>
    <row r="4722" spans="326:327">
      <c r="LN4722" t="str">
        <v/>
      </c>
      <c r="LO4722" t="str">
        <v/>
      </c>
    </row>
    <row r="4723" spans="326:327">
      <c r="LN4723" t="str">
        <v/>
      </c>
      <c r="LO4723" t="str">
        <v/>
      </c>
    </row>
    <row r="4724" spans="326:327">
      <c r="LN4724" t="str">
        <v/>
      </c>
      <c r="LO4724" t="str">
        <v/>
      </c>
    </row>
    <row r="4725" spans="326:327">
      <c r="LN4725" t="str">
        <v/>
      </c>
      <c r="LO4725" t="str">
        <v/>
      </c>
    </row>
    <row r="4726" spans="326:327">
      <c r="LN4726" t="str">
        <v/>
      </c>
      <c r="LO4726" t="str">
        <v/>
      </c>
    </row>
    <row r="4727" spans="326:327">
      <c r="LN4727" t="str">
        <v/>
      </c>
      <c r="LO4727" t="str">
        <v/>
      </c>
    </row>
    <row r="4728" spans="326:327">
      <c r="LN4728" t="str">
        <v/>
      </c>
      <c r="LO4728" t="str">
        <v/>
      </c>
    </row>
    <row r="4729" spans="326:327">
      <c r="LN4729" t="str">
        <v/>
      </c>
      <c r="LO4729" t="str">
        <v/>
      </c>
    </row>
    <row r="4730" spans="326:327">
      <c r="LN4730" t="str">
        <v/>
      </c>
      <c r="LO4730" t="str">
        <v/>
      </c>
    </row>
    <row r="4731" spans="326:327">
      <c r="LN4731" t="str">
        <v/>
      </c>
      <c r="LO4731" t="str">
        <v/>
      </c>
    </row>
    <row r="4732" spans="326:327">
      <c r="LN4732" t="str">
        <v/>
      </c>
      <c r="LO4732" t="str">
        <v/>
      </c>
    </row>
    <row r="4733" spans="326:327">
      <c r="LN4733" t="str">
        <v/>
      </c>
      <c r="LO4733" t="str">
        <v/>
      </c>
    </row>
    <row r="4734" spans="326:327">
      <c r="LN4734" t="str">
        <v/>
      </c>
      <c r="LO4734" t="str">
        <v/>
      </c>
    </row>
    <row r="4735" spans="326:327">
      <c r="LN4735" t="str">
        <v/>
      </c>
      <c r="LO4735" t="str">
        <v/>
      </c>
    </row>
    <row r="4736" spans="326:327">
      <c r="LN4736" t="str">
        <v/>
      </c>
      <c r="LO4736" t="str">
        <v/>
      </c>
    </row>
    <row r="4737" spans="326:327">
      <c r="LN4737" t="str">
        <v/>
      </c>
      <c r="LO4737" t="str">
        <v/>
      </c>
    </row>
    <row r="4738" spans="326:327">
      <c r="LN4738" t="str">
        <v/>
      </c>
      <c r="LO4738" t="str">
        <v/>
      </c>
    </row>
    <row r="4739" spans="326:327">
      <c r="LN4739" t="str">
        <v/>
      </c>
      <c r="LO4739" t="str">
        <v/>
      </c>
    </row>
    <row r="4740" spans="326:327">
      <c r="LN4740" t="str">
        <v/>
      </c>
      <c r="LO4740" t="str">
        <v/>
      </c>
    </row>
    <row r="4741" spans="326:327">
      <c r="LN4741" t="str">
        <v/>
      </c>
      <c r="LO4741" t="str">
        <v/>
      </c>
    </row>
    <row r="4742" spans="326:327">
      <c r="LN4742" t="str">
        <v/>
      </c>
      <c r="LO4742" t="str">
        <v/>
      </c>
    </row>
    <row r="4743" spans="326:327">
      <c r="LN4743" t="str">
        <v/>
      </c>
      <c r="LO4743" t="str">
        <v/>
      </c>
    </row>
    <row r="4744" spans="326:327">
      <c r="LN4744" t="str">
        <v/>
      </c>
      <c r="LO4744" t="str">
        <v/>
      </c>
    </row>
    <row r="4745" spans="326:327">
      <c r="LN4745" t="str">
        <v/>
      </c>
      <c r="LO4745" t="str">
        <v/>
      </c>
    </row>
    <row r="4746" spans="326:327">
      <c r="LN4746" t="str">
        <v/>
      </c>
      <c r="LO4746" t="str">
        <v/>
      </c>
    </row>
    <row r="4747" spans="326:327">
      <c r="LN4747" t="str">
        <v/>
      </c>
      <c r="LO4747" t="str">
        <v/>
      </c>
    </row>
    <row r="4748" spans="326:327">
      <c r="LN4748" t="str">
        <v/>
      </c>
      <c r="LO4748" t="str">
        <v/>
      </c>
    </row>
    <row r="4749" spans="326:327">
      <c r="LN4749" t="str">
        <v/>
      </c>
      <c r="LO4749" t="str">
        <v/>
      </c>
    </row>
    <row r="4750" spans="326:327">
      <c r="LN4750" t="str">
        <v/>
      </c>
      <c r="LO4750" t="str">
        <v/>
      </c>
    </row>
    <row r="4751" spans="326:327">
      <c r="LN4751" t="str">
        <v/>
      </c>
      <c r="LO4751" t="str">
        <v/>
      </c>
    </row>
    <row r="4752" spans="326:327">
      <c r="LN4752" t="str">
        <v/>
      </c>
      <c r="LO4752" t="str">
        <v/>
      </c>
    </row>
    <row r="4753" spans="326:327">
      <c r="LN4753" t="str">
        <v/>
      </c>
      <c r="LO4753" t="str">
        <v/>
      </c>
    </row>
    <row r="4754" spans="326:327">
      <c r="LN4754" t="str">
        <v/>
      </c>
      <c r="LO4754" t="str">
        <v/>
      </c>
    </row>
    <row r="4755" spans="326:327">
      <c r="LN4755" t="str">
        <v/>
      </c>
      <c r="LO4755" t="str">
        <v/>
      </c>
    </row>
    <row r="4756" spans="326:327">
      <c r="LN4756" t="str">
        <v/>
      </c>
      <c r="LO4756" t="str">
        <v/>
      </c>
    </row>
    <row r="4757" spans="326:327">
      <c r="LN4757" t="str">
        <v/>
      </c>
      <c r="LO4757" t="str">
        <v/>
      </c>
    </row>
    <row r="4758" spans="326:327">
      <c r="LN4758" t="str">
        <v/>
      </c>
      <c r="LO4758" t="str">
        <v/>
      </c>
    </row>
    <row r="4759" spans="326:327">
      <c r="LN4759" t="str">
        <v/>
      </c>
      <c r="LO4759" t="str">
        <v/>
      </c>
    </row>
    <row r="4760" spans="326:327">
      <c r="LN4760" t="str">
        <v/>
      </c>
      <c r="LO4760" t="str">
        <v/>
      </c>
    </row>
    <row r="4761" spans="326:327">
      <c r="LN4761" t="str">
        <v/>
      </c>
      <c r="LO4761" t="str">
        <v/>
      </c>
    </row>
    <row r="4762" spans="326:327">
      <c r="LN4762" t="str">
        <v/>
      </c>
      <c r="LO4762" t="str">
        <v/>
      </c>
    </row>
    <row r="4763" spans="326:327">
      <c r="LN4763" t="str">
        <v/>
      </c>
      <c r="LO4763" t="str">
        <v/>
      </c>
    </row>
    <row r="4764" spans="326:327">
      <c r="LN4764" t="str">
        <v/>
      </c>
      <c r="LO4764" t="str">
        <v/>
      </c>
    </row>
    <row r="4765" spans="326:327">
      <c r="LN4765" t="str">
        <v/>
      </c>
      <c r="LO4765" t="str">
        <v/>
      </c>
    </row>
    <row r="4766" spans="326:327">
      <c r="LN4766" t="str">
        <v/>
      </c>
      <c r="LO4766" t="str">
        <v/>
      </c>
    </row>
    <row r="4767" spans="326:327">
      <c r="LN4767" t="str">
        <v/>
      </c>
      <c r="LO4767" t="str">
        <v/>
      </c>
    </row>
    <row r="4768" spans="326:327">
      <c r="LN4768" t="str">
        <v/>
      </c>
      <c r="LO4768" t="str">
        <v/>
      </c>
    </row>
    <row r="4769" spans="326:327">
      <c r="LN4769" t="str">
        <v/>
      </c>
      <c r="LO4769" t="str">
        <v/>
      </c>
    </row>
    <row r="4770" spans="326:327">
      <c r="LN4770" t="str">
        <v/>
      </c>
      <c r="LO4770" t="str">
        <v/>
      </c>
    </row>
    <row r="4771" spans="326:327">
      <c r="LN4771" t="str">
        <v/>
      </c>
      <c r="LO4771" t="str">
        <v/>
      </c>
    </row>
    <row r="4772" spans="326:327">
      <c r="LN4772" t="str">
        <v/>
      </c>
      <c r="LO4772" t="str">
        <v/>
      </c>
    </row>
    <row r="4773" spans="326:327">
      <c r="LN4773" t="str">
        <v/>
      </c>
      <c r="LO4773" t="str">
        <v/>
      </c>
    </row>
    <row r="4774" spans="326:327">
      <c r="LN4774" t="str">
        <v/>
      </c>
      <c r="LO4774" t="str">
        <v/>
      </c>
    </row>
    <row r="4775" spans="326:327">
      <c r="LN4775" t="str">
        <v/>
      </c>
      <c r="LO4775" t="str">
        <v/>
      </c>
    </row>
    <row r="4776" spans="326:327">
      <c r="LN4776" t="str">
        <v/>
      </c>
      <c r="LO4776" t="str">
        <v/>
      </c>
    </row>
    <row r="4777" spans="326:327">
      <c r="LN4777" t="str">
        <v/>
      </c>
      <c r="LO4777" t="str">
        <v/>
      </c>
    </row>
    <row r="4778" spans="326:327">
      <c r="LN4778" t="str">
        <v/>
      </c>
      <c r="LO4778" t="str">
        <v/>
      </c>
    </row>
    <row r="4779" spans="326:327">
      <c r="LN4779" t="str">
        <v/>
      </c>
      <c r="LO4779" t="str">
        <v/>
      </c>
    </row>
    <row r="4780" spans="326:327">
      <c r="LN4780" t="str">
        <v/>
      </c>
      <c r="LO4780" t="str">
        <v/>
      </c>
    </row>
    <row r="4781" spans="326:327">
      <c r="LN4781" t="str">
        <v/>
      </c>
      <c r="LO4781" t="str">
        <v/>
      </c>
    </row>
    <row r="4782" spans="326:327">
      <c r="LN4782" t="str">
        <v/>
      </c>
      <c r="LO4782" t="str">
        <v/>
      </c>
    </row>
    <row r="4783" spans="326:327">
      <c r="LN4783" t="str">
        <v/>
      </c>
      <c r="LO4783" t="str">
        <v/>
      </c>
    </row>
    <row r="4784" spans="326:327">
      <c r="LN4784" t="str">
        <v/>
      </c>
      <c r="LO4784" t="str">
        <v/>
      </c>
    </row>
    <row r="4785" spans="326:327">
      <c r="LN4785" t="str">
        <v/>
      </c>
      <c r="LO4785" t="str">
        <v/>
      </c>
    </row>
    <row r="4786" spans="326:327">
      <c r="LN4786" t="str">
        <v/>
      </c>
      <c r="LO4786" t="str">
        <v/>
      </c>
    </row>
    <row r="4787" spans="326:327">
      <c r="LN4787" t="str">
        <v/>
      </c>
      <c r="LO4787" t="str">
        <v/>
      </c>
    </row>
    <row r="4788" spans="326:327">
      <c r="LN4788" t="str">
        <v/>
      </c>
      <c r="LO4788" t="str">
        <v/>
      </c>
    </row>
    <row r="4789" spans="326:327">
      <c r="LN4789" t="str">
        <v/>
      </c>
      <c r="LO4789" t="str">
        <v/>
      </c>
    </row>
    <row r="4790" spans="326:327">
      <c r="LN4790" t="str">
        <v/>
      </c>
      <c r="LO4790" t="str">
        <v/>
      </c>
    </row>
    <row r="4791" spans="326:327">
      <c r="LN4791" t="str">
        <v/>
      </c>
      <c r="LO4791" t="str">
        <v/>
      </c>
    </row>
    <row r="4792" spans="326:327">
      <c r="LN4792" t="str">
        <v/>
      </c>
      <c r="LO4792" t="str">
        <v/>
      </c>
    </row>
    <row r="4793" spans="326:327">
      <c r="LN4793" t="str">
        <v/>
      </c>
      <c r="LO4793" t="str">
        <v/>
      </c>
    </row>
    <row r="4794" spans="326:327">
      <c r="LN4794" t="str">
        <v/>
      </c>
      <c r="LO4794" t="str">
        <v/>
      </c>
    </row>
    <row r="4795" spans="326:327">
      <c r="LN4795" t="str">
        <v/>
      </c>
      <c r="LO4795" t="str">
        <v/>
      </c>
    </row>
    <row r="4796" spans="326:327">
      <c r="LN4796" t="str">
        <v/>
      </c>
      <c r="LO4796" t="str">
        <v/>
      </c>
    </row>
    <row r="4797" spans="326:327">
      <c r="LN4797" t="str">
        <v/>
      </c>
      <c r="LO4797" t="str">
        <v/>
      </c>
    </row>
    <row r="4798" spans="326:327">
      <c r="LN4798" t="str">
        <v/>
      </c>
      <c r="LO4798" t="str">
        <v/>
      </c>
    </row>
    <row r="4799" spans="326:327">
      <c r="LN4799" t="str">
        <v/>
      </c>
      <c r="LO4799" t="str">
        <v/>
      </c>
    </row>
    <row r="4800" spans="326:327">
      <c r="LN4800" t="str">
        <v/>
      </c>
      <c r="LO4800" t="str">
        <v/>
      </c>
    </row>
    <row r="4801" spans="326:327">
      <c r="LN4801" t="str">
        <v/>
      </c>
      <c r="LO4801" t="str">
        <v/>
      </c>
    </row>
    <row r="4802" spans="326:327">
      <c r="LN4802" t="str">
        <v/>
      </c>
      <c r="LO4802" t="str">
        <v/>
      </c>
    </row>
    <row r="4803" spans="326:327">
      <c r="LN4803" t="str">
        <v/>
      </c>
      <c r="LO4803" t="str">
        <v/>
      </c>
    </row>
    <row r="4804" spans="326:327">
      <c r="LN4804" t="str">
        <v/>
      </c>
      <c r="LO4804" t="str">
        <v/>
      </c>
    </row>
    <row r="4805" spans="326:327">
      <c r="LN4805" t="str">
        <v/>
      </c>
      <c r="LO4805" t="str">
        <v/>
      </c>
    </row>
    <row r="4806" spans="326:327">
      <c r="LN4806" t="str">
        <v/>
      </c>
      <c r="LO4806" t="str">
        <v/>
      </c>
    </row>
    <row r="4807" spans="326:327">
      <c r="LN4807" t="str">
        <v/>
      </c>
      <c r="LO4807" t="str">
        <v/>
      </c>
    </row>
    <row r="4808" spans="326:327">
      <c r="LN4808" t="str">
        <v/>
      </c>
      <c r="LO4808" t="str">
        <v/>
      </c>
    </row>
    <row r="4809" spans="326:327">
      <c r="LN4809" t="str">
        <v/>
      </c>
      <c r="LO4809" t="str">
        <v/>
      </c>
    </row>
    <row r="4810" spans="326:327">
      <c r="LN4810" t="str">
        <v/>
      </c>
      <c r="LO4810" t="str">
        <v/>
      </c>
    </row>
    <row r="4811" spans="326:327">
      <c r="LN4811" t="str">
        <v/>
      </c>
      <c r="LO4811" t="str">
        <v/>
      </c>
    </row>
    <row r="4812" spans="326:327">
      <c r="LN4812" t="str">
        <v/>
      </c>
      <c r="LO4812" t="str">
        <v/>
      </c>
    </row>
    <row r="4813" spans="326:327">
      <c r="LN4813" t="str">
        <v/>
      </c>
      <c r="LO4813" t="str">
        <v/>
      </c>
    </row>
    <row r="4814" spans="326:327">
      <c r="LN4814" t="str">
        <v/>
      </c>
      <c r="LO4814" t="str">
        <v/>
      </c>
    </row>
    <row r="4815" spans="326:327">
      <c r="LN4815" t="str">
        <v/>
      </c>
      <c r="LO4815" t="str">
        <v/>
      </c>
    </row>
    <row r="4816" spans="326:327">
      <c r="LN4816" t="str">
        <v/>
      </c>
      <c r="LO4816" t="str">
        <v/>
      </c>
    </row>
    <row r="4817" spans="326:327">
      <c r="LN4817" t="str">
        <v/>
      </c>
      <c r="LO4817" t="str">
        <v/>
      </c>
    </row>
    <row r="4818" spans="326:327">
      <c r="LN4818" t="str">
        <v/>
      </c>
      <c r="LO4818" t="str">
        <v/>
      </c>
    </row>
    <row r="4819" spans="326:327">
      <c r="LN4819" t="str">
        <v/>
      </c>
      <c r="LO4819" t="str">
        <v/>
      </c>
    </row>
    <row r="4820" spans="326:327">
      <c r="LN4820" t="str">
        <v/>
      </c>
      <c r="LO4820" t="str">
        <v/>
      </c>
    </row>
    <row r="4821" spans="326:327">
      <c r="LN4821" t="str">
        <v/>
      </c>
      <c r="LO4821" t="str">
        <v/>
      </c>
    </row>
    <row r="4822" spans="326:327">
      <c r="LN4822" t="str">
        <v/>
      </c>
      <c r="LO4822" t="str">
        <v/>
      </c>
    </row>
    <row r="4823" spans="326:327">
      <c r="LN4823" t="str">
        <v/>
      </c>
      <c r="LO4823" t="str">
        <v/>
      </c>
    </row>
    <row r="4824" spans="326:327">
      <c r="LN4824" t="str">
        <v/>
      </c>
      <c r="LO4824" t="str">
        <v/>
      </c>
    </row>
    <row r="4825" spans="326:327">
      <c r="LN4825" t="str">
        <v/>
      </c>
      <c r="LO4825" t="str">
        <v/>
      </c>
    </row>
    <row r="4826" spans="326:327">
      <c r="LN4826" t="str">
        <v/>
      </c>
      <c r="LO4826" t="str">
        <v/>
      </c>
    </row>
    <row r="4827" spans="326:327">
      <c r="LN4827" t="str">
        <v/>
      </c>
      <c r="LO4827" t="str">
        <v/>
      </c>
    </row>
    <row r="4828" spans="326:327">
      <c r="LN4828" t="str">
        <v/>
      </c>
      <c r="LO4828" t="str">
        <v/>
      </c>
    </row>
    <row r="4829" spans="326:327">
      <c r="LN4829" t="str">
        <v/>
      </c>
      <c r="LO4829" t="str">
        <v/>
      </c>
    </row>
    <row r="4830" spans="326:327">
      <c r="LN4830" t="str">
        <v/>
      </c>
      <c r="LO4830" t="str">
        <v/>
      </c>
    </row>
    <row r="4831" spans="326:327">
      <c r="LN4831" t="str">
        <v/>
      </c>
      <c r="LO4831" t="str">
        <v/>
      </c>
    </row>
    <row r="4832" spans="326:327">
      <c r="LN4832" t="str">
        <v/>
      </c>
      <c r="LO4832" t="str">
        <v/>
      </c>
    </row>
    <row r="4833" spans="326:327">
      <c r="LN4833" t="str">
        <v/>
      </c>
      <c r="LO4833" t="str">
        <v/>
      </c>
    </row>
    <row r="4834" spans="326:327">
      <c r="LN4834" t="str">
        <v/>
      </c>
      <c r="LO4834" t="str">
        <v/>
      </c>
    </row>
    <row r="4835" spans="326:327">
      <c r="LN4835" t="str">
        <v/>
      </c>
      <c r="LO4835" t="str">
        <v/>
      </c>
    </row>
    <row r="4836" spans="326:327">
      <c r="LN4836" t="str">
        <v/>
      </c>
      <c r="LO4836" t="str">
        <v/>
      </c>
    </row>
    <row r="4837" spans="326:327">
      <c r="LN4837" t="str">
        <v/>
      </c>
      <c r="LO4837" t="str">
        <v/>
      </c>
    </row>
    <row r="4838" spans="326:327">
      <c r="LN4838" t="str">
        <v/>
      </c>
      <c r="LO4838" t="str">
        <v/>
      </c>
    </row>
    <row r="4839" spans="326:327">
      <c r="LN4839" t="str">
        <v/>
      </c>
      <c r="LO4839" t="str">
        <v/>
      </c>
    </row>
    <row r="4840" spans="326:327">
      <c r="LN4840" t="str">
        <v/>
      </c>
      <c r="LO4840" t="str">
        <v/>
      </c>
    </row>
    <row r="4841" spans="326:327">
      <c r="LN4841" t="str">
        <v/>
      </c>
      <c r="LO4841" t="str">
        <v/>
      </c>
    </row>
    <row r="4842" spans="326:327">
      <c r="LN4842" t="str">
        <v/>
      </c>
      <c r="LO4842" t="str">
        <v/>
      </c>
    </row>
    <row r="4843" spans="326:327">
      <c r="LN4843" t="str">
        <v/>
      </c>
      <c r="LO4843" t="str">
        <v/>
      </c>
    </row>
    <row r="4844" spans="326:327">
      <c r="LN4844" t="str">
        <v/>
      </c>
      <c r="LO4844" t="str">
        <v/>
      </c>
    </row>
    <row r="4845" spans="326:327">
      <c r="LN4845" t="str">
        <v/>
      </c>
      <c r="LO4845" t="str">
        <v/>
      </c>
    </row>
    <row r="4846" spans="326:327">
      <c r="LN4846" t="str">
        <v/>
      </c>
      <c r="LO4846" t="str">
        <v/>
      </c>
    </row>
    <row r="4847" spans="326:327">
      <c r="LN4847" t="str">
        <v/>
      </c>
      <c r="LO4847" t="str">
        <v/>
      </c>
    </row>
    <row r="4848" spans="326:327">
      <c r="LN4848" t="str">
        <v/>
      </c>
      <c r="LO4848" t="str">
        <v/>
      </c>
    </row>
    <row r="4849" spans="326:327">
      <c r="LN4849" t="str">
        <v/>
      </c>
      <c r="LO4849" t="str">
        <v/>
      </c>
    </row>
    <row r="4850" spans="326:327">
      <c r="LN4850" t="str">
        <v/>
      </c>
      <c r="LO4850" t="str">
        <v/>
      </c>
    </row>
    <row r="4851" spans="326:327">
      <c r="LN4851" t="str">
        <v/>
      </c>
      <c r="LO4851" t="str">
        <v/>
      </c>
    </row>
    <row r="4852" spans="326:327">
      <c r="LN4852" t="str">
        <v/>
      </c>
      <c r="LO4852" t="str">
        <v/>
      </c>
    </row>
    <row r="4853" spans="326:327">
      <c r="LN4853" t="str">
        <v/>
      </c>
      <c r="LO4853" t="str">
        <v/>
      </c>
    </row>
    <row r="4854" spans="326:327">
      <c r="LN4854" t="str">
        <v/>
      </c>
      <c r="LO4854" t="str">
        <v/>
      </c>
    </row>
    <row r="4855" spans="326:327">
      <c r="LN4855" t="str">
        <v/>
      </c>
      <c r="LO4855" t="str">
        <v/>
      </c>
    </row>
    <row r="4856" spans="326:327">
      <c r="LN4856" t="str">
        <v/>
      </c>
      <c r="LO4856" t="str">
        <v/>
      </c>
    </row>
    <row r="4857" spans="326:327">
      <c r="LN4857" t="str">
        <v/>
      </c>
      <c r="LO4857" t="str">
        <v/>
      </c>
    </row>
    <row r="4858" spans="326:327">
      <c r="LN4858" t="str">
        <v/>
      </c>
      <c r="LO4858" t="str">
        <v/>
      </c>
    </row>
    <row r="4859" spans="326:327">
      <c r="LN4859" t="str">
        <v/>
      </c>
      <c r="LO4859" t="str">
        <v/>
      </c>
    </row>
    <row r="4860" spans="326:327">
      <c r="LN4860" t="str">
        <v/>
      </c>
      <c r="LO4860" t="str">
        <v/>
      </c>
    </row>
    <row r="4861" spans="326:327">
      <c r="LN4861" t="str">
        <v/>
      </c>
      <c r="LO4861" t="str">
        <v/>
      </c>
    </row>
    <row r="4862" spans="326:327">
      <c r="LN4862" t="str">
        <v/>
      </c>
      <c r="LO4862" t="str">
        <v/>
      </c>
    </row>
    <row r="4863" spans="326:327">
      <c r="LN4863" t="str">
        <v/>
      </c>
      <c r="LO4863" t="str">
        <v/>
      </c>
    </row>
    <row r="4864" spans="326:327">
      <c r="LN4864" t="str">
        <v/>
      </c>
      <c r="LO4864" t="str">
        <v/>
      </c>
    </row>
    <row r="4865" spans="326:327">
      <c r="LN4865" t="str">
        <v/>
      </c>
      <c r="LO4865" t="str">
        <v/>
      </c>
    </row>
    <row r="4866" spans="326:327">
      <c r="LN4866" t="str">
        <v/>
      </c>
      <c r="LO4866" t="str">
        <v/>
      </c>
    </row>
    <row r="4867" spans="326:327">
      <c r="LN4867" t="str">
        <v/>
      </c>
      <c r="LO4867" t="str">
        <v/>
      </c>
    </row>
    <row r="4868" spans="326:327">
      <c r="LN4868" t="str">
        <v/>
      </c>
      <c r="LO4868" t="str">
        <v/>
      </c>
    </row>
    <row r="4869" spans="326:327">
      <c r="LN4869" t="str">
        <v/>
      </c>
      <c r="LO4869" t="str">
        <v/>
      </c>
    </row>
    <row r="4870" spans="326:327">
      <c r="LN4870" t="str">
        <v/>
      </c>
      <c r="LO4870" t="str">
        <v/>
      </c>
    </row>
    <row r="4871" spans="326:327">
      <c r="LN4871" t="str">
        <v/>
      </c>
      <c r="LO4871" t="str">
        <v/>
      </c>
    </row>
    <row r="4872" spans="326:327">
      <c r="LN4872" t="str">
        <v/>
      </c>
      <c r="LO4872" t="str">
        <v/>
      </c>
    </row>
    <row r="4873" spans="326:327">
      <c r="LN4873" t="str">
        <v/>
      </c>
      <c r="LO4873" t="str">
        <v/>
      </c>
    </row>
    <row r="4874" spans="326:327">
      <c r="LN4874" t="str">
        <v/>
      </c>
      <c r="LO4874" t="str">
        <v/>
      </c>
    </row>
    <row r="4875" spans="326:327">
      <c r="LN4875" t="str">
        <v/>
      </c>
      <c r="LO4875" t="str">
        <v/>
      </c>
    </row>
    <row r="4876" spans="326:327">
      <c r="LN4876" t="str">
        <v/>
      </c>
      <c r="LO4876" t="str">
        <v/>
      </c>
    </row>
    <row r="4877" spans="326:327">
      <c r="LN4877" t="str">
        <v/>
      </c>
      <c r="LO4877" t="str">
        <v/>
      </c>
    </row>
    <row r="4878" spans="326:327">
      <c r="LN4878" t="str">
        <v/>
      </c>
      <c r="LO4878" t="str">
        <v/>
      </c>
    </row>
    <row r="4879" spans="326:327">
      <c r="LN4879" t="str">
        <v/>
      </c>
      <c r="LO4879" t="str">
        <v/>
      </c>
    </row>
    <row r="4880" spans="326:327">
      <c r="LN4880" t="str">
        <v/>
      </c>
      <c r="LO4880" t="str">
        <v/>
      </c>
    </row>
    <row r="4881" spans="326:327">
      <c r="LN4881" t="str">
        <v/>
      </c>
      <c r="LO4881" t="str">
        <v/>
      </c>
    </row>
    <row r="4882" spans="326:327">
      <c r="LN4882" t="str">
        <v/>
      </c>
      <c r="LO4882" t="str">
        <v/>
      </c>
    </row>
    <row r="4883" spans="326:327">
      <c r="LN4883" t="str">
        <v/>
      </c>
      <c r="LO4883" t="str">
        <v/>
      </c>
    </row>
    <row r="4884" spans="326:327">
      <c r="LN4884" t="str">
        <v/>
      </c>
      <c r="LO4884" t="str">
        <v/>
      </c>
    </row>
    <row r="4885" spans="326:327">
      <c r="LN4885" t="str">
        <v/>
      </c>
      <c r="LO4885" t="str">
        <v/>
      </c>
    </row>
    <row r="4886" spans="326:327">
      <c r="LN4886" t="str">
        <v/>
      </c>
      <c r="LO4886" t="str">
        <v/>
      </c>
    </row>
    <row r="4887" spans="326:327">
      <c r="LN4887" t="str">
        <v/>
      </c>
      <c r="LO4887" t="str">
        <v/>
      </c>
    </row>
    <row r="4888" spans="326:327">
      <c r="LN4888" t="str">
        <v/>
      </c>
      <c r="LO4888" t="str">
        <v/>
      </c>
    </row>
    <row r="4889" spans="326:327">
      <c r="LN4889" t="str">
        <v/>
      </c>
      <c r="LO4889" t="str">
        <v/>
      </c>
    </row>
    <row r="4890" spans="326:327">
      <c r="LN4890" t="str">
        <v/>
      </c>
      <c r="LO4890" t="str">
        <v/>
      </c>
    </row>
    <row r="4891" spans="326:327">
      <c r="LN4891" t="str">
        <v/>
      </c>
      <c r="LO4891" t="str">
        <v/>
      </c>
    </row>
    <row r="4892" spans="326:327">
      <c r="LN4892" t="str">
        <v/>
      </c>
      <c r="LO4892" t="str">
        <v/>
      </c>
    </row>
    <row r="4893" spans="326:327">
      <c r="LN4893" t="str">
        <v/>
      </c>
      <c r="LO4893" t="str">
        <v/>
      </c>
    </row>
    <row r="4894" spans="326:327">
      <c r="LN4894" t="str">
        <v/>
      </c>
      <c r="LO4894" t="str">
        <v/>
      </c>
    </row>
    <row r="4895" spans="326:327">
      <c r="LN4895" t="str">
        <v/>
      </c>
      <c r="LO4895" t="str">
        <v/>
      </c>
    </row>
    <row r="4896" spans="326:327">
      <c r="LN4896" t="str">
        <v/>
      </c>
      <c r="LO4896" t="str">
        <v/>
      </c>
    </row>
    <row r="4897" spans="326:327">
      <c r="LN4897" t="str">
        <v/>
      </c>
      <c r="LO4897" t="str">
        <v/>
      </c>
    </row>
    <row r="4898" spans="326:327">
      <c r="LN4898" t="str">
        <v/>
      </c>
      <c r="LO4898" t="str">
        <v/>
      </c>
    </row>
    <row r="4899" spans="326:327">
      <c r="LN4899" t="str">
        <v/>
      </c>
      <c r="LO4899" t="str">
        <v/>
      </c>
    </row>
    <row r="4900" spans="326:327">
      <c r="LN4900" t="str">
        <v/>
      </c>
      <c r="LO4900" t="str">
        <v/>
      </c>
    </row>
    <row r="4901" spans="326:327">
      <c r="LN4901" t="str">
        <v/>
      </c>
      <c r="LO4901" t="str">
        <v/>
      </c>
    </row>
    <row r="4902" spans="326:327">
      <c r="LN4902" t="str">
        <v/>
      </c>
      <c r="LO4902" t="str">
        <v/>
      </c>
    </row>
    <row r="4903" spans="326:327">
      <c r="LN4903" t="str">
        <v/>
      </c>
      <c r="LO4903" t="str">
        <v/>
      </c>
    </row>
    <row r="4904" spans="326:327">
      <c r="LN4904" t="str">
        <v/>
      </c>
      <c r="LO4904" t="str">
        <v/>
      </c>
    </row>
    <row r="4905" spans="326:327">
      <c r="LN4905" t="str">
        <v/>
      </c>
      <c r="LO4905" t="str">
        <v/>
      </c>
    </row>
    <row r="4906" spans="326:327">
      <c r="LN4906" t="str">
        <v/>
      </c>
      <c r="LO4906" t="str">
        <v/>
      </c>
    </row>
    <row r="4907" spans="326:327">
      <c r="LN4907" t="str">
        <v/>
      </c>
      <c r="LO4907" t="str">
        <v/>
      </c>
    </row>
    <row r="4908" spans="326:327">
      <c r="LN4908" t="str">
        <v/>
      </c>
      <c r="LO4908" t="str">
        <v/>
      </c>
    </row>
    <row r="4909" spans="326:327">
      <c r="LN4909" t="str">
        <v/>
      </c>
      <c r="LO4909" t="str">
        <v/>
      </c>
    </row>
    <row r="4910" spans="326:327">
      <c r="LN4910" t="str">
        <v/>
      </c>
      <c r="LO4910" t="str">
        <v/>
      </c>
    </row>
    <row r="4911" spans="326:327">
      <c r="LN4911" t="str">
        <v/>
      </c>
      <c r="LO4911" t="str">
        <v/>
      </c>
    </row>
    <row r="4912" spans="326:327">
      <c r="LN4912" t="str">
        <v/>
      </c>
      <c r="LO4912" t="str">
        <v/>
      </c>
    </row>
    <row r="4913" spans="326:327">
      <c r="LN4913" t="str">
        <v/>
      </c>
      <c r="LO4913" t="str">
        <v/>
      </c>
    </row>
    <row r="4914" spans="326:327">
      <c r="LN4914" t="str">
        <v/>
      </c>
      <c r="LO4914" t="str">
        <v/>
      </c>
    </row>
    <row r="4915" spans="326:327">
      <c r="LN4915" t="str">
        <v/>
      </c>
      <c r="LO4915" t="str">
        <v/>
      </c>
    </row>
    <row r="4916" spans="326:327">
      <c r="LN4916" t="str">
        <v/>
      </c>
      <c r="LO4916" t="str">
        <v/>
      </c>
    </row>
    <row r="4917" spans="326:327">
      <c r="LN4917" t="str">
        <v/>
      </c>
      <c r="LO4917" t="str">
        <v/>
      </c>
    </row>
    <row r="4918" spans="326:327">
      <c r="LN4918" t="str">
        <v/>
      </c>
      <c r="LO4918" t="str">
        <v/>
      </c>
    </row>
    <row r="4919" spans="326:327">
      <c r="LN4919" t="str">
        <v/>
      </c>
      <c r="LO4919" t="str">
        <v/>
      </c>
    </row>
    <row r="4920" spans="326:327">
      <c r="LN4920" t="str">
        <v/>
      </c>
      <c r="LO4920" t="str">
        <v/>
      </c>
    </row>
    <row r="4921" spans="326:327">
      <c r="LN4921" t="str">
        <v/>
      </c>
      <c r="LO4921" t="str">
        <v/>
      </c>
    </row>
    <row r="4922" spans="326:327">
      <c r="LN4922" t="str">
        <v/>
      </c>
      <c r="LO4922" t="str">
        <v/>
      </c>
    </row>
    <row r="4923" spans="326:327">
      <c r="LN4923" t="str">
        <v/>
      </c>
      <c r="LO4923" t="str">
        <v/>
      </c>
    </row>
    <row r="4924" spans="326:327">
      <c r="LN4924" t="str">
        <v/>
      </c>
      <c r="LO4924" t="str">
        <v/>
      </c>
    </row>
    <row r="4925" spans="326:327">
      <c r="LN4925" t="str">
        <v/>
      </c>
      <c r="LO4925" t="str">
        <v/>
      </c>
    </row>
    <row r="4926" spans="326:327">
      <c r="LN4926" t="str">
        <v/>
      </c>
      <c r="LO4926" t="str">
        <v/>
      </c>
    </row>
    <row r="4927" spans="326:327">
      <c r="LN4927" t="str">
        <v/>
      </c>
      <c r="LO4927" t="str">
        <v/>
      </c>
    </row>
    <row r="4928" spans="326:327">
      <c r="LN4928" t="str">
        <v/>
      </c>
      <c r="LO4928" t="str">
        <v/>
      </c>
    </row>
    <row r="4929" spans="326:327">
      <c r="LN4929" t="str">
        <v/>
      </c>
      <c r="LO4929" t="str">
        <v/>
      </c>
    </row>
    <row r="4930" spans="326:327">
      <c r="LN4930" t="str">
        <v/>
      </c>
      <c r="LO4930" t="str">
        <v/>
      </c>
    </row>
    <row r="4931" spans="326:327">
      <c r="LN4931" t="str">
        <v/>
      </c>
      <c r="LO4931" t="str">
        <v/>
      </c>
    </row>
    <row r="4932" spans="326:327">
      <c r="LN4932" t="str">
        <v/>
      </c>
      <c r="LO4932" t="str">
        <v/>
      </c>
    </row>
    <row r="4933" spans="326:327">
      <c r="LN4933" t="str">
        <v/>
      </c>
      <c r="LO4933" t="str">
        <v/>
      </c>
    </row>
    <row r="4934" spans="326:327">
      <c r="LN4934" t="str">
        <v/>
      </c>
      <c r="LO4934" t="str">
        <v/>
      </c>
    </row>
    <row r="4935" spans="326:327">
      <c r="LN4935" t="str">
        <v/>
      </c>
      <c r="LO4935" t="str">
        <v/>
      </c>
    </row>
    <row r="4936" spans="326:327">
      <c r="LN4936" t="str">
        <v/>
      </c>
      <c r="LO4936" t="str">
        <v/>
      </c>
    </row>
    <row r="4937" spans="326:327">
      <c r="LN4937" t="str">
        <v/>
      </c>
      <c r="LO4937" t="str">
        <v/>
      </c>
    </row>
    <row r="4938" spans="326:327">
      <c r="LN4938" t="str">
        <v/>
      </c>
      <c r="LO4938" t="str">
        <v/>
      </c>
    </row>
    <row r="4939" spans="326:327">
      <c r="LN4939" t="str">
        <v/>
      </c>
      <c r="LO4939" t="str">
        <v/>
      </c>
    </row>
    <row r="4940" spans="326:327">
      <c r="LN4940" t="str">
        <v/>
      </c>
      <c r="LO4940" t="str">
        <v/>
      </c>
    </row>
    <row r="4941" spans="326:327">
      <c r="LN4941" t="str">
        <v/>
      </c>
      <c r="LO4941" t="str">
        <v/>
      </c>
    </row>
    <row r="4942" spans="326:327">
      <c r="LN4942" t="str">
        <v/>
      </c>
      <c r="LO4942" t="str">
        <v/>
      </c>
    </row>
    <row r="4943" spans="326:327">
      <c r="LN4943" t="str">
        <v/>
      </c>
      <c r="LO4943" t="str">
        <v/>
      </c>
    </row>
    <row r="4944" spans="326:327">
      <c r="LN4944" t="str">
        <v/>
      </c>
      <c r="LO4944" t="str">
        <v/>
      </c>
    </row>
    <row r="4945" spans="326:327">
      <c r="LN4945" t="str">
        <v/>
      </c>
      <c r="LO4945" t="str">
        <v/>
      </c>
    </row>
    <row r="4946" spans="326:327">
      <c r="LN4946" t="str">
        <v/>
      </c>
      <c r="LO4946" t="str">
        <v/>
      </c>
    </row>
    <row r="4947" spans="326:327">
      <c r="LN4947" t="str">
        <v/>
      </c>
      <c r="LO4947" t="str">
        <v/>
      </c>
    </row>
    <row r="4948" spans="326:327">
      <c r="LN4948" t="str">
        <v/>
      </c>
      <c r="LO4948" t="str">
        <v/>
      </c>
    </row>
    <row r="4949" spans="326:327">
      <c r="LN4949" t="str">
        <v/>
      </c>
      <c r="LO4949" t="str">
        <v/>
      </c>
    </row>
    <row r="4950" spans="326:327">
      <c r="LN4950" t="str">
        <v/>
      </c>
      <c r="LO4950" t="str">
        <v/>
      </c>
    </row>
    <row r="4951" spans="326:327">
      <c r="LN4951" t="str">
        <v/>
      </c>
      <c r="LO4951" t="str">
        <v/>
      </c>
    </row>
    <row r="4952" spans="326:327">
      <c r="LN4952" t="str">
        <v/>
      </c>
      <c r="LO4952" t="str">
        <v/>
      </c>
    </row>
    <row r="4953" spans="326:327">
      <c r="LN4953" t="str">
        <v/>
      </c>
      <c r="LO4953" t="str">
        <v/>
      </c>
    </row>
    <row r="4954" spans="326:327">
      <c r="LN4954" t="str">
        <v/>
      </c>
      <c r="LO4954" t="str">
        <v/>
      </c>
    </row>
    <row r="4955" spans="326:327">
      <c r="LN4955" t="str">
        <v/>
      </c>
      <c r="LO4955" t="str">
        <v/>
      </c>
    </row>
    <row r="4956" spans="326:327">
      <c r="LN4956" t="str">
        <v/>
      </c>
      <c r="LO4956" t="str">
        <v/>
      </c>
    </row>
    <row r="4957" spans="326:327">
      <c r="LN4957" t="str">
        <v/>
      </c>
      <c r="LO4957" t="str">
        <v/>
      </c>
    </row>
    <row r="4958" spans="326:327">
      <c r="LN4958" t="str">
        <v/>
      </c>
      <c r="LO4958" t="str">
        <v/>
      </c>
    </row>
    <row r="4959" spans="326:327">
      <c r="LN4959" t="str">
        <v/>
      </c>
      <c r="LO4959" t="str">
        <v/>
      </c>
    </row>
    <row r="4960" spans="326:327">
      <c r="LN4960" t="str">
        <v/>
      </c>
      <c r="LO4960" t="str">
        <v/>
      </c>
    </row>
    <row r="4961" spans="326:327">
      <c r="LN4961" t="str">
        <v/>
      </c>
      <c r="LO4961" t="str">
        <v/>
      </c>
    </row>
    <row r="4962" spans="326:327">
      <c r="LN4962" t="str">
        <v/>
      </c>
      <c r="LO4962" t="str">
        <v/>
      </c>
    </row>
    <row r="4963" spans="326:327">
      <c r="LN4963" t="str">
        <v/>
      </c>
      <c r="LO4963" t="str">
        <v/>
      </c>
    </row>
    <row r="4964" spans="326:327">
      <c r="LN4964" t="str">
        <v/>
      </c>
      <c r="LO4964" t="str">
        <v/>
      </c>
    </row>
    <row r="4965" spans="326:327">
      <c r="LN4965" t="str">
        <v/>
      </c>
      <c r="LO4965" t="str">
        <v/>
      </c>
    </row>
    <row r="4966" spans="326:327">
      <c r="LN4966" t="str">
        <v/>
      </c>
      <c r="LO4966" t="str">
        <v/>
      </c>
    </row>
    <row r="4967" spans="326:327">
      <c r="LN4967" t="str">
        <v/>
      </c>
      <c r="LO4967" t="str">
        <v/>
      </c>
    </row>
    <row r="4968" spans="326:327">
      <c r="LN4968" t="str">
        <v/>
      </c>
      <c r="LO4968" t="str">
        <v/>
      </c>
    </row>
    <row r="4969" spans="326:327">
      <c r="LN4969" t="str">
        <v/>
      </c>
      <c r="LO4969" t="str">
        <v/>
      </c>
    </row>
    <row r="4970" spans="326:327">
      <c r="LN4970" t="str">
        <v/>
      </c>
      <c r="LO4970" t="str">
        <v/>
      </c>
    </row>
    <row r="4971" spans="326:327">
      <c r="LN4971" t="str">
        <v/>
      </c>
      <c r="LO4971" t="str">
        <v/>
      </c>
    </row>
    <row r="4972" spans="326:327">
      <c r="LN4972" t="str">
        <v/>
      </c>
      <c r="LO4972" t="str">
        <v/>
      </c>
    </row>
    <row r="4973" spans="326:327">
      <c r="LN4973" t="str">
        <v/>
      </c>
      <c r="LO4973" t="str">
        <v/>
      </c>
    </row>
    <row r="4974" spans="326:327">
      <c r="LN4974" t="str">
        <v/>
      </c>
      <c r="LO4974" t="str">
        <v/>
      </c>
    </row>
    <row r="4975" spans="326:327">
      <c r="LN4975" t="str">
        <v/>
      </c>
      <c r="LO4975" t="str">
        <v/>
      </c>
    </row>
    <row r="4976" spans="326:327">
      <c r="LN4976" t="str">
        <v/>
      </c>
      <c r="LO4976" t="str">
        <v/>
      </c>
    </row>
    <row r="4977" spans="326:327">
      <c r="LN4977" t="str">
        <v/>
      </c>
      <c r="LO4977" t="str">
        <v/>
      </c>
    </row>
    <row r="4978" spans="326:327">
      <c r="LN4978" t="str">
        <v/>
      </c>
      <c r="LO4978" t="str">
        <v/>
      </c>
    </row>
    <row r="4979" spans="326:327">
      <c r="LN4979" t="str">
        <v/>
      </c>
      <c r="LO4979" t="str">
        <v/>
      </c>
    </row>
    <row r="4980" spans="326:327">
      <c r="LN4980" t="str">
        <v/>
      </c>
      <c r="LO4980" t="str">
        <v/>
      </c>
    </row>
    <row r="4981" spans="326:327">
      <c r="LN4981" t="str">
        <v/>
      </c>
      <c r="LO4981" t="str">
        <v/>
      </c>
    </row>
    <row r="4982" spans="326:327">
      <c r="LN4982" t="str">
        <v/>
      </c>
      <c r="LO4982" t="str">
        <v/>
      </c>
    </row>
    <row r="4983" spans="326:327">
      <c r="LN4983" t="str">
        <v/>
      </c>
      <c r="LO4983" t="str">
        <v/>
      </c>
    </row>
    <row r="4984" spans="326:327">
      <c r="LN4984" t="str">
        <v/>
      </c>
      <c r="LO4984" t="str">
        <v/>
      </c>
    </row>
    <row r="4985" spans="326:327">
      <c r="LN4985" t="str">
        <v/>
      </c>
      <c r="LO4985" t="str">
        <v/>
      </c>
    </row>
    <row r="4986" spans="326:327">
      <c r="LN4986" t="str">
        <v/>
      </c>
      <c r="LO4986" t="str">
        <v/>
      </c>
    </row>
    <row r="4987" spans="326:327">
      <c r="LN4987" t="str">
        <v/>
      </c>
      <c r="LO4987" t="str">
        <v/>
      </c>
    </row>
    <row r="4988" spans="326:327">
      <c r="LN4988" t="str">
        <v/>
      </c>
      <c r="LO4988" t="str">
        <v/>
      </c>
    </row>
    <row r="4989" spans="326:327">
      <c r="LN4989" t="str">
        <v/>
      </c>
      <c r="LO4989" t="str">
        <v/>
      </c>
    </row>
    <row r="4990" spans="326:327">
      <c r="LN4990" t="str">
        <v/>
      </c>
      <c r="LO4990" t="str">
        <v/>
      </c>
    </row>
    <row r="4991" spans="326:327">
      <c r="LN4991" t="str">
        <v/>
      </c>
      <c r="LO4991" t="str">
        <v/>
      </c>
    </row>
    <row r="4992" spans="326:327">
      <c r="LN4992" t="str">
        <v/>
      </c>
      <c r="LO4992" t="str">
        <v/>
      </c>
    </row>
    <row r="4993" spans="326:327">
      <c r="LN4993" t="str">
        <v/>
      </c>
      <c r="LO4993" t="str">
        <v/>
      </c>
    </row>
    <row r="4994" spans="326:327">
      <c r="LN4994" t="str">
        <v/>
      </c>
      <c r="LO4994" t="str">
        <v/>
      </c>
    </row>
    <row r="4995" spans="326:327">
      <c r="LN4995" t="str">
        <v/>
      </c>
      <c r="LO4995" t="str">
        <v/>
      </c>
    </row>
    <row r="4996" spans="326:327">
      <c r="LN4996" t="str">
        <v/>
      </c>
      <c r="LO4996" t="str">
        <v/>
      </c>
    </row>
    <row r="4997" spans="326:327">
      <c r="LN4997" t="str">
        <v/>
      </c>
      <c r="LO4997" t="str">
        <v/>
      </c>
    </row>
    <row r="4998" spans="326:327">
      <c r="LN4998" t="str">
        <v/>
      </c>
      <c r="LO4998" t="str">
        <v/>
      </c>
    </row>
    <row r="4999" spans="326:327">
      <c r="LN4999" t="str">
        <v/>
      </c>
      <c r="LO4999" t="str">
        <v/>
      </c>
    </row>
    <row r="5000" spans="326:327">
      <c r="LN5000" t="str">
        <v/>
      </c>
      <c r="LO5000" t="str">
        <v/>
      </c>
    </row>
    <row r="5001" spans="326:327">
      <c r="LN5001" t="str">
        <v/>
      </c>
      <c r="LO5001" t="str">
        <v/>
      </c>
    </row>
    <row r="5002" spans="326:327">
      <c r="LN5002" t="str">
        <v/>
      </c>
      <c r="LO5002" t="str">
        <v/>
      </c>
    </row>
    <row r="5003" spans="326:327">
      <c r="LN5003" t="str">
        <v/>
      </c>
      <c r="LO5003" t="str">
        <v/>
      </c>
    </row>
    <row r="5004" spans="326:327">
      <c r="LN5004" t="str">
        <v/>
      </c>
      <c r="LO5004" t="str">
        <v/>
      </c>
    </row>
    <row r="5005" spans="326:327">
      <c r="LN5005" t="str">
        <v/>
      </c>
      <c r="LO5005" t="str">
        <v/>
      </c>
    </row>
    <row r="5006" spans="326:327">
      <c r="LN5006" t="str">
        <v/>
      </c>
      <c r="LO5006" t="str">
        <v/>
      </c>
    </row>
    <row r="5007" spans="326:327">
      <c r="LN5007" t="str">
        <v/>
      </c>
      <c r="LO5007" t="str">
        <v/>
      </c>
    </row>
    <row r="5008" spans="326:327">
      <c r="LN5008" t="str">
        <v/>
      </c>
      <c r="LO5008" t="str">
        <v/>
      </c>
    </row>
    <row r="5009" spans="326:327">
      <c r="LN5009" t="str">
        <v/>
      </c>
      <c r="LO5009" t="str">
        <v/>
      </c>
    </row>
    <row r="5010" spans="326:327">
      <c r="LN5010" t="str">
        <v/>
      </c>
      <c r="LO5010" t="str">
        <v/>
      </c>
    </row>
    <row r="5011" spans="326:327">
      <c r="LN5011" t="str">
        <v/>
      </c>
      <c r="LO5011" t="str">
        <v/>
      </c>
    </row>
    <row r="5012" spans="326:327">
      <c r="LN5012" t="str">
        <v/>
      </c>
      <c r="LO5012" t="str">
        <v/>
      </c>
    </row>
    <row r="5013" spans="326:327">
      <c r="LN5013" t="str">
        <v/>
      </c>
      <c r="LO5013" t="str">
        <v/>
      </c>
    </row>
    <row r="5014" spans="326:327">
      <c r="LN5014" t="str">
        <v/>
      </c>
      <c r="LO5014" t="str">
        <v/>
      </c>
    </row>
    <row r="5015" spans="326:327">
      <c r="LN5015" t="str">
        <v/>
      </c>
      <c r="LO5015" t="str">
        <v/>
      </c>
    </row>
    <row r="5016" spans="326:327">
      <c r="LN5016" t="str">
        <v/>
      </c>
      <c r="LO5016" t="str">
        <v/>
      </c>
    </row>
    <row r="5017" spans="326:327">
      <c r="LN5017" t="str">
        <v/>
      </c>
      <c r="LO5017" t="str">
        <v/>
      </c>
    </row>
    <row r="5018" spans="326:327">
      <c r="LN5018" t="str">
        <v/>
      </c>
      <c r="LO5018" t="str">
        <v/>
      </c>
    </row>
    <row r="5019" spans="326:327">
      <c r="LN5019" t="str">
        <v/>
      </c>
      <c r="LO5019" t="str">
        <v/>
      </c>
    </row>
    <row r="5020" spans="326:327">
      <c r="LN5020" t="str">
        <v/>
      </c>
      <c r="LO5020" t="str">
        <v/>
      </c>
    </row>
    <row r="5021" spans="326:327">
      <c r="LN5021" t="str">
        <v/>
      </c>
      <c r="LO5021" t="str">
        <v/>
      </c>
    </row>
    <row r="5022" spans="326:327">
      <c r="LN5022" t="str">
        <v/>
      </c>
      <c r="LO5022" t="str">
        <v/>
      </c>
    </row>
    <row r="5023" spans="326:327">
      <c r="LN5023" t="str">
        <v/>
      </c>
      <c r="LO5023" t="str">
        <v/>
      </c>
    </row>
    <row r="5024" spans="326:327">
      <c r="LN5024" t="str">
        <v/>
      </c>
      <c r="LO5024" t="str">
        <v/>
      </c>
    </row>
    <row r="5025" spans="326:327">
      <c r="LN5025" t="str">
        <v/>
      </c>
      <c r="LO5025" t="str">
        <v/>
      </c>
    </row>
    <row r="5026" spans="326:327">
      <c r="LN5026" t="str">
        <v/>
      </c>
      <c r="LO5026" t="str">
        <v/>
      </c>
    </row>
    <row r="5027" spans="326:327">
      <c r="LN5027" t="str">
        <v/>
      </c>
      <c r="LO5027" t="str">
        <v/>
      </c>
    </row>
    <row r="5028" spans="326:327">
      <c r="LN5028" t="str">
        <v/>
      </c>
      <c r="LO5028" t="str">
        <v/>
      </c>
    </row>
    <row r="5029" spans="326:327">
      <c r="LN5029" t="str">
        <v/>
      </c>
      <c r="LO5029" t="str">
        <v/>
      </c>
    </row>
    <row r="5030" spans="326:327">
      <c r="LN5030" t="str">
        <v/>
      </c>
      <c r="LO5030" t="str">
        <v/>
      </c>
    </row>
    <row r="5031" spans="326:327">
      <c r="LN5031" t="str">
        <v/>
      </c>
      <c r="LO5031" t="str">
        <v/>
      </c>
    </row>
    <row r="5032" spans="326:327">
      <c r="LN5032" t="str">
        <v/>
      </c>
      <c r="LO5032" t="str">
        <v/>
      </c>
    </row>
    <row r="5033" spans="326:327">
      <c r="LN5033" t="str">
        <v/>
      </c>
      <c r="LO5033" t="str">
        <v/>
      </c>
    </row>
    <row r="5034" spans="326:327">
      <c r="LN5034" t="str">
        <v/>
      </c>
      <c r="LO5034" t="str">
        <v/>
      </c>
    </row>
    <row r="5035" spans="326:327">
      <c r="LN5035" t="str">
        <v/>
      </c>
      <c r="LO5035" t="str">
        <v/>
      </c>
    </row>
    <row r="5036" spans="326:327">
      <c r="LN5036" t="str">
        <v/>
      </c>
      <c r="LO5036" t="str">
        <v/>
      </c>
    </row>
    <row r="5037" spans="326:327">
      <c r="LN5037" t="str">
        <v/>
      </c>
      <c r="LO5037" t="str">
        <v/>
      </c>
    </row>
    <row r="5038" spans="326:327">
      <c r="LN5038" t="str">
        <v/>
      </c>
      <c r="LO5038" t="str">
        <v/>
      </c>
    </row>
    <row r="5039" spans="326:327">
      <c r="LN5039" t="str">
        <v/>
      </c>
      <c r="LO5039" t="str">
        <v/>
      </c>
    </row>
    <row r="5040" spans="326:327">
      <c r="LN5040" t="str">
        <v/>
      </c>
      <c r="LO5040" t="str">
        <v/>
      </c>
    </row>
    <row r="5041" spans="326:327">
      <c r="LN5041" t="str">
        <v/>
      </c>
      <c r="LO5041" t="str">
        <v/>
      </c>
    </row>
    <row r="5042" spans="326:327">
      <c r="LN5042" t="str">
        <v/>
      </c>
      <c r="LO5042" t="str">
        <v/>
      </c>
    </row>
    <row r="5043" spans="326:327">
      <c r="LN5043" t="str">
        <v/>
      </c>
      <c r="LO5043" t="str">
        <v/>
      </c>
    </row>
    <row r="5044" spans="326:327">
      <c r="LN5044" t="str">
        <v/>
      </c>
      <c r="LO5044" t="str">
        <v/>
      </c>
    </row>
    <row r="5045" spans="326:327">
      <c r="LN5045" t="str">
        <v/>
      </c>
      <c r="LO5045" t="str">
        <v/>
      </c>
    </row>
    <row r="5046" spans="326:327">
      <c r="LN5046" t="str">
        <v/>
      </c>
      <c r="LO5046" t="str">
        <v/>
      </c>
    </row>
    <row r="5047" spans="326:327">
      <c r="LN5047" t="str">
        <v/>
      </c>
      <c r="LO5047" t="str">
        <v/>
      </c>
    </row>
    <row r="5048" spans="326:327">
      <c r="LN5048" t="str">
        <v/>
      </c>
      <c r="LO5048" t="str">
        <v/>
      </c>
    </row>
    <row r="5049" spans="326:327">
      <c r="LN5049" t="str">
        <v/>
      </c>
      <c r="LO5049" t="str">
        <v/>
      </c>
    </row>
    <row r="5050" spans="326:327">
      <c r="LN5050" t="str">
        <v/>
      </c>
      <c r="LO5050" t="str">
        <v/>
      </c>
    </row>
    <row r="5051" spans="326:327">
      <c r="LN5051" t="str">
        <v/>
      </c>
      <c r="LO5051" t="str">
        <v/>
      </c>
    </row>
    <row r="5052" spans="326:327">
      <c r="LN5052" t="str">
        <v/>
      </c>
      <c r="LO5052" t="str">
        <v/>
      </c>
    </row>
    <row r="5053" spans="326:327">
      <c r="LN5053" t="str">
        <v/>
      </c>
      <c r="LO5053" t="str">
        <v/>
      </c>
    </row>
    <row r="5054" spans="326:327">
      <c r="LN5054" t="str">
        <v/>
      </c>
      <c r="LO5054" t="str">
        <v/>
      </c>
    </row>
    <row r="5055" spans="326:327">
      <c r="LN5055" t="str">
        <v/>
      </c>
      <c r="LO5055" t="str">
        <v/>
      </c>
    </row>
    <row r="5056" spans="326:327">
      <c r="LN5056" t="str">
        <v/>
      </c>
      <c r="LO5056" t="str">
        <v/>
      </c>
    </row>
    <row r="5057" spans="326:327">
      <c r="LN5057" t="str">
        <v/>
      </c>
      <c r="LO5057" t="str">
        <v/>
      </c>
    </row>
    <row r="5058" spans="326:327">
      <c r="LN5058" t="str">
        <v/>
      </c>
      <c r="LO5058" t="str">
        <v/>
      </c>
    </row>
    <row r="5059" spans="326:327">
      <c r="LN5059" t="str">
        <v/>
      </c>
      <c r="LO5059" t="str">
        <v/>
      </c>
    </row>
    <row r="5060" spans="326:327">
      <c r="LN5060" t="str">
        <v/>
      </c>
      <c r="LO5060" t="str">
        <v/>
      </c>
    </row>
    <row r="5061" spans="326:327">
      <c r="LN5061" t="str">
        <v/>
      </c>
      <c r="LO5061" t="str">
        <v/>
      </c>
    </row>
    <row r="5062" spans="326:327">
      <c r="LN5062" t="str">
        <v/>
      </c>
      <c r="LO5062" t="str">
        <v/>
      </c>
    </row>
    <row r="5063" spans="326:327">
      <c r="LN5063" t="str">
        <v/>
      </c>
      <c r="LO5063" t="str">
        <v/>
      </c>
    </row>
    <row r="5064" spans="326:327">
      <c r="LN5064" t="str">
        <v/>
      </c>
      <c r="LO5064" t="str">
        <v/>
      </c>
    </row>
    <row r="5065" spans="326:327">
      <c r="LN5065" t="str">
        <v/>
      </c>
      <c r="LO5065" t="str">
        <v/>
      </c>
    </row>
    <row r="5066" spans="326:327">
      <c r="LN5066" t="str">
        <v/>
      </c>
      <c r="LO5066" t="str">
        <v/>
      </c>
    </row>
    <row r="5067" spans="326:327">
      <c r="LN5067" t="str">
        <v/>
      </c>
      <c r="LO5067" t="str">
        <v/>
      </c>
    </row>
    <row r="5068" spans="326:327">
      <c r="LN5068" t="str">
        <v/>
      </c>
      <c r="LO5068" t="str">
        <v/>
      </c>
    </row>
    <row r="5069" spans="326:327">
      <c r="LN5069" t="str">
        <v/>
      </c>
      <c r="LO5069" t="str">
        <v/>
      </c>
    </row>
    <row r="5070" spans="326:327">
      <c r="LN5070" t="str">
        <v/>
      </c>
      <c r="LO5070" t="str">
        <v/>
      </c>
    </row>
    <row r="5071" spans="326:327">
      <c r="LN5071" t="str">
        <v/>
      </c>
      <c r="LO5071" t="str">
        <v/>
      </c>
    </row>
    <row r="5072" spans="326:327">
      <c r="LN5072" t="str">
        <v/>
      </c>
      <c r="LO5072" t="str">
        <v/>
      </c>
    </row>
    <row r="5073" spans="326:327">
      <c r="LN5073" t="str">
        <v/>
      </c>
      <c r="LO5073" t="str">
        <v/>
      </c>
    </row>
    <row r="5074" spans="326:327">
      <c r="LN5074" t="str">
        <v/>
      </c>
      <c r="LO5074" t="str">
        <v/>
      </c>
    </row>
    <row r="5075" spans="326:327">
      <c r="LN5075" t="str">
        <v/>
      </c>
      <c r="LO5075" t="str">
        <v/>
      </c>
    </row>
    <row r="5076" spans="326:327">
      <c r="LN5076" t="str">
        <v/>
      </c>
      <c r="LO5076" t="str">
        <v/>
      </c>
    </row>
    <row r="5077" spans="326:327">
      <c r="LN5077" t="str">
        <v/>
      </c>
      <c r="LO5077" t="str">
        <v/>
      </c>
    </row>
    <row r="5078" spans="326:327">
      <c r="LN5078" t="str">
        <v/>
      </c>
      <c r="LO5078" t="str">
        <v/>
      </c>
    </row>
    <row r="5079" spans="326:327">
      <c r="LN5079" t="str">
        <v/>
      </c>
      <c r="LO5079" t="str">
        <v/>
      </c>
    </row>
    <row r="5080" spans="326:327">
      <c r="LN5080" t="str">
        <v/>
      </c>
      <c r="LO5080" t="str">
        <v/>
      </c>
    </row>
    <row r="5081" spans="326:327">
      <c r="LN5081" t="str">
        <v/>
      </c>
      <c r="LO5081" t="str">
        <v/>
      </c>
    </row>
    <row r="5082" spans="326:327">
      <c r="LN5082" t="str">
        <v/>
      </c>
      <c r="LO5082" t="str">
        <v/>
      </c>
    </row>
    <row r="5083" spans="326:327">
      <c r="LN5083" t="str">
        <v/>
      </c>
      <c r="LO5083" t="str">
        <v/>
      </c>
    </row>
    <row r="5084" spans="326:327">
      <c r="LN5084" t="str">
        <v/>
      </c>
      <c r="LO5084" t="str">
        <v/>
      </c>
    </row>
    <row r="5085" spans="326:327">
      <c r="LN5085" t="str">
        <v/>
      </c>
      <c r="LO5085" t="str">
        <v/>
      </c>
    </row>
    <row r="5086" spans="326:327">
      <c r="LN5086" t="str">
        <v/>
      </c>
      <c r="LO5086" t="str">
        <v/>
      </c>
    </row>
    <row r="5087" spans="326:327">
      <c r="LN5087" t="str">
        <v/>
      </c>
      <c r="LO5087" t="str">
        <v/>
      </c>
    </row>
    <row r="5088" spans="326:327">
      <c r="LN5088" t="str">
        <v/>
      </c>
      <c r="LO5088" t="str">
        <v/>
      </c>
    </row>
    <row r="5089" spans="326:327">
      <c r="LN5089" t="str">
        <v/>
      </c>
      <c r="LO5089" t="str">
        <v/>
      </c>
    </row>
    <row r="5090" spans="326:327">
      <c r="LN5090" t="str">
        <v/>
      </c>
      <c r="LO5090" t="str">
        <v/>
      </c>
    </row>
    <row r="5091" spans="326:327">
      <c r="LN5091" t="str">
        <v/>
      </c>
      <c r="LO5091" t="str">
        <v/>
      </c>
    </row>
    <row r="5092" spans="326:327">
      <c r="LN5092" t="str">
        <v/>
      </c>
      <c r="LO5092" t="str">
        <v/>
      </c>
    </row>
    <row r="5093" spans="326:327">
      <c r="LN5093" t="str">
        <v/>
      </c>
      <c r="LO5093" t="str">
        <v/>
      </c>
    </row>
    <row r="5094" spans="326:327">
      <c r="LN5094" t="str">
        <v/>
      </c>
      <c r="LO5094" t="str">
        <v/>
      </c>
    </row>
    <row r="5095" spans="326:327">
      <c r="LN5095" t="str">
        <v/>
      </c>
      <c r="LO5095" t="str">
        <v/>
      </c>
    </row>
    <row r="5096" spans="326:327">
      <c r="LN5096" t="str">
        <v/>
      </c>
      <c r="LO5096" t="str">
        <v/>
      </c>
    </row>
    <row r="5097" spans="326:327">
      <c r="LN5097" t="str">
        <v/>
      </c>
      <c r="LO5097" t="str">
        <v/>
      </c>
    </row>
    <row r="5098" spans="326:327">
      <c r="LN5098" t="str">
        <v/>
      </c>
      <c r="LO5098" t="str">
        <v/>
      </c>
    </row>
    <row r="5099" spans="326:327">
      <c r="LN5099" t="str">
        <v/>
      </c>
      <c r="LO5099" t="str">
        <v/>
      </c>
    </row>
    <row r="5100" spans="326:327">
      <c r="LN5100" t="str">
        <v/>
      </c>
      <c r="LO5100" t="str">
        <v/>
      </c>
    </row>
    <row r="5101" spans="326:327">
      <c r="LN5101" t="str">
        <v/>
      </c>
      <c r="LO5101" t="str">
        <v/>
      </c>
    </row>
    <row r="5102" spans="326:327">
      <c r="LN5102" t="str">
        <v/>
      </c>
      <c r="LO5102" t="str">
        <v/>
      </c>
    </row>
    <row r="5103" spans="326:327">
      <c r="LN5103" t="str">
        <v/>
      </c>
      <c r="LO5103" t="str">
        <v/>
      </c>
    </row>
    <row r="5104" spans="326:327">
      <c r="LN5104" t="str">
        <v/>
      </c>
      <c r="LO5104" t="str">
        <v/>
      </c>
    </row>
    <row r="5105" spans="326:327">
      <c r="LN5105" t="str">
        <v/>
      </c>
      <c r="LO5105" t="str">
        <v/>
      </c>
    </row>
    <row r="5106" spans="326:327">
      <c r="LN5106" t="str">
        <v/>
      </c>
      <c r="LO5106" t="str">
        <v/>
      </c>
    </row>
    <row r="5107" spans="326:327">
      <c r="LN5107" t="str">
        <v/>
      </c>
      <c r="LO5107" t="str">
        <v/>
      </c>
    </row>
    <row r="5108" spans="326:327">
      <c r="LN5108" t="str">
        <v/>
      </c>
      <c r="LO5108" t="str">
        <v/>
      </c>
    </row>
    <row r="5109" spans="326:327">
      <c r="LN5109" t="str">
        <v/>
      </c>
      <c r="LO5109" t="str">
        <v/>
      </c>
    </row>
    <row r="5110" spans="326:327">
      <c r="LN5110" t="str">
        <v/>
      </c>
      <c r="LO5110" t="str">
        <v/>
      </c>
    </row>
    <row r="5111" spans="326:327">
      <c r="LN5111" t="str">
        <v/>
      </c>
      <c r="LO5111" t="str">
        <v/>
      </c>
    </row>
    <row r="5112" spans="326:327">
      <c r="LN5112" t="str">
        <v/>
      </c>
      <c r="LO5112" t="str">
        <v/>
      </c>
    </row>
    <row r="5113" spans="326:327">
      <c r="LN5113" t="str">
        <v/>
      </c>
      <c r="LO5113" t="str">
        <v/>
      </c>
    </row>
    <row r="5114" spans="326:327">
      <c r="LN5114" t="str">
        <v/>
      </c>
      <c r="LO5114" t="str">
        <v/>
      </c>
    </row>
    <row r="5115" spans="326:327">
      <c r="LN5115" t="str">
        <v/>
      </c>
      <c r="LO5115" t="str">
        <v/>
      </c>
    </row>
    <row r="5116" spans="326:327">
      <c r="LN5116" t="str">
        <v/>
      </c>
      <c r="LO5116" t="str">
        <v/>
      </c>
    </row>
    <row r="5117" spans="326:327">
      <c r="LN5117" t="str">
        <v/>
      </c>
      <c r="LO5117" t="str">
        <v/>
      </c>
    </row>
    <row r="5118" spans="326:327">
      <c r="LN5118" t="str">
        <v/>
      </c>
      <c r="LO5118" t="str">
        <v/>
      </c>
    </row>
    <row r="5119" spans="326:327">
      <c r="LN5119" t="str">
        <v/>
      </c>
      <c r="LO5119" t="str">
        <v/>
      </c>
    </row>
    <row r="5120" spans="326:327">
      <c r="LN5120" t="str">
        <v/>
      </c>
      <c r="LO5120" t="str">
        <v/>
      </c>
    </row>
    <row r="5121" spans="326:327">
      <c r="LN5121" t="str">
        <v/>
      </c>
      <c r="LO5121" t="str">
        <v/>
      </c>
    </row>
    <row r="5122" spans="326:327">
      <c r="LN5122" t="str">
        <v/>
      </c>
      <c r="LO5122" t="str">
        <v/>
      </c>
    </row>
    <row r="5123" spans="326:327">
      <c r="LN5123" t="str">
        <v/>
      </c>
      <c r="LO5123" t="str">
        <v/>
      </c>
    </row>
    <row r="5124" spans="326:327">
      <c r="LN5124" t="str">
        <v/>
      </c>
      <c r="LO5124" t="str">
        <v/>
      </c>
    </row>
    <row r="5125" spans="326:327">
      <c r="LN5125" t="str">
        <v/>
      </c>
      <c r="LO5125" t="str">
        <v/>
      </c>
    </row>
    <row r="5126" spans="326:327">
      <c r="LN5126" t="str">
        <v/>
      </c>
      <c r="LO5126" t="str">
        <v/>
      </c>
    </row>
    <row r="5127" spans="326:327">
      <c r="LN5127" t="str">
        <v/>
      </c>
      <c r="LO5127" t="str">
        <v/>
      </c>
    </row>
    <row r="5128" spans="326:327">
      <c r="LN5128" t="str">
        <v/>
      </c>
      <c r="LO5128" t="str">
        <v/>
      </c>
    </row>
    <row r="5129" spans="326:327">
      <c r="LN5129" t="str">
        <v/>
      </c>
      <c r="LO5129" t="str">
        <v/>
      </c>
    </row>
    <row r="5130" spans="326:327">
      <c r="LN5130" t="str">
        <v/>
      </c>
      <c r="LO5130" t="str">
        <v/>
      </c>
    </row>
    <row r="5131" spans="326:327">
      <c r="LN5131" t="str">
        <v/>
      </c>
      <c r="LO5131" t="str">
        <v/>
      </c>
    </row>
    <row r="5132" spans="326:327">
      <c r="LN5132" t="str">
        <v/>
      </c>
      <c r="LO5132" t="str">
        <v/>
      </c>
    </row>
    <row r="5133" spans="326:327">
      <c r="LN5133" t="str">
        <v/>
      </c>
      <c r="LO5133" t="str">
        <v/>
      </c>
    </row>
    <row r="5134" spans="326:327">
      <c r="LN5134" t="str">
        <v/>
      </c>
      <c r="LO5134" t="str">
        <v/>
      </c>
    </row>
    <row r="5135" spans="326:327">
      <c r="LN5135" t="str">
        <v/>
      </c>
      <c r="LO5135" t="str">
        <v/>
      </c>
    </row>
    <row r="5136" spans="326:327">
      <c r="LN5136" t="str">
        <v/>
      </c>
      <c r="LO5136" t="str">
        <v/>
      </c>
    </row>
    <row r="5137" spans="326:327">
      <c r="LN5137" t="str">
        <v/>
      </c>
      <c r="LO5137" t="str">
        <v/>
      </c>
    </row>
    <row r="5138" spans="326:327">
      <c r="LN5138" t="str">
        <v/>
      </c>
      <c r="LO5138" t="str">
        <v/>
      </c>
    </row>
    <row r="5139" spans="326:327">
      <c r="LN5139" t="str">
        <v/>
      </c>
      <c r="LO5139" t="str">
        <v/>
      </c>
    </row>
    <row r="5140" spans="326:327">
      <c r="LN5140" t="str">
        <v/>
      </c>
      <c r="LO5140" t="str">
        <v/>
      </c>
    </row>
    <row r="5141" spans="326:327">
      <c r="LN5141" t="str">
        <v/>
      </c>
      <c r="LO5141" t="str">
        <v/>
      </c>
    </row>
    <row r="5142" spans="326:327">
      <c r="LN5142" t="str">
        <v/>
      </c>
      <c r="LO5142" t="str">
        <v/>
      </c>
    </row>
    <row r="5143" spans="326:327">
      <c r="LN5143" t="str">
        <v/>
      </c>
      <c r="LO5143" t="str">
        <v/>
      </c>
    </row>
    <row r="5144" spans="326:327">
      <c r="LN5144" t="str">
        <v/>
      </c>
      <c r="LO5144" t="str">
        <v/>
      </c>
    </row>
    <row r="5145" spans="326:327">
      <c r="LN5145" t="str">
        <v/>
      </c>
      <c r="LO5145" t="str">
        <v/>
      </c>
    </row>
    <row r="5146" spans="326:327">
      <c r="LN5146" t="str">
        <v/>
      </c>
      <c r="LO5146" t="str">
        <v/>
      </c>
    </row>
    <row r="5147" spans="326:327">
      <c r="LN5147" t="str">
        <v/>
      </c>
      <c r="LO5147" t="str">
        <v/>
      </c>
    </row>
    <row r="5148" spans="326:327">
      <c r="LN5148" t="str">
        <v/>
      </c>
      <c r="LO5148" t="str">
        <v/>
      </c>
    </row>
    <row r="5149" spans="326:327">
      <c r="LN5149" t="str">
        <v/>
      </c>
      <c r="LO5149" t="str">
        <v/>
      </c>
    </row>
    <row r="5150" spans="326:327">
      <c r="LN5150" t="str">
        <v/>
      </c>
      <c r="LO5150" t="str">
        <v/>
      </c>
    </row>
    <row r="5151" spans="326:327">
      <c r="LN5151" t="str">
        <v/>
      </c>
      <c r="LO5151" t="str">
        <v/>
      </c>
    </row>
    <row r="5152" spans="326:327">
      <c r="LN5152" t="str">
        <v/>
      </c>
      <c r="LO5152" t="str">
        <v/>
      </c>
    </row>
    <row r="5153" spans="326:327">
      <c r="LN5153" t="str">
        <v/>
      </c>
      <c r="LO5153" t="str">
        <v/>
      </c>
    </row>
    <row r="5154" spans="326:327">
      <c r="LN5154" t="str">
        <v/>
      </c>
      <c r="LO5154" t="str">
        <v/>
      </c>
    </row>
    <row r="5155" spans="326:327">
      <c r="LN5155" t="str">
        <v/>
      </c>
      <c r="LO5155" t="str">
        <v/>
      </c>
    </row>
    <row r="5156" spans="326:327">
      <c r="LN5156" t="str">
        <v/>
      </c>
      <c r="LO5156" t="str">
        <v/>
      </c>
    </row>
    <row r="5157" spans="326:327">
      <c r="LN5157" t="str">
        <v/>
      </c>
      <c r="LO5157" t="str">
        <v/>
      </c>
    </row>
    <row r="5158" spans="326:327">
      <c r="LN5158" t="str">
        <v/>
      </c>
      <c r="LO5158" t="str">
        <v/>
      </c>
    </row>
    <row r="5159" spans="326:327">
      <c r="LN5159" t="str">
        <v/>
      </c>
      <c r="LO5159" t="str">
        <v/>
      </c>
    </row>
    <row r="5160" spans="326:327">
      <c r="LN5160" t="str">
        <v/>
      </c>
      <c r="LO5160" t="str">
        <v/>
      </c>
    </row>
    <row r="5161" spans="326:327">
      <c r="LN5161" t="str">
        <v/>
      </c>
      <c r="LO5161" t="str">
        <v/>
      </c>
    </row>
    <row r="5162" spans="326:327">
      <c r="LN5162" t="str">
        <v/>
      </c>
      <c r="LO5162" t="str">
        <v/>
      </c>
    </row>
    <row r="5163" spans="326:327">
      <c r="LN5163" t="str">
        <v/>
      </c>
      <c r="LO5163" t="str">
        <v/>
      </c>
    </row>
    <row r="5164" spans="326:327">
      <c r="LN5164" t="str">
        <v/>
      </c>
      <c r="LO5164" t="str">
        <v/>
      </c>
    </row>
    <row r="5165" spans="326:327">
      <c r="LN5165" t="str">
        <v/>
      </c>
      <c r="LO5165" t="str">
        <v/>
      </c>
    </row>
    <row r="5166" spans="326:327">
      <c r="LN5166" t="str">
        <v/>
      </c>
      <c r="LO5166" t="str">
        <v/>
      </c>
    </row>
    <row r="5167" spans="326:327">
      <c r="LN5167" t="str">
        <v/>
      </c>
      <c r="LO5167" t="str">
        <v/>
      </c>
    </row>
    <row r="5168" spans="326:327">
      <c r="LN5168" t="str">
        <v/>
      </c>
      <c r="LO5168" t="str">
        <v/>
      </c>
    </row>
    <row r="5169" spans="326:327">
      <c r="LN5169" t="str">
        <v/>
      </c>
      <c r="LO5169" t="str">
        <v/>
      </c>
    </row>
    <row r="5170" spans="326:327">
      <c r="LN5170" t="str">
        <v/>
      </c>
      <c r="LO5170" t="str">
        <v/>
      </c>
    </row>
    <row r="5171" spans="326:327">
      <c r="LN5171" t="str">
        <v/>
      </c>
      <c r="LO5171" t="str">
        <v/>
      </c>
    </row>
    <row r="5172" spans="326:327">
      <c r="LN5172" t="str">
        <v/>
      </c>
      <c r="LO5172" t="str">
        <v/>
      </c>
    </row>
    <row r="5173" spans="326:327">
      <c r="LN5173" t="str">
        <v/>
      </c>
      <c r="LO5173" t="str">
        <v/>
      </c>
    </row>
    <row r="5174" spans="326:327">
      <c r="LN5174" t="str">
        <v/>
      </c>
      <c r="LO5174" t="str">
        <v/>
      </c>
    </row>
    <row r="5175" spans="326:327">
      <c r="LN5175" t="str">
        <v/>
      </c>
      <c r="LO5175" t="str">
        <v/>
      </c>
    </row>
    <row r="5176" spans="326:327">
      <c r="LN5176" t="str">
        <v/>
      </c>
      <c r="LO5176" t="str">
        <v/>
      </c>
    </row>
    <row r="5177" spans="326:327">
      <c r="LN5177" t="str">
        <v/>
      </c>
      <c r="LO5177" t="str">
        <v/>
      </c>
    </row>
    <row r="5178" spans="326:327">
      <c r="LN5178" t="str">
        <v/>
      </c>
      <c r="LO5178" t="str">
        <v/>
      </c>
    </row>
    <row r="5179" spans="326:327">
      <c r="LN5179" t="str">
        <v/>
      </c>
      <c r="LO5179" t="str">
        <v/>
      </c>
    </row>
    <row r="5180" spans="326:327">
      <c r="LN5180" t="str">
        <v/>
      </c>
      <c r="LO5180" t="str">
        <v/>
      </c>
    </row>
    <row r="5181" spans="326:327">
      <c r="LN5181" t="str">
        <v/>
      </c>
      <c r="LO5181" t="str">
        <v/>
      </c>
    </row>
    <row r="5182" spans="326:327">
      <c r="LN5182" t="str">
        <v/>
      </c>
      <c r="LO5182" t="str">
        <v/>
      </c>
    </row>
    <row r="5183" spans="326:327">
      <c r="LN5183" t="str">
        <v/>
      </c>
      <c r="LO5183" t="str">
        <v/>
      </c>
    </row>
    <row r="5184" spans="326:327">
      <c r="LN5184" t="str">
        <v/>
      </c>
      <c r="LO5184" t="str">
        <v/>
      </c>
    </row>
    <row r="5185" spans="326:327">
      <c r="LN5185" t="str">
        <v/>
      </c>
      <c r="LO5185" t="str">
        <v/>
      </c>
    </row>
    <row r="5186" spans="326:327">
      <c r="LN5186" t="str">
        <v/>
      </c>
      <c r="LO5186" t="str">
        <v/>
      </c>
    </row>
    <row r="5187" spans="326:327">
      <c r="LN5187" t="str">
        <v/>
      </c>
      <c r="LO5187" t="str">
        <v/>
      </c>
    </row>
    <row r="5188" spans="326:327">
      <c r="LN5188" t="str">
        <v/>
      </c>
      <c r="LO5188" t="str">
        <v/>
      </c>
    </row>
    <row r="5189" spans="326:327">
      <c r="LN5189" t="str">
        <v/>
      </c>
      <c r="LO5189" t="str">
        <v/>
      </c>
    </row>
    <row r="5190" spans="326:327">
      <c r="LN5190" t="str">
        <v/>
      </c>
      <c r="LO5190" t="str">
        <v/>
      </c>
    </row>
    <row r="5191" spans="326:327">
      <c r="LN5191" t="str">
        <v/>
      </c>
      <c r="LO5191" t="str">
        <v/>
      </c>
    </row>
    <row r="5192" spans="326:327">
      <c r="LN5192" t="str">
        <v/>
      </c>
      <c r="LO5192" t="str">
        <v/>
      </c>
    </row>
    <row r="5193" spans="326:327">
      <c r="LN5193" t="str">
        <v/>
      </c>
      <c r="LO5193" t="str">
        <v/>
      </c>
    </row>
    <row r="5194" spans="326:327">
      <c r="LN5194" t="str">
        <v/>
      </c>
      <c r="LO5194" t="str">
        <v/>
      </c>
    </row>
    <row r="5195" spans="326:327">
      <c r="LN5195" t="str">
        <v/>
      </c>
      <c r="LO5195" t="str">
        <v/>
      </c>
    </row>
    <row r="5196" spans="326:327">
      <c r="LN5196" t="str">
        <v/>
      </c>
      <c r="LO5196" t="str">
        <v/>
      </c>
    </row>
    <row r="5197" spans="326:327">
      <c r="LN5197" t="str">
        <v/>
      </c>
      <c r="LO5197" t="str">
        <v/>
      </c>
    </row>
    <row r="5198" spans="326:327">
      <c r="LN5198" t="str">
        <v/>
      </c>
      <c r="LO5198" t="str">
        <v/>
      </c>
    </row>
    <row r="5199" spans="326:327">
      <c r="LN5199" t="str">
        <v/>
      </c>
      <c r="LO5199" t="str">
        <v/>
      </c>
    </row>
    <row r="5200" spans="326:327">
      <c r="LN5200" t="str">
        <v/>
      </c>
      <c r="LO5200" t="str">
        <v/>
      </c>
    </row>
    <row r="5201" spans="326:327">
      <c r="LN5201" t="str">
        <v/>
      </c>
      <c r="LO5201" t="str">
        <v/>
      </c>
    </row>
    <row r="5202" spans="326:327">
      <c r="LN5202" t="str">
        <v/>
      </c>
      <c r="LO5202" t="str">
        <v/>
      </c>
    </row>
    <row r="5203" spans="326:327">
      <c r="LN5203" t="str">
        <v/>
      </c>
      <c r="LO5203" t="str">
        <v/>
      </c>
    </row>
    <row r="5204" spans="326:327">
      <c r="LN5204" t="str">
        <v/>
      </c>
      <c r="LO5204" t="str">
        <v/>
      </c>
    </row>
    <row r="5205" spans="326:327">
      <c r="LN5205" t="str">
        <v/>
      </c>
      <c r="LO5205" t="str">
        <v/>
      </c>
    </row>
    <row r="5206" spans="326:327">
      <c r="LN5206" t="str">
        <v/>
      </c>
      <c r="LO5206" t="str">
        <v/>
      </c>
    </row>
    <row r="5207" spans="326:327">
      <c r="LN5207" t="str">
        <v/>
      </c>
      <c r="LO5207" t="str">
        <v/>
      </c>
    </row>
    <row r="5208" spans="326:327">
      <c r="LN5208" t="str">
        <v/>
      </c>
      <c r="LO5208" t="str">
        <v/>
      </c>
    </row>
    <row r="5209" spans="326:327">
      <c r="LN5209" t="str">
        <v/>
      </c>
      <c r="LO5209" t="str">
        <v/>
      </c>
    </row>
    <row r="5210" spans="326:327">
      <c r="LN5210" t="str">
        <v/>
      </c>
      <c r="LO5210" t="str">
        <v/>
      </c>
    </row>
    <row r="5211" spans="326:327">
      <c r="LN5211" t="str">
        <v/>
      </c>
      <c r="LO5211" t="str">
        <v/>
      </c>
    </row>
    <row r="5212" spans="326:327">
      <c r="LN5212" t="str">
        <v/>
      </c>
      <c r="LO5212" t="str">
        <v/>
      </c>
    </row>
    <row r="5213" spans="326:327">
      <c r="LN5213" t="str">
        <v/>
      </c>
      <c r="LO5213" t="str">
        <v/>
      </c>
    </row>
    <row r="5214" spans="326:327">
      <c r="LN5214" t="str">
        <v/>
      </c>
      <c r="LO5214" t="str">
        <v/>
      </c>
    </row>
    <row r="5215" spans="326:327">
      <c r="LN5215" t="str">
        <v/>
      </c>
      <c r="LO5215" t="str">
        <v/>
      </c>
    </row>
    <row r="5216" spans="326:327">
      <c r="LN5216" t="str">
        <v/>
      </c>
      <c r="LO5216" t="str">
        <v/>
      </c>
    </row>
    <row r="5217" spans="326:327">
      <c r="LN5217" t="str">
        <v/>
      </c>
      <c r="LO5217" t="str">
        <v/>
      </c>
    </row>
    <row r="5218" spans="326:327">
      <c r="LN5218" t="str">
        <v/>
      </c>
      <c r="LO5218" t="str">
        <v/>
      </c>
    </row>
    <row r="5219" spans="326:327">
      <c r="LN5219" t="str">
        <v/>
      </c>
      <c r="LO5219" t="str">
        <v/>
      </c>
    </row>
    <row r="5220" spans="326:327">
      <c r="LN5220" t="str">
        <v/>
      </c>
      <c r="LO5220" t="str">
        <v/>
      </c>
    </row>
    <row r="5221" spans="326:327">
      <c r="LN5221" t="str">
        <v/>
      </c>
      <c r="LO5221" t="str">
        <v/>
      </c>
    </row>
    <row r="5222" spans="326:327">
      <c r="LN5222" t="str">
        <v/>
      </c>
      <c r="LO5222" t="str">
        <v/>
      </c>
    </row>
    <row r="5223" spans="326:327">
      <c r="LN5223" t="str">
        <v/>
      </c>
      <c r="LO5223" t="str">
        <v/>
      </c>
    </row>
    <row r="5224" spans="326:327">
      <c r="LN5224" t="str">
        <v/>
      </c>
      <c r="LO5224" t="str">
        <v/>
      </c>
    </row>
    <row r="5225" spans="326:327">
      <c r="LN5225" t="str">
        <v/>
      </c>
      <c r="LO5225" t="str">
        <v/>
      </c>
    </row>
    <row r="5226" spans="326:327">
      <c r="LN5226" t="str">
        <v/>
      </c>
      <c r="LO5226" t="str">
        <v/>
      </c>
    </row>
    <row r="5227" spans="326:327">
      <c r="LN5227" t="str">
        <v/>
      </c>
      <c r="LO5227" t="str">
        <v/>
      </c>
    </row>
    <row r="5228" spans="326:327">
      <c r="LN5228" t="str">
        <v/>
      </c>
      <c r="LO5228" t="str">
        <v/>
      </c>
    </row>
    <row r="5229" spans="326:327">
      <c r="LN5229" t="str">
        <v/>
      </c>
      <c r="LO5229" t="str">
        <v/>
      </c>
    </row>
    <row r="5230" spans="326:327">
      <c r="LN5230" t="str">
        <v/>
      </c>
      <c r="LO5230" t="str">
        <v/>
      </c>
    </row>
    <row r="5231" spans="326:327">
      <c r="LN5231" t="str">
        <v/>
      </c>
      <c r="LO5231" t="str">
        <v/>
      </c>
    </row>
    <row r="5232" spans="326:327">
      <c r="LN5232" t="str">
        <v/>
      </c>
      <c r="LO5232" t="str">
        <v/>
      </c>
    </row>
    <row r="5233" spans="326:327">
      <c r="LN5233" t="str">
        <v/>
      </c>
      <c r="LO5233" t="str">
        <v/>
      </c>
    </row>
    <row r="5234" spans="326:327">
      <c r="LN5234" t="str">
        <v/>
      </c>
      <c r="LO5234" t="str">
        <v/>
      </c>
    </row>
    <row r="5235" spans="326:327">
      <c r="LN5235" t="str">
        <v/>
      </c>
      <c r="LO5235" t="str">
        <v/>
      </c>
    </row>
    <row r="5236" spans="326:327">
      <c r="LN5236" t="str">
        <v/>
      </c>
      <c r="LO5236" t="str">
        <v/>
      </c>
    </row>
    <row r="5237" spans="326:327">
      <c r="LN5237" t="str">
        <v/>
      </c>
      <c r="LO5237" t="str">
        <v/>
      </c>
    </row>
    <row r="5238" spans="326:327">
      <c r="LN5238" t="str">
        <v/>
      </c>
      <c r="LO5238" t="str">
        <v/>
      </c>
    </row>
    <row r="5239" spans="326:327">
      <c r="LN5239" t="str">
        <v/>
      </c>
      <c r="LO5239" t="str">
        <v/>
      </c>
    </row>
    <row r="5240" spans="326:327">
      <c r="LN5240" t="str">
        <v/>
      </c>
      <c r="LO5240" t="str">
        <v/>
      </c>
    </row>
    <row r="5241" spans="326:327">
      <c r="LN5241" t="str">
        <v/>
      </c>
      <c r="LO5241" t="str">
        <v/>
      </c>
    </row>
    <row r="5242" spans="326:327">
      <c r="LN5242" t="str">
        <v/>
      </c>
      <c r="LO5242" t="str">
        <v/>
      </c>
    </row>
    <row r="5243" spans="326:327">
      <c r="LN5243" t="str">
        <v/>
      </c>
      <c r="LO5243" t="str">
        <v/>
      </c>
    </row>
    <row r="5244" spans="326:327">
      <c r="LN5244" t="str">
        <v/>
      </c>
      <c r="LO5244" t="str">
        <v/>
      </c>
    </row>
    <row r="5245" spans="326:327">
      <c r="LN5245" t="str">
        <v/>
      </c>
      <c r="LO5245" t="str">
        <v/>
      </c>
    </row>
    <row r="5246" spans="326:327">
      <c r="LN5246" t="str">
        <v/>
      </c>
      <c r="LO5246" t="str">
        <v/>
      </c>
    </row>
    <row r="5247" spans="326:327">
      <c r="LN5247" t="str">
        <v/>
      </c>
      <c r="LO5247" t="str">
        <v/>
      </c>
    </row>
    <row r="5248" spans="326:327">
      <c r="LN5248" t="str">
        <v/>
      </c>
      <c r="LO5248" t="str">
        <v/>
      </c>
    </row>
    <row r="5249" spans="326:327">
      <c r="LN5249" t="str">
        <v/>
      </c>
      <c r="LO5249" t="str">
        <v/>
      </c>
    </row>
    <row r="5250" spans="326:327">
      <c r="LN5250" t="str">
        <v/>
      </c>
      <c r="LO5250" t="str">
        <v/>
      </c>
    </row>
    <row r="5251" spans="326:327">
      <c r="LN5251" t="str">
        <v/>
      </c>
      <c r="LO5251" t="str">
        <v/>
      </c>
    </row>
    <row r="5252" spans="326:327">
      <c r="LN5252" t="str">
        <v/>
      </c>
      <c r="LO5252" t="str">
        <v/>
      </c>
    </row>
    <row r="5253" spans="326:327">
      <c r="LN5253" t="str">
        <v/>
      </c>
      <c r="LO5253" t="str">
        <v/>
      </c>
    </row>
    <row r="5254" spans="326:327">
      <c r="LN5254" t="str">
        <v/>
      </c>
      <c r="LO5254" t="str">
        <v/>
      </c>
    </row>
    <row r="5255" spans="326:327">
      <c r="LN5255" t="str">
        <v/>
      </c>
      <c r="LO5255" t="str">
        <v/>
      </c>
    </row>
    <row r="5256" spans="326:327">
      <c r="LN5256" t="str">
        <v/>
      </c>
      <c r="LO5256" t="str">
        <v/>
      </c>
    </row>
    <row r="5257" spans="326:327">
      <c r="LN5257" t="str">
        <v/>
      </c>
      <c r="LO5257" t="str">
        <v/>
      </c>
    </row>
    <row r="5258" spans="326:327">
      <c r="LN5258" t="str">
        <v/>
      </c>
      <c r="LO5258" t="str">
        <v/>
      </c>
    </row>
    <row r="5259" spans="326:327">
      <c r="LN5259" t="str">
        <v/>
      </c>
      <c r="LO5259" t="str">
        <v/>
      </c>
    </row>
    <row r="5260" spans="326:327">
      <c r="LN5260" t="str">
        <v/>
      </c>
      <c r="LO5260" t="str">
        <v/>
      </c>
    </row>
    <row r="5261" spans="326:327">
      <c r="LN5261" t="str">
        <v/>
      </c>
      <c r="LO5261" t="str">
        <v/>
      </c>
    </row>
    <row r="5262" spans="326:327">
      <c r="LN5262" t="str">
        <v/>
      </c>
      <c r="LO5262" t="str">
        <v/>
      </c>
    </row>
    <row r="5263" spans="326:327">
      <c r="LN5263" t="str">
        <v/>
      </c>
      <c r="LO5263" t="str">
        <v/>
      </c>
    </row>
    <row r="5264" spans="326:327">
      <c r="LN5264" t="str">
        <v/>
      </c>
      <c r="LO5264" t="str">
        <v/>
      </c>
    </row>
    <row r="5265" spans="326:327">
      <c r="LN5265" t="str">
        <v/>
      </c>
      <c r="LO5265" t="str">
        <v/>
      </c>
    </row>
    <row r="5266" spans="326:327">
      <c r="LN5266" t="str">
        <v/>
      </c>
      <c r="LO5266" t="str">
        <v/>
      </c>
    </row>
    <row r="5267" spans="326:327">
      <c r="LN5267" t="str">
        <v/>
      </c>
      <c r="LO5267" t="str">
        <v/>
      </c>
    </row>
    <row r="5268" spans="326:327">
      <c r="LN5268" t="str">
        <v/>
      </c>
      <c r="LO5268" t="str">
        <v/>
      </c>
    </row>
    <row r="5269" spans="326:327">
      <c r="LN5269" t="str">
        <v/>
      </c>
      <c r="LO5269" t="str">
        <v/>
      </c>
    </row>
    <row r="5270" spans="326:327">
      <c r="LN5270" t="str">
        <v/>
      </c>
      <c r="LO5270" t="str">
        <v/>
      </c>
    </row>
    <row r="5271" spans="326:327">
      <c r="LN5271" t="str">
        <v/>
      </c>
      <c r="LO5271" t="str">
        <v/>
      </c>
    </row>
    <row r="5272" spans="326:327">
      <c r="LN5272" t="str">
        <v/>
      </c>
      <c r="LO5272" t="str">
        <v/>
      </c>
    </row>
    <row r="5273" spans="326:327">
      <c r="LN5273" t="str">
        <v/>
      </c>
      <c r="LO5273" t="str">
        <v/>
      </c>
    </row>
    <row r="5274" spans="326:327">
      <c r="LN5274" t="str">
        <v/>
      </c>
      <c r="LO5274" t="str">
        <v/>
      </c>
    </row>
    <row r="5275" spans="326:327">
      <c r="LN5275" t="str">
        <v/>
      </c>
      <c r="LO5275" t="str">
        <v/>
      </c>
    </row>
    <row r="5276" spans="326:327">
      <c r="LN5276" t="str">
        <v/>
      </c>
      <c r="LO5276" t="str">
        <v/>
      </c>
    </row>
    <row r="5277" spans="326:327">
      <c r="LN5277" t="str">
        <v/>
      </c>
      <c r="LO5277" t="str">
        <v/>
      </c>
    </row>
    <row r="5278" spans="326:327">
      <c r="LN5278" t="str">
        <v/>
      </c>
      <c r="LO5278" t="str">
        <v/>
      </c>
    </row>
    <row r="5279" spans="326:327">
      <c r="LN5279" t="str">
        <v/>
      </c>
      <c r="LO5279" t="str">
        <v/>
      </c>
    </row>
    <row r="5280" spans="326:327">
      <c r="LN5280" t="str">
        <v/>
      </c>
      <c r="LO5280" t="str">
        <v/>
      </c>
    </row>
    <row r="5281" spans="326:327">
      <c r="LN5281" t="str">
        <v/>
      </c>
      <c r="LO5281" t="str">
        <v/>
      </c>
    </row>
    <row r="5282" spans="326:327">
      <c r="LN5282" t="str">
        <v/>
      </c>
      <c r="LO5282" t="str">
        <v/>
      </c>
    </row>
    <row r="5283" spans="326:327">
      <c r="LN5283" t="str">
        <v/>
      </c>
      <c r="LO5283" t="str">
        <v/>
      </c>
    </row>
    <row r="5284" spans="326:327">
      <c r="LN5284" t="str">
        <v/>
      </c>
      <c r="LO5284" t="str">
        <v/>
      </c>
    </row>
    <row r="5285" spans="326:327">
      <c r="LN5285" t="str">
        <v/>
      </c>
      <c r="LO5285" t="str">
        <v/>
      </c>
    </row>
    <row r="5286" spans="326:327">
      <c r="LN5286" t="str">
        <v/>
      </c>
      <c r="LO5286" t="str">
        <v/>
      </c>
    </row>
    <row r="5287" spans="326:327">
      <c r="LN5287" t="str">
        <v/>
      </c>
      <c r="LO5287" t="str">
        <v/>
      </c>
    </row>
    <row r="5288" spans="326:327">
      <c r="LN5288" t="str">
        <v/>
      </c>
      <c r="LO5288" t="str">
        <v/>
      </c>
    </row>
    <row r="5289" spans="326:327">
      <c r="LN5289" t="str">
        <v/>
      </c>
      <c r="LO5289" t="str">
        <v/>
      </c>
    </row>
    <row r="5290" spans="326:327">
      <c r="LN5290" t="str">
        <v/>
      </c>
      <c r="LO5290" t="str">
        <v/>
      </c>
    </row>
    <row r="5291" spans="326:327">
      <c r="LN5291" t="str">
        <v/>
      </c>
      <c r="LO5291" t="str">
        <v/>
      </c>
    </row>
    <row r="5292" spans="326:327">
      <c r="LN5292" t="str">
        <v/>
      </c>
      <c r="LO5292" t="str">
        <v/>
      </c>
    </row>
    <row r="5293" spans="326:327">
      <c r="LN5293" t="str">
        <v/>
      </c>
      <c r="LO5293" t="str">
        <v/>
      </c>
    </row>
    <row r="5294" spans="326:327">
      <c r="LN5294" t="str">
        <v/>
      </c>
      <c r="LO5294" t="str">
        <v/>
      </c>
    </row>
    <row r="5295" spans="326:327">
      <c r="LN5295" t="str">
        <v/>
      </c>
      <c r="LO5295" t="str">
        <v/>
      </c>
    </row>
    <row r="5296" spans="326:327">
      <c r="LN5296" t="str">
        <v/>
      </c>
      <c r="LO5296" t="str">
        <v/>
      </c>
    </row>
    <row r="5297" spans="326:327">
      <c r="LN5297" t="str">
        <v/>
      </c>
      <c r="LO5297" t="str">
        <v/>
      </c>
    </row>
    <row r="5298" spans="326:327">
      <c r="LN5298" t="str">
        <v/>
      </c>
      <c r="LO5298" t="str">
        <v/>
      </c>
    </row>
    <row r="5299" spans="326:327">
      <c r="LN5299" t="str">
        <v/>
      </c>
      <c r="LO5299" t="str">
        <v/>
      </c>
    </row>
    <row r="5300" spans="326:327">
      <c r="LN5300" t="str">
        <v/>
      </c>
      <c r="LO5300" t="str">
        <v/>
      </c>
    </row>
    <row r="5301" spans="326:327">
      <c r="LN5301" t="str">
        <v/>
      </c>
      <c r="LO5301" t="str">
        <v/>
      </c>
    </row>
    <row r="5302" spans="326:327">
      <c r="LN5302" t="str">
        <v/>
      </c>
      <c r="LO5302" t="str">
        <v/>
      </c>
    </row>
    <row r="5303" spans="326:327">
      <c r="LN5303" t="str">
        <v/>
      </c>
      <c r="LO5303" t="str">
        <v/>
      </c>
    </row>
    <row r="5304" spans="326:327">
      <c r="LN5304" t="str">
        <v/>
      </c>
      <c r="LO5304" t="str">
        <v/>
      </c>
    </row>
    <row r="5305" spans="326:327">
      <c r="LN5305" t="str">
        <v/>
      </c>
      <c r="LO5305" t="str">
        <v/>
      </c>
    </row>
    <row r="5306" spans="326:327">
      <c r="LN5306" t="str">
        <v/>
      </c>
      <c r="LO5306" t="str">
        <v/>
      </c>
    </row>
    <row r="5307" spans="326:327">
      <c r="LN5307" t="str">
        <v/>
      </c>
      <c r="LO5307" t="str">
        <v/>
      </c>
    </row>
    <row r="5308" spans="326:327">
      <c r="LN5308" t="str">
        <v/>
      </c>
      <c r="LO5308" t="str">
        <v/>
      </c>
    </row>
    <row r="5309" spans="326:327">
      <c r="LN5309" t="str">
        <v/>
      </c>
      <c r="LO5309" t="str">
        <v/>
      </c>
    </row>
    <row r="5310" spans="326:327">
      <c r="LN5310" t="str">
        <v/>
      </c>
      <c r="LO5310" t="str">
        <v/>
      </c>
    </row>
    <row r="5311" spans="326:327">
      <c r="LN5311" t="str">
        <v/>
      </c>
      <c r="LO5311" t="str">
        <v/>
      </c>
    </row>
    <row r="5312" spans="326:327">
      <c r="LN5312" t="str">
        <v/>
      </c>
      <c r="LO5312" t="str">
        <v/>
      </c>
    </row>
    <row r="5313" spans="326:327">
      <c r="LN5313" t="str">
        <v/>
      </c>
      <c r="LO5313" t="str">
        <v/>
      </c>
    </row>
    <row r="5314" spans="326:327">
      <c r="LN5314" t="str">
        <v/>
      </c>
      <c r="LO5314" t="str">
        <v/>
      </c>
    </row>
    <row r="5315" spans="326:327">
      <c r="LN5315" t="str">
        <v/>
      </c>
      <c r="LO5315" t="str">
        <v/>
      </c>
    </row>
    <row r="5316" spans="326:327">
      <c r="LN5316" t="str">
        <v/>
      </c>
      <c r="LO5316" t="str">
        <v/>
      </c>
    </row>
    <row r="5317" spans="326:327">
      <c r="LN5317" t="str">
        <v/>
      </c>
      <c r="LO5317" t="str">
        <v/>
      </c>
    </row>
    <row r="5318" spans="326:327">
      <c r="LN5318" t="str">
        <v/>
      </c>
      <c r="LO5318" t="str">
        <v/>
      </c>
    </row>
    <row r="5319" spans="326:327">
      <c r="LN5319" t="str">
        <v/>
      </c>
      <c r="LO5319" t="str">
        <v/>
      </c>
    </row>
    <row r="5320" spans="326:327">
      <c r="LN5320" t="str">
        <v/>
      </c>
      <c r="LO5320" t="str">
        <v/>
      </c>
    </row>
    <row r="5321" spans="326:327">
      <c r="LN5321" t="str">
        <v/>
      </c>
      <c r="LO5321" t="str">
        <v/>
      </c>
    </row>
    <row r="5322" spans="326:327">
      <c r="LN5322" t="str">
        <v/>
      </c>
      <c r="LO5322" t="str">
        <v/>
      </c>
    </row>
    <row r="5323" spans="326:327">
      <c r="LN5323" t="str">
        <v/>
      </c>
      <c r="LO5323" t="str">
        <v/>
      </c>
    </row>
    <row r="5324" spans="326:327">
      <c r="LN5324" t="str">
        <v/>
      </c>
      <c r="LO5324" t="str">
        <v/>
      </c>
    </row>
    <row r="5325" spans="326:327">
      <c r="LN5325" t="str">
        <v/>
      </c>
      <c r="LO5325" t="str">
        <v/>
      </c>
    </row>
    <row r="5326" spans="326:327">
      <c r="LN5326" t="str">
        <v/>
      </c>
      <c r="LO5326" t="str">
        <v/>
      </c>
    </row>
    <row r="5327" spans="326:327">
      <c r="LN5327" t="str">
        <v/>
      </c>
      <c r="LO5327" t="str">
        <v/>
      </c>
    </row>
    <row r="5328" spans="326:327">
      <c r="LN5328" t="str">
        <v/>
      </c>
      <c r="LO5328" t="str">
        <v/>
      </c>
    </row>
    <row r="5329" spans="326:327">
      <c r="LN5329" t="str">
        <v/>
      </c>
      <c r="LO5329" t="str">
        <v/>
      </c>
    </row>
    <row r="5330" spans="326:327">
      <c r="LN5330" t="str">
        <v/>
      </c>
      <c r="LO5330" t="str">
        <v/>
      </c>
    </row>
    <row r="5331" spans="326:327">
      <c r="LN5331" t="str">
        <v/>
      </c>
      <c r="LO5331" t="str">
        <v/>
      </c>
    </row>
    <row r="5332" spans="326:327">
      <c r="LN5332" t="str">
        <v/>
      </c>
      <c r="LO5332" t="str">
        <v/>
      </c>
    </row>
    <row r="5333" spans="326:327">
      <c r="LN5333" t="str">
        <v/>
      </c>
      <c r="LO5333" t="str">
        <v/>
      </c>
    </row>
    <row r="5334" spans="326:327">
      <c r="LN5334" t="str">
        <v/>
      </c>
      <c r="LO5334" t="str">
        <v/>
      </c>
    </row>
    <row r="5335" spans="326:327">
      <c r="LN5335" t="str">
        <v/>
      </c>
      <c r="LO5335" t="str">
        <v/>
      </c>
    </row>
    <row r="5336" spans="326:327">
      <c r="LN5336" t="str">
        <v/>
      </c>
      <c r="LO5336" t="str">
        <v/>
      </c>
    </row>
    <row r="5337" spans="326:327">
      <c r="LN5337" t="str">
        <v/>
      </c>
      <c r="LO5337" t="str">
        <v/>
      </c>
    </row>
    <row r="5338" spans="326:327">
      <c r="LN5338" t="str">
        <v/>
      </c>
      <c r="LO5338" t="str">
        <v/>
      </c>
    </row>
    <row r="5339" spans="326:327">
      <c r="LN5339" t="str">
        <v/>
      </c>
      <c r="LO5339" t="str">
        <v/>
      </c>
    </row>
    <row r="5340" spans="326:327">
      <c r="LN5340" t="str">
        <v/>
      </c>
      <c r="LO5340" t="str">
        <v/>
      </c>
    </row>
    <row r="5341" spans="326:327">
      <c r="LN5341" t="str">
        <v/>
      </c>
      <c r="LO5341" t="str">
        <v/>
      </c>
    </row>
    <row r="5342" spans="326:327">
      <c r="LN5342" t="str">
        <v/>
      </c>
      <c r="LO5342" t="str">
        <v/>
      </c>
    </row>
    <row r="5343" spans="326:327">
      <c r="LN5343" t="str">
        <v/>
      </c>
      <c r="LO5343" t="str">
        <v/>
      </c>
    </row>
    <row r="5344" spans="326:327">
      <c r="LN5344" t="str">
        <v/>
      </c>
      <c r="LO5344" t="str">
        <v/>
      </c>
    </row>
    <row r="5345" spans="326:327">
      <c r="LN5345" t="str">
        <v/>
      </c>
      <c r="LO5345" t="str">
        <v/>
      </c>
    </row>
    <row r="5346" spans="326:327">
      <c r="LN5346" t="str">
        <v/>
      </c>
      <c r="LO5346" t="str">
        <v/>
      </c>
    </row>
    <row r="5347" spans="326:327">
      <c r="LN5347" t="str">
        <v/>
      </c>
      <c r="LO5347" t="str">
        <v/>
      </c>
    </row>
    <row r="5348" spans="326:327">
      <c r="LN5348" t="str">
        <v/>
      </c>
      <c r="LO5348" t="str">
        <v/>
      </c>
    </row>
    <row r="5349" spans="326:327">
      <c r="LN5349" t="str">
        <v/>
      </c>
      <c r="LO5349" t="str">
        <v/>
      </c>
    </row>
    <row r="5350" spans="326:327">
      <c r="LN5350" t="str">
        <v/>
      </c>
      <c r="LO5350" t="str">
        <v/>
      </c>
    </row>
    <row r="5351" spans="326:327">
      <c r="LN5351" t="str">
        <v/>
      </c>
      <c r="LO5351" t="str">
        <v/>
      </c>
    </row>
    <row r="5352" spans="326:327">
      <c r="LN5352" t="str">
        <v/>
      </c>
      <c r="LO5352" t="str">
        <v/>
      </c>
    </row>
    <row r="5353" spans="326:327">
      <c r="LN5353" t="str">
        <v/>
      </c>
      <c r="LO5353" t="str">
        <v/>
      </c>
    </row>
    <row r="5354" spans="326:327">
      <c r="LN5354" t="str">
        <v/>
      </c>
      <c r="LO5354" t="str">
        <v/>
      </c>
    </row>
    <row r="5355" spans="326:327">
      <c r="LN5355" t="str">
        <v/>
      </c>
      <c r="LO5355" t="str">
        <v/>
      </c>
    </row>
    <row r="5356" spans="326:327">
      <c r="LN5356" t="str">
        <v/>
      </c>
      <c r="LO5356" t="str">
        <v/>
      </c>
    </row>
    <row r="5357" spans="326:327">
      <c r="LN5357" t="str">
        <v/>
      </c>
      <c r="LO5357" t="str">
        <v/>
      </c>
    </row>
    <row r="5358" spans="326:327">
      <c r="LN5358" t="str">
        <v/>
      </c>
      <c r="LO5358" t="str">
        <v/>
      </c>
    </row>
    <row r="5359" spans="326:327">
      <c r="LN5359" t="str">
        <v/>
      </c>
      <c r="LO5359" t="str">
        <v/>
      </c>
    </row>
    <row r="5360" spans="326:327">
      <c r="LN5360" t="str">
        <v/>
      </c>
      <c r="LO5360" t="str">
        <v/>
      </c>
    </row>
    <row r="5361" spans="326:327">
      <c r="LN5361" t="str">
        <v/>
      </c>
      <c r="LO5361" t="str">
        <v/>
      </c>
    </row>
    <row r="5362" spans="326:327">
      <c r="LN5362" t="str">
        <v/>
      </c>
      <c r="LO5362" t="str">
        <v/>
      </c>
    </row>
    <row r="5363" spans="326:327">
      <c r="LN5363" t="str">
        <v/>
      </c>
      <c r="LO5363" t="str">
        <v/>
      </c>
    </row>
    <row r="5364" spans="326:327">
      <c r="LN5364" t="str">
        <v/>
      </c>
      <c r="LO5364" t="str">
        <v/>
      </c>
    </row>
    <row r="5365" spans="326:327">
      <c r="LN5365" t="str">
        <v/>
      </c>
      <c r="LO5365" t="str">
        <v/>
      </c>
    </row>
    <row r="5366" spans="326:327">
      <c r="LN5366" t="str">
        <v/>
      </c>
      <c r="LO5366" t="str">
        <v/>
      </c>
    </row>
    <row r="5367" spans="326:327">
      <c r="LN5367" t="str">
        <v/>
      </c>
      <c r="LO5367" t="str">
        <v/>
      </c>
    </row>
    <row r="5368" spans="326:327">
      <c r="LN5368" t="str">
        <v/>
      </c>
      <c r="LO5368" t="str">
        <v/>
      </c>
    </row>
    <row r="5369" spans="326:327">
      <c r="LN5369" t="str">
        <v/>
      </c>
      <c r="LO5369" t="str">
        <v/>
      </c>
    </row>
    <row r="5370" spans="326:327">
      <c r="LN5370" t="str">
        <v/>
      </c>
      <c r="LO5370" t="str">
        <v/>
      </c>
    </row>
    <row r="5371" spans="326:327">
      <c r="LN5371" t="str">
        <v/>
      </c>
      <c r="LO5371" t="str">
        <v/>
      </c>
    </row>
    <row r="5372" spans="326:327">
      <c r="LN5372" t="str">
        <v/>
      </c>
      <c r="LO5372" t="str">
        <v/>
      </c>
    </row>
    <row r="5373" spans="326:327">
      <c r="LN5373" t="str">
        <v/>
      </c>
      <c r="LO5373" t="str">
        <v/>
      </c>
    </row>
    <row r="5374" spans="326:327">
      <c r="LN5374" t="str">
        <v/>
      </c>
      <c r="LO5374" t="str">
        <v/>
      </c>
    </row>
    <row r="5375" spans="326:327">
      <c r="LN5375" t="str">
        <v/>
      </c>
      <c r="LO5375" t="str">
        <v/>
      </c>
    </row>
    <row r="5376" spans="326:327">
      <c r="LN5376" t="str">
        <v/>
      </c>
      <c r="LO5376" t="str">
        <v/>
      </c>
    </row>
    <row r="5377" spans="326:327">
      <c r="LN5377" t="str">
        <v/>
      </c>
      <c r="LO5377" t="str">
        <v/>
      </c>
    </row>
    <row r="5378" spans="326:327">
      <c r="LN5378" t="str">
        <v/>
      </c>
      <c r="LO5378" t="str">
        <v/>
      </c>
    </row>
    <row r="5379" spans="326:327">
      <c r="LN5379" t="str">
        <v/>
      </c>
      <c r="LO5379" t="str">
        <v/>
      </c>
    </row>
    <row r="5380" spans="326:327">
      <c r="LN5380" t="str">
        <v/>
      </c>
      <c r="LO5380" t="str">
        <v/>
      </c>
    </row>
    <row r="5381" spans="326:327">
      <c r="LN5381" t="str">
        <v/>
      </c>
      <c r="LO5381" t="str">
        <v/>
      </c>
    </row>
    <row r="5382" spans="326:327">
      <c r="LN5382" t="str">
        <v/>
      </c>
      <c r="LO5382" t="str">
        <v/>
      </c>
    </row>
    <row r="5383" spans="326:327">
      <c r="LN5383" t="str">
        <v/>
      </c>
      <c r="LO5383" t="str">
        <v/>
      </c>
    </row>
    <row r="5384" spans="326:327">
      <c r="LN5384" t="str">
        <v/>
      </c>
      <c r="LO5384" t="str">
        <v/>
      </c>
    </row>
    <row r="5385" spans="326:327">
      <c r="LN5385" t="str">
        <v/>
      </c>
      <c r="LO5385" t="str">
        <v/>
      </c>
    </row>
    <row r="5386" spans="326:327">
      <c r="LN5386" t="str">
        <v/>
      </c>
      <c r="LO5386" t="str">
        <v/>
      </c>
    </row>
    <row r="5387" spans="326:327">
      <c r="LN5387" t="str">
        <v/>
      </c>
      <c r="LO5387" t="str">
        <v/>
      </c>
    </row>
    <row r="5388" spans="326:327">
      <c r="LN5388" t="str">
        <v/>
      </c>
      <c r="LO5388" t="str">
        <v/>
      </c>
    </row>
    <row r="5389" spans="326:327">
      <c r="LN5389" t="str">
        <v/>
      </c>
      <c r="LO5389" t="str">
        <v/>
      </c>
    </row>
    <row r="5390" spans="326:327">
      <c r="LN5390" t="str">
        <v/>
      </c>
      <c r="LO5390" t="str">
        <v/>
      </c>
    </row>
    <row r="5391" spans="326:327">
      <c r="LN5391" t="str">
        <v/>
      </c>
      <c r="LO5391" t="str">
        <v/>
      </c>
    </row>
    <row r="5392" spans="326:327">
      <c r="LN5392" t="str">
        <v/>
      </c>
      <c r="LO5392" t="str">
        <v/>
      </c>
    </row>
    <row r="5393" spans="326:327">
      <c r="LN5393" t="str">
        <v/>
      </c>
      <c r="LO5393" t="str">
        <v/>
      </c>
    </row>
    <row r="5394" spans="326:327">
      <c r="LN5394" t="str">
        <v/>
      </c>
      <c r="LO5394" t="str">
        <v/>
      </c>
    </row>
    <row r="5395" spans="326:327">
      <c r="LN5395" t="str">
        <v/>
      </c>
      <c r="LO5395" t="str">
        <v/>
      </c>
    </row>
    <row r="5396" spans="326:327">
      <c r="LN5396" t="str">
        <v/>
      </c>
      <c r="LO5396" t="str">
        <v/>
      </c>
    </row>
    <row r="5397" spans="326:327">
      <c r="LN5397" t="str">
        <v/>
      </c>
      <c r="LO5397" t="str">
        <v/>
      </c>
    </row>
    <row r="5398" spans="326:327">
      <c r="LN5398" t="str">
        <v/>
      </c>
      <c r="LO5398" t="str">
        <v/>
      </c>
    </row>
    <row r="5399" spans="326:327">
      <c r="LN5399" t="str">
        <v/>
      </c>
      <c r="LO5399" t="str">
        <v/>
      </c>
    </row>
    <row r="5400" spans="326:327">
      <c r="LN5400" t="str">
        <v/>
      </c>
      <c r="LO5400" t="str">
        <v/>
      </c>
    </row>
    <row r="5401" spans="326:327">
      <c r="LN5401" t="str">
        <v/>
      </c>
      <c r="LO5401" t="str">
        <v/>
      </c>
    </row>
    <row r="5402" spans="326:327">
      <c r="LN5402" t="str">
        <v/>
      </c>
      <c r="LO5402" t="str">
        <v/>
      </c>
    </row>
    <row r="5403" spans="326:327">
      <c r="LN5403" t="str">
        <v/>
      </c>
      <c r="LO5403" t="str">
        <v/>
      </c>
    </row>
    <row r="5404" spans="326:327">
      <c r="LN5404" t="str">
        <v/>
      </c>
      <c r="LO5404" t="str">
        <v/>
      </c>
    </row>
    <row r="5405" spans="326:327">
      <c r="LN5405" t="str">
        <v/>
      </c>
      <c r="LO5405" t="str">
        <v/>
      </c>
    </row>
    <row r="5406" spans="326:327">
      <c r="LN5406" t="str">
        <v/>
      </c>
      <c r="LO5406" t="str">
        <v/>
      </c>
    </row>
    <row r="5407" spans="326:327">
      <c r="LN5407" t="str">
        <v/>
      </c>
      <c r="LO5407" t="str">
        <v/>
      </c>
    </row>
    <row r="5408" spans="326:327">
      <c r="LN5408" t="str">
        <v/>
      </c>
      <c r="LO5408" t="str">
        <v/>
      </c>
    </row>
    <row r="5409" spans="326:327">
      <c r="LN5409" t="str">
        <v/>
      </c>
      <c r="LO5409" t="str">
        <v/>
      </c>
    </row>
    <row r="5410" spans="326:327">
      <c r="LN5410" t="str">
        <v/>
      </c>
      <c r="LO5410" t="str">
        <v/>
      </c>
    </row>
    <row r="5411" spans="326:327">
      <c r="LN5411" t="str">
        <v/>
      </c>
      <c r="LO5411" t="str">
        <v/>
      </c>
    </row>
    <row r="5412" spans="326:327">
      <c r="LN5412" t="str">
        <v/>
      </c>
      <c r="LO5412" t="str">
        <v/>
      </c>
    </row>
    <row r="5413" spans="326:327">
      <c r="LN5413" t="str">
        <v/>
      </c>
      <c r="LO5413" t="str">
        <v/>
      </c>
    </row>
    <row r="5414" spans="326:327">
      <c r="LN5414" t="str">
        <v/>
      </c>
      <c r="LO5414" t="str">
        <v/>
      </c>
    </row>
    <row r="5415" spans="326:327">
      <c r="LN5415" t="str">
        <v/>
      </c>
      <c r="LO5415" t="str">
        <v/>
      </c>
    </row>
    <row r="5416" spans="326:327">
      <c r="LN5416" t="str">
        <v/>
      </c>
      <c r="LO5416" t="str">
        <v/>
      </c>
    </row>
    <row r="5417" spans="326:327">
      <c r="LN5417" t="str">
        <v/>
      </c>
      <c r="LO5417" t="str">
        <v/>
      </c>
    </row>
    <row r="5418" spans="326:327">
      <c r="LN5418" t="str">
        <v/>
      </c>
      <c r="LO5418" t="str">
        <v/>
      </c>
    </row>
    <row r="5419" spans="326:327">
      <c r="LN5419" t="str">
        <v/>
      </c>
      <c r="LO5419" t="str">
        <v/>
      </c>
    </row>
    <row r="5420" spans="326:327">
      <c r="LN5420" t="str">
        <v/>
      </c>
      <c r="LO5420" t="str">
        <v/>
      </c>
    </row>
    <row r="5421" spans="326:327">
      <c r="LN5421" t="str">
        <v/>
      </c>
      <c r="LO5421" t="str">
        <v/>
      </c>
    </row>
    <row r="5422" spans="326:327">
      <c r="LN5422" t="str">
        <v/>
      </c>
      <c r="LO5422" t="str">
        <v/>
      </c>
    </row>
    <row r="5423" spans="326:327">
      <c r="LN5423" t="str">
        <v/>
      </c>
      <c r="LO5423" t="str">
        <v/>
      </c>
    </row>
    <row r="5424" spans="326:327">
      <c r="LN5424" t="str">
        <v/>
      </c>
      <c r="LO5424" t="str">
        <v/>
      </c>
    </row>
    <row r="5425" spans="326:327">
      <c r="LN5425" t="str">
        <v/>
      </c>
      <c r="LO5425" t="str">
        <v/>
      </c>
    </row>
    <row r="5426" spans="326:327">
      <c r="LN5426" t="str">
        <v/>
      </c>
      <c r="LO5426" t="str">
        <v/>
      </c>
    </row>
    <row r="5427" spans="326:327">
      <c r="LN5427" t="str">
        <v/>
      </c>
      <c r="LO5427" t="str">
        <v/>
      </c>
    </row>
    <row r="5428" spans="326:327">
      <c r="LN5428" t="str">
        <v/>
      </c>
      <c r="LO5428" t="str">
        <v/>
      </c>
    </row>
    <row r="5429" spans="326:327">
      <c r="LN5429" t="str">
        <v/>
      </c>
      <c r="LO5429" t="str">
        <v/>
      </c>
    </row>
    <row r="5430" spans="326:327">
      <c r="LN5430" t="str">
        <v/>
      </c>
      <c r="LO5430" t="str">
        <v/>
      </c>
    </row>
    <row r="5431" spans="326:327">
      <c r="LN5431" t="str">
        <v/>
      </c>
      <c r="LO5431" t="str">
        <v/>
      </c>
    </row>
    <row r="5432" spans="326:327">
      <c r="LN5432" t="str">
        <v/>
      </c>
      <c r="LO5432" t="str">
        <v/>
      </c>
    </row>
    <row r="5433" spans="326:327">
      <c r="LN5433" t="str">
        <v/>
      </c>
      <c r="LO5433" t="str">
        <v/>
      </c>
    </row>
    <row r="5434" spans="326:327">
      <c r="LN5434" t="str">
        <v/>
      </c>
      <c r="LO5434" t="str">
        <v/>
      </c>
    </row>
    <row r="5435" spans="326:327">
      <c r="LN5435" t="str">
        <v/>
      </c>
      <c r="LO5435" t="str">
        <v/>
      </c>
    </row>
    <row r="5436" spans="326:327">
      <c r="LN5436" t="str">
        <v/>
      </c>
      <c r="LO5436" t="str">
        <v/>
      </c>
    </row>
    <row r="5437" spans="326:327">
      <c r="LN5437" t="str">
        <v/>
      </c>
      <c r="LO5437" t="str">
        <v/>
      </c>
    </row>
    <row r="5438" spans="326:327">
      <c r="LN5438" t="str">
        <v/>
      </c>
      <c r="LO5438" t="str">
        <v/>
      </c>
    </row>
    <row r="5439" spans="326:327">
      <c r="LN5439" t="str">
        <v/>
      </c>
      <c r="LO5439" t="str">
        <v/>
      </c>
    </row>
    <row r="5440" spans="326:327">
      <c r="LN5440" t="str">
        <v/>
      </c>
      <c r="LO5440" t="str">
        <v/>
      </c>
    </row>
    <row r="5441" spans="326:327">
      <c r="LN5441" t="str">
        <v/>
      </c>
      <c r="LO5441" t="str">
        <v/>
      </c>
    </row>
    <row r="5442" spans="326:327">
      <c r="LN5442" t="str">
        <v/>
      </c>
      <c r="LO5442" t="str">
        <v/>
      </c>
    </row>
    <row r="5443" spans="326:327">
      <c r="LN5443" t="str">
        <v/>
      </c>
      <c r="LO5443" t="str">
        <v/>
      </c>
    </row>
    <row r="5444" spans="326:327">
      <c r="LN5444" t="str">
        <v/>
      </c>
      <c r="LO5444" t="str">
        <v/>
      </c>
    </row>
    <row r="5445" spans="326:327">
      <c r="LN5445" t="str">
        <v/>
      </c>
      <c r="LO5445" t="str">
        <v/>
      </c>
    </row>
    <row r="5446" spans="326:327">
      <c r="LN5446" t="str">
        <v/>
      </c>
      <c r="LO5446" t="str">
        <v/>
      </c>
    </row>
    <row r="5447" spans="326:327">
      <c r="LN5447" t="str">
        <v/>
      </c>
      <c r="LO5447" t="str">
        <v/>
      </c>
    </row>
    <row r="5448" spans="326:327">
      <c r="LN5448" t="str">
        <v/>
      </c>
      <c r="LO5448" t="str">
        <v/>
      </c>
    </row>
    <row r="5449" spans="326:327">
      <c r="LN5449" t="str">
        <v/>
      </c>
      <c r="LO5449" t="str">
        <v/>
      </c>
    </row>
    <row r="5450" spans="326:327">
      <c r="LN5450" t="str">
        <v/>
      </c>
      <c r="LO5450" t="str">
        <v/>
      </c>
    </row>
    <row r="5451" spans="326:327">
      <c r="LN5451" t="str">
        <v/>
      </c>
      <c r="LO5451" t="str">
        <v/>
      </c>
    </row>
    <row r="5452" spans="326:327">
      <c r="LN5452" t="str">
        <v/>
      </c>
      <c r="LO5452" t="str">
        <v/>
      </c>
    </row>
    <row r="5453" spans="326:327">
      <c r="LN5453" t="str">
        <v/>
      </c>
      <c r="LO5453" t="str">
        <v/>
      </c>
    </row>
    <row r="5454" spans="326:327">
      <c r="LN5454" t="str">
        <v/>
      </c>
      <c r="LO5454" t="str">
        <v/>
      </c>
    </row>
    <row r="5455" spans="326:327">
      <c r="LN5455" t="str">
        <v/>
      </c>
      <c r="LO5455" t="str">
        <v/>
      </c>
    </row>
    <row r="5456" spans="326:327">
      <c r="LN5456" t="str">
        <v/>
      </c>
      <c r="LO5456" t="str">
        <v/>
      </c>
    </row>
    <row r="5457" spans="326:327">
      <c r="LN5457" t="str">
        <v/>
      </c>
      <c r="LO5457" t="str">
        <v/>
      </c>
    </row>
    <row r="5458" spans="326:327">
      <c r="LN5458" t="str">
        <v/>
      </c>
      <c r="LO5458" t="str">
        <v/>
      </c>
    </row>
    <row r="5459" spans="326:327">
      <c r="LN5459" t="str">
        <v/>
      </c>
      <c r="LO5459" t="str">
        <v/>
      </c>
    </row>
    <row r="5460" spans="326:327">
      <c r="LN5460" t="str">
        <v/>
      </c>
      <c r="LO5460" t="str">
        <v/>
      </c>
    </row>
    <row r="5461" spans="326:327">
      <c r="LN5461" t="str">
        <v/>
      </c>
      <c r="LO5461" t="str">
        <v/>
      </c>
    </row>
    <row r="5462" spans="326:327">
      <c r="LN5462" t="str">
        <v/>
      </c>
      <c r="LO5462" t="str">
        <v/>
      </c>
    </row>
    <row r="5463" spans="326:327">
      <c r="LN5463" t="str">
        <v/>
      </c>
      <c r="LO5463" t="str">
        <v/>
      </c>
    </row>
    <row r="5464" spans="326:327">
      <c r="LN5464" t="str">
        <v/>
      </c>
      <c r="LO5464" t="str">
        <v/>
      </c>
    </row>
    <row r="5465" spans="326:327">
      <c r="LN5465" t="str">
        <v/>
      </c>
      <c r="LO5465" t="str">
        <v/>
      </c>
    </row>
    <row r="5466" spans="326:327">
      <c r="LN5466" t="str">
        <v/>
      </c>
      <c r="LO5466" t="str">
        <v/>
      </c>
    </row>
    <row r="5467" spans="326:327">
      <c r="LN5467" t="str">
        <v/>
      </c>
      <c r="LO5467" t="str">
        <v/>
      </c>
    </row>
    <row r="5468" spans="326:327">
      <c r="LN5468" t="str">
        <v/>
      </c>
      <c r="LO5468" t="str">
        <v/>
      </c>
    </row>
    <row r="5469" spans="326:327">
      <c r="LN5469" t="str">
        <v/>
      </c>
      <c r="LO5469" t="str">
        <v/>
      </c>
    </row>
    <row r="5470" spans="326:327">
      <c r="LN5470" t="str">
        <v/>
      </c>
      <c r="LO5470" t="str">
        <v/>
      </c>
    </row>
    <row r="5471" spans="326:327">
      <c r="LN5471" t="str">
        <v/>
      </c>
      <c r="LO5471" t="str">
        <v/>
      </c>
    </row>
    <row r="5472" spans="326:327">
      <c r="LN5472" t="str">
        <v/>
      </c>
      <c r="LO5472" t="str">
        <v/>
      </c>
    </row>
    <row r="5473" spans="326:327">
      <c r="LN5473" t="str">
        <v/>
      </c>
      <c r="LO5473" t="str">
        <v/>
      </c>
    </row>
    <row r="5474" spans="326:327">
      <c r="LN5474" t="str">
        <v/>
      </c>
      <c r="LO5474" t="str">
        <v/>
      </c>
    </row>
    <row r="5475" spans="326:327">
      <c r="LN5475" t="str">
        <v/>
      </c>
      <c r="LO5475" t="str">
        <v/>
      </c>
    </row>
    <row r="5476" spans="326:327">
      <c r="LN5476" t="str">
        <v/>
      </c>
      <c r="LO5476" t="str">
        <v/>
      </c>
    </row>
    <row r="5477" spans="326:327">
      <c r="LN5477" t="str">
        <v/>
      </c>
      <c r="LO5477" t="str">
        <v/>
      </c>
    </row>
    <row r="5478" spans="326:327">
      <c r="LN5478" t="str">
        <v/>
      </c>
      <c r="LO5478" t="str">
        <v/>
      </c>
    </row>
    <row r="5479" spans="326:327">
      <c r="LN5479" t="str">
        <v/>
      </c>
      <c r="LO5479" t="str">
        <v/>
      </c>
    </row>
    <row r="5480" spans="326:327">
      <c r="LN5480" t="str">
        <v/>
      </c>
      <c r="LO5480" t="str">
        <v/>
      </c>
    </row>
    <row r="5481" spans="326:327">
      <c r="LN5481" t="str">
        <v/>
      </c>
      <c r="LO5481" t="str">
        <v/>
      </c>
    </row>
    <row r="5482" spans="326:327">
      <c r="LN5482" t="str">
        <v/>
      </c>
      <c r="LO5482" t="str">
        <v/>
      </c>
    </row>
    <row r="5483" spans="326:327">
      <c r="LN5483" t="str">
        <v/>
      </c>
      <c r="LO5483" t="str">
        <v/>
      </c>
    </row>
    <row r="5484" spans="326:327">
      <c r="LN5484" t="str">
        <v/>
      </c>
      <c r="LO5484" t="str">
        <v/>
      </c>
    </row>
    <row r="5485" spans="326:327">
      <c r="LN5485" t="str">
        <v/>
      </c>
      <c r="LO5485" t="str">
        <v/>
      </c>
    </row>
    <row r="5486" spans="326:327">
      <c r="LN5486" t="str">
        <v/>
      </c>
      <c r="LO5486" t="str">
        <v/>
      </c>
    </row>
    <row r="5487" spans="326:327">
      <c r="LN5487" t="str">
        <v/>
      </c>
      <c r="LO5487" t="str">
        <v/>
      </c>
    </row>
    <row r="5488" spans="326:327">
      <c r="LN5488" t="str">
        <v/>
      </c>
      <c r="LO5488" t="str">
        <v/>
      </c>
    </row>
    <row r="5489" spans="326:327">
      <c r="LN5489" t="str">
        <v/>
      </c>
      <c r="LO5489" t="str">
        <v/>
      </c>
    </row>
    <row r="5490" spans="326:327">
      <c r="LN5490" t="str">
        <v/>
      </c>
      <c r="LO5490" t="str">
        <v/>
      </c>
    </row>
    <row r="5491" spans="326:327">
      <c r="LN5491" t="str">
        <v/>
      </c>
      <c r="LO5491" t="str">
        <v/>
      </c>
    </row>
    <row r="5492" spans="326:327">
      <c r="LN5492" t="str">
        <v/>
      </c>
      <c r="LO5492" t="str">
        <v/>
      </c>
    </row>
    <row r="5493" spans="326:327">
      <c r="LN5493" t="str">
        <v/>
      </c>
      <c r="LO5493" t="str">
        <v/>
      </c>
    </row>
    <row r="5494" spans="326:327">
      <c r="LN5494" t="str">
        <v/>
      </c>
      <c r="LO5494" t="str">
        <v/>
      </c>
    </row>
    <row r="5495" spans="326:327">
      <c r="LN5495" t="str">
        <v/>
      </c>
      <c r="LO5495" t="str">
        <v/>
      </c>
    </row>
    <row r="5496" spans="326:327">
      <c r="LN5496" t="str">
        <v/>
      </c>
      <c r="LO5496" t="str">
        <v/>
      </c>
    </row>
    <row r="5497" spans="326:327">
      <c r="LN5497" t="str">
        <v/>
      </c>
      <c r="LO5497" t="str">
        <v/>
      </c>
    </row>
    <row r="5498" spans="326:327">
      <c r="LN5498" t="str">
        <v/>
      </c>
      <c r="LO5498" t="str">
        <v/>
      </c>
    </row>
    <row r="5499" spans="326:327">
      <c r="LN5499" t="str">
        <v/>
      </c>
      <c r="LO5499" t="str">
        <v/>
      </c>
    </row>
    <row r="5500" spans="326:327">
      <c r="LN5500" t="str">
        <v/>
      </c>
      <c r="LO5500" t="str">
        <v/>
      </c>
    </row>
    <row r="5501" spans="326:327">
      <c r="LN5501" t="str">
        <v/>
      </c>
      <c r="LO5501" t="str">
        <v/>
      </c>
    </row>
    <row r="5502" spans="326:327">
      <c r="LN5502" t="str">
        <v/>
      </c>
      <c r="LO5502" t="str">
        <v/>
      </c>
    </row>
    <row r="5503" spans="326:327">
      <c r="LN5503" t="str">
        <v/>
      </c>
      <c r="LO5503" t="str">
        <v/>
      </c>
    </row>
    <row r="5504" spans="326:327">
      <c r="LN5504" t="str">
        <v/>
      </c>
      <c r="LO5504" t="str">
        <v/>
      </c>
    </row>
    <row r="5505" spans="326:327">
      <c r="LN5505" t="str">
        <v/>
      </c>
      <c r="LO5505" t="str">
        <v/>
      </c>
    </row>
    <row r="5506" spans="326:327">
      <c r="LN5506" t="str">
        <v/>
      </c>
      <c r="LO5506" t="str">
        <v/>
      </c>
    </row>
    <row r="5507" spans="326:327">
      <c r="LN5507" t="str">
        <v/>
      </c>
      <c r="LO5507" t="str">
        <v/>
      </c>
    </row>
    <row r="5508" spans="326:327">
      <c r="LN5508" t="str">
        <v/>
      </c>
      <c r="LO5508" t="str">
        <v/>
      </c>
    </row>
    <row r="5509" spans="326:327">
      <c r="LN5509" t="str">
        <v/>
      </c>
      <c r="LO5509" t="str">
        <v/>
      </c>
    </row>
    <row r="5510" spans="326:327">
      <c r="LN5510" t="str">
        <v/>
      </c>
      <c r="LO5510" t="str">
        <v/>
      </c>
    </row>
    <row r="5511" spans="326:327">
      <c r="LN5511" t="str">
        <v/>
      </c>
      <c r="LO5511" t="str">
        <v/>
      </c>
    </row>
    <row r="5512" spans="326:327">
      <c r="LN5512" t="str">
        <v/>
      </c>
      <c r="LO5512" t="str">
        <v/>
      </c>
    </row>
    <row r="5513" spans="326:327">
      <c r="LN5513" t="str">
        <v/>
      </c>
      <c r="LO5513" t="str">
        <v/>
      </c>
    </row>
    <row r="5514" spans="326:327">
      <c r="LN5514" t="str">
        <v/>
      </c>
      <c r="LO5514" t="str">
        <v/>
      </c>
    </row>
    <row r="5515" spans="326:327">
      <c r="LN5515" t="str">
        <v/>
      </c>
      <c r="LO5515" t="str">
        <v/>
      </c>
    </row>
    <row r="5516" spans="326:327">
      <c r="LN5516" t="str">
        <v/>
      </c>
      <c r="LO5516" t="str">
        <v/>
      </c>
    </row>
    <row r="5517" spans="326:327">
      <c r="LN5517" t="str">
        <v/>
      </c>
      <c r="LO5517" t="str">
        <v/>
      </c>
    </row>
    <row r="5518" spans="326:327">
      <c r="LN5518" t="str">
        <v/>
      </c>
      <c r="LO5518" t="str">
        <v/>
      </c>
    </row>
    <row r="5519" spans="326:327">
      <c r="LN5519" t="str">
        <v/>
      </c>
      <c r="LO5519" t="str">
        <v/>
      </c>
    </row>
    <row r="5520" spans="326:327">
      <c r="LN5520" t="str">
        <v/>
      </c>
      <c r="LO5520" t="str">
        <v/>
      </c>
    </row>
    <row r="5521" spans="326:327">
      <c r="LN5521" t="str">
        <v/>
      </c>
      <c r="LO5521" t="str">
        <v/>
      </c>
    </row>
    <row r="5522" spans="326:327">
      <c r="LN5522" t="str">
        <v/>
      </c>
      <c r="LO5522" t="str">
        <v/>
      </c>
    </row>
    <row r="5523" spans="326:327">
      <c r="LN5523" t="str">
        <v/>
      </c>
      <c r="LO5523" t="str">
        <v/>
      </c>
    </row>
    <row r="5524" spans="326:327">
      <c r="LN5524" t="str">
        <v/>
      </c>
      <c r="LO5524" t="str">
        <v/>
      </c>
    </row>
    <row r="5525" spans="326:327">
      <c r="LN5525" t="str">
        <v/>
      </c>
      <c r="LO5525" t="str">
        <v/>
      </c>
    </row>
    <row r="5526" spans="326:327">
      <c r="LN5526" t="str">
        <v/>
      </c>
      <c r="LO5526" t="str">
        <v/>
      </c>
    </row>
    <row r="5527" spans="326:327">
      <c r="LN5527" t="str">
        <v/>
      </c>
      <c r="LO5527" t="str">
        <v/>
      </c>
    </row>
    <row r="5528" spans="326:327">
      <c r="LN5528" t="str">
        <v/>
      </c>
      <c r="LO5528" t="str">
        <v/>
      </c>
    </row>
    <row r="5529" spans="326:327">
      <c r="LN5529" t="str">
        <v/>
      </c>
      <c r="LO5529" t="str">
        <v/>
      </c>
    </row>
    <row r="5530" spans="326:327">
      <c r="LN5530" t="str">
        <v/>
      </c>
      <c r="LO5530" t="str">
        <v/>
      </c>
    </row>
    <row r="5531" spans="326:327">
      <c r="LN5531" t="str">
        <v/>
      </c>
      <c r="LO5531" t="str">
        <v/>
      </c>
    </row>
    <row r="5532" spans="326:327">
      <c r="LN5532" t="str">
        <v/>
      </c>
      <c r="LO5532" t="str">
        <v/>
      </c>
    </row>
    <row r="5533" spans="326:327">
      <c r="LN5533" t="str">
        <v/>
      </c>
      <c r="LO5533" t="str">
        <v/>
      </c>
    </row>
    <row r="5534" spans="326:327">
      <c r="LN5534" t="str">
        <v/>
      </c>
      <c r="LO5534" t="str">
        <v/>
      </c>
    </row>
    <row r="5535" spans="326:327">
      <c r="LN5535" t="str">
        <v/>
      </c>
      <c r="LO5535" t="str">
        <v/>
      </c>
    </row>
    <row r="5536" spans="326:327">
      <c r="LN5536" t="str">
        <v/>
      </c>
      <c r="LO5536" t="str">
        <v/>
      </c>
    </row>
    <row r="5537" spans="326:327">
      <c r="LN5537" t="str">
        <v/>
      </c>
      <c r="LO5537" t="str">
        <v/>
      </c>
    </row>
    <row r="5538" spans="326:327">
      <c r="LN5538" t="str">
        <v/>
      </c>
      <c r="LO5538" t="str">
        <v/>
      </c>
    </row>
    <row r="5539" spans="326:327">
      <c r="LN5539" t="str">
        <v/>
      </c>
      <c r="LO5539" t="str">
        <v/>
      </c>
    </row>
    <row r="5540" spans="326:327">
      <c r="LN5540" t="str">
        <v/>
      </c>
      <c r="LO5540" t="str">
        <v/>
      </c>
    </row>
    <row r="5541" spans="326:327">
      <c r="LN5541" t="str">
        <v/>
      </c>
      <c r="LO5541" t="str">
        <v/>
      </c>
    </row>
    <row r="5542" spans="326:327">
      <c r="LN5542" t="str">
        <v/>
      </c>
      <c r="LO5542" t="str">
        <v/>
      </c>
    </row>
    <row r="5543" spans="326:327">
      <c r="LN5543" t="str">
        <v/>
      </c>
      <c r="LO5543" t="str">
        <v/>
      </c>
    </row>
    <row r="5544" spans="326:327">
      <c r="LN5544" t="str">
        <v/>
      </c>
      <c r="LO5544" t="str">
        <v/>
      </c>
    </row>
    <row r="5545" spans="326:327">
      <c r="LN5545" t="str">
        <v/>
      </c>
      <c r="LO5545" t="str">
        <v/>
      </c>
    </row>
    <row r="5546" spans="326:327">
      <c r="LN5546" t="str">
        <v/>
      </c>
      <c r="LO5546" t="str">
        <v/>
      </c>
    </row>
    <row r="5547" spans="326:327">
      <c r="LN5547" t="str">
        <v/>
      </c>
      <c r="LO5547" t="str">
        <v/>
      </c>
    </row>
    <row r="5548" spans="326:327">
      <c r="LN5548" t="str">
        <v/>
      </c>
      <c r="LO5548" t="str">
        <v/>
      </c>
    </row>
    <row r="5549" spans="326:327">
      <c r="LN5549" t="str">
        <v/>
      </c>
      <c r="LO5549" t="str">
        <v/>
      </c>
    </row>
    <row r="5550" spans="326:327">
      <c r="LN5550" t="str">
        <v/>
      </c>
      <c r="LO5550" t="str">
        <v/>
      </c>
    </row>
    <row r="5551" spans="326:327">
      <c r="LN5551" t="str">
        <v/>
      </c>
      <c r="LO5551" t="str">
        <v/>
      </c>
    </row>
    <row r="5552" spans="326:327">
      <c r="LN5552" t="str">
        <v/>
      </c>
      <c r="LO5552" t="str">
        <v/>
      </c>
    </row>
    <row r="5553" spans="326:327">
      <c r="LN5553" t="str">
        <v/>
      </c>
      <c r="LO5553" t="str">
        <v/>
      </c>
    </row>
    <row r="5554" spans="326:327">
      <c r="LN5554" t="str">
        <v/>
      </c>
      <c r="LO5554" t="str">
        <v/>
      </c>
    </row>
    <row r="5555" spans="326:327">
      <c r="LN5555" t="str">
        <v/>
      </c>
      <c r="LO5555" t="str">
        <v/>
      </c>
    </row>
    <row r="5556" spans="326:327">
      <c r="LN5556" t="str">
        <v/>
      </c>
      <c r="LO5556" t="str">
        <v/>
      </c>
    </row>
    <row r="5557" spans="326:327">
      <c r="LN5557" t="str">
        <v/>
      </c>
      <c r="LO5557" t="str">
        <v/>
      </c>
    </row>
    <row r="5558" spans="326:327">
      <c r="LN5558" t="str">
        <v/>
      </c>
      <c r="LO5558" t="str">
        <v/>
      </c>
    </row>
    <row r="5559" spans="326:327">
      <c r="LN5559" t="str">
        <v/>
      </c>
      <c r="LO5559" t="str">
        <v/>
      </c>
    </row>
    <row r="5560" spans="326:327">
      <c r="LN5560" t="str">
        <v/>
      </c>
      <c r="LO5560" t="str">
        <v/>
      </c>
    </row>
    <row r="5561" spans="326:327">
      <c r="LN5561" t="str">
        <v/>
      </c>
      <c r="LO5561" t="str">
        <v/>
      </c>
    </row>
    <row r="5562" spans="326:327">
      <c r="LN5562" t="str">
        <v/>
      </c>
      <c r="LO5562" t="str">
        <v/>
      </c>
    </row>
    <row r="5563" spans="326:327">
      <c r="LN5563" t="str">
        <v/>
      </c>
      <c r="LO5563" t="str">
        <v/>
      </c>
    </row>
    <row r="5564" spans="326:327">
      <c r="LN5564" t="str">
        <v/>
      </c>
      <c r="LO5564" t="str">
        <v/>
      </c>
    </row>
    <row r="5565" spans="326:327">
      <c r="LN5565" t="str">
        <v/>
      </c>
      <c r="LO5565" t="str">
        <v/>
      </c>
    </row>
    <row r="5566" spans="326:327">
      <c r="LN5566" t="str">
        <v/>
      </c>
      <c r="LO5566" t="str">
        <v/>
      </c>
    </row>
    <row r="5567" spans="326:327">
      <c r="LN5567" t="str">
        <v/>
      </c>
      <c r="LO5567" t="str">
        <v/>
      </c>
    </row>
    <row r="5568" spans="326:327">
      <c r="LN5568" t="str">
        <v/>
      </c>
      <c r="LO5568" t="str">
        <v/>
      </c>
    </row>
    <row r="5569" spans="326:327">
      <c r="LN5569" t="str">
        <v/>
      </c>
      <c r="LO5569" t="str">
        <v/>
      </c>
    </row>
    <row r="5570" spans="326:327">
      <c r="LN5570" t="str">
        <v/>
      </c>
      <c r="LO5570" t="str">
        <v/>
      </c>
    </row>
    <row r="5571" spans="326:327">
      <c r="LN5571" t="str">
        <v/>
      </c>
      <c r="LO5571" t="str">
        <v/>
      </c>
    </row>
    <row r="5572" spans="326:327">
      <c r="LN5572" t="str">
        <v/>
      </c>
      <c r="LO5572" t="str">
        <v/>
      </c>
    </row>
    <row r="5573" spans="326:327">
      <c r="LN5573" t="str">
        <v/>
      </c>
      <c r="LO5573" t="str">
        <v/>
      </c>
    </row>
    <row r="5574" spans="326:327">
      <c r="LN5574" t="str">
        <v/>
      </c>
      <c r="LO5574" t="str">
        <v/>
      </c>
    </row>
    <row r="5575" spans="326:327">
      <c r="LN5575" t="str">
        <v/>
      </c>
      <c r="LO5575" t="str">
        <v/>
      </c>
    </row>
    <row r="5576" spans="326:327">
      <c r="LN5576" t="str">
        <v/>
      </c>
      <c r="LO5576" t="str">
        <v/>
      </c>
    </row>
    <row r="5577" spans="326:327">
      <c r="LN5577" t="str">
        <v/>
      </c>
      <c r="LO5577" t="str">
        <v/>
      </c>
    </row>
    <row r="5578" spans="326:327">
      <c r="LN5578" t="str">
        <v/>
      </c>
      <c r="LO5578" t="str">
        <v/>
      </c>
    </row>
    <row r="5579" spans="326:327">
      <c r="LN5579" t="str">
        <v/>
      </c>
      <c r="LO5579" t="str">
        <v/>
      </c>
    </row>
    <row r="5580" spans="326:327">
      <c r="LN5580" t="str">
        <v/>
      </c>
      <c r="LO5580" t="str">
        <v/>
      </c>
    </row>
    <row r="5581" spans="326:327">
      <c r="LN5581" t="str">
        <v/>
      </c>
      <c r="LO5581" t="str">
        <v/>
      </c>
    </row>
    <row r="5582" spans="326:327">
      <c r="LN5582" t="str">
        <v/>
      </c>
      <c r="LO5582" t="str">
        <v/>
      </c>
    </row>
    <row r="5583" spans="326:327">
      <c r="LN5583" t="str">
        <v/>
      </c>
      <c r="LO5583" t="str">
        <v/>
      </c>
    </row>
    <row r="5584" spans="326:327">
      <c r="LN5584" t="str">
        <v/>
      </c>
      <c r="LO5584" t="str">
        <v/>
      </c>
    </row>
    <row r="5585" spans="326:327">
      <c r="LN5585" t="str">
        <v/>
      </c>
      <c r="LO5585" t="str">
        <v/>
      </c>
    </row>
    <row r="5586" spans="326:327">
      <c r="LN5586" t="str">
        <v/>
      </c>
      <c r="LO5586" t="str">
        <v/>
      </c>
    </row>
    <row r="5587" spans="326:327">
      <c r="LN5587" t="str">
        <v/>
      </c>
      <c r="LO5587" t="str">
        <v/>
      </c>
    </row>
    <row r="5588" spans="326:327">
      <c r="LN5588" t="str">
        <v/>
      </c>
      <c r="LO5588" t="str">
        <v/>
      </c>
    </row>
    <row r="5589" spans="326:327">
      <c r="LN5589" t="str">
        <v/>
      </c>
      <c r="LO5589" t="str">
        <v/>
      </c>
    </row>
    <row r="5590" spans="326:327">
      <c r="LN5590" t="str">
        <v/>
      </c>
      <c r="LO5590" t="str">
        <v/>
      </c>
    </row>
    <row r="5591" spans="326:327">
      <c r="LN5591" t="str">
        <v/>
      </c>
      <c r="LO5591" t="str">
        <v/>
      </c>
    </row>
    <row r="5592" spans="326:327">
      <c r="LN5592" t="str">
        <v/>
      </c>
      <c r="LO5592" t="str">
        <v/>
      </c>
    </row>
    <row r="5593" spans="326:327">
      <c r="LN5593" t="str">
        <v/>
      </c>
      <c r="LO5593" t="str">
        <v/>
      </c>
    </row>
    <row r="5594" spans="326:327">
      <c r="LN5594" t="str">
        <v/>
      </c>
      <c r="LO5594" t="str">
        <v/>
      </c>
    </row>
    <row r="5595" spans="326:327">
      <c r="LN5595" t="str">
        <v/>
      </c>
      <c r="LO5595" t="str">
        <v/>
      </c>
    </row>
    <row r="5596" spans="326:327">
      <c r="LN5596" t="str">
        <v/>
      </c>
      <c r="LO5596" t="str">
        <v/>
      </c>
    </row>
    <row r="5597" spans="326:327">
      <c r="LN5597" t="str">
        <v/>
      </c>
      <c r="LO5597" t="str">
        <v/>
      </c>
    </row>
    <row r="5598" spans="326:327">
      <c r="LN5598" t="str">
        <v/>
      </c>
      <c r="LO5598" t="str">
        <v/>
      </c>
    </row>
    <row r="5599" spans="326:327">
      <c r="LN5599" t="str">
        <v/>
      </c>
      <c r="LO5599" t="str">
        <v/>
      </c>
    </row>
    <row r="5600" spans="326:327">
      <c r="LN5600" t="str">
        <v/>
      </c>
      <c r="LO5600" t="str">
        <v/>
      </c>
    </row>
    <row r="5601" spans="326:327">
      <c r="LN5601" t="str">
        <v/>
      </c>
      <c r="LO5601" t="str">
        <v/>
      </c>
    </row>
    <row r="5602" spans="326:327">
      <c r="LN5602" t="str">
        <v/>
      </c>
      <c r="LO5602" t="str">
        <v/>
      </c>
    </row>
    <row r="5603" spans="326:327">
      <c r="LN5603" t="str">
        <v/>
      </c>
      <c r="LO5603" t="str">
        <v/>
      </c>
    </row>
    <row r="5604" spans="326:327">
      <c r="LN5604" t="str">
        <v/>
      </c>
      <c r="LO5604" t="str">
        <v/>
      </c>
    </row>
    <row r="5605" spans="326:327">
      <c r="LN5605" t="str">
        <v/>
      </c>
      <c r="LO5605" t="str">
        <v/>
      </c>
    </row>
    <row r="5606" spans="326:327">
      <c r="LN5606" t="str">
        <v/>
      </c>
      <c r="LO5606" t="str">
        <v/>
      </c>
    </row>
    <row r="5607" spans="326:327">
      <c r="LN5607" t="str">
        <v/>
      </c>
      <c r="LO5607" t="str">
        <v/>
      </c>
    </row>
    <row r="5608" spans="326:327">
      <c r="LN5608" t="str">
        <v/>
      </c>
      <c r="LO5608" t="str">
        <v/>
      </c>
    </row>
    <row r="5609" spans="326:327">
      <c r="LN5609" t="str">
        <v/>
      </c>
      <c r="LO5609" t="str">
        <v/>
      </c>
    </row>
    <row r="5610" spans="326:327">
      <c r="LN5610" t="str">
        <v/>
      </c>
      <c r="LO5610" t="str">
        <v/>
      </c>
    </row>
    <row r="5611" spans="326:327">
      <c r="LN5611" t="str">
        <v/>
      </c>
      <c r="LO5611" t="str">
        <v/>
      </c>
    </row>
    <row r="5612" spans="326:327">
      <c r="LN5612" t="str">
        <v/>
      </c>
      <c r="LO5612" t="str">
        <v/>
      </c>
    </row>
    <row r="5613" spans="326:327">
      <c r="LN5613" t="str">
        <v/>
      </c>
      <c r="LO5613" t="str">
        <v/>
      </c>
    </row>
    <row r="5614" spans="326:327">
      <c r="LN5614" t="str">
        <v/>
      </c>
      <c r="LO5614" t="str">
        <v/>
      </c>
    </row>
    <row r="5615" spans="326:327">
      <c r="LN5615" t="str">
        <v/>
      </c>
      <c r="LO5615" t="str">
        <v/>
      </c>
    </row>
    <row r="5616" spans="326:327">
      <c r="LN5616" t="str">
        <v/>
      </c>
      <c r="LO5616" t="str">
        <v/>
      </c>
    </row>
    <row r="5617" spans="326:327">
      <c r="LN5617" t="str">
        <v/>
      </c>
      <c r="LO5617" t="str">
        <v/>
      </c>
    </row>
    <row r="5618" spans="326:327">
      <c r="LN5618" t="str">
        <v/>
      </c>
      <c r="LO5618" t="str">
        <v/>
      </c>
    </row>
    <row r="5619" spans="326:327">
      <c r="LN5619" t="str">
        <v/>
      </c>
      <c r="LO5619" t="str">
        <v/>
      </c>
    </row>
    <row r="5620" spans="326:327">
      <c r="LN5620" t="str">
        <v/>
      </c>
      <c r="LO5620" t="str">
        <v/>
      </c>
    </row>
    <row r="5621" spans="326:327">
      <c r="LN5621" t="str">
        <v/>
      </c>
      <c r="LO5621" t="str">
        <v/>
      </c>
    </row>
    <row r="5622" spans="326:327">
      <c r="LN5622" t="str">
        <v/>
      </c>
      <c r="LO5622" t="str">
        <v/>
      </c>
    </row>
    <row r="5623" spans="326:327">
      <c r="LN5623" t="str">
        <v/>
      </c>
      <c r="LO5623" t="str">
        <v/>
      </c>
    </row>
    <row r="5624" spans="326:327">
      <c r="LN5624" t="str">
        <v/>
      </c>
      <c r="LO5624" t="str">
        <v/>
      </c>
    </row>
    <row r="5625" spans="326:327">
      <c r="LN5625" t="str">
        <v/>
      </c>
      <c r="LO5625" t="str">
        <v/>
      </c>
    </row>
    <row r="5626" spans="326:327">
      <c r="LN5626" t="str">
        <v/>
      </c>
      <c r="LO5626" t="str">
        <v/>
      </c>
    </row>
    <row r="5627" spans="326:327">
      <c r="LN5627" t="str">
        <v/>
      </c>
      <c r="LO5627" t="str">
        <v/>
      </c>
    </row>
    <row r="5628" spans="326:327">
      <c r="LN5628" t="str">
        <v/>
      </c>
      <c r="LO5628" t="str">
        <v/>
      </c>
    </row>
    <row r="5629" spans="326:327">
      <c r="LN5629" t="str">
        <v/>
      </c>
      <c r="LO5629" t="str">
        <v/>
      </c>
    </row>
    <row r="5630" spans="326:327">
      <c r="LN5630" t="str">
        <v/>
      </c>
      <c r="LO5630" t="str">
        <v/>
      </c>
    </row>
    <row r="5631" spans="326:327">
      <c r="LN5631" t="str">
        <v/>
      </c>
      <c r="LO5631" t="str">
        <v/>
      </c>
    </row>
    <row r="5632" spans="326:327">
      <c r="LN5632" t="str">
        <v/>
      </c>
      <c r="LO5632" t="str">
        <v/>
      </c>
    </row>
    <row r="5633" spans="326:327">
      <c r="LN5633" t="str">
        <v/>
      </c>
      <c r="LO5633" t="str">
        <v/>
      </c>
    </row>
    <row r="5634" spans="326:327">
      <c r="LN5634" t="str">
        <v/>
      </c>
      <c r="LO5634" t="str">
        <v/>
      </c>
    </row>
    <row r="5635" spans="326:327">
      <c r="LN5635" t="str">
        <v/>
      </c>
      <c r="LO5635" t="str">
        <v/>
      </c>
    </row>
    <row r="5636" spans="326:327">
      <c r="LN5636" t="str">
        <v/>
      </c>
      <c r="LO5636" t="str">
        <v/>
      </c>
    </row>
    <row r="5637" spans="326:327">
      <c r="LN5637" t="str">
        <v/>
      </c>
      <c r="LO5637" t="str">
        <v/>
      </c>
    </row>
    <row r="5638" spans="326:327">
      <c r="LN5638" t="str">
        <v/>
      </c>
      <c r="LO5638" t="str">
        <v/>
      </c>
    </row>
    <row r="5639" spans="326:327">
      <c r="LN5639" t="str">
        <v/>
      </c>
      <c r="LO5639" t="str">
        <v/>
      </c>
    </row>
    <row r="5640" spans="326:327">
      <c r="LN5640" t="str">
        <v/>
      </c>
      <c r="LO5640" t="str">
        <v/>
      </c>
    </row>
    <row r="5641" spans="326:327">
      <c r="LN5641" t="str">
        <v/>
      </c>
      <c r="LO5641" t="str">
        <v/>
      </c>
    </row>
    <row r="5642" spans="326:327">
      <c r="LN5642" t="str">
        <v/>
      </c>
      <c r="LO5642" t="str">
        <v/>
      </c>
    </row>
    <row r="5643" spans="326:327">
      <c r="LN5643" t="str">
        <v/>
      </c>
      <c r="LO5643" t="str">
        <v/>
      </c>
    </row>
    <row r="5644" spans="326:327">
      <c r="LN5644" t="str">
        <v/>
      </c>
      <c r="LO5644" t="str">
        <v/>
      </c>
    </row>
    <row r="5645" spans="326:327">
      <c r="LN5645" t="str">
        <v/>
      </c>
      <c r="LO5645" t="str">
        <v/>
      </c>
    </row>
    <row r="5646" spans="326:327">
      <c r="LN5646" t="str">
        <v/>
      </c>
      <c r="LO5646" t="str">
        <v/>
      </c>
    </row>
    <row r="5647" spans="326:327">
      <c r="LN5647" t="str">
        <v/>
      </c>
      <c r="LO5647" t="str">
        <v/>
      </c>
    </row>
    <row r="5648" spans="326:327">
      <c r="LN5648" t="str">
        <v/>
      </c>
      <c r="LO5648" t="str">
        <v/>
      </c>
    </row>
    <row r="5649" spans="326:327">
      <c r="LN5649" t="str">
        <v/>
      </c>
      <c r="LO5649" t="str">
        <v/>
      </c>
    </row>
    <row r="5650" spans="326:327">
      <c r="LN5650" t="str">
        <v/>
      </c>
      <c r="LO5650" t="str">
        <v/>
      </c>
    </row>
    <row r="5651" spans="326:327">
      <c r="LN5651" t="str">
        <v/>
      </c>
      <c r="LO5651" t="str">
        <v/>
      </c>
    </row>
    <row r="5652" spans="326:327">
      <c r="LN5652" t="str">
        <v/>
      </c>
      <c r="LO5652" t="str">
        <v/>
      </c>
    </row>
    <row r="5653" spans="326:327">
      <c r="LN5653" t="str">
        <v/>
      </c>
      <c r="LO5653" t="str">
        <v/>
      </c>
    </row>
    <row r="5654" spans="326:327">
      <c r="LN5654" t="str">
        <v/>
      </c>
      <c r="LO5654" t="str">
        <v/>
      </c>
    </row>
    <row r="5655" spans="326:327">
      <c r="LN5655" t="str">
        <v/>
      </c>
      <c r="LO5655" t="str">
        <v/>
      </c>
    </row>
    <row r="5656" spans="326:327">
      <c r="LN5656" t="str">
        <v/>
      </c>
      <c r="LO5656" t="str">
        <v/>
      </c>
    </row>
    <row r="5657" spans="326:327">
      <c r="LN5657" t="str">
        <v/>
      </c>
      <c r="LO5657" t="str">
        <v/>
      </c>
    </row>
    <row r="5658" spans="326:327">
      <c r="LN5658" t="str">
        <v/>
      </c>
      <c r="LO5658" t="str">
        <v/>
      </c>
    </row>
    <row r="5659" spans="326:327">
      <c r="LN5659" t="str">
        <v/>
      </c>
      <c r="LO5659" t="str">
        <v/>
      </c>
    </row>
    <row r="5660" spans="326:327">
      <c r="LN5660" t="str">
        <v/>
      </c>
      <c r="LO5660" t="str">
        <v/>
      </c>
    </row>
    <row r="5661" spans="326:327">
      <c r="LN5661" t="str">
        <v/>
      </c>
      <c r="LO5661" t="str">
        <v/>
      </c>
    </row>
    <row r="5662" spans="326:327">
      <c r="LN5662" t="str">
        <v/>
      </c>
      <c r="LO5662" t="str">
        <v/>
      </c>
    </row>
    <row r="5663" spans="326:327">
      <c r="LN5663" t="str">
        <v/>
      </c>
      <c r="LO5663" t="str">
        <v/>
      </c>
    </row>
    <row r="5664" spans="326:327">
      <c r="LN5664" t="str">
        <v/>
      </c>
      <c r="LO5664" t="str">
        <v/>
      </c>
    </row>
    <row r="5665" spans="326:327">
      <c r="LN5665" t="str">
        <v/>
      </c>
      <c r="LO5665" t="str">
        <v/>
      </c>
    </row>
    <row r="5666" spans="326:327">
      <c r="LN5666" t="str">
        <v/>
      </c>
      <c r="LO5666" t="str">
        <v/>
      </c>
    </row>
    <row r="5667" spans="326:327">
      <c r="LN5667" t="str">
        <v/>
      </c>
      <c r="LO5667" t="str">
        <v/>
      </c>
    </row>
    <row r="5668" spans="326:327">
      <c r="LN5668" t="str">
        <v/>
      </c>
      <c r="LO5668" t="str">
        <v/>
      </c>
    </row>
    <row r="5669" spans="326:327">
      <c r="LN5669" t="str">
        <v/>
      </c>
      <c r="LO5669" t="str">
        <v/>
      </c>
    </row>
    <row r="5670" spans="326:327">
      <c r="LN5670" t="str">
        <v/>
      </c>
      <c r="LO5670" t="str">
        <v/>
      </c>
    </row>
    <row r="5671" spans="326:327">
      <c r="LN5671" t="str">
        <v/>
      </c>
      <c r="LO5671" t="str">
        <v/>
      </c>
    </row>
    <row r="5672" spans="326:327">
      <c r="LN5672" t="str">
        <v/>
      </c>
      <c r="LO5672" t="str">
        <v/>
      </c>
    </row>
    <row r="5673" spans="326:327">
      <c r="LN5673" t="str">
        <v/>
      </c>
      <c r="LO5673" t="str">
        <v/>
      </c>
    </row>
    <row r="5674" spans="326:327">
      <c r="LN5674" t="str">
        <v/>
      </c>
      <c r="LO5674" t="str">
        <v/>
      </c>
    </row>
    <row r="5675" spans="326:327">
      <c r="LN5675" t="str">
        <v/>
      </c>
      <c r="LO5675" t="str">
        <v/>
      </c>
    </row>
    <row r="5676" spans="326:327">
      <c r="LN5676" t="str">
        <v/>
      </c>
      <c r="LO5676" t="str">
        <v/>
      </c>
    </row>
    <row r="5677" spans="326:327">
      <c r="LN5677" t="str">
        <v/>
      </c>
      <c r="LO5677" t="str">
        <v/>
      </c>
    </row>
    <row r="5678" spans="326:327">
      <c r="LN5678" t="str">
        <v/>
      </c>
      <c r="LO5678" t="str">
        <v/>
      </c>
    </row>
    <row r="5679" spans="326:327">
      <c r="LN5679" t="str">
        <v/>
      </c>
      <c r="LO5679" t="str">
        <v/>
      </c>
    </row>
    <row r="5680" spans="326:327">
      <c r="LN5680" t="str">
        <v/>
      </c>
      <c r="LO5680" t="str">
        <v/>
      </c>
    </row>
    <row r="5681" spans="326:327">
      <c r="LN5681" t="str">
        <v/>
      </c>
      <c r="LO5681" t="str">
        <v/>
      </c>
    </row>
    <row r="5682" spans="326:327">
      <c r="LN5682" t="str">
        <v/>
      </c>
      <c r="LO5682" t="str">
        <v/>
      </c>
    </row>
    <row r="5683" spans="326:327">
      <c r="LN5683" t="str">
        <v/>
      </c>
      <c r="LO5683" t="str">
        <v/>
      </c>
    </row>
    <row r="5684" spans="326:327">
      <c r="LN5684" t="str">
        <v/>
      </c>
      <c r="LO5684" t="str">
        <v/>
      </c>
    </row>
    <row r="5685" spans="326:327">
      <c r="LN5685" t="str">
        <v/>
      </c>
      <c r="LO5685" t="str">
        <v/>
      </c>
    </row>
    <row r="5686" spans="326:327">
      <c r="LN5686" t="str">
        <v/>
      </c>
      <c r="LO5686" t="str">
        <v/>
      </c>
    </row>
    <row r="5687" spans="326:327">
      <c r="LN5687" t="str">
        <v/>
      </c>
      <c r="LO5687" t="str">
        <v/>
      </c>
    </row>
    <row r="5688" spans="326:327">
      <c r="LN5688" t="str">
        <v/>
      </c>
      <c r="LO5688" t="str">
        <v/>
      </c>
    </row>
    <row r="5689" spans="326:327">
      <c r="LN5689" t="str">
        <v/>
      </c>
      <c r="LO5689" t="str">
        <v/>
      </c>
    </row>
    <row r="5690" spans="326:327">
      <c r="LN5690" t="str">
        <v/>
      </c>
      <c r="LO5690" t="str">
        <v/>
      </c>
    </row>
    <row r="5691" spans="326:327">
      <c r="LN5691" t="str">
        <v/>
      </c>
      <c r="LO5691" t="str">
        <v/>
      </c>
    </row>
    <row r="5692" spans="326:327">
      <c r="LN5692" t="str">
        <v/>
      </c>
      <c r="LO5692" t="str">
        <v/>
      </c>
    </row>
    <row r="5693" spans="326:327">
      <c r="LN5693" t="str">
        <v/>
      </c>
      <c r="LO5693" t="str">
        <v/>
      </c>
    </row>
    <row r="5694" spans="326:327">
      <c r="LN5694" t="str">
        <v/>
      </c>
      <c r="LO5694" t="str">
        <v/>
      </c>
    </row>
    <row r="5695" spans="326:327">
      <c r="LN5695" t="str">
        <v/>
      </c>
      <c r="LO5695" t="str">
        <v/>
      </c>
    </row>
    <row r="5696" spans="326:327">
      <c r="LN5696" t="str">
        <v/>
      </c>
      <c r="LO5696" t="str">
        <v/>
      </c>
    </row>
    <row r="5697" spans="326:327">
      <c r="LN5697" t="str">
        <v/>
      </c>
      <c r="LO5697" t="str">
        <v/>
      </c>
    </row>
    <row r="5698" spans="326:327">
      <c r="LN5698" t="str">
        <v/>
      </c>
      <c r="LO5698" t="str">
        <v/>
      </c>
    </row>
    <row r="5699" spans="326:327">
      <c r="LN5699" t="str">
        <v/>
      </c>
      <c r="LO5699" t="str">
        <v/>
      </c>
    </row>
    <row r="5700" spans="326:327">
      <c r="LN5700" t="str">
        <v/>
      </c>
      <c r="LO5700" t="str">
        <v/>
      </c>
    </row>
    <row r="5701" spans="326:327">
      <c r="LN5701" t="str">
        <v/>
      </c>
      <c r="LO5701" t="str">
        <v/>
      </c>
    </row>
    <row r="5702" spans="326:327">
      <c r="LN5702" t="str">
        <v/>
      </c>
      <c r="LO5702" t="str">
        <v/>
      </c>
    </row>
    <row r="5703" spans="326:327">
      <c r="LN5703" t="str">
        <v/>
      </c>
      <c r="LO5703" t="str">
        <v/>
      </c>
    </row>
    <row r="5704" spans="326:327">
      <c r="LN5704" t="str">
        <v/>
      </c>
      <c r="LO5704" t="str">
        <v/>
      </c>
    </row>
    <row r="5705" spans="326:327">
      <c r="LN5705" t="str">
        <v/>
      </c>
      <c r="LO5705" t="str">
        <v/>
      </c>
    </row>
    <row r="5706" spans="326:327">
      <c r="LN5706" t="str">
        <v/>
      </c>
      <c r="LO5706" t="str">
        <v/>
      </c>
    </row>
    <row r="5707" spans="326:327">
      <c r="LN5707" t="str">
        <v/>
      </c>
      <c r="LO5707" t="str">
        <v/>
      </c>
    </row>
    <row r="5708" spans="326:327">
      <c r="LN5708" t="str">
        <v/>
      </c>
      <c r="LO5708" t="str">
        <v/>
      </c>
    </row>
    <row r="5709" spans="326:327">
      <c r="LN5709" t="str">
        <v/>
      </c>
      <c r="LO5709" t="str">
        <v/>
      </c>
    </row>
    <row r="5710" spans="326:327">
      <c r="LN5710" t="str">
        <v/>
      </c>
      <c r="LO5710" t="str">
        <v/>
      </c>
    </row>
    <row r="5711" spans="326:327">
      <c r="LN5711" t="str">
        <v/>
      </c>
      <c r="LO5711" t="str">
        <v/>
      </c>
    </row>
    <row r="5712" spans="326:327">
      <c r="LN5712" t="str">
        <v/>
      </c>
      <c r="LO5712" t="str">
        <v/>
      </c>
    </row>
    <row r="5713" spans="326:327">
      <c r="LN5713" t="str">
        <v/>
      </c>
      <c r="LO5713" t="str">
        <v/>
      </c>
    </row>
    <row r="5714" spans="326:327">
      <c r="LN5714" t="str">
        <v/>
      </c>
      <c r="LO5714" t="str">
        <v/>
      </c>
    </row>
    <row r="5715" spans="326:327">
      <c r="LN5715" t="str">
        <v/>
      </c>
      <c r="LO5715" t="str">
        <v/>
      </c>
    </row>
    <row r="5716" spans="326:327">
      <c r="LN5716" t="str">
        <v/>
      </c>
      <c r="LO5716" t="str">
        <v/>
      </c>
    </row>
    <row r="5717" spans="326:327">
      <c r="LN5717" t="str">
        <v/>
      </c>
      <c r="LO5717" t="str">
        <v/>
      </c>
    </row>
    <row r="5718" spans="326:327">
      <c r="LN5718" t="str">
        <v/>
      </c>
      <c r="LO5718" t="str">
        <v/>
      </c>
    </row>
    <row r="5719" spans="326:327">
      <c r="LN5719" t="str">
        <v/>
      </c>
      <c r="LO5719" t="str">
        <v/>
      </c>
    </row>
    <row r="5720" spans="326:327">
      <c r="LN5720" t="str">
        <v/>
      </c>
      <c r="LO5720" t="str">
        <v/>
      </c>
    </row>
    <row r="5721" spans="326:327">
      <c r="LN5721" t="str">
        <v/>
      </c>
      <c r="LO5721" t="str">
        <v/>
      </c>
    </row>
    <row r="5722" spans="326:327">
      <c r="LN5722" t="str">
        <v/>
      </c>
      <c r="LO5722" t="str">
        <v/>
      </c>
    </row>
    <row r="5723" spans="326:327">
      <c r="LN5723" t="str">
        <v/>
      </c>
      <c r="LO5723" t="str">
        <v/>
      </c>
    </row>
    <row r="5724" spans="326:327">
      <c r="LN5724" t="str">
        <v/>
      </c>
      <c r="LO5724" t="str">
        <v/>
      </c>
    </row>
    <row r="5725" spans="326:327">
      <c r="LN5725" t="str">
        <v/>
      </c>
      <c r="LO5725" t="str">
        <v/>
      </c>
    </row>
    <row r="5726" spans="326:327">
      <c r="LN5726" t="str">
        <v/>
      </c>
      <c r="LO5726" t="str">
        <v/>
      </c>
    </row>
    <row r="5727" spans="326:327">
      <c r="LN5727" t="str">
        <v/>
      </c>
      <c r="LO5727" t="str">
        <v/>
      </c>
    </row>
    <row r="5728" spans="326:327">
      <c r="LN5728" t="str">
        <v/>
      </c>
      <c r="LO5728" t="str">
        <v/>
      </c>
    </row>
    <row r="5729" spans="326:327">
      <c r="LN5729" t="str">
        <v/>
      </c>
      <c r="LO5729" t="str">
        <v/>
      </c>
    </row>
    <row r="5730" spans="326:327">
      <c r="LN5730" t="str">
        <v/>
      </c>
      <c r="LO5730" t="str">
        <v/>
      </c>
    </row>
    <row r="5731" spans="326:327">
      <c r="LN5731" t="str">
        <v/>
      </c>
      <c r="LO5731" t="str">
        <v/>
      </c>
    </row>
    <row r="5732" spans="326:327">
      <c r="LN5732" t="str">
        <v/>
      </c>
      <c r="LO5732" t="str">
        <v/>
      </c>
    </row>
    <row r="5733" spans="326:327">
      <c r="LN5733" t="str">
        <v/>
      </c>
      <c r="LO5733" t="str">
        <v/>
      </c>
    </row>
    <row r="5734" spans="326:327">
      <c r="LN5734" t="str">
        <v/>
      </c>
      <c r="LO5734" t="str">
        <v/>
      </c>
    </row>
    <row r="5735" spans="326:327">
      <c r="LN5735" t="str">
        <v/>
      </c>
      <c r="LO5735" t="str">
        <v/>
      </c>
    </row>
    <row r="5736" spans="326:327">
      <c r="LN5736" t="str">
        <v/>
      </c>
      <c r="LO5736" t="str">
        <v/>
      </c>
    </row>
    <row r="5737" spans="326:327">
      <c r="LN5737" t="str">
        <v/>
      </c>
      <c r="LO5737" t="str">
        <v/>
      </c>
    </row>
    <row r="5738" spans="326:327">
      <c r="LN5738" t="str">
        <v/>
      </c>
      <c r="LO5738" t="str">
        <v/>
      </c>
    </row>
    <row r="5739" spans="326:327">
      <c r="LN5739" t="str">
        <v/>
      </c>
      <c r="LO5739" t="str">
        <v/>
      </c>
    </row>
    <row r="5740" spans="326:327">
      <c r="LN5740" t="str">
        <v/>
      </c>
      <c r="LO5740" t="str">
        <v/>
      </c>
    </row>
    <row r="5741" spans="326:327">
      <c r="LN5741" t="str">
        <v/>
      </c>
      <c r="LO5741" t="str">
        <v/>
      </c>
    </row>
    <row r="5742" spans="326:327">
      <c r="LN5742" t="str">
        <v/>
      </c>
      <c r="LO5742" t="str">
        <v/>
      </c>
    </row>
    <row r="5743" spans="326:327">
      <c r="LN5743" t="str">
        <v/>
      </c>
      <c r="LO5743" t="str">
        <v/>
      </c>
    </row>
    <row r="5744" spans="326:327">
      <c r="LN5744" t="str">
        <v/>
      </c>
      <c r="LO5744" t="str">
        <v/>
      </c>
    </row>
    <row r="5745" spans="326:327">
      <c r="LN5745" t="str">
        <v/>
      </c>
      <c r="LO5745" t="str">
        <v/>
      </c>
    </row>
    <row r="5746" spans="326:327">
      <c r="LN5746" t="str">
        <v/>
      </c>
      <c r="LO5746" t="str">
        <v/>
      </c>
    </row>
    <row r="5747" spans="326:327">
      <c r="LN5747" t="str">
        <v/>
      </c>
      <c r="LO5747" t="str">
        <v/>
      </c>
    </row>
    <row r="5748" spans="326:327">
      <c r="LN5748" t="str">
        <v/>
      </c>
      <c r="LO5748" t="str">
        <v/>
      </c>
    </row>
    <row r="5749" spans="326:327">
      <c r="LN5749" t="str">
        <v/>
      </c>
      <c r="LO5749" t="str">
        <v/>
      </c>
    </row>
    <row r="5750" spans="326:327">
      <c r="LN5750" t="str">
        <v/>
      </c>
      <c r="LO5750" t="str">
        <v/>
      </c>
    </row>
    <row r="5751" spans="326:327">
      <c r="LN5751" t="str">
        <v/>
      </c>
      <c r="LO5751" t="str">
        <v/>
      </c>
    </row>
    <row r="5752" spans="326:327">
      <c r="LN5752" t="str">
        <v/>
      </c>
      <c r="LO5752" t="str">
        <v/>
      </c>
    </row>
    <row r="5753" spans="326:327">
      <c r="LN5753" t="str">
        <v/>
      </c>
      <c r="LO5753" t="str">
        <v/>
      </c>
    </row>
    <row r="5754" spans="326:327">
      <c r="LN5754" t="str">
        <v/>
      </c>
      <c r="LO5754" t="str">
        <v/>
      </c>
    </row>
    <row r="5755" spans="326:327">
      <c r="LN5755" t="str">
        <v/>
      </c>
      <c r="LO5755" t="str">
        <v/>
      </c>
    </row>
    <row r="5756" spans="326:327">
      <c r="LN5756" t="str">
        <v/>
      </c>
      <c r="LO5756" t="str">
        <v/>
      </c>
    </row>
    <row r="5757" spans="326:327">
      <c r="LN5757" t="str">
        <v/>
      </c>
      <c r="LO5757" t="str">
        <v/>
      </c>
    </row>
    <row r="5758" spans="326:327">
      <c r="LN5758" t="str">
        <v/>
      </c>
      <c r="LO5758" t="str">
        <v/>
      </c>
    </row>
    <row r="5759" spans="326:327">
      <c r="LN5759" t="str">
        <v/>
      </c>
      <c r="LO5759" t="str">
        <v/>
      </c>
    </row>
    <row r="5760" spans="326:327">
      <c r="LN5760" t="str">
        <v/>
      </c>
      <c r="LO5760" t="str">
        <v/>
      </c>
    </row>
    <row r="5761" spans="326:327">
      <c r="LN5761" t="str">
        <v/>
      </c>
      <c r="LO5761" t="str">
        <v/>
      </c>
    </row>
    <row r="5762" spans="326:327">
      <c r="LN5762" t="str">
        <v/>
      </c>
      <c r="LO5762" t="str">
        <v/>
      </c>
    </row>
    <row r="5763" spans="326:327">
      <c r="LN5763" t="str">
        <v/>
      </c>
      <c r="LO5763" t="str">
        <v/>
      </c>
    </row>
    <row r="5764" spans="326:327">
      <c r="LN5764" t="str">
        <v/>
      </c>
      <c r="LO5764" t="str">
        <v/>
      </c>
    </row>
    <row r="5765" spans="326:327">
      <c r="LN5765" t="str">
        <v/>
      </c>
      <c r="LO5765" t="str">
        <v/>
      </c>
    </row>
    <row r="5766" spans="326:327">
      <c r="LN5766" t="str">
        <v/>
      </c>
      <c r="LO5766" t="str">
        <v/>
      </c>
    </row>
    <row r="5767" spans="326:327">
      <c r="LN5767" t="str">
        <v/>
      </c>
      <c r="LO5767" t="str">
        <v/>
      </c>
    </row>
    <row r="5768" spans="326:327">
      <c r="LN5768" t="str">
        <v/>
      </c>
      <c r="LO5768" t="str">
        <v/>
      </c>
    </row>
    <row r="5769" spans="326:327">
      <c r="LN5769" t="str">
        <v/>
      </c>
      <c r="LO5769" t="str">
        <v/>
      </c>
    </row>
    <row r="5770" spans="326:327">
      <c r="LN5770" t="str">
        <v/>
      </c>
      <c r="LO5770" t="str">
        <v/>
      </c>
    </row>
    <row r="5771" spans="326:327">
      <c r="LN5771" t="str">
        <v/>
      </c>
      <c r="LO5771" t="str">
        <v/>
      </c>
    </row>
    <row r="5772" spans="326:327">
      <c r="LN5772" t="str">
        <v/>
      </c>
      <c r="LO5772" t="str">
        <v/>
      </c>
    </row>
    <row r="5773" spans="326:327">
      <c r="LN5773" t="str">
        <v/>
      </c>
      <c r="LO5773" t="str">
        <v/>
      </c>
    </row>
    <row r="5774" spans="326:327">
      <c r="LN5774" t="str">
        <v/>
      </c>
      <c r="LO5774" t="str">
        <v/>
      </c>
    </row>
    <row r="5775" spans="326:327">
      <c r="LN5775" t="str">
        <v/>
      </c>
      <c r="LO5775" t="str">
        <v/>
      </c>
    </row>
    <row r="5776" spans="326:327">
      <c r="LN5776" t="str">
        <v/>
      </c>
      <c r="LO5776" t="str">
        <v/>
      </c>
    </row>
    <row r="5777" spans="326:327">
      <c r="LN5777" t="str">
        <v/>
      </c>
      <c r="LO5777" t="str">
        <v/>
      </c>
    </row>
    <row r="5778" spans="326:327">
      <c r="LN5778" t="str">
        <v/>
      </c>
      <c r="LO5778" t="str">
        <v/>
      </c>
    </row>
    <row r="5779" spans="326:327">
      <c r="LN5779" t="str">
        <v/>
      </c>
      <c r="LO5779" t="str">
        <v/>
      </c>
    </row>
    <row r="5780" spans="326:327">
      <c r="LN5780" t="str">
        <v/>
      </c>
      <c r="LO5780" t="str">
        <v/>
      </c>
    </row>
    <row r="5781" spans="326:327">
      <c r="LN5781" t="str">
        <v/>
      </c>
      <c r="LO5781" t="str">
        <v/>
      </c>
    </row>
    <row r="5782" spans="326:327">
      <c r="LN5782" t="str">
        <v/>
      </c>
      <c r="LO5782" t="str">
        <v/>
      </c>
    </row>
    <row r="5783" spans="326:327">
      <c r="LN5783" t="str">
        <v/>
      </c>
      <c r="LO5783" t="str">
        <v/>
      </c>
    </row>
    <row r="5784" spans="326:327">
      <c r="LN5784" t="str">
        <v/>
      </c>
      <c r="LO5784" t="str">
        <v/>
      </c>
    </row>
    <row r="5785" spans="326:327">
      <c r="LN5785" t="str">
        <v/>
      </c>
      <c r="LO5785" t="str">
        <v/>
      </c>
    </row>
    <row r="5786" spans="326:327">
      <c r="LN5786" t="str">
        <v/>
      </c>
      <c r="LO5786" t="str">
        <v/>
      </c>
    </row>
    <row r="5787" spans="326:327">
      <c r="LN5787" t="str">
        <v/>
      </c>
      <c r="LO5787" t="str">
        <v/>
      </c>
    </row>
    <row r="5788" spans="326:327">
      <c r="LN5788" t="str">
        <v/>
      </c>
      <c r="LO5788" t="str">
        <v/>
      </c>
    </row>
    <row r="5789" spans="326:327">
      <c r="LN5789" t="str">
        <v/>
      </c>
      <c r="LO5789" t="str">
        <v/>
      </c>
    </row>
    <row r="5790" spans="326:327">
      <c r="LN5790" t="str">
        <v/>
      </c>
      <c r="LO5790" t="str">
        <v/>
      </c>
    </row>
    <row r="5791" spans="326:327">
      <c r="LN5791" t="str">
        <v/>
      </c>
      <c r="LO5791" t="str">
        <v/>
      </c>
    </row>
    <row r="5792" spans="326:327">
      <c r="LN5792" t="str">
        <v/>
      </c>
      <c r="LO5792" t="str">
        <v/>
      </c>
    </row>
    <row r="5793" spans="326:327">
      <c r="LN5793" t="str">
        <v/>
      </c>
      <c r="LO5793" t="str">
        <v/>
      </c>
    </row>
    <row r="5794" spans="326:327">
      <c r="LN5794" t="str">
        <v/>
      </c>
      <c r="LO5794" t="str">
        <v/>
      </c>
    </row>
    <row r="5795" spans="326:327">
      <c r="LN5795" t="str">
        <v/>
      </c>
      <c r="LO5795" t="str">
        <v/>
      </c>
    </row>
    <row r="5796" spans="326:327">
      <c r="LN5796" t="str">
        <v/>
      </c>
      <c r="LO5796" t="str">
        <v/>
      </c>
    </row>
    <row r="5797" spans="326:327">
      <c r="LN5797" t="str">
        <v/>
      </c>
      <c r="LO5797" t="str">
        <v/>
      </c>
    </row>
    <row r="5798" spans="326:327">
      <c r="LN5798" t="str">
        <v/>
      </c>
      <c r="LO5798" t="str">
        <v/>
      </c>
    </row>
    <row r="5799" spans="326:327">
      <c r="LN5799" t="str">
        <v/>
      </c>
      <c r="LO5799" t="str">
        <v/>
      </c>
    </row>
    <row r="5800" spans="326:327">
      <c r="LN5800" t="str">
        <v/>
      </c>
      <c r="LO5800" t="str">
        <v/>
      </c>
    </row>
    <row r="5801" spans="326:327">
      <c r="LN5801" t="str">
        <v/>
      </c>
      <c r="LO5801" t="str">
        <v/>
      </c>
    </row>
    <row r="5802" spans="326:327">
      <c r="LN5802" t="str">
        <v/>
      </c>
      <c r="LO5802" t="str">
        <v/>
      </c>
    </row>
    <row r="5803" spans="326:327">
      <c r="LN5803" t="str">
        <v/>
      </c>
      <c r="LO5803" t="str">
        <v/>
      </c>
    </row>
    <row r="5804" spans="326:327">
      <c r="LN5804" t="str">
        <v/>
      </c>
      <c r="LO5804" t="str">
        <v/>
      </c>
    </row>
    <row r="5805" spans="326:327">
      <c r="LN5805" t="str">
        <v/>
      </c>
      <c r="LO5805" t="str">
        <v/>
      </c>
    </row>
    <row r="5806" spans="326:327">
      <c r="LN5806" t="str">
        <v/>
      </c>
      <c r="LO5806" t="str">
        <v/>
      </c>
    </row>
    <row r="5807" spans="326:327">
      <c r="LN5807" t="str">
        <v/>
      </c>
      <c r="LO5807" t="str">
        <v/>
      </c>
    </row>
    <row r="5808" spans="326:327">
      <c r="LN5808" t="str">
        <v/>
      </c>
      <c r="LO5808" t="str">
        <v/>
      </c>
    </row>
    <row r="5809" spans="326:327">
      <c r="LN5809" t="str">
        <v/>
      </c>
      <c r="LO5809" t="str">
        <v/>
      </c>
    </row>
    <row r="5810" spans="326:327">
      <c r="LN5810" t="str">
        <v/>
      </c>
      <c r="LO5810" t="str">
        <v/>
      </c>
    </row>
    <row r="5811" spans="326:327">
      <c r="LN5811" t="str">
        <v/>
      </c>
      <c r="LO5811" t="str">
        <v/>
      </c>
    </row>
    <row r="5812" spans="326:327">
      <c r="LN5812" t="str">
        <v/>
      </c>
      <c r="LO5812" t="str">
        <v/>
      </c>
    </row>
    <row r="5813" spans="326:327">
      <c r="LN5813" t="str">
        <v/>
      </c>
      <c r="LO5813" t="str">
        <v/>
      </c>
    </row>
    <row r="5814" spans="326:327">
      <c r="LN5814" t="str">
        <v/>
      </c>
      <c r="LO5814" t="str">
        <v/>
      </c>
    </row>
    <row r="5815" spans="326:327">
      <c r="LN5815" t="str">
        <v/>
      </c>
      <c r="LO5815" t="str">
        <v/>
      </c>
    </row>
    <row r="5816" spans="326:327">
      <c r="LN5816" t="str">
        <v/>
      </c>
      <c r="LO5816" t="str">
        <v/>
      </c>
    </row>
    <row r="5817" spans="326:327">
      <c r="LN5817" t="str">
        <v/>
      </c>
      <c r="LO5817" t="str">
        <v/>
      </c>
    </row>
    <row r="5818" spans="326:327">
      <c r="LN5818" t="str">
        <v/>
      </c>
      <c r="LO5818" t="str">
        <v/>
      </c>
    </row>
    <row r="5819" spans="326:327">
      <c r="LN5819" t="str">
        <v/>
      </c>
      <c r="LO5819" t="str">
        <v/>
      </c>
    </row>
    <row r="5820" spans="326:327">
      <c r="LN5820" t="str">
        <v/>
      </c>
      <c r="LO5820" t="str">
        <v/>
      </c>
    </row>
    <row r="5821" spans="326:327">
      <c r="LN5821" t="str">
        <v/>
      </c>
      <c r="LO5821" t="str">
        <v/>
      </c>
    </row>
    <row r="5822" spans="326:327">
      <c r="LN5822" t="str">
        <v/>
      </c>
      <c r="LO5822" t="str">
        <v/>
      </c>
    </row>
    <row r="5823" spans="326:327">
      <c r="LN5823" t="str">
        <v/>
      </c>
      <c r="LO5823" t="str">
        <v/>
      </c>
    </row>
    <row r="5824" spans="326:327">
      <c r="LN5824" t="str">
        <v/>
      </c>
      <c r="LO5824" t="str">
        <v/>
      </c>
    </row>
    <row r="5825" spans="326:327">
      <c r="LN5825" t="str">
        <v/>
      </c>
      <c r="LO5825" t="str">
        <v/>
      </c>
    </row>
    <row r="5826" spans="326:327">
      <c r="LN5826" t="str">
        <v/>
      </c>
      <c r="LO5826" t="str">
        <v/>
      </c>
    </row>
    <row r="5827" spans="326:327">
      <c r="LN5827" t="str">
        <v/>
      </c>
      <c r="LO5827" t="str">
        <v/>
      </c>
    </row>
    <row r="5828" spans="326:327">
      <c r="LN5828" t="str">
        <v/>
      </c>
      <c r="LO5828" t="str">
        <v/>
      </c>
    </row>
    <row r="5829" spans="326:327">
      <c r="LN5829" t="str">
        <v/>
      </c>
      <c r="LO5829" t="str">
        <v/>
      </c>
    </row>
    <row r="5830" spans="326:327">
      <c r="LN5830" t="str">
        <v/>
      </c>
      <c r="LO5830" t="str">
        <v/>
      </c>
    </row>
    <row r="5831" spans="326:327">
      <c r="LN5831" t="str">
        <v/>
      </c>
      <c r="LO5831" t="str">
        <v/>
      </c>
    </row>
    <row r="5832" spans="326:327">
      <c r="LN5832" t="str">
        <v/>
      </c>
      <c r="LO5832" t="str">
        <v/>
      </c>
    </row>
    <row r="5833" spans="326:327">
      <c r="LN5833" t="str">
        <v/>
      </c>
      <c r="LO5833" t="str">
        <v/>
      </c>
    </row>
    <row r="5834" spans="326:327">
      <c r="LN5834" t="str">
        <v/>
      </c>
      <c r="LO5834" t="str">
        <v/>
      </c>
    </row>
    <row r="5835" spans="326:327">
      <c r="LN5835" t="str">
        <v/>
      </c>
      <c r="LO5835" t="str">
        <v/>
      </c>
    </row>
    <row r="5836" spans="326:327">
      <c r="LN5836" t="str">
        <v/>
      </c>
      <c r="LO5836" t="str">
        <v/>
      </c>
    </row>
    <row r="5837" spans="326:327">
      <c r="LN5837" t="str">
        <v/>
      </c>
      <c r="LO5837" t="str">
        <v/>
      </c>
    </row>
    <row r="5838" spans="326:327">
      <c r="LN5838" t="str">
        <v/>
      </c>
      <c r="LO5838" t="str">
        <v/>
      </c>
    </row>
    <row r="5839" spans="326:327">
      <c r="LN5839" t="str">
        <v/>
      </c>
      <c r="LO5839" t="str">
        <v/>
      </c>
    </row>
    <row r="5840" spans="326:327">
      <c r="LN5840" t="str">
        <v/>
      </c>
      <c r="LO5840" t="str">
        <v/>
      </c>
    </row>
    <row r="5841" spans="326:327">
      <c r="LN5841" t="str">
        <v/>
      </c>
      <c r="LO5841" t="str">
        <v/>
      </c>
    </row>
    <row r="5842" spans="326:327">
      <c r="LN5842" t="str">
        <v/>
      </c>
      <c r="LO5842" t="str">
        <v/>
      </c>
    </row>
    <row r="5843" spans="326:327">
      <c r="LN5843" t="str">
        <v/>
      </c>
      <c r="LO5843" t="str">
        <v/>
      </c>
    </row>
    <row r="5844" spans="326:327">
      <c r="LN5844" t="str">
        <v/>
      </c>
      <c r="LO5844" t="str">
        <v/>
      </c>
    </row>
    <row r="5845" spans="326:327">
      <c r="LN5845" t="str">
        <v/>
      </c>
      <c r="LO5845" t="str">
        <v/>
      </c>
    </row>
    <row r="5846" spans="326:327">
      <c r="LN5846" t="str">
        <v/>
      </c>
      <c r="LO5846" t="str">
        <v/>
      </c>
    </row>
    <row r="5847" spans="326:327">
      <c r="LN5847" t="str">
        <v/>
      </c>
      <c r="LO5847" t="str">
        <v/>
      </c>
    </row>
    <row r="5848" spans="326:327">
      <c r="LN5848" t="str">
        <v/>
      </c>
      <c r="LO5848" t="str">
        <v/>
      </c>
    </row>
    <row r="5849" spans="326:327">
      <c r="LN5849" t="str">
        <v/>
      </c>
      <c r="LO5849" t="str">
        <v/>
      </c>
    </row>
    <row r="5850" spans="326:327">
      <c r="LN5850" t="str">
        <v/>
      </c>
      <c r="LO5850" t="str">
        <v/>
      </c>
    </row>
    <row r="5851" spans="326:327">
      <c r="LN5851" t="str">
        <v/>
      </c>
      <c r="LO5851" t="str">
        <v/>
      </c>
    </row>
    <row r="5852" spans="326:327">
      <c r="LN5852" t="str">
        <v/>
      </c>
      <c r="LO5852" t="str">
        <v/>
      </c>
    </row>
    <row r="5853" spans="326:327">
      <c r="LN5853" t="str">
        <v/>
      </c>
      <c r="LO5853" t="str">
        <v/>
      </c>
    </row>
    <row r="5854" spans="326:327">
      <c r="LN5854" t="str">
        <v/>
      </c>
      <c r="LO5854" t="str">
        <v/>
      </c>
    </row>
    <row r="5855" spans="326:327">
      <c r="LN5855" t="str">
        <v/>
      </c>
      <c r="LO5855" t="str">
        <v/>
      </c>
    </row>
    <row r="5856" spans="326:327">
      <c r="LN5856" t="str">
        <v/>
      </c>
      <c r="LO5856" t="str">
        <v/>
      </c>
    </row>
    <row r="5857" spans="326:327">
      <c r="LN5857" t="str">
        <v/>
      </c>
      <c r="LO5857" t="str">
        <v/>
      </c>
    </row>
    <row r="5858" spans="326:327">
      <c r="LN5858" t="str">
        <v/>
      </c>
      <c r="LO5858" t="str">
        <v/>
      </c>
    </row>
    <row r="5859" spans="326:327">
      <c r="LN5859" t="str">
        <v/>
      </c>
      <c r="LO5859" t="str">
        <v/>
      </c>
    </row>
    <row r="5860" spans="326:327">
      <c r="LN5860" t="str">
        <v/>
      </c>
      <c r="LO5860" t="str">
        <v/>
      </c>
    </row>
    <row r="5861" spans="326:327">
      <c r="LN5861" t="str">
        <v/>
      </c>
      <c r="LO5861" t="str">
        <v/>
      </c>
    </row>
    <row r="5862" spans="326:327">
      <c r="LN5862" t="str">
        <v/>
      </c>
      <c r="LO5862" t="str">
        <v/>
      </c>
    </row>
    <row r="5863" spans="326:327">
      <c r="LN5863" t="str">
        <v/>
      </c>
      <c r="LO5863" t="str">
        <v/>
      </c>
    </row>
    <row r="5864" spans="326:327">
      <c r="LN5864" t="str">
        <v/>
      </c>
      <c r="LO5864" t="str">
        <v/>
      </c>
    </row>
    <row r="5865" spans="326:327">
      <c r="LN5865" t="str">
        <v/>
      </c>
      <c r="LO5865" t="str">
        <v/>
      </c>
    </row>
    <row r="5866" spans="326:327">
      <c r="LN5866" t="str">
        <v/>
      </c>
      <c r="LO5866" t="str">
        <v/>
      </c>
    </row>
    <row r="5867" spans="326:327">
      <c r="LN5867" t="str">
        <v/>
      </c>
      <c r="LO5867" t="str">
        <v/>
      </c>
    </row>
    <row r="5868" spans="326:327">
      <c r="LN5868" t="str">
        <v/>
      </c>
      <c r="LO5868" t="str">
        <v/>
      </c>
    </row>
    <row r="5869" spans="326:327">
      <c r="LN5869" t="str">
        <v/>
      </c>
      <c r="LO5869" t="str">
        <v/>
      </c>
    </row>
    <row r="5870" spans="326:327">
      <c r="LN5870" t="str">
        <v/>
      </c>
      <c r="LO5870" t="str">
        <v/>
      </c>
    </row>
    <row r="5871" spans="326:327">
      <c r="LN5871" t="str">
        <v/>
      </c>
      <c r="LO5871" t="str">
        <v/>
      </c>
    </row>
    <row r="5872" spans="326:327">
      <c r="LN5872" t="str">
        <v/>
      </c>
      <c r="LO5872" t="str">
        <v/>
      </c>
    </row>
    <row r="5873" spans="326:327">
      <c r="LN5873" t="str">
        <v/>
      </c>
      <c r="LO5873" t="str">
        <v/>
      </c>
    </row>
    <row r="5874" spans="326:327">
      <c r="LN5874" t="str">
        <v/>
      </c>
      <c r="LO5874" t="str">
        <v/>
      </c>
    </row>
    <row r="5875" spans="326:327">
      <c r="LN5875" t="str">
        <v/>
      </c>
      <c r="LO5875" t="str">
        <v/>
      </c>
    </row>
    <row r="5876" spans="326:327">
      <c r="LN5876" t="str">
        <v/>
      </c>
      <c r="LO5876" t="str">
        <v/>
      </c>
    </row>
    <row r="5877" spans="326:327">
      <c r="LN5877" t="str">
        <v/>
      </c>
      <c r="LO5877" t="str">
        <v/>
      </c>
    </row>
    <row r="5878" spans="326:327">
      <c r="LN5878" t="str">
        <v/>
      </c>
      <c r="LO5878" t="str">
        <v/>
      </c>
    </row>
    <row r="5879" spans="326:327">
      <c r="LN5879" t="str">
        <v/>
      </c>
      <c r="LO5879" t="str">
        <v/>
      </c>
    </row>
    <row r="5880" spans="326:327">
      <c r="LN5880" t="str">
        <v/>
      </c>
      <c r="LO5880" t="str">
        <v/>
      </c>
    </row>
    <row r="5881" spans="326:327">
      <c r="LN5881" t="str">
        <v/>
      </c>
      <c r="LO5881" t="str">
        <v/>
      </c>
    </row>
    <row r="5882" spans="326:327">
      <c r="LN5882" t="str">
        <v/>
      </c>
      <c r="LO5882" t="str">
        <v/>
      </c>
    </row>
    <row r="5883" spans="326:327">
      <c r="LN5883" t="str">
        <v/>
      </c>
      <c r="LO5883" t="str">
        <v/>
      </c>
    </row>
    <row r="5884" spans="326:327">
      <c r="LN5884" t="str">
        <v/>
      </c>
      <c r="LO5884" t="str">
        <v/>
      </c>
    </row>
    <row r="5885" spans="326:327">
      <c r="LN5885" t="str">
        <v/>
      </c>
      <c r="LO5885" t="str">
        <v/>
      </c>
    </row>
    <row r="5886" spans="326:327">
      <c r="LN5886" t="str">
        <v/>
      </c>
      <c r="LO5886" t="str">
        <v/>
      </c>
    </row>
    <row r="5887" spans="326:327">
      <c r="LN5887" t="str">
        <v/>
      </c>
      <c r="LO5887" t="str">
        <v/>
      </c>
    </row>
    <row r="5888" spans="326:327">
      <c r="LN5888" t="str">
        <v/>
      </c>
      <c r="LO5888" t="str">
        <v/>
      </c>
    </row>
    <row r="5889" spans="326:327">
      <c r="LN5889" t="str">
        <v/>
      </c>
      <c r="LO5889" t="str">
        <v/>
      </c>
    </row>
    <row r="5890" spans="326:327">
      <c r="LN5890" t="str">
        <v/>
      </c>
      <c r="LO5890" t="str">
        <v/>
      </c>
    </row>
    <row r="5891" spans="326:327">
      <c r="LN5891" t="str">
        <v/>
      </c>
      <c r="LO5891" t="str">
        <v/>
      </c>
    </row>
    <row r="5892" spans="326:327">
      <c r="LN5892" t="str">
        <v/>
      </c>
      <c r="LO5892" t="str">
        <v/>
      </c>
    </row>
    <row r="5893" spans="326:327">
      <c r="LN5893" t="str">
        <v/>
      </c>
      <c r="LO5893" t="str">
        <v/>
      </c>
    </row>
    <row r="5894" spans="326:327">
      <c r="LN5894" t="str">
        <v/>
      </c>
      <c r="LO5894" t="str">
        <v/>
      </c>
    </row>
    <row r="5895" spans="326:327">
      <c r="LN5895" t="str">
        <v/>
      </c>
      <c r="LO5895" t="str">
        <v/>
      </c>
    </row>
    <row r="5896" spans="326:327">
      <c r="LN5896" t="str">
        <v/>
      </c>
      <c r="LO5896" t="str">
        <v/>
      </c>
    </row>
    <row r="5897" spans="326:327">
      <c r="LN5897" t="str">
        <v/>
      </c>
      <c r="LO5897" t="str">
        <v/>
      </c>
    </row>
    <row r="5898" spans="326:327">
      <c r="LN5898" t="str">
        <v/>
      </c>
      <c r="LO5898" t="str">
        <v/>
      </c>
    </row>
    <row r="5899" spans="326:327">
      <c r="LN5899" t="str">
        <v/>
      </c>
      <c r="LO5899" t="str">
        <v/>
      </c>
    </row>
    <row r="5900" spans="326:327">
      <c r="LN5900" t="str">
        <v/>
      </c>
      <c r="LO5900" t="str">
        <v/>
      </c>
    </row>
    <row r="5901" spans="326:327">
      <c r="LN5901" t="str">
        <v/>
      </c>
      <c r="LO5901" t="str">
        <v/>
      </c>
    </row>
    <row r="5902" spans="326:327">
      <c r="LN5902" t="str">
        <v/>
      </c>
      <c r="LO5902" t="str">
        <v/>
      </c>
    </row>
    <row r="5903" spans="326:327">
      <c r="LN5903" t="str">
        <v/>
      </c>
      <c r="LO5903" t="str">
        <v/>
      </c>
    </row>
    <row r="5904" spans="326:327">
      <c r="LN5904" t="str">
        <v/>
      </c>
      <c r="LO5904" t="str">
        <v/>
      </c>
    </row>
    <row r="5905" spans="326:327">
      <c r="LN5905" t="str">
        <v/>
      </c>
      <c r="LO5905" t="str">
        <v/>
      </c>
    </row>
    <row r="5906" spans="326:327">
      <c r="LN5906" t="str">
        <v/>
      </c>
      <c r="LO5906" t="str">
        <v/>
      </c>
    </row>
    <row r="5907" spans="326:327">
      <c r="LN5907" t="str">
        <v/>
      </c>
      <c r="LO5907" t="str">
        <v/>
      </c>
    </row>
    <row r="5908" spans="326:327">
      <c r="LN5908" t="str">
        <v/>
      </c>
      <c r="LO5908" t="str">
        <v/>
      </c>
    </row>
    <row r="5909" spans="326:327">
      <c r="LN5909" t="str">
        <v/>
      </c>
      <c r="LO5909" t="str">
        <v/>
      </c>
    </row>
    <row r="5910" spans="326:327">
      <c r="LN5910" t="str">
        <v/>
      </c>
      <c r="LO5910" t="str">
        <v/>
      </c>
    </row>
    <row r="5911" spans="326:327">
      <c r="LN5911" t="str">
        <v/>
      </c>
      <c r="LO5911" t="str">
        <v/>
      </c>
    </row>
    <row r="5912" spans="326:327">
      <c r="LN5912" t="str">
        <v/>
      </c>
      <c r="LO5912" t="str">
        <v/>
      </c>
    </row>
    <row r="5913" spans="326:327">
      <c r="LN5913" t="str">
        <v/>
      </c>
      <c r="LO5913" t="str">
        <v/>
      </c>
    </row>
    <row r="5914" spans="326:327">
      <c r="LN5914" t="str">
        <v/>
      </c>
      <c r="LO5914" t="str">
        <v/>
      </c>
    </row>
    <row r="5915" spans="326:327">
      <c r="LN5915" t="str">
        <v/>
      </c>
      <c r="LO5915" t="str">
        <v/>
      </c>
    </row>
    <row r="5916" spans="326:327">
      <c r="LN5916" t="str">
        <v/>
      </c>
      <c r="LO5916" t="str">
        <v/>
      </c>
    </row>
    <row r="5917" spans="326:327">
      <c r="LN5917" t="str">
        <v/>
      </c>
      <c r="LO5917" t="str">
        <v/>
      </c>
    </row>
    <row r="5918" spans="326:327">
      <c r="LN5918" t="str">
        <v/>
      </c>
      <c r="LO5918" t="str">
        <v/>
      </c>
    </row>
    <row r="5919" spans="326:327">
      <c r="LN5919" t="str">
        <v/>
      </c>
      <c r="LO5919" t="str">
        <v/>
      </c>
    </row>
    <row r="5920" spans="326:327">
      <c r="LN5920" t="str">
        <v/>
      </c>
      <c r="LO5920" t="str">
        <v/>
      </c>
    </row>
    <row r="5921" spans="326:327">
      <c r="LN5921" t="str">
        <v/>
      </c>
      <c r="LO5921" t="str">
        <v/>
      </c>
    </row>
    <row r="5922" spans="326:327">
      <c r="LN5922" t="str">
        <v/>
      </c>
      <c r="LO5922" t="str">
        <v/>
      </c>
    </row>
    <row r="5923" spans="326:327">
      <c r="LN5923" t="str">
        <v/>
      </c>
      <c r="LO5923" t="str">
        <v/>
      </c>
    </row>
    <row r="5924" spans="326:327">
      <c r="LN5924" t="str">
        <v/>
      </c>
      <c r="LO5924" t="str">
        <v/>
      </c>
    </row>
    <row r="5925" spans="326:327">
      <c r="LN5925" t="str">
        <v/>
      </c>
      <c r="LO5925" t="str">
        <v/>
      </c>
    </row>
    <row r="5926" spans="326:327">
      <c r="LN5926" t="str">
        <v/>
      </c>
      <c r="LO5926" t="str">
        <v/>
      </c>
    </row>
    <row r="5927" spans="326:327">
      <c r="LN5927" t="str">
        <v/>
      </c>
      <c r="LO5927" t="str">
        <v/>
      </c>
    </row>
    <row r="5928" spans="326:327">
      <c r="LN5928" t="str">
        <v/>
      </c>
      <c r="LO5928" t="str">
        <v/>
      </c>
    </row>
    <row r="5929" spans="326:327">
      <c r="LN5929" t="str">
        <v/>
      </c>
      <c r="LO5929" t="str">
        <v/>
      </c>
    </row>
    <row r="5930" spans="326:327">
      <c r="LN5930" t="str">
        <v/>
      </c>
      <c r="LO5930" t="str">
        <v/>
      </c>
    </row>
    <row r="5931" spans="326:327">
      <c r="LN5931" t="str">
        <v/>
      </c>
      <c r="LO5931" t="str">
        <v/>
      </c>
    </row>
    <row r="5932" spans="326:327">
      <c r="LN5932" t="str">
        <v/>
      </c>
      <c r="LO5932" t="str">
        <v/>
      </c>
    </row>
    <row r="5933" spans="326:327">
      <c r="LN5933" t="str">
        <v/>
      </c>
      <c r="LO5933" t="str">
        <v/>
      </c>
    </row>
    <row r="5934" spans="326:327">
      <c r="LN5934" t="str">
        <v/>
      </c>
      <c r="LO5934" t="str">
        <v/>
      </c>
    </row>
    <row r="5935" spans="326:327">
      <c r="LN5935" t="str">
        <v/>
      </c>
      <c r="LO5935" t="str">
        <v/>
      </c>
    </row>
    <row r="5936" spans="326:327">
      <c r="LN5936" t="str">
        <v/>
      </c>
      <c r="LO5936" t="str">
        <v/>
      </c>
    </row>
    <row r="5937" spans="326:327">
      <c r="LN5937" t="str">
        <v/>
      </c>
      <c r="LO5937" t="str">
        <v/>
      </c>
    </row>
    <row r="5938" spans="326:327">
      <c r="LN5938" t="str">
        <v/>
      </c>
      <c r="LO5938" t="str">
        <v/>
      </c>
    </row>
    <row r="5939" spans="326:327">
      <c r="LN5939" t="str">
        <v/>
      </c>
      <c r="LO5939" t="str">
        <v/>
      </c>
    </row>
    <row r="5940" spans="326:327">
      <c r="LN5940" t="str">
        <v/>
      </c>
      <c r="LO5940" t="str">
        <v/>
      </c>
    </row>
    <row r="5941" spans="326:327">
      <c r="LN5941" t="str">
        <v/>
      </c>
      <c r="LO5941" t="str">
        <v/>
      </c>
    </row>
    <row r="5942" spans="326:327">
      <c r="LN5942" t="str">
        <v/>
      </c>
      <c r="LO5942" t="str">
        <v/>
      </c>
    </row>
    <row r="5943" spans="326:327">
      <c r="LN5943" t="str">
        <v/>
      </c>
      <c r="LO5943" t="str">
        <v/>
      </c>
    </row>
    <row r="5944" spans="326:327">
      <c r="LN5944" t="str">
        <v/>
      </c>
      <c r="LO5944" t="str">
        <v/>
      </c>
    </row>
    <row r="5945" spans="326:327">
      <c r="LN5945" t="str">
        <v/>
      </c>
      <c r="LO5945" t="str">
        <v/>
      </c>
    </row>
    <row r="5946" spans="326:327">
      <c r="LN5946" t="str">
        <v/>
      </c>
      <c r="LO5946" t="str">
        <v/>
      </c>
    </row>
    <row r="5947" spans="326:327">
      <c r="LN5947" t="str">
        <v/>
      </c>
      <c r="LO5947" t="str">
        <v/>
      </c>
    </row>
    <row r="5948" spans="326:327">
      <c r="LN5948" t="str">
        <v/>
      </c>
      <c r="LO5948" t="str">
        <v/>
      </c>
    </row>
    <row r="5949" spans="326:327">
      <c r="LN5949" t="str">
        <v/>
      </c>
      <c r="LO5949" t="str">
        <v/>
      </c>
    </row>
    <row r="5950" spans="326:327">
      <c r="LN5950" t="str">
        <v/>
      </c>
      <c r="LO5950" t="str">
        <v/>
      </c>
    </row>
    <row r="5951" spans="326:327">
      <c r="LN5951" t="str">
        <v/>
      </c>
      <c r="LO5951" t="str">
        <v/>
      </c>
    </row>
    <row r="5952" spans="326:327">
      <c r="LN5952" t="str">
        <v/>
      </c>
      <c r="LO5952" t="str">
        <v/>
      </c>
    </row>
    <row r="5953" spans="326:327">
      <c r="LN5953" t="str">
        <v/>
      </c>
      <c r="LO5953" t="str">
        <v/>
      </c>
    </row>
    <row r="5954" spans="326:327">
      <c r="LN5954" t="str">
        <v/>
      </c>
      <c r="LO5954" t="str">
        <v/>
      </c>
    </row>
    <row r="5955" spans="326:327">
      <c r="LN5955" t="str">
        <v/>
      </c>
      <c r="LO5955" t="str">
        <v/>
      </c>
    </row>
    <row r="5956" spans="326:327">
      <c r="LN5956" t="str">
        <v/>
      </c>
      <c r="LO5956" t="str">
        <v/>
      </c>
    </row>
    <row r="5957" spans="326:327">
      <c r="LN5957" t="str">
        <v/>
      </c>
      <c r="LO5957" t="str">
        <v/>
      </c>
    </row>
    <row r="5958" spans="326:327">
      <c r="LN5958" t="str">
        <v/>
      </c>
      <c r="LO5958" t="str">
        <v/>
      </c>
    </row>
    <row r="5959" spans="326:327">
      <c r="LN5959" t="str">
        <v/>
      </c>
      <c r="LO5959" t="str">
        <v/>
      </c>
    </row>
    <row r="5960" spans="326:327">
      <c r="LN5960" t="str">
        <v/>
      </c>
      <c r="LO5960" t="str">
        <v/>
      </c>
    </row>
    <row r="5961" spans="326:327">
      <c r="LN5961" t="str">
        <v/>
      </c>
      <c r="LO5961" t="str">
        <v/>
      </c>
    </row>
    <row r="5962" spans="326:327">
      <c r="LN5962" t="str">
        <v/>
      </c>
      <c r="LO5962" t="str">
        <v/>
      </c>
    </row>
    <row r="5963" spans="326:327">
      <c r="LN5963" t="str">
        <v/>
      </c>
      <c r="LO5963" t="str">
        <v/>
      </c>
    </row>
    <row r="5964" spans="326:327">
      <c r="LN5964" t="str">
        <v/>
      </c>
      <c r="LO5964" t="str">
        <v/>
      </c>
    </row>
    <row r="5965" spans="326:327">
      <c r="LN5965" t="str">
        <v/>
      </c>
      <c r="LO5965" t="str">
        <v/>
      </c>
    </row>
    <row r="5966" spans="326:327">
      <c r="LN5966" t="str">
        <v/>
      </c>
      <c r="LO5966" t="str">
        <v/>
      </c>
    </row>
    <row r="5967" spans="326:327">
      <c r="LN5967" t="str">
        <v/>
      </c>
      <c r="LO5967" t="str">
        <v/>
      </c>
    </row>
    <row r="5968" spans="326:327">
      <c r="LN5968" t="str">
        <v/>
      </c>
      <c r="LO5968" t="str">
        <v/>
      </c>
    </row>
    <row r="5969" spans="326:327">
      <c r="LN5969" t="str">
        <v/>
      </c>
      <c r="LO5969" t="str">
        <v/>
      </c>
    </row>
    <row r="5970" spans="326:327">
      <c r="LN5970" t="str">
        <v/>
      </c>
      <c r="LO5970" t="str">
        <v/>
      </c>
    </row>
    <row r="5971" spans="326:327">
      <c r="LN5971" t="str">
        <v/>
      </c>
      <c r="LO5971" t="str">
        <v/>
      </c>
    </row>
    <row r="5972" spans="326:327">
      <c r="LN5972" t="str">
        <v/>
      </c>
      <c r="LO5972" t="str">
        <v/>
      </c>
    </row>
    <row r="5973" spans="326:327">
      <c r="LN5973" t="str">
        <v/>
      </c>
      <c r="LO5973" t="str">
        <v/>
      </c>
    </row>
    <row r="5974" spans="326:327">
      <c r="LN5974" t="str">
        <v/>
      </c>
      <c r="LO5974" t="str">
        <v/>
      </c>
    </row>
    <row r="5975" spans="326:327">
      <c r="LN5975" t="str">
        <v/>
      </c>
      <c r="LO5975" t="str">
        <v/>
      </c>
    </row>
    <row r="5976" spans="326:327">
      <c r="LN5976" t="str">
        <v/>
      </c>
      <c r="LO5976" t="str">
        <v/>
      </c>
    </row>
    <row r="5977" spans="326:327">
      <c r="LN5977" t="str">
        <v/>
      </c>
      <c r="LO5977" t="str">
        <v/>
      </c>
    </row>
    <row r="5978" spans="326:327">
      <c r="LN5978" t="str">
        <v/>
      </c>
      <c r="LO5978" t="str">
        <v/>
      </c>
    </row>
    <row r="5979" spans="326:327">
      <c r="LN5979" t="str">
        <v/>
      </c>
      <c r="LO5979" t="str">
        <v/>
      </c>
    </row>
    <row r="5980" spans="326:327">
      <c r="LN5980" t="str">
        <v/>
      </c>
      <c r="LO5980" t="str">
        <v/>
      </c>
    </row>
    <row r="5981" spans="326:327">
      <c r="LN5981" t="str">
        <v/>
      </c>
      <c r="LO5981" t="str">
        <v/>
      </c>
    </row>
    <row r="5982" spans="326:327">
      <c r="LN5982" t="str">
        <v/>
      </c>
      <c r="LO5982" t="str">
        <v/>
      </c>
    </row>
    <row r="5983" spans="326:327">
      <c r="LN5983" t="str">
        <v/>
      </c>
      <c r="LO5983" t="str">
        <v/>
      </c>
    </row>
    <row r="5984" spans="326:327">
      <c r="LN5984" t="str">
        <v/>
      </c>
      <c r="LO5984" t="str">
        <v/>
      </c>
    </row>
    <row r="5985" spans="326:327">
      <c r="LN5985" t="str">
        <v/>
      </c>
      <c r="LO5985" t="str">
        <v/>
      </c>
    </row>
    <row r="5986" spans="326:327">
      <c r="LN5986" t="str">
        <v/>
      </c>
      <c r="LO5986" t="str">
        <v/>
      </c>
    </row>
    <row r="5987" spans="326:327">
      <c r="LN5987" t="str">
        <v/>
      </c>
      <c r="LO5987" t="str">
        <v/>
      </c>
    </row>
    <row r="5988" spans="326:327">
      <c r="LN5988" t="str">
        <v/>
      </c>
      <c r="LO5988" t="str">
        <v/>
      </c>
    </row>
    <row r="5989" spans="326:327">
      <c r="LN5989" t="str">
        <v/>
      </c>
      <c r="LO5989" t="str">
        <v/>
      </c>
    </row>
    <row r="5990" spans="326:327">
      <c r="LN5990" t="str">
        <v/>
      </c>
      <c r="LO5990" t="str">
        <v/>
      </c>
    </row>
    <row r="5991" spans="326:327">
      <c r="LN5991" t="str">
        <v/>
      </c>
      <c r="LO5991" t="str">
        <v/>
      </c>
    </row>
    <row r="5992" spans="326:327">
      <c r="LN5992" t="str">
        <v/>
      </c>
      <c r="LO5992" t="str">
        <v/>
      </c>
    </row>
    <row r="5993" spans="326:327">
      <c r="LN5993" t="str">
        <v/>
      </c>
      <c r="LO5993" t="str">
        <v/>
      </c>
    </row>
    <row r="5994" spans="326:327">
      <c r="LN5994" t="str">
        <v/>
      </c>
      <c r="LO5994" t="str">
        <v/>
      </c>
    </row>
    <row r="5995" spans="326:327">
      <c r="LN5995" t="str">
        <v/>
      </c>
      <c r="LO5995" t="str">
        <v/>
      </c>
    </row>
    <row r="5996" spans="326:327">
      <c r="LN5996" t="str">
        <v/>
      </c>
      <c r="LO5996" t="str">
        <v/>
      </c>
    </row>
    <row r="5997" spans="326:327">
      <c r="LN5997" t="str">
        <v/>
      </c>
      <c r="LO5997" t="str">
        <v/>
      </c>
    </row>
    <row r="5998" spans="326:327">
      <c r="LN5998" t="str">
        <v/>
      </c>
      <c r="LO5998" t="str">
        <v/>
      </c>
    </row>
    <row r="5999" spans="326:327">
      <c r="LN5999" t="str">
        <v/>
      </c>
      <c r="LO5999" t="str">
        <v/>
      </c>
    </row>
    <row r="6000" spans="326:327">
      <c r="LN6000" t="str">
        <v/>
      </c>
      <c r="LO6000" t="str">
        <v/>
      </c>
    </row>
    <row r="6001" spans="326:327">
      <c r="LN6001" t="str">
        <v/>
      </c>
      <c r="LO6001" t="str">
        <v/>
      </c>
    </row>
    <row r="6002" spans="326:327">
      <c r="LN6002" t="str">
        <v/>
      </c>
      <c r="LO6002" t="str">
        <v/>
      </c>
    </row>
    <row r="6003" spans="326:327">
      <c r="LN6003" t="str">
        <v/>
      </c>
      <c r="LO6003" t="str">
        <v/>
      </c>
    </row>
    <row r="6004" spans="326:327">
      <c r="LN6004" t="str">
        <v/>
      </c>
      <c r="LO6004" t="str">
        <v/>
      </c>
    </row>
    <row r="6005" spans="326:327">
      <c r="LN6005" t="str">
        <v/>
      </c>
      <c r="LO6005" t="str">
        <v/>
      </c>
    </row>
    <row r="6006" spans="326:327">
      <c r="LN6006" t="str">
        <v/>
      </c>
      <c r="LO6006" t="str">
        <v/>
      </c>
    </row>
    <row r="6007" spans="326:327">
      <c r="LN6007" t="str">
        <v/>
      </c>
      <c r="LO6007" t="str">
        <v/>
      </c>
    </row>
    <row r="6008" spans="326:327">
      <c r="LN6008" t="str">
        <v/>
      </c>
      <c r="LO6008" t="str">
        <v/>
      </c>
    </row>
    <row r="6009" spans="326:327">
      <c r="LN6009" t="str">
        <v/>
      </c>
      <c r="LO6009" t="str">
        <v/>
      </c>
    </row>
    <row r="6010" spans="326:327">
      <c r="LN6010" t="str">
        <v/>
      </c>
      <c r="LO6010" t="str">
        <v/>
      </c>
    </row>
    <row r="6011" spans="326:327">
      <c r="LN6011" t="str">
        <v/>
      </c>
      <c r="LO6011" t="str">
        <v/>
      </c>
    </row>
    <row r="6012" spans="326:327">
      <c r="LN6012" t="str">
        <v/>
      </c>
      <c r="LO6012" t="str">
        <v/>
      </c>
    </row>
    <row r="6013" spans="326:327">
      <c r="LN6013" t="str">
        <v/>
      </c>
      <c r="LO6013" t="str">
        <v/>
      </c>
    </row>
    <row r="6014" spans="326:327">
      <c r="LN6014" t="str">
        <v/>
      </c>
      <c r="LO6014" t="str">
        <v/>
      </c>
    </row>
    <row r="6015" spans="326:327">
      <c r="LN6015" t="str">
        <v/>
      </c>
      <c r="LO6015" t="str">
        <v/>
      </c>
    </row>
    <row r="6016" spans="326:327">
      <c r="LN6016" t="str">
        <v/>
      </c>
      <c r="LO6016" t="str">
        <v/>
      </c>
    </row>
    <row r="6017" spans="326:327">
      <c r="LN6017" t="str">
        <v/>
      </c>
      <c r="LO6017" t="str">
        <v/>
      </c>
    </row>
    <row r="6018" spans="326:327">
      <c r="LN6018" t="str">
        <v/>
      </c>
      <c r="LO6018" t="str">
        <v/>
      </c>
    </row>
    <row r="6019" spans="326:327">
      <c r="LN6019" t="str">
        <v/>
      </c>
      <c r="LO6019" t="str">
        <v/>
      </c>
    </row>
    <row r="6020" spans="326:327">
      <c r="LN6020" t="str">
        <v/>
      </c>
      <c r="LO6020" t="str">
        <v/>
      </c>
    </row>
    <row r="6021" spans="326:327">
      <c r="LN6021" t="str">
        <v/>
      </c>
      <c r="LO6021" t="str">
        <v/>
      </c>
    </row>
    <row r="6022" spans="326:327">
      <c r="LN6022" t="str">
        <v/>
      </c>
      <c r="LO6022" t="str">
        <v/>
      </c>
    </row>
    <row r="6023" spans="326:327">
      <c r="LN6023" t="str">
        <v/>
      </c>
      <c r="LO6023" t="str">
        <v/>
      </c>
    </row>
    <row r="6024" spans="326:327">
      <c r="LN6024" t="str">
        <v/>
      </c>
      <c r="LO6024" t="str">
        <v/>
      </c>
    </row>
    <row r="6025" spans="326:327">
      <c r="LN6025" t="str">
        <v/>
      </c>
      <c r="LO6025" t="str">
        <v/>
      </c>
    </row>
    <row r="6026" spans="326:327">
      <c r="LN6026" t="str">
        <v/>
      </c>
      <c r="LO6026" t="str">
        <v/>
      </c>
    </row>
    <row r="6027" spans="326:327">
      <c r="LN6027" t="str">
        <v/>
      </c>
      <c r="LO6027" t="str">
        <v/>
      </c>
    </row>
    <row r="6028" spans="326:327">
      <c r="LN6028" t="str">
        <v/>
      </c>
      <c r="LO6028" t="str">
        <v/>
      </c>
    </row>
    <row r="6029" spans="326:327">
      <c r="LN6029" t="str">
        <v/>
      </c>
      <c r="LO6029" t="str">
        <v/>
      </c>
    </row>
    <row r="6030" spans="326:327">
      <c r="LN6030" t="str">
        <v/>
      </c>
      <c r="LO6030" t="str">
        <v/>
      </c>
    </row>
    <row r="6031" spans="326:327">
      <c r="LN6031" t="str">
        <v/>
      </c>
      <c r="LO6031" t="str">
        <v/>
      </c>
    </row>
    <row r="6032" spans="326:327">
      <c r="LN6032" t="str">
        <v/>
      </c>
      <c r="LO6032" t="str">
        <v/>
      </c>
    </row>
    <row r="6033" spans="326:327">
      <c r="LN6033" t="str">
        <v/>
      </c>
      <c r="LO6033" t="str">
        <v/>
      </c>
    </row>
    <row r="6034" spans="326:327">
      <c r="LN6034" t="str">
        <v/>
      </c>
      <c r="LO6034" t="str">
        <v/>
      </c>
    </row>
    <row r="6035" spans="326:327">
      <c r="LN6035" t="str">
        <v/>
      </c>
      <c r="LO6035" t="str">
        <v/>
      </c>
    </row>
    <row r="6036" spans="326:327">
      <c r="LN6036" t="str">
        <v/>
      </c>
      <c r="LO6036" t="str">
        <v/>
      </c>
    </row>
    <row r="6037" spans="326:327">
      <c r="LN6037" t="str">
        <v/>
      </c>
      <c r="LO6037" t="str">
        <v/>
      </c>
    </row>
    <row r="6038" spans="326:327">
      <c r="LN6038" t="str">
        <v/>
      </c>
      <c r="LO6038" t="str">
        <v/>
      </c>
    </row>
    <row r="6039" spans="326:327">
      <c r="LN6039" t="str">
        <v/>
      </c>
      <c r="LO6039" t="str">
        <v/>
      </c>
    </row>
    <row r="6040" spans="326:327">
      <c r="LN6040" t="str">
        <v/>
      </c>
      <c r="LO6040" t="str">
        <v/>
      </c>
    </row>
    <row r="6041" spans="326:327">
      <c r="LN6041" t="str">
        <v/>
      </c>
      <c r="LO6041" t="str">
        <v/>
      </c>
    </row>
    <row r="6042" spans="326:327">
      <c r="LN6042" t="str">
        <v/>
      </c>
      <c r="LO6042" t="str">
        <v/>
      </c>
    </row>
    <row r="6043" spans="326:327">
      <c r="LN6043" t="str">
        <v/>
      </c>
      <c r="LO6043" t="str">
        <v/>
      </c>
    </row>
    <row r="6044" spans="326:327">
      <c r="LN6044" t="str">
        <v/>
      </c>
      <c r="LO6044" t="str">
        <v/>
      </c>
    </row>
    <row r="6045" spans="326:327">
      <c r="LN6045" t="str">
        <v/>
      </c>
      <c r="LO6045" t="str">
        <v/>
      </c>
    </row>
    <row r="6046" spans="326:327">
      <c r="LN6046" t="str">
        <v/>
      </c>
      <c r="LO6046" t="str">
        <v/>
      </c>
    </row>
    <row r="6047" spans="326:327">
      <c r="LN6047" t="str">
        <v/>
      </c>
      <c r="LO6047" t="str">
        <v/>
      </c>
    </row>
    <row r="6048" spans="326:327">
      <c r="LN6048" t="str">
        <v/>
      </c>
      <c r="LO6048" t="str">
        <v/>
      </c>
    </row>
    <row r="6049" spans="326:327">
      <c r="LN6049" t="str">
        <v/>
      </c>
      <c r="LO6049" t="str">
        <v/>
      </c>
    </row>
    <row r="6050" spans="326:327">
      <c r="LN6050" t="str">
        <v/>
      </c>
      <c r="LO6050" t="str">
        <v/>
      </c>
    </row>
    <row r="6051" spans="326:327">
      <c r="LN6051" t="str">
        <v/>
      </c>
      <c r="LO6051" t="str">
        <v/>
      </c>
    </row>
    <row r="6052" spans="326:327">
      <c r="LN6052" t="str">
        <v/>
      </c>
      <c r="LO6052" t="str">
        <v/>
      </c>
    </row>
    <row r="6053" spans="326:327">
      <c r="LN6053" t="str">
        <v/>
      </c>
      <c r="LO6053" t="str">
        <v/>
      </c>
    </row>
    <row r="6054" spans="326:327">
      <c r="LN6054" t="str">
        <v/>
      </c>
      <c r="LO6054" t="str">
        <v/>
      </c>
    </row>
    <row r="6055" spans="326:327">
      <c r="LN6055" t="str">
        <v/>
      </c>
      <c r="LO6055" t="str">
        <v/>
      </c>
    </row>
    <row r="6056" spans="326:327">
      <c r="LN6056" t="str">
        <v/>
      </c>
      <c r="LO6056" t="str">
        <v/>
      </c>
    </row>
    <row r="6057" spans="326:327">
      <c r="LN6057" t="str">
        <v/>
      </c>
      <c r="LO6057" t="str">
        <v/>
      </c>
    </row>
    <row r="6058" spans="326:327">
      <c r="LN6058" t="str">
        <v/>
      </c>
      <c r="LO6058" t="str">
        <v/>
      </c>
    </row>
    <row r="6059" spans="326:327">
      <c r="LN6059" t="str">
        <v/>
      </c>
      <c r="LO6059" t="str">
        <v/>
      </c>
    </row>
    <row r="6060" spans="326:327">
      <c r="LN6060" t="str">
        <v/>
      </c>
      <c r="LO6060" t="str">
        <v/>
      </c>
    </row>
    <row r="6061" spans="326:327">
      <c r="LN6061" t="str">
        <v/>
      </c>
      <c r="LO6061" t="str">
        <v/>
      </c>
    </row>
    <row r="6062" spans="326:327">
      <c r="LN6062" t="str">
        <v/>
      </c>
      <c r="LO6062" t="str">
        <v/>
      </c>
    </row>
    <row r="6063" spans="326:327">
      <c r="LN6063" t="str">
        <v/>
      </c>
      <c r="LO6063" t="str">
        <v/>
      </c>
    </row>
    <row r="6064" spans="326:327">
      <c r="LN6064" t="str">
        <v/>
      </c>
      <c r="LO6064" t="str">
        <v/>
      </c>
    </row>
    <row r="6065" spans="326:327">
      <c r="LN6065" t="str">
        <v/>
      </c>
      <c r="LO6065" t="str">
        <v/>
      </c>
    </row>
    <row r="6066" spans="326:327">
      <c r="LN6066" t="str">
        <v/>
      </c>
      <c r="LO6066" t="str">
        <v/>
      </c>
    </row>
    <row r="6067" spans="326:327">
      <c r="LN6067" t="str">
        <v/>
      </c>
      <c r="LO6067" t="str">
        <v/>
      </c>
    </row>
    <row r="6068" spans="326:327">
      <c r="LN6068" t="str">
        <v/>
      </c>
      <c r="LO6068" t="str">
        <v/>
      </c>
    </row>
    <row r="6069" spans="326:327">
      <c r="LN6069" t="str">
        <v/>
      </c>
      <c r="LO6069" t="str">
        <v/>
      </c>
    </row>
    <row r="6070" spans="326:327">
      <c r="LN6070" t="str">
        <v/>
      </c>
      <c r="LO6070" t="str">
        <v/>
      </c>
    </row>
    <row r="6071" spans="326:327">
      <c r="LN6071" t="str">
        <v/>
      </c>
      <c r="LO6071" t="str">
        <v/>
      </c>
    </row>
    <row r="6072" spans="326:327">
      <c r="LN6072" t="str">
        <v/>
      </c>
      <c r="LO6072" t="str">
        <v/>
      </c>
    </row>
    <row r="6073" spans="326:327">
      <c r="LN6073" t="str">
        <v/>
      </c>
      <c r="LO6073" t="str">
        <v/>
      </c>
    </row>
    <row r="6074" spans="326:327">
      <c r="LN6074" t="str">
        <v/>
      </c>
      <c r="LO6074" t="str">
        <v/>
      </c>
    </row>
    <row r="6075" spans="326:327">
      <c r="LN6075" t="str">
        <v/>
      </c>
      <c r="LO6075" t="str">
        <v/>
      </c>
    </row>
    <row r="6076" spans="326:327">
      <c r="LN6076" t="str">
        <v/>
      </c>
      <c r="LO6076" t="str">
        <v/>
      </c>
    </row>
    <row r="6077" spans="326:327">
      <c r="LN6077" t="str">
        <v/>
      </c>
      <c r="LO6077" t="str">
        <v/>
      </c>
    </row>
    <row r="6078" spans="326:327">
      <c r="LN6078" t="str">
        <v/>
      </c>
      <c r="LO6078" t="str">
        <v/>
      </c>
    </row>
    <row r="6079" spans="326:327">
      <c r="LN6079" t="str">
        <v/>
      </c>
      <c r="LO6079" t="str">
        <v/>
      </c>
    </row>
    <row r="6080" spans="326:327">
      <c r="LN6080" t="str">
        <v/>
      </c>
      <c r="LO6080" t="str">
        <v/>
      </c>
    </row>
    <row r="6081" spans="326:327">
      <c r="LN6081" t="str">
        <v/>
      </c>
      <c r="LO6081" t="str">
        <v/>
      </c>
    </row>
    <row r="6082" spans="326:327">
      <c r="LN6082" t="str">
        <v/>
      </c>
      <c r="LO6082" t="str">
        <v/>
      </c>
    </row>
    <row r="6083" spans="326:327">
      <c r="LN6083" t="str">
        <v/>
      </c>
      <c r="LO6083" t="str">
        <v/>
      </c>
    </row>
    <row r="6084" spans="326:327">
      <c r="LN6084" t="str">
        <v/>
      </c>
      <c r="LO6084" t="str">
        <v/>
      </c>
    </row>
    <row r="6085" spans="326:327">
      <c r="LN6085" t="str">
        <v/>
      </c>
      <c r="LO6085" t="str">
        <v/>
      </c>
    </row>
    <row r="6086" spans="326:327">
      <c r="LN6086" t="str">
        <v/>
      </c>
      <c r="LO6086" t="str">
        <v/>
      </c>
    </row>
    <row r="6087" spans="326:327">
      <c r="LN6087" t="str">
        <v/>
      </c>
      <c r="LO6087" t="str">
        <v/>
      </c>
    </row>
    <row r="6088" spans="326:327">
      <c r="LN6088" t="str">
        <v/>
      </c>
      <c r="LO6088" t="str">
        <v/>
      </c>
    </row>
    <row r="6089" spans="326:327">
      <c r="LN6089" t="str">
        <v/>
      </c>
      <c r="LO6089" t="str">
        <v/>
      </c>
    </row>
    <row r="6090" spans="326:327">
      <c r="LN6090" t="str">
        <v/>
      </c>
      <c r="LO6090" t="str">
        <v/>
      </c>
    </row>
    <row r="6091" spans="326:327">
      <c r="LN6091" t="str">
        <v/>
      </c>
      <c r="LO6091" t="str">
        <v/>
      </c>
    </row>
    <row r="6092" spans="326:327">
      <c r="LN6092" t="str">
        <v/>
      </c>
      <c r="LO6092" t="str">
        <v/>
      </c>
    </row>
    <row r="6093" spans="326:327">
      <c r="LN6093" t="str">
        <v/>
      </c>
      <c r="LO6093" t="str">
        <v/>
      </c>
    </row>
    <row r="6094" spans="326:327">
      <c r="LN6094" t="str">
        <v/>
      </c>
      <c r="LO6094" t="str">
        <v/>
      </c>
    </row>
    <row r="6095" spans="326:327">
      <c r="LN6095" t="str">
        <v/>
      </c>
      <c r="LO6095" t="str">
        <v/>
      </c>
    </row>
    <row r="6096" spans="326:327">
      <c r="LN6096" t="str">
        <v/>
      </c>
      <c r="LO6096" t="str">
        <v/>
      </c>
    </row>
    <row r="6097" spans="326:327">
      <c r="LN6097" t="str">
        <v/>
      </c>
      <c r="LO6097" t="str">
        <v/>
      </c>
    </row>
    <row r="6098" spans="326:327">
      <c r="LN6098" t="str">
        <v/>
      </c>
      <c r="LO6098" t="str">
        <v/>
      </c>
    </row>
    <row r="6099" spans="326:327">
      <c r="LN6099" t="str">
        <v/>
      </c>
      <c r="LO6099" t="str">
        <v/>
      </c>
    </row>
    <row r="6100" spans="326:327">
      <c r="LN6100" t="str">
        <v/>
      </c>
      <c r="LO6100" t="str">
        <v/>
      </c>
    </row>
    <row r="6101" spans="326:327">
      <c r="LN6101" t="str">
        <v/>
      </c>
      <c r="LO6101" t="str">
        <v/>
      </c>
    </row>
    <row r="6102" spans="326:327">
      <c r="LN6102" t="str">
        <v/>
      </c>
      <c r="LO6102" t="str">
        <v/>
      </c>
    </row>
    <row r="6103" spans="326:327">
      <c r="LN6103" t="str">
        <v/>
      </c>
      <c r="LO6103" t="str">
        <v/>
      </c>
    </row>
    <row r="6104" spans="326:327">
      <c r="LN6104" t="str">
        <v/>
      </c>
      <c r="LO6104" t="str">
        <v/>
      </c>
    </row>
    <row r="6105" spans="326:327">
      <c r="LN6105" t="str">
        <v/>
      </c>
      <c r="LO6105" t="str">
        <v/>
      </c>
    </row>
    <row r="6106" spans="326:327">
      <c r="LN6106" t="str">
        <v/>
      </c>
      <c r="LO6106" t="str">
        <v/>
      </c>
    </row>
    <row r="6107" spans="326:327">
      <c r="LN6107" t="str">
        <v/>
      </c>
      <c r="LO6107" t="str">
        <v/>
      </c>
    </row>
    <row r="6108" spans="326:327">
      <c r="LN6108" t="str">
        <v/>
      </c>
      <c r="LO6108" t="str">
        <v/>
      </c>
    </row>
    <row r="6109" spans="326:327">
      <c r="LN6109" t="str">
        <v/>
      </c>
      <c r="LO6109" t="str">
        <v/>
      </c>
    </row>
    <row r="6110" spans="326:327">
      <c r="LN6110" t="str">
        <v/>
      </c>
      <c r="LO6110" t="str">
        <v/>
      </c>
    </row>
    <row r="6111" spans="326:327">
      <c r="LN6111" t="str">
        <v/>
      </c>
      <c r="LO6111" t="str">
        <v/>
      </c>
    </row>
    <row r="6112" spans="326:327">
      <c r="LN6112" t="str">
        <v/>
      </c>
      <c r="LO6112" t="str">
        <v/>
      </c>
    </row>
    <row r="6113" spans="326:327">
      <c r="LN6113" t="str">
        <v/>
      </c>
      <c r="LO6113" t="str">
        <v/>
      </c>
    </row>
    <row r="6114" spans="326:327">
      <c r="LN6114" t="str">
        <v/>
      </c>
      <c r="LO6114" t="str">
        <v/>
      </c>
    </row>
    <row r="6115" spans="326:327">
      <c r="LN6115" t="str">
        <v/>
      </c>
      <c r="LO6115" t="str">
        <v/>
      </c>
    </row>
    <row r="6116" spans="326:327">
      <c r="LN6116" t="str">
        <v/>
      </c>
      <c r="LO6116" t="str">
        <v/>
      </c>
    </row>
    <row r="6117" spans="326:327">
      <c r="LN6117" t="str">
        <v/>
      </c>
      <c r="LO6117" t="str">
        <v/>
      </c>
    </row>
    <row r="6118" spans="326:327">
      <c r="LN6118" t="str">
        <v/>
      </c>
      <c r="LO6118" t="str">
        <v/>
      </c>
    </row>
    <row r="6119" spans="326:327">
      <c r="LN6119" t="str">
        <v/>
      </c>
      <c r="LO6119" t="str">
        <v/>
      </c>
    </row>
    <row r="6120" spans="326:327">
      <c r="LN6120" t="str">
        <v/>
      </c>
      <c r="LO6120" t="str">
        <v/>
      </c>
    </row>
    <row r="6121" spans="326:327">
      <c r="LN6121" t="str">
        <v/>
      </c>
      <c r="LO6121" t="str">
        <v/>
      </c>
    </row>
    <row r="6122" spans="326:327">
      <c r="LN6122" t="str">
        <v/>
      </c>
      <c r="LO6122" t="str">
        <v/>
      </c>
    </row>
    <row r="6123" spans="326:327">
      <c r="LN6123" t="str">
        <v/>
      </c>
      <c r="LO6123" t="str">
        <v/>
      </c>
    </row>
    <row r="6124" spans="326:327">
      <c r="LN6124" t="str">
        <v/>
      </c>
      <c r="LO6124" t="str">
        <v/>
      </c>
    </row>
    <row r="6125" spans="326:327">
      <c r="LN6125" t="str">
        <v/>
      </c>
      <c r="LO6125" t="str">
        <v/>
      </c>
    </row>
    <row r="6126" spans="326:327">
      <c r="LN6126" t="str">
        <v/>
      </c>
      <c r="LO6126" t="str">
        <v/>
      </c>
    </row>
    <row r="6127" spans="326:327">
      <c r="LN6127" t="str">
        <v/>
      </c>
      <c r="LO6127" t="str">
        <v/>
      </c>
    </row>
    <row r="6128" spans="326:327">
      <c r="LN6128" t="str">
        <v/>
      </c>
      <c r="LO6128" t="str">
        <v/>
      </c>
    </row>
    <row r="6129" spans="326:327">
      <c r="LN6129" t="str">
        <v/>
      </c>
      <c r="LO6129" t="str">
        <v/>
      </c>
    </row>
    <row r="6130" spans="326:327">
      <c r="LN6130" t="str">
        <v/>
      </c>
      <c r="LO6130" t="str">
        <v/>
      </c>
    </row>
    <row r="6131" spans="326:327">
      <c r="LN6131" t="str">
        <v/>
      </c>
      <c r="LO6131" t="str">
        <v/>
      </c>
    </row>
    <row r="6132" spans="326:327">
      <c r="LN6132" t="str">
        <v/>
      </c>
      <c r="LO6132" t="str">
        <v/>
      </c>
    </row>
    <row r="6133" spans="326:327">
      <c r="LN6133" t="str">
        <v/>
      </c>
      <c r="LO6133" t="str">
        <v/>
      </c>
    </row>
    <row r="6134" spans="326:327">
      <c r="LN6134" t="str">
        <v/>
      </c>
      <c r="LO6134" t="str">
        <v/>
      </c>
    </row>
    <row r="6135" spans="326:327">
      <c r="LN6135" t="str">
        <v/>
      </c>
      <c r="LO6135" t="str">
        <v/>
      </c>
    </row>
    <row r="6136" spans="326:327">
      <c r="LN6136" t="str">
        <v/>
      </c>
      <c r="LO6136" t="str">
        <v/>
      </c>
    </row>
    <row r="6137" spans="326:327">
      <c r="LN6137" t="str">
        <v/>
      </c>
      <c r="LO6137" t="str">
        <v/>
      </c>
    </row>
    <row r="6138" spans="326:327">
      <c r="LN6138" t="str">
        <v/>
      </c>
      <c r="LO6138" t="str">
        <v/>
      </c>
    </row>
    <row r="6139" spans="326:327">
      <c r="LN6139" t="str">
        <v/>
      </c>
      <c r="LO6139" t="str">
        <v/>
      </c>
    </row>
    <row r="6140" spans="326:327">
      <c r="LN6140" t="str">
        <v/>
      </c>
      <c r="LO6140" t="str">
        <v/>
      </c>
    </row>
    <row r="6141" spans="326:327">
      <c r="LN6141" t="str">
        <v/>
      </c>
      <c r="LO6141" t="str">
        <v/>
      </c>
    </row>
    <row r="6142" spans="326:327">
      <c r="LN6142" t="str">
        <v/>
      </c>
      <c r="LO6142" t="str">
        <v/>
      </c>
    </row>
    <row r="6143" spans="326:327">
      <c r="LN6143" t="str">
        <v/>
      </c>
      <c r="LO6143" t="str">
        <v/>
      </c>
    </row>
    <row r="6144" spans="326:327">
      <c r="LN6144" t="str">
        <v/>
      </c>
      <c r="LO6144" t="str">
        <v/>
      </c>
    </row>
    <row r="6145" spans="326:327">
      <c r="LN6145" t="str">
        <v/>
      </c>
      <c r="LO6145" t="str">
        <v/>
      </c>
    </row>
    <row r="6146" spans="326:327">
      <c r="LN6146" t="str">
        <v/>
      </c>
      <c r="LO6146" t="str">
        <v/>
      </c>
    </row>
    <row r="6147" spans="326:327">
      <c r="LN6147" t="str">
        <v/>
      </c>
      <c r="LO6147" t="str">
        <v/>
      </c>
    </row>
    <row r="6148" spans="326:327">
      <c r="LN6148" t="str">
        <v/>
      </c>
      <c r="LO6148" t="str">
        <v/>
      </c>
    </row>
    <row r="6149" spans="326:327">
      <c r="LN6149" t="str">
        <v/>
      </c>
      <c r="LO6149" t="str">
        <v/>
      </c>
    </row>
    <row r="6150" spans="326:327">
      <c r="LN6150" t="str">
        <v/>
      </c>
      <c r="LO6150" t="str">
        <v/>
      </c>
    </row>
    <row r="6151" spans="326:327">
      <c r="LN6151" t="str">
        <v/>
      </c>
      <c r="LO6151" t="str">
        <v/>
      </c>
    </row>
    <row r="6152" spans="326:327">
      <c r="LN6152" t="str">
        <v/>
      </c>
      <c r="LO6152" t="str">
        <v/>
      </c>
    </row>
    <row r="6153" spans="326:327">
      <c r="LN6153" t="str">
        <v/>
      </c>
      <c r="LO6153" t="str">
        <v/>
      </c>
    </row>
    <row r="6154" spans="326:327">
      <c r="LN6154" t="str">
        <v/>
      </c>
      <c r="LO6154" t="str">
        <v/>
      </c>
    </row>
    <row r="6155" spans="326:327">
      <c r="LN6155" t="str">
        <v/>
      </c>
      <c r="LO6155" t="str">
        <v/>
      </c>
    </row>
    <row r="6156" spans="326:327">
      <c r="LN6156" t="str">
        <v/>
      </c>
      <c r="LO6156" t="str">
        <v/>
      </c>
    </row>
    <row r="6157" spans="326:327">
      <c r="LN6157" t="str">
        <v/>
      </c>
      <c r="LO6157" t="str">
        <v/>
      </c>
    </row>
    <row r="6158" spans="326:327">
      <c r="LN6158" t="str">
        <v/>
      </c>
      <c r="LO6158" t="str">
        <v/>
      </c>
    </row>
    <row r="6159" spans="326:327">
      <c r="LN6159" t="str">
        <v/>
      </c>
      <c r="LO6159" t="str">
        <v/>
      </c>
    </row>
    <row r="6160" spans="326:327">
      <c r="LN6160" t="str">
        <v/>
      </c>
      <c r="LO6160" t="str">
        <v/>
      </c>
    </row>
    <row r="6161" spans="326:327">
      <c r="LN6161" t="str">
        <v/>
      </c>
      <c r="LO6161" t="str">
        <v/>
      </c>
    </row>
    <row r="6162" spans="326:327">
      <c r="LN6162" t="str">
        <v/>
      </c>
      <c r="LO6162" t="str">
        <v/>
      </c>
    </row>
    <row r="6163" spans="326:327">
      <c r="LN6163" t="str">
        <v/>
      </c>
      <c r="LO6163" t="str">
        <v/>
      </c>
    </row>
    <row r="6164" spans="326:327">
      <c r="LN6164" t="str">
        <v/>
      </c>
      <c r="LO6164" t="str">
        <v/>
      </c>
    </row>
    <row r="6165" spans="326:327">
      <c r="LN6165" t="str">
        <v/>
      </c>
      <c r="LO6165" t="str">
        <v/>
      </c>
    </row>
    <row r="6166" spans="326:327">
      <c r="LN6166" t="str">
        <v/>
      </c>
      <c r="LO6166" t="str">
        <v/>
      </c>
    </row>
    <row r="6167" spans="326:327">
      <c r="LN6167" t="str">
        <v/>
      </c>
      <c r="LO6167" t="str">
        <v/>
      </c>
    </row>
    <row r="6168" spans="326:327">
      <c r="LN6168" t="str">
        <v/>
      </c>
      <c r="LO6168" t="str">
        <v/>
      </c>
    </row>
    <row r="6169" spans="326:327">
      <c r="LN6169" t="str">
        <v/>
      </c>
      <c r="LO6169" t="str">
        <v/>
      </c>
    </row>
    <row r="6170" spans="326:327">
      <c r="LN6170" t="str">
        <v/>
      </c>
      <c r="LO6170" t="str">
        <v/>
      </c>
    </row>
    <row r="6171" spans="326:327">
      <c r="LN6171" t="str">
        <v/>
      </c>
      <c r="LO6171" t="str">
        <v/>
      </c>
    </row>
    <row r="6172" spans="326:327">
      <c r="LN6172" t="str">
        <v/>
      </c>
      <c r="LO6172" t="str">
        <v/>
      </c>
    </row>
    <row r="6173" spans="326:327">
      <c r="LN6173" t="str">
        <v/>
      </c>
      <c r="LO6173" t="str">
        <v/>
      </c>
    </row>
    <row r="6174" spans="326:327">
      <c r="LN6174" t="str">
        <v/>
      </c>
      <c r="LO6174" t="str">
        <v/>
      </c>
    </row>
    <row r="6175" spans="326:327">
      <c r="LN6175" t="str">
        <v/>
      </c>
      <c r="LO6175" t="str">
        <v/>
      </c>
    </row>
    <row r="6176" spans="326:327">
      <c r="LN6176" t="str">
        <v/>
      </c>
      <c r="LO6176" t="str">
        <v/>
      </c>
    </row>
    <row r="6177" spans="326:327">
      <c r="LN6177" t="str">
        <v/>
      </c>
      <c r="LO6177" t="str">
        <v/>
      </c>
    </row>
    <row r="6178" spans="326:327">
      <c r="LN6178" t="str">
        <v/>
      </c>
      <c r="LO6178" t="str">
        <v/>
      </c>
    </row>
    <row r="6179" spans="326:327">
      <c r="LN6179" t="str">
        <v/>
      </c>
      <c r="LO6179" t="str">
        <v/>
      </c>
    </row>
    <row r="6180" spans="326:327">
      <c r="LN6180" t="str">
        <v/>
      </c>
      <c r="LO6180" t="str">
        <v/>
      </c>
    </row>
    <row r="6181" spans="326:327">
      <c r="LN6181" t="str">
        <v/>
      </c>
      <c r="LO6181" t="str">
        <v/>
      </c>
    </row>
    <row r="6182" spans="326:327">
      <c r="LN6182" t="str">
        <v/>
      </c>
      <c r="LO6182" t="str">
        <v/>
      </c>
    </row>
    <row r="6183" spans="326:327">
      <c r="LN6183" t="str">
        <v/>
      </c>
      <c r="LO6183" t="str">
        <v/>
      </c>
    </row>
    <row r="6184" spans="326:327">
      <c r="LN6184" t="str">
        <v/>
      </c>
      <c r="LO6184" t="str">
        <v/>
      </c>
    </row>
    <row r="6185" spans="326:327">
      <c r="LN6185" t="str">
        <v/>
      </c>
      <c r="LO6185" t="str">
        <v/>
      </c>
    </row>
    <row r="6186" spans="326:327">
      <c r="LN6186" t="str">
        <v/>
      </c>
      <c r="LO6186" t="str">
        <v/>
      </c>
    </row>
    <row r="6187" spans="326:327">
      <c r="LN6187" t="str">
        <v/>
      </c>
      <c r="LO6187" t="str">
        <v/>
      </c>
    </row>
    <row r="6188" spans="326:327">
      <c r="LN6188" t="str">
        <v/>
      </c>
      <c r="LO6188" t="str">
        <v/>
      </c>
    </row>
    <row r="6189" spans="326:327">
      <c r="LN6189" t="str">
        <v/>
      </c>
      <c r="LO6189" t="str">
        <v/>
      </c>
    </row>
    <row r="6190" spans="326:327">
      <c r="LN6190" t="str">
        <v/>
      </c>
      <c r="LO6190" t="str">
        <v/>
      </c>
    </row>
    <row r="6191" spans="326:327">
      <c r="LN6191" t="str">
        <v/>
      </c>
      <c r="LO6191" t="str">
        <v/>
      </c>
    </row>
    <row r="6192" spans="326:327">
      <c r="LN6192" t="str">
        <v/>
      </c>
      <c r="LO6192" t="str">
        <v/>
      </c>
    </row>
    <row r="6193" spans="326:327">
      <c r="LN6193" t="str">
        <v/>
      </c>
      <c r="LO6193" t="str">
        <v/>
      </c>
    </row>
    <row r="6194" spans="326:327">
      <c r="LN6194" t="str">
        <v/>
      </c>
      <c r="LO6194" t="str">
        <v/>
      </c>
    </row>
    <row r="6195" spans="326:327">
      <c r="LN6195" t="str">
        <v/>
      </c>
      <c r="LO6195" t="str">
        <v/>
      </c>
    </row>
    <row r="6196" spans="326:327">
      <c r="LN6196" t="str">
        <v/>
      </c>
      <c r="LO6196" t="str">
        <v/>
      </c>
    </row>
    <row r="6197" spans="326:327">
      <c r="LN6197" t="str">
        <v/>
      </c>
      <c r="LO6197" t="str">
        <v/>
      </c>
    </row>
    <row r="6198" spans="326:327">
      <c r="LN6198" t="str">
        <v/>
      </c>
      <c r="LO6198" t="str">
        <v/>
      </c>
    </row>
    <row r="6199" spans="326:327">
      <c r="LN6199" t="str">
        <v/>
      </c>
      <c r="LO6199" t="str">
        <v/>
      </c>
    </row>
    <row r="6200" spans="326:327">
      <c r="LN6200" t="str">
        <v/>
      </c>
      <c r="LO6200" t="str">
        <v/>
      </c>
    </row>
    <row r="6201" spans="326:327">
      <c r="LN6201" t="str">
        <v/>
      </c>
      <c r="LO6201" t="str">
        <v/>
      </c>
    </row>
    <row r="6202" spans="326:327">
      <c r="LN6202" t="str">
        <v/>
      </c>
      <c r="LO6202" t="str">
        <v/>
      </c>
    </row>
    <row r="6203" spans="326:327">
      <c r="LN6203" t="str">
        <v/>
      </c>
      <c r="LO6203" t="str">
        <v/>
      </c>
    </row>
    <row r="6204" spans="326:327">
      <c r="LN6204" t="str">
        <v/>
      </c>
      <c r="LO6204" t="str">
        <v/>
      </c>
    </row>
    <row r="6205" spans="326:327">
      <c r="LN6205" t="str">
        <v/>
      </c>
      <c r="LO6205" t="str">
        <v/>
      </c>
    </row>
    <row r="6206" spans="326:327">
      <c r="LN6206" t="str">
        <v/>
      </c>
      <c r="LO6206" t="str">
        <v/>
      </c>
    </row>
    <row r="6207" spans="326:327">
      <c r="LN6207" t="str">
        <v/>
      </c>
      <c r="LO6207" t="str">
        <v/>
      </c>
    </row>
    <row r="6208" spans="326:327">
      <c r="LN6208" t="str">
        <v/>
      </c>
      <c r="LO6208" t="str">
        <v/>
      </c>
    </row>
    <row r="6209" spans="326:327">
      <c r="LN6209" t="str">
        <v/>
      </c>
      <c r="LO6209" t="str">
        <v/>
      </c>
    </row>
    <row r="6210" spans="326:327">
      <c r="LN6210" t="str">
        <v/>
      </c>
      <c r="LO6210" t="str">
        <v/>
      </c>
    </row>
    <row r="6211" spans="326:327">
      <c r="LN6211" t="str">
        <v/>
      </c>
      <c r="LO6211" t="str">
        <v/>
      </c>
    </row>
    <row r="6212" spans="326:327">
      <c r="LN6212" t="str">
        <v/>
      </c>
      <c r="LO6212" t="str">
        <v/>
      </c>
    </row>
    <row r="6213" spans="326:327">
      <c r="LN6213" t="str">
        <v/>
      </c>
      <c r="LO6213" t="str">
        <v/>
      </c>
    </row>
    <row r="6214" spans="326:327">
      <c r="LN6214" t="str">
        <v/>
      </c>
      <c r="LO6214" t="str">
        <v/>
      </c>
    </row>
    <row r="6215" spans="326:327">
      <c r="LN6215" t="str">
        <v/>
      </c>
      <c r="LO6215" t="str">
        <v/>
      </c>
    </row>
    <row r="6216" spans="326:327">
      <c r="LN6216" t="str">
        <v/>
      </c>
      <c r="LO6216" t="str">
        <v/>
      </c>
    </row>
    <row r="6217" spans="326:327">
      <c r="LN6217" t="str">
        <v/>
      </c>
      <c r="LO6217" t="str">
        <v/>
      </c>
    </row>
    <row r="6218" spans="326:327">
      <c r="LN6218" t="str">
        <v/>
      </c>
      <c r="LO6218" t="str">
        <v/>
      </c>
    </row>
    <row r="6219" spans="326:327">
      <c r="LN6219" t="str">
        <v/>
      </c>
      <c r="LO6219" t="str">
        <v/>
      </c>
    </row>
    <row r="6220" spans="326:327">
      <c r="LN6220" t="str">
        <v/>
      </c>
      <c r="LO6220" t="str">
        <v/>
      </c>
    </row>
    <row r="6221" spans="326:327">
      <c r="LN6221" t="str">
        <v/>
      </c>
      <c r="LO6221" t="str">
        <v/>
      </c>
    </row>
    <row r="6222" spans="326:327">
      <c r="LN6222" t="str">
        <v/>
      </c>
      <c r="LO6222" t="str">
        <v/>
      </c>
    </row>
    <row r="6223" spans="326:327">
      <c r="LN6223" t="str">
        <v/>
      </c>
      <c r="LO6223" t="str">
        <v/>
      </c>
    </row>
    <row r="6224" spans="326:327">
      <c r="LN6224" t="str">
        <v/>
      </c>
      <c r="LO6224" t="str">
        <v/>
      </c>
    </row>
    <row r="6225" spans="326:327">
      <c r="LN6225" t="str">
        <v/>
      </c>
      <c r="LO6225" t="str">
        <v/>
      </c>
    </row>
    <row r="6226" spans="326:327">
      <c r="LN6226" t="str">
        <v/>
      </c>
      <c r="LO6226" t="str">
        <v/>
      </c>
    </row>
    <row r="6227" spans="326:327">
      <c r="LN6227" t="str">
        <v/>
      </c>
      <c r="LO6227" t="str">
        <v/>
      </c>
    </row>
    <row r="6228" spans="326:327">
      <c r="LN6228" t="str">
        <v/>
      </c>
      <c r="LO6228" t="str">
        <v/>
      </c>
    </row>
    <row r="6229" spans="326:327">
      <c r="LN6229" t="str">
        <v/>
      </c>
      <c r="LO6229" t="str">
        <v/>
      </c>
    </row>
    <row r="6230" spans="326:327">
      <c r="LN6230" t="str">
        <v/>
      </c>
      <c r="LO6230" t="str">
        <v/>
      </c>
    </row>
    <row r="6231" spans="326:327">
      <c r="LN6231" t="str">
        <v/>
      </c>
      <c r="LO6231" t="str">
        <v/>
      </c>
    </row>
    <row r="6232" spans="326:327">
      <c r="LN6232" t="str">
        <v/>
      </c>
      <c r="LO6232" t="str">
        <v/>
      </c>
    </row>
    <row r="6233" spans="326:327">
      <c r="LN6233" t="str">
        <v/>
      </c>
      <c r="LO6233" t="str">
        <v/>
      </c>
    </row>
    <row r="6234" spans="326:327">
      <c r="LN6234" t="str">
        <v/>
      </c>
      <c r="LO6234" t="str">
        <v/>
      </c>
    </row>
    <row r="6235" spans="326:327">
      <c r="LN6235" t="str">
        <v/>
      </c>
      <c r="LO6235" t="str">
        <v/>
      </c>
    </row>
    <row r="6236" spans="326:327">
      <c r="LN6236" t="str">
        <v/>
      </c>
      <c r="LO6236" t="str">
        <v/>
      </c>
    </row>
    <row r="6237" spans="326:327">
      <c r="LN6237" t="str">
        <v/>
      </c>
      <c r="LO6237" t="str">
        <v/>
      </c>
    </row>
    <row r="6238" spans="326:327">
      <c r="LN6238" t="str">
        <v/>
      </c>
      <c r="LO6238" t="str">
        <v/>
      </c>
    </row>
    <row r="6239" spans="326:327">
      <c r="LN6239" t="str">
        <v/>
      </c>
      <c r="LO6239" t="str">
        <v/>
      </c>
    </row>
    <row r="6240" spans="326:327">
      <c r="LN6240" t="str">
        <v/>
      </c>
      <c r="LO6240" t="str">
        <v/>
      </c>
    </row>
    <row r="6241" spans="326:327">
      <c r="LN6241" t="str">
        <v/>
      </c>
      <c r="LO6241" t="str">
        <v/>
      </c>
    </row>
    <row r="6242" spans="326:327">
      <c r="LN6242" t="str">
        <v/>
      </c>
      <c r="LO6242" t="str">
        <v/>
      </c>
    </row>
    <row r="6243" spans="326:327">
      <c r="LN6243" t="str">
        <v/>
      </c>
      <c r="LO6243" t="str">
        <v/>
      </c>
    </row>
    <row r="6244" spans="326:327">
      <c r="LN6244" t="str">
        <v/>
      </c>
      <c r="LO6244" t="str">
        <v/>
      </c>
    </row>
    <row r="6245" spans="326:327">
      <c r="LN6245" t="str">
        <v/>
      </c>
      <c r="LO6245" t="str">
        <v/>
      </c>
    </row>
    <row r="6246" spans="326:327">
      <c r="LN6246" t="str">
        <v/>
      </c>
      <c r="LO6246" t="str">
        <v/>
      </c>
    </row>
    <row r="6247" spans="326:327">
      <c r="LN6247" t="str">
        <v/>
      </c>
      <c r="LO6247" t="str">
        <v/>
      </c>
    </row>
    <row r="6248" spans="326:327">
      <c r="LN6248" t="str">
        <v/>
      </c>
      <c r="LO6248" t="str">
        <v/>
      </c>
    </row>
    <row r="6249" spans="326:327">
      <c r="LN6249" t="str">
        <v/>
      </c>
      <c r="LO6249" t="str">
        <v/>
      </c>
    </row>
    <row r="6250" spans="326:327">
      <c r="LN6250" t="str">
        <v/>
      </c>
      <c r="LO6250" t="str">
        <v/>
      </c>
    </row>
    <row r="6251" spans="326:327">
      <c r="LN6251" t="str">
        <v/>
      </c>
      <c r="LO6251" t="str">
        <v/>
      </c>
    </row>
    <row r="6252" spans="326:327">
      <c r="LN6252" t="str">
        <v/>
      </c>
      <c r="LO6252" t="str">
        <v/>
      </c>
    </row>
    <row r="6253" spans="326:327">
      <c r="LN6253" t="str">
        <v/>
      </c>
      <c r="LO6253" t="str">
        <v/>
      </c>
    </row>
    <row r="6254" spans="326:327">
      <c r="LN6254" t="str">
        <v/>
      </c>
      <c r="LO6254" t="str">
        <v/>
      </c>
    </row>
    <row r="6255" spans="326:327">
      <c r="LN6255" t="str">
        <v/>
      </c>
      <c r="LO6255" t="str">
        <v/>
      </c>
    </row>
    <row r="6256" spans="326:327">
      <c r="LN6256" t="str">
        <v/>
      </c>
      <c r="LO6256" t="str">
        <v/>
      </c>
    </row>
    <row r="6257" spans="326:327">
      <c r="LN6257" t="str">
        <v/>
      </c>
      <c r="LO6257" t="str">
        <v/>
      </c>
    </row>
    <row r="6258" spans="326:327">
      <c r="LN6258" t="str">
        <v/>
      </c>
      <c r="LO6258" t="str">
        <v/>
      </c>
    </row>
    <row r="6259" spans="326:327">
      <c r="LN6259" t="str">
        <v/>
      </c>
      <c r="LO6259" t="str">
        <v/>
      </c>
    </row>
    <row r="6260" spans="326:327">
      <c r="LN6260" t="str">
        <v/>
      </c>
      <c r="LO6260" t="str">
        <v/>
      </c>
    </row>
    <row r="6261" spans="326:327">
      <c r="LN6261" t="str">
        <v/>
      </c>
      <c r="LO6261" t="str">
        <v/>
      </c>
    </row>
    <row r="6262" spans="326:327">
      <c r="LN6262" t="str">
        <v/>
      </c>
      <c r="LO6262" t="str">
        <v/>
      </c>
    </row>
    <row r="6263" spans="326:327">
      <c r="LN6263" t="str">
        <v/>
      </c>
      <c r="LO6263" t="str">
        <v/>
      </c>
    </row>
    <row r="6264" spans="326:327">
      <c r="LN6264" t="str">
        <v/>
      </c>
      <c r="LO6264" t="str">
        <v/>
      </c>
    </row>
    <row r="6265" spans="326:327">
      <c r="LN6265" t="str">
        <v/>
      </c>
      <c r="LO6265" t="str">
        <v/>
      </c>
    </row>
    <row r="6266" spans="326:327">
      <c r="LN6266" t="str">
        <v/>
      </c>
      <c r="LO6266" t="str">
        <v/>
      </c>
    </row>
    <row r="6267" spans="326:327">
      <c r="LN6267" t="str">
        <v/>
      </c>
      <c r="LO6267" t="str">
        <v/>
      </c>
    </row>
    <row r="6268" spans="326:327">
      <c r="LN6268" t="str">
        <v/>
      </c>
      <c r="LO6268" t="str">
        <v/>
      </c>
    </row>
    <row r="6269" spans="326:327">
      <c r="LN6269" t="str">
        <v/>
      </c>
      <c r="LO6269" t="str">
        <v/>
      </c>
    </row>
    <row r="6270" spans="326:327">
      <c r="LN6270" t="str">
        <v/>
      </c>
      <c r="LO6270" t="str">
        <v/>
      </c>
    </row>
    <row r="6271" spans="326:327">
      <c r="LN6271" t="str">
        <v/>
      </c>
      <c r="LO6271" t="str">
        <v/>
      </c>
    </row>
    <row r="6272" spans="326:327">
      <c r="LN6272" t="str">
        <v/>
      </c>
      <c r="LO6272" t="str">
        <v/>
      </c>
    </row>
    <row r="6273" spans="326:327">
      <c r="LN6273" t="str">
        <v/>
      </c>
      <c r="LO6273" t="str">
        <v/>
      </c>
    </row>
    <row r="6274" spans="326:327">
      <c r="LN6274" t="str">
        <v/>
      </c>
      <c r="LO6274" t="str">
        <v/>
      </c>
    </row>
    <row r="6275" spans="326:327">
      <c r="LN6275" t="str">
        <v/>
      </c>
      <c r="LO6275" t="str">
        <v/>
      </c>
    </row>
    <row r="6276" spans="326:327">
      <c r="LN6276" t="str">
        <v/>
      </c>
      <c r="LO6276" t="str">
        <v/>
      </c>
    </row>
    <row r="6277" spans="326:327">
      <c r="LN6277" t="str">
        <v/>
      </c>
      <c r="LO6277" t="str">
        <v/>
      </c>
    </row>
    <row r="6278" spans="326:327">
      <c r="LN6278" t="str">
        <v/>
      </c>
      <c r="LO6278" t="str">
        <v/>
      </c>
    </row>
    <row r="6279" spans="326:327">
      <c r="LN6279" t="str">
        <v/>
      </c>
      <c r="LO6279" t="str">
        <v/>
      </c>
    </row>
    <row r="6280" spans="326:327">
      <c r="LN6280" t="str">
        <v/>
      </c>
      <c r="LO6280" t="str">
        <v/>
      </c>
    </row>
    <row r="6281" spans="326:327">
      <c r="LN6281" t="str">
        <v/>
      </c>
      <c r="LO6281" t="str">
        <v/>
      </c>
    </row>
    <row r="6282" spans="326:327">
      <c r="LN6282" t="str">
        <v/>
      </c>
      <c r="LO6282" t="str">
        <v/>
      </c>
    </row>
    <row r="6283" spans="326:327">
      <c r="LN6283" t="str">
        <v/>
      </c>
      <c r="LO6283" t="str">
        <v/>
      </c>
    </row>
    <row r="6284" spans="326:327">
      <c r="LN6284" t="str">
        <v/>
      </c>
      <c r="LO6284" t="str">
        <v/>
      </c>
    </row>
    <row r="6285" spans="326:327">
      <c r="LN6285" t="str">
        <v/>
      </c>
      <c r="LO6285" t="str">
        <v/>
      </c>
    </row>
    <row r="6286" spans="326:327">
      <c r="LN6286" t="str">
        <v/>
      </c>
      <c r="LO6286" t="str">
        <v/>
      </c>
    </row>
    <row r="6287" spans="326:327">
      <c r="LN6287" t="str">
        <v/>
      </c>
      <c r="LO6287" t="str">
        <v/>
      </c>
    </row>
    <row r="6288" spans="326:327">
      <c r="LN6288" t="str">
        <v/>
      </c>
      <c r="LO6288" t="str">
        <v/>
      </c>
    </row>
    <row r="6289" spans="326:327">
      <c r="LN6289" t="str">
        <v/>
      </c>
      <c r="LO6289" t="str">
        <v/>
      </c>
    </row>
    <row r="6290" spans="326:327">
      <c r="LN6290" t="str">
        <v/>
      </c>
      <c r="LO6290" t="str">
        <v/>
      </c>
    </row>
    <row r="6291" spans="326:327">
      <c r="LN6291" t="str">
        <v/>
      </c>
      <c r="LO6291" t="str">
        <v/>
      </c>
    </row>
    <row r="6292" spans="326:327">
      <c r="LN6292" t="str">
        <v/>
      </c>
      <c r="LO6292" t="str">
        <v/>
      </c>
    </row>
    <row r="6293" spans="326:327">
      <c r="LN6293" t="str">
        <v/>
      </c>
      <c r="LO6293" t="str">
        <v/>
      </c>
    </row>
    <row r="6294" spans="326:327">
      <c r="LN6294" t="str">
        <v/>
      </c>
      <c r="LO6294" t="str">
        <v/>
      </c>
    </row>
    <row r="6295" spans="326:327">
      <c r="LN6295" t="str">
        <v/>
      </c>
      <c r="LO6295" t="str">
        <v/>
      </c>
    </row>
    <row r="6296" spans="326:327">
      <c r="LN6296" t="str">
        <v/>
      </c>
      <c r="LO6296" t="str">
        <v/>
      </c>
    </row>
    <row r="6297" spans="326:327">
      <c r="LN6297" t="str">
        <v/>
      </c>
      <c r="LO6297" t="str">
        <v/>
      </c>
    </row>
    <row r="6298" spans="326:327">
      <c r="LN6298" t="str">
        <v/>
      </c>
      <c r="LO6298" t="str">
        <v/>
      </c>
    </row>
    <row r="6299" spans="326:327">
      <c r="LN6299" t="str">
        <v/>
      </c>
      <c r="LO6299" t="str">
        <v/>
      </c>
    </row>
    <row r="6300" spans="326:327">
      <c r="LN6300" t="str">
        <v/>
      </c>
      <c r="LO6300" t="str">
        <v/>
      </c>
    </row>
    <row r="6301" spans="326:327">
      <c r="LN6301" t="str">
        <v/>
      </c>
      <c r="LO6301" t="str">
        <v/>
      </c>
    </row>
    <row r="6302" spans="326:327">
      <c r="LN6302" t="str">
        <v/>
      </c>
      <c r="LO6302" t="str">
        <v/>
      </c>
    </row>
    <row r="6303" spans="326:327">
      <c r="LN6303" t="str">
        <v/>
      </c>
      <c r="LO6303" t="str">
        <v/>
      </c>
    </row>
    <row r="6304" spans="326:327">
      <c r="LN6304" t="str">
        <v/>
      </c>
      <c r="LO6304" t="str">
        <v/>
      </c>
    </row>
    <row r="6305" spans="326:327">
      <c r="LN6305" t="str">
        <v/>
      </c>
      <c r="LO6305" t="str">
        <v/>
      </c>
    </row>
    <row r="6306" spans="326:327">
      <c r="LN6306" t="str">
        <v/>
      </c>
      <c r="LO6306" t="str">
        <v/>
      </c>
    </row>
    <row r="6307" spans="326:327">
      <c r="LN6307" t="str">
        <v/>
      </c>
      <c r="LO6307" t="str">
        <v/>
      </c>
    </row>
    <row r="6308" spans="326:327">
      <c r="LN6308" t="str">
        <v/>
      </c>
      <c r="LO6308" t="str">
        <v/>
      </c>
    </row>
    <row r="6309" spans="326:327">
      <c r="LN6309" t="str">
        <v/>
      </c>
      <c r="LO6309" t="str">
        <v/>
      </c>
    </row>
    <row r="6310" spans="326:327">
      <c r="LN6310" t="str">
        <v/>
      </c>
      <c r="LO6310" t="str">
        <v/>
      </c>
    </row>
    <row r="6311" spans="326:327">
      <c r="LN6311" t="str">
        <v/>
      </c>
      <c r="LO6311" t="str">
        <v/>
      </c>
    </row>
    <row r="6312" spans="326:327">
      <c r="LN6312" t="str">
        <v/>
      </c>
      <c r="LO6312" t="str">
        <v/>
      </c>
    </row>
    <row r="6313" spans="326:327">
      <c r="LN6313" t="str">
        <v/>
      </c>
      <c r="LO6313" t="str">
        <v/>
      </c>
    </row>
    <row r="6314" spans="326:327">
      <c r="LN6314" t="str">
        <v/>
      </c>
      <c r="LO6314" t="str">
        <v/>
      </c>
    </row>
    <row r="6315" spans="326:327">
      <c r="LN6315" t="str">
        <v/>
      </c>
      <c r="LO6315" t="str">
        <v/>
      </c>
    </row>
    <row r="6316" spans="326:327">
      <c r="LN6316" t="str">
        <v/>
      </c>
      <c r="LO6316" t="str">
        <v/>
      </c>
    </row>
    <row r="6317" spans="326:327">
      <c r="LN6317" t="str">
        <v/>
      </c>
      <c r="LO6317" t="str">
        <v/>
      </c>
    </row>
    <row r="6318" spans="326:327">
      <c r="LN6318" t="str">
        <v/>
      </c>
      <c r="LO6318" t="str">
        <v/>
      </c>
    </row>
    <row r="6319" spans="326:327">
      <c r="LN6319" t="str">
        <v/>
      </c>
      <c r="LO6319" t="str">
        <v/>
      </c>
    </row>
    <row r="6320" spans="326:327">
      <c r="LN6320" t="str">
        <v/>
      </c>
      <c r="LO6320" t="str">
        <v/>
      </c>
    </row>
    <row r="6321" spans="326:327">
      <c r="LN6321" t="str">
        <v/>
      </c>
      <c r="LO6321" t="str">
        <v/>
      </c>
    </row>
    <row r="6322" spans="326:327">
      <c r="LN6322" t="str">
        <v/>
      </c>
      <c r="LO6322" t="str">
        <v/>
      </c>
    </row>
    <row r="6323" spans="326:327">
      <c r="LN6323" t="str">
        <v/>
      </c>
      <c r="LO6323" t="str">
        <v/>
      </c>
    </row>
    <row r="6324" spans="326:327">
      <c r="LN6324" t="str">
        <v/>
      </c>
      <c r="LO6324" t="str">
        <v/>
      </c>
    </row>
    <row r="6325" spans="326:327">
      <c r="LN6325" t="str">
        <v/>
      </c>
      <c r="LO6325" t="str">
        <v/>
      </c>
    </row>
    <row r="6326" spans="326:327">
      <c r="LN6326" t="str">
        <v/>
      </c>
      <c r="LO6326" t="str">
        <v/>
      </c>
    </row>
    <row r="6327" spans="326:327">
      <c r="LN6327" t="str">
        <v/>
      </c>
      <c r="LO6327" t="str">
        <v/>
      </c>
    </row>
    <row r="6328" spans="326:327">
      <c r="LN6328" t="str">
        <v/>
      </c>
      <c r="LO6328" t="str">
        <v/>
      </c>
    </row>
    <row r="6329" spans="326:327">
      <c r="LN6329" t="str">
        <v/>
      </c>
      <c r="LO6329" t="str">
        <v/>
      </c>
    </row>
    <row r="6330" spans="326:327">
      <c r="LN6330" t="str">
        <v/>
      </c>
      <c r="LO6330" t="str">
        <v/>
      </c>
    </row>
    <row r="6331" spans="326:327">
      <c r="LN6331" t="str">
        <v/>
      </c>
      <c r="LO6331" t="str">
        <v/>
      </c>
    </row>
    <row r="6332" spans="326:327">
      <c r="LN6332" t="str">
        <v/>
      </c>
      <c r="LO6332" t="str">
        <v/>
      </c>
    </row>
    <row r="6333" spans="326:327">
      <c r="LN6333" t="str">
        <v/>
      </c>
      <c r="LO6333" t="str">
        <v/>
      </c>
    </row>
    <row r="6334" spans="326:327">
      <c r="LN6334" t="str">
        <v/>
      </c>
      <c r="LO6334" t="str">
        <v/>
      </c>
    </row>
    <row r="6335" spans="326:327">
      <c r="LN6335" t="str">
        <v/>
      </c>
      <c r="LO6335" t="str">
        <v/>
      </c>
    </row>
    <row r="6336" spans="326:327">
      <c r="LN6336" t="str">
        <v/>
      </c>
      <c r="LO6336" t="str">
        <v/>
      </c>
    </row>
    <row r="6337" spans="326:327">
      <c r="LN6337" t="str">
        <v/>
      </c>
      <c r="LO6337" t="str">
        <v/>
      </c>
    </row>
    <row r="6338" spans="326:327">
      <c r="LN6338" t="str">
        <v/>
      </c>
      <c r="LO6338" t="str">
        <v/>
      </c>
    </row>
    <row r="6339" spans="326:327">
      <c r="LN6339" t="str">
        <v/>
      </c>
      <c r="LO6339" t="str">
        <v/>
      </c>
    </row>
    <row r="6340" spans="326:327">
      <c r="LN6340" t="str">
        <v/>
      </c>
      <c r="LO6340" t="str">
        <v/>
      </c>
    </row>
    <row r="6341" spans="326:327">
      <c r="LN6341" t="str">
        <v/>
      </c>
      <c r="LO6341" t="str">
        <v/>
      </c>
    </row>
    <row r="6342" spans="326:327">
      <c r="LN6342" t="str">
        <v/>
      </c>
      <c r="LO6342" t="str">
        <v/>
      </c>
    </row>
    <row r="6343" spans="326:327">
      <c r="LN6343" t="str">
        <v/>
      </c>
      <c r="LO6343" t="str">
        <v/>
      </c>
    </row>
    <row r="6344" spans="326:327">
      <c r="LN6344" t="str">
        <v/>
      </c>
      <c r="LO6344" t="str">
        <v/>
      </c>
    </row>
    <row r="6345" spans="326:327">
      <c r="LN6345" t="str">
        <v/>
      </c>
      <c r="LO6345" t="str">
        <v/>
      </c>
    </row>
    <row r="6346" spans="326:327">
      <c r="LN6346" t="str">
        <v/>
      </c>
      <c r="LO6346" t="str">
        <v/>
      </c>
    </row>
    <row r="6347" spans="326:327">
      <c r="LN6347" t="str">
        <v/>
      </c>
      <c r="LO6347" t="str">
        <v/>
      </c>
    </row>
    <row r="6348" spans="326:327">
      <c r="LN6348" t="str">
        <v/>
      </c>
      <c r="LO6348" t="str">
        <v/>
      </c>
    </row>
    <row r="6349" spans="326:327">
      <c r="LN6349" t="str">
        <v/>
      </c>
      <c r="LO6349" t="str">
        <v/>
      </c>
    </row>
    <row r="6350" spans="326:327">
      <c r="LN6350" t="str">
        <v/>
      </c>
      <c r="LO6350" t="str">
        <v/>
      </c>
    </row>
    <row r="6351" spans="326:327">
      <c r="LN6351" t="str">
        <v/>
      </c>
      <c r="LO6351" t="str">
        <v/>
      </c>
    </row>
    <row r="6352" spans="326:327">
      <c r="LN6352" t="str">
        <v/>
      </c>
      <c r="LO6352" t="str">
        <v/>
      </c>
    </row>
    <row r="6353" spans="326:327">
      <c r="LN6353" t="str">
        <v/>
      </c>
      <c r="LO6353" t="str">
        <v/>
      </c>
    </row>
    <row r="6354" spans="326:327">
      <c r="LN6354" t="str">
        <v/>
      </c>
      <c r="LO6354" t="str">
        <v/>
      </c>
    </row>
    <row r="6355" spans="326:327">
      <c r="LN6355" t="str">
        <v/>
      </c>
      <c r="LO6355" t="str">
        <v/>
      </c>
    </row>
    <row r="6356" spans="326:327">
      <c r="LN6356" t="str">
        <v/>
      </c>
      <c r="LO6356" t="str">
        <v/>
      </c>
    </row>
    <row r="6357" spans="326:327">
      <c r="LN6357" t="str">
        <v/>
      </c>
      <c r="LO6357" t="str">
        <v/>
      </c>
    </row>
    <row r="6358" spans="326:327">
      <c r="LN6358" t="str">
        <v/>
      </c>
      <c r="LO6358" t="str">
        <v/>
      </c>
    </row>
    <row r="6359" spans="326:327">
      <c r="LN6359" t="str">
        <v/>
      </c>
      <c r="LO6359" t="str">
        <v/>
      </c>
    </row>
    <row r="6360" spans="326:327">
      <c r="LN6360" t="str">
        <v/>
      </c>
      <c r="LO6360" t="str">
        <v/>
      </c>
    </row>
    <row r="6361" spans="326:327">
      <c r="LN6361" t="str">
        <v/>
      </c>
      <c r="LO6361" t="str">
        <v/>
      </c>
    </row>
    <row r="6362" spans="326:327">
      <c r="LN6362" t="str">
        <v/>
      </c>
      <c r="LO6362" t="str">
        <v/>
      </c>
    </row>
    <row r="6363" spans="326:327">
      <c r="LN6363" t="str">
        <v/>
      </c>
      <c r="LO6363" t="str">
        <v/>
      </c>
    </row>
    <row r="6364" spans="326:327">
      <c r="LN6364" t="str">
        <v/>
      </c>
      <c r="LO6364" t="str">
        <v/>
      </c>
    </row>
    <row r="6365" spans="326:327">
      <c r="LN6365" t="str">
        <v/>
      </c>
      <c r="LO6365" t="str">
        <v/>
      </c>
    </row>
    <row r="6366" spans="326:327">
      <c r="LN6366" t="str">
        <v/>
      </c>
      <c r="LO6366" t="str">
        <v/>
      </c>
    </row>
    <row r="6367" spans="326:327">
      <c r="LN6367" t="str">
        <v/>
      </c>
      <c r="LO6367" t="str">
        <v/>
      </c>
    </row>
    <row r="6368" spans="326:327">
      <c r="LN6368" t="str">
        <v/>
      </c>
      <c r="LO6368" t="str">
        <v/>
      </c>
    </row>
    <row r="6369" spans="326:327">
      <c r="LN6369" t="str">
        <v/>
      </c>
      <c r="LO6369" t="str">
        <v/>
      </c>
    </row>
    <row r="6370" spans="326:327">
      <c r="LN6370" t="str">
        <v/>
      </c>
      <c r="LO6370" t="str">
        <v/>
      </c>
    </row>
    <row r="6371" spans="326:327">
      <c r="LN6371" t="str">
        <v/>
      </c>
      <c r="LO6371" t="str">
        <v/>
      </c>
    </row>
    <row r="6372" spans="326:327">
      <c r="LN6372" t="str">
        <v/>
      </c>
      <c r="LO6372" t="str">
        <v/>
      </c>
    </row>
    <row r="6373" spans="326:327">
      <c r="LN6373" t="str">
        <v/>
      </c>
      <c r="LO6373" t="str">
        <v/>
      </c>
    </row>
    <row r="6374" spans="326:327">
      <c r="LN6374" t="str">
        <v/>
      </c>
      <c r="LO6374" t="str">
        <v/>
      </c>
    </row>
    <row r="6375" spans="326:327">
      <c r="LN6375" t="str">
        <v/>
      </c>
      <c r="LO6375" t="str">
        <v/>
      </c>
    </row>
    <row r="6376" spans="326:327">
      <c r="LN6376" t="str">
        <v/>
      </c>
      <c r="LO6376" t="str">
        <v/>
      </c>
    </row>
    <row r="6377" spans="326:327">
      <c r="LN6377" t="str">
        <v/>
      </c>
      <c r="LO6377" t="str">
        <v/>
      </c>
    </row>
    <row r="6378" spans="326:327">
      <c r="LN6378" t="str">
        <v/>
      </c>
      <c r="LO6378" t="str">
        <v/>
      </c>
    </row>
    <row r="6379" spans="326:327">
      <c r="LN6379" t="str">
        <v/>
      </c>
      <c r="LO6379" t="str">
        <v/>
      </c>
    </row>
    <row r="6380" spans="326:327">
      <c r="LN6380" t="str">
        <v/>
      </c>
      <c r="LO6380" t="str">
        <v/>
      </c>
    </row>
    <row r="6381" spans="326:327">
      <c r="LN6381" t="str">
        <v/>
      </c>
      <c r="LO6381" t="str">
        <v/>
      </c>
    </row>
    <row r="6382" spans="326:327">
      <c r="LN6382" t="str">
        <v/>
      </c>
      <c r="LO6382" t="str">
        <v/>
      </c>
    </row>
    <row r="6383" spans="326:327">
      <c r="LN6383" t="str">
        <v/>
      </c>
      <c r="LO6383" t="str">
        <v/>
      </c>
    </row>
    <row r="6384" spans="326:327">
      <c r="LN6384" t="str">
        <v/>
      </c>
      <c r="LO6384" t="str">
        <v/>
      </c>
    </row>
    <row r="6385" spans="326:327">
      <c r="LN6385" t="str">
        <v/>
      </c>
      <c r="LO6385" t="str">
        <v/>
      </c>
    </row>
    <row r="6386" spans="326:327">
      <c r="LN6386" t="str">
        <v/>
      </c>
      <c r="LO6386" t="str">
        <v/>
      </c>
    </row>
    <row r="6387" spans="326:327">
      <c r="LN6387" t="str">
        <v/>
      </c>
      <c r="LO6387" t="str">
        <v/>
      </c>
    </row>
    <row r="6388" spans="326:327">
      <c r="LN6388" t="str">
        <v/>
      </c>
      <c r="LO6388" t="str">
        <v/>
      </c>
    </row>
    <row r="6389" spans="326:327">
      <c r="LN6389" t="str">
        <v/>
      </c>
      <c r="LO6389" t="str">
        <v/>
      </c>
    </row>
    <row r="6390" spans="326:327">
      <c r="LN6390" t="str">
        <v/>
      </c>
      <c r="LO6390" t="str">
        <v/>
      </c>
    </row>
    <row r="6391" spans="326:327">
      <c r="LN6391" t="str">
        <v/>
      </c>
      <c r="LO6391" t="str">
        <v/>
      </c>
    </row>
    <row r="6392" spans="326:327">
      <c r="LN6392" t="str">
        <v/>
      </c>
      <c r="LO6392" t="str">
        <v/>
      </c>
    </row>
    <row r="6393" spans="326:327">
      <c r="LN6393" t="str">
        <v/>
      </c>
      <c r="LO6393" t="str">
        <v/>
      </c>
    </row>
    <row r="6394" spans="326:327">
      <c r="LN6394" t="str">
        <v/>
      </c>
      <c r="LO6394" t="str">
        <v/>
      </c>
    </row>
    <row r="6395" spans="326:327">
      <c r="LN6395" t="str">
        <v/>
      </c>
      <c r="LO6395" t="str">
        <v/>
      </c>
    </row>
    <row r="6396" spans="326:327">
      <c r="LN6396" t="str">
        <v/>
      </c>
      <c r="LO6396" t="str">
        <v/>
      </c>
    </row>
    <row r="6397" spans="326:327">
      <c r="LN6397" t="str">
        <v/>
      </c>
      <c r="LO6397" t="str">
        <v/>
      </c>
    </row>
    <row r="6398" spans="326:327">
      <c r="LN6398" t="str">
        <v/>
      </c>
      <c r="LO6398" t="str">
        <v/>
      </c>
    </row>
    <row r="6399" spans="326:327">
      <c r="LN6399" t="str">
        <v/>
      </c>
      <c r="LO6399" t="str">
        <v/>
      </c>
    </row>
    <row r="6400" spans="326:327">
      <c r="LN6400" t="str">
        <v/>
      </c>
      <c r="LO6400" t="str">
        <v/>
      </c>
    </row>
    <row r="6401" spans="326:327">
      <c r="LN6401" t="str">
        <v/>
      </c>
      <c r="LO6401" t="str">
        <v/>
      </c>
    </row>
    <row r="6402" spans="326:327">
      <c r="LN6402" t="str">
        <v/>
      </c>
      <c r="LO6402" t="str">
        <v/>
      </c>
    </row>
    <row r="6403" spans="326:327">
      <c r="LN6403" t="str">
        <v/>
      </c>
      <c r="LO6403" t="str">
        <v/>
      </c>
    </row>
    <row r="6404" spans="326:327">
      <c r="LN6404" t="str">
        <v/>
      </c>
      <c r="LO6404" t="str">
        <v/>
      </c>
    </row>
    <row r="6405" spans="326:327">
      <c r="LN6405" t="str">
        <v/>
      </c>
      <c r="LO6405" t="str">
        <v/>
      </c>
    </row>
    <row r="6406" spans="326:327">
      <c r="LN6406" t="str">
        <v/>
      </c>
      <c r="LO6406" t="str">
        <v/>
      </c>
    </row>
    <row r="6407" spans="326:327">
      <c r="LN6407" t="str">
        <v/>
      </c>
      <c r="LO6407" t="str">
        <v/>
      </c>
    </row>
    <row r="6408" spans="326:327">
      <c r="LN6408" t="str">
        <v/>
      </c>
      <c r="LO6408" t="str">
        <v/>
      </c>
    </row>
    <row r="6409" spans="326:327">
      <c r="LN6409" t="str">
        <v/>
      </c>
      <c r="LO6409" t="str">
        <v/>
      </c>
    </row>
    <row r="6410" spans="326:327">
      <c r="LN6410" t="str">
        <v/>
      </c>
      <c r="LO6410" t="str">
        <v/>
      </c>
    </row>
    <row r="6411" spans="326:327">
      <c r="LN6411" t="str">
        <v/>
      </c>
      <c r="LO6411" t="str">
        <v/>
      </c>
    </row>
    <row r="6412" spans="326:327">
      <c r="LN6412" t="str">
        <v/>
      </c>
      <c r="LO6412" t="str">
        <v/>
      </c>
    </row>
    <row r="6413" spans="326:327">
      <c r="LN6413" t="str">
        <v/>
      </c>
      <c r="LO6413" t="str">
        <v/>
      </c>
    </row>
    <row r="6414" spans="326:327">
      <c r="LN6414" t="str">
        <v/>
      </c>
      <c r="LO6414" t="str">
        <v/>
      </c>
    </row>
    <row r="6415" spans="326:327">
      <c r="LN6415" t="str">
        <v/>
      </c>
      <c r="LO6415" t="str">
        <v/>
      </c>
    </row>
    <row r="6416" spans="326:327">
      <c r="LN6416" t="str">
        <v/>
      </c>
      <c r="LO6416" t="str">
        <v/>
      </c>
    </row>
    <row r="6417" spans="326:327">
      <c r="LN6417" t="str">
        <v/>
      </c>
      <c r="LO6417" t="str">
        <v/>
      </c>
    </row>
    <row r="6418" spans="326:327">
      <c r="LN6418" t="str">
        <v/>
      </c>
      <c r="LO6418" t="str">
        <v/>
      </c>
    </row>
    <row r="6419" spans="326:327">
      <c r="LN6419" t="str">
        <v/>
      </c>
      <c r="LO6419" t="str">
        <v/>
      </c>
    </row>
    <row r="6420" spans="326:327">
      <c r="LN6420" t="str">
        <v/>
      </c>
      <c r="LO6420" t="str">
        <v/>
      </c>
    </row>
    <row r="6421" spans="326:327">
      <c r="LN6421" t="str">
        <v/>
      </c>
      <c r="LO6421" t="str">
        <v/>
      </c>
    </row>
    <row r="6422" spans="326:327">
      <c r="LN6422" t="str">
        <v/>
      </c>
      <c r="LO6422" t="str">
        <v/>
      </c>
    </row>
    <row r="6423" spans="326:327">
      <c r="LN6423" t="str">
        <v/>
      </c>
      <c r="LO6423" t="str">
        <v/>
      </c>
    </row>
    <row r="6424" spans="326:327">
      <c r="LN6424" t="str">
        <v/>
      </c>
      <c r="LO6424" t="str">
        <v/>
      </c>
    </row>
    <row r="6425" spans="326:327">
      <c r="LN6425" t="str">
        <v/>
      </c>
      <c r="LO6425" t="str">
        <v/>
      </c>
    </row>
    <row r="6426" spans="326:327">
      <c r="LN6426" t="str">
        <v/>
      </c>
      <c r="LO6426" t="str">
        <v/>
      </c>
    </row>
    <row r="6427" spans="326:327">
      <c r="LN6427" t="str">
        <v/>
      </c>
      <c r="LO6427" t="str">
        <v/>
      </c>
    </row>
    <row r="6428" spans="326:327">
      <c r="LN6428" t="str">
        <v/>
      </c>
      <c r="LO6428" t="str">
        <v/>
      </c>
    </row>
    <row r="6429" spans="326:327">
      <c r="LN6429" t="str">
        <v/>
      </c>
      <c r="LO6429" t="str">
        <v/>
      </c>
    </row>
    <row r="6430" spans="326:327">
      <c r="LN6430" t="str">
        <v/>
      </c>
      <c r="LO6430" t="str">
        <v/>
      </c>
    </row>
    <row r="6431" spans="326:327">
      <c r="LN6431" t="str">
        <v/>
      </c>
      <c r="LO6431" t="str">
        <v/>
      </c>
    </row>
    <row r="6432" spans="326:327">
      <c r="LN6432" t="str">
        <v/>
      </c>
      <c r="LO6432" t="str">
        <v/>
      </c>
    </row>
    <row r="6433" spans="326:327">
      <c r="LN6433" t="str">
        <v/>
      </c>
      <c r="LO6433" t="str">
        <v/>
      </c>
    </row>
    <row r="6434" spans="326:327">
      <c r="LN6434" t="str">
        <v/>
      </c>
      <c r="LO6434" t="str">
        <v/>
      </c>
    </row>
    <row r="6435" spans="326:327">
      <c r="LN6435" t="str">
        <v/>
      </c>
      <c r="LO6435" t="str">
        <v/>
      </c>
    </row>
    <row r="6436" spans="326:327">
      <c r="LN6436" t="str">
        <v/>
      </c>
      <c r="LO6436" t="str">
        <v/>
      </c>
    </row>
    <row r="6437" spans="326:327">
      <c r="LN6437" t="str">
        <v/>
      </c>
      <c r="LO6437" t="str">
        <v/>
      </c>
    </row>
    <row r="6438" spans="326:327">
      <c r="LN6438" t="str">
        <v/>
      </c>
      <c r="LO6438" t="str">
        <v/>
      </c>
    </row>
    <row r="6439" spans="326:327">
      <c r="LN6439" t="str">
        <v/>
      </c>
      <c r="LO6439" t="str">
        <v/>
      </c>
    </row>
    <row r="6440" spans="326:327">
      <c r="LN6440" t="str">
        <v/>
      </c>
      <c r="LO6440" t="str">
        <v/>
      </c>
    </row>
    <row r="6441" spans="326:327">
      <c r="LN6441" t="str">
        <v/>
      </c>
      <c r="LO6441" t="str">
        <v/>
      </c>
    </row>
    <row r="6442" spans="326:327">
      <c r="LN6442" t="str">
        <v/>
      </c>
      <c r="LO6442" t="str">
        <v/>
      </c>
    </row>
    <row r="6443" spans="326:327">
      <c r="LN6443" t="str">
        <v/>
      </c>
      <c r="LO6443" t="str">
        <v/>
      </c>
    </row>
    <row r="6444" spans="326:327">
      <c r="LN6444" t="str">
        <v/>
      </c>
      <c r="LO6444" t="str">
        <v/>
      </c>
    </row>
    <row r="6445" spans="326:327">
      <c r="LN6445" t="str">
        <v/>
      </c>
      <c r="LO6445" t="str">
        <v/>
      </c>
    </row>
    <row r="6446" spans="326:327">
      <c r="LN6446" t="str">
        <v/>
      </c>
      <c r="LO6446" t="str">
        <v/>
      </c>
    </row>
    <row r="6447" spans="326:327">
      <c r="LN6447" t="str">
        <v/>
      </c>
      <c r="LO6447" t="str">
        <v/>
      </c>
    </row>
    <row r="6448" spans="326:327">
      <c r="LN6448" t="str">
        <v/>
      </c>
      <c r="LO6448" t="str">
        <v/>
      </c>
    </row>
    <row r="6449" spans="326:327">
      <c r="LN6449" t="str">
        <v/>
      </c>
      <c r="LO6449" t="str">
        <v/>
      </c>
    </row>
    <row r="6450" spans="326:327">
      <c r="LN6450" t="str">
        <v/>
      </c>
      <c r="LO6450" t="str">
        <v/>
      </c>
    </row>
    <row r="6451" spans="326:327">
      <c r="LN6451" t="str">
        <v/>
      </c>
      <c r="LO6451" t="str">
        <v/>
      </c>
    </row>
    <row r="6452" spans="326:327">
      <c r="LN6452" t="str">
        <v/>
      </c>
      <c r="LO6452" t="str">
        <v/>
      </c>
    </row>
    <row r="6453" spans="326:327">
      <c r="LN6453" t="str">
        <v/>
      </c>
      <c r="LO6453" t="str">
        <v/>
      </c>
    </row>
    <row r="6454" spans="326:327">
      <c r="LN6454" t="str">
        <v/>
      </c>
      <c r="LO6454" t="str">
        <v/>
      </c>
    </row>
    <row r="6455" spans="326:327">
      <c r="LN6455" t="str">
        <v/>
      </c>
      <c r="LO6455" t="str">
        <v/>
      </c>
    </row>
    <row r="6456" spans="326:327">
      <c r="LN6456" t="str">
        <v/>
      </c>
      <c r="LO6456" t="str">
        <v/>
      </c>
    </row>
    <row r="6457" spans="326:327">
      <c r="LN6457" t="str">
        <v/>
      </c>
      <c r="LO6457" t="str">
        <v/>
      </c>
    </row>
    <row r="6458" spans="326:327">
      <c r="LN6458" t="str">
        <v/>
      </c>
      <c r="LO6458" t="str">
        <v/>
      </c>
    </row>
    <row r="6459" spans="326:327">
      <c r="LN6459" t="str">
        <v/>
      </c>
      <c r="LO6459" t="str">
        <v/>
      </c>
    </row>
    <row r="6460" spans="326:327">
      <c r="LN6460" t="str">
        <v/>
      </c>
      <c r="LO6460" t="str">
        <v/>
      </c>
    </row>
    <row r="6461" spans="326:327">
      <c r="LN6461" t="str">
        <v/>
      </c>
      <c r="LO6461" t="str">
        <v/>
      </c>
    </row>
    <row r="6462" spans="326:327">
      <c r="LN6462" t="str">
        <v/>
      </c>
      <c r="LO6462" t="str">
        <v/>
      </c>
    </row>
    <row r="6463" spans="326:327">
      <c r="LN6463" t="str">
        <v/>
      </c>
      <c r="LO6463" t="str">
        <v/>
      </c>
    </row>
    <row r="6464" spans="326:327">
      <c r="LN6464" t="str">
        <v/>
      </c>
      <c r="LO6464" t="str">
        <v/>
      </c>
    </row>
    <row r="6465" spans="326:327">
      <c r="LN6465" t="str">
        <v/>
      </c>
      <c r="LO6465" t="str">
        <v/>
      </c>
    </row>
    <row r="6466" spans="326:327">
      <c r="LN6466" t="str">
        <v/>
      </c>
      <c r="LO6466" t="str">
        <v/>
      </c>
    </row>
    <row r="6467" spans="326:327">
      <c r="LN6467" t="str">
        <v/>
      </c>
      <c r="LO6467" t="str">
        <v/>
      </c>
    </row>
    <row r="6468" spans="326:327">
      <c r="LN6468" t="str">
        <v/>
      </c>
      <c r="LO6468" t="str">
        <v/>
      </c>
    </row>
    <row r="6469" spans="326:327">
      <c r="LN6469" t="str">
        <v/>
      </c>
      <c r="LO6469" t="str">
        <v/>
      </c>
    </row>
    <row r="6470" spans="326:327">
      <c r="LN6470" t="str">
        <v/>
      </c>
      <c r="LO6470" t="str">
        <v/>
      </c>
    </row>
    <row r="6471" spans="326:327">
      <c r="LN6471" t="str">
        <v/>
      </c>
      <c r="LO6471" t="str">
        <v/>
      </c>
    </row>
    <row r="6472" spans="326:327">
      <c r="LN6472" t="str">
        <v/>
      </c>
      <c r="LO6472" t="str">
        <v/>
      </c>
    </row>
    <row r="6473" spans="326:327">
      <c r="LN6473" t="str">
        <v/>
      </c>
      <c r="LO6473" t="str">
        <v/>
      </c>
    </row>
    <row r="6474" spans="326:327">
      <c r="LN6474" t="str">
        <v/>
      </c>
      <c r="LO6474" t="str">
        <v/>
      </c>
    </row>
    <row r="6475" spans="326:327">
      <c r="LN6475" t="str">
        <v/>
      </c>
      <c r="LO6475" t="str">
        <v/>
      </c>
    </row>
    <row r="6476" spans="326:327">
      <c r="LN6476" t="str">
        <v/>
      </c>
      <c r="LO6476" t="str">
        <v/>
      </c>
    </row>
    <row r="6477" spans="326:327">
      <c r="LN6477" t="str">
        <v/>
      </c>
      <c r="LO6477" t="str">
        <v/>
      </c>
    </row>
    <row r="6478" spans="326:327">
      <c r="LN6478" t="str">
        <v/>
      </c>
      <c r="LO6478" t="str">
        <v/>
      </c>
    </row>
    <row r="6479" spans="326:327">
      <c r="LN6479" t="str">
        <v/>
      </c>
      <c r="LO6479" t="str">
        <v/>
      </c>
    </row>
    <row r="6480" spans="326:327">
      <c r="LN6480" t="str">
        <v/>
      </c>
      <c r="LO6480" t="str">
        <v/>
      </c>
    </row>
    <row r="6481" spans="326:327">
      <c r="LN6481" t="str">
        <v/>
      </c>
      <c r="LO6481" t="str">
        <v/>
      </c>
    </row>
    <row r="6482" spans="326:327">
      <c r="LN6482" t="str">
        <v/>
      </c>
      <c r="LO6482" t="str">
        <v/>
      </c>
    </row>
    <row r="6483" spans="326:327">
      <c r="LN6483" t="str">
        <v/>
      </c>
      <c r="LO6483" t="str">
        <v/>
      </c>
    </row>
    <row r="6484" spans="326:327">
      <c r="LN6484" t="str">
        <v/>
      </c>
      <c r="LO6484" t="str">
        <v/>
      </c>
    </row>
    <row r="6485" spans="326:327">
      <c r="LN6485" t="str">
        <v/>
      </c>
      <c r="LO6485" t="str">
        <v/>
      </c>
    </row>
    <row r="6486" spans="326:327">
      <c r="LN6486" t="str">
        <v/>
      </c>
      <c r="LO6486" t="str">
        <v/>
      </c>
    </row>
    <row r="6487" spans="326:327">
      <c r="LN6487" t="str">
        <v/>
      </c>
      <c r="LO6487" t="str">
        <v/>
      </c>
    </row>
    <row r="6488" spans="326:327">
      <c r="LN6488" t="str">
        <v/>
      </c>
      <c r="LO6488" t="str">
        <v/>
      </c>
    </row>
    <row r="6489" spans="326:327">
      <c r="LN6489" t="str">
        <v/>
      </c>
      <c r="LO6489" t="str">
        <v/>
      </c>
    </row>
    <row r="6490" spans="326:327">
      <c r="LN6490" t="str">
        <v/>
      </c>
      <c r="LO6490" t="str">
        <v/>
      </c>
    </row>
    <row r="6491" spans="326:327">
      <c r="LN6491" t="str">
        <v/>
      </c>
      <c r="LO6491" t="str">
        <v/>
      </c>
    </row>
    <row r="6492" spans="326:327">
      <c r="LN6492" t="str">
        <v/>
      </c>
      <c r="LO6492" t="str">
        <v/>
      </c>
    </row>
    <row r="6493" spans="326:327">
      <c r="LN6493" t="str">
        <v/>
      </c>
      <c r="LO6493" t="str">
        <v/>
      </c>
    </row>
    <row r="6494" spans="326:327">
      <c r="LN6494" t="str">
        <v/>
      </c>
      <c r="LO6494" t="str">
        <v/>
      </c>
    </row>
    <row r="6495" spans="326:327">
      <c r="LN6495" t="str">
        <v/>
      </c>
      <c r="LO6495" t="str">
        <v/>
      </c>
    </row>
    <row r="6496" spans="326:327">
      <c r="LN6496" t="str">
        <v/>
      </c>
      <c r="LO6496" t="str">
        <v/>
      </c>
    </row>
    <row r="6497" spans="326:327">
      <c r="LN6497" t="str">
        <v/>
      </c>
      <c r="LO6497" t="str">
        <v/>
      </c>
    </row>
    <row r="6498" spans="326:327">
      <c r="LN6498" t="str">
        <v/>
      </c>
      <c r="LO6498" t="str">
        <v/>
      </c>
    </row>
    <row r="6499" spans="326:327">
      <c r="LN6499" t="str">
        <v/>
      </c>
      <c r="LO6499" t="str">
        <v/>
      </c>
    </row>
    <row r="6500" spans="326:327">
      <c r="LN6500" t="str">
        <v/>
      </c>
      <c r="LO6500" t="str">
        <v/>
      </c>
    </row>
    <row r="6501" spans="326:327">
      <c r="LN6501" t="str">
        <v/>
      </c>
      <c r="LO6501" t="str">
        <v/>
      </c>
    </row>
    <row r="6502" spans="326:327">
      <c r="LN6502" t="str">
        <v/>
      </c>
      <c r="LO6502" t="str">
        <v/>
      </c>
    </row>
    <row r="6503" spans="326:327">
      <c r="LN6503" t="str">
        <v/>
      </c>
      <c r="LO6503" t="str">
        <v/>
      </c>
    </row>
    <row r="6504" spans="326:327">
      <c r="LN6504" t="str">
        <v/>
      </c>
      <c r="LO6504" t="str">
        <v/>
      </c>
    </row>
    <row r="6505" spans="326:327">
      <c r="LN6505" t="str">
        <v/>
      </c>
      <c r="LO6505" t="str">
        <v/>
      </c>
    </row>
    <row r="6506" spans="326:327">
      <c r="LN6506" t="str">
        <v/>
      </c>
      <c r="LO6506" t="str">
        <v/>
      </c>
    </row>
    <row r="6507" spans="326:327">
      <c r="LN6507" t="str">
        <v/>
      </c>
      <c r="LO6507" t="str">
        <v/>
      </c>
    </row>
    <row r="6508" spans="326:327">
      <c r="LN6508" t="str">
        <v/>
      </c>
      <c r="LO6508" t="str">
        <v/>
      </c>
    </row>
    <row r="6509" spans="326:327">
      <c r="LN6509" t="str">
        <v/>
      </c>
      <c r="LO6509" t="str">
        <v/>
      </c>
    </row>
    <row r="6510" spans="326:327">
      <c r="LN6510" t="str">
        <v/>
      </c>
      <c r="LO6510" t="str">
        <v/>
      </c>
    </row>
    <row r="6511" spans="326:327">
      <c r="LN6511" t="str">
        <v/>
      </c>
      <c r="LO6511" t="str">
        <v/>
      </c>
    </row>
    <row r="6512" spans="326:327">
      <c r="LN6512" t="str">
        <v/>
      </c>
      <c r="LO6512" t="str">
        <v/>
      </c>
    </row>
    <row r="6513" spans="326:327">
      <c r="LN6513" t="str">
        <v/>
      </c>
      <c r="LO6513" t="str">
        <v/>
      </c>
    </row>
    <row r="6514" spans="326:327">
      <c r="LN6514" t="str">
        <v/>
      </c>
      <c r="LO6514" t="str">
        <v/>
      </c>
    </row>
    <row r="6515" spans="326:327">
      <c r="LN6515" t="str">
        <v/>
      </c>
      <c r="LO6515" t="str">
        <v/>
      </c>
    </row>
    <row r="6516" spans="326:327">
      <c r="LN6516" t="str">
        <v/>
      </c>
      <c r="LO6516" t="str">
        <v/>
      </c>
    </row>
    <row r="6517" spans="326:327">
      <c r="LN6517" t="str">
        <v/>
      </c>
      <c r="LO6517" t="str">
        <v/>
      </c>
    </row>
    <row r="6518" spans="326:327">
      <c r="LN6518" t="str">
        <v/>
      </c>
      <c r="LO6518" t="str">
        <v/>
      </c>
    </row>
    <row r="6519" spans="326:327">
      <c r="LN6519" t="str">
        <v/>
      </c>
      <c r="LO6519" t="str">
        <v/>
      </c>
    </row>
    <row r="6520" spans="326:327">
      <c r="LN6520" t="str">
        <v/>
      </c>
      <c r="LO6520" t="str">
        <v/>
      </c>
    </row>
    <row r="6521" spans="326:327">
      <c r="LN6521" t="str">
        <v/>
      </c>
      <c r="LO6521" t="str">
        <v/>
      </c>
    </row>
    <row r="6522" spans="326:327">
      <c r="LN6522" t="str">
        <v/>
      </c>
      <c r="LO6522" t="str">
        <v/>
      </c>
    </row>
    <row r="6523" spans="326:327">
      <c r="LN6523" t="str">
        <v/>
      </c>
      <c r="LO6523" t="str">
        <v/>
      </c>
    </row>
    <row r="6524" spans="326:327">
      <c r="LN6524" t="str">
        <v/>
      </c>
      <c r="LO6524" t="str">
        <v/>
      </c>
    </row>
    <row r="6525" spans="326:327">
      <c r="LN6525" t="str">
        <v/>
      </c>
      <c r="LO6525" t="str">
        <v/>
      </c>
    </row>
    <row r="6526" spans="326:327">
      <c r="LN6526" t="str">
        <v/>
      </c>
      <c r="LO6526" t="str">
        <v/>
      </c>
    </row>
    <row r="6527" spans="326:327">
      <c r="LN6527" t="str">
        <v/>
      </c>
      <c r="LO6527" t="str">
        <v/>
      </c>
    </row>
    <row r="6528" spans="326:327">
      <c r="LN6528" t="str">
        <v/>
      </c>
      <c r="LO6528" t="str">
        <v/>
      </c>
    </row>
    <row r="6529" spans="326:327">
      <c r="LN6529" t="str">
        <v/>
      </c>
      <c r="LO6529" t="str">
        <v/>
      </c>
    </row>
    <row r="6530" spans="326:327">
      <c r="LN6530" t="str">
        <v/>
      </c>
      <c r="LO6530" t="str">
        <v/>
      </c>
    </row>
    <row r="6531" spans="326:327">
      <c r="LN6531" t="str">
        <v/>
      </c>
      <c r="LO6531" t="str">
        <v/>
      </c>
    </row>
    <row r="6532" spans="326:327">
      <c r="LN6532" t="str">
        <v/>
      </c>
      <c r="LO6532" t="str">
        <v/>
      </c>
    </row>
    <row r="6533" spans="326:327">
      <c r="LN6533" t="str">
        <v/>
      </c>
      <c r="LO6533" t="str">
        <v/>
      </c>
    </row>
    <row r="6534" spans="326:327">
      <c r="LN6534" t="str">
        <v/>
      </c>
      <c r="LO6534" t="str">
        <v/>
      </c>
    </row>
    <row r="6535" spans="326:327">
      <c r="LN6535" t="str">
        <v/>
      </c>
      <c r="LO6535" t="str">
        <v/>
      </c>
    </row>
    <row r="6536" spans="326:327">
      <c r="LN6536" t="str">
        <v/>
      </c>
      <c r="LO6536" t="str">
        <v/>
      </c>
    </row>
    <row r="6537" spans="326:327">
      <c r="LN6537" t="str">
        <v/>
      </c>
      <c r="LO6537" t="str">
        <v/>
      </c>
    </row>
    <row r="6538" spans="326:327">
      <c r="LN6538" t="str">
        <v/>
      </c>
      <c r="LO6538" t="str">
        <v/>
      </c>
    </row>
    <row r="6539" spans="326:327">
      <c r="LN6539" t="str">
        <v/>
      </c>
      <c r="LO6539" t="str">
        <v/>
      </c>
    </row>
    <row r="6540" spans="326:327">
      <c r="LN6540" t="str">
        <v/>
      </c>
      <c r="LO6540" t="str">
        <v/>
      </c>
    </row>
    <row r="6541" spans="326:327">
      <c r="LN6541" t="str">
        <v/>
      </c>
      <c r="LO6541" t="str">
        <v/>
      </c>
    </row>
    <row r="6542" spans="326:327">
      <c r="LN6542" t="str">
        <v/>
      </c>
      <c r="LO6542" t="str">
        <v/>
      </c>
    </row>
    <row r="6543" spans="326:327">
      <c r="LN6543" t="str">
        <v/>
      </c>
      <c r="LO6543" t="str">
        <v/>
      </c>
    </row>
    <row r="6544" spans="326:327">
      <c r="LN6544" t="str">
        <v/>
      </c>
      <c r="LO6544" t="str">
        <v/>
      </c>
    </row>
    <row r="6545" spans="326:327">
      <c r="LN6545" t="str">
        <v/>
      </c>
      <c r="LO6545" t="str">
        <v/>
      </c>
    </row>
    <row r="6546" spans="326:327">
      <c r="LN6546" t="str">
        <v/>
      </c>
      <c r="LO6546" t="str">
        <v/>
      </c>
    </row>
    <row r="6547" spans="326:327">
      <c r="LN6547" t="str">
        <v/>
      </c>
      <c r="LO6547" t="str">
        <v/>
      </c>
    </row>
    <row r="6548" spans="326:327">
      <c r="LN6548" t="str">
        <v/>
      </c>
      <c r="LO6548" t="str">
        <v/>
      </c>
    </row>
    <row r="6549" spans="326:327">
      <c r="LN6549" t="str">
        <v/>
      </c>
      <c r="LO6549" t="str">
        <v/>
      </c>
    </row>
    <row r="6550" spans="326:327">
      <c r="LN6550" t="str">
        <v/>
      </c>
      <c r="LO6550" t="str">
        <v/>
      </c>
    </row>
    <row r="6551" spans="326:327">
      <c r="LN6551" t="str">
        <v/>
      </c>
      <c r="LO6551" t="str">
        <v/>
      </c>
    </row>
    <row r="6552" spans="326:327">
      <c r="LN6552" t="str">
        <v/>
      </c>
      <c r="LO6552" t="str">
        <v/>
      </c>
    </row>
    <row r="6553" spans="326:327">
      <c r="LN6553" t="str">
        <v/>
      </c>
      <c r="LO6553" t="str">
        <v/>
      </c>
    </row>
    <row r="6554" spans="326:327">
      <c r="LN6554" t="str">
        <v/>
      </c>
      <c r="LO6554" t="str">
        <v/>
      </c>
    </row>
    <row r="6555" spans="326:327">
      <c r="LN6555" t="str">
        <v/>
      </c>
      <c r="LO6555" t="str">
        <v/>
      </c>
    </row>
    <row r="6556" spans="326:327">
      <c r="LN6556" t="str">
        <v/>
      </c>
      <c r="LO6556" t="str">
        <v/>
      </c>
    </row>
    <row r="6557" spans="326:327">
      <c r="LN6557" t="str">
        <v/>
      </c>
      <c r="LO6557" t="str">
        <v/>
      </c>
    </row>
    <row r="6558" spans="326:327">
      <c r="LN6558" t="str">
        <v/>
      </c>
      <c r="LO6558" t="str">
        <v/>
      </c>
    </row>
    <row r="6559" spans="326:327">
      <c r="LN6559" t="str">
        <v/>
      </c>
      <c r="LO6559" t="str">
        <v/>
      </c>
    </row>
    <row r="6560" spans="326:327">
      <c r="LN6560" t="str">
        <v/>
      </c>
      <c r="LO6560" t="str">
        <v/>
      </c>
    </row>
    <row r="6561" spans="326:327">
      <c r="LN6561" t="str">
        <v/>
      </c>
      <c r="LO6561" t="str">
        <v/>
      </c>
    </row>
    <row r="6562" spans="326:327">
      <c r="LN6562" t="str">
        <v/>
      </c>
      <c r="LO6562" t="str">
        <v/>
      </c>
    </row>
    <row r="6563" spans="326:327">
      <c r="LN6563" t="str">
        <v/>
      </c>
      <c r="LO6563" t="str">
        <v/>
      </c>
    </row>
    <row r="6564" spans="326:327">
      <c r="LN6564" t="str">
        <v/>
      </c>
      <c r="LO6564" t="str">
        <v/>
      </c>
    </row>
    <row r="6565" spans="326:327">
      <c r="LN6565" t="str">
        <v/>
      </c>
      <c r="LO6565" t="str">
        <v/>
      </c>
    </row>
    <row r="6566" spans="326:327">
      <c r="LN6566" t="str">
        <v/>
      </c>
      <c r="LO6566" t="str">
        <v/>
      </c>
    </row>
    <row r="6567" spans="326:327">
      <c r="LN6567" t="str">
        <v/>
      </c>
      <c r="LO6567" t="str">
        <v/>
      </c>
    </row>
    <row r="6568" spans="326:327">
      <c r="LN6568" t="str">
        <v/>
      </c>
      <c r="LO6568" t="str">
        <v/>
      </c>
    </row>
    <row r="6569" spans="326:327">
      <c r="LN6569" t="str">
        <v/>
      </c>
      <c r="LO6569" t="str">
        <v/>
      </c>
    </row>
    <row r="6570" spans="326:327">
      <c r="LN6570" t="str">
        <v/>
      </c>
      <c r="LO6570" t="str">
        <v/>
      </c>
    </row>
    <row r="6571" spans="326:327">
      <c r="LN6571" t="str">
        <v/>
      </c>
      <c r="LO6571" t="str">
        <v/>
      </c>
    </row>
    <row r="6572" spans="326:327">
      <c r="LN6572" t="str">
        <v/>
      </c>
      <c r="LO6572" t="str">
        <v/>
      </c>
    </row>
    <row r="6573" spans="326:327">
      <c r="LN6573" t="str">
        <v/>
      </c>
      <c r="LO6573" t="str">
        <v/>
      </c>
    </row>
    <row r="6574" spans="326:327">
      <c r="LN6574" t="str">
        <v/>
      </c>
      <c r="LO6574" t="str">
        <v/>
      </c>
    </row>
    <row r="6575" spans="326:327">
      <c r="LN6575" t="str">
        <v/>
      </c>
      <c r="LO6575" t="str">
        <v/>
      </c>
    </row>
    <row r="6576" spans="326:327">
      <c r="LN6576" t="str">
        <v/>
      </c>
      <c r="LO6576" t="str">
        <v/>
      </c>
    </row>
    <row r="6577" spans="326:327">
      <c r="LN6577" t="str">
        <v/>
      </c>
      <c r="LO6577" t="str">
        <v/>
      </c>
    </row>
    <row r="6578" spans="326:327">
      <c r="LN6578" t="str">
        <v/>
      </c>
      <c r="LO6578" t="str">
        <v/>
      </c>
    </row>
    <row r="6579" spans="326:327">
      <c r="LN6579" t="str">
        <v/>
      </c>
      <c r="LO6579" t="str">
        <v/>
      </c>
    </row>
    <row r="6580" spans="326:327">
      <c r="LN6580" t="str">
        <v/>
      </c>
      <c r="LO6580" t="str">
        <v/>
      </c>
    </row>
    <row r="6581" spans="326:327">
      <c r="LN6581" t="str">
        <v/>
      </c>
      <c r="LO6581" t="str">
        <v/>
      </c>
    </row>
    <row r="6582" spans="326:327">
      <c r="LN6582" t="str">
        <v/>
      </c>
      <c r="LO6582" t="str">
        <v/>
      </c>
    </row>
    <row r="6583" spans="326:327">
      <c r="LN6583" t="str">
        <v/>
      </c>
      <c r="LO6583" t="str">
        <v/>
      </c>
    </row>
    <row r="6584" spans="326:327">
      <c r="LN6584" t="str">
        <v/>
      </c>
      <c r="LO6584" t="str">
        <v/>
      </c>
    </row>
    <row r="6585" spans="326:327">
      <c r="LN6585" t="str">
        <v/>
      </c>
      <c r="LO6585" t="str">
        <v/>
      </c>
    </row>
    <row r="6586" spans="326:327">
      <c r="LN6586" t="str">
        <v/>
      </c>
      <c r="LO6586" t="str">
        <v/>
      </c>
    </row>
    <row r="6587" spans="326:327">
      <c r="LN6587" t="str">
        <v/>
      </c>
      <c r="LO6587" t="str">
        <v/>
      </c>
    </row>
    <row r="6588" spans="326:327">
      <c r="LN6588" t="str">
        <v/>
      </c>
      <c r="LO6588" t="str">
        <v/>
      </c>
    </row>
    <row r="6589" spans="326:327">
      <c r="LN6589" t="str">
        <v/>
      </c>
      <c r="LO6589" t="str">
        <v/>
      </c>
    </row>
    <row r="6590" spans="326:327">
      <c r="LN6590" t="str">
        <v/>
      </c>
      <c r="LO6590" t="str">
        <v/>
      </c>
    </row>
    <row r="6591" spans="326:327">
      <c r="LN6591" t="str">
        <v/>
      </c>
      <c r="LO6591" t="str">
        <v/>
      </c>
    </row>
    <row r="6592" spans="326:327">
      <c r="LN6592" t="str">
        <v/>
      </c>
      <c r="LO6592" t="str">
        <v/>
      </c>
    </row>
    <row r="6593" spans="326:327">
      <c r="LN6593" t="str">
        <v/>
      </c>
      <c r="LO6593" t="str">
        <v/>
      </c>
    </row>
    <row r="6594" spans="326:327">
      <c r="LN6594" t="str">
        <v/>
      </c>
      <c r="LO6594" t="str">
        <v/>
      </c>
    </row>
    <row r="6595" spans="326:327">
      <c r="LN6595" t="str">
        <v/>
      </c>
      <c r="LO6595" t="str">
        <v/>
      </c>
    </row>
    <row r="6596" spans="326:327">
      <c r="LN6596" t="str">
        <v/>
      </c>
      <c r="LO6596" t="str">
        <v/>
      </c>
    </row>
    <row r="6597" spans="326:327">
      <c r="LN6597" t="str">
        <v/>
      </c>
      <c r="LO6597" t="str">
        <v/>
      </c>
    </row>
    <row r="6598" spans="326:327">
      <c r="LN6598" t="str">
        <v/>
      </c>
      <c r="LO6598" t="str">
        <v/>
      </c>
    </row>
    <row r="6599" spans="326:327">
      <c r="LN6599" t="str">
        <v/>
      </c>
      <c r="LO6599" t="str">
        <v/>
      </c>
    </row>
    <row r="6600" spans="326:327">
      <c r="LN6600" t="str">
        <v/>
      </c>
      <c r="LO6600" t="str">
        <v/>
      </c>
    </row>
    <row r="6601" spans="326:327">
      <c r="LN6601" t="str">
        <v/>
      </c>
      <c r="LO6601" t="str">
        <v/>
      </c>
    </row>
    <row r="6602" spans="326:327">
      <c r="LN6602" t="str">
        <v/>
      </c>
      <c r="LO6602" t="str">
        <v/>
      </c>
    </row>
    <row r="6603" spans="326:327">
      <c r="LN6603" t="str">
        <v/>
      </c>
      <c r="LO6603" t="str">
        <v/>
      </c>
    </row>
    <row r="6604" spans="326:327">
      <c r="LN6604" t="str">
        <v/>
      </c>
      <c r="LO6604" t="str">
        <v/>
      </c>
    </row>
    <row r="6605" spans="326:327">
      <c r="LN6605" t="str">
        <v/>
      </c>
      <c r="LO6605" t="str">
        <v/>
      </c>
    </row>
    <row r="6606" spans="326:327">
      <c r="LN6606" t="str">
        <v/>
      </c>
      <c r="LO6606" t="str">
        <v/>
      </c>
    </row>
    <row r="6607" spans="326:327">
      <c r="LN6607" t="str">
        <v/>
      </c>
      <c r="LO6607" t="str">
        <v/>
      </c>
    </row>
    <row r="6608" spans="326:327">
      <c r="LN6608" t="str">
        <v/>
      </c>
      <c r="LO6608" t="str">
        <v/>
      </c>
    </row>
    <row r="6609" spans="326:327">
      <c r="LN6609" t="str">
        <v/>
      </c>
      <c r="LO6609" t="str">
        <v/>
      </c>
    </row>
    <row r="6610" spans="326:327">
      <c r="LN6610" t="str">
        <v/>
      </c>
      <c r="LO6610" t="str">
        <v/>
      </c>
    </row>
    <row r="6611" spans="326:327">
      <c r="LN6611" t="str">
        <v/>
      </c>
      <c r="LO6611" t="str">
        <v/>
      </c>
    </row>
    <row r="6612" spans="326:327">
      <c r="LN6612" t="str">
        <v/>
      </c>
      <c r="LO6612" t="str">
        <v/>
      </c>
    </row>
    <row r="6613" spans="326:327">
      <c r="LN6613" t="str">
        <v/>
      </c>
      <c r="LO6613" t="str">
        <v/>
      </c>
    </row>
    <row r="6614" spans="326:327">
      <c r="LN6614" t="str">
        <v/>
      </c>
      <c r="LO6614" t="str">
        <v/>
      </c>
    </row>
    <row r="6615" spans="326:327">
      <c r="LN6615" t="str">
        <v/>
      </c>
      <c r="LO6615" t="str">
        <v/>
      </c>
    </row>
    <row r="6616" spans="326:327">
      <c r="LN6616" t="str">
        <v/>
      </c>
      <c r="LO6616" t="str">
        <v/>
      </c>
    </row>
    <row r="6617" spans="326:327">
      <c r="LN6617" t="str">
        <v/>
      </c>
      <c r="LO6617" t="str">
        <v/>
      </c>
    </row>
    <row r="6618" spans="326:327">
      <c r="LN6618" t="str">
        <v/>
      </c>
      <c r="LO6618" t="str">
        <v/>
      </c>
    </row>
    <row r="6619" spans="326:327">
      <c r="LN6619" t="str">
        <v/>
      </c>
      <c r="LO6619" t="str">
        <v/>
      </c>
    </row>
    <row r="6620" spans="326:327">
      <c r="LN6620" t="str">
        <v/>
      </c>
      <c r="LO6620" t="str">
        <v/>
      </c>
    </row>
    <row r="6621" spans="326:327">
      <c r="LN6621" t="str">
        <v/>
      </c>
      <c r="LO6621" t="str">
        <v/>
      </c>
    </row>
    <row r="6622" spans="326:327">
      <c r="LN6622" t="str">
        <v/>
      </c>
      <c r="LO6622" t="str">
        <v/>
      </c>
    </row>
    <row r="6623" spans="326:327">
      <c r="LN6623" t="str">
        <v/>
      </c>
      <c r="LO6623" t="str">
        <v/>
      </c>
    </row>
    <row r="6624" spans="326:327">
      <c r="LN6624" t="str">
        <v/>
      </c>
      <c r="LO6624" t="str">
        <v/>
      </c>
    </row>
    <row r="6625" spans="326:327">
      <c r="LN6625" t="str">
        <v/>
      </c>
      <c r="LO6625" t="str">
        <v/>
      </c>
    </row>
    <row r="6626" spans="326:327">
      <c r="LN6626" t="str">
        <v/>
      </c>
      <c r="LO6626" t="str">
        <v/>
      </c>
    </row>
    <row r="6627" spans="326:327">
      <c r="LN6627" t="str">
        <v/>
      </c>
      <c r="LO6627" t="str">
        <v/>
      </c>
    </row>
    <row r="6628" spans="326:327">
      <c r="LN6628" t="str">
        <v/>
      </c>
      <c r="LO6628" t="str">
        <v/>
      </c>
    </row>
    <row r="6629" spans="326:327">
      <c r="LN6629" t="str">
        <v/>
      </c>
      <c r="LO6629" t="str">
        <v/>
      </c>
    </row>
    <row r="6630" spans="326:327">
      <c r="LN6630" t="str">
        <v/>
      </c>
      <c r="LO6630" t="str">
        <v/>
      </c>
    </row>
    <row r="6631" spans="326:327">
      <c r="LN6631" t="str">
        <v/>
      </c>
      <c r="LO6631" t="str">
        <v/>
      </c>
    </row>
    <row r="6632" spans="326:327">
      <c r="LN6632" t="str">
        <v/>
      </c>
      <c r="LO6632" t="str">
        <v/>
      </c>
    </row>
    <row r="6633" spans="326:327">
      <c r="LN6633" t="str">
        <v/>
      </c>
      <c r="LO6633" t="str">
        <v/>
      </c>
    </row>
    <row r="6634" spans="326:327">
      <c r="LN6634" t="str">
        <v/>
      </c>
      <c r="LO6634" t="str">
        <v/>
      </c>
    </row>
    <row r="6635" spans="326:327">
      <c r="LN6635" t="str">
        <v/>
      </c>
      <c r="LO6635" t="str">
        <v/>
      </c>
    </row>
    <row r="6636" spans="326:327">
      <c r="LN6636" t="str">
        <v/>
      </c>
      <c r="LO6636" t="str">
        <v/>
      </c>
    </row>
    <row r="6637" spans="326:327">
      <c r="LN6637" t="str">
        <v/>
      </c>
      <c r="LO6637" t="str">
        <v/>
      </c>
    </row>
    <row r="6638" spans="326:327">
      <c r="LN6638" t="str">
        <v/>
      </c>
      <c r="LO6638" t="str">
        <v/>
      </c>
    </row>
    <row r="6639" spans="326:327">
      <c r="LN6639" t="str">
        <v/>
      </c>
      <c r="LO6639" t="str">
        <v/>
      </c>
    </row>
    <row r="6640" spans="326:327">
      <c r="LN6640" t="str">
        <v/>
      </c>
      <c r="LO6640" t="str">
        <v/>
      </c>
    </row>
    <row r="6641" spans="326:327">
      <c r="LN6641" t="str">
        <v/>
      </c>
      <c r="LO6641" t="str">
        <v/>
      </c>
    </row>
    <row r="6642" spans="326:327">
      <c r="LN6642" t="str">
        <v/>
      </c>
      <c r="LO6642" t="str">
        <v/>
      </c>
    </row>
    <row r="6643" spans="326:327">
      <c r="LN6643" t="str">
        <v/>
      </c>
      <c r="LO6643" t="str">
        <v/>
      </c>
    </row>
    <row r="6644" spans="326:327">
      <c r="LN6644" t="str">
        <v/>
      </c>
      <c r="LO6644" t="str">
        <v/>
      </c>
    </row>
    <row r="6645" spans="326:327">
      <c r="LN6645" t="str">
        <v/>
      </c>
      <c r="LO6645" t="str">
        <v/>
      </c>
    </row>
    <row r="6646" spans="326:327">
      <c r="LN6646" t="str">
        <v/>
      </c>
      <c r="LO6646" t="str">
        <v/>
      </c>
    </row>
    <row r="6647" spans="326:327">
      <c r="LN6647" t="str">
        <v/>
      </c>
      <c r="LO6647" t="str">
        <v/>
      </c>
    </row>
    <row r="6648" spans="326:327">
      <c r="LN6648" t="str">
        <v/>
      </c>
      <c r="LO6648" t="str">
        <v/>
      </c>
    </row>
    <row r="6649" spans="326:327">
      <c r="LN6649" t="str">
        <v/>
      </c>
      <c r="LO6649" t="str">
        <v/>
      </c>
    </row>
    <row r="6650" spans="326:327">
      <c r="LN6650" t="str">
        <v/>
      </c>
      <c r="LO6650" t="str">
        <v/>
      </c>
    </row>
    <row r="6651" spans="326:327">
      <c r="LN6651" t="str">
        <v/>
      </c>
      <c r="LO6651" t="str">
        <v/>
      </c>
    </row>
    <row r="6652" spans="326:327">
      <c r="LN6652" t="str">
        <v/>
      </c>
      <c r="LO6652" t="str">
        <v/>
      </c>
    </row>
    <row r="6653" spans="326:327">
      <c r="LN6653" t="str">
        <v/>
      </c>
      <c r="LO6653" t="str">
        <v/>
      </c>
    </row>
    <row r="6654" spans="326:327">
      <c r="LN6654" t="str">
        <v/>
      </c>
      <c r="LO6654" t="str">
        <v/>
      </c>
    </row>
    <row r="6655" spans="326:327">
      <c r="LN6655" t="str">
        <v/>
      </c>
      <c r="LO6655" t="str">
        <v/>
      </c>
    </row>
    <row r="6656" spans="326:327">
      <c r="LN6656" t="str">
        <v/>
      </c>
      <c r="LO6656" t="str">
        <v/>
      </c>
    </row>
    <row r="6657" spans="326:327">
      <c r="LN6657" t="str">
        <v/>
      </c>
      <c r="LO6657" t="str">
        <v/>
      </c>
    </row>
    <row r="6658" spans="326:327">
      <c r="LN6658" t="str">
        <v/>
      </c>
      <c r="LO6658" t="str">
        <v/>
      </c>
    </row>
    <row r="6659" spans="326:327">
      <c r="LN6659" t="str">
        <v/>
      </c>
      <c r="LO6659" t="str">
        <v/>
      </c>
    </row>
    <row r="6660" spans="326:327">
      <c r="LN6660" t="str">
        <v/>
      </c>
      <c r="LO6660" t="str">
        <v/>
      </c>
    </row>
    <row r="6661" spans="326:327">
      <c r="LN6661" t="str">
        <v/>
      </c>
      <c r="LO6661" t="str">
        <v/>
      </c>
    </row>
    <row r="6662" spans="326:327">
      <c r="LN6662" t="str">
        <v/>
      </c>
      <c r="LO6662" t="str">
        <v/>
      </c>
    </row>
    <row r="6663" spans="326:327">
      <c r="LN6663" t="str">
        <v/>
      </c>
      <c r="LO6663" t="str">
        <v/>
      </c>
    </row>
    <row r="6664" spans="326:327">
      <c r="LN6664" t="str">
        <v/>
      </c>
      <c r="LO6664" t="str">
        <v/>
      </c>
    </row>
    <row r="6665" spans="326:327">
      <c r="LN6665" t="str">
        <v/>
      </c>
      <c r="LO6665" t="str">
        <v/>
      </c>
    </row>
    <row r="6666" spans="326:327">
      <c r="LN6666" t="str">
        <v/>
      </c>
      <c r="LO6666" t="str">
        <v/>
      </c>
    </row>
    <row r="6667" spans="326:327">
      <c r="LN6667" t="str">
        <v/>
      </c>
      <c r="LO6667" t="str">
        <v/>
      </c>
    </row>
    <row r="6668" spans="326:327">
      <c r="LN6668" t="str">
        <v/>
      </c>
      <c r="LO6668" t="str">
        <v/>
      </c>
    </row>
    <row r="6669" spans="326:327">
      <c r="LN6669" t="str">
        <v/>
      </c>
      <c r="LO6669" t="str">
        <v/>
      </c>
    </row>
    <row r="6670" spans="326:327">
      <c r="LN6670" t="str">
        <v/>
      </c>
      <c r="LO6670" t="str">
        <v/>
      </c>
    </row>
    <row r="6671" spans="326:327">
      <c r="LN6671" t="str">
        <v/>
      </c>
      <c r="LO6671" t="str">
        <v/>
      </c>
    </row>
    <row r="6672" spans="326:327">
      <c r="LN6672" t="str">
        <v/>
      </c>
      <c r="LO6672" t="str">
        <v/>
      </c>
    </row>
    <row r="6673" spans="326:327">
      <c r="LN6673" t="str">
        <v/>
      </c>
      <c r="LO6673" t="str">
        <v/>
      </c>
    </row>
    <row r="6674" spans="326:327">
      <c r="LN6674" t="str">
        <v/>
      </c>
      <c r="LO6674" t="str">
        <v/>
      </c>
    </row>
    <row r="6675" spans="326:327">
      <c r="LN6675" t="str">
        <v/>
      </c>
      <c r="LO6675" t="str">
        <v/>
      </c>
    </row>
    <row r="6676" spans="326:327">
      <c r="LN6676" t="str">
        <v/>
      </c>
      <c r="LO6676" t="str">
        <v/>
      </c>
    </row>
    <row r="6677" spans="326:327">
      <c r="LN6677" t="str">
        <v/>
      </c>
      <c r="LO6677" t="str">
        <v/>
      </c>
    </row>
    <row r="6678" spans="326:327">
      <c r="LN6678" t="str">
        <v/>
      </c>
      <c r="LO6678" t="str">
        <v/>
      </c>
    </row>
    <row r="6679" spans="326:327">
      <c r="LN6679" t="str">
        <v/>
      </c>
      <c r="LO6679" t="str">
        <v/>
      </c>
    </row>
    <row r="6680" spans="326:327">
      <c r="LN6680" t="str">
        <v/>
      </c>
      <c r="LO6680" t="str">
        <v/>
      </c>
    </row>
    <row r="6681" spans="326:327">
      <c r="LN6681" t="str">
        <v/>
      </c>
      <c r="LO6681" t="str">
        <v/>
      </c>
    </row>
    <row r="6682" spans="326:327">
      <c r="LN6682" t="str">
        <v/>
      </c>
      <c r="LO6682" t="str">
        <v/>
      </c>
    </row>
    <row r="6683" spans="326:327">
      <c r="LN6683" t="str">
        <v/>
      </c>
      <c r="LO6683" t="str">
        <v/>
      </c>
    </row>
    <row r="6684" spans="326:327">
      <c r="LN6684" t="str">
        <v/>
      </c>
      <c r="LO6684" t="str">
        <v/>
      </c>
    </row>
    <row r="6685" spans="326:327">
      <c r="LN6685" t="str">
        <v/>
      </c>
      <c r="LO6685" t="str">
        <v/>
      </c>
    </row>
    <row r="6686" spans="326:327">
      <c r="LN6686" t="str">
        <v/>
      </c>
      <c r="LO6686" t="str">
        <v/>
      </c>
    </row>
    <row r="6687" spans="326:327">
      <c r="LN6687" t="str">
        <v/>
      </c>
      <c r="LO6687" t="str">
        <v/>
      </c>
    </row>
    <row r="6688" spans="326:327">
      <c r="LN6688" t="str">
        <v/>
      </c>
      <c r="LO6688" t="str">
        <v/>
      </c>
    </row>
    <row r="6689" spans="326:327">
      <c r="LN6689" t="str">
        <v/>
      </c>
      <c r="LO6689" t="str">
        <v/>
      </c>
    </row>
    <row r="6690" spans="326:327">
      <c r="LN6690" t="str">
        <v/>
      </c>
      <c r="LO6690" t="str">
        <v/>
      </c>
    </row>
    <row r="6691" spans="326:327">
      <c r="LN6691" t="str">
        <v/>
      </c>
      <c r="LO6691" t="str">
        <v/>
      </c>
    </row>
    <row r="6692" spans="326:327">
      <c r="LN6692" t="str">
        <v/>
      </c>
      <c r="LO6692" t="str">
        <v/>
      </c>
    </row>
    <row r="6693" spans="326:327">
      <c r="LN6693" t="str">
        <v/>
      </c>
      <c r="LO6693" t="str">
        <v/>
      </c>
    </row>
    <row r="6694" spans="326:327">
      <c r="LN6694" t="str">
        <v/>
      </c>
      <c r="LO6694" t="str">
        <v/>
      </c>
    </row>
    <row r="6695" spans="326:327">
      <c r="LN6695" t="str">
        <v/>
      </c>
      <c r="LO6695" t="str">
        <v/>
      </c>
    </row>
    <row r="6696" spans="326:327">
      <c r="LN6696" t="str">
        <v/>
      </c>
      <c r="LO6696" t="str">
        <v/>
      </c>
    </row>
    <row r="6697" spans="326:327">
      <c r="LN6697" t="str">
        <v/>
      </c>
      <c r="LO6697" t="str">
        <v/>
      </c>
    </row>
    <row r="6698" spans="326:327">
      <c r="LN6698" t="str">
        <v/>
      </c>
      <c r="LO6698" t="str">
        <v/>
      </c>
    </row>
    <row r="6699" spans="326:327">
      <c r="LN6699" t="str">
        <v/>
      </c>
      <c r="LO6699" t="str">
        <v/>
      </c>
    </row>
    <row r="6700" spans="326:327">
      <c r="LN6700" t="str">
        <v/>
      </c>
      <c r="LO6700" t="str">
        <v/>
      </c>
    </row>
    <row r="6701" spans="326:327">
      <c r="LN6701" t="str">
        <v/>
      </c>
      <c r="LO6701" t="str">
        <v/>
      </c>
    </row>
    <row r="6702" spans="326:327">
      <c r="LN6702" t="str">
        <v/>
      </c>
      <c r="LO6702" t="str">
        <v/>
      </c>
    </row>
    <row r="6703" spans="326:327">
      <c r="LN6703" t="str">
        <v/>
      </c>
      <c r="LO6703" t="str">
        <v/>
      </c>
    </row>
    <row r="6704" spans="326:327">
      <c r="LN6704" t="str">
        <v/>
      </c>
      <c r="LO6704" t="str">
        <v/>
      </c>
    </row>
    <row r="6705" spans="326:327">
      <c r="LN6705" t="str">
        <v/>
      </c>
      <c r="LO6705" t="str">
        <v/>
      </c>
    </row>
    <row r="6706" spans="326:327">
      <c r="LN6706" t="str">
        <v/>
      </c>
      <c r="LO6706" t="str">
        <v/>
      </c>
    </row>
    <row r="6707" spans="326:327">
      <c r="LN6707" t="str">
        <v/>
      </c>
      <c r="LO6707" t="str">
        <v/>
      </c>
    </row>
    <row r="6708" spans="326:327">
      <c r="LN6708" t="str">
        <v/>
      </c>
      <c r="LO6708" t="str">
        <v/>
      </c>
    </row>
    <row r="6709" spans="326:327">
      <c r="LN6709" t="str">
        <v/>
      </c>
      <c r="LO6709" t="str">
        <v/>
      </c>
    </row>
    <row r="6710" spans="326:327">
      <c r="LN6710" t="str">
        <v/>
      </c>
      <c r="LO6710" t="str">
        <v/>
      </c>
    </row>
    <row r="6711" spans="326:327">
      <c r="LN6711" t="str">
        <v/>
      </c>
      <c r="LO6711" t="str">
        <v/>
      </c>
    </row>
    <row r="6712" spans="326:327">
      <c r="LN6712" t="str">
        <v/>
      </c>
      <c r="LO6712" t="str">
        <v/>
      </c>
    </row>
    <row r="6713" spans="326:327">
      <c r="LN6713" t="str">
        <v/>
      </c>
      <c r="LO6713" t="str">
        <v/>
      </c>
    </row>
    <row r="6714" spans="326:327">
      <c r="LN6714" t="str">
        <v/>
      </c>
      <c r="LO6714" t="str">
        <v/>
      </c>
    </row>
    <row r="6715" spans="326:327">
      <c r="LN6715" t="str">
        <v/>
      </c>
      <c r="LO6715" t="str">
        <v/>
      </c>
    </row>
    <row r="6716" spans="326:327">
      <c r="LN6716" t="str">
        <v/>
      </c>
      <c r="LO6716" t="str">
        <v/>
      </c>
    </row>
    <row r="6717" spans="326:327">
      <c r="LN6717" t="str">
        <v/>
      </c>
      <c r="LO6717" t="str">
        <v/>
      </c>
    </row>
    <row r="6718" spans="326:327">
      <c r="LN6718" t="str">
        <v/>
      </c>
      <c r="LO6718" t="str">
        <v/>
      </c>
    </row>
    <row r="6719" spans="326:327">
      <c r="LN6719" t="str">
        <v/>
      </c>
      <c r="LO6719" t="str">
        <v/>
      </c>
    </row>
    <row r="6720" spans="326:327">
      <c r="LN6720" t="str">
        <v/>
      </c>
      <c r="LO6720" t="str">
        <v/>
      </c>
    </row>
    <row r="6721" spans="326:327">
      <c r="LN6721" t="str">
        <v/>
      </c>
      <c r="LO6721" t="str">
        <v/>
      </c>
    </row>
    <row r="6722" spans="326:327">
      <c r="LN6722" t="str">
        <v/>
      </c>
      <c r="LO6722" t="str">
        <v/>
      </c>
    </row>
    <row r="6723" spans="326:327">
      <c r="LN6723" t="str">
        <v/>
      </c>
      <c r="LO6723" t="str">
        <v/>
      </c>
    </row>
    <row r="6724" spans="326:327">
      <c r="LN6724" t="str">
        <v/>
      </c>
      <c r="LO6724" t="str">
        <v/>
      </c>
    </row>
    <row r="6725" spans="326:327">
      <c r="LN6725" t="str">
        <v/>
      </c>
      <c r="LO6725" t="str">
        <v/>
      </c>
    </row>
    <row r="6726" spans="326:327">
      <c r="LN6726" t="str">
        <v/>
      </c>
      <c r="LO6726" t="str">
        <v/>
      </c>
    </row>
    <row r="6727" spans="326:327">
      <c r="LN6727" t="str">
        <v/>
      </c>
      <c r="LO6727" t="str">
        <v/>
      </c>
    </row>
    <row r="6728" spans="326:327">
      <c r="LN6728" t="str">
        <v/>
      </c>
      <c r="LO6728" t="str">
        <v/>
      </c>
    </row>
    <row r="6729" spans="326:327">
      <c r="LN6729" t="str">
        <v/>
      </c>
      <c r="LO6729" t="str">
        <v/>
      </c>
    </row>
    <row r="6730" spans="326:327">
      <c r="LN6730" t="str">
        <v/>
      </c>
      <c r="LO6730" t="str">
        <v/>
      </c>
    </row>
    <row r="6731" spans="326:327">
      <c r="LN6731" t="str">
        <v/>
      </c>
      <c r="LO6731" t="str">
        <v/>
      </c>
    </row>
    <row r="6732" spans="326:327">
      <c r="LN6732" t="str">
        <v/>
      </c>
      <c r="LO6732" t="str">
        <v/>
      </c>
    </row>
    <row r="6733" spans="326:327">
      <c r="LN6733" t="str">
        <v/>
      </c>
      <c r="LO6733" t="str">
        <v/>
      </c>
    </row>
    <row r="6734" spans="326:327">
      <c r="LN6734" t="str">
        <v/>
      </c>
      <c r="LO6734" t="str">
        <v/>
      </c>
    </row>
    <row r="6735" spans="326:327">
      <c r="LN6735" t="str">
        <v/>
      </c>
      <c r="LO6735" t="str">
        <v/>
      </c>
    </row>
    <row r="6736" spans="326:327">
      <c r="LN6736" t="str">
        <v/>
      </c>
      <c r="LO6736" t="str">
        <v/>
      </c>
    </row>
    <row r="6737" spans="326:327">
      <c r="LN6737" t="str">
        <v/>
      </c>
      <c r="LO6737" t="str">
        <v/>
      </c>
    </row>
    <row r="6738" spans="326:327">
      <c r="LN6738" t="str">
        <v/>
      </c>
      <c r="LO6738" t="str">
        <v/>
      </c>
    </row>
    <row r="6739" spans="326:327">
      <c r="LN6739" t="str">
        <v/>
      </c>
      <c r="LO6739" t="str">
        <v/>
      </c>
    </row>
    <row r="6740" spans="326:327">
      <c r="LN6740" t="str">
        <v/>
      </c>
      <c r="LO6740" t="str">
        <v/>
      </c>
    </row>
    <row r="6741" spans="326:327">
      <c r="LN6741" t="str">
        <v/>
      </c>
      <c r="LO6741" t="str">
        <v/>
      </c>
    </row>
    <row r="6742" spans="326:327">
      <c r="LN6742" t="str">
        <v/>
      </c>
      <c r="LO6742" t="str">
        <v/>
      </c>
    </row>
    <row r="6743" spans="326:327">
      <c r="LN6743" t="str">
        <v/>
      </c>
      <c r="LO6743" t="str">
        <v/>
      </c>
    </row>
    <row r="6744" spans="326:327">
      <c r="LN6744" t="str">
        <v/>
      </c>
      <c r="LO6744" t="str">
        <v/>
      </c>
    </row>
    <row r="6745" spans="326:327">
      <c r="LN6745" t="str">
        <v/>
      </c>
      <c r="LO6745" t="str">
        <v/>
      </c>
    </row>
    <row r="6746" spans="326:327">
      <c r="LN6746" t="str">
        <v/>
      </c>
      <c r="LO6746" t="str">
        <v/>
      </c>
    </row>
    <row r="6747" spans="326:327">
      <c r="LN6747" t="str">
        <v/>
      </c>
      <c r="LO6747" t="str">
        <v/>
      </c>
    </row>
    <row r="6748" spans="326:327">
      <c r="LN6748" t="str">
        <v/>
      </c>
      <c r="LO6748" t="str">
        <v/>
      </c>
    </row>
    <row r="6749" spans="326:327">
      <c r="LN6749" t="str">
        <v/>
      </c>
      <c r="LO6749" t="str">
        <v/>
      </c>
    </row>
    <row r="6750" spans="326:327">
      <c r="LN6750" t="str">
        <v/>
      </c>
      <c r="LO6750" t="str">
        <v/>
      </c>
    </row>
    <row r="6751" spans="326:327">
      <c r="LN6751" t="str">
        <v/>
      </c>
      <c r="LO6751" t="str">
        <v/>
      </c>
    </row>
    <row r="6752" spans="326:327">
      <c r="LN6752" t="str">
        <v/>
      </c>
      <c r="LO6752" t="str">
        <v/>
      </c>
    </row>
    <row r="6753" spans="326:327">
      <c r="LN6753" t="str">
        <v/>
      </c>
      <c r="LO6753" t="str">
        <v/>
      </c>
    </row>
    <row r="6754" spans="326:327">
      <c r="LN6754" t="str">
        <v/>
      </c>
      <c r="LO6754" t="str">
        <v/>
      </c>
    </row>
    <row r="6755" spans="326:327">
      <c r="LN6755" t="str">
        <v/>
      </c>
      <c r="LO6755" t="str">
        <v/>
      </c>
    </row>
    <row r="6756" spans="326:327">
      <c r="LN6756" t="str">
        <v/>
      </c>
      <c r="LO6756" t="str">
        <v/>
      </c>
    </row>
    <row r="6757" spans="326:327">
      <c r="LN6757" t="str">
        <v/>
      </c>
      <c r="LO6757" t="str">
        <v/>
      </c>
    </row>
    <row r="6758" spans="326:327">
      <c r="LN6758" t="str">
        <v/>
      </c>
      <c r="LO6758" t="str">
        <v/>
      </c>
    </row>
    <row r="6759" spans="326:327">
      <c r="LN6759" t="str">
        <v/>
      </c>
      <c r="LO6759" t="str">
        <v/>
      </c>
    </row>
    <row r="6760" spans="326:327">
      <c r="LN6760" t="str">
        <v/>
      </c>
      <c r="LO6760" t="str">
        <v/>
      </c>
    </row>
    <row r="6761" spans="326:327">
      <c r="LN6761" t="str">
        <v/>
      </c>
      <c r="LO6761" t="str">
        <v/>
      </c>
    </row>
    <row r="6762" spans="326:327">
      <c r="LN6762" t="str">
        <v/>
      </c>
      <c r="LO6762" t="str">
        <v/>
      </c>
    </row>
    <row r="6763" spans="326:327">
      <c r="LN6763" t="str">
        <v/>
      </c>
      <c r="LO6763" t="str">
        <v/>
      </c>
    </row>
    <row r="6764" spans="326:327">
      <c r="LN6764" t="str">
        <v/>
      </c>
      <c r="LO6764" t="str">
        <v/>
      </c>
    </row>
    <row r="6765" spans="326:327">
      <c r="LN6765" t="str">
        <v/>
      </c>
      <c r="LO6765" t="str">
        <v/>
      </c>
    </row>
    <row r="6766" spans="326:327">
      <c r="LN6766" t="str">
        <v/>
      </c>
      <c r="LO6766" t="str">
        <v/>
      </c>
    </row>
    <row r="6767" spans="326:327">
      <c r="LN6767" t="str">
        <v/>
      </c>
      <c r="LO6767" t="str">
        <v/>
      </c>
    </row>
    <row r="6768" spans="326:327">
      <c r="LN6768" t="str">
        <v/>
      </c>
      <c r="LO6768" t="str">
        <v/>
      </c>
    </row>
    <row r="6769" spans="326:327">
      <c r="LN6769" t="str">
        <v/>
      </c>
      <c r="LO6769" t="str">
        <v/>
      </c>
    </row>
    <row r="6770" spans="326:327">
      <c r="LN6770" t="str">
        <v/>
      </c>
      <c r="LO6770" t="str">
        <v/>
      </c>
    </row>
    <row r="6771" spans="326:327">
      <c r="LN6771" t="str">
        <v/>
      </c>
      <c r="LO6771" t="str">
        <v/>
      </c>
    </row>
    <row r="6772" spans="326:327">
      <c r="LN6772" t="str">
        <v/>
      </c>
      <c r="LO6772" t="str">
        <v/>
      </c>
    </row>
    <row r="6773" spans="326:327">
      <c r="LN6773" t="str">
        <v/>
      </c>
      <c r="LO6773" t="str">
        <v/>
      </c>
    </row>
    <row r="6774" spans="326:327">
      <c r="LN6774" t="str">
        <v/>
      </c>
      <c r="LO6774" t="str">
        <v/>
      </c>
    </row>
    <row r="6775" spans="326:327">
      <c r="LN6775" t="str">
        <v/>
      </c>
      <c r="LO6775" t="str">
        <v/>
      </c>
    </row>
    <row r="6776" spans="326:327">
      <c r="LN6776" t="str">
        <v/>
      </c>
      <c r="LO6776" t="str">
        <v/>
      </c>
    </row>
    <row r="6777" spans="326:327">
      <c r="LN6777" t="str">
        <v/>
      </c>
      <c r="LO6777" t="str">
        <v/>
      </c>
    </row>
    <row r="6778" spans="326:327">
      <c r="LN6778" t="str">
        <v/>
      </c>
      <c r="LO6778" t="str">
        <v/>
      </c>
    </row>
    <row r="6779" spans="326:327">
      <c r="LN6779" t="str">
        <v/>
      </c>
      <c r="LO6779" t="str">
        <v/>
      </c>
    </row>
    <row r="6780" spans="326:327">
      <c r="LN6780" t="str">
        <v/>
      </c>
      <c r="LO6780" t="str">
        <v/>
      </c>
    </row>
    <row r="6781" spans="326:327">
      <c r="LN6781" t="str">
        <v/>
      </c>
      <c r="LO6781" t="str">
        <v/>
      </c>
    </row>
    <row r="6782" spans="326:327">
      <c r="LN6782" t="str">
        <v/>
      </c>
      <c r="LO6782" t="str">
        <v/>
      </c>
    </row>
    <row r="6783" spans="326:327">
      <c r="LN6783" t="str">
        <v/>
      </c>
      <c r="LO6783" t="str">
        <v/>
      </c>
    </row>
    <row r="6784" spans="326:327">
      <c r="LN6784" t="str">
        <v/>
      </c>
      <c r="LO6784" t="str">
        <v/>
      </c>
    </row>
    <row r="6785" spans="326:327">
      <c r="LN6785" t="str">
        <v/>
      </c>
      <c r="LO6785" t="str">
        <v/>
      </c>
    </row>
    <row r="6786" spans="326:327">
      <c r="LN6786" t="str">
        <v/>
      </c>
      <c r="LO6786" t="str">
        <v/>
      </c>
    </row>
    <row r="6787" spans="326:327">
      <c r="LN6787" t="str">
        <v/>
      </c>
      <c r="LO6787" t="str">
        <v/>
      </c>
    </row>
    <row r="6788" spans="326:327">
      <c r="LN6788" t="str">
        <v/>
      </c>
      <c r="LO6788" t="str">
        <v/>
      </c>
    </row>
    <row r="6789" spans="326:327">
      <c r="LN6789" t="str">
        <v/>
      </c>
      <c r="LO6789" t="str">
        <v/>
      </c>
    </row>
    <row r="6790" spans="326:327">
      <c r="LN6790" t="str">
        <v/>
      </c>
      <c r="LO6790" t="str">
        <v/>
      </c>
    </row>
    <row r="6791" spans="326:327">
      <c r="LN6791" t="str">
        <v/>
      </c>
      <c r="LO6791" t="str">
        <v/>
      </c>
    </row>
    <row r="6792" spans="326:327">
      <c r="LN6792" t="str">
        <v/>
      </c>
      <c r="LO6792" t="str">
        <v/>
      </c>
    </row>
    <row r="6793" spans="326:327">
      <c r="LN6793" t="str">
        <v/>
      </c>
      <c r="LO6793" t="str">
        <v/>
      </c>
    </row>
    <row r="6794" spans="326:327">
      <c r="LN6794" t="str">
        <v/>
      </c>
      <c r="LO6794" t="str">
        <v/>
      </c>
    </row>
    <row r="6795" spans="326:327">
      <c r="LN6795" t="str">
        <v/>
      </c>
      <c r="LO6795" t="str">
        <v/>
      </c>
    </row>
    <row r="6796" spans="326:327">
      <c r="LN6796" t="str">
        <v/>
      </c>
      <c r="LO6796" t="str">
        <v/>
      </c>
    </row>
    <row r="6797" spans="326:327">
      <c r="LN6797" t="str">
        <v/>
      </c>
      <c r="LO6797" t="str">
        <v/>
      </c>
    </row>
    <row r="6798" spans="326:327">
      <c r="LN6798" t="str">
        <v/>
      </c>
      <c r="LO6798" t="str">
        <v/>
      </c>
    </row>
    <row r="6799" spans="326:327">
      <c r="LN6799" t="str">
        <v/>
      </c>
      <c r="LO6799" t="str">
        <v/>
      </c>
    </row>
    <row r="6800" spans="326:327">
      <c r="LN6800" t="str">
        <v/>
      </c>
      <c r="LO6800" t="str">
        <v/>
      </c>
    </row>
    <row r="6801" spans="326:327">
      <c r="LN6801" t="str">
        <v/>
      </c>
      <c r="LO6801" t="str">
        <v/>
      </c>
    </row>
    <row r="6802" spans="326:327">
      <c r="LN6802" t="str">
        <v/>
      </c>
      <c r="LO6802" t="str">
        <v/>
      </c>
    </row>
    <row r="6803" spans="326:327">
      <c r="LN6803" t="str">
        <v/>
      </c>
      <c r="LO6803" t="str">
        <v/>
      </c>
    </row>
    <row r="6804" spans="326:327">
      <c r="LN6804" t="str">
        <v/>
      </c>
      <c r="LO6804" t="str">
        <v/>
      </c>
    </row>
    <row r="6805" spans="326:327">
      <c r="LN6805" t="str">
        <v/>
      </c>
      <c r="LO6805" t="str">
        <v/>
      </c>
    </row>
    <row r="6806" spans="326:327">
      <c r="LN6806" t="str">
        <v/>
      </c>
      <c r="LO6806" t="str">
        <v/>
      </c>
    </row>
    <row r="6807" spans="326:327">
      <c r="LN6807" t="str">
        <v/>
      </c>
      <c r="LO6807" t="str">
        <v/>
      </c>
    </row>
    <row r="6808" spans="326:327">
      <c r="LN6808" t="str">
        <v/>
      </c>
      <c r="LO6808" t="str">
        <v/>
      </c>
    </row>
    <row r="6809" spans="326:327">
      <c r="LN6809" t="str">
        <v/>
      </c>
      <c r="LO6809" t="str">
        <v/>
      </c>
    </row>
    <row r="6810" spans="326:327">
      <c r="LN6810" t="str">
        <v/>
      </c>
      <c r="LO6810" t="str">
        <v/>
      </c>
    </row>
    <row r="6811" spans="326:327">
      <c r="LN6811" t="str">
        <v/>
      </c>
      <c r="LO6811" t="str">
        <v/>
      </c>
    </row>
    <row r="6812" spans="326:327">
      <c r="LN6812" t="str">
        <v/>
      </c>
      <c r="LO6812" t="str">
        <v/>
      </c>
    </row>
    <row r="6813" spans="326:327">
      <c r="LN6813" t="str">
        <v/>
      </c>
      <c r="LO6813" t="str">
        <v/>
      </c>
    </row>
    <row r="6814" spans="326:327">
      <c r="LN6814" t="str">
        <v/>
      </c>
      <c r="LO6814" t="str">
        <v/>
      </c>
    </row>
    <row r="6815" spans="326:327">
      <c r="LN6815" t="str">
        <v/>
      </c>
      <c r="LO6815" t="str">
        <v/>
      </c>
    </row>
    <row r="6816" spans="326:327">
      <c r="LN6816" t="str">
        <v/>
      </c>
      <c r="LO6816" t="str">
        <v/>
      </c>
    </row>
    <row r="6817" spans="326:327">
      <c r="LN6817" t="str">
        <v/>
      </c>
      <c r="LO6817" t="str">
        <v/>
      </c>
    </row>
    <row r="6818" spans="326:327">
      <c r="LN6818" t="str">
        <v/>
      </c>
      <c r="LO6818" t="str">
        <v/>
      </c>
    </row>
    <row r="6819" spans="326:327">
      <c r="LN6819" t="str">
        <v/>
      </c>
      <c r="LO6819" t="str">
        <v/>
      </c>
    </row>
    <row r="6820" spans="326:327">
      <c r="LN6820" t="str">
        <v/>
      </c>
      <c r="LO6820" t="str">
        <v/>
      </c>
    </row>
    <row r="6821" spans="326:327">
      <c r="LN6821" t="str">
        <v/>
      </c>
      <c r="LO6821" t="str">
        <v/>
      </c>
    </row>
    <row r="6822" spans="326:327">
      <c r="LN6822" t="str">
        <v/>
      </c>
      <c r="LO6822" t="str">
        <v/>
      </c>
    </row>
    <row r="6823" spans="326:327">
      <c r="LN6823" t="str">
        <v/>
      </c>
      <c r="LO6823" t="str">
        <v/>
      </c>
    </row>
    <row r="6824" spans="326:327">
      <c r="LN6824" t="str">
        <v/>
      </c>
      <c r="LO6824" t="str">
        <v/>
      </c>
    </row>
    <row r="6825" spans="326:327">
      <c r="LN6825" t="str">
        <v/>
      </c>
      <c r="LO6825" t="str">
        <v/>
      </c>
    </row>
    <row r="6826" spans="326:327">
      <c r="LN6826" t="str">
        <v/>
      </c>
      <c r="LO6826" t="str">
        <v/>
      </c>
    </row>
    <row r="6827" spans="326:327">
      <c r="LN6827" t="str">
        <v/>
      </c>
      <c r="LO6827" t="str">
        <v/>
      </c>
    </row>
    <row r="6828" spans="326:327">
      <c r="LN6828" t="str">
        <v/>
      </c>
      <c r="LO6828" t="str">
        <v/>
      </c>
    </row>
    <row r="6829" spans="326:327">
      <c r="LN6829" t="str">
        <v/>
      </c>
      <c r="LO6829" t="str">
        <v/>
      </c>
    </row>
    <row r="6830" spans="326:327">
      <c r="LN6830" t="str">
        <v/>
      </c>
      <c r="LO6830" t="str">
        <v/>
      </c>
    </row>
    <row r="6831" spans="326:327">
      <c r="LN6831" t="str">
        <v/>
      </c>
      <c r="LO6831" t="str">
        <v/>
      </c>
    </row>
    <row r="6832" spans="326:327">
      <c r="LN6832" t="str">
        <v/>
      </c>
      <c r="LO6832" t="str">
        <v/>
      </c>
    </row>
    <row r="6833" spans="326:327">
      <c r="LN6833" t="str">
        <v/>
      </c>
      <c r="LO6833" t="str">
        <v/>
      </c>
    </row>
    <row r="6834" spans="326:327">
      <c r="LN6834" t="str">
        <v/>
      </c>
      <c r="LO6834" t="str">
        <v/>
      </c>
    </row>
    <row r="6835" spans="326:327">
      <c r="LN6835" t="str">
        <v/>
      </c>
      <c r="LO6835" t="str">
        <v/>
      </c>
    </row>
    <row r="6836" spans="326:327">
      <c r="LN6836" t="str">
        <v/>
      </c>
      <c r="LO6836" t="str">
        <v/>
      </c>
    </row>
    <row r="6837" spans="326:327">
      <c r="LN6837" t="str">
        <v/>
      </c>
      <c r="LO6837" t="str">
        <v/>
      </c>
    </row>
    <row r="6838" spans="326:327">
      <c r="LN6838" t="str">
        <v/>
      </c>
      <c r="LO6838" t="str">
        <v/>
      </c>
    </row>
    <row r="6839" spans="326:327">
      <c r="LN6839" t="str">
        <v/>
      </c>
      <c r="LO6839" t="str">
        <v/>
      </c>
    </row>
    <row r="6840" spans="326:327">
      <c r="LN6840" t="str">
        <v/>
      </c>
      <c r="LO6840" t="str">
        <v/>
      </c>
    </row>
    <row r="6841" spans="326:327">
      <c r="LN6841" t="str">
        <v/>
      </c>
      <c r="LO6841" t="str">
        <v/>
      </c>
    </row>
    <row r="6842" spans="326:327">
      <c r="LN6842" t="str">
        <v/>
      </c>
      <c r="LO6842" t="str">
        <v/>
      </c>
    </row>
    <row r="6843" spans="326:327">
      <c r="LN6843" t="str">
        <v/>
      </c>
      <c r="LO6843" t="str">
        <v/>
      </c>
    </row>
    <row r="6844" spans="326:327">
      <c r="LN6844" t="str">
        <v/>
      </c>
      <c r="LO6844" t="str">
        <v/>
      </c>
    </row>
    <row r="6845" spans="326:327">
      <c r="LN6845" t="str">
        <v/>
      </c>
      <c r="LO6845" t="str">
        <v/>
      </c>
    </row>
    <row r="6846" spans="326:327">
      <c r="LN6846" t="str">
        <v/>
      </c>
      <c r="LO6846" t="str">
        <v/>
      </c>
    </row>
    <row r="6847" spans="326:327">
      <c r="LN6847" t="str">
        <v/>
      </c>
      <c r="LO6847" t="str">
        <v/>
      </c>
    </row>
    <row r="6848" spans="326:327">
      <c r="LN6848" t="str">
        <v/>
      </c>
      <c r="LO6848" t="str">
        <v/>
      </c>
    </row>
    <row r="6849" spans="326:327">
      <c r="LN6849" t="str">
        <v/>
      </c>
      <c r="LO6849" t="str">
        <v/>
      </c>
    </row>
    <row r="6850" spans="326:327">
      <c r="LN6850" t="str">
        <v/>
      </c>
      <c r="LO6850" t="str">
        <v/>
      </c>
    </row>
    <row r="6851" spans="326:327">
      <c r="LN6851" t="str">
        <v/>
      </c>
      <c r="LO6851" t="str">
        <v/>
      </c>
    </row>
    <row r="6852" spans="326:327">
      <c r="LN6852" t="str">
        <v/>
      </c>
      <c r="LO6852" t="str">
        <v/>
      </c>
    </row>
    <row r="6853" spans="326:327">
      <c r="LN6853" t="str">
        <v/>
      </c>
      <c r="LO6853" t="str">
        <v/>
      </c>
    </row>
    <row r="6854" spans="326:327">
      <c r="LN6854" t="str">
        <v/>
      </c>
      <c r="LO6854" t="str">
        <v/>
      </c>
    </row>
    <row r="6855" spans="326:327">
      <c r="LN6855" t="str">
        <v/>
      </c>
      <c r="LO6855" t="str">
        <v/>
      </c>
    </row>
    <row r="6856" spans="326:327">
      <c r="LN6856" t="str">
        <v/>
      </c>
      <c r="LO6856" t="str">
        <v/>
      </c>
    </row>
    <row r="6857" spans="326:327">
      <c r="LN6857" t="str">
        <v/>
      </c>
      <c r="LO6857" t="str">
        <v/>
      </c>
    </row>
    <row r="6858" spans="326:327">
      <c r="LN6858" t="str">
        <v/>
      </c>
      <c r="LO6858" t="str">
        <v/>
      </c>
    </row>
    <row r="6859" spans="326:327">
      <c r="LN6859" t="str">
        <v/>
      </c>
      <c r="LO6859" t="str">
        <v/>
      </c>
    </row>
    <row r="6860" spans="326:327">
      <c r="LN6860" t="str">
        <v/>
      </c>
      <c r="LO6860" t="str">
        <v/>
      </c>
    </row>
    <row r="6861" spans="326:327">
      <c r="LN6861" t="str">
        <v/>
      </c>
      <c r="LO6861" t="str">
        <v/>
      </c>
    </row>
    <row r="6862" spans="326:327">
      <c r="LN6862" t="str">
        <v/>
      </c>
      <c r="LO6862" t="str">
        <v/>
      </c>
    </row>
    <row r="6863" spans="326:327">
      <c r="LN6863" t="str">
        <v/>
      </c>
      <c r="LO6863" t="str">
        <v/>
      </c>
    </row>
    <row r="6864" spans="326:327">
      <c r="LN6864" t="str">
        <v/>
      </c>
      <c r="LO6864" t="str">
        <v/>
      </c>
    </row>
    <row r="6865" spans="326:327">
      <c r="LN6865" t="str">
        <v/>
      </c>
      <c r="LO6865" t="str">
        <v/>
      </c>
    </row>
    <row r="6866" spans="326:327">
      <c r="LN6866" t="str">
        <v/>
      </c>
      <c r="LO6866" t="str">
        <v/>
      </c>
    </row>
    <row r="6867" spans="326:327">
      <c r="LN6867" t="str">
        <v/>
      </c>
      <c r="LO6867" t="str">
        <v/>
      </c>
    </row>
    <row r="6868" spans="326:327">
      <c r="LN6868" t="str">
        <v/>
      </c>
      <c r="LO6868" t="str">
        <v/>
      </c>
    </row>
    <row r="6869" spans="326:327">
      <c r="LN6869" t="str">
        <v/>
      </c>
      <c r="LO6869" t="str">
        <v/>
      </c>
    </row>
    <row r="6870" spans="326:327">
      <c r="LN6870" t="str">
        <v/>
      </c>
      <c r="LO6870" t="str">
        <v/>
      </c>
    </row>
    <row r="6871" spans="326:327">
      <c r="LN6871" t="str">
        <v/>
      </c>
      <c r="LO6871" t="str">
        <v/>
      </c>
    </row>
    <row r="6872" spans="326:327">
      <c r="LN6872" t="str">
        <v/>
      </c>
      <c r="LO6872" t="str">
        <v/>
      </c>
    </row>
    <row r="6873" spans="326:327">
      <c r="LN6873" t="str">
        <v/>
      </c>
      <c r="LO6873" t="str">
        <v/>
      </c>
    </row>
    <row r="6874" spans="326:327">
      <c r="LN6874" t="str">
        <v/>
      </c>
      <c r="LO6874" t="str">
        <v/>
      </c>
    </row>
    <row r="6875" spans="326:327">
      <c r="LN6875" t="str">
        <v/>
      </c>
      <c r="LO6875" t="str">
        <v/>
      </c>
    </row>
    <row r="6876" spans="326:327">
      <c r="LN6876" t="str">
        <v/>
      </c>
      <c r="LO6876" t="str">
        <v/>
      </c>
    </row>
    <row r="6877" spans="326:327">
      <c r="LN6877" t="str">
        <v/>
      </c>
      <c r="LO6877" t="str">
        <v/>
      </c>
    </row>
    <row r="6878" spans="326:327">
      <c r="LN6878" t="str">
        <v/>
      </c>
      <c r="LO6878" t="str">
        <v/>
      </c>
    </row>
    <row r="6879" spans="326:327">
      <c r="LN6879" t="str">
        <v/>
      </c>
      <c r="LO6879" t="str">
        <v/>
      </c>
    </row>
    <row r="6880" spans="326:327">
      <c r="LN6880" t="str">
        <v/>
      </c>
      <c r="LO6880" t="str">
        <v/>
      </c>
    </row>
    <row r="6881" spans="326:327">
      <c r="LN6881" t="str">
        <v/>
      </c>
      <c r="LO6881" t="str">
        <v/>
      </c>
    </row>
    <row r="6882" spans="326:327">
      <c r="LN6882" t="str">
        <v/>
      </c>
      <c r="LO6882" t="str">
        <v/>
      </c>
    </row>
    <row r="6883" spans="326:327">
      <c r="LN6883" t="str">
        <v/>
      </c>
      <c r="LO6883" t="str">
        <v/>
      </c>
    </row>
    <row r="6884" spans="326:327">
      <c r="LN6884" t="str">
        <v/>
      </c>
      <c r="LO6884" t="str">
        <v/>
      </c>
    </row>
    <row r="6885" spans="326:327">
      <c r="LN6885" t="str">
        <v/>
      </c>
      <c r="LO6885" t="str">
        <v/>
      </c>
    </row>
    <row r="6886" spans="326:327">
      <c r="LN6886" t="str">
        <v/>
      </c>
      <c r="LO6886" t="str">
        <v/>
      </c>
    </row>
    <row r="6887" spans="326:327">
      <c r="LN6887" t="str">
        <v/>
      </c>
      <c r="LO6887" t="str">
        <v/>
      </c>
    </row>
    <row r="6888" spans="326:327">
      <c r="LN6888" t="str">
        <v/>
      </c>
      <c r="LO6888" t="str">
        <v/>
      </c>
    </row>
    <row r="6889" spans="326:327">
      <c r="LN6889" t="str">
        <v/>
      </c>
      <c r="LO6889" t="str">
        <v/>
      </c>
    </row>
    <row r="6890" spans="326:327">
      <c r="LN6890" t="str">
        <v/>
      </c>
      <c r="LO6890" t="str">
        <v/>
      </c>
    </row>
    <row r="6891" spans="326:327">
      <c r="LN6891" t="str">
        <v/>
      </c>
      <c r="LO6891" t="str">
        <v/>
      </c>
    </row>
    <row r="6892" spans="326:327">
      <c r="LN6892" t="str">
        <v/>
      </c>
      <c r="LO6892" t="str">
        <v/>
      </c>
    </row>
    <row r="6893" spans="326:327">
      <c r="LN6893" t="str">
        <v/>
      </c>
      <c r="LO6893" t="str">
        <v/>
      </c>
    </row>
    <row r="6894" spans="326:327">
      <c r="LN6894" t="str">
        <v/>
      </c>
      <c r="LO6894" t="str">
        <v/>
      </c>
    </row>
    <row r="6895" spans="326:327">
      <c r="LN6895" t="str">
        <v/>
      </c>
      <c r="LO6895" t="str">
        <v/>
      </c>
    </row>
    <row r="6896" spans="326:327">
      <c r="LN6896" t="str">
        <v/>
      </c>
      <c r="LO6896" t="str">
        <v/>
      </c>
    </row>
    <row r="6897" spans="326:327">
      <c r="LN6897" t="str">
        <v/>
      </c>
      <c r="LO6897" t="str">
        <v/>
      </c>
    </row>
    <row r="6898" spans="326:327">
      <c r="LN6898" t="str">
        <v/>
      </c>
      <c r="LO6898" t="str">
        <v/>
      </c>
    </row>
    <row r="6899" spans="326:327">
      <c r="LN6899" t="str">
        <v/>
      </c>
      <c r="LO6899" t="str">
        <v/>
      </c>
    </row>
    <row r="6900" spans="326:327">
      <c r="LN6900" t="str">
        <v/>
      </c>
      <c r="LO6900" t="str">
        <v/>
      </c>
    </row>
    <row r="6901" spans="326:327">
      <c r="LN6901" t="str">
        <v/>
      </c>
      <c r="LO6901" t="str">
        <v/>
      </c>
    </row>
    <row r="6902" spans="326:327">
      <c r="LN6902" t="str">
        <v/>
      </c>
      <c r="LO6902" t="str">
        <v/>
      </c>
    </row>
    <row r="6903" spans="326:327">
      <c r="LN6903" t="str">
        <v/>
      </c>
      <c r="LO6903" t="str">
        <v/>
      </c>
    </row>
    <row r="6904" spans="326:327">
      <c r="LN6904" t="str">
        <v/>
      </c>
      <c r="LO6904" t="str">
        <v/>
      </c>
    </row>
    <row r="6905" spans="326:327">
      <c r="LN6905" t="str">
        <v/>
      </c>
      <c r="LO6905" t="str">
        <v/>
      </c>
    </row>
    <row r="6906" spans="326:327">
      <c r="LN6906" t="str">
        <v/>
      </c>
      <c r="LO6906" t="str">
        <v/>
      </c>
    </row>
    <row r="6907" spans="326:327">
      <c r="LN6907" t="str">
        <v/>
      </c>
      <c r="LO6907" t="str">
        <v/>
      </c>
    </row>
    <row r="6908" spans="326:327">
      <c r="LN6908" t="str">
        <v/>
      </c>
      <c r="LO6908" t="str">
        <v/>
      </c>
    </row>
    <row r="6909" spans="326:327">
      <c r="LN6909" t="str">
        <v/>
      </c>
      <c r="LO6909" t="str">
        <v/>
      </c>
    </row>
    <row r="6910" spans="326:327">
      <c r="LN6910" t="str">
        <v/>
      </c>
      <c r="LO6910" t="str">
        <v/>
      </c>
    </row>
    <row r="6911" spans="326:327">
      <c r="LN6911" t="str">
        <v/>
      </c>
      <c r="LO6911" t="str">
        <v/>
      </c>
    </row>
    <row r="6912" spans="326:327">
      <c r="LN6912" t="str">
        <v/>
      </c>
      <c r="LO6912" t="str">
        <v/>
      </c>
    </row>
    <row r="6913" spans="326:327">
      <c r="LN6913" t="str">
        <v/>
      </c>
      <c r="LO6913" t="str">
        <v/>
      </c>
    </row>
    <row r="6914" spans="326:327">
      <c r="LN6914" t="str">
        <v/>
      </c>
      <c r="LO6914" t="str">
        <v/>
      </c>
    </row>
    <row r="6915" spans="326:327">
      <c r="LN6915" t="str">
        <v/>
      </c>
      <c r="LO6915" t="str">
        <v/>
      </c>
    </row>
    <row r="6916" spans="326:327">
      <c r="LN6916" t="str">
        <v/>
      </c>
      <c r="LO6916" t="str">
        <v/>
      </c>
    </row>
    <row r="6917" spans="326:327">
      <c r="LN6917" t="str">
        <v/>
      </c>
      <c r="LO6917" t="str">
        <v/>
      </c>
    </row>
    <row r="6918" spans="326:327">
      <c r="LN6918" t="str">
        <v/>
      </c>
      <c r="LO6918" t="str">
        <v/>
      </c>
    </row>
    <row r="6919" spans="326:327">
      <c r="LN6919" t="str">
        <v/>
      </c>
      <c r="LO6919" t="str">
        <v/>
      </c>
    </row>
    <row r="6920" spans="326:327">
      <c r="LN6920" t="str">
        <v/>
      </c>
      <c r="LO6920" t="str">
        <v/>
      </c>
    </row>
    <row r="6921" spans="326:327">
      <c r="LN6921" t="str">
        <v/>
      </c>
      <c r="LO6921" t="str">
        <v/>
      </c>
    </row>
    <row r="6922" spans="326:327">
      <c r="LN6922" t="str">
        <v/>
      </c>
      <c r="LO6922" t="str">
        <v/>
      </c>
    </row>
    <row r="6923" spans="326:327">
      <c r="LN6923" t="str">
        <v/>
      </c>
      <c r="LO6923" t="str">
        <v/>
      </c>
    </row>
    <row r="6924" spans="326:327">
      <c r="LN6924" t="str">
        <v/>
      </c>
      <c r="LO6924" t="str">
        <v/>
      </c>
    </row>
    <row r="6925" spans="326:327">
      <c r="LN6925" t="str">
        <v/>
      </c>
      <c r="LO6925" t="str">
        <v/>
      </c>
    </row>
    <row r="6926" spans="326:327">
      <c r="LN6926" t="str">
        <v/>
      </c>
      <c r="LO6926" t="str">
        <v/>
      </c>
    </row>
    <row r="6927" spans="326:327">
      <c r="LN6927" t="str">
        <v/>
      </c>
      <c r="LO6927" t="str">
        <v/>
      </c>
    </row>
    <row r="6928" spans="326:327">
      <c r="LN6928" t="str">
        <v/>
      </c>
      <c r="LO6928" t="str">
        <v/>
      </c>
    </row>
    <row r="6929" spans="326:327">
      <c r="LN6929" t="str">
        <v/>
      </c>
      <c r="LO6929" t="str">
        <v/>
      </c>
    </row>
    <row r="6930" spans="326:327">
      <c r="LN6930" t="str">
        <v/>
      </c>
      <c r="LO6930" t="str">
        <v/>
      </c>
    </row>
    <row r="6931" spans="326:327">
      <c r="LN6931" t="str">
        <v/>
      </c>
      <c r="LO6931" t="str">
        <v/>
      </c>
    </row>
    <row r="6932" spans="326:327">
      <c r="LN6932" t="str">
        <v/>
      </c>
      <c r="LO6932" t="str">
        <v/>
      </c>
    </row>
    <row r="6933" spans="326:327">
      <c r="LN6933" t="str">
        <v/>
      </c>
      <c r="LO6933" t="str">
        <v/>
      </c>
    </row>
    <row r="6934" spans="326:327">
      <c r="LN6934" t="str">
        <v/>
      </c>
      <c r="LO6934" t="str">
        <v/>
      </c>
    </row>
    <row r="6935" spans="326:327">
      <c r="LN6935" t="str">
        <v/>
      </c>
      <c r="LO6935" t="str">
        <v/>
      </c>
    </row>
    <row r="6936" spans="326:327">
      <c r="LN6936" t="str">
        <v/>
      </c>
      <c r="LO6936" t="str">
        <v/>
      </c>
    </row>
    <row r="6937" spans="326:327">
      <c r="LN6937" t="str">
        <v/>
      </c>
      <c r="LO6937" t="str">
        <v/>
      </c>
    </row>
    <row r="6938" spans="326:327">
      <c r="LN6938" t="str">
        <v/>
      </c>
      <c r="LO6938" t="str">
        <v/>
      </c>
    </row>
    <row r="6939" spans="326:327">
      <c r="LN6939" t="str">
        <v/>
      </c>
      <c r="LO6939" t="str">
        <v/>
      </c>
    </row>
    <row r="6940" spans="326:327">
      <c r="LN6940" t="str">
        <v/>
      </c>
      <c r="LO6940" t="str">
        <v/>
      </c>
    </row>
    <row r="6941" spans="326:327">
      <c r="LN6941" t="str">
        <v/>
      </c>
      <c r="LO6941" t="str">
        <v/>
      </c>
    </row>
    <row r="6942" spans="326:327">
      <c r="LN6942" t="str">
        <v/>
      </c>
      <c r="LO6942" t="str">
        <v/>
      </c>
    </row>
    <row r="6943" spans="326:327">
      <c r="LN6943" t="str">
        <v/>
      </c>
      <c r="LO6943" t="str">
        <v/>
      </c>
    </row>
    <row r="6944" spans="326:327">
      <c r="LN6944" t="str">
        <v/>
      </c>
      <c r="LO6944" t="str">
        <v/>
      </c>
    </row>
    <row r="6945" spans="326:327">
      <c r="LN6945" t="str">
        <v/>
      </c>
      <c r="LO6945" t="str">
        <v/>
      </c>
    </row>
    <row r="6946" spans="326:327">
      <c r="LN6946" t="str">
        <v/>
      </c>
      <c r="LO6946" t="str">
        <v/>
      </c>
    </row>
    <row r="6947" spans="326:327">
      <c r="LN6947" t="str">
        <v/>
      </c>
      <c r="LO6947" t="str">
        <v/>
      </c>
    </row>
    <row r="6948" spans="326:327">
      <c r="LN6948" t="str">
        <v/>
      </c>
      <c r="LO6948" t="str">
        <v/>
      </c>
    </row>
    <row r="6949" spans="326:327">
      <c r="LN6949" t="str">
        <v/>
      </c>
      <c r="LO6949" t="str">
        <v/>
      </c>
    </row>
    <row r="6950" spans="326:327">
      <c r="LN6950" t="str">
        <v/>
      </c>
      <c r="LO6950" t="str">
        <v/>
      </c>
    </row>
    <row r="6951" spans="326:327">
      <c r="LN6951" t="str">
        <v/>
      </c>
      <c r="LO6951" t="str">
        <v/>
      </c>
    </row>
    <row r="6952" spans="326:327">
      <c r="LN6952" t="str">
        <v/>
      </c>
      <c r="LO6952" t="str">
        <v/>
      </c>
    </row>
    <row r="6953" spans="326:327">
      <c r="LN6953" t="str">
        <v/>
      </c>
      <c r="LO6953" t="str">
        <v/>
      </c>
    </row>
    <row r="6954" spans="326:327">
      <c r="LN6954" t="str">
        <v/>
      </c>
      <c r="LO6954" t="str">
        <v/>
      </c>
    </row>
    <row r="6955" spans="326:327">
      <c r="LN6955" t="str">
        <v/>
      </c>
      <c r="LO6955" t="str">
        <v/>
      </c>
    </row>
    <row r="6956" spans="326:327">
      <c r="LN6956" t="str">
        <v/>
      </c>
      <c r="LO6956" t="str">
        <v/>
      </c>
    </row>
    <row r="6957" spans="326:327">
      <c r="LN6957" t="str">
        <v/>
      </c>
      <c r="LO6957" t="str">
        <v/>
      </c>
    </row>
    <row r="6958" spans="326:327">
      <c r="LN6958" t="str">
        <v/>
      </c>
      <c r="LO6958" t="str">
        <v/>
      </c>
    </row>
    <row r="6959" spans="326:327">
      <c r="LN6959" t="str">
        <v/>
      </c>
      <c r="LO6959" t="str">
        <v/>
      </c>
    </row>
    <row r="6960" spans="326:327">
      <c r="LN6960" t="str">
        <v/>
      </c>
      <c r="LO6960" t="str">
        <v/>
      </c>
    </row>
    <row r="6961" spans="326:327">
      <c r="LN6961" t="str">
        <v/>
      </c>
      <c r="LO6961" t="str">
        <v/>
      </c>
    </row>
    <row r="6962" spans="326:327">
      <c r="LN6962" t="str">
        <v/>
      </c>
      <c r="LO6962" t="str">
        <v/>
      </c>
    </row>
    <row r="6963" spans="326:327">
      <c r="LN6963" t="str">
        <v/>
      </c>
      <c r="LO6963" t="str">
        <v/>
      </c>
    </row>
    <row r="6964" spans="326:327">
      <c r="LN6964" t="str">
        <v/>
      </c>
      <c r="LO6964" t="str">
        <v/>
      </c>
    </row>
    <row r="6965" spans="326:327">
      <c r="LN6965" t="str">
        <v/>
      </c>
      <c r="LO6965" t="str">
        <v/>
      </c>
    </row>
    <row r="6966" spans="326:327">
      <c r="LN6966" t="str">
        <v/>
      </c>
      <c r="LO6966" t="str">
        <v/>
      </c>
    </row>
    <row r="6967" spans="326:327">
      <c r="LN6967" t="str">
        <v/>
      </c>
      <c r="LO6967" t="str">
        <v/>
      </c>
    </row>
    <row r="6968" spans="326:327">
      <c r="LN6968" t="str">
        <v/>
      </c>
      <c r="LO6968" t="str">
        <v/>
      </c>
    </row>
    <row r="6969" spans="326:327">
      <c r="LN6969" t="str">
        <v/>
      </c>
      <c r="LO6969" t="str">
        <v/>
      </c>
    </row>
    <row r="6970" spans="326:327">
      <c r="LN6970" t="str">
        <v/>
      </c>
      <c r="LO6970" t="str">
        <v/>
      </c>
    </row>
    <row r="6971" spans="326:327">
      <c r="LN6971" t="str">
        <v/>
      </c>
      <c r="LO6971" t="str">
        <v/>
      </c>
    </row>
    <row r="6972" spans="326:327">
      <c r="LN6972" t="str">
        <v/>
      </c>
      <c r="LO6972" t="str">
        <v/>
      </c>
    </row>
    <row r="6973" spans="326:327">
      <c r="LN6973" t="str">
        <v/>
      </c>
      <c r="LO6973" t="str">
        <v/>
      </c>
    </row>
    <row r="6974" spans="326:327">
      <c r="LN6974" t="str">
        <v/>
      </c>
      <c r="LO6974" t="str">
        <v/>
      </c>
    </row>
    <row r="6975" spans="326:327">
      <c r="LN6975" t="str">
        <v/>
      </c>
      <c r="LO6975" t="str">
        <v/>
      </c>
    </row>
    <row r="6976" spans="326:327">
      <c r="LN6976" t="str">
        <v/>
      </c>
      <c r="LO6976" t="str">
        <v/>
      </c>
    </row>
    <row r="6977" spans="326:327">
      <c r="LN6977" t="str">
        <v/>
      </c>
      <c r="LO6977" t="str">
        <v/>
      </c>
    </row>
    <row r="6978" spans="326:327">
      <c r="LN6978" t="str">
        <v/>
      </c>
      <c r="LO6978" t="str">
        <v/>
      </c>
    </row>
    <row r="6979" spans="326:327">
      <c r="LN6979" t="str">
        <v/>
      </c>
      <c r="LO6979" t="str">
        <v/>
      </c>
    </row>
    <row r="6980" spans="326:327">
      <c r="LN6980" t="str">
        <v/>
      </c>
      <c r="LO6980" t="str">
        <v/>
      </c>
    </row>
    <row r="6981" spans="326:327">
      <c r="LN6981" t="str">
        <v/>
      </c>
      <c r="LO6981" t="str">
        <v/>
      </c>
    </row>
    <row r="6982" spans="326:327">
      <c r="LN6982" t="str">
        <v/>
      </c>
      <c r="LO6982" t="str">
        <v/>
      </c>
    </row>
    <row r="6983" spans="326:327">
      <c r="LN6983" t="str">
        <v/>
      </c>
      <c r="LO6983" t="str">
        <v/>
      </c>
    </row>
    <row r="6984" spans="326:327">
      <c r="LN6984" t="str">
        <v/>
      </c>
      <c r="LO6984" t="str">
        <v/>
      </c>
    </row>
    <row r="6985" spans="326:327">
      <c r="LN6985" t="str">
        <v/>
      </c>
      <c r="LO6985" t="str">
        <v/>
      </c>
    </row>
    <row r="6986" spans="326:327">
      <c r="LN6986" t="str">
        <v/>
      </c>
      <c r="LO6986" t="str">
        <v/>
      </c>
    </row>
    <row r="6987" spans="326:327">
      <c r="LN6987" t="str">
        <v/>
      </c>
      <c r="LO6987" t="str">
        <v/>
      </c>
    </row>
    <row r="6988" spans="326:327">
      <c r="LN6988" t="str">
        <v/>
      </c>
      <c r="LO6988" t="str">
        <v/>
      </c>
    </row>
    <row r="6989" spans="326:327">
      <c r="LN6989" t="str">
        <v/>
      </c>
      <c r="LO6989" t="str">
        <v/>
      </c>
    </row>
    <row r="6990" spans="326:327">
      <c r="LN6990" t="str">
        <v/>
      </c>
      <c r="LO6990" t="str">
        <v/>
      </c>
    </row>
    <row r="6991" spans="326:327">
      <c r="LN6991" t="str">
        <v/>
      </c>
      <c r="LO6991" t="str">
        <v/>
      </c>
    </row>
    <row r="6992" spans="326:327">
      <c r="LN6992" t="str">
        <v/>
      </c>
      <c r="LO6992" t="str">
        <v/>
      </c>
    </row>
    <row r="6993" spans="326:327">
      <c r="LN6993" t="str">
        <v/>
      </c>
      <c r="LO6993" t="str">
        <v/>
      </c>
    </row>
    <row r="6994" spans="326:327">
      <c r="LN6994" t="str">
        <v/>
      </c>
      <c r="LO6994" t="str">
        <v/>
      </c>
    </row>
    <row r="6995" spans="326:327">
      <c r="LN6995" t="str">
        <v/>
      </c>
      <c r="LO6995" t="str">
        <v/>
      </c>
    </row>
    <row r="6996" spans="326:327">
      <c r="LN6996" t="str">
        <v/>
      </c>
      <c r="LO6996" t="str">
        <v/>
      </c>
    </row>
    <row r="6997" spans="326:327">
      <c r="LN6997" t="str">
        <v/>
      </c>
      <c r="LO6997" t="str">
        <v/>
      </c>
    </row>
    <row r="6998" spans="326:327">
      <c r="LN6998" t="str">
        <v/>
      </c>
      <c r="LO6998" t="str">
        <v/>
      </c>
    </row>
    <row r="6999" spans="326:327">
      <c r="LN6999" t="str">
        <v/>
      </c>
      <c r="LO6999" t="str">
        <v/>
      </c>
    </row>
    <row r="7000" spans="326:327">
      <c r="LN7000" t="str">
        <v/>
      </c>
      <c r="LO7000" t="str">
        <v/>
      </c>
    </row>
    <row r="7001" spans="326:327">
      <c r="LN7001" t="str">
        <v/>
      </c>
      <c r="LO7001" t="str">
        <v/>
      </c>
    </row>
    <row r="7002" spans="326:327">
      <c r="LN7002" t="str">
        <v/>
      </c>
      <c r="LO7002" t="str">
        <v/>
      </c>
    </row>
    <row r="7003" spans="326:327">
      <c r="LN7003" t="str">
        <v/>
      </c>
      <c r="LO7003" t="str">
        <v/>
      </c>
    </row>
    <row r="7004" spans="326:327">
      <c r="LN7004" t="str">
        <v/>
      </c>
      <c r="LO7004" t="str">
        <v/>
      </c>
    </row>
    <row r="7005" spans="326:327">
      <c r="LN7005" t="str">
        <v/>
      </c>
      <c r="LO7005" t="str">
        <v/>
      </c>
    </row>
    <row r="7006" spans="326:327">
      <c r="LN7006" t="str">
        <v/>
      </c>
      <c r="LO7006" t="str">
        <v/>
      </c>
    </row>
    <row r="7007" spans="326:327">
      <c r="LN7007" t="str">
        <v/>
      </c>
      <c r="LO7007" t="str">
        <v/>
      </c>
    </row>
    <row r="7008" spans="326:327">
      <c r="LN7008" t="str">
        <v/>
      </c>
      <c r="LO7008" t="str">
        <v/>
      </c>
    </row>
    <row r="7009" spans="326:327">
      <c r="LN7009" t="str">
        <v/>
      </c>
      <c r="LO7009" t="str">
        <v/>
      </c>
    </row>
    <row r="7010" spans="326:327">
      <c r="LN7010" t="str">
        <v/>
      </c>
      <c r="LO7010" t="str">
        <v/>
      </c>
    </row>
    <row r="7011" spans="326:327">
      <c r="LN7011" t="str">
        <v/>
      </c>
      <c r="LO7011" t="str">
        <v/>
      </c>
    </row>
    <row r="7012" spans="326:327">
      <c r="LN7012" t="str">
        <v/>
      </c>
      <c r="LO7012" t="str">
        <v/>
      </c>
    </row>
    <row r="7013" spans="326:327">
      <c r="LN7013" t="str">
        <v/>
      </c>
      <c r="LO7013" t="str">
        <v/>
      </c>
    </row>
    <row r="7014" spans="326:327">
      <c r="LN7014" t="str">
        <v/>
      </c>
      <c r="LO7014" t="str">
        <v/>
      </c>
    </row>
    <row r="7015" spans="326:327">
      <c r="LN7015" t="str">
        <v/>
      </c>
      <c r="LO7015" t="str">
        <v/>
      </c>
    </row>
    <row r="7016" spans="326:327">
      <c r="LN7016" t="str">
        <v/>
      </c>
      <c r="LO7016" t="str">
        <v/>
      </c>
    </row>
    <row r="7017" spans="326:327">
      <c r="LN7017" t="str">
        <v/>
      </c>
      <c r="LO7017" t="str">
        <v/>
      </c>
    </row>
    <row r="7018" spans="326:327">
      <c r="LN7018" t="str">
        <v/>
      </c>
      <c r="LO7018" t="str">
        <v/>
      </c>
    </row>
    <row r="7019" spans="326:327">
      <c r="LN7019" t="str">
        <v/>
      </c>
      <c r="LO7019" t="str">
        <v/>
      </c>
    </row>
    <row r="7020" spans="326:327">
      <c r="LN7020" t="str">
        <v/>
      </c>
      <c r="LO7020" t="str">
        <v/>
      </c>
    </row>
    <row r="7021" spans="326:327">
      <c r="LN7021" t="str">
        <v/>
      </c>
      <c r="LO7021" t="str">
        <v/>
      </c>
    </row>
    <row r="7022" spans="326:327">
      <c r="LN7022" t="str">
        <v/>
      </c>
      <c r="LO7022" t="str">
        <v/>
      </c>
    </row>
    <row r="7023" spans="326:327">
      <c r="LN7023" t="str">
        <v/>
      </c>
      <c r="LO7023" t="str">
        <v/>
      </c>
    </row>
    <row r="7024" spans="326:327">
      <c r="LN7024" t="str">
        <v/>
      </c>
      <c r="LO7024" t="str">
        <v/>
      </c>
    </row>
    <row r="7025" spans="326:327">
      <c r="LN7025" t="str">
        <v/>
      </c>
      <c r="LO7025" t="str">
        <v/>
      </c>
    </row>
    <row r="7026" spans="326:327">
      <c r="LN7026" t="str">
        <v/>
      </c>
      <c r="LO7026" t="str">
        <v/>
      </c>
    </row>
    <row r="7027" spans="326:327">
      <c r="LN7027" t="str">
        <v/>
      </c>
      <c r="LO7027" t="str">
        <v/>
      </c>
    </row>
    <row r="7028" spans="326:327">
      <c r="LN7028" t="str">
        <v/>
      </c>
      <c r="LO7028" t="str">
        <v/>
      </c>
    </row>
    <row r="7029" spans="326:327">
      <c r="LN7029" t="str">
        <v/>
      </c>
      <c r="LO7029" t="str">
        <v/>
      </c>
    </row>
    <row r="7030" spans="326:327">
      <c r="LN7030" t="str">
        <v/>
      </c>
      <c r="LO7030" t="str">
        <v/>
      </c>
    </row>
    <row r="7031" spans="326:327">
      <c r="LN7031" t="str">
        <v/>
      </c>
      <c r="LO7031" t="str">
        <v/>
      </c>
    </row>
    <row r="7032" spans="326:327">
      <c r="LN7032" t="str">
        <v/>
      </c>
      <c r="LO7032" t="str">
        <v/>
      </c>
    </row>
    <row r="7033" spans="326:327">
      <c r="LN7033" t="str">
        <v/>
      </c>
      <c r="LO7033" t="str">
        <v/>
      </c>
    </row>
    <row r="7034" spans="326:327">
      <c r="LN7034" t="str">
        <v/>
      </c>
      <c r="LO7034" t="str">
        <v/>
      </c>
    </row>
    <row r="7035" spans="326:327">
      <c r="LN7035" t="str">
        <v/>
      </c>
      <c r="LO7035" t="str">
        <v/>
      </c>
    </row>
    <row r="7036" spans="326:327">
      <c r="LN7036" t="str">
        <v/>
      </c>
      <c r="LO7036" t="str">
        <v/>
      </c>
    </row>
    <row r="7037" spans="326:327">
      <c r="LN7037" t="str">
        <v/>
      </c>
      <c r="LO7037" t="str">
        <v/>
      </c>
    </row>
    <row r="7038" spans="326:327">
      <c r="LN7038" t="str">
        <v/>
      </c>
      <c r="LO7038" t="str">
        <v/>
      </c>
    </row>
    <row r="7039" spans="326:327">
      <c r="LN7039" t="str">
        <v/>
      </c>
      <c r="LO7039" t="str">
        <v/>
      </c>
    </row>
    <row r="7040" spans="326:327">
      <c r="LN7040" t="str">
        <v/>
      </c>
      <c r="LO7040" t="str">
        <v/>
      </c>
    </row>
    <row r="7041" spans="326:327">
      <c r="LN7041" t="str">
        <v/>
      </c>
      <c r="LO7041" t="str">
        <v/>
      </c>
    </row>
    <row r="7042" spans="326:327">
      <c r="LN7042" t="str">
        <v/>
      </c>
      <c r="LO7042" t="str">
        <v/>
      </c>
    </row>
    <row r="7043" spans="326:327">
      <c r="LN7043" t="str">
        <v/>
      </c>
      <c r="LO7043" t="str">
        <v/>
      </c>
    </row>
    <row r="7044" spans="326:327">
      <c r="LN7044" t="str">
        <v/>
      </c>
      <c r="LO7044" t="str">
        <v/>
      </c>
    </row>
    <row r="7045" spans="326:327">
      <c r="LN7045" t="str">
        <v/>
      </c>
      <c r="LO7045" t="str">
        <v/>
      </c>
    </row>
    <row r="7046" spans="326:327">
      <c r="LN7046" t="str">
        <v/>
      </c>
      <c r="LO7046" t="str">
        <v/>
      </c>
    </row>
    <row r="7047" spans="326:327">
      <c r="LN7047" t="str">
        <v/>
      </c>
      <c r="LO7047" t="str">
        <v/>
      </c>
    </row>
    <row r="7048" spans="326:327">
      <c r="LN7048" t="str">
        <v/>
      </c>
      <c r="LO7048" t="str">
        <v/>
      </c>
    </row>
    <row r="7049" spans="326:327">
      <c r="LN7049" t="str">
        <v/>
      </c>
      <c r="LO7049" t="str">
        <v/>
      </c>
    </row>
    <row r="7050" spans="326:327">
      <c r="LN7050" t="str">
        <v/>
      </c>
      <c r="LO7050" t="str">
        <v/>
      </c>
    </row>
    <row r="7051" spans="326:327">
      <c r="LN7051" t="str">
        <v/>
      </c>
      <c r="LO7051" t="str">
        <v/>
      </c>
    </row>
    <row r="7052" spans="326:327">
      <c r="LN7052" t="str">
        <v/>
      </c>
      <c r="LO7052" t="str">
        <v/>
      </c>
    </row>
    <row r="7053" spans="326:327">
      <c r="LN7053" t="str">
        <v/>
      </c>
      <c r="LO7053" t="str">
        <v/>
      </c>
    </row>
    <row r="7054" spans="326:327">
      <c r="LN7054" t="str">
        <v/>
      </c>
      <c r="LO7054" t="str">
        <v/>
      </c>
    </row>
    <row r="7055" spans="326:327">
      <c r="LN7055" t="str">
        <v/>
      </c>
      <c r="LO7055" t="str">
        <v/>
      </c>
    </row>
    <row r="7056" spans="326:327">
      <c r="LN7056" t="str">
        <v/>
      </c>
      <c r="LO7056" t="str">
        <v/>
      </c>
    </row>
    <row r="7057" spans="326:327">
      <c r="LN7057" t="str">
        <v/>
      </c>
      <c r="LO7057" t="str">
        <v/>
      </c>
    </row>
    <row r="7058" spans="326:327">
      <c r="LN7058" t="str">
        <v/>
      </c>
      <c r="LO7058" t="str">
        <v/>
      </c>
    </row>
    <row r="7059" spans="326:327">
      <c r="LN7059" t="str">
        <v/>
      </c>
      <c r="LO7059" t="str">
        <v/>
      </c>
    </row>
    <row r="7060" spans="326:327">
      <c r="LN7060" t="str">
        <v/>
      </c>
      <c r="LO7060" t="str">
        <v/>
      </c>
    </row>
    <row r="7061" spans="326:327">
      <c r="LN7061" t="str">
        <v/>
      </c>
      <c r="LO7061" t="str">
        <v/>
      </c>
    </row>
    <row r="7062" spans="326:327">
      <c r="LN7062" t="str">
        <v/>
      </c>
      <c r="LO7062" t="str">
        <v/>
      </c>
    </row>
    <row r="7063" spans="326:327">
      <c r="LN7063" t="str">
        <v/>
      </c>
      <c r="LO7063" t="str">
        <v/>
      </c>
    </row>
    <row r="7064" spans="326:327">
      <c r="LN7064" t="str">
        <v/>
      </c>
      <c r="LO7064" t="str">
        <v/>
      </c>
    </row>
    <row r="7065" spans="326:327">
      <c r="LN7065" t="str">
        <v/>
      </c>
      <c r="LO7065" t="str">
        <v/>
      </c>
    </row>
    <row r="7066" spans="326:327">
      <c r="LN7066" t="str">
        <v/>
      </c>
      <c r="LO7066" t="str">
        <v/>
      </c>
    </row>
    <row r="7067" spans="326:327">
      <c r="LN7067" t="str">
        <v/>
      </c>
      <c r="LO7067" t="str">
        <v/>
      </c>
    </row>
    <row r="7068" spans="326:327">
      <c r="LN7068" t="str">
        <v/>
      </c>
      <c r="LO7068" t="str">
        <v/>
      </c>
    </row>
    <row r="7069" spans="326:327">
      <c r="LN7069" t="str">
        <v/>
      </c>
      <c r="LO7069" t="str">
        <v/>
      </c>
    </row>
    <row r="7070" spans="326:327">
      <c r="LN7070" t="str">
        <v/>
      </c>
      <c r="LO7070" t="str">
        <v/>
      </c>
    </row>
    <row r="7071" spans="326:327">
      <c r="LN7071" t="str">
        <v/>
      </c>
      <c r="LO7071" t="str">
        <v/>
      </c>
    </row>
    <row r="7072" spans="326:327">
      <c r="LN7072" t="str">
        <v/>
      </c>
      <c r="LO7072" t="str">
        <v/>
      </c>
    </row>
    <row r="7073" spans="326:327">
      <c r="LN7073" t="str">
        <v/>
      </c>
      <c r="LO7073" t="str">
        <v/>
      </c>
    </row>
    <row r="7074" spans="326:327">
      <c r="LN7074" t="str">
        <v/>
      </c>
      <c r="LO7074" t="str">
        <v/>
      </c>
    </row>
    <row r="7075" spans="326:327">
      <c r="LN7075" t="str">
        <v/>
      </c>
      <c r="LO7075" t="str">
        <v/>
      </c>
    </row>
    <row r="7076" spans="326:327">
      <c r="LN7076" t="str">
        <v/>
      </c>
      <c r="LO7076" t="str">
        <v/>
      </c>
    </row>
    <row r="7077" spans="326:327">
      <c r="LN7077" t="str">
        <v/>
      </c>
      <c r="LO7077" t="str">
        <v/>
      </c>
    </row>
    <row r="7078" spans="326:327">
      <c r="LN7078" t="str">
        <v/>
      </c>
      <c r="LO7078" t="str">
        <v/>
      </c>
    </row>
    <row r="7079" spans="326:327">
      <c r="LN7079" t="str">
        <v/>
      </c>
      <c r="LO7079" t="str">
        <v/>
      </c>
    </row>
    <row r="7080" spans="326:327">
      <c r="LN7080" t="str">
        <v/>
      </c>
      <c r="LO7080" t="str">
        <v/>
      </c>
    </row>
    <row r="7081" spans="326:327">
      <c r="LN7081" t="str">
        <v/>
      </c>
      <c r="LO7081" t="str">
        <v/>
      </c>
    </row>
    <row r="7082" spans="326:327">
      <c r="LN7082" t="str">
        <v/>
      </c>
      <c r="LO7082" t="str">
        <v/>
      </c>
    </row>
    <row r="7083" spans="326:327">
      <c r="LN7083" t="str">
        <v/>
      </c>
      <c r="LO7083" t="str">
        <v/>
      </c>
    </row>
    <row r="7084" spans="326:327">
      <c r="LN7084" t="str">
        <v/>
      </c>
      <c r="LO7084" t="str">
        <v/>
      </c>
    </row>
    <row r="7085" spans="326:327">
      <c r="LN7085" t="str">
        <v/>
      </c>
      <c r="LO7085" t="str">
        <v/>
      </c>
    </row>
    <row r="7086" spans="326:327">
      <c r="LN7086" t="str">
        <v/>
      </c>
      <c r="LO7086" t="str">
        <v/>
      </c>
    </row>
    <row r="7087" spans="326:327">
      <c r="LN7087" t="str">
        <v/>
      </c>
      <c r="LO7087" t="str">
        <v/>
      </c>
    </row>
    <row r="7088" spans="326:327">
      <c r="LN7088" t="str">
        <v/>
      </c>
      <c r="LO7088" t="str">
        <v/>
      </c>
    </row>
    <row r="7089" spans="326:327">
      <c r="LN7089" t="str">
        <v/>
      </c>
      <c r="LO7089" t="str">
        <v/>
      </c>
    </row>
    <row r="7090" spans="326:327">
      <c r="LN7090" t="str">
        <v/>
      </c>
      <c r="LO7090" t="str">
        <v/>
      </c>
    </row>
    <row r="7091" spans="326:327">
      <c r="LN7091" t="str">
        <v/>
      </c>
      <c r="LO7091" t="str">
        <v/>
      </c>
    </row>
    <row r="7092" spans="326:327">
      <c r="LN7092" t="str">
        <v/>
      </c>
      <c r="LO7092" t="str">
        <v/>
      </c>
    </row>
    <row r="7093" spans="326:327">
      <c r="LN7093" t="str">
        <v/>
      </c>
      <c r="LO7093" t="str">
        <v/>
      </c>
    </row>
    <row r="7094" spans="326:327">
      <c r="LN7094" t="str">
        <v/>
      </c>
      <c r="LO7094" t="str">
        <v/>
      </c>
    </row>
    <row r="7095" spans="326:327">
      <c r="LN7095" t="str">
        <v/>
      </c>
      <c r="LO7095" t="str">
        <v/>
      </c>
    </row>
    <row r="7096" spans="326:327">
      <c r="LN7096" t="str">
        <v/>
      </c>
      <c r="LO7096" t="str">
        <v/>
      </c>
    </row>
    <row r="7097" spans="326:327">
      <c r="LN7097" t="str">
        <v/>
      </c>
      <c r="LO7097" t="str">
        <v/>
      </c>
    </row>
    <row r="7098" spans="326:327">
      <c r="LN7098" t="str">
        <v/>
      </c>
      <c r="LO7098" t="str">
        <v/>
      </c>
    </row>
    <row r="7099" spans="326:327">
      <c r="LN7099" t="str">
        <v/>
      </c>
      <c r="LO7099" t="str">
        <v/>
      </c>
    </row>
    <row r="7100" spans="326:327">
      <c r="LN7100" t="str">
        <v/>
      </c>
      <c r="LO7100" t="str">
        <v/>
      </c>
    </row>
    <row r="7101" spans="326:327">
      <c r="LN7101" t="str">
        <v/>
      </c>
      <c r="LO7101" t="str">
        <v/>
      </c>
    </row>
    <row r="7102" spans="326:327">
      <c r="LN7102" t="str">
        <v/>
      </c>
      <c r="LO7102" t="str">
        <v/>
      </c>
    </row>
    <row r="7103" spans="326:327">
      <c r="LN7103" t="str">
        <v/>
      </c>
      <c r="LO7103" t="str">
        <v/>
      </c>
    </row>
    <row r="7104" spans="326:327">
      <c r="LN7104" t="str">
        <v/>
      </c>
      <c r="LO7104" t="str">
        <v/>
      </c>
    </row>
    <row r="7105" spans="326:327">
      <c r="LN7105" t="str">
        <v/>
      </c>
      <c r="LO7105" t="str">
        <v/>
      </c>
    </row>
    <row r="7106" spans="326:327">
      <c r="LN7106" t="str">
        <v/>
      </c>
      <c r="LO7106" t="str">
        <v/>
      </c>
    </row>
    <row r="7107" spans="326:327">
      <c r="LN7107" t="str">
        <v/>
      </c>
      <c r="LO7107" t="str">
        <v/>
      </c>
    </row>
    <row r="7108" spans="326:327">
      <c r="LN7108" t="str">
        <v/>
      </c>
      <c r="LO7108" t="str">
        <v/>
      </c>
    </row>
    <row r="7109" spans="326:327">
      <c r="LN7109" t="str">
        <v/>
      </c>
      <c r="LO7109" t="str">
        <v/>
      </c>
    </row>
    <row r="7110" spans="326:327">
      <c r="LN7110" t="str">
        <v/>
      </c>
      <c r="LO7110" t="str">
        <v/>
      </c>
    </row>
    <row r="7111" spans="326:327">
      <c r="LN7111" t="str">
        <v/>
      </c>
      <c r="LO7111" t="str">
        <v/>
      </c>
    </row>
    <row r="7112" spans="326:327">
      <c r="LN7112" t="str">
        <v/>
      </c>
      <c r="LO7112" t="str">
        <v/>
      </c>
    </row>
    <row r="7113" spans="326:327">
      <c r="LN7113" t="str">
        <v/>
      </c>
      <c r="LO7113" t="str">
        <v/>
      </c>
    </row>
    <row r="7114" spans="326:327">
      <c r="LN7114" t="str">
        <v/>
      </c>
      <c r="LO7114" t="str">
        <v/>
      </c>
    </row>
    <row r="7115" spans="326:327">
      <c r="LN7115" t="str">
        <v/>
      </c>
      <c r="LO7115" t="str">
        <v/>
      </c>
    </row>
    <row r="7116" spans="326:327">
      <c r="LN7116" t="str">
        <v/>
      </c>
      <c r="LO7116" t="str">
        <v/>
      </c>
    </row>
    <row r="7117" spans="326:327">
      <c r="LN7117" t="str">
        <v/>
      </c>
      <c r="LO7117" t="str">
        <v/>
      </c>
    </row>
    <row r="7118" spans="326:327">
      <c r="LN7118" t="str">
        <v/>
      </c>
      <c r="LO7118" t="str">
        <v/>
      </c>
    </row>
    <row r="7119" spans="326:327">
      <c r="LN7119" t="str">
        <v/>
      </c>
      <c r="LO7119" t="str">
        <v/>
      </c>
    </row>
    <row r="7120" spans="326:327">
      <c r="LN7120" t="str">
        <v/>
      </c>
      <c r="LO7120" t="str">
        <v/>
      </c>
    </row>
    <row r="7121" spans="326:327">
      <c r="LN7121" t="str">
        <v/>
      </c>
      <c r="LO7121" t="str">
        <v/>
      </c>
    </row>
    <row r="7122" spans="326:327">
      <c r="LN7122" t="str">
        <v/>
      </c>
      <c r="LO7122" t="str">
        <v/>
      </c>
    </row>
    <row r="7123" spans="326:327">
      <c r="LN7123" t="str">
        <v/>
      </c>
      <c r="LO7123" t="str">
        <v/>
      </c>
    </row>
    <row r="7124" spans="326:327">
      <c r="LN7124" t="str">
        <v/>
      </c>
      <c r="LO7124" t="str">
        <v/>
      </c>
    </row>
    <row r="7125" spans="326:327">
      <c r="LN7125" t="str">
        <v/>
      </c>
      <c r="LO7125" t="str">
        <v/>
      </c>
    </row>
    <row r="7126" spans="326:327">
      <c r="LN7126" t="str">
        <v/>
      </c>
      <c r="LO7126" t="str">
        <v/>
      </c>
    </row>
    <row r="7127" spans="326:327">
      <c r="LN7127" t="str">
        <v/>
      </c>
      <c r="LO7127" t="str">
        <v/>
      </c>
    </row>
    <row r="7128" spans="326:327">
      <c r="LN7128" t="str">
        <v/>
      </c>
      <c r="LO7128" t="str">
        <v/>
      </c>
    </row>
    <row r="7129" spans="326:327">
      <c r="LN7129" t="str">
        <v/>
      </c>
      <c r="LO7129" t="str">
        <v/>
      </c>
    </row>
    <row r="7130" spans="326:327">
      <c r="LN7130" t="str">
        <v/>
      </c>
      <c r="LO7130" t="str">
        <v/>
      </c>
    </row>
    <row r="7131" spans="326:327">
      <c r="LN7131" t="str">
        <v/>
      </c>
      <c r="LO7131" t="str">
        <v/>
      </c>
    </row>
    <row r="7132" spans="326:327">
      <c r="LN7132" t="str">
        <v/>
      </c>
      <c r="LO7132" t="str">
        <v/>
      </c>
    </row>
    <row r="7133" spans="326:327">
      <c r="LN7133" t="str">
        <v/>
      </c>
      <c r="LO7133" t="str">
        <v/>
      </c>
    </row>
    <row r="7134" spans="326:327">
      <c r="LN7134" t="str">
        <v/>
      </c>
      <c r="LO7134" t="str">
        <v/>
      </c>
    </row>
    <row r="7135" spans="326:327">
      <c r="LN7135" t="str">
        <v/>
      </c>
      <c r="LO7135" t="str">
        <v/>
      </c>
    </row>
    <row r="7136" spans="326:327">
      <c r="LN7136" t="str">
        <v/>
      </c>
      <c r="LO7136" t="str">
        <v/>
      </c>
    </row>
    <row r="7137" spans="326:327">
      <c r="LN7137" t="str">
        <v/>
      </c>
      <c r="LO7137" t="str">
        <v/>
      </c>
    </row>
    <row r="7138" spans="326:327">
      <c r="LN7138" t="str">
        <v/>
      </c>
      <c r="LO7138" t="str">
        <v/>
      </c>
    </row>
    <row r="7139" spans="326:327">
      <c r="LN7139" t="str">
        <v/>
      </c>
      <c r="LO7139" t="str">
        <v/>
      </c>
    </row>
    <row r="7140" spans="326:327">
      <c r="LN7140" t="str">
        <v/>
      </c>
      <c r="LO7140" t="str">
        <v/>
      </c>
    </row>
    <row r="7141" spans="326:327">
      <c r="LN7141" t="str">
        <v/>
      </c>
      <c r="LO7141" t="str">
        <v/>
      </c>
    </row>
    <row r="7142" spans="326:327">
      <c r="LN7142" t="str">
        <v/>
      </c>
      <c r="LO7142" t="str">
        <v/>
      </c>
    </row>
    <row r="7143" spans="326:327">
      <c r="LN7143" t="str">
        <v/>
      </c>
      <c r="LO7143" t="str">
        <v/>
      </c>
    </row>
    <row r="7144" spans="326:327">
      <c r="LN7144" t="str">
        <v/>
      </c>
      <c r="LO7144" t="str">
        <v/>
      </c>
    </row>
    <row r="7145" spans="326:327">
      <c r="LN7145" t="str">
        <v/>
      </c>
      <c r="LO7145" t="str">
        <v/>
      </c>
    </row>
    <row r="7146" spans="326:327">
      <c r="LN7146" t="str">
        <v/>
      </c>
      <c r="LO7146" t="str">
        <v/>
      </c>
    </row>
    <row r="7147" spans="326:327">
      <c r="LN7147" t="str">
        <v/>
      </c>
      <c r="LO7147" t="str">
        <v/>
      </c>
    </row>
    <row r="7148" spans="326:327">
      <c r="LN7148" t="str">
        <v/>
      </c>
      <c r="LO7148" t="str">
        <v/>
      </c>
    </row>
    <row r="7149" spans="326:327">
      <c r="LN7149" t="str">
        <v/>
      </c>
      <c r="LO7149" t="str">
        <v/>
      </c>
    </row>
    <row r="7150" spans="326:327">
      <c r="LN7150" t="str">
        <v/>
      </c>
      <c r="LO7150" t="str">
        <v/>
      </c>
    </row>
    <row r="7151" spans="326:327">
      <c r="LN7151" t="str">
        <v/>
      </c>
      <c r="LO7151" t="str">
        <v/>
      </c>
    </row>
    <row r="7152" spans="326:327">
      <c r="LN7152" t="str">
        <v/>
      </c>
      <c r="LO7152" t="str">
        <v/>
      </c>
    </row>
    <row r="7153" spans="326:327">
      <c r="LN7153" t="str">
        <v/>
      </c>
      <c r="LO7153" t="str">
        <v/>
      </c>
    </row>
    <row r="7154" spans="326:327">
      <c r="LN7154" t="str">
        <v/>
      </c>
      <c r="LO7154" t="str">
        <v/>
      </c>
    </row>
    <row r="7155" spans="326:327">
      <c r="LN7155" t="str">
        <v/>
      </c>
      <c r="LO7155" t="str">
        <v/>
      </c>
    </row>
    <row r="7156" spans="326:327">
      <c r="LN7156" t="str">
        <v/>
      </c>
      <c r="LO7156" t="str">
        <v/>
      </c>
    </row>
    <row r="7157" spans="326:327">
      <c r="LN7157" t="str">
        <v/>
      </c>
      <c r="LO7157" t="str">
        <v/>
      </c>
    </row>
    <row r="7158" spans="326:327">
      <c r="LN7158" t="str">
        <v/>
      </c>
      <c r="LO7158" t="str">
        <v/>
      </c>
    </row>
    <row r="7159" spans="326:327">
      <c r="LN7159" t="str">
        <v/>
      </c>
      <c r="LO7159" t="str">
        <v/>
      </c>
    </row>
    <row r="7160" spans="326:327">
      <c r="LN7160" t="str">
        <v/>
      </c>
      <c r="LO7160" t="str">
        <v/>
      </c>
    </row>
    <row r="7161" spans="326:327">
      <c r="LN7161" t="str">
        <v/>
      </c>
      <c r="LO7161" t="str">
        <v/>
      </c>
    </row>
    <row r="7162" spans="326:327">
      <c r="LN7162" t="str">
        <v/>
      </c>
      <c r="LO7162" t="str">
        <v/>
      </c>
    </row>
    <row r="7163" spans="326:327">
      <c r="LN7163" t="str">
        <v/>
      </c>
      <c r="LO7163" t="str">
        <v/>
      </c>
    </row>
    <row r="7164" spans="326:327">
      <c r="LN7164" t="str">
        <v/>
      </c>
      <c r="LO7164" t="str">
        <v/>
      </c>
    </row>
    <row r="7165" spans="326:327">
      <c r="LN7165" t="str">
        <v/>
      </c>
      <c r="LO7165" t="str">
        <v/>
      </c>
    </row>
    <row r="7166" spans="326:327">
      <c r="LN7166" t="str">
        <v/>
      </c>
      <c r="LO7166" t="str">
        <v/>
      </c>
    </row>
    <row r="7167" spans="326:327">
      <c r="LN7167" t="str">
        <v/>
      </c>
      <c r="LO7167" t="str">
        <v/>
      </c>
    </row>
    <row r="7168" spans="326:327">
      <c r="LN7168" t="str">
        <v/>
      </c>
      <c r="LO7168" t="str">
        <v/>
      </c>
    </row>
    <row r="7169" spans="326:327">
      <c r="LN7169" t="str">
        <v/>
      </c>
      <c r="LO7169" t="str">
        <v/>
      </c>
    </row>
    <row r="7170" spans="326:327">
      <c r="LN7170" t="str">
        <v/>
      </c>
      <c r="LO7170" t="str">
        <v/>
      </c>
    </row>
    <row r="7171" spans="326:327">
      <c r="LN7171" t="str">
        <v/>
      </c>
      <c r="LO7171" t="str">
        <v/>
      </c>
    </row>
    <row r="7172" spans="326:327">
      <c r="LN7172" t="str">
        <v/>
      </c>
      <c r="LO7172" t="str">
        <v/>
      </c>
    </row>
    <row r="7173" spans="326:327">
      <c r="LN7173" t="str">
        <v/>
      </c>
      <c r="LO7173" t="str">
        <v/>
      </c>
    </row>
    <row r="7174" spans="326:327">
      <c r="LN7174" t="str">
        <v/>
      </c>
      <c r="LO7174" t="str">
        <v/>
      </c>
    </row>
    <row r="7175" spans="326:327">
      <c r="LN7175" t="str">
        <v/>
      </c>
      <c r="LO7175" t="str">
        <v/>
      </c>
    </row>
    <row r="7176" spans="326:327">
      <c r="LN7176" t="str">
        <v/>
      </c>
      <c r="LO7176" t="str">
        <v/>
      </c>
    </row>
    <row r="7177" spans="326:327">
      <c r="LN7177" t="str">
        <v/>
      </c>
      <c r="LO7177" t="str">
        <v/>
      </c>
    </row>
    <row r="7178" spans="326:327">
      <c r="LN7178" t="str">
        <v/>
      </c>
      <c r="LO7178" t="str">
        <v/>
      </c>
    </row>
    <row r="7179" spans="326:327">
      <c r="LN7179" t="str">
        <v/>
      </c>
      <c r="LO7179" t="str">
        <v/>
      </c>
    </row>
    <row r="7180" spans="326:327">
      <c r="LN7180" t="str">
        <v/>
      </c>
      <c r="LO7180" t="str">
        <v/>
      </c>
    </row>
    <row r="7181" spans="326:327">
      <c r="LN7181" t="str">
        <v/>
      </c>
      <c r="LO7181" t="str">
        <v/>
      </c>
    </row>
    <row r="7182" spans="326:327">
      <c r="LN7182" t="str">
        <v/>
      </c>
      <c r="LO7182" t="str">
        <v/>
      </c>
    </row>
    <row r="7183" spans="326:327">
      <c r="LN7183" t="str">
        <v/>
      </c>
      <c r="LO7183" t="str">
        <v/>
      </c>
    </row>
    <row r="7184" spans="326:327">
      <c r="LN7184" t="str">
        <v/>
      </c>
      <c r="LO7184" t="str">
        <v/>
      </c>
    </row>
    <row r="7185" spans="326:327">
      <c r="LN7185" t="str">
        <v/>
      </c>
      <c r="LO7185" t="str">
        <v/>
      </c>
    </row>
    <row r="7186" spans="326:327">
      <c r="LN7186" t="str">
        <v/>
      </c>
      <c r="LO7186" t="str">
        <v/>
      </c>
    </row>
    <row r="7187" spans="326:327">
      <c r="LN7187" t="str">
        <v/>
      </c>
      <c r="LO7187" t="str">
        <v/>
      </c>
    </row>
    <row r="7188" spans="326:327">
      <c r="LN7188" t="str">
        <v/>
      </c>
      <c r="LO7188" t="str">
        <v/>
      </c>
    </row>
    <row r="7189" spans="326:327">
      <c r="LN7189" t="str">
        <v/>
      </c>
      <c r="LO7189" t="str">
        <v/>
      </c>
    </row>
    <row r="7190" spans="326:327">
      <c r="LN7190" t="str">
        <v/>
      </c>
      <c r="LO7190" t="str">
        <v/>
      </c>
    </row>
    <row r="7191" spans="326:327">
      <c r="LN7191" t="str">
        <v/>
      </c>
      <c r="LO7191" t="str">
        <v/>
      </c>
    </row>
    <row r="7192" spans="326:327">
      <c r="LN7192" t="str">
        <v/>
      </c>
      <c r="LO7192" t="str">
        <v/>
      </c>
    </row>
    <row r="7193" spans="326:327">
      <c r="LN7193" t="str">
        <v/>
      </c>
      <c r="LO7193" t="str">
        <v/>
      </c>
    </row>
    <row r="7194" spans="326:327">
      <c r="LN7194" t="str">
        <v/>
      </c>
      <c r="LO7194" t="str">
        <v/>
      </c>
    </row>
    <row r="7195" spans="326:327">
      <c r="LN7195" t="str">
        <v/>
      </c>
      <c r="LO7195" t="str">
        <v/>
      </c>
    </row>
    <row r="7196" spans="326:327">
      <c r="LN7196" t="str">
        <v/>
      </c>
      <c r="LO7196" t="str">
        <v/>
      </c>
    </row>
    <row r="7197" spans="326:327">
      <c r="LN7197" t="str">
        <v/>
      </c>
      <c r="LO7197" t="str">
        <v/>
      </c>
    </row>
    <row r="7198" spans="326:327">
      <c r="LN7198" t="str">
        <v/>
      </c>
      <c r="LO7198" t="str">
        <v/>
      </c>
    </row>
    <row r="7199" spans="326:327">
      <c r="LN7199" t="str">
        <v/>
      </c>
      <c r="LO7199" t="str">
        <v/>
      </c>
    </row>
    <row r="7200" spans="326:327">
      <c r="LN7200" t="str">
        <v/>
      </c>
      <c r="LO7200" t="str">
        <v/>
      </c>
    </row>
    <row r="7201" spans="326:327">
      <c r="LN7201" t="str">
        <v/>
      </c>
      <c r="LO7201" t="str">
        <v/>
      </c>
    </row>
    <row r="7202" spans="326:327">
      <c r="LN7202" t="str">
        <v/>
      </c>
      <c r="LO7202" t="str">
        <v/>
      </c>
    </row>
    <row r="7203" spans="326:327">
      <c r="LN7203" t="str">
        <v/>
      </c>
      <c r="LO7203" t="str">
        <v/>
      </c>
    </row>
    <row r="7204" spans="326:327">
      <c r="LN7204" t="str">
        <v/>
      </c>
      <c r="LO7204" t="str">
        <v/>
      </c>
    </row>
    <row r="7205" spans="326:327">
      <c r="LN7205" t="str">
        <v/>
      </c>
      <c r="LO7205" t="str">
        <v/>
      </c>
    </row>
    <row r="7206" spans="326:327">
      <c r="LN7206" t="str">
        <v/>
      </c>
      <c r="LO7206" t="str">
        <v/>
      </c>
    </row>
    <row r="7207" spans="326:327">
      <c r="LN7207" t="str">
        <v/>
      </c>
      <c r="LO7207" t="str">
        <v/>
      </c>
    </row>
    <row r="7208" spans="326:327">
      <c r="LN7208" t="str">
        <v/>
      </c>
      <c r="LO7208" t="str">
        <v/>
      </c>
    </row>
    <row r="7209" spans="326:327">
      <c r="LN7209" t="str">
        <v/>
      </c>
      <c r="LO7209" t="str">
        <v/>
      </c>
    </row>
    <row r="7210" spans="326:327">
      <c r="LN7210" t="str">
        <v/>
      </c>
      <c r="LO7210" t="str">
        <v/>
      </c>
    </row>
    <row r="7211" spans="326:327">
      <c r="LN7211" t="str">
        <v/>
      </c>
      <c r="LO7211" t="str">
        <v/>
      </c>
    </row>
    <row r="7212" spans="326:327">
      <c r="LN7212" t="str">
        <v/>
      </c>
      <c r="LO7212" t="str">
        <v/>
      </c>
    </row>
    <row r="7213" spans="326:327">
      <c r="LN7213" t="str">
        <v/>
      </c>
      <c r="LO7213" t="str">
        <v/>
      </c>
    </row>
    <row r="7214" spans="326:327">
      <c r="LN7214" t="str">
        <v/>
      </c>
      <c r="LO7214" t="str">
        <v/>
      </c>
    </row>
    <row r="7215" spans="326:327">
      <c r="LN7215" t="str">
        <v/>
      </c>
      <c r="LO7215" t="str">
        <v/>
      </c>
    </row>
    <row r="7216" spans="326:327">
      <c r="LN7216" t="str">
        <v/>
      </c>
      <c r="LO7216" t="str">
        <v/>
      </c>
    </row>
    <row r="7217" spans="326:327">
      <c r="LN7217" t="str">
        <v/>
      </c>
      <c r="LO7217" t="str">
        <v/>
      </c>
    </row>
    <row r="7218" spans="326:327">
      <c r="LN7218" t="str">
        <v/>
      </c>
      <c r="LO7218" t="str">
        <v/>
      </c>
    </row>
    <row r="7219" spans="326:327">
      <c r="LN7219" t="str">
        <v/>
      </c>
      <c r="LO7219" t="str">
        <v/>
      </c>
    </row>
    <row r="7220" spans="326:327">
      <c r="LN7220" t="str">
        <v/>
      </c>
      <c r="LO7220" t="str">
        <v/>
      </c>
    </row>
    <row r="7221" spans="326:327">
      <c r="LN7221" t="str">
        <v/>
      </c>
      <c r="LO7221" t="str">
        <v/>
      </c>
    </row>
    <row r="7222" spans="326:327">
      <c r="LN7222" t="str">
        <v/>
      </c>
      <c r="LO7222" t="str">
        <v/>
      </c>
    </row>
    <row r="7223" spans="326:327">
      <c r="LN7223" t="str">
        <v/>
      </c>
      <c r="LO7223" t="str">
        <v/>
      </c>
    </row>
    <row r="7224" spans="326:327">
      <c r="LN7224" t="str">
        <v/>
      </c>
      <c r="LO7224" t="str">
        <v/>
      </c>
    </row>
    <row r="7225" spans="326:327">
      <c r="LN7225" t="str">
        <v/>
      </c>
      <c r="LO7225" t="str">
        <v/>
      </c>
    </row>
    <row r="7226" spans="326:327">
      <c r="LN7226" t="str">
        <v/>
      </c>
      <c r="LO7226" t="str">
        <v/>
      </c>
    </row>
    <row r="7227" spans="326:327">
      <c r="LN7227" t="str">
        <v/>
      </c>
      <c r="LO7227" t="str">
        <v/>
      </c>
    </row>
    <row r="7228" spans="326:327">
      <c r="LN7228" t="str">
        <v/>
      </c>
      <c r="LO7228" t="str">
        <v/>
      </c>
    </row>
    <row r="7229" spans="326:327">
      <c r="LN7229" t="str">
        <v/>
      </c>
      <c r="LO7229" t="str">
        <v/>
      </c>
    </row>
    <row r="7230" spans="326:327">
      <c r="LN7230" t="str">
        <v/>
      </c>
      <c r="LO7230" t="str">
        <v/>
      </c>
    </row>
    <row r="7231" spans="326:327">
      <c r="LN7231" t="str">
        <v/>
      </c>
      <c r="LO7231" t="str">
        <v/>
      </c>
    </row>
    <row r="7232" spans="326:327">
      <c r="LN7232" t="str">
        <v/>
      </c>
      <c r="LO7232" t="str">
        <v/>
      </c>
    </row>
    <row r="7233" spans="326:327">
      <c r="LN7233" t="str">
        <v/>
      </c>
      <c r="LO7233" t="str">
        <v/>
      </c>
    </row>
    <row r="7234" spans="326:327">
      <c r="LN7234" t="str">
        <v/>
      </c>
      <c r="LO7234" t="str">
        <v/>
      </c>
    </row>
    <row r="7235" spans="326:327">
      <c r="LN7235" t="str">
        <v/>
      </c>
      <c r="LO7235" t="str">
        <v/>
      </c>
    </row>
    <row r="7236" spans="326:327">
      <c r="LN7236" t="str">
        <v/>
      </c>
      <c r="LO7236" t="str">
        <v/>
      </c>
    </row>
    <row r="7237" spans="326:327">
      <c r="LN7237" t="str">
        <v/>
      </c>
      <c r="LO7237" t="str">
        <v/>
      </c>
    </row>
    <row r="7238" spans="326:327">
      <c r="LN7238" t="str">
        <v/>
      </c>
      <c r="LO7238" t="str">
        <v/>
      </c>
    </row>
    <row r="7239" spans="326:327">
      <c r="LN7239" t="str">
        <v/>
      </c>
      <c r="LO7239" t="str">
        <v/>
      </c>
    </row>
    <row r="7240" spans="326:327">
      <c r="LN7240" t="str">
        <v/>
      </c>
      <c r="LO7240" t="str">
        <v/>
      </c>
    </row>
    <row r="7241" spans="326:327">
      <c r="LN7241" t="str">
        <v/>
      </c>
      <c r="LO7241" t="str">
        <v/>
      </c>
    </row>
    <row r="7242" spans="326:327">
      <c r="LN7242" t="str">
        <v/>
      </c>
      <c r="LO7242" t="str">
        <v/>
      </c>
    </row>
    <row r="7243" spans="326:327">
      <c r="LN7243" t="str">
        <v/>
      </c>
      <c r="LO7243" t="str">
        <v/>
      </c>
    </row>
    <row r="7244" spans="326:327">
      <c r="LN7244" t="str">
        <v/>
      </c>
      <c r="LO7244" t="str">
        <v/>
      </c>
    </row>
    <row r="7245" spans="326:327">
      <c r="LN7245" t="str">
        <v/>
      </c>
      <c r="LO7245" t="str">
        <v/>
      </c>
    </row>
    <row r="7246" spans="326:327">
      <c r="LN7246" t="str">
        <v/>
      </c>
      <c r="LO7246" t="str">
        <v/>
      </c>
    </row>
    <row r="7247" spans="326:327">
      <c r="LN7247" t="str">
        <v/>
      </c>
      <c r="LO7247" t="str">
        <v/>
      </c>
    </row>
    <row r="7248" spans="326:327">
      <c r="LN7248" t="str">
        <v/>
      </c>
      <c r="LO7248" t="str">
        <v/>
      </c>
    </row>
    <row r="7249" spans="326:327">
      <c r="LN7249" t="str">
        <v/>
      </c>
      <c r="LO7249" t="str">
        <v/>
      </c>
    </row>
    <row r="7250" spans="326:327">
      <c r="LN7250" t="str">
        <v/>
      </c>
      <c r="LO7250" t="str">
        <v/>
      </c>
    </row>
    <row r="7251" spans="326:327">
      <c r="LN7251" t="str">
        <v/>
      </c>
      <c r="LO7251" t="str">
        <v/>
      </c>
    </row>
    <row r="7252" spans="326:327">
      <c r="LN7252" t="str">
        <v/>
      </c>
      <c r="LO7252" t="str">
        <v/>
      </c>
    </row>
    <row r="7253" spans="326:327">
      <c r="LN7253" t="str">
        <v/>
      </c>
      <c r="LO7253" t="str">
        <v/>
      </c>
    </row>
    <row r="7254" spans="326:327">
      <c r="LN7254" t="str">
        <v/>
      </c>
      <c r="LO7254" t="str">
        <v/>
      </c>
    </row>
    <row r="7255" spans="326:327">
      <c r="LN7255" t="str">
        <v/>
      </c>
      <c r="LO7255" t="str">
        <v/>
      </c>
    </row>
    <row r="7256" spans="326:327">
      <c r="LN7256" t="str">
        <v/>
      </c>
      <c r="LO7256" t="str">
        <v/>
      </c>
    </row>
    <row r="7257" spans="326:327">
      <c r="LN7257" t="str">
        <v/>
      </c>
      <c r="LO7257" t="str">
        <v/>
      </c>
    </row>
    <row r="7258" spans="326:327">
      <c r="LN7258" t="str">
        <v/>
      </c>
      <c r="LO7258" t="str">
        <v/>
      </c>
    </row>
    <row r="7259" spans="326:327">
      <c r="LN7259" t="str">
        <v/>
      </c>
      <c r="LO7259" t="str">
        <v/>
      </c>
    </row>
    <row r="7260" spans="326:327">
      <c r="LN7260" t="str">
        <v/>
      </c>
      <c r="LO7260" t="str">
        <v/>
      </c>
    </row>
    <row r="7261" spans="326:327">
      <c r="LN7261" t="str">
        <v/>
      </c>
      <c r="LO7261" t="str">
        <v/>
      </c>
    </row>
    <row r="7262" spans="326:327">
      <c r="LN7262" t="str">
        <v/>
      </c>
      <c r="LO7262" t="str">
        <v/>
      </c>
    </row>
    <row r="7263" spans="326:327">
      <c r="LN7263" t="str">
        <v/>
      </c>
      <c r="LO7263" t="str">
        <v/>
      </c>
    </row>
    <row r="7264" spans="326:327">
      <c r="LN7264" t="str">
        <v/>
      </c>
      <c r="LO7264" t="str">
        <v/>
      </c>
    </row>
    <row r="7265" spans="326:327">
      <c r="LN7265" t="str">
        <v/>
      </c>
      <c r="LO7265" t="str">
        <v/>
      </c>
    </row>
    <row r="7266" spans="326:327">
      <c r="LN7266" t="str">
        <v/>
      </c>
      <c r="LO7266" t="str">
        <v/>
      </c>
    </row>
    <row r="7267" spans="326:327">
      <c r="LN7267" t="str">
        <v/>
      </c>
      <c r="LO7267" t="str">
        <v/>
      </c>
    </row>
    <row r="7268" spans="326:327">
      <c r="LN7268" t="str">
        <v/>
      </c>
      <c r="LO7268" t="str">
        <v/>
      </c>
    </row>
    <row r="7269" spans="326:327">
      <c r="LN7269" t="str">
        <v/>
      </c>
      <c r="LO7269" t="str">
        <v/>
      </c>
    </row>
    <row r="7270" spans="326:327">
      <c r="LN7270" t="str">
        <v/>
      </c>
      <c r="LO7270" t="str">
        <v/>
      </c>
    </row>
    <row r="7271" spans="326:327">
      <c r="LN7271" t="str">
        <v/>
      </c>
      <c r="LO7271" t="str">
        <v/>
      </c>
    </row>
    <row r="7272" spans="326:327">
      <c r="LN7272" t="str">
        <v/>
      </c>
      <c r="LO7272" t="str">
        <v/>
      </c>
    </row>
    <row r="7273" spans="326:327">
      <c r="LN7273" t="str">
        <v/>
      </c>
      <c r="LO7273" t="str">
        <v/>
      </c>
    </row>
    <row r="7274" spans="326:327">
      <c r="LN7274" t="str">
        <v/>
      </c>
      <c r="LO7274" t="str">
        <v/>
      </c>
    </row>
    <row r="7275" spans="326:327">
      <c r="LN7275" t="str">
        <v/>
      </c>
      <c r="LO7275" t="str">
        <v/>
      </c>
    </row>
    <row r="7276" spans="326:327">
      <c r="LN7276" t="str">
        <v/>
      </c>
      <c r="LO7276" t="str">
        <v/>
      </c>
    </row>
    <row r="7277" spans="326:327">
      <c r="LN7277" t="str">
        <v/>
      </c>
      <c r="LO7277" t="str">
        <v/>
      </c>
    </row>
    <row r="7278" spans="326:327">
      <c r="LN7278" t="str">
        <v/>
      </c>
      <c r="LO7278" t="str">
        <v/>
      </c>
    </row>
    <row r="7279" spans="326:327">
      <c r="LN7279" t="str">
        <v/>
      </c>
      <c r="LO7279" t="str">
        <v/>
      </c>
    </row>
    <row r="7280" spans="326:327">
      <c r="LN7280" t="str">
        <v/>
      </c>
      <c r="LO7280" t="str">
        <v/>
      </c>
    </row>
    <row r="7281" spans="326:327">
      <c r="LN7281" t="str">
        <v/>
      </c>
      <c r="LO7281" t="str">
        <v/>
      </c>
    </row>
    <row r="7282" spans="326:327">
      <c r="LN7282" t="str">
        <v/>
      </c>
      <c r="LO7282" t="str">
        <v/>
      </c>
    </row>
    <row r="7283" spans="326:327">
      <c r="LN7283" t="str">
        <v/>
      </c>
      <c r="LO7283" t="str">
        <v/>
      </c>
    </row>
    <row r="7284" spans="326:327">
      <c r="LN7284" t="str">
        <v/>
      </c>
      <c r="LO7284" t="str">
        <v/>
      </c>
    </row>
    <row r="7285" spans="326:327">
      <c r="LN7285" t="str">
        <v/>
      </c>
      <c r="LO7285" t="str">
        <v/>
      </c>
    </row>
    <row r="7286" spans="326:327">
      <c r="LN7286" t="str">
        <v/>
      </c>
      <c r="LO7286" t="str">
        <v/>
      </c>
    </row>
    <row r="7287" spans="326:327">
      <c r="LN7287" t="str">
        <v/>
      </c>
      <c r="LO7287" t="str">
        <v/>
      </c>
    </row>
    <row r="7288" spans="326:327">
      <c r="LN7288" t="str">
        <v/>
      </c>
      <c r="LO7288" t="str">
        <v/>
      </c>
    </row>
    <row r="7289" spans="326:327">
      <c r="LN7289" t="str">
        <v/>
      </c>
      <c r="LO7289" t="str">
        <v/>
      </c>
    </row>
    <row r="7290" spans="326:327">
      <c r="LN7290" t="str">
        <v/>
      </c>
      <c r="LO7290" t="str">
        <v/>
      </c>
    </row>
    <row r="7291" spans="326:327">
      <c r="LN7291" t="str">
        <v/>
      </c>
      <c r="LO7291" t="str">
        <v/>
      </c>
    </row>
    <row r="7292" spans="326:327">
      <c r="LN7292" t="str">
        <v/>
      </c>
      <c r="LO7292" t="str">
        <v/>
      </c>
    </row>
    <row r="7293" spans="326:327">
      <c r="LN7293" t="str">
        <v/>
      </c>
      <c r="LO7293" t="str">
        <v/>
      </c>
    </row>
    <row r="7294" spans="326:327">
      <c r="LN7294" t="str">
        <v/>
      </c>
      <c r="LO7294" t="str">
        <v/>
      </c>
    </row>
    <row r="7295" spans="326:327">
      <c r="LN7295" t="str">
        <v/>
      </c>
      <c r="LO7295" t="str">
        <v/>
      </c>
    </row>
    <row r="7296" spans="326:327">
      <c r="LN7296" t="str">
        <v/>
      </c>
      <c r="LO7296" t="str">
        <v/>
      </c>
    </row>
    <row r="7297" spans="326:327">
      <c r="LN7297" t="str">
        <v/>
      </c>
      <c r="LO7297" t="str">
        <v/>
      </c>
    </row>
    <row r="7298" spans="326:327">
      <c r="LN7298" t="str">
        <v/>
      </c>
      <c r="LO7298" t="str">
        <v/>
      </c>
    </row>
    <row r="7299" spans="326:327">
      <c r="LN7299" t="str">
        <v/>
      </c>
      <c r="LO7299" t="str">
        <v/>
      </c>
    </row>
    <row r="7300" spans="326:327">
      <c r="LN7300" t="str">
        <v/>
      </c>
      <c r="LO7300" t="str">
        <v/>
      </c>
    </row>
    <row r="7301" spans="326:327">
      <c r="LN7301" t="str">
        <v/>
      </c>
      <c r="LO7301" t="str">
        <v/>
      </c>
    </row>
    <row r="7302" spans="326:327">
      <c r="LN7302" t="str">
        <v/>
      </c>
      <c r="LO7302" t="str">
        <v/>
      </c>
    </row>
    <row r="7303" spans="326:327">
      <c r="LN7303" t="str">
        <v/>
      </c>
      <c r="LO7303" t="str">
        <v/>
      </c>
    </row>
    <row r="7304" spans="326:327">
      <c r="LN7304" t="str">
        <v/>
      </c>
      <c r="LO7304" t="str">
        <v/>
      </c>
    </row>
    <row r="7305" spans="326:327">
      <c r="LN7305" t="str">
        <v/>
      </c>
      <c r="LO7305" t="str">
        <v/>
      </c>
    </row>
    <row r="7306" spans="326:327">
      <c r="LN7306" t="str">
        <v/>
      </c>
      <c r="LO7306" t="str">
        <v/>
      </c>
    </row>
    <row r="7307" spans="326:327">
      <c r="LN7307" t="str">
        <v/>
      </c>
      <c r="LO7307" t="str">
        <v/>
      </c>
    </row>
    <row r="7308" spans="326:327">
      <c r="LN7308" t="str">
        <v/>
      </c>
      <c r="LO7308" t="str">
        <v/>
      </c>
    </row>
    <row r="7309" spans="326:327">
      <c r="LN7309" t="str">
        <v/>
      </c>
      <c r="LO7309" t="str">
        <v/>
      </c>
    </row>
    <row r="7310" spans="326:327">
      <c r="LN7310" t="str">
        <v/>
      </c>
      <c r="LO7310" t="str">
        <v/>
      </c>
    </row>
    <row r="7311" spans="326:327">
      <c r="LN7311" t="str">
        <v/>
      </c>
      <c r="LO7311" t="str">
        <v/>
      </c>
    </row>
    <row r="7312" spans="326:327">
      <c r="LN7312" t="str">
        <v/>
      </c>
      <c r="LO7312" t="str">
        <v/>
      </c>
    </row>
    <row r="7313" spans="326:327">
      <c r="LN7313" t="str">
        <v/>
      </c>
      <c r="LO7313" t="str">
        <v/>
      </c>
    </row>
    <row r="7314" spans="326:327">
      <c r="LN7314" t="str">
        <v/>
      </c>
      <c r="LO7314" t="str">
        <v/>
      </c>
    </row>
    <row r="7315" spans="326:327">
      <c r="LN7315" t="str">
        <v/>
      </c>
      <c r="LO7315" t="str">
        <v/>
      </c>
    </row>
    <row r="7316" spans="326:327">
      <c r="LN7316" t="str">
        <v/>
      </c>
      <c r="LO7316" t="str">
        <v/>
      </c>
    </row>
    <row r="7317" spans="326:327">
      <c r="LN7317" t="str">
        <v/>
      </c>
      <c r="LO7317" t="str">
        <v/>
      </c>
    </row>
    <row r="7318" spans="326:327">
      <c r="LN7318" t="str">
        <v/>
      </c>
      <c r="LO7318" t="str">
        <v/>
      </c>
    </row>
    <row r="7319" spans="326:327">
      <c r="LN7319" t="str">
        <v/>
      </c>
      <c r="LO7319" t="str">
        <v/>
      </c>
    </row>
    <row r="7320" spans="326:327">
      <c r="LN7320" t="str">
        <v/>
      </c>
      <c r="LO7320" t="str">
        <v/>
      </c>
    </row>
    <row r="7321" spans="326:327">
      <c r="LN7321" t="str">
        <v/>
      </c>
      <c r="LO7321" t="str">
        <v/>
      </c>
    </row>
    <row r="7322" spans="326:327">
      <c r="LN7322" t="str">
        <v/>
      </c>
      <c r="LO7322" t="str">
        <v/>
      </c>
    </row>
    <row r="7323" spans="326:327">
      <c r="LN7323" t="str">
        <v/>
      </c>
      <c r="LO7323" t="str">
        <v/>
      </c>
    </row>
    <row r="7324" spans="326:327">
      <c r="LN7324" t="str">
        <v/>
      </c>
      <c r="LO7324" t="str">
        <v/>
      </c>
    </row>
    <row r="7325" spans="326:327">
      <c r="LN7325" t="str">
        <v/>
      </c>
      <c r="LO7325" t="str">
        <v/>
      </c>
    </row>
    <row r="7326" spans="326:327">
      <c r="LN7326" t="str">
        <v/>
      </c>
      <c r="LO7326" t="str">
        <v/>
      </c>
    </row>
    <row r="7327" spans="326:327">
      <c r="LN7327" t="str">
        <v/>
      </c>
      <c r="LO7327" t="str">
        <v/>
      </c>
    </row>
    <row r="7328" spans="326:327">
      <c r="LN7328" t="str">
        <v/>
      </c>
      <c r="LO7328" t="str">
        <v/>
      </c>
    </row>
    <row r="7329" spans="326:327">
      <c r="LN7329" t="str">
        <v/>
      </c>
      <c r="LO7329" t="str">
        <v/>
      </c>
    </row>
    <row r="7330" spans="326:327">
      <c r="LN7330" t="str">
        <v/>
      </c>
      <c r="LO7330" t="str">
        <v/>
      </c>
    </row>
    <row r="7331" spans="326:327">
      <c r="LN7331" t="str">
        <v/>
      </c>
      <c r="LO7331" t="str">
        <v/>
      </c>
    </row>
    <row r="7332" spans="326:327">
      <c r="LN7332" t="str">
        <v/>
      </c>
      <c r="LO7332" t="str">
        <v/>
      </c>
    </row>
    <row r="7333" spans="326:327">
      <c r="LN7333" t="str">
        <v/>
      </c>
      <c r="LO7333" t="str">
        <v/>
      </c>
    </row>
    <row r="7334" spans="326:327">
      <c r="LN7334" t="str">
        <v/>
      </c>
      <c r="LO7334" t="str">
        <v/>
      </c>
    </row>
    <row r="7335" spans="326:327">
      <c r="LN7335" t="str">
        <v/>
      </c>
      <c r="LO7335" t="str">
        <v/>
      </c>
    </row>
    <row r="7336" spans="326:327">
      <c r="LN7336" t="str">
        <v/>
      </c>
      <c r="LO7336" t="str">
        <v/>
      </c>
    </row>
    <row r="7337" spans="326:327">
      <c r="LN7337" t="str">
        <v/>
      </c>
      <c r="LO7337" t="str">
        <v/>
      </c>
    </row>
    <row r="7338" spans="326:327">
      <c r="LN7338" t="str">
        <v/>
      </c>
      <c r="LO7338" t="str">
        <v/>
      </c>
    </row>
    <row r="7339" spans="326:327">
      <c r="LN7339" t="str">
        <v/>
      </c>
      <c r="LO7339" t="str">
        <v/>
      </c>
    </row>
    <row r="7340" spans="326:327">
      <c r="LN7340" t="str">
        <v/>
      </c>
      <c r="LO7340" t="str">
        <v/>
      </c>
    </row>
    <row r="7341" spans="326:327">
      <c r="LN7341" t="str">
        <v/>
      </c>
      <c r="LO7341" t="str">
        <v/>
      </c>
    </row>
    <row r="7342" spans="326:327">
      <c r="LN7342" t="str">
        <v/>
      </c>
      <c r="LO7342" t="str">
        <v/>
      </c>
    </row>
    <row r="7343" spans="326:327">
      <c r="LN7343" t="str">
        <v/>
      </c>
      <c r="LO7343" t="str">
        <v/>
      </c>
    </row>
    <row r="7344" spans="326:327">
      <c r="LN7344" t="str">
        <v/>
      </c>
      <c r="LO7344" t="str">
        <v/>
      </c>
    </row>
    <row r="7345" spans="326:327">
      <c r="LN7345" t="str">
        <v/>
      </c>
      <c r="LO7345" t="str">
        <v/>
      </c>
    </row>
    <row r="7346" spans="326:327">
      <c r="LN7346" t="str">
        <v/>
      </c>
      <c r="LO7346" t="str">
        <v/>
      </c>
    </row>
    <row r="7347" spans="326:327">
      <c r="LN7347" t="str">
        <v/>
      </c>
      <c r="LO7347" t="str">
        <v/>
      </c>
    </row>
    <row r="7348" spans="326:327">
      <c r="LN7348" t="str">
        <v/>
      </c>
      <c r="LO7348" t="str">
        <v/>
      </c>
    </row>
    <row r="7349" spans="326:327">
      <c r="LN7349" t="str">
        <v/>
      </c>
      <c r="LO7349" t="str">
        <v/>
      </c>
    </row>
    <row r="7350" spans="326:327">
      <c r="LN7350" t="str">
        <v/>
      </c>
      <c r="LO7350" t="str">
        <v/>
      </c>
    </row>
    <row r="7351" spans="326:327">
      <c r="LN7351" t="str">
        <v/>
      </c>
      <c r="LO7351" t="str">
        <v/>
      </c>
    </row>
    <row r="7352" spans="326:327">
      <c r="LN7352" t="str">
        <v/>
      </c>
      <c r="LO7352" t="str">
        <v/>
      </c>
    </row>
    <row r="7353" spans="326:327">
      <c r="LN7353" t="str">
        <v/>
      </c>
      <c r="LO7353" t="str">
        <v/>
      </c>
    </row>
    <row r="7354" spans="326:327">
      <c r="LN7354" t="str">
        <v/>
      </c>
      <c r="LO7354" t="str">
        <v/>
      </c>
    </row>
    <row r="7355" spans="326:327">
      <c r="LN7355" t="str">
        <v/>
      </c>
      <c r="LO7355" t="str">
        <v/>
      </c>
    </row>
    <row r="7356" spans="326:327">
      <c r="LN7356" t="str">
        <v/>
      </c>
      <c r="LO7356" t="str">
        <v/>
      </c>
    </row>
    <row r="7357" spans="326:327">
      <c r="LN7357" t="str">
        <v/>
      </c>
      <c r="LO7357" t="str">
        <v/>
      </c>
    </row>
    <row r="7358" spans="326:327">
      <c r="LN7358" t="str">
        <v/>
      </c>
      <c r="LO7358" t="str">
        <v/>
      </c>
    </row>
    <row r="7359" spans="326:327">
      <c r="LN7359" t="str">
        <v/>
      </c>
      <c r="LO7359" t="str">
        <v/>
      </c>
    </row>
    <row r="7360" spans="326:327">
      <c r="LN7360" t="str">
        <v/>
      </c>
      <c r="LO7360" t="str">
        <v/>
      </c>
    </row>
    <row r="7361" spans="326:327">
      <c r="LN7361" t="str">
        <v/>
      </c>
      <c r="LO7361" t="str">
        <v/>
      </c>
    </row>
    <row r="7362" spans="326:327">
      <c r="LN7362" t="str">
        <v/>
      </c>
      <c r="LO7362" t="str">
        <v/>
      </c>
    </row>
    <row r="7363" spans="326:327">
      <c r="LN7363" t="str">
        <v/>
      </c>
      <c r="LO7363" t="str">
        <v/>
      </c>
    </row>
    <row r="7364" spans="326:327">
      <c r="LN7364" t="str">
        <v/>
      </c>
      <c r="LO7364" t="str">
        <v/>
      </c>
    </row>
    <row r="7365" spans="326:327">
      <c r="LN7365" t="str">
        <v/>
      </c>
      <c r="LO7365" t="str">
        <v/>
      </c>
    </row>
    <row r="7366" spans="326:327">
      <c r="LN7366" t="str">
        <v/>
      </c>
      <c r="LO7366" t="str">
        <v/>
      </c>
    </row>
    <row r="7367" spans="326:327">
      <c r="LN7367" t="str">
        <v/>
      </c>
      <c r="LO7367" t="str">
        <v/>
      </c>
    </row>
    <row r="7368" spans="326:327">
      <c r="LN7368" t="str">
        <v/>
      </c>
      <c r="LO7368" t="str">
        <v/>
      </c>
    </row>
    <row r="7369" spans="326:327">
      <c r="LN7369" t="str">
        <v/>
      </c>
      <c r="LO7369" t="str">
        <v/>
      </c>
    </row>
    <row r="7370" spans="326:327">
      <c r="LN7370" t="str">
        <v/>
      </c>
      <c r="LO7370" t="str">
        <v/>
      </c>
    </row>
    <row r="7371" spans="326:327">
      <c r="LN7371" t="str">
        <v/>
      </c>
      <c r="LO7371" t="str">
        <v/>
      </c>
    </row>
    <row r="7372" spans="326:327">
      <c r="LN7372" t="str">
        <v/>
      </c>
      <c r="LO7372" t="str">
        <v/>
      </c>
    </row>
    <row r="7373" spans="326:327">
      <c r="LN7373" t="str">
        <v/>
      </c>
      <c r="LO7373" t="str">
        <v/>
      </c>
    </row>
    <row r="7374" spans="326:327">
      <c r="LN7374" t="str">
        <v/>
      </c>
      <c r="LO7374" t="str">
        <v/>
      </c>
    </row>
    <row r="7375" spans="326:327">
      <c r="LN7375" t="str">
        <v/>
      </c>
      <c r="LO7375" t="str">
        <v/>
      </c>
    </row>
    <row r="7376" spans="326:327">
      <c r="LN7376" t="str">
        <v/>
      </c>
      <c r="LO7376" t="str">
        <v/>
      </c>
    </row>
    <row r="7377" spans="326:327">
      <c r="LN7377" t="str">
        <v/>
      </c>
      <c r="LO7377" t="str">
        <v/>
      </c>
    </row>
    <row r="7378" spans="326:327">
      <c r="LN7378" t="str">
        <v/>
      </c>
      <c r="LO7378" t="str">
        <v/>
      </c>
    </row>
    <row r="7379" spans="326:327">
      <c r="LN7379" t="str">
        <v/>
      </c>
      <c r="LO7379" t="str">
        <v/>
      </c>
    </row>
    <row r="7380" spans="326:327">
      <c r="LN7380" t="str">
        <v/>
      </c>
      <c r="LO7380" t="str">
        <v/>
      </c>
    </row>
    <row r="7381" spans="326:327">
      <c r="LN7381" t="str">
        <v/>
      </c>
      <c r="LO7381" t="str">
        <v/>
      </c>
    </row>
    <row r="7382" spans="326:327">
      <c r="LN7382" t="str">
        <v/>
      </c>
      <c r="LO7382" t="str">
        <v/>
      </c>
    </row>
    <row r="7383" spans="326:327">
      <c r="LN7383" t="str">
        <v/>
      </c>
      <c r="LO7383" t="str">
        <v/>
      </c>
    </row>
    <row r="7384" spans="326:327">
      <c r="LN7384" t="str">
        <v/>
      </c>
      <c r="LO7384" t="str">
        <v/>
      </c>
    </row>
    <row r="7385" spans="326:327">
      <c r="LN7385" t="str">
        <v/>
      </c>
      <c r="LO7385" t="str">
        <v/>
      </c>
    </row>
    <row r="7386" spans="326:327">
      <c r="LN7386" t="str">
        <v/>
      </c>
      <c r="LO7386" t="str">
        <v/>
      </c>
    </row>
    <row r="7387" spans="326:327">
      <c r="LN7387" t="str">
        <v/>
      </c>
      <c r="LO7387" t="str">
        <v/>
      </c>
    </row>
    <row r="7388" spans="326:327">
      <c r="LN7388" t="str">
        <v/>
      </c>
      <c r="LO7388" t="str">
        <v/>
      </c>
    </row>
    <row r="7389" spans="326:327">
      <c r="LN7389" t="str">
        <v/>
      </c>
      <c r="LO7389" t="str">
        <v/>
      </c>
    </row>
    <row r="7390" spans="326:327">
      <c r="LN7390" t="str">
        <v/>
      </c>
      <c r="LO7390" t="str">
        <v/>
      </c>
    </row>
    <row r="7391" spans="326:327">
      <c r="LN7391" t="str">
        <v/>
      </c>
      <c r="LO7391" t="str">
        <v/>
      </c>
    </row>
    <row r="7392" spans="326:327">
      <c r="LN7392" t="str">
        <v/>
      </c>
      <c r="LO7392" t="str">
        <v/>
      </c>
    </row>
    <row r="7393" spans="326:327">
      <c r="LN7393" t="str">
        <v/>
      </c>
      <c r="LO7393" t="str">
        <v/>
      </c>
    </row>
    <row r="7394" spans="326:327">
      <c r="LN7394" t="str">
        <v/>
      </c>
      <c r="LO7394" t="str">
        <v/>
      </c>
    </row>
    <row r="7395" spans="326:327">
      <c r="LN7395" t="str">
        <v/>
      </c>
      <c r="LO7395" t="str">
        <v/>
      </c>
    </row>
    <row r="7396" spans="326:327">
      <c r="LN7396" t="str">
        <v/>
      </c>
      <c r="LO7396" t="str">
        <v/>
      </c>
    </row>
    <row r="7397" spans="326:327">
      <c r="LN7397" t="str">
        <v/>
      </c>
      <c r="LO7397" t="str">
        <v/>
      </c>
    </row>
    <row r="7398" spans="326:327">
      <c r="LN7398" t="str">
        <v/>
      </c>
      <c r="LO7398" t="str">
        <v/>
      </c>
    </row>
    <row r="7399" spans="326:327">
      <c r="LN7399" t="str">
        <v/>
      </c>
      <c r="LO7399" t="str">
        <v/>
      </c>
    </row>
    <row r="7400" spans="326:327">
      <c r="LN7400" t="str">
        <v/>
      </c>
      <c r="LO7400" t="str">
        <v/>
      </c>
    </row>
    <row r="7401" spans="326:327">
      <c r="LN7401" t="str">
        <v/>
      </c>
      <c r="LO7401" t="str">
        <v/>
      </c>
    </row>
    <row r="7402" spans="326:327">
      <c r="LN7402" t="str">
        <v/>
      </c>
      <c r="LO7402" t="str">
        <v/>
      </c>
    </row>
    <row r="7403" spans="326:327">
      <c r="LN7403" t="str">
        <v/>
      </c>
      <c r="LO7403" t="str">
        <v/>
      </c>
    </row>
    <row r="7404" spans="326:327">
      <c r="LN7404" t="str">
        <v/>
      </c>
      <c r="LO7404" t="str">
        <v/>
      </c>
    </row>
    <row r="7405" spans="326:327">
      <c r="LN7405" t="str">
        <v/>
      </c>
      <c r="LO7405" t="str">
        <v/>
      </c>
    </row>
    <row r="7406" spans="326:327">
      <c r="LN7406" t="str">
        <v/>
      </c>
      <c r="LO7406" t="str">
        <v/>
      </c>
    </row>
    <row r="7407" spans="326:327">
      <c r="LN7407" t="str">
        <v/>
      </c>
      <c r="LO7407" t="str">
        <v/>
      </c>
    </row>
    <row r="7408" spans="326:327">
      <c r="LN7408" t="str">
        <v/>
      </c>
      <c r="LO7408" t="str">
        <v/>
      </c>
    </row>
    <row r="7409" spans="326:327">
      <c r="LN7409" t="str">
        <v/>
      </c>
      <c r="LO7409" t="str">
        <v/>
      </c>
    </row>
    <row r="7410" spans="326:327">
      <c r="LN7410" t="str">
        <v/>
      </c>
      <c r="LO7410" t="str">
        <v/>
      </c>
    </row>
    <row r="7411" spans="326:327">
      <c r="LN7411" t="str">
        <v/>
      </c>
      <c r="LO7411" t="str">
        <v/>
      </c>
    </row>
    <row r="7412" spans="326:327">
      <c r="LN7412" t="str">
        <v/>
      </c>
      <c r="LO7412" t="str">
        <v/>
      </c>
    </row>
    <row r="7413" spans="326:327">
      <c r="LN7413" t="str">
        <v/>
      </c>
      <c r="LO7413" t="str">
        <v/>
      </c>
    </row>
    <row r="7414" spans="326:327">
      <c r="LN7414" t="str">
        <v/>
      </c>
      <c r="LO7414" t="str">
        <v/>
      </c>
    </row>
    <row r="7415" spans="326:327">
      <c r="LN7415" t="str">
        <v/>
      </c>
      <c r="LO7415" t="str">
        <v/>
      </c>
    </row>
    <row r="7416" spans="326:327">
      <c r="LN7416" t="str">
        <v/>
      </c>
      <c r="LO7416" t="str">
        <v/>
      </c>
    </row>
    <row r="7417" spans="326:327">
      <c r="LN7417" t="str">
        <v/>
      </c>
      <c r="LO7417" t="str">
        <v/>
      </c>
    </row>
    <row r="7418" spans="326:327">
      <c r="LN7418" t="str">
        <v/>
      </c>
      <c r="LO7418" t="str">
        <v/>
      </c>
    </row>
    <row r="7419" spans="326:327">
      <c r="LN7419" t="str">
        <v/>
      </c>
      <c r="LO7419" t="str">
        <v/>
      </c>
    </row>
    <row r="7420" spans="326:327">
      <c r="LN7420" t="str">
        <v/>
      </c>
      <c r="LO7420" t="str">
        <v/>
      </c>
    </row>
    <row r="7421" spans="326:327">
      <c r="LN7421" t="str">
        <v/>
      </c>
      <c r="LO7421" t="str">
        <v/>
      </c>
    </row>
    <row r="7422" spans="326:327">
      <c r="LN7422" t="str">
        <v/>
      </c>
      <c r="LO7422" t="str">
        <v/>
      </c>
    </row>
    <row r="7423" spans="326:327">
      <c r="LN7423" t="str">
        <v/>
      </c>
      <c r="LO7423" t="str">
        <v/>
      </c>
    </row>
    <row r="7424" spans="326:327">
      <c r="LN7424" t="str">
        <v/>
      </c>
      <c r="LO7424" t="str">
        <v/>
      </c>
    </row>
    <row r="7425" spans="326:327">
      <c r="LN7425" t="str">
        <v/>
      </c>
      <c r="LO7425" t="str">
        <v/>
      </c>
    </row>
    <row r="7426" spans="326:327">
      <c r="LN7426" t="str">
        <v/>
      </c>
      <c r="LO7426" t="str">
        <v/>
      </c>
    </row>
    <row r="7427" spans="326:327">
      <c r="LN7427" t="str">
        <v/>
      </c>
      <c r="LO7427" t="str">
        <v/>
      </c>
    </row>
    <row r="7428" spans="326:327">
      <c r="LN7428" t="str">
        <v/>
      </c>
      <c r="LO7428" t="str">
        <v/>
      </c>
    </row>
    <row r="7429" spans="326:327">
      <c r="LN7429" t="str">
        <v/>
      </c>
      <c r="LO7429" t="str">
        <v/>
      </c>
    </row>
    <row r="7430" spans="326:327">
      <c r="LN7430" t="str">
        <v/>
      </c>
      <c r="LO7430" t="str">
        <v/>
      </c>
    </row>
    <row r="7431" spans="326:327">
      <c r="LN7431" t="str">
        <v/>
      </c>
      <c r="LO7431" t="str">
        <v/>
      </c>
    </row>
    <row r="7432" spans="326:327">
      <c r="LN7432" t="str">
        <v/>
      </c>
      <c r="LO7432" t="str">
        <v/>
      </c>
    </row>
    <row r="7433" spans="326:327">
      <c r="LN7433" t="str">
        <v/>
      </c>
      <c r="LO7433" t="str">
        <v/>
      </c>
    </row>
    <row r="7434" spans="326:327">
      <c r="LN7434" t="str">
        <v/>
      </c>
      <c r="LO7434" t="str">
        <v/>
      </c>
    </row>
    <row r="7435" spans="326:327">
      <c r="LN7435" t="str">
        <v/>
      </c>
      <c r="LO7435" t="str">
        <v/>
      </c>
    </row>
    <row r="7436" spans="326:327">
      <c r="LN7436" t="str">
        <v/>
      </c>
      <c r="LO7436" t="str">
        <v/>
      </c>
    </row>
    <row r="7437" spans="326:327">
      <c r="LN7437" t="str">
        <v/>
      </c>
      <c r="LO7437" t="str">
        <v/>
      </c>
    </row>
    <row r="7438" spans="326:327">
      <c r="LN7438" t="str">
        <v/>
      </c>
      <c r="LO7438" t="str">
        <v/>
      </c>
    </row>
    <row r="7439" spans="326:327">
      <c r="LN7439" t="str">
        <v/>
      </c>
      <c r="LO7439" t="str">
        <v/>
      </c>
    </row>
    <row r="7440" spans="326:327">
      <c r="LN7440" t="str">
        <v/>
      </c>
      <c r="LO7440" t="str">
        <v/>
      </c>
    </row>
    <row r="7441" spans="326:327">
      <c r="LN7441" t="str">
        <v/>
      </c>
      <c r="LO7441" t="str">
        <v/>
      </c>
    </row>
    <row r="7442" spans="326:327">
      <c r="LN7442" t="str">
        <v/>
      </c>
      <c r="LO7442" t="str">
        <v/>
      </c>
    </row>
    <row r="7443" spans="326:327">
      <c r="LN7443" t="str">
        <v/>
      </c>
      <c r="LO7443" t="str">
        <v/>
      </c>
    </row>
    <row r="7444" spans="326:327">
      <c r="LN7444" t="str">
        <v/>
      </c>
      <c r="LO7444" t="str">
        <v/>
      </c>
    </row>
    <row r="7445" spans="326:327">
      <c r="LN7445" t="str">
        <v/>
      </c>
      <c r="LO7445" t="str">
        <v/>
      </c>
    </row>
    <row r="7446" spans="326:327">
      <c r="LN7446" t="str">
        <v/>
      </c>
      <c r="LO7446" t="str">
        <v/>
      </c>
    </row>
    <row r="7447" spans="326:327">
      <c r="LN7447" t="str">
        <v/>
      </c>
      <c r="LO7447" t="str">
        <v/>
      </c>
    </row>
    <row r="7448" spans="326:327">
      <c r="LN7448" t="str">
        <v/>
      </c>
      <c r="LO7448" t="str">
        <v/>
      </c>
    </row>
    <row r="7449" spans="326:327">
      <c r="LN7449" t="str">
        <v/>
      </c>
      <c r="LO7449" t="str">
        <v/>
      </c>
    </row>
    <row r="7450" spans="326:327">
      <c r="LN7450" t="str">
        <v/>
      </c>
      <c r="LO7450" t="str">
        <v/>
      </c>
    </row>
    <row r="7451" spans="326:327">
      <c r="LN7451" t="str">
        <v/>
      </c>
      <c r="LO7451" t="str">
        <v/>
      </c>
    </row>
    <row r="7452" spans="326:327">
      <c r="LN7452" t="str">
        <v/>
      </c>
      <c r="LO7452" t="str">
        <v/>
      </c>
    </row>
    <row r="7453" spans="326:327">
      <c r="LN7453" t="str">
        <v/>
      </c>
      <c r="LO7453" t="str">
        <v/>
      </c>
    </row>
    <row r="7454" spans="326:327">
      <c r="LN7454" t="str">
        <v/>
      </c>
      <c r="LO7454" t="str">
        <v/>
      </c>
    </row>
    <row r="7455" spans="326:327">
      <c r="LN7455" t="str">
        <v/>
      </c>
      <c r="LO7455" t="str">
        <v/>
      </c>
    </row>
    <row r="7456" spans="326:327">
      <c r="LN7456" t="str">
        <v/>
      </c>
      <c r="LO7456" t="str">
        <v/>
      </c>
    </row>
    <row r="7457" spans="326:327">
      <c r="LN7457" t="str">
        <v/>
      </c>
      <c r="LO7457" t="str">
        <v/>
      </c>
    </row>
    <row r="7458" spans="326:327">
      <c r="LN7458" t="str">
        <v/>
      </c>
      <c r="LO7458" t="str">
        <v/>
      </c>
    </row>
    <row r="7459" spans="326:327">
      <c r="LN7459" t="str">
        <v/>
      </c>
      <c r="LO7459" t="str">
        <v/>
      </c>
    </row>
    <row r="7460" spans="326:327">
      <c r="LN7460" t="str">
        <v/>
      </c>
      <c r="LO7460" t="str">
        <v/>
      </c>
    </row>
    <row r="7461" spans="326:327">
      <c r="LN7461" t="str">
        <v/>
      </c>
      <c r="LO7461" t="str">
        <v/>
      </c>
    </row>
    <row r="7462" spans="326:327">
      <c r="LN7462" t="str">
        <v/>
      </c>
      <c r="LO7462" t="str">
        <v/>
      </c>
    </row>
    <row r="7463" spans="326:327">
      <c r="LN7463" t="str">
        <v/>
      </c>
      <c r="LO7463" t="str">
        <v/>
      </c>
    </row>
    <row r="7464" spans="326:327">
      <c r="LN7464" t="str">
        <v/>
      </c>
      <c r="LO7464" t="str">
        <v/>
      </c>
    </row>
    <row r="7465" spans="326:327">
      <c r="LN7465" t="str">
        <v/>
      </c>
      <c r="LO7465" t="str">
        <v/>
      </c>
    </row>
    <row r="7466" spans="326:327">
      <c r="LN7466" t="str">
        <v/>
      </c>
      <c r="LO7466" t="str">
        <v/>
      </c>
    </row>
    <row r="7467" spans="326:327">
      <c r="LN7467" t="str">
        <v/>
      </c>
      <c r="LO7467" t="str">
        <v/>
      </c>
    </row>
    <row r="7468" spans="326:327">
      <c r="LN7468" t="str">
        <v/>
      </c>
      <c r="LO7468" t="str">
        <v/>
      </c>
    </row>
    <row r="7469" spans="326:327">
      <c r="LN7469" t="str">
        <v/>
      </c>
      <c r="LO7469" t="str">
        <v/>
      </c>
    </row>
    <row r="7470" spans="326:327">
      <c r="LN7470" t="str">
        <v/>
      </c>
      <c r="LO7470" t="str">
        <v/>
      </c>
    </row>
    <row r="7471" spans="326:327">
      <c r="LN7471" t="str">
        <v/>
      </c>
      <c r="LO7471" t="str">
        <v/>
      </c>
    </row>
    <row r="7472" spans="326:327">
      <c r="LN7472" t="str">
        <v/>
      </c>
      <c r="LO7472" t="str">
        <v/>
      </c>
    </row>
    <row r="7473" spans="326:327">
      <c r="LN7473" t="str">
        <v/>
      </c>
      <c r="LO7473" t="str">
        <v/>
      </c>
    </row>
    <row r="7474" spans="326:327">
      <c r="LN7474" t="str">
        <v/>
      </c>
      <c r="LO7474" t="str">
        <v/>
      </c>
    </row>
    <row r="7475" spans="326:327">
      <c r="LN7475" t="str">
        <v/>
      </c>
      <c r="LO7475" t="str">
        <v/>
      </c>
    </row>
    <row r="7476" spans="326:327">
      <c r="LN7476" t="str">
        <v/>
      </c>
      <c r="LO7476" t="str">
        <v/>
      </c>
    </row>
    <row r="7477" spans="326:327">
      <c r="LN7477" t="str">
        <v/>
      </c>
      <c r="LO7477" t="str">
        <v/>
      </c>
    </row>
    <row r="7478" spans="326:327">
      <c r="LN7478" t="str">
        <v/>
      </c>
      <c r="LO7478" t="str">
        <v/>
      </c>
    </row>
    <row r="7479" spans="326:327">
      <c r="LN7479" t="str">
        <v/>
      </c>
      <c r="LO7479" t="str">
        <v/>
      </c>
    </row>
    <row r="7480" spans="326:327">
      <c r="LN7480" t="str">
        <v/>
      </c>
      <c r="LO7480" t="str">
        <v/>
      </c>
    </row>
    <row r="7481" spans="326:327">
      <c r="LN7481" t="str">
        <v/>
      </c>
      <c r="LO7481" t="str">
        <v/>
      </c>
    </row>
    <row r="7482" spans="326:327">
      <c r="LN7482" t="str">
        <v/>
      </c>
      <c r="LO7482" t="str">
        <v/>
      </c>
    </row>
    <row r="7483" spans="326:327">
      <c r="LN7483" t="str">
        <v/>
      </c>
      <c r="LO7483" t="str">
        <v/>
      </c>
    </row>
    <row r="7484" spans="326:327">
      <c r="LN7484" t="str">
        <v/>
      </c>
      <c r="LO7484" t="str">
        <v/>
      </c>
    </row>
    <row r="7485" spans="326:327">
      <c r="LN7485" t="str">
        <v/>
      </c>
      <c r="LO7485" t="str">
        <v/>
      </c>
    </row>
    <row r="7486" spans="326:327">
      <c r="LN7486" t="str">
        <v/>
      </c>
      <c r="LO7486" t="str">
        <v/>
      </c>
    </row>
    <row r="7487" spans="326:327">
      <c r="LN7487" t="str">
        <v/>
      </c>
      <c r="LO7487" t="str">
        <v/>
      </c>
    </row>
    <row r="7488" spans="326:327">
      <c r="LN7488" t="str">
        <v/>
      </c>
      <c r="LO7488" t="str">
        <v/>
      </c>
    </row>
    <row r="7489" spans="326:327">
      <c r="LN7489" t="str">
        <v/>
      </c>
      <c r="LO7489" t="str">
        <v/>
      </c>
    </row>
    <row r="7490" spans="326:327">
      <c r="LN7490" t="str">
        <v/>
      </c>
      <c r="LO7490" t="str">
        <v/>
      </c>
    </row>
    <row r="7491" spans="326:327">
      <c r="LN7491" t="str">
        <v/>
      </c>
      <c r="LO7491" t="str">
        <v/>
      </c>
    </row>
    <row r="7492" spans="326:327">
      <c r="LN7492" t="str">
        <v/>
      </c>
      <c r="LO7492" t="str">
        <v/>
      </c>
    </row>
    <row r="7493" spans="326:327">
      <c r="LN7493" t="str">
        <v/>
      </c>
      <c r="LO7493" t="str">
        <v/>
      </c>
    </row>
    <row r="7494" spans="326:327">
      <c r="LN7494" t="str">
        <v/>
      </c>
      <c r="LO7494" t="str">
        <v/>
      </c>
    </row>
    <row r="7495" spans="326:327">
      <c r="LN7495" t="str">
        <v/>
      </c>
      <c r="LO7495" t="str">
        <v/>
      </c>
    </row>
    <row r="7496" spans="326:327">
      <c r="LN7496" t="str">
        <v/>
      </c>
      <c r="LO7496" t="str">
        <v/>
      </c>
    </row>
    <row r="7497" spans="326:327">
      <c r="LN7497" t="str">
        <v/>
      </c>
      <c r="LO7497" t="str">
        <v/>
      </c>
    </row>
    <row r="7498" spans="326:327">
      <c r="LN7498" t="str">
        <v/>
      </c>
      <c r="LO7498" t="str">
        <v/>
      </c>
    </row>
    <row r="7499" spans="326:327">
      <c r="LN7499" t="str">
        <v/>
      </c>
      <c r="LO7499" t="str">
        <v/>
      </c>
    </row>
    <row r="7500" spans="326:327">
      <c r="LN7500" t="str">
        <v/>
      </c>
      <c r="LO7500" t="str">
        <v/>
      </c>
    </row>
    <row r="7501" spans="326:327">
      <c r="LN7501" t="str">
        <v/>
      </c>
      <c r="LO7501" t="str">
        <v/>
      </c>
    </row>
    <row r="7502" spans="326:327">
      <c r="LN7502" t="str">
        <v/>
      </c>
      <c r="LO7502" t="str">
        <v/>
      </c>
    </row>
    <row r="7503" spans="326:327">
      <c r="LN7503" t="str">
        <v/>
      </c>
      <c r="LO7503" t="str">
        <v/>
      </c>
    </row>
    <row r="7504" spans="326:327">
      <c r="LN7504" t="str">
        <v/>
      </c>
      <c r="LO7504" t="str">
        <v/>
      </c>
    </row>
    <row r="7505" spans="326:327">
      <c r="LN7505" t="str">
        <v/>
      </c>
      <c r="LO7505" t="str">
        <v/>
      </c>
    </row>
    <row r="7506" spans="326:327">
      <c r="LN7506" t="str">
        <v/>
      </c>
      <c r="LO7506" t="str">
        <v/>
      </c>
    </row>
    <row r="7507" spans="326:327">
      <c r="LN7507" t="str">
        <v/>
      </c>
      <c r="LO7507" t="str">
        <v/>
      </c>
    </row>
    <row r="7508" spans="326:327">
      <c r="LN7508" t="str">
        <v/>
      </c>
      <c r="LO7508" t="str">
        <v/>
      </c>
    </row>
    <row r="7509" spans="326:327">
      <c r="LN7509" t="str">
        <v/>
      </c>
      <c r="LO7509" t="str">
        <v/>
      </c>
    </row>
    <row r="7510" spans="326:327">
      <c r="LN7510" t="str">
        <v/>
      </c>
      <c r="LO7510" t="str">
        <v/>
      </c>
    </row>
    <row r="7511" spans="326:327">
      <c r="LN7511" t="str">
        <v/>
      </c>
      <c r="LO7511" t="str">
        <v/>
      </c>
    </row>
    <row r="7512" spans="326:327">
      <c r="LN7512" t="str">
        <v/>
      </c>
      <c r="LO7512" t="str">
        <v/>
      </c>
    </row>
    <row r="7513" spans="326:327">
      <c r="LN7513" t="str">
        <v/>
      </c>
      <c r="LO7513" t="str">
        <v/>
      </c>
    </row>
    <row r="7514" spans="326:327">
      <c r="LN7514" t="str">
        <v/>
      </c>
      <c r="LO7514" t="str">
        <v/>
      </c>
    </row>
    <row r="7515" spans="326:327">
      <c r="LN7515" t="str">
        <v/>
      </c>
      <c r="LO7515" t="str">
        <v/>
      </c>
    </row>
    <row r="7516" spans="326:327">
      <c r="LN7516" t="str">
        <v/>
      </c>
      <c r="LO7516" t="str">
        <v/>
      </c>
    </row>
    <row r="7517" spans="326:327">
      <c r="LN7517" t="str">
        <v/>
      </c>
      <c r="LO7517" t="str">
        <v/>
      </c>
    </row>
    <row r="7518" spans="326:327">
      <c r="LN7518" t="str">
        <v/>
      </c>
      <c r="LO7518" t="str">
        <v/>
      </c>
    </row>
    <row r="7519" spans="326:327">
      <c r="LN7519" t="str">
        <v/>
      </c>
      <c r="LO7519" t="str">
        <v/>
      </c>
    </row>
    <row r="7520" spans="326:327">
      <c r="LN7520" t="str">
        <v/>
      </c>
      <c r="LO7520" t="str">
        <v/>
      </c>
    </row>
    <row r="7521" spans="326:327">
      <c r="LN7521" t="str">
        <v/>
      </c>
      <c r="LO7521" t="str">
        <v/>
      </c>
    </row>
    <row r="7522" spans="326:327">
      <c r="LN7522" t="str">
        <v/>
      </c>
      <c r="LO7522" t="str">
        <v/>
      </c>
    </row>
    <row r="7523" spans="326:327">
      <c r="LN7523" t="str">
        <v/>
      </c>
      <c r="LO7523" t="str">
        <v/>
      </c>
    </row>
    <row r="7524" spans="326:327">
      <c r="LN7524" t="str">
        <v/>
      </c>
      <c r="LO7524" t="str">
        <v/>
      </c>
    </row>
    <row r="7525" spans="326:327">
      <c r="LN7525" t="str">
        <v/>
      </c>
      <c r="LO7525" t="str">
        <v/>
      </c>
    </row>
    <row r="7526" spans="326:327">
      <c r="LN7526" t="str">
        <v/>
      </c>
      <c r="LO7526" t="str">
        <v/>
      </c>
    </row>
    <row r="7527" spans="326:327">
      <c r="LN7527" t="str">
        <v/>
      </c>
      <c r="LO7527" t="str">
        <v/>
      </c>
    </row>
    <row r="7528" spans="326:327">
      <c r="LN7528" t="str">
        <v/>
      </c>
      <c r="LO7528" t="str">
        <v/>
      </c>
    </row>
    <row r="7529" spans="326:327">
      <c r="LN7529" t="str">
        <v/>
      </c>
      <c r="LO7529" t="str">
        <v/>
      </c>
    </row>
    <row r="7530" spans="326:327">
      <c r="LN7530" t="str">
        <v/>
      </c>
      <c r="LO7530" t="str">
        <v/>
      </c>
    </row>
    <row r="7531" spans="326:327">
      <c r="LN7531" t="str">
        <v/>
      </c>
      <c r="LO7531" t="str">
        <v/>
      </c>
    </row>
    <row r="7532" spans="326:327">
      <c r="LN7532" t="str">
        <v/>
      </c>
      <c r="LO7532" t="str">
        <v/>
      </c>
    </row>
    <row r="7533" spans="326:327">
      <c r="LN7533" t="str">
        <v/>
      </c>
      <c r="LO7533" t="str">
        <v/>
      </c>
    </row>
    <row r="7534" spans="326:327">
      <c r="LN7534" t="str">
        <v/>
      </c>
      <c r="LO7534" t="str">
        <v/>
      </c>
    </row>
    <row r="7535" spans="326:327">
      <c r="LN7535" t="str">
        <v/>
      </c>
      <c r="LO7535" t="str">
        <v/>
      </c>
    </row>
    <row r="7536" spans="326:327">
      <c r="LN7536" t="str">
        <v/>
      </c>
      <c r="LO7536" t="str">
        <v/>
      </c>
    </row>
    <row r="7537" spans="326:327">
      <c r="LN7537" t="str">
        <v/>
      </c>
      <c r="LO7537" t="str">
        <v/>
      </c>
    </row>
    <row r="7538" spans="326:327">
      <c r="LN7538" t="str">
        <v/>
      </c>
      <c r="LO7538" t="str">
        <v/>
      </c>
    </row>
    <row r="7539" spans="326:327">
      <c r="LN7539" t="str">
        <v/>
      </c>
      <c r="LO7539" t="str">
        <v/>
      </c>
    </row>
    <row r="7540" spans="326:327">
      <c r="LN7540" t="str">
        <v/>
      </c>
      <c r="LO7540" t="str">
        <v/>
      </c>
    </row>
    <row r="7541" spans="326:327">
      <c r="LN7541" t="str">
        <v/>
      </c>
      <c r="LO7541" t="str">
        <v/>
      </c>
    </row>
    <row r="7542" spans="326:327">
      <c r="LN7542" t="str">
        <v/>
      </c>
      <c r="LO7542" t="str">
        <v/>
      </c>
    </row>
    <row r="7543" spans="326:327">
      <c r="LN7543" t="str">
        <v/>
      </c>
      <c r="LO7543" t="str">
        <v/>
      </c>
    </row>
    <row r="7544" spans="326:327">
      <c r="LN7544" t="str">
        <v/>
      </c>
      <c r="LO7544" t="str">
        <v/>
      </c>
    </row>
    <row r="7545" spans="326:327">
      <c r="LN7545" t="str">
        <v/>
      </c>
      <c r="LO7545" t="str">
        <v/>
      </c>
    </row>
    <row r="7546" spans="326:327">
      <c r="LN7546" t="str">
        <v/>
      </c>
      <c r="LO7546" t="str">
        <v/>
      </c>
    </row>
    <row r="7547" spans="326:327">
      <c r="LN7547" t="str">
        <v/>
      </c>
      <c r="LO7547" t="str">
        <v/>
      </c>
    </row>
    <row r="7548" spans="326:327">
      <c r="LN7548" t="str">
        <v/>
      </c>
      <c r="LO7548" t="str">
        <v/>
      </c>
    </row>
    <row r="7549" spans="326:327">
      <c r="LN7549" t="str">
        <v/>
      </c>
      <c r="LO7549" t="str">
        <v/>
      </c>
    </row>
    <row r="7550" spans="326:327">
      <c r="LN7550" t="str">
        <v/>
      </c>
      <c r="LO7550" t="str">
        <v/>
      </c>
    </row>
    <row r="7551" spans="326:327">
      <c r="LN7551" t="str">
        <v/>
      </c>
      <c r="LO7551" t="str">
        <v/>
      </c>
    </row>
    <row r="7552" spans="326:327">
      <c r="LN7552" t="str">
        <v/>
      </c>
      <c r="LO7552" t="str">
        <v/>
      </c>
    </row>
    <row r="7553" spans="326:327">
      <c r="LN7553" t="str">
        <v/>
      </c>
      <c r="LO7553" t="str">
        <v/>
      </c>
    </row>
    <row r="7554" spans="326:327">
      <c r="LN7554" t="str">
        <v/>
      </c>
      <c r="LO7554" t="str">
        <v/>
      </c>
    </row>
    <row r="7555" spans="326:327">
      <c r="LN7555" t="str">
        <v/>
      </c>
      <c r="LO7555" t="str">
        <v/>
      </c>
    </row>
    <row r="7556" spans="326:327">
      <c r="LN7556" t="str">
        <v/>
      </c>
      <c r="LO7556" t="str">
        <v/>
      </c>
    </row>
    <row r="7557" spans="326:327">
      <c r="LN7557" t="str">
        <v/>
      </c>
      <c r="LO7557" t="str">
        <v/>
      </c>
    </row>
    <row r="7558" spans="326:327">
      <c r="LN7558" t="str">
        <v/>
      </c>
      <c r="LO7558" t="str">
        <v/>
      </c>
    </row>
    <row r="7559" spans="326:327">
      <c r="LN7559" t="str">
        <v/>
      </c>
      <c r="LO7559" t="str">
        <v/>
      </c>
    </row>
    <row r="7560" spans="326:327">
      <c r="LN7560" t="str">
        <v/>
      </c>
      <c r="LO7560" t="str">
        <v/>
      </c>
    </row>
    <row r="7561" spans="326:327">
      <c r="LN7561" t="str">
        <v/>
      </c>
      <c r="LO7561" t="str">
        <v/>
      </c>
    </row>
    <row r="7562" spans="326:327">
      <c r="LN7562" t="str">
        <v/>
      </c>
      <c r="LO7562" t="str">
        <v/>
      </c>
    </row>
    <row r="7563" spans="326:327">
      <c r="LN7563" t="str">
        <v/>
      </c>
      <c r="LO7563" t="str">
        <v/>
      </c>
    </row>
    <row r="7564" spans="326:327">
      <c r="LN7564" t="str">
        <v/>
      </c>
      <c r="LO7564" t="str">
        <v/>
      </c>
    </row>
    <row r="7565" spans="326:327">
      <c r="LN7565" t="str">
        <v/>
      </c>
      <c r="LO7565" t="str">
        <v/>
      </c>
    </row>
    <row r="7566" spans="326:327">
      <c r="LN7566" t="str">
        <v/>
      </c>
      <c r="LO7566" t="str">
        <v/>
      </c>
    </row>
    <row r="7567" spans="326:327">
      <c r="LN7567" t="str">
        <v/>
      </c>
      <c r="LO7567" t="str">
        <v/>
      </c>
    </row>
    <row r="7568" spans="326:327">
      <c r="LN7568" t="str">
        <v/>
      </c>
      <c r="LO7568" t="str">
        <v/>
      </c>
    </row>
    <row r="7569" spans="326:327">
      <c r="LN7569" t="str">
        <v/>
      </c>
      <c r="LO7569" t="str">
        <v/>
      </c>
    </row>
    <row r="7570" spans="326:327">
      <c r="LN7570" t="str">
        <v/>
      </c>
      <c r="LO7570" t="str">
        <v/>
      </c>
    </row>
    <row r="7571" spans="326:327">
      <c r="LN7571" t="str">
        <v/>
      </c>
      <c r="LO7571" t="str">
        <v/>
      </c>
    </row>
    <row r="7572" spans="326:327">
      <c r="LN7572" t="str">
        <v/>
      </c>
      <c r="LO7572" t="str">
        <v/>
      </c>
    </row>
    <row r="7573" spans="326:327">
      <c r="LN7573" t="str">
        <v/>
      </c>
      <c r="LO7573" t="str">
        <v/>
      </c>
    </row>
    <row r="7574" spans="326:327">
      <c r="LN7574" t="str">
        <v/>
      </c>
      <c r="LO7574" t="str">
        <v/>
      </c>
    </row>
    <row r="7575" spans="326:327">
      <c r="LN7575" t="str">
        <v/>
      </c>
      <c r="LO7575" t="str">
        <v/>
      </c>
    </row>
    <row r="7576" spans="326:327">
      <c r="LN7576" t="str">
        <v/>
      </c>
      <c r="LO7576" t="str">
        <v/>
      </c>
    </row>
    <row r="7577" spans="326:327">
      <c r="LN7577" t="str">
        <v/>
      </c>
      <c r="LO7577" t="str">
        <v/>
      </c>
    </row>
    <row r="7578" spans="326:327">
      <c r="LN7578" t="str">
        <v/>
      </c>
      <c r="LO7578" t="str">
        <v/>
      </c>
    </row>
    <row r="7579" spans="326:327">
      <c r="LN7579" t="str">
        <v/>
      </c>
      <c r="LO7579" t="str">
        <v/>
      </c>
    </row>
    <row r="7580" spans="326:327">
      <c r="LN7580" t="str">
        <v/>
      </c>
      <c r="LO7580" t="str">
        <v/>
      </c>
    </row>
    <row r="7581" spans="326:327">
      <c r="LN7581" t="str">
        <v/>
      </c>
      <c r="LO7581" t="str">
        <v/>
      </c>
    </row>
    <row r="7582" spans="326:327">
      <c r="LN7582" t="str">
        <v/>
      </c>
      <c r="LO7582" t="str">
        <v/>
      </c>
    </row>
    <row r="7583" spans="326:327">
      <c r="LN7583" t="str">
        <v/>
      </c>
      <c r="LO7583" t="str">
        <v/>
      </c>
    </row>
    <row r="7584" spans="326:327">
      <c r="LN7584" t="str">
        <v/>
      </c>
      <c r="LO7584" t="str">
        <v/>
      </c>
    </row>
    <row r="7585" spans="326:327">
      <c r="LN7585" t="str">
        <v/>
      </c>
      <c r="LO7585" t="str">
        <v/>
      </c>
    </row>
    <row r="7586" spans="326:327">
      <c r="LN7586" t="str">
        <v/>
      </c>
      <c r="LO7586" t="str">
        <v/>
      </c>
    </row>
    <row r="7587" spans="326:327">
      <c r="LN7587" t="str">
        <v/>
      </c>
      <c r="LO7587" t="str">
        <v/>
      </c>
    </row>
    <row r="7588" spans="326:327">
      <c r="LN7588" t="str">
        <v/>
      </c>
      <c r="LO7588" t="str">
        <v/>
      </c>
    </row>
    <row r="7589" spans="326:327">
      <c r="LN7589" t="str">
        <v/>
      </c>
      <c r="LO7589" t="str">
        <v/>
      </c>
    </row>
    <row r="7590" spans="326:327">
      <c r="LN7590" t="str">
        <v/>
      </c>
      <c r="LO7590" t="str">
        <v/>
      </c>
    </row>
    <row r="7591" spans="326:327">
      <c r="LN7591" t="str">
        <v/>
      </c>
      <c r="LO7591" t="str">
        <v/>
      </c>
    </row>
    <row r="7592" spans="326:327">
      <c r="LN7592" t="str">
        <v/>
      </c>
      <c r="LO7592" t="str">
        <v/>
      </c>
    </row>
    <row r="7593" spans="326:327">
      <c r="LN7593" t="str">
        <v/>
      </c>
      <c r="LO7593" t="str">
        <v/>
      </c>
    </row>
    <row r="7594" spans="326:327">
      <c r="LN7594" t="str">
        <v/>
      </c>
      <c r="LO7594" t="str">
        <v/>
      </c>
    </row>
    <row r="7595" spans="326:327">
      <c r="LN7595" t="str">
        <v/>
      </c>
      <c r="LO7595" t="str">
        <v/>
      </c>
    </row>
    <row r="7596" spans="326:327">
      <c r="LN7596" t="str">
        <v/>
      </c>
      <c r="LO7596" t="str">
        <v/>
      </c>
    </row>
    <row r="7597" spans="326:327">
      <c r="LN7597" t="str">
        <v/>
      </c>
      <c r="LO7597" t="str">
        <v/>
      </c>
    </row>
    <row r="7598" spans="326:327">
      <c r="LN7598" t="str">
        <v/>
      </c>
      <c r="LO7598" t="str">
        <v/>
      </c>
    </row>
    <row r="7599" spans="326:327">
      <c r="LN7599" t="str">
        <v/>
      </c>
      <c r="LO7599" t="str">
        <v/>
      </c>
    </row>
    <row r="7600" spans="326:327">
      <c r="LN7600" t="str">
        <v/>
      </c>
      <c r="LO7600" t="str">
        <v/>
      </c>
    </row>
    <row r="7601" spans="326:327">
      <c r="LN7601" t="str">
        <v/>
      </c>
      <c r="LO7601" t="str">
        <v/>
      </c>
    </row>
    <row r="7602" spans="326:327">
      <c r="LN7602" t="str">
        <v/>
      </c>
      <c r="LO7602" t="str">
        <v/>
      </c>
    </row>
    <row r="7603" spans="326:327">
      <c r="LN7603" t="str">
        <v/>
      </c>
      <c r="LO7603" t="str">
        <v/>
      </c>
    </row>
    <row r="7604" spans="326:327">
      <c r="LN7604" t="str">
        <v/>
      </c>
      <c r="LO7604" t="str">
        <v/>
      </c>
    </row>
    <row r="7605" spans="326:327">
      <c r="LN7605" t="str">
        <v/>
      </c>
      <c r="LO7605" t="str">
        <v/>
      </c>
    </row>
    <row r="7606" spans="326:327">
      <c r="LN7606" t="str">
        <v/>
      </c>
      <c r="LO7606" t="str">
        <v/>
      </c>
    </row>
    <row r="7607" spans="326:327">
      <c r="LN7607" t="str">
        <v/>
      </c>
      <c r="LO7607" t="str">
        <v/>
      </c>
    </row>
    <row r="7608" spans="326:327">
      <c r="LN7608" t="str">
        <v/>
      </c>
      <c r="LO7608" t="str">
        <v/>
      </c>
    </row>
    <row r="7609" spans="326:327">
      <c r="LN7609" t="str">
        <v/>
      </c>
      <c r="LO7609" t="str">
        <v/>
      </c>
    </row>
    <row r="7610" spans="326:327">
      <c r="LN7610" t="str">
        <v/>
      </c>
      <c r="LO7610" t="str">
        <v/>
      </c>
    </row>
    <row r="7611" spans="326:327">
      <c r="LN7611" t="str">
        <v/>
      </c>
      <c r="LO7611" t="str">
        <v/>
      </c>
    </row>
    <row r="7612" spans="326:327">
      <c r="LN7612" t="str">
        <v/>
      </c>
      <c r="LO7612" t="str">
        <v/>
      </c>
    </row>
    <row r="7613" spans="326:327">
      <c r="LN7613" t="str">
        <v/>
      </c>
      <c r="LO7613" t="str">
        <v/>
      </c>
    </row>
    <row r="7614" spans="326:327">
      <c r="LN7614" t="str">
        <v/>
      </c>
      <c r="LO7614" t="str">
        <v/>
      </c>
    </row>
    <row r="7615" spans="326:327">
      <c r="LN7615" t="str">
        <v/>
      </c>
      <c r="LO7615" t="str">
        <v/>
      </c>
    </row>
    <row r="7616" spans="326:327">
      <c r="LN7616" t="str">
        <v/>
      </c>
      <c r="LO7616" t="str">
        <v/>
      </c>
    </row>
    <row r="7617" spans="326:327">
      <c r="LN7617" t="str">
        <v/>
      </c>
      <c r="LO7617" t="str">
        <v/>
      </c>
    </row>
    <row r="7618" spans="326:327">
      <c r="LN7618" t="str">
        <v/>
      </c>
      <c r="LO7618" t="str">
        <v/>
      </c>
    </row>
    <row r="7619" spans="326:327">
      <c r="LN7619" t="str">
        <v/>
      </c>
      <c r="LO7619" t="str">
        <v/>
      </c>
    </row>
    <row r="7620" spans="326:327">
      <c r="LN7620" t="str">
        <v/>
      </c>
      <c r="LO7620" t="str">
        <v/>
      </c>
    </row>
    <row r="7621" spans="326:327">
      <c r="LN7621" t="str">
        <v/>
      </c>
      <c r="LO7621" t="str">
        <v/>
      </c>
    </row>
    <row r="7622" spans="326:327">
      <c r="LN7622" t="str">
        <v/>
      </c>
      <c r="LO7622" t="str">
        <v/>
      </c>
    </row>
    <row r="7623" spans="326:327">
      <c r="LN7623" t="str">
        <v/>
      </c>
      <c r="LO7623" t="str">
        <v/>
      </c>
    </row>
    <row r="7624" spans="326:327">
      <c r="LN7624" t="str">
        <v/>
      </c>
      <c r="LO7624" t="str">
        <v/>
      </c>
    </row>
    <row r="7625" spans="326:327">
      <c r="LN7625" t="str">
        <v/>
      </c>
      <c r="LO7625" t="str">
        <v/>
      </c>
    </row>
    <row r="7626" spans="326:327">
      <c r="LN7626" t="str">
        <v/>
      </c>
      <c r="LO7626" t="str">
        <v/>
      </c>
    </row>
    <row r="7627" spans="326:327">
      <c r="LN7627" t="str">
        <v/>
      </c>
      <c r="LO7627" t="str">
        <v/>
      </c>
    </row>
    <row r="7628" spans="326:327">
      <c r="LN7628" t="str">
        <v/>
      </c>
      <c r="LO7628" t="str">
        <v/>
      </c>
    </row>
    <row r="7629" spans="326:327">
      <c r="LN7629" t="str">
        <v/>
      </c>
      <c r="LO7629" t="str">
        <v/>
      </c>
    </row>
    <row r="7630" spans="326:327">
      <c r="LN7630" t="str">
        <v/>
      </c>
      <c r="LO7630" t="str">
        <v/>
      </c>
    </row>
    <row r="7631" spans="326:327">
      <c r="LN7631" t="str">
        <v/>
      </c>
      <c r="LO7631" t="str">
        <v/>
      </c>
    </row>
    <row r="7632" spans="326:327">
      <c r="LN7632" t="str">
        <v/>
      </c>
      <c r="LO7632" t="str">
        <v/>
      </c>
    </row>
    <row r="7633" spans="326:327">
      <c r="LN7633" t="str">
        <v/>
      </c>
      <c r="LO7633" t="str">
        <v/>
      </c>
    </row>
    <row r="7634" spans="326:327">
      <c r="LN7634" t="str">
        <v/>
      </c>
      <c r="LO7634" t="str">
        <v/>
      </c>
    </row>
    <row r="7635" spans="326:327">
      <c r="LN7635" t="str">
        <v/>
      </c>
      <c r="LO7635" t="str">
        <v/>
      </c>
    </row>
    <row r="7636" spans="326:327">
      <c r="LN7636" t="str">
        <v/>
      </c>
      <c r="LO7636" t="str">
        <v/>
      </c>
    </row>
    <row r="7637" spans="326:327">
      <c r="LN7637" t="str">
        <v/>
      </c>
      <c r="LO7637" t="str">
        <v/>
      </c>
    </row>
    <row r="7638" spans="326:327">
      <c r="LN7638" t="str">
        <v/>
      </c>
      <c r="LO7638" t="str">
        <v/>
      </c>
    </row>
    <row r="7639" spans="326:327">
      <c r="LN7639" t="str">
        <v/>
      </c>
      <c r="LO7639" t="str">
        <v/>
      </c>
    </row>
    <row r="7640" spans="326:327">
      <c r="LN7640" t="str">
        <v/>
      </c>
      <c r="LO7640" t="str">
        <v/>
      </c>
    </row>
    <row r="7641" spans="326:327">
      <c r="LN7641" t="str">
        <v/>
      </c>
      <c r="LO7641" t="str">
        <v/>
      </c>
    </row>
    <row r="7642" spans="326:327">
      <c r="LN7642" t="str">
        <v/>
      </c>
      <c r="LO7642" t="str">
        <v/>
      </c>
    </row>
    <row r="7643" spans="326:327">
      <c r="LN7643" t="str">
        <v/>
      </c>
      <c r="LO7643" t="str">
        <v/>
      </c>
    </row>
    <row r="7644" spans="326:327">
      <c r="LN7644" t="str">
        <v/>
      </c>
      <c r="LO7644" t="str">
        <v/>
      </c>
    </row>
    <row r="7645" spans="326:327">
      <c r="LN7645" t="str">
        <v/>
      </c>
      <c r="LO7645" t="str">
        <v/>
      </c>
    </row>
    <row r="7646" spans="326:327">
      <c r="LN7646" t="str">
        <v/>
      </c>
      <c r="LO7646" t="str">
        <v/>
      </c>
    </row>
    <row r="7647" spans="326:327">
      <c r="LN7647" t="str">
        <v/>
      </c>
      <c r="LO7647" t="str">
        <v/>
      </c>
    </row>
    <row r="7648" spans="326:327">
      <c r="LN7648" t="str">
        <v/>
      </c>
      <c r="LO7648" t="str">
        <v/>
      </c>
    </row>
    <row r="7649" spans="326:327">
      <c r="LN7649" t="str">
        <v/>
      </c>
      <c r="LO7649" t="str">
        <v/>
      </c>
    </row>
    <row r="7650" spans="326:327">
      <c r="LN7650" t="str">
        <v/>
      </c>
      <c r="LO7650" t="str">
        <v/>
      </c>
    </row>
    <row r="7651" spans="326:327">
      <c r="LN7651" t="str">
        <v/>
      </c>
      <c r="LO7651" t="str">
        <v/>
      </c>
    </row>
    <row r="7652" spans="326:327">
      <c r="LN7652" t="str">
        <v/>
      </c>
      <c r="LO7652" t="str">
        <v/>
      </c>
    </row>
    <row r="7653" spans="326:327">
      <c r="LN7653" t="str">
        <v/>
      </c>
      <c r="LO7653" t="str">
        <v/>
      </c>
    </row>
    <row r="7654" spans="326:327">
      <c r="LN7654" t="str">
        <v/>
      </c>
      <c r="LO7654" t="str">
        <v/>
      </c>
    </row>
    <row r="7655" spans="326:327">
      <c r="LN7655" t="str">
        <v/>
      </c>
      <c r="LO7655" t="str">
        <v/>
      </c>
    </row>
    <row r="7656" spans="326:327">
      <c r="LN7656" t="str">
        <v/>
      </c>
      <c r="LO7656" t="str">
        <v/>
      </c>
    </row>
    <row r="7657" spans="326:327">
      <c r="LN7657" t="str">
        <v/>
      </c>
      <c r="LO7657" t="str">
        <v/>
      </c>
    </row>
    <row r="7658" spans="326:327">
      <c r="LN7658" t="str">
        <v/>
      </c>
      <c r="LO7658" t="str">
        <v/>
      </c>
    </row>
    <row r="7659" spans="326:327">
      <c r="LN7659" t="str">
        <v/>
      </c>
      <c r="LO7659" t="str">
        <v/>
      </c>
    </row>
    <row r="7660" spans="326:327">
      <c r="LN7660" t="str">
        <v/>
      </c>
      <c r="LO7660" t="str">
        <v/>
      </c>
    </row>
    <row r="7661" spans="326:327">
      <c r="LN7661" t="str">
        <v/>
      </c>
      <c r="LO7661" t="str">
        <v/>
      </c>
    </row>
    <row r="7662" spans="326:327">
      <c r="LN7662" t="str">
        <v/>
      </c>
      <c r="LO7662" t="str">
        <v/>
      </c>
    </row>
    <row r="7663" spans="326:327">
      <c r="LN7663" t="str">
        <v/>
      </c>
      <c r="LO7663" t="str">
        <v/>
      </c>
    </row>
    <row r="7664" spans="326:327">
      <c r="LN7664" t="str">
        <v/>
      </c>
      <c r="LO7664" t="str">
        <v/>
      </c>
    </row>
    <row r="7665" spans="326:327">
      <c r="LN7665" t="str">
        <v/>
      </c>
      <c r="LO7665" t="str">
        <v/>
      </c>
    </row>
    <row r="7666" spans="326:327">
      <c r="LN7666" t="str">
        <v/>
      </c>
      <c r="LO7666" t="str">
        <v/>
      </c>
    </row>
    <row r="7667" spans="326:327">
      <c r="LN7667" t="str">
        <v/>
      </c>
      <c r="LO7667" t="str">
        <v/>
      </c>
    </row>
    <row r="7668" spans="326:327">
      <c r="LN7668" t="str">
        <v/>
      </c>
      <c r="LO7668" t="str">
        <v/>
      </c>
    </row>
    <row r="7669" spans="326:327">
      <c r="LN7669" t="str">
        <v/>
      </c>
      <c r="LO7669" t="str">
        <v/>
      </c>
    </row>
    <row r="7670" spans="326:327">
      <c r="LN7670" t="str">
        <v/>
      </c>
      <c r="LO7670" t="str">
        <v/>
      </c>
    </row>
    <row r="7671" spans="326:327">
      <c r="LN7671" t="str">
        <v/>
      </c>
      <c r="LO7671" t="str">
        <v/>
      </c>
    </row>
    <row r="7672" spans="326:327">
      <c r="LN7672" t="str">
        <v/>
      </c>
      <c r="LO7672" t="str">
        <v/>
      </c>
    </row>
    <row r="7673" spans="326:327">
      <c r="LN7673" t="str">
        <v/>
      </c>
      <c r="LO7673" t="str">
        <v/>
      </c>
    </row>
    <row r="7674" spans="326:327">
      <c r="LN7674" t="str">
        <v/>
      </c>
      <c r="LO7674" t="str">
        <v/>
      </c>
    </row>
    <row r="7675" spans="326:327">
      <c r="LN7675" t="str">
        <v/>
      </c>
      <c r="LO7675" t="str">
        <v/>
      </c>
    </row>
    <row r="7676" spans="326:327">
      <c r="LN7676" t="str">
        <v/>
      </c>
      <c r="LO7676" t="str">
        <v/>
      </c>
    </row>
    <row r="7677" spans="326:327">
      <c r="LN7677" t="str">
        <v/>
      </c>
      <c r="LO7677" t="str">
        <v/>
      </c>
    </row>
    <row r="7678" spans="326:327">
      <c r="LN7678" t="str">
        <v/>
      </c>
      <c r="LO7678" t="str">
        <v/>
      </c>
    </row>
    <row r="7679" spans="326:327">
      <c r="LN7679" t="str">
        <v/>
      </c>
      <c r="LO7679" t="str">
        <v/>
      </c>
    </row>
    <row r="7680" spans="326:327">
      <c r="LN7680" t="str">
        <v/>
      </c>
      <c r="LO7680" t="str">
        <v/>
      </c>
    </row>
    <row r="7681" spans="326:327">
      <c r="LN7681" t="str">
        <v/>
      </c>
      <c r="LO7681" t="str">
        <v/>
      </c>
    </row>
    <row r="7682" spans="326:327">
      <c r="LN7682" t="str">
        <v/>
      </c>
      <c r="LO7682" t="str">
        <v/>
      </c>
    </row>
    <row r="7683" spans="326:327">
      <c r="LN7683" t="str">
        <v/>
      </c>
      <c r="LO7683" t="str">
        <v/>
      </c>
    </row>
    <row r="7684" spans="326:327">
      <c r="LN7684" t="str">
        <v/>
      </c>
      <c r="LO7684" t="str">
        <v/>
      </c>
    </row>
    <row r="7685" spans="326:327">
      <c r="LN7685" t="str">
        <v/>
      </c>
      <c r="LO7685" t="str">
        <v/>
      </c>
    </row>
    <row r="7686" spans="326:327">
      <c r="LN7686" t="str">
        <v/>
      </c>
      <c r="LO7686" t="str">
        <v/>
      </c>
    </row>
    <row r="7687" spans="326:327">
      <c r="LN7687" t="str">
        <v/>
      </c>
      <c r="LO7687" t="str">
        <v/>
      </c>
    </row>
    <row r="7688" spans="326:327">
      <c r="LN7688" t="str">
        <v/>
      </c>
      <c r="LO7688" t="str">
        <v/>
      </c>
    </row>
    <row r="7689" spans="326:327">
      <c r="LN7689" t="str">
        <v/>
      </c>
      <c r="LO7689" t="str">
        <v/>
      </c>
    </row>
    <row r="7690" spans="326:327">
      <c r="LN7690" t="str">
        <v/>
      </c>
      <c r="LO7690" t="str">
        <v/>
      </c>
    </row>
    <row r="7691" spans="326:327">
      <c r="LN7691" t="str">
        <v/>
      </c>
      <c r="LO7691" t="str">
        <v/>
      </c>
    </row>
    <row r="7692" spans="326:327">
      <c r="LN7692" t="str">
        <v/>
      </c>
      <c r="LO7692" t="str">
        <v/>
      </c>
    </row>
    <row r="7693" spans="326:327">
      <c r="LN7693" t="str">
        <v/>
      </c>
      <c r="LO7693" t="str">
        <v/>
      </c>
    </row>
    <row r="7694" spans="326:327">
      <c r="LN7694" t="str">
        <v/>
      </c>
      <c r="LO7694" t="str">
        <v/>
      </c>
    </row>
    <row r="7695" spans="326:327">
      <c r="LN7695" t="str">
        <v/>
      </c>
      <c r="LO7695" t="str">
        <v/>
      </c>
    </row>
    <row r="7696" spans="326:327">
      <c r="LN7696" t="str">
        <v/>
      </c>
      <c r="LO7696" t="str">
        <v/>
      </c>
    </row>
    <row r="7697" spans="326:327">
      <c r="LN7697" t="str">
        <v/>
      </c>
      <c r="LO7697" t="str">
        <v/>
      </c>
    </row>
    <row r="7698" spans="326:327">
      <c r="LN7698" t="str">
        <v/>
      </c>
      <c r="LO7698" t="str">
        <v/>
      </c>
    </row>
    <row r="7699" spans="326:327">
      <c r="LN7699" t="str">
        <v/>
      </c>
      <c r="LO7699" t="str">
        <v/>
      </c>
    </row>
    <row r="7700" spans="326:327">
      <c r="LN7700" t="str">
        <v/>
      </c>
      <c r="LO7700" t="str">
        <v/>
      </c>
    </row>
    <row r="7701" spans="326:327">
      <c r="LN7701" t="str">
        <v/>
      </c>
      <c r="LO7701" t="str">
        <v/>
      </c>
    </row>
    <row r="7702" spans="326:327">
      <c r="LN7702" t="str">
        <v/>
      </c>
      <c r="LO7702" t="str">
        <v/>
      </c>
    </row>
    <row r="7703" spans="326:327">
      <c r="LN7703" t="str">
        <v/>
      </c>
      <c r="LO7703" t="str">
        <v/>
      </c>
    </row>
    <row r="7704" spans="326:327">
      <c r="LN7704" t="str">
        <v/>
      </c>
      <c r="LO7704" t="str">
        <v/>
      </c>
    </row>
    <row r="7705" spans="326:327">
      <c r="LN7705" t="str">
        <v/>
      </c>
      <c r="LO7705" t="str">
        <v/>
      </c>
    </row>
    <row r="7706" spans="326:327">
      <c r="LN7706" t="str">
        <v/>
      </c>
      <c r="LO7706" t="str">
        <v/>
      </c>
    </row>
    <row r="7707" spans="326:327">
      <c r="LN7707" t="str">
        <v/>
      </c>
      <c r="LO7707" t="str">
        <v/>
      </c>
    </row>
    <row r="7708" spans="326:327">
      <c r="LN7708" t="str">
        <v/>
      </c>
      <c r="LO7708" t="str">
        <v/>
      </c>
    </row>
    <row r="7709" spans="326:327">
      <c r="LN7709" t="str">
        <v/>
      </c>
      <c r="LO7709" t="str">
        <v/>
      </c>
    </row>
    <row r="7710" spans="326:327">
      <c r="LN7710" t="str">
        <v/>
      </c>
      <c r="LO7710" t="str">
        <v/>
      </c>
    </row>
    <row r="7711" spans="326:327">
      <c r="LN7711" t="str">
        <v/>
      </c>
      <c r="LO7711" t="str">
        <v/>
      </c>
    </row>
    <row r="7712" spans="326:327">
      <c r="LN7712" t="str">
        <v/>
      </c>
      <c r="LO7712" t="str">
        <v/>
      </c>
    </row>
    <row r="7713" spans="326:327">
      <c r="LN7713" t="str">
        <v/>
      </c>
      <c r="LO7713" t="str">
        <v/>
      </c>
    </row>
    <row r="7714" spans="326:327">
      <c r="LN7714" t="str">
        <v/>
      </c>
      <c r="LO7714" t="str">
        <v/>
      </c>
    </row>
    <row r="7715" spans="326:327">
      <c r="LN7715" t="str">
        <v/>
      </c>
      <c r="LO7715" t="str">
        <v/>
      </c>
    </row>
    <row r="7716" spans="326:327">
      <c r="LN7716" t="str">
        <v/>
      </c>
      <c r="LO7716" t="str">
        <v/>
      </c>
    </row>
    <row r="7717" spans="326:327">
      <c r="LN7717" t="str">
        <v/>
      </c>
      <c r="LO7717" t="str">
        <v/>
      </c>
    </row>
    <row r="7718" spans="326:327">
      <c r="LN7718" t="str">
        <v/>
      </c>
      <c r="LO7718" t="str">
        <v/>
      </c>
    </row>
    <row r="7719" spans="326:327">
      <c r="LN7719" t="str">
        <v/>
      </c>
      <c r="LO7719" t="str">
        <v/>
      </c>
    </row>
    <row r="7720" spans="326:327">
      <c r="LN7720" t="str">
        <v/>
      </c>
      <c r="LO7720" t="str">
        <v/>
      </c>
    </row>
    <row r="7721" spans="326:327">
      <c r="LN7721" t="str">
        <v/>
      </c>
      <c r="LO7721" t="str">
        <v/>
      </c>
    </row>
    <row r="7722" spans="326:327">
      <c r="LN7722" t="str">
        <v/>
      </c>
      <c r="LO7722" t="str">
        <v/>
      </c>
    </row>
    <row r="7723" spans="326:327">
      <c r="LN7723" t="str">
        <v/>
      </c>
      <c r="LO7723" t="str">
        <v/>
      </c>
    </row>
    <row r="7724" spans="326:327">
      <c r="LN7724" t="str">
        <v/>
      </c>
      <c r="LO7724" t="str">
        <v/>
      </c>
    </row>
    <row r="7725" spans="326:327">
      <c r="LN7725" t="str">
        <v/>
      </c>
      <c r="LO7725" t="str">
        <v/>
      </c>
    </row>
    <row r="7726" spans="326:327">
      <c r="LN7726" t="str">
        <v/>
      </c>
      <c r="LO7726" t="str">
        <v/>
      </c>
    </row>
    <row r="7727" spans="326:327">
      <c r="LN7727" t="str">
        <v/>
      </c>
      <c r="LO7727" t="str">
        <v/>
      </c>
    </row>
    <row r="7728" spans="326:327">
      <c r="LN7728" t="str">
        <v/>
      </c>
      <c r="LO7728" t="str">
        <v/>
      </c>
    </row>
    <row r="7729" spans="326:327">
      <c r="LN7729" t="str">
        <v/>
      </c>
      <c r="LO7729" t="str">
        <v/>
      </c>
    </row>
    <row r="7730" spans="326:327">
      <c r="LN7730" t="str">
        <v/>
      </c>
      <c r="LO7730" t="str">
        <v/>
      </c>
    </row>
    <row r="7731" spans="326:327">
      <c r="LN7731" t="str">
        <v/>
      </c>
      <c r="LO7731" t="str">
        <v/>
      </c>
    </row>
    <row r="7732" spans="326:327">
      <c r="LN7732" t="str">
        <v/>
      </c>
      <c r="LO7732" t="str">
        <v/>
      </c>
    </row>
    <row r="7733" spans="326:327">
      <c r="LN7733" t="str">
        <v/>
      </c>
      <c r="LO7733" t="str">
        <v/>
      </c>
    </row>
    <row r="7734" spans="326:327">
      <c r="LN7734" t="str">
        <v/>
      </c>
      <c r="LO7734" t="str">
        <v/>
      </c>
    </row>
    <row r="7735" spans="326:327">
      <c r="LN7735" t="str">
        <v/>
      </c>
      <c r="LO7735" t="str">
        <v/>
      </c>
    </row>
    <row r="7736" spans="326:327">
      <c r="LN7736" t="str">
        <v/>
      </c>
      <c r="LO7736" t="str">
        <v/>
      </c>
    </row>
    <row r="7737" spans="326:327">
      <c r="LN7737" t="str">
        <v/>
      </c>
      <c r="LO7737" t="str">
        <v/>
      </c>
    </row>
    <row r="7738" spans="326:327">
      <c r="LN7738" t="str">
        <v/>
      </c>
      <c r="LO7738" t="str">
        <v/>
      </c>
    </row>
    <row r="7739" spans="326:327">
      <c r="LN7739" t="str">
        <v/>
      </c>
      <c r="LO7739" t="str">
        <v/>
      </c>
    </row>
    <row r="7740" spans="326:327">
      <c r="LN7740" t="str">
        <v/>
      </c>
      <c r="LO7740" t="str">
        <v/>
      </c>
    </row>
    <row r="7741" spans="326:327">
      <c r="LN7741" t="str">
        <v/>
      </c>
      <c r="LO7741" t="str">
        <v/>
      </c>
    </row>
    <row r="7742" spans="326:327">
      <c r="LN7742" t="str">
        <v/>
      </c>
      <c r="LO7742" t="str">
        <v/>
      </c>
    </row>
    <row r="7743" spans="326:327">
      <c r="LN7743" t="str">
        <v/>
      </c>
      <c r="LO7743" t="str">
        <v/>
      </c>
    </row>
    <row r="7744" spans="326:327">
      <c r="LN7744" t="str">
        <v/>
      </c>
      <c r="LO7744" t="str">
        <v/>
      </c>
    </row>
    <row r="7745" spans="326:327">
      <c r="LN7745" t="str">
        <v/>
      </c>
      <c r="LO7745" t="str">
        <v/>
      </c>
    </row>
    <row r="7746" spans="326:327">
      <c r="LN7746" t="str">
        <v/>
      </c>
      <c r="LO7746" t="str">
        <v/>
      </c>
    </row>
    <row r="7747" spans="326:327">
      <c r="LN7747" t="str">
        <v/>
      </c>
      <c r="LO7747" t="str">
        <v/>
      </c>
    </row>
    <row r="7748" spans="326:327">
      <c r="LN7748" t="str">
        <v/>
      </c>
      <c r="LO7748" t="str">
        <v/>
      </c>
    </row>
    <row r="7749" spans="326:327">
      <c r="LN7749" t="str">
        <v/>
      </c>
      <c r="LO7749" t="str">
        <v/>
      </c>
    </row>
    <row r="7750" spans="326:327">
      <c r="LN7750" t="str">
        <v/>
      </c>
      <c r="LO7750" t="str">
        <v/>
      </c>
    </row>
    <row r="7751" spans="326:327">
      <c r="LN7751" t="str">
        <v/>
      </c>
      <c r="LO7751" t="str">
        <v/>
      </c>
    </row>
    <row r="7752" spans="326:327">
      <c r="LN7752" t="str">
        <v/>
      </c>
      <c r="LO7752" t="str">
        <v/>
      </c>
    </row>
    <row r="7753" spans="326:327">
      <c r="LN7753" t="str">
        <v/>
      </c>
      <c r="LO7753" t="str">
        <v/>
      </c>
    </row>
    <row r="7754" spans="326:327">
      <c r="LN7754" t="str">
        <v/>
      </c>
      <c r="LO7754" t="str">
        <v/>
      </c>
    </row>
    <row r="7755" spans="326:327">
      <c r="LN7755" t="str">
        <v/>
      </c>
      <c r="LO7755" t="str">
        <v/>
      </c>
    </row>
    <row r="7756" spans="326:327">
      <c r="LN7756" t="str">
        <v/>
      </c>
      <c r="LO7756" t="str">
        <v/>
      </c>
    </row>
    <row r="7757" spans="326:327">
      <c r="LN7757" t="str">
        <v/>
      </c>
      <c r="LO7757" t="str">
        <v/>
      </c>
    </row>
    <row r="7758" spans="326:327">
      <c r="LN7758" t="str">
        <v/>
      </c>
      <c r="LO7758" t="str">
        <v/>
      </c>
    </row>
    <row r="7759" spans="326:327">
      <c r="LN7759" t="str">
        <v/>
      </c>
      <c r="LO7759" t="str">
        <v/>
      </c>
    </row>
    <row r="7760" spans="326:327">
      <c r="LN7760" t="str">
        <v/>
      </c>
      <c r="LO7760" t="str">
        <v/>
      </c>
    </row>
    <row r="7761" spans="326:327">
      <c r="LN7761" t="str">
        <v/>
      </c>
      <c r="LO7761" t="str">
        <v/>
      </c>
    </row>
    <row r="7762" spans="326:327">
      <c r="LN7762" t="str">
        <v/>
      </c>
      <c r="LO7762" t="str">
        <v/>
      </c>
    </row>
    <row r="7763" spans="326:327">
      <c r="LN7763" t="str">
        <v/>
      </c>
      <c r="LO7763" t="str">
        <v/>
      </c>
    </row>
    <row r="7764" spans="326:327">
      <c r="LN7764" t="str">
        <v/>
      </c>
      <c r="LO7764" t="str">
        <v/>
      </c>
    </row>
    <row r="7765" spans="326:327">
      <c r="LN7765" t="str">
        <v/>
      </c>
      <c r="LO7765" t="str">
        <v/>
      </c>
    </row>
    <row r="7766" spans="326:327">
      <c r="LN7766" t="str">
        <v/>
      </c>
      <c r="LO7766" t="str">
        <v/>
      </c>
    </row>
    <row r="7767" spans="326:327">
      <c r="LN7767" t="str">
        <v/>
      </c>
      <c r="LO7767" t="str">
        <v/>
      </c>
    </row>
    <row r="7768" spans="326:327">
      <c r="LN7768" t="str">
        <v/>
      </c>
      <c r="LO7768" t="str">
        <v/>
      </c>
    </row>
    <row r="7769" spans="326:327">
      <c r="LN7769" t="str">
        <v/>
      </c>
      <c r="LO7769" t="str">
        <v/>
      </c>
    </row>
    <row r="7770" spans="326:327">
      <c r="LN7770" t="str">
        <v/>
      </c>
      <c r="LO7770" t="str">
        <v/>
      </c>
    </row>
    <row r="7771" spans="326:327">
      <c r="LN7771" t="str">
        <v/>
      </c>
      <c r="LO7771" t="str">
        <v/>
      </c>
    </row>
    <row r="7772" spans="326:327">
      <c r="LN7772" t="str">
        <v/>
      </c>
      <c r="LO7772" t="str">
        <v/>
      </c>
    </row>
    <row r="7773" spans="326:327">
      <c r="LN7773" t="str">
        <v/>
      </c>
      <c r="LO7773" t="str">
        <v/>
      </c>
    </row>
    <row r="7774" spans="326:327">
      <c r="LN7774" t="str">
        <v/>
      </c>
      <c r="LO7774" t="str">
        <v/>
      </c>
    </row>
    <row r="7775" spans="326:327">
      <c r="LN7775" t="str">
        <v/>
      </c>
      <c r="LO7775" t="str">
        <v/>
      </c>
    </row>
    <row r="7776" spans="326:327">
      <c r="LN7776" t="str">
        <v/>
      </c>
      <c r="LO7776" t="str">
        <v/>
      </c>
    </row>
    <row r="7777" spans="326:327">
      <c r="LN7777" t="str">
        <v/>
      </c>
      <c r="LO7777" t="str">
        <v/>
      </c>
    </row>
    <row r="7778" spans="326:327">
      <c r="LN7778" t="str">
        <v/>
      </c>
      <c r="LO7778" t="str">
        <v/>
      </c>
    </row>
    <row r="7779" spans="326:327">
      <c r="LN7779" t="str">
        <v/>
      </c>
      <c r="LO7779" t="str">
        <v/>
      </c>
    </row>
    <row r="7780" spans="326:327">
      <c r="LN7780" t="str">
        <v/>
      </c>
      <c r="LO7780" t="str">
        <v/>
      </c>
    </row>
    <row r="7781" spans="326:327">
      <c r="LN7781" t="str">
        <v/>
      </c>
      <c r="LO7781" t="str">
        <v/>
      </c>
    </row>
    <row r="7782" spans="326:327">
      <c r="LN7782" t="str">
        <v/>
      </c>
      <c r="LO7782" t="str">
        <v/>
      </c>
    </row>
    <row r="7783" spans="326:327">
      <c r="LN7783" t="str">
        <v/>
      </c>
      <c r="LO7783" t="str">
        <v/>
      </c>
    </row>
    <row r="7784" spans="326:327">
      <c r="LN7784" t="str">
        <v/>
      </c>
      <c r="LO7784" t="str">
        <v/>
      </c>
    </row>
    <row r="7785" spans="326:327">
      <c r="LN7785" t="str">
        <v/>
      </c>
      <c r="LO7785" t="str">
        <v/>
      </c>
    </row>
    <row r="7786" spans="326:327">
      <c r="LN7786" t="str">
        <v/>
      </c>
      <c r="LO7786" t="str">
        <v/>
      </c>
    </row>
    <row r="7787" spans="326:327">
      <c r="LN7787" t="str">
        <v/>
      </c>
      <c r="LO7787" t="str">
        <v/>
      </c>
    </row>
    <row r="7788" spans="326:327">
      <c r="LN7788" t="str">
        <v/>
      </c>
      <c r="LO7788" t="str">
        <v/>
      </c>
    </row>
    <row r="7789" spans="326:327">
      <c r="LN7789" t="str">
        <v/>
      </c>
      <c r="LO7789" t="str">
        <v/>
      </c>
    </row>
    <row r="7790" spans="326:327">
      <c r="LN7790" t="str">
        <v/>
      </c>
      <c r="LO7790" t="str">
        <v/>
      </c>
    </row>
    <row r="7791" spans="326:327">
      <c r="LN7791" t="str">
        <v/>
      </c>
      <c r="LO7791" t="str">
        <v/>
      </c>
    </row>
    <row r="7792" spans="326:327">
      <c r="LN7792" t="str">
        <v/>
      </c>
      <c r="LO7792" t="str">
        <v/>
      </c>
    </row>
    <row r="7793" spans="326:327">
      <c r="LN7793" t="str">
        <v/>
      </c>
      <c r="LO7793" t="str">
        <v/>
      </c>
    </row>
    <row r="7794" spans="326:327">
      <c r="LN7794" t="str">
        <v/>
      </c>
      <c r="LO7794" t="str">
        <v/>
      </c>
    </row>
    <row r="7795" spans="326:327">
      <c r="LN7795" t="str">
        <v/>
      </c>
      <c r="LO7795" t="str">
        <v/>
      </c>
    </row>
    <row r="7796" spans="326:327">
      <c r="LN7796" t="str">
        <v/>
      </c>
      <c r="LO7796" t="str">
        <v/>
      </c>
    </row>
    <row r="7797" spans="326:327">
      <c r="LN7797" t="str">
        <v/>
      </c>
      <c r="LO7797" t="str">
        <v/>
      </c>
    </row>
    <row r="7798" spans="326:327">
      <c r="LN7798" t="str">
        <v/>
      </c>
      <c r="LO7798" t="str">
        <v/>
      </c>
    </row>
    <row r="7799" spans="326:327">
      <c r="LN7799" t="str">
        <v/>
      </c>
      <c r="LO7799" t="str">
        <v/>
      </c>
    </row>
    <row r="7800" spans="326:327">
      <c r="LN7800" t="str">
        <v/>
      </c>
      <c r="LO7800" t="str">
        <v/>
      </c>
    </row>
    <row r="7801" spans="326:327">
      <c r="LN7801" t="str">
        <v/>
      </c>
      <c r="LO7801" t="str">
        <v/>
      </c>
    </row>
    <row r="7802" spans="326:327">
      <c r="LN7802" t="str">
        <v/>
      </c>
      <c r="LO7802" t="str">
        <v/>
      </c>
    </row>
    <row r="7803" spans="326:327">
      <c r="LN7803" t="str">
        <v/>
      </c>
      <c r="LO7803" t="str">
        <v/>
      </c>
    </row>
    <row r="7804" spans="326:327">
      <c r="LN7804" t="str">
        <v/>
      </c>
      <c r="LO7804" t="str">
        <v/>
      </c>
    </row>
    <row r="7805" spans="326:327">
      <c r="LN7805" t="str">
        <v/>
      </c>
      <c r="LO7805" t="str">
        <v/>
      </c>
    </row>
    <row r="7806" spans="326:327">
      <c r="LN7806" t="str">
        <v/>
      </c>
      <c r="LO7806" t="str">
        <v/>
      </c>
    </row>
    <row r="7807" spans="326:327">
      <c r="LN7807" t="str">
        <v/>
      </c>
      <c r="LO7807" t="str">
        <v/>
      </c>
    </row>
    <row r="7808" spans="326:327">
      <c r="LN7808" t="str">
        <v/>
      </c>
      <c r="LO7808" t="str">
        <v/>
      </c>
    </row>
    <row r="7809" spans="326:327">
      <c r="LN7809" t="str">
        <v/>
      </c>
      <c r="LO7809" t="str">
        <v/>
      </c>
    </row>
    <row r="7810" spans="326:327">
      <c r="LN7810" t="str">
        <v/>
      </c>
      <c r="LO7810" t="str">
        <v/>
      </c>
    </row>
    <row r="7811" spans="326:327">
      <c r="LN7811" t="str">
        <v/>
      </c>
      <c r="LO7811" t="str">
        <v/>
      </c>
    </row>
    <row r="7812" spans="326:327">
      <c r="LN7812" t="str">
        <v/>
      </c>
      <c r="LO7812" t="str">
        <v/>
      </c>
    </row>
    <row r="7813" spans="326:327">
      <c r="LN7813" t="str">
        <v/>
      </c>
      <c r="LO7813" t="str">
        <v/>
      </c>
    </row>
    <row r="7814" spans="326:327">
      <c r="LN7814" t="str">
        <v/>
      </c>
      <c r="LO7814" t="str">
        <v/>
      </c>
    </row>
    <row r="7815" spans="326:327">
      <c r="LN7815" t="str">
        <v/>
      </c>
      <c r="LO7815" t="str">
        <v/>
      </c>
    </row>
    <row r="7816" spans="326:327">
      <c r="LN7816" t="str">
        <v/>
      </c>
      <c r="LO7816" t="str">
        <v/>
      </c>
    </row>
    <row r="7817" spans="326:327">
      <c r="LN7817" t="str">
        <v/>
      </c>
      <c r="LO7817" t="str">
        <v/>
      </c>
    </row>
    <row r="7818" spans="326:327">
      <c r="LN7818" t="str">
        <v/>
      </c>
      <c r="LO7818" t="str">
        <v/>
      </c>
    </row>
    <row r="7819" spans="326:327">
      <c r="LN7819" t="str">
        <v/>
      </c>
      <c r="LO7819" t="str">
        <v/>
      </c>
    </row>
    <row r="7820" spans="326:327">
      <c r="LN7820" t="str">
        <v/>
      </c>
      <c r="LO7820" t="str">
        <v/>
      </c>
    </row>
    <row r="7821" spans="326:327">
      <c r="LN7821" t="str">
        <v/>
      </c>
      <c r="LO7821" t="str">
        <v/>
      </c>
    </row>
    <row r="7822" spans="326:327">
      <c r="LN7822" t="str">
        <v/>
      </c>
      <c r="LO7822" t="str">
        <v/>
      </c>
    </row>
    <row r="7823" spans="326:327">
      <c r="LN7823" t="str">
        <v/>
      </c>
      <c r="LO7823" t="str">
        <v/>
      </c>
    </row>
    <row r="7824" spans="326:327">
      <c r="LN7824" t="str">
        <v/>
      </c>
      <c r="LO7824" t="str">
        <v/>
      </c>
    </row>
    <row r="7825" spans="326:327">
      <c r="LN7825" t="str">
        <v/>
      </c>
      <c r="LO7825" t="str">
        <v/>
      </c>
    </row>
    <row r="7826" spans="326:327">
      <c r="LN7826" t="str">
        <v/>
      </c>
      <c r="LO7826" t="str">
        <v/>
      </c>
    </row>
    <row r="7827" spans="326:327">
      <c r="LN7827" t="str">
        <v/>
      </c>
      <c r="LO7827" t="str">
        <v/>
      </c>
    </row>
    <row r="7828" spans="326:327">
      <c r="LN7828" t="str">
        <v/>
      </c>
      <c r="LO7828" t="str">
        <v/>
      </c>
    </row>
    <row r="7829" spans="326:327">
      <c r="LN7829" t="str">
        <v/>
      </c>
      <c r="LO7829" t="str">
        <v/>
      </c>
    </row>
    <row r="7830" spans="326:327">
      <c r="LN7830" t="str">
        <v/>
      </c>
      <c r="LO7830" t="str">
        <v/>
      </c>
    </row>
    <row r="7831" spans="326:327">
      <c r="LN7831" t="str">
        <v/>
      </c>
      <c r="LO7831" t="str">
        <v/>
      </c>
    </row>
    <row r="7832" spans="326:327">
      <c r="LN7832" t="str">
        <v/>
      </c>
      <c r="LO7832" t="str">
        <v/>
      </c>
    </row>
    <row r="7833" spans="326:327">
      <c r="LN7833" t="str">
        <v/>
      </c>
      <c r="LO7833" t="str">
        <v/>
      </c>
    </row>
    <row r="7834" spans="326:327">
      <c r="LN7834" t="str">
        <v/>
      </c>
      <c r="LO7834" t="str">
        <v/>
      </c>
    </row>
    <row r="7835" spans="326:327">
      <c r="LN7835" t="str">
        <v/>
      </c>
      <c r="LO7835" t="str">
        <v/>
      </c>
    </row>
    <row r="7836" spans="326:327">
      <c r="LN7836" t="str">
        <v/>
      </c>
      <c r="LO7836" t="str">
        <v/>
      </c>
    </row>
    <row r="7837" spans="326:327">
      <c r="LN7837" t="str">
        <v/>
      </c>
      <c r="LO7837" t="str">
        <v/>
      </c>
    </row>
    <row r="7838" spans="326:327">
      <c r="LN7838" t="str">
        <v/>
      </c>
      <c r="LO7838" t="str">
        <v/>
      </c>
    </row>
    <row r="7839" spans="326:327">
      <c r="LN7839" t="str">
        <v/>
      </c>
      <c r="LO7839" t="str">
        <v/>
      </c>
    </row>
    <row r="7840" spans="326:327">
      <c r="LN7840" t="str">
        <v/>
      </c>
      <c r="LO7840" t="str">
        <v/>
      </c>
    </row>
    <row r="7841" spans="326:327">
      <c r="LN7841" t="str">
        <v/>
      </c>
      <c r="LO7841" t="str">
        <v/>
      </c>
    </row>
    <row r="7842" spans="326:327">
      <c r="LN7842" t="str">
        <v/>
      </c>
      <c r="LO7842" t="str">
        <v/>
      </c>
    </row>
    <row r="7843" spans="326:327">
      <c r="LN7843" t="str">
        <v/>
      </c>
      <c r="LO7843" t="str">
        <v/>
      </c>
    </row>
    <row r="7844" spans="326:327">
      <c r="LN7844" t="str">
        <v/>
      </c>
      <c r="LO7844" t="str">
        <v/>
      </c>
    </row>
    <row r="7845" spans="326:327">
      <c r="LN7845" t="str">
        <v/>
      </c>
      <c r="LO7845" t="str">
        <v/>
      </c>
    </row>
    <row r="7846" spans="326:327">
      <c r="LN7846" t="str">
        <v/>
      </c>
      <c r="LO7846" t="str">
        <v/>
      </c>
    </row>
    <row r="7847" spans="326:327">
      <c r="LN7847" t="str">
        <v/>
      </c>
      <c r="LO7847" t="str">
        <v/>
      </c>
    </row>
    <row r="7848" spans="326:327">
      <c r="LN7848" t="str">
        <v/>
      </c>
      <c r="LO7848" t="str">
        <v/>
      </c>
    </row>
    <row r="7849" spans="326:327">
      <c r="LN7849" t="str">
        <v/>
      </c>
      <c r="LO7849" t="str">
        <v/>
      </c>
    </row>
    <row r="7850" spans="326:327">
      <c r="LN7850" t="str">
        <v/>
      </c>
      <c r="LO7850" t="str">
        <v/>
      </c>
    </row>
    <row r="7851" spans="326:327">
      <c r="LN7851" t="str">
        <v/>
      </c>
      <c r="LO7851" t="str">
        <v/>
      </c>
    </row>
    <row r="7852" spans="326:327">
      <c r="LN7852" t="str">
        <v/>
      </c>
      <c r="LO7852" t="str">
        <v/>
      </c>
    </row>
    <row r="7853" spans="326:327">
      <c r="LN7853" t="str">
        <v/>
      </c>
      <c r="LO7853" t="str">
        <v/>
      </c>
    </row>
    <row r="7854" spans="326:327">
      <c r="LN7854" t="str">
        <v/>
      </c>
      <c r="LO7854" t="str">
        <v/>
      </c>
    </row>
    <row r="7855" spans="326:327">
      <c r="LN7855" t="str">
        <v/>
      </c>
      <c r="LO7855" t="str">
        <v/>
      </c>
    </row>
    <row r="7856" spans="326:327">
      <c r="LN7856" t="str">
        <v/>
      </c>
      <c r="LO7856" t="str">
        <v/>
      </c>
    </row>
    <row r="7857" spans="326:327">
      <c r="LN7857" t="str">
        <v/>
      </c>
      <c r="LO7857" t="str">
        <v/>
      </c>
    </row>
    <row r="7858" spans="326:327">
      <c r="LN7858" t="str">
        <v/>
      </c>
      <c r="LO7858" t="str">
        <v/>
      </c>
    </row>
    <row r="7859" spans="326:327">
      <c r="LN7859" t="str">
        <v/>
      </c>
      <c r="LO7859" t="str">
        <v/>
      </c>
    </row>
    <row r="7860" spans="326:327">
      <c r="LN7860" t="str">
        <v/>
      </c>
      <c r="LO7860" t="str">
        <v/>
      </c>
    </row>
    <row r="7861" spans="326:327">
      <c r="LN7861" t="str">
        <v/>
      </c>
      <c r="LO7861" t="str">
        <v/>
      </c>
    </row>
    <row r="7862" spans="326:327">
      <c r="LN7862" t="str">
        <v/>
      </c>
      <c r="LO7862" t="str">
        <v/>
      </c>
    </row>
    <row r="7863" spans="326:327">
      <c r="LN7863" t="str">
        <v/>
      </c>
      <c r="LO7863" t="str">
        <v/>
      </c>
    </row>
    <row r="7864" spans="326:327">
      <c r="LN7864" t="str">
        <v/>
      </c>
      <c r="LO7864" t="str">
        <v/>
      </c>
    </row>
    <row r="7865" spans="326:327">
      <c r="LN7865" t="str">
        <v/>
      </c>
      <c r="LO7865" t="str">
        <v/>
      </c>
    </row>
    <row r="7866" spans="326:327">
      <c r="LN7866" t="str">
        <v/>
      </c>
      <c r="LO7866" t="str">
        <v/>
      </c>
    </row>
    <row r="7867" spans="326:327">
      <c r="LN7867" t="str">
        <v/>
      </c>
      <c r="LO7867" t="str">
        <v/>
      </c>
    </row>
    <row r="7868" spans="326:327">
      <c r="LN7868" t="str">
        <v/>
      </c>
      <c r="LO7868" t="str">
        <v/>
      </c>
    </row>
    <row r="7869" spans="326:327">
      <c r="LN7869" t="str">
        <v/>
      </c>
      <c r="LO7869" t="str">
        <v/>
      </c>
    </row>
    <row r="7870" spans="326:327">
      <c r="LN7870" t="str">
        <v/>
      </c>
      <c r="LO7870" t="str">
        <v/>
      </c>
    </row>
    <row r="7871" spans="326:327">
      <c r="LN7871" t="str">
        <v/>
      </c>
      <c r="LO7871" t="str">
        <v/>
      </c>
    </row>
    <row r="7872" spans="326:327">
      <c r="LN7872" t="str">
        <v/>
      </c>
      <c r="LO7872" t="str">
        <v/>
      </c>
    </row>
    <row r="7873" spans="326:327">
      <c r="LN7873" t="str">
        <v/>
      </c>
      <c r="LO7873" t="str">
        <v/>
      </c>
    </row>
    <row r="7874" spans="326:327">
      <c r="LN7874" t="str">
        <v/>
      </c>
      <c r="LO7874" t="str">
        <v/>
      </c>
    </row>
    <row r="7875" spans="326:327">
      <c r="LN7875" t="str">
        <v/>
      </c>
      <c r="LO7875" t="str">
        <v/>
      </c>
    </row>
    <row r="7876" spans="326:327">
      <c r="LN7876" t="str">
        <v/>
      </c>
      <c r="LO7876" t="str">
        <v/>
      </c>
    </row>
    <row r="7877" spans="326:327">
      <c r="LN7877" t="str">
        <v/>
      </c>
      <c r="LO7877" t="str">
        <v/>
      </c>
    </row>
    <row r="7878" spans="326:327">
      <c r="LN7878" t="str">
        <v/>
      </c>
      <c r="LO7878" t="str">
        <v/>
      </c>
    </row>
    <row r="7879" spans="326:327">
      <c r="LN7879" t="str">
        <v/>
      </c>
      <c r="LO7879" t="str">
        <v/>
      </c>
    </row>
    <row r="7880" spans="326:327">
      <c r="LN7880" t="str">
        <v/>
      </c>
      <c r="LO7880" t="str">
        <v/>
      </c>
    </row>
    <row r="7881" spans="326:327">
      <c r="LN7881" t="str">
        <v/>
      </c>
      <c r="LO7881" t="str">
        <v/>
      </c>
    </row>
    <row r="7882" spans="326:327">
      <c r="LN7882" t="str">
        <v/>
      </c>
      <c r="LO7882" t="str">
        <v/>
      </c>
    </row>
    <row r="7883" spans="326:327">
      <c r="LN7883" t="str">
        <v/>
      </c>
      <c r="LO7883" t="str">
        <v/>
      </c>
    </row>
    <row r="7884" spans="326:327">
      <c r="LN7884" t="str">
        <v/>
      </c>
      <c r="LO7884" t="str">
        <v/>
      </c>
    </row>
    <row r="7885" spans="326:327">
      <c r="LN7885" t="str">
        <v/>
      </c>
      <c r="LO7885" t="str">
        <v/>
      </c>
    </row>
    <row r="7886" spans="326:327">
      <c r="LN7886" t="str">
        <v/>
      </c>
      <c r="LO7886" t="str">
        <v/>
      </c>
    </row>
    <row r="7887" spans="326:327">
      <c r="LN7887" t="str">
        <v/>
      </c>
      <c r="LO7887" t="str">
        <v/>
      </c>
    </row>
    <row r="7888" spans="326:327">
      <c r="LN7888" t="str">
        <v/>
      </c>
      <c r="LO7888" t="str">
        <v/>
      </c>
    </row>
    <row r="7889" spans="326:327">
      <c r="LN7889" t="str">
        <v/>
      </c>
      <c r="LO7889" t="str">
        <v/>
      </c>
    </row>
    <row r="7890" spans="326:327">
      <c r="LN7890" t="str">
        <v/>
      </c>
      <c r="LO7890" t="str">
        <v/>
      </c>
    </row>
    <row r="7891" spans="326:327">
      <c r="LN7891" t="str">
        <v/>
      </c>
      <c r="LO7891" t="str">
        <v/>
      </c>
    </row>
    <row r="7892" spans="326:327">
      <c r="LN7892" t="str">
        <v/>
      </c>
      <c r="LO7892" t="str">
        <v/>
      </c>
    </row>
    <row r="7893" spans="326:327">
      <c r="LN7893" t="str">
        <v/>
      </c>
      <c r="LO7893" t="str">
        <v/>
      </c>
    </row>
    <row r="7894" spans="326:327">
      <c r="LN7894" t="str">
        <v/>
      </c>
      <c r="LO7894" t="str">
        <v/>
      </c>
    </row>
    <row r="7895" spans="326:327">
      <c r="LN7895" t="str">
        <v/>
      </c>
      <c r="LO7895" t="str">
        <v/>
      </c>
    </row>
    <row r="7896" spans="326:327">
      <c r="LN7896" t="str">
        <v/>
      </c>
      <c r="LO7896" t="str">
        <v/>
      </c>
    </row>
    <row r="7897" spans="326:327">
      <c r="LN7897" t="str">
        <v/>
      </c>
      <c r="LO7897" t="str">
        <v/>
      </c>
    </row>
    <row r="7898" spans="326:327">
      <c r="LN7898" t="str">
        <v/>
      </c>
      <c r="LO7898" t="str">
        <v/>
      </c>
    </row>
    <row r="7899" spans="326:327">
      <c r="LN7899" t="str">
        <v/>
      </c>
      <c r="LO7899" t="str">
        <v/>
      </c>
    </row>
    <row r="7900" spans="326:327">
      <c r="LN7900" t="str">
        <v/>
      </c>
      <c r="LO7900" t="str">
        <v/>
      </c>
    </row>
    <row r="7901" spans="326:327">
      <c r="LN7901" t="str">
        <v/>
      </c>
      <c r="LO7901" t="str">
        <v/>
      </c>
    </row>
    <row r="7902" spans="326:327">
      <c r="LN7902" t="str">
        <v/>
      </c>
      <c r="LO7902" t="str">
        <v/>
      </c>
    </row>
    <row r="7903" spans="326:327">
      <c r="LN7903" t="str">
        <v/>
      </c>
      <c r="LO7903" t="str">
        <v/>
      </c>
    </row>
    <row r="7904" spans="326:327">
      <c r="LN7904" t="str">
        <v/>
      </c>
      <c r="LO7904" t="str">
        <v/>
      </c>
    </row>
    <row r="7905" spans="326:327">
      <c r="LN7905" t="str">
        <v/>
      </c>
      <c r="LO7905" t="str">
        <v/>
      </c>
    </row>
    <row r="7906" spans="326:327">
      <c r="LN7906" t="str">
        <v/>
      </c>
      <c r="LO7906" t="str">
        <v/>
      </c>
    </row>
    <row r="7907" spans="326:327">
      <c r="LN7907" t="str">
        <v/>
      </c>
      <c r="LO7907" t="str">
        <v/>
      </c>
    </row>
    <row r="7908" spans="326:327">
      <c r="LN7908" t="str">
        <v/>
      </c>
      <c r="LO7908" t="str">
        <v/>
      </c>
    </row>
    <row r="7909" spans="326:327">
      <c r="LN7909" t="str">
        <v/>
      </c>
      <c r="LO7909" t="str">
        <v/>
      </c>
    </row>
    <row r="7910" spans="326:327">
      <c r="LN7910" t="str">
        <v/>
      </c>
      <c r="LO7910" t="str">
        <v/>
      </c>
    </row>
    <row r="7911" spans="326:327">
      <c r="LN7911" t="str">
        <v/>
      </c>
      <c r="LO7911" t="str">
        <v/>
      </c>
    </row>
    <row r="7912" spans="326:327">
      <c r="LN7912" t="str">
        <v/>
      </c>
      <c r="LO7912" t="str">
        <v/>
      </c>
    </row>
    <row r="7913" spans="326:327">
      <c r="LN7913" t="str">
        <v/>
      </c>
      <c r="LO7913" t="str">
        <v/>
      </c>
    </row>
    <row r="7914" spans="326:327">
      <c r="LN7914" t="str">
        <v/>
      </c>
      <c r="LO7914" t="str">
        <v/>
      </c>
    </row>
    <row r="7915" spans="326:327">
      <c r="LN7915" t="str">
        <v/>
      </c>
      <c r="LO7915" t="str">
        <v/>
      </c>
    </row>
    <row r="7916" spans="326:327">
      <c r="LN7916" t="str">
        <v/>
      </c>
      <c r="LO7916" t="str">
        <v/>
      </c>
    </row>
    <row r="7917" spans="326:327">
      <c r="LN7917" t="str">
        <v/>
      </c>
      <c r="LO7917" t="str">
        <v/>
      </c>
    </row>
    <row r="7918" spans="326:327">
      <c r="LN7918" t="str">
        <v/>
      </c>
      <c r="LO7918" t="str">
        <v/>
      </c>
    </row>
    <row r="7919" spans="326:327">
      <c r="LN7919" t="str">
        <v/>
      </c>
      <c r="LO7919" t="str">
        <v/>
      </c>
    </row>
    <row r="7920" spans="326:327">
      <c r="LN7920" t="str">
        <v/>
      </c>
      <c r="LO7920" t="str">
        <v/>
      </c>
    </row>
    <row r="7921" spans="326:327">
      <c r="LN7921" t="str">
        <v/>
      </c>
      <c r="LO7921" t="str">
        <v/>
      </c>
    </row>
    <row r="7922" spans="326:327">
      <c r="LN7922" t="str">
        <v/>
      </c>
      <c r="LO7922" t="str">
        <v/>
      </c>
    </row>
    <row r="7923" spans="326:327">
      <c r="LN7923" t="str">
        <v/>
      </c>
      <c r="LO7923" t="str">
        <v/>
      </c>
    </row>
    <row r="7924" spans="326:327">
      <c r="LN7924" t="str">
        <v/>
      </c>
      <c r="LO7924" t="str">
        <v/>
      </c>
    </row>
    <row r="7925" spans="326:327">
      <c r="LN7925" t="str">
        <v/>
      </c>
      <c r="LO7925" t="str">
        <v/>
      </c>
    </row>
    <row r="7926" spans="326:327">
      <c r="LN7926" t="str">
        <v/>
      </c>
      <c r="LO7926" t="str">
        <v/>
      </c>
    </row>
    <row r="7927" spans="326:327">
      <c r="LN7927" t="str">
        <v/>
      </c>
      <c r="LO7927" t="str">
        <v/>
      </c>
    </row>
    <row r="7928" spans="326:327">
      <c r="LN7928" t="str">
        <v/>
      </c>
      <c r="LO7928" t="str">
        <v/>
      </c>
    </row>
    <row r="7929" spans="326:327">
      <c r="LN7929" t="str">
        <v/>
      </c>
      <c r="LO7929" t="str">
        <v/>
      </c>
    </row>
    <row r="7930" spans="326:327">
      <c r="LN7930" t="str">
        <v/>
      </c>
      <c r="LO7930" t="str">
        <v/>
      </c>
    </row>
    <row r="7931" spans="326:327">
      <c r="LN7931" t="str">
        <v/>
      </c>
      <c r="LO7931" t="str">
        <v/>
      </c>
    </row>
    <row r="7932" spans="326:327">
      <c r="LN7932" t="str">
        <v/>
      </c>
      <c r="LO7932" t="str">
        <v/>
      </c>
    </row>
    <row r="7933" spans="326:327">
      <c r="LN7933" t="str">
        <v/>
      </c>
      <c r="LO7933" t="str">
        <v/>
      </c>
    </row>
    <row r="7934" spans="326:327">
      <c r="LN7934" t="str">
        <v/>
      </c>
      <c r="LO7934" t="str">
        <v/>
      </c>
    </row>
    <row r="7935" spans="326:327">
      <c r="LN7935" t="str">
        <v/>
      </c>
      <c r="LO7935" t="str">
        <v/>
      </c>
    </row>
    <row r="7936" spans="326:327">
      <c r="LN7936" t="str">
        <v/>
      </c>
      <c r="LO7936" t="str">
        <v/>
      </c>
    </row>
    <row r="7937" spans="326:327">
      <c r="LN7937" t="str">
        <v/>
      </c>
      <c r="LO7937" t="str">
        <v/>
      </c>
    </row>
    <row r="7938" spans="326:327">
      <c r="LN7938" t="str">
        <v/>
      </c>
      <c r="LO7938" t="str">
        <v/>
      </c>
    </row>
    <row r="7939" spans="326:327">
      <c r="LN7939" t="str">
        <v/>
      </c>
      <c r="LO7939" t="str">
        <v/>
      </c>
    </row>
    <row r="7940" spans="326:327">
      <c r="LN7940" t="str">
        <v/>
      </c>
      <c r="LO7940" t="str">
        <v/>
      </c>
    </row>
    <row r="7941" spans="326:327">
      <c r="LN7941" t="str">
        <v/>
      </c>
      <c r="LO7941" t="str">
        <v/>
      </c>
    </row>
    <row r="7942" spans="326:327">
      <c r="LN7942" t="str">
        <v/>
      </c>
      <c r="LO7942" t="str">
        <v/>
      </c>
    </row>
    <row r="7943" spans="326:327">
      <c r="LN7943" t="str">
        <v/>
      </c>
      <c r="LO7943" t="str">
        <v/>
      </c>
    </row>
    <row r="7944" spans="326:327">
      <c r="LN7944" t="str">
        <v/>
      </c>
      <c r="LO7944" t="str">
        <v/>
      </c>
    </row>
    <row r="7945" spans="326:327">
      <c r="LN7945" t="str">
        <v/>
      </c>
      <c r="LO7945" t="str">
        <v/>
      </c>
    </row>
    <row r="7946" spans="326:327">
      <c r="LN7946" t="str">
        <v/>
      </c>
      <c r="LO7946" t="str">
        <v/>
      </c>
    </row>
    <row r="7947" spans="326:327">
      <c r="LN7947" t="str">
        <v/>
      </c>
      <c r="LO7947" t="str">
        <v/>
      </c>
    </row>
    <row r="7948" spans="326:327">
      <c r="LN7948" t="str">
        <v/>
      </c>
      <c r="LO7948" t="str">
        <v/>
      </c>
    </row>
    <row r="7949" spans="326:327">
      <c r="LN7949" t="str">
        <v/>
      </c>
      <c r="LO7949" t="str">
        <v/>
      </c>
    </row>
    <row r="7950" spans="326:327">
      <c r="LN7950" t="str">
        <v/>
      </c>
      <c r="LO7950" t="str">
        <v/>
      </c>
    </row>
    <row r="7951" spans="326:327">
      <c r="LN7951" t="str">
        <v/>
      </c>
      <c r="LO7951" t="str">
        <v/>
      </c>
    </row>
    <row r="7952" spans="326:327">
      <c r="LN7952" t="str">
        <v/>
      </c>
      <c r="LO7952" t="str">
        <v/>
      </c>
    </row>
    <row r="7953" spans="326:327">
      <c r="LN7953" t="str">
        <v/>
      </c>
      <c r="LO7953" t="str">
        <v/>
      </c>
    </row>
    <row r="7954" spans="326:327">
      <c r="LN7954" t="str">
        <v/>
      </c>
      <c r="LO7954" t="str">
        <v/>
      </c>
    </row>
    <row r="7955" spans="326:327">
      <c r="LN7955" t="str">
        <v/>
      </c>
      <c r="LO7955" t="str">
        <v/>
      </c>
    </row>
    <row r="7956" spans="326:327">
      <c r="LN7956" t="str">
        <v/>
      </c>
      <c r="LO7956" t="str">
        <v/>
      </c>
    </row>
    <row r="7957" spans="326:327">
      <c r="LN7957" t="str">
        <v/>
      </c>
      <c r="LO7957" t="str">
        <v/>
      </c>
    </row>
    <row r="7958" spans="326:327">
      <c r="LN7958" t="str">
        <v/>
      </c>
      <c r="LO7958" t="str">
        <v/>
      </c>
    </row>
    <row r="7959" spans="326:327">
      <c r="LN7959" t="str">
        <v/>
      </c>
      <c r="LO7959" t="str">
        <v/>
      </c>
    </row>
    <row r="7960" spans="326:327">
      <c r="LN7960" t="str">
        <v/>
      </c>
      <c r="LO7960" t="str">
        <v/>
      </c>
    </row>
    <row r="7961" spans="326:327">
      <c r="LN7961" t="str">
        <v/>
      </c>
      <c r="LO7961" t="str">
        <v/>
      </c>
    </row>
    <row r="7962" spans="326:327">
      <c r="LN7962" t="str">
        <v/>
      </c>
      <c r="LO7962" t="str">
        <v/>
      </c>
    </row>
    <row r="7963" spans="326:327">
      <c r="LN7963" t="str">
        <v/>
      </c>
      <c r="LO7963" t="str">
        <v/>
      </c>
    </row>
    <row r="7964" spans="326:327">
      <c r="LN7964" t="str">
        <v/>
      </c>
      <c r="LO7964" t="str">
        <v/>
      </c>
    </row>
    <row r="7965" spans="326:327">
      <c r="LN7965" t="str">
        <v/>
      </c>
      <c r="LO7965" t="str">
        <v/>
      </c>
    </row>
    <row r="7966" spans="326:327">
      <c r="LN7966" t="str">
        <v/>
      </c>
      <c r="LO7966" t="str">
        <v/>
      </c>
    </row>
    <row r="7967" spans="326:327">
      <c r="LN7967" t="str">
        <v/>
      </c>
      <c r="LO7967" t="str">
        <v/>
      </c>
    </row>
    <row r="7968" spans="326:327">
      <c r="LN7968" t="str">
        <v/>
      </c>
      <c r="LO7968" t="str">
        <v/>
      </c>
    </row>
    <row r="7969" spans="326:327">
      <c r="LN7969" t="str">
        <v/>
      </c>
      <c r="LO7969" t="str">
        <v/>
      </c>
    </row>
    <row r="7970" spans="326:327">
      <c r="LN7970" t="str">
        <v/>
      </c>
      <c r="LO7970" t="str">
        <v/>
      </c>
    </row>
    <row r="7971" spans="326:327">
      <c r="LN7971" t="str">
        <v/>
      </c>
      <c r="LO7971" t="str">
        <v/>
      </c>
    </row>
    <row r="7972" spans="326:327">
      <c r="LN7972" t="str">
        <v/>
      </c>
      <c r="LO7972" t="str">
        <v/>
      </c>
    </row>
    <row r="7973" spans="326:327">
      <c r="LN7973" t="str">
        <v/>
      </c>
      <c r="LO7973" t="str">
        <v/>
      </c>
    </row>
    <row r="7974" spans="326:327">
      <c r="LN7974" t="str">
        <v/>
      </c>
      <c r="LO7974" t="str">
        <v/>
      </c>
    </row>
    <row r="7975" spans="326:327">
      <c r="LN7975" t="str">
        <v/>
      </c>
      <c r="LO7975" t="str">
        <v/>
      </c>
    </row>
    <row r="7976" spans="326:327">
      <c r="LN7976" t="str">
        <v/>
      </c>
      <c r="LO7976" t="str">
        <v/>
      </c>
    </row>
    <row r="7977" spans="326:327">
      <c r="LN7977" t="str">
        <v/>
      </c>
      <c r="LO7977" t="str">
        <v/>
      </c>
    </row>
    <row r="7978" spans="326:327">
      <c r="LN7978" t="str">
        <v/>
      </c>
      <c r="LO7978" t="str">
        <v/>
      </c>
    </row>
    <row r="7979" spans="326:327">
      <c r="LN7979" t="str">
        <v/>
      </c>
      <c r="LO7979" t="str">
        <v/>
      </c>
    </row>
    <row r="7980" spans="326:327">
      <c r="LN7980" t="str">
        <v/>
      </c>
      <c r="LO7980" t="str">
        <v/>
      </c>
    </row>
    <row r="7981" spans="326:327">
      <c r="LN7981" t="str">
        <v/>
      </c>
      <c r="LO7981" t="str">
        <v/>
      </c>
    </row>
    <row r="7982" spans="326:327">
      <c r="LN7982" t="str">
        <v/>
      </c>
      <c r="LO7982" t="str">
        <v/>
      </c>
    </row>
    <row r="7983" spans="326:327">
      <c r="LN7983" t="str">
        <v/>
      </c>
      <c r="LO7983" t="str">
        <v/>
      </c>
    </row>
    <row r="7984" spans="326:327">
      <c r="LN7984" t="str">
        <v/>
      </c>
      <c r="LO7984" t="str">
        <v/>
      </c>
    </row>
    <row r="7985" spans="326:327">
      <c r="LN7985" t="str">
        <v/>
      </c>
      <c r="LO7985" t="str">
        <v/>
      </c>
    </row>
    <row r="7986" spans="326:327">
      <c r="LN7986" t="str">
        <v/>
      </c>
      <c r="LO7986" t="str">
        <v/>
      </c>
    </row>
    <row r="7987" spans="326:327">
      <c r="LN7987" t="str">
        <v/>
      </c>
      <c r="LO7987" t="str">
        <v/>
      </c>
    </row>
    <row r="7988" spans="326:327">
      <c r="LN7988" t="str">
        <v/>
      </c>
      <c r="LO7988" t="str">
        <v/>
      </c>
    </row>
    <row r="7989" spans="326:327">
      <c r="LN7989" t="str">
        <v/>
      </c>
      <c r="LO7989" t="str">
        <v/>
      </c>
    </row>
    <row r="7990" spans="326:327">
      <c r="LN7990" t="str">
        <v/>
      </c>
      <c r="LO7990" t="str">
        <v/>
      </c>
    </row>
    <row r="7991" spans="326:327">
      <c r="LN7991" t="str">
        <v/>
      </c>
      <c r="LO7991" t="str">
        <v/>
      </c>
    </row>
    <row r="7992" spans="326:327">
      <c r="LN7992" t="str">
        <v/>
      </c>
      <c r="LO7992" t="str">
        <v/>
      </c>
    </row>
    <row r="7993" spans="326:327">
      <c r="LN7993" t="str">
        <v/>
      </c>
      <c r="LO7993" t="str">
        <v/>
      </c>
    </row>
    <row r="7994" spans="326:327">
      <c r="LN7994" t="str">
        <v/>
      </c>
      <c r="LO7994" t="str">
        <v/>
      </c>
    </row>
    <row r="7995" spans="326:327">
      <c r="LN7995" t="str">
        <v/>
      </c>
      <c r="LO7995" t="str">
        <v/>
      </c>
    </row>
    <row r="7996" spans="326:327">
      <c r="LN7996" t="str">
        <v/>
      </c>
      <c r="LO7996" t="str">
        <v/>
      </c>
    </row>
    <row r="7997" spans="326:327">
      <c r="LN7997" t="str">
        <v/>
      </c>
      <c r="LO7997" t="str">
        <v/>
      </c>
    </row>
    <row r="7998" spans="326:327">
      <c r="LN7998" t="str">
        <v/>
      </c>
      <c r="LO7998" t="str">
        <v/>
      </c>
    </row>
    <row r="7999" spans="326:327">
      <c r="LN7999" t="str">
        <v/>
      </c>
      <c r="LO7999" t="str">
        <v/>
      </c>
    </row>
    <row r="8000" spans="326:327">
      <c r="LN8000" t="str">
        <v/>
      </c>
      <c r="LO8000" t="str">
        <v/>
      </c>
    </row>
    <row r="8001" spans="326:327">
      <c r="LN8001" t="str">
        <v/>
      </c>
      <c r="LO8001" t="str">
        <v/>
      </c>
    </row>
    <row r="8002" spans="326:327">
      <c r="LN8002" t="str">
        <v/>
      </c>
      <c r="LO8002" t="str">
        <v/>
      </c>
    </row>
    <row r="8003" spans="326:327">
      <c r="LN8003" t="str">
        <v/>
      </c>
      <c r="LO8003" t="str">
        <v/>
      </c>
    </row>
    <row r="8004" spans="326:327">
      <c r="LN8004" t="str">
        <v/>
      </c>
      <c r="LO8004" t="str">
        <v/>
      </c>
    </row>
    <row r="8005" spans="326:327">
      <c r="LN8005" t="str">
        <v/>
      </c>
      <c r="LO8005" t="str">
        <v/>
      </c>
    </row>
    <row r="8006" spans="326:327">
      <c r="LN8006" t="str">
        <v/>
      </c>
      <c r="LO8006" t="str">
        <v/>
      </c>
    </row>
    <row r="8007" spans="326:327">
      <c r="LN8007" t="str">
        <v/>
      </c>
      <c r="LO8007" t="str">
        <v/>
      </c>
    </row>
    <row r="8008" spans="326:327">
      <c r="LN8008" t="str">
        <v/>
      </c>
      <c r="LO8008" t="str">
        <v/>
      </c>
    </row>
    <row r="8009" spans="326:327">
      <c r="LN8009" t="str">
        <v/>
      </c>
      <c r="LO8009" t="str">
        <v/>
      </c>
    </row>
    <row r="8010" spans="326:327">
      <c r="LN8010" t="str">
        <v/>
      </c>
      <c r="LO8010" t="str">
        <v/>
      </c>
    </row>
    <row r="8011" spans="326:327">
      <c r="LN8011" t="str">
        <v/>
      </c>
      <c r="LO8011" t="str">
        <v/>
      </c>
    </row>
    <row r="8012" spans="326:327">
      <c r="LN8012" t="str">
        <v/>
      </c>
      <c r="LO8012" t="str">
        <v/>
      </c>
    </row>
    <row r="8013" spans="326:327">
      <c r="LN8013" t="str">
        <v/>
      </c>
      <c r="LO8013" t="str">
        <v/>
      </c>
    </row>
    <row r="8014" spans="326:327">
      <c r="LN8014" t="str">
        <v/>
      </c>
      <c r="LO8014" t="str">
        <v/>
      </c>
    </row>
    <row r="8015" spans="326:327">
      <c r="LN8015" t="str">
        <v/>
      </c>
      <c r="LO8015" t="str">
        <v/>
      </c>
    </row>
    <row r="8016" spans="326:327">
      <c r="LN8016" t="str">
        <v/>
      </c>
      <c r="LO8016" t="str">
        <v/>
      </c>
    </row>
    <row r="8017" spans="326:327">
      <c r="LN8017" t="str">
        <v/>
      </c>
      <c r="LO8017" t="str">
        <v/>
      </c>
    </row>
    <row r="8018" spans="326:327">
      <c r="LN8018" t="str">
        <v/>
      </c>
      <c r="LO8018" t="str">
        <v/>
      </c>
    </row>
    <row r="8019" spans="326:327">
      <c r="LN8019" t="str">
        <v/>
      </c>
      <c r="LO8019" t="str">
        <v/>
      </c>
    </row>
    <row r="8020" spans="326:327">
      <c r="LN8020" t="str">
        <v/>
      </c>
      <c r="LO8020" t="str">
        <v/>
      </c>
    </row>
    <row r="8021" spans="326:327">
      <c r="LN8021" t="str">
        <v/>
      </c>
      <c r="LO8021" t="str">
        <v/>
      </c>
    </row>
    <row r="8022" spans="326:327">
      <c r="LN8022" t="str">
        <v/>
      </c>
      <c r="LO8022" t="str">
        <v/>
      </c>
    </row>
    <row r="8023" spans="326:327">
      <c r="LN8023" t="str">
        <v/>
      </c>
      <c r="LO8023" t="str">
        <v/>
      </c>
    </row>
    <row r="8024" spans="326:327">
      <c r="LN8024" t="str">
        <v/>
      </c>
      <c r="LO8024" t="str">
        <v/>
      </c>
    </row>
    <row r="8025" spans="326:327">
      <c r="LN8025" t="str">
        <v/>
      </c>
      <c r="LO8025" t="str">
        <v/>
      </c>
    </row>
    <row r="8026" spans="326:327">
      <c r="LN8026" t="str">
        <v/>
      </c>
      <c r="LO8026" t="str">
        <v/>
      </c>
    </row>
    <row r="8027" spans="326:327">
      <c r="LN8027" t="str">
        <v/>
      </c>
      <c r="LO8027" t="str">
        <v/>
      </c>
    </row>
    <row r="8028" spans="326:327">
      <c r="LN8028" t="str">
        <v/>
      </c>
      <c r="LO8028" t="str">
        <v/>
      </c>
    </row>
    <row r="8029" spans="326:327">
      <c r="LN8029" t="str">
        <v/>
      </c>
      <c r="LO8029" t="str">
        <v/>
      </c>
    </row>
    <row r="8030" spans="326:327">
      <c r="LN8030" t="str">
        <v/>
      </c>
      <c r="LO8030" t="str">
        <v/>
      </c>
    </row>
    <row r="8031" spans="326:327">
      <c r="LN8031" t="str">
        <v/>
      </c>
      <c r="LO8031" t="str">
        <v/>
      </c>
    </row>
    <row r="8032" spans="326:327">
      <c r="LN8032" t="str">
        <v/>
      </c>
      <c r="LO8032" t="str">
        <v/>
      </c>
    </row>
    <row r="8033" spans="326:327">
      <c r="LN8033" t="str">
        <v/>
      </c>
      <c r="LO8033" t="str">
        <v/>
      </c>
    </row>
    <row r="8034" spans="326:327">
      <c r="LN8034" t="str">
        <v/>
      </c>
      <c r="LO8034" t="str">
        <v/>
      </c>
    </row>
    <row r="8035" spans="326:327">
      <c r="LN8035" t="str">
        <v/>
      </c>
      <c r="LO8035" t="str">
        <v/>
      </c>
    </row>
    <row r="8036" spans="326:327">
      <c r="LN8036" t="str">
        <v/>
      </c>
      <c r="LO8036" t="str">
        <v/>
      </c>
    </row>
    <row r="8037" spans="326:327">
      <c r="LN8037" t="str">
        <v/>
      </c>
      <c r="LO8037" t="str">
        <v/>
      </c>
    </row>
    <row r="8038" spans="326:327">
      <c r="LN8038" t="str">
        <v/>
      </c>
      <c r="LO8038" t="str">
        <v/>
      </c>
    </row>
    <row r="8039" spans="326:327">
      <c r="LN8039" t="str">
        <v/>
      </c>
      <c r="LO8039" t="str">
        <v/>
      </c>
    </row>
    <row r="8040" spans="326:327">
      <c r="LN8040" t="str">
        <v/>
      </c>
      <c r="LO8040" t="str">
        <v/>
      </c>
    </row>
    <row r="8041" spans="326:327">
      <c r="LN8041" t="str">
        <v/>
      </c>
      <c r="LO8041" t="str">
        <v/>
      </c>
    </row>
    <row r="8042" spans="326:327">
      <c r="LN8042" t="str">
        <v/>
      </c>
      <c r="LO8042" t="str">
        <v/>
      </c>
    </row>
    <row r="8043" spans="326:327">
      <c r="LN8043" t="str">
        <v/>
      </c>
      <c r="LO8043" t="str">
        <v/>
      </c>
    </row>
    <row r="8044" spans="326:327">
      <c r="LN8044" t="str">
        <v/>
      </c>
      <c r="LO8044" t="str">
        <v/>
      </c>
    </row>
    <row r="8045" spans="326:327">
      <c r="LN8045" t="str">
        <v/>
      </c>
      <c r="LO8045" t="str">
        <v/>
      </c>
    </row>
    <row r="8046" spans="326:327">
      <c r="LN8046" t="str">
        <v/>
      </c>
      <c r="LO8046" t="str">
        <v/>
      </c>
    </row>
    <row r="8047" spans="326:327">
      <c r="LN8047" t="str">
        <v/>
      </c>
      <c r="LO8047" t="str">
        <v/>
      </c>
    </row>
    <row r="8048" spans="326:327">
      <c r="LN8048" t="str">
        <v/>
      </c>
      <c r="LO8048" t="str">
        <v/>
      </c>
    </row>
    <row r="8049" spans="326:327">
      <c r="LN8049" t="str">
        <v/>
      </c>
      <c r="LO8049" t="str">
        <v/>
      </c>
    </row>
    <row r="8050" spans="326:327">
      <c r="LN8050" t="str">
        <v/>
      </c>
      <c r="LO8050" t="str">
        <v/>
      </c>
    </row>
    <row r="8051" spans="326:327">
      <c r="LN8051" t="str">
        <v/>
      </c>
      <c r="LO8051" t="str">
        <v/>
      </c>
    </row>
    <row r="8052" spans="326:327">
      <c r="LN8052" t="str">
        <v/>
      </c>
      <c r="LO8052" t="str">
        <v/>
      </c>
    </row>
    <row r="8053" spans="326:327">
      <c r="LN8053" t="str">
        <v/>
      </c>
      <c r="LO8053" t="str">
        <v/>
      </c>
    </row>
    <row r="8054" spans="326:327">
      <c r="LN8054" t="str">
        <v/>
      </c>
      <c r="LO8054" t="str">
        <v/>
      </c>
    </row>
    <row r="8055" spans="326:327">
      <c r="LN8055" t="str">
        <v/>
      </c>
      <c r="LO8055" t="str">
        <v/>
      </c>
    </row>
    <row r="8056" spans="326:327">
      <c r="LN8056" t="str">
        <v/>
      </c>
      <c r="LO8056" t="str">
        <v/>
      </c>
    </row>
    <row r="8057" spans="326:327">
      <c r="LN8057" t="str">
        <v/>
      </c>
      <c r="LO8057" t="str">
        <v/>
      </c>
    </row>
    <row r="8058" spans="326:327">
      <c r="LN8058" t="str">
        <v/>
      </c>
      <c r="LO8058" t="str">
        <v/>
      </c>
    </row>
    <row r="8059" spans="326:327">
      <c r="LN8059" t="str">
        <v/>
      </c>
      <c r="LO8059" t="str">
        <v/>
      </c>
    </row>
    <row r="8060" spans="326:327">
      <c r="LN8060" t="str">
        <v/>
      </c>
      <c r="LO8060" t="str">
        <v/>
      </c>
    </row>
    <row r="8061" spans="326:327">
      <c r="LN8061" t="str">
        <v/>
      </c>
      <c r="LO8061" t="str">
        <v/>
      </c>
    </row>
    <row r="8062" spans="326:327">
      <c r="LN8062" t="str">
        <v/>
      </c>
      <c r="LO8062" t="str">
        <v/>
      </c>
    </row>
    <row r="8063" spans="326:327">
      <c r="LN8063" t="str">
        <v/>
      </c>
      <c r="LO8063" t="str">
        <v/>
      </c>
    </row>
    <row r="8064" spans="326:327">
      <c r="LN8064" t="str">
        <v/>
      </c>
      <c r="LO8064" t="str">
        <v/>
      </c>
    </row>
    <row r="8065" spans="326:327">
      <c r="LN8065" t="str">
        <v/>
      </c>
      <c r="LO8065" t="str">
        <v/>
      </c>
    </row>
    <row r="8066" spans="326:327">
      <c r="LN8066" t="str">
        <v/>
      </c>
      <c r="LO8066" t="str">
        <v/>
      </c>
    </row>
    <row r="8067" spans="326:327">
      <c r="LN8067" t="str">
        <v/>
      </c>
      <c r="LO8067" t="str">
        <v/>
      </c>
    </row>
    <row r="8068" spans="326:327">
      <c r="LN8068" t="str">
        <v/>
      </c>
      <c r="LO8068" t="str">
        <v/>
      </c>
    </row>
    <row r="8069" spans="326:327">
      <c r="LN8069" t="str">
        <v/>
      </c>
      <c r="LO8069" t="str">
        <v/>
      </c>
    </row>
    <row r="8070" spans="326:327">
      <c r="LN8070" t="str">
        <v/>
      </c>
      <c r="LO8070" t="str">
        <v/>
      </c>
    </row>
    <row r="8071" spans="326:327">
      <c r="LN8071" t="str">
        <v/>
      </c>
      <c r="LO8071" t="str">
        <v/>
      </c>
    </row>
    <row r="8072" spans="326:327">
      <c r="LN8072" t="str">
        <v/>
      </c>
      <c r="LO8072" t="str">
        <v/>
      </c>
    </row>
    <row r="8073" spans="326:327">
      <c r="LN8073" t="str">
        <v/>
      </c>
      <c r="LO8073" t="str">
        <v/>
      </c>
    </row>
    <row r="8074" spans="326:327">
      <c r="LN8074" t="str">
        <v/>
      </c>
      <c r="LO8074" t="str">
        <v/>
      </c>
    </row>
    <row r="8075" spans="326:327">
      <c r="LN8075" t="str">
        <v/>
      </c>
      <c r="LO8075" t="str">
        <v/>
      </c>
    </row>
    <row r="8076" spans="326:327">
      <c r="LN8076" t="str">
        <v/>
      </c>
      <c r="LO8076" t="str">
        <v/>
      </c>
    </row>
    <row r="8077" spans="326:327">
      <c r="LN8077" t="str">
        <v/>
      </c>
      <c r="LO8077" t="str">
        <v/>
      </c>
    </row>
    <row r="8078" spans="326:327">
      <c r="LN8078" t="str">
        <v/>
      </c>
      <c r="LO8078" t="str">
        <v/>
      </c>
    </row>
    <row r="8079" spans="326:327">
      <c r="LN8079" t="str">
        <v/>
      </c>
      <c r="LO8079" t="str">
        <v/>
      </c>
    </row>
    <row r="8080" spans="326:327">
      <c r="LN8080" t="str">
        <v/>
      </c>
      <c r="LO8080" t="str">
        <v/>
      </c>
    </row>
    <row r="8081" spans="326:327">
      <c r="LN8081" t="str">
        <v/>
      </c>
      <c r="LO8081" t="str">
        <v/>
      </c>
    </row>
    <row r="8082" spans="326:327">
      <c r="LN8082" t="str">
        <v/>
      </c>
      <c r="LO8082" t="str">
        <v/>
      </c>
    </row>
    <row r="8083" spans="326:327">
      <c r="LN8083" t="str">
        <v/>
      </c>
      <c r="LO8083" t="str">
        <v/>
      </c>
    </row>
    <row r="8084" spans="326:327">
      <c r="LN8084" t="str">
        <v/>
      </c>
      <c r="LO8084" t="str">
        <v/>
      </c>
    </row>
    <row r="8085" spans="326:327">
      <c r="LN8085" t="str">
        <v/>
      </c>
      <c r="LO8085" t="str">
        <v/>
      </c>
    </row>
    <row r="8086" spans="326:327">
      <c r="LN8086" t="str">
        <v/>
      </c>
      <c r="LO8086" t="str">
        <v/>
      </c>
    </row>
    <row r="8087" spans="326:327">
      <c r="LN8087" t="str">
        <v/>
      </c>
      <c r="LO8087" t="str">
        <v/>
      </c>
    </row>
    <row r="8088" spans="326:327">
      <c r="LN8088" t="str">
        <v/>
      </c>
      <c r="LO8088" t="str">
        <v/>
      </c>
    </row>
    <row r="8089" spans="326:327">
      <c r="LN8089" t="str">
        <v/>
      </c>
      <c r="LO8089" t="str">
        <v/>
      </c>
    </row>
    <row r="8090" spans="326:327">
      <c r="LN8090" t="str">
        <v/>
      </c>
      <c r="LO8090" t="str">
        <v/>
      </c>
    </row>
    <row r="8091" spans="326:327">
      <c r="LN8091" t="str">
        <v/>
      </c>
      <c r="LO8091" t="str">
        <v/>
      </c>
    </row>
    <row r="8092" spans="326:327">
      <c r="LN8092" t="str">
        <v/>
      </c>
      <c r="LO8092" t="str">
        <v/>
      </c>
    </row>
    <row r="8093" spans="326:327">
      <c r="LN8093" t="str">
        <v/>
      </c>
      <c r="LO8093" t="str">
        <v/>
      </c>
    </row>
    <row r="8094" spans="326:327">
      <c r="LN8094" t="str">
        <v/>
      </c>
      <c r="LO8094" t="str">
        <v/>
      </c>
    </row>
    <row r="8095" spans="326:327">
      <c r="LN8095" t="str">
        <v/>
      </c>
      <c r="LO8095" t="str">
        <v/>
      </c>
    </row>
    <row r="8096" spans="326:327">
      <c r="LN8096" t="str">
        <v/>
      </c>
      <c r="LO8096" t="str">
        <v/>
      </c>
    </row>
    <row r="8097" spans="326:327">
      <c r="LN8097" t="str">
        <v/>
      </c>
      <c r="LO8097" t="str">
        <v/>
      </c>
    </row>
    <row r="8098" spans="326:327">
      <c r="LN8098" t="str">
        <v/>
      </c>
      <c r="LO8098" t="str">
        <v/>
      </c>
    </row>
    <row r="8099" spans="326:327">
      <c r="LN8099" t="str">
        <v/>
      </c>
      <c r="LO8099" t="str">
        <v/>
      </c>
    </row>
    <row r="8100" spans="326:327">
      <c r="LN8100" t="str">
        <v/>
      </c>
      <c r="LO8100" t="str">
        <v/>
      </c>
    </row>
    <row r="8101" spans="326:327">
      <c r="LN8101" t="str">
        <v/>
      </c>
      <c r="LO8101" t="str">
        <v/>
      </c>
    </row>
    <row r="8102" spans="326:327">
      <c r="LN8102" t="str">
        <v/>
      </c>
      <c r="LO8102" t="str">
        <v/>
      </c>
    </row>
    <row r="8103" spans="326:327">
      <c r="LN8103" t="str">
        <v/>
      </c>
      <c r="LO8103" t="str">
        <v/>
      </c>
    </row>
    <row r="8104" spans="326:327">
      <c r="LN8104" t="str">
        <v/>
      </c>
      <c r="LO8104" t="str">
        <v/>
      </c>
    </row>
    <row r="8105" spans="326:327">
      <c r="LN8105" t="str">
        <v/>
      </c>
      <c r="LO8105" t="str">
        <v/>
      </c>
    </row>
    <row r="8106" spans="326:327">
      <c r="LN8106" t="str">
        <v/>
      </c>
      <c r="LO8106" t="str">
        <v/>
      </c>
    </row>
    <row r="8107" spans="326:327">
      <c r="LN8107" t="str">
        <v/>
      </c>
      <c r="LO8107" t="str">
        <v/>
      </c>
    </row>
    <row r="8108" spans="326:327">
      <c r="LN8108" t="str">
        <v/>
      </c>
      <c r="LO8108" t="str">
        <v/>
      </c>
    </row>
    <row r="8109" spans="326:327">
      <c r="LN8109" t="str">
        <v/>
      </c>
      <c r="LO8109" t="str">
        <v/>
      </c>
    </row>
    <row r="8110" spans="326:327">
      <c r="LN8110" t="str">
        <v/>
      </c>
      <c r="LO8110" t="str">
        <v/>
      </c>
    </row>
    <row r="8111" spans="326:327">
      <c r="LN8111" t="str">
        <v/>
      </c>
      <c r="LO8111" t="str">
        <v/>
      </c>
    </row>
    <row r="8112" spans="326:327">
      <c r="LN8112" t="str">
        <v/>
      </c>
      <c r="LO8112" t="str">
        <v/>
      </c>
    </row>
    <row r="8113" spans="326:327">
      <c r="LN8113" t="str">
        <v/>
      </c>
      <c r="LO8113" t="str">
        <v/>
      </c>
    </row>
    <row r="8114" spans="326:327">
      <c r="LN8114" t="str">
        <v/>
      </c>
      <c r="LO8114" t="str">
        <v/>
      </c>
    </row>
    <row r="8115" spans="326:327">
      <c r="LN8115" t="str">
        <v/>
      </c>
      <c r="LO8115" t="str">
        <v/>
      </c>
    </row>
    <row r="8116" spans="326:327">
      <c r="LN8116" t="str">
        <v/>
      </c>
      <c r="LO8116" t="str">
        <v/>
      </c>
    </row>
    <row r="8117" spans="326:327">
      <c r="LN8117" t="str">
        <v/>
      </c>
      <c r="LO8117" t="str">
        <v/>
      </c>
    </row>
    <row r="8118" spans="326:327">
      <c r="LN8118" t="str">
        <v/>
      </c>
      <c r="LO8118" t="str">
        <v/>
      </c>
    </row>
    <row r="8119" spans="326:327">
      <c r="LN8119" t="str">
        <v/>
      </c>
      <c r="LO8119" t="str">
        <v/>
      </c>
    </row>
    <row r="8120" spans="326:327">
      <c r="LN8120" t="str">
        <v/>
      </c>
      <c r="LO8120" t="str">
        <v/>
      </c>
    </row>
    <row r="8121" spans="326:327">
      <c r="LN8121" t="str">
        <v/>
      </c>
      <c r="LO8121" t="str">
        <v/>
      </c>
    </row>
    <row r="8122" spans="326:327">
      <c r="LN8122" t="str">
        <v/>
      </c>
      <c r="LO8122" t="str">
        <v/>
      </c>
    </row>
    <row r="8123" spans="326:327">
      <c r="LN8123" t="str">
        <v/>
      </c>
      <c r="LO8123" t="str">
        <v/>
      </c>
    </row>
    <row r="8124" spans="326:327">
      <c r="LN8124" t="str">
        <v/>
      </c>
      <c r="LO8124" t="str">
        <v/>
      </c>
    </row>
    <row r="8125" spans="326:327">
      <c r="LN8125" t="str">
        <v/>
      </c>
      <c r="LO8125" t="str">
        <v/>
      </c>
    </row>
    <row r="8126" spans="326:327">
      <c r="LN8126" t="str">
        <v/>
      </c>
      <c r="LO8126" t="str">
        <v/>
      </c>
    </row>
    <row r="8127" spans="326:327">
      <c r="LN8127" t="str">
        <v/>
      </c>
      <c r="LO8127" t="str">
        <v/>
      </c>
    </row>
    <row r="8128" spans="326:327">
      <c r="LN8128" t="str">
        <v/>
      </c>
      <c r="LO8128" t="str">
        <v/>
      </c>
    </row>
    <row r="8129" spans="326:327">
      <c r="LN8129" t="str">
        <v/>
      </c>
      <c r="LO8129" t="str">
        <v/>
      </c>
    </row>
    <row r="8130" spans="326:327">
      <c r="LN8130" t="str">
        <v/>
      </c>
      <c r="LO8130" t="str">
        <v/>
      </c>
    </row>
    <row r="8131" spans="326:327">
      <c r="LN8131" t="str">
        <v/>
      </c>
      <c r="LO8131" t="str">
        <v/>
      </c>
    </row>
    <row r="8132" spans="326:327">
      <c r="LN8132" t="str">
        <v/>
      </c>
      <c r="LO8132" t="str">
        <v/>
      </c>
    </row>
    <row r="8133" spans="326:327">
      <c r="LN8133" t="str">
        <v/>
      </c>
      <c r="LO8133" t="str">
        <v/>
      </c>
    </row>
    <row r="8134" spans="326:327">
      <c r="LN8134" t="str">
        <v/>
      </c>
      <c r="LO8134" t="str">
        <v/>
      </c>
    </row>
    <row r="8135" spans="326:327">
      <c r="LN8135" t="str">
        <v/>
      </c>
      <c r="LO8135" t="str">
        <v/>
      </c>
    </row>
    <row r="8136" spans="326:327">
      <c r="LN8136" t="str">
        <v/>
      </c>
      <c r="LO8136" t="str">
        <v/>
      </c>
    </row>
    <row r="8137" spans="326:327">
      <c r="LN8137" t="str">
        <v/>
      </c>
      <c r="LO8137" t="str">
        <v/>
      </c>
    </row>
    <row r="8138" spans="326:327">
      <c r="LN8138" t="str">
        <v/>
      </c>
      <c r="LO8138" t="str">
        <v/>
      </c>
    </row>
    <row r="8139" spans="326:327">
      <c r="LN8139" t="str">
        <v/>
      </c>
      <c r="LO8139" t="str">
        <v/>
      </c>
    </row>
    <row r="8140" spans="326:327">
      <c r="LN8140" t="str">
        <v/>
      </c>
      <c r="LO8140" t="str">
        <v/>
      </c>
    </row>
    <row r="8141" spans="326:327">
      <c r="LN8141" t="str">
        <v/>
      </c>
      <c r="LO8141" t="str">
        <v/>
      </c>
    </row>
    <row r="8142" spans="326:327">
      <c r="LN8142" t="str">
        <v/>
      </c>
      <c r="LO8142" t="str">
        <v/>
      </c>
    </row>
    <row r="8143" spans="326:327">
      <c r="LN8143" t="str">
        <v/>
      </c>
      <c r="LO8143" t="str">
        <v/>
      </c>
    </row>
    <row r="8144" spans="326:327">
      <c r="LN8144" t="str">
        <v/>
      </c>
      <c r="LO8144" t="str">
        <v/>
      </c>
    </row>
    <row r="8145" spans="326:327">
      <c r="LN8145" t="str">
        <v/>
      </c>
      <c r="LO8145" t="str">
        <v/>
      </c>
    </row>
    <row r="8146" spans="326:327">
      <c r="LN8146" t="str">
        <v/>
      </c>
      <c r="LO8146" t="str">
        <v/>
      </c>
    </row>
    <row r="8147" spans="326:327">
      <c r="LN8147" t="str">
        <v/>
      </c>
      <c r="LO8147" t="str">
        <v/>
      </c>
    </row>
    <row r="8148" spans="326:327">
      <c r="LN8148" t="str">
        <v/>
      </c>
      <c r="LO8148" t="str">
        <v/>
      </c>
    </row>
    <row r="8149" spans="326:327">
      <c r="LN8149" t="str">
        <v/>
      </c>
      <c r="LO8149" t="str">
        <v/>
      </c>
    </row>
    <row r="8150" spans="326:327">
      <c r="LN8150" t="str">
        <v/>
      </c>
      <c r="LO8150" t="str">
        <v/>
      </c>
    </row>
    <row r="8151" spans="326:327">
      <c r="LN8151" t="str">
        <v/>
      </c>
      <c r="LO8151" t="str">
        <v/>
      </c>
    </row>
    <row r="8152" spans="326:327">
      <c r="LN8152" t="str">
        <v/>
      </c>
      <c r="LO8152" t="str">
        <v/>
      </c>
    </row>
    <row r="8153" spans="326:327">
      <c r="LN8153" t="str">
        <v/>
      </c>
      <c r="LO8153" t="str">
        <v/>
      </c>
    </row>
    <row r="8154" spans="326:327">
      <c r="LN8154" t="str">
        <v/>
      </c>
      <c r="LO8154" t="str">
        <v/>
      </c>
    </row>
    <row r="8155" spans="326:327">
      <c r="LN8155" t="str">
        <v/>
      </c>
      <c r="LO8155" t="str">
        <v/>
      </c>
    </row>
    <row r="8156" spans="326:327">
      <c r="LN8156" t="str">
        <v/>
      </c>
      <c r="LO8156" t="str">
        <v/>
      </c>
    </row>
    <row r="8157" spans="326:327">
      <c r="LN8157" t="str">
        <v/>
      </c>
      <c r="LO8157" t="str">
        <v/>
      </c>
    </row>
    <row r="8158" spans="326:327">
      <c r="LN8158" t="str">
        <v/>
      </c>
      <c r="LO8158" t="str">
        <v/>
      </c>
    </row>
    <row r="8159" spans="326:327">
      <c r="LN8159" t="str">
        <v/>
      </c>
      <c r="LO8159" t="str">
        <v/>
      </c>
    </row>
    <row r="8160" spans="326:327">
      <c r="LN8160" t="str">
        <v/>
      </c>
      <c r="LO8160" t="str">
        <v/>
      </c>
    </row>
    <row r="8161" spans="326:327">
      <c r="LN8161" t="str">
        <v/>
      </c>
      <c r="LO8161" t="str">
        <v/>
      </c>
    </row>
    <row r="8162" spans="326:327">
      <c r="LN8162" t="str">
        <v/>
      </c>
      <c r="LO8162" t="str">
        <v/>
      </c>
    </row>
    <row r="8163" spans="326:327">
      <c r="LN8163" t="str">
        <v/>
      </c>
      <c r="LO8163" t="str">
        <v/>
      </c>
    </row>
    <row r="8164" spans="326:327">
      <c r="LN8164" t="str">
        <v/>
      </c>
      <c r="LO8164" t="str">
        <v/>
      </c>
    </row>
    <row r="8165" spans="326:327">
      <c r="LN8165" t="str">
        <v/>
      </c>
      <c r="LO8165" t="str">
        <v/>
      </c>
    </row>
    <row r="8166" spans="326:327">
      <c r="LN8166" t="str">
        <v/>
      </c>
      <c r="LO8166" t="str">
        <v/>
      </c>
    </row>
    <row r="8167" spans="326:327">
      <c r="LN8167" t="str">
        <v/>
      </c>
      <c r="LO8167" t="str">
        <v/>
      </c>
    </row>
    <row r="8168" spans="326:327">
      <c r="LN8168" t="str">
        <v/>
      </c>
      <c r="LO8168" t="str">
        <v/>
      </c>
    </row>
    <row r="8169" spans="326:327">
      <c r="LN8169" t="str">
        <v/>
      </c>
      <c r="LO8169" t="str">
        <v/>
      </c>
    </row>
    <row r="8170" spans="326:327">
      <c r="LN8170" t="str">
        <v/>
      </c>
      <c r="LO8170" t="str">
        <v/>
      </c>
    </row>
    <row r="8171" spans="326:327">
      <c r="LN8171" t="str">
        <v/>
      </c>
      <c r="LO8171" t="str">
        <v/>
      </c>
    </row>
    <row r="8172" spans="326:327">
      <c r="LN8172" t="str">
        <v/>
      </c>
      <c r="LO8172" t="str">
        <v/>
      </c>
    </row>
    <row r="8173" spans="326:327">
      <c r="LN8173" t="str">
        <v/>
      </c>
      <c r="LO8173" t="str">
        <v/>
      </c>
    </row>
    <row r="8174" spans="326:327">
      <c r="LN8174" t="str">
        <v/>
      </c>
      <c r="LO8174" t="str">
        <v/>
      </c>
    </row>
    <row r="8175" spans="326:327">
      <c r="LN8175" t="str">
        <v/>
      </c>
      <c r="LO8175" t="str">
        <v/>
      </c>
    </row>
    <row r="8176" spans="326:327">
      <c r="LN8176" t="str">
        <v/>
      </c>
      <c r="LO8176" t="str">
        <v/>
      </c>
    </row>
    <row r="8177" spans="326:327">
      <c r="LN8177" t="str">
        <v/>
      </c>
      <c r="LO8177" t="str">
        <v/>
      </c>
    </row>
    <row r="8178" spans="326:327">
      <c r="LN8178" t="str">
        <v/>
      </c>
      <c r="LO8178" t="str">
        <v/>
      </c>
    </row>
    <row r="8179" spans="326:327">
      <c r="LN8179" t="str">
        <v/>
      </c>
      <c r="LO8179" t="str">
        <v/>
      </c>
    </row>
    <row r="8180" spans="326:327">
      <c r="LN8180" t="str">
        <v/>
      </c>
      <c r="LO8180" t="str">
        <v/>
      </c>
    </row>
    <row r="8181" spans="326:327">
      <c r="LN8181" t="str">
        <v/>
      </c>
      <c r="LO8181" t="str">
        <v/>
      </c>
    </row>
    <row r="8182" spans="326:327">
      <c r="LN8182" t="str">
        <v/>
      </c>
      <c r="LO8182" t="str">
        <v/>
      </c>
    </row>
    <row r="8183" spans="326:327">
      <c r="LN8183" t="str">
        <v/>
      </c>
      <c r="LO8183" t="str">
        <v/>
      </c>
    </row>
    <row r="8184" spans="326:327">
      <c r="LN8184" t="str">
        <v/>
      </c>
      <c r="LO8184" t="str">
        <v/>
      </c>
    </row>
    <row r="8185" spans="326:327">
      <c r="LN8185" t="str">
        <v/>
      </c>
      <c r="LO8185" t="str">
        <v/>
      </c>
    </row>
    <row r="8186" spans="326:327">
      <c r="LN8186" t="str">
        <v/>
      </c>
      <c r="LO8186" t="str">
        <v/>
      </c>
    </row>
    <row r="8187" spans="326:327">
      <c r="LN8187" t="str">
        <v/>
      </c>
      <c r="LO8187" t="str">
        <v/>
      </c>
    </row>
    <row r="8188" spans="326:327">
      <c r="LN8188" t="str">
        <v/>
      </c>
      <c r="LO8188" t="str">
        <v/>
      </c>
    </row>
    <row r="8189" spans="326:327">
      <c r="LN8189" t="str">
        <v/>
      </c>
      <c r="LO8189" t="str">
        <v/>
      </c>
    </row>
    <row r="8190" spans="326:327">
      <c r="LN8190" t="str">
        <v/>
      </c>
      <c r="LO8190" t="str">
        <v/>
      </c>
    </row>
    <row r="8191" spans="326:327">
      <c r="LN8191" t="str">
        <v/>
      </c>
      <c r="LO8191" t="str">
        <v/>
      </c>
    </row>
    <row r="8192" spans="326:327">
      <c r="LN8192" t="str">
        <v/>
      </c>
      <c r="LO8192" t="str">
        <v/>
      </c>
    </row>
    <row r="8193" spans="326:327">
      <c r="LN8193" t="str">
        <v/>
      </c>
      <c r="LO8193" t="str">
        <v/>
      </c>
    </row>
    <row r="8194" spans="326:327">
      <c r="LN8194" t="str">
        <v/>
      </c>
      <c r="LO8194" t="str">
        <v/>
      </c>
    </row>
    <row r="8195" spans="326:327">
      <c r="LN8195" t="str">
        <v/>
      </c>
      <c r="LO8195" t="str">
        <v/>
      </c>
    </row>
    <row r="8196" spans="326:327">
      <c r="LN8196" t="str">
        <v/>
      </c>
      <c r="LO8196" t="str">
        <v/>
      </c>
    </row>
    <row r="8197" spans="326:327">
      <c r="LN8197" t="str">
        <v/>
      </c>
      <c r="LO8197" t="str">
        <v/>
      </c>
    </row>
    <row r="8198" spans="326:327">
      <c r="LN8198" t="str">
        <v/>
      </c>
      <c r="LO8198" t="str">
        <v/>
      </c>
    </row>
    <row r="8199" spans="326:327">
      <c r="LN8199" t="str">
        <v/>
      </c>
      <c r="LO8199" t="str">
        <v/>
      </c>
    </row>
    <row r="8200" spans="326:327">
      <c r="LN8200" t="str">
        <v/>
      </c>
      <c r="LO8200" t="str">
        <v/>
      </c>
    </row>
    <row r="8201" spans="326:327">
      <c r="LN8201" t="str">
        <v/>
      </c>
      <c r="LO8201" t="str">
        <v/>
      </c>
    </row>
    <row r="8202" spans="326:327">
      <c r="LN8202" t="str">
        <v/>
      </c>
      <c r="LO8202" t="str">
        <v/>
      </c>
    </row>
    <row r="8203" spans="326:327">
      <c r="LN8203" t="str">
        <v/>
      </c>
      <c r="LO8203" t="str">
        <v/>
      </c>
    </row>
    <row r="8204" spans="326:327">
      <c r="LN8204" t="str">
        <v/>
      </c>
      <c r="LO8204" t="str">
        <v/>
      </c>
    </row>
    <row r="8205" spans="326:327">
      <c r="LN8205" t="str">
        <v/>
      </c>
      <c r="LO8205" t="str">
        <v/>
      </c>
    </row>
    <row r="8206" spans="326:327">
      <c r="LN8206" t="str">
        <v/>
      </c>
      <c r="LO8206" t="str">
        <v/>
      </c>
    </row>
    <row r="8207" spans="326:327">
      <c r="LN8207" t="str">
        <v/>
      </c>
      <c r="LO8207" t="str">
        <v/>
      </c>
    </row>
    <row r="8208" spans="326:327">
      <c r="LN8208" t="str">
        <v/>
      </c>
      <c r="LO8208" t="str">
        <v/>
      </c>
    </row>
    <row r="8209" spans="326:327">
      <c r="LN8209" t="str">
        <v/>
      </c>
      <c r="LO8209" t="str">
        <v/>
      </c>
    </row>
    <row r="8210" spans="326:327">
      <c r="LN8210" t="str">
        <v/>
      </c>
      <c r="LO8210" t="str">
        <v/>
      </c>
    </row>
    <row r="8211" spans="326:327">
      <c r="LN8211" t="str">
        <v/>
      </c>
      <c r="LO8211" t="str">
        <v/>
      </c>
    </row>
    <row r="8212" spans="326:327">
      <c r="LN8212" t="str">
        <v/>
      </c>
      <c r="LO8212" t="str">
        <v/>
      </c>
    </row>
    <row r="8213" spans="326:327">
      <c r="LN8213" t="str">
        <v/>
      </c>
      <c r="LO8213" t="str">
        <v/>
      </c>
    </row>
    <row r="8214" spans="326:327">
      <c r="LN8214" t="str">
        <v/>
      </c>
      <c r="LO8214" t="str">
        <v/>
      </c>
    </row>
    <row r="8215" spans="326:327">
      <c r="LN8215" t="str">
        <v/>
      </c>
      <c r="LO8215" t="str">
        <v/>
      </c>
    </row>
    <row r="8216" spans="326:327">
      <c r="LN8216" t="str">
        <v/>
      </c>
      <c r="LO8216" t="str">
        <v/>
      </c>
    </row>
    <row r="8217" spans="326:327">
      <c r="LN8217" t="str">
        <v/>
      </c>
      <c r="LO8217" t="str">
        <v/>
      </c>
    </row>
    <row r="8218" spans="326:327">
      <c r="LN8218" t="str">
        <v/>
      </c>
      <c r="LO8218" t="str">
        <v/>
      </c>
    </row>
    <row r="8219" spans="326:327">
      <c r="LN8219" t="str">
        <v/>
      </c>
      <c r="LO8219" t="str">
        <v/>
      </c>
    </row>
    <row r="8220" spans="326:327">
      <c r="LN8220" t="str">
        <v/>
      </c>
      <c r="LO8220" t="str">
        <v/>
      </c>
    </row>
    <row r="8221" spans="326:327">
      <c r="LN8221" t="str">
        <v/>
      </c>
      <c r="LO8221" t="str">
        <v/>
      </c>
    </row>
    <row r="8222" spans="326:327">
      <c r="LN8222" t="str">
        <v/>
      </c>
      <c r="LO8222" t="str">
        <v/>
      </c>
    </row>
    <row r="8223" spans="326:327">
      <c r="LN8223" t="str">
        <v/>
      </c>
      <c r="LO8223" t="str">
        <v/>
      </c>
    </row>
    <row r="8224" spans="326:327">
      <c r="LN8224" t="str">
        <v/>
      </c>
      <c r="LO8224" t="str">
        <v/>
      </c>
    </row>
    <row r="8225" spans="326:327">
      <c r="LN8225" t="str">
        <v/>
      </c>
      <c r="LO8225" t="str">
        <v/>
      </c>
    </row>
    <row r="8226" spans="326:327">
      <c r="LN8226" t="str">
        <v/>
      </c>
      <c r="LO8226" t="str">
        <v/>
      </c>
    </row>
    <row r="8227" spans="326:327">
      <c r="LN8227" t="str">
        <v/>
      </c>
      <c r="LO8227" t="str">
        <v/>
      </c>
    </row>
    <row r="8228" spans="326:327">
      <c r="LN8228" t="str">
        <v/>
      </c>
      <c r="LO8228" t="str">
        <v/>
      </c>
    </row>
    <row r="8229" spans="326:327">
      <c r="LN8229" t="str">
        <v/>
      </c>
      <c r="LO8229" t="str">
        <v/>
      </c>
    </row>
    <row r="8230" spans="326:327">
      <c r="LN8230" t="str">
        <v/>
      </c>
      <c r="LO8230" t="str">
        <v/>
      </c>
    </row>
    <row r="8231" spans="326:327">
      <c r="LN8231" t="str">
        <v/>
      </c>
      <c r="LO8231" t="str">
        <v/>
      </c>
    </row>
    <row r="8232" spans="326:327">
      <c r="LN8232" t="str">
        <v/>
      </c>
      <c r="LO8232" t="str">
        <v/>
      </c>
    </row>
    <row r="8233" spans="326:327">
      <c r="LN8233" t="str">
        <v/>
      </c>
      <c r="LO8233" t="str">
        <v/>
      </c>
    </row>
    <row r="8234" spans="326:327">
      <c r="LN8234" t="str">
        <v/>
      </c>
      <c r="LO8234" t="str">
        <v/>
      </c>
    </row>
    <row r="8235" spans="326:327">
      <c r="LN8235" t="str">
        <v/>
      </c>
      <c r="LO8235" t="str">
        <v/>
      </c>
    </row>
    <row r="8236" spans="326:327">
      <c r="LN8236" t="str">
        <v/>
      </c>
      <c r="LO8236" t="str">
        <v/>
      </c>
    </row>
    <row r="8237" spans="326:327">
      <c r="LN8237" t="str">
        <v/>
      </c>
      <c r="LO8237" t="str">
        <v/>
      </c>
    </row>
    <row r="8238" spans="326:327">
      <c r="LN8238" t="str">
        <v/>
      </c>
      <c r="LO8238" t="str">
        <v/>
      </c>
    </row>
    <row r="8239" spans="326:327">
      <c r="LN8239" t="str">
        <v/>
      </c>
      <c r="LO8239" t="str">
        <v/>
      </c>
    </row>
    <row r="8240" spans="326:327">
      <c r="LN8240" t="str">
        <v/>
      </c>
      <c r="LO8240" t="str">
        <v/>
      </c>
    </row>
    <row r="8241" spans="326:327">
      <c r="LN8241" t="str">
        <v/>
      </c>
      <c r="LO8241" t="str">
        <v/>
      </c>
    </row>
    <row r="8242" spans="326:327">
      <c r="LN8242" t="str">
        <v/>
      </c>
      <c r="LO8242" t="str">
        <v/>
      </c>
    </row>
    <row r="8243" spans="326:327">
      <c r="LN8243" t="str">
        <v/>
      </c>
      <c r="LO8243" t="str">
        <v/>
      </c>
    </row>
    <row r="8244" spans="326:327">
      <c r="LN8244" t="str">
        <v/>
      </c>
      <c r="LO8244" t="str">
        <v/>
      </c>
    </row>
    <row r="8245" spans="326:327">
      <c r="LN8245" t="str">
        <v/>
      </c>
      <c r="LO8245" t="str">
        <v/>
      </c>
    </row>
    <row r="8246" spans="326:327">
      <c r="LN8246" t="str">
        <v/>
      </c>
      <c r="LO8246" t="str">
        <v/>
      </c>
    </row>
    <row r="8247" spans="326:327">
      <c r="LN8247" t="str">
        <v/>
      </c>
      <c r="LO8247" t="str">
        <v/>
      </c>
    </row>
    <row r="8248" spans="326:327">
      <c r="LN8248" t="str">
        <v/>
      </c>
      <c r="LO8248" t="str">
        <v/>
      </c>
    </row>
    <row r="8249" spans="326:327">
      <c r="LN8249" t="str">
        <v/>
      </c>
      <c r="LO8249" t="str">
        <v/>
      </c>
    </row>
    <row r="8250" spans="326:327">
      <c r="LN8250" t="str">
        <v/>
      </c>
      <c r="LO8250" t="str">
        <v/>
      </c>
    </row>
    <row r="8251" spans="326:327">
      <c r="LN8251" t="str">
        <v/>
      </c>
      <c r="LO8251" t="str">
        <v/>
      </c>
    </row>
    <row r="8252" spans="326:327">
      <c r="LN8252" t="str">
        <v/>
      </c>
      <c r="LO8252" t="str">
        <v/>
      </c>
    </row>
    <row r="8253" spans="326:327">
      <c r="LN8253" t="str">
        <v/>
      </c>
      <c r="LO8253" t="str">
        <v/>
      </c>
    </row>
    <row r="8254" spans="326:327">
      <c r="LN8254" t="str">
        <v/>
      </c>
      <c r="LO8254" t="str">
        <v/>
      </c>
    </row>
    <row r="8255" spans="326:327">
      <c r="LN8255" t="str">
        <v/>
      </c>
      <c r="LO8255" t="str">
        <v/>
      </c>
    </row>
    <row r="8256" spans="326:327">
      <c r="LN8256" t="str">
        <v/>
      </c>
      <c r="LO8256" t="str">
        <v/>
      </c>
    </row>
    <row r="8257" spans="326:327">
      <c r="LN8257" t="str">
        <v/>
      </c>
      <c r="LO8257" t="str">
        <v/>
      </c>
    </row>
    <row r="8258" spans="326:327">
      <c r="LN8258" t="str">
        <v/>
      </c>
      <c r="LO8258" t="str">
        <v/>
      </c>
    </row>
    <row r="8259" spans="326:327">
      <c r="LN8259" t="str">
        <v/>
      </c>
      <c r="LO8259" t="str">
        <v/>
      </c>
    </row>
    <row r="8260" spans="326:327">
      <c r="LN8260" t="str">
        <v/>
      </c>
      <c r="LO8260" t="str">
        <v/>
      </c>
    </row>
    <row r="8261" spans="326:327">
      <c r="LN8261" t="str">
        <v/>
      </c>
      <c r="LO8261" t="str">
        <v/>
      </c>
    </row>
    <row r="8262" spans="326:327">
      <c r="LN8262" t="str">
        <v/>
      </c>
      <c r="LO8262" t="str">
        <v/>
      </c>
    </row>
    <row r="8263" spans="326:327">
      <c r="LN8263" t="str">
        <v/>
      </c>
      <c r="LO8263" t="str">
        <v/>
      </c>
    </row>
    <row r="8264" spans="326:327">
      <c r="LN8264" t="str">
        <v/>
      </c>
      <c r="LO8264" t="str">
        <v/>
      </c>
    </row>
    <row r="8265" spans="326:327">
      <c r="LN8265" t="str">
        <v/>
      </c>
      <c r="LO8265" t="str">
        <v/>
      </c>
    </row>
    <row r="8266" spans="326:327">
      <c r="LN8266" t="str">
        <v/>
      </c>
      <c r="LO8266" t="str">
        <v/>
      </c>
    </row>
    <row r="8267" spans="326:327">
      <c r="LN8267" t="str">
        <v/>
      </c>
      <c r="LO8267" t="str">
        <v/>
      </c>
    </row>
    <row r="8268" spans="326:327">
      <c r="LN8268" t="str">
        <v/>
      </c>
      <c r="LO8268" t="str">
        <v/>
      </c>
    </row>
    <row r="8269" spans="326:327">
      <c r="LN8269" t="str">
        <v/>
      </c>
      <c r="LO8269" t="str">
        <v/>
      </c>
    </row>
    <row r="8270" spans="326:327">
      <c r="LN8270" t="str">
        <v/>
      </c>
      <c r="LO8270" t="str">
        <v/>
      </c>
    </row>
    <row r="8271" spans="326:327">
      <c r="LN8271" t="str">
        <v/>
      </c>
      <c r="LO8271" t="str">
        <v/>
      </c>
    </row>
    <row r="8272" spans="326:327">
      <c r="LN8272" t="str">
        <v/>
      </c>
      <c r="LO8272" t="str">
        <v/>
      </c>
    </row>
    <row r="8273" spans="326:327">
      <c r="LN8273" t="str">
        <v/>
      </c>
      <c r="LO8273" t="str">
        <v/>
      </c>
    </row>
    <row r="8274" spans="326:327">
      <c r="LN8274" t="str">
        <v/>
      </c>
      <c r="LO8274" t="str">
        <v/>
      </c>
    </row>
    <row r="8275" spans="326:327">
      <c r="LN8275" t="str">
        <v/>
      </c>
      <c r="LO8275" t="str">
        <v/>
      </c>
    </row>
    <row r="8276" spans="326:327">
      <c r="LN8276" t="str">
        <v/>
      </c>
      <c r="LO8276" t="str">
        <v/>
      </c>
    </row>
    <row r="8277" spans="326:327">
      <c r="LN8277" t="str">
        <v/>
      </c>
      <c r="LO8277" t="str">
        <v/>
      </c>
    </row>
    <row r="8278" spans="326:327">
      <c r="LN8278" t="str">
        <v/>
      </c>
      <c r="LO8278" t="str">
        <v/>
      </c>
    </row>
    <row r="8279" spans="326:327">
      <c r="LN8279" t="str">
        <v/>
      </c>
      <c r="LO8279" t="str">
        <v/>
      </c>
    </row>
    <row r="8280" spans="326:327">
      <c r="LN8280" t="str">
        <v/>
      </c>
      <c r="LO8280" t="str">
        <v/>
      </c>
    </row>
    <row r="8281" spans="326:327">
      <c r="LN8281" t="str">
        <v/>
      </c>
      <c r="LO8281" t="str">
        <v/>
      </c>
    </row>
    <row r="8282" spans="326:327">
      <c r="LN8282" t="str">
        <v/>
      </c>
      <c r="LO8282" t="str">
        <v/>
      </c>
    </row>
    <row r="8283" spans="326:327">
      <c r="LN8283" t="str">
        <v/>
      </c>
      <c r="LO8283" t="str">
        <v/>
      </c>
    </row>
    <row r="8284" spans="326:327">
      <c r="LN8284" t="str">
        <v/>
      </c>
      <c r="LO8284" t="str">
        <v/>
      </c>
    </row>
    <row r="8285" spans="326:327">
      <c r="LN8285" t="str">
        <v/>
      </c>
      <c r="LO8285" t="str">
        <v/>
      </c>
    </row>
    <row r="8286" spans="326:327">
      <c r="LN8286" t="str">
        <v/>
      </c>
      <c r="LO8286" t="str">
        <v/>
      </c>
    </row>
    <row r="8287" spans="326:327">
      <c r="LN8287" t="str">
        <v/>
      </c>
      <c r="LO8287" t="str">
        <v/>
      </c>
    </row>
    <row r="8288" spans="326:327">
      <c r="LN8288" t="str">
        <v/>
      </c>
      <c r="LO8288" t="str">
        <v/>
      </c>
    </row>
    <row r="8289" spans="326:327">
      <c r="LN8289" t="str">
        <v/>
      </c>
      <c r="LO8289" t="str">
        <v/>
      </c>
    </row>
    <row r="8290" spans="326:327">
      <c r="LN8290" t="str">
        <v/>
      </c>
      <c r="LO8290" t="str">
        <v/>
      </c>
    </row>
    <row r="8291" spans="326:327">
      <c r="LN8291" t="str">
        <v/>
      </c>
      <c r="LO8291" t="str">
        <v/>
      </c>
    </row>
    <row r="8292" spans="326:327">
      <c r="LN8292" t="str">
        <v/>
      </c>
      <c r="LO8292" t="str">
        <v/>
      </c>
    </row>
    <row r="8293" spans="326:327">
      <c r="LN8293" t="str">
        <v/>
      </c>
      <c r="LO8293" t="str">
        <v/>
      </c>
    </row>
    <row r="8294" spans="326:327">
      <c r="LN8294" t="str">
        <v/>
      </c>
      <c r="LO8294" t="str">
        <v/>
      </c>
    </row>
    <row r="8295" spans="326:327">
      <c r="LN8295" t="str">
        <v/>
      </c>
      <c r="LO8295" t="str">
        <v/>
      </c>
    </row>
    <row r="8296" spans="326:327">
      <c r="LN8296" t="str">
        <v/>
      </c>
      <c r="LO8296" t="str">
        <v/>
      </c>
    </row>
    <row r="8297" spans="326:327">
      <c r="LN8297" t="str">
        <v/>
      </c>
      <c r="LO8297" t="str">
        <v/>
      </c>
    </row>
    <row r="8298" spans="326:327">
      <c r="LN8298" t="str">
        <v/>
      </c>
      <c r="LO8298" t="str">
        <v/>
      </c>
    </row>
    <row r="8299" spans="326:327">
      <c r="LN8299" t="str">
        <v/>
      </c>
      <c r="LO8299" t="str">
        <v/>
      </c>
    </row>
    <row r="8300" spans="326:327">
      <c r="LN8300" t="str">
        <v/>
      </c>
      <c r="LO8300" t="str">
        <v/>
      </c>
    </row>
    <row r="8301" spans="326:327">
      <c r="LN8301" t="str">
        <v/>
      </c>
      <c r="LO8301" t="str">
        <v/>
      </c>
    </row>
    <row r="8302" spans="326:327">
      <c r="LN8302" t="str">
        <v/>
      </c>
      <c r="LO8302" t="str">
        <v/>
      </c>
    </row>
    <row r="8303" spans="326:327">
      <c r="LN8303" t="str">
        <v/>
      </c>
      <c r="LO8303" t="str">
        <v/>
      </c>
    </row>
    <row r="8304" spans="326:327">
      <c r="LN8304" t="str">
        <v/>
      </c>
      <c r="LO8304" t="str">
        <v/>
      </c>
    </row>
    <row r="8305" spans="326:327">
      <c r="LN8305" t="str">
        <v/>
      </c>
      <c r="LO8305" t="str">
        <v/>
      </c>
    </row>
    <row r="8306" spans="326:327">
      <c r="LN8306" t="str">
        <v/>
      </c>
      <c r="LO8306" t="str">
        <v/>
      </c>
    </row>
    <row r="8307" spans="326:327">
      <c r="LN8307" t="str">
        <v/>
      </c>
      <c r="LO8307" t="str">
        <v/>
      </c>
    </row>
    <row r="8308" spans="326:327">
      <c r="LN8308" t="str">
        <v/>
      </c>
      <c r="LO8308" t="str">
        <v/>
      </c>
    </row>
    <row r="8309" spans="326:327">
      <c r="LN8309" t="str">
        <v/>
      </c>
      <c r="LO8309" t="str">
        <v/>
      </c>
    </row>
    <row r="8310" spans="326:327">
      <c r="LN8310" t="str">
        <v/>
      </c>
      <c r="LO8310" t="str">
        <v/>
      </c>
    </row>
    <row r="8311" spans="326:327">
      <c r="LN8311" t="str">
        <v/>
      </c>
      <c r="LO8311" t="str">
        <v/>
      </c>
    </row>
    <row r="8312" spans="326:327">
      <c r="LN8312" t="str">
        <v/>
      </c>
      <c r="LO8312" t="str">
        <v/>
      </c>
    </row>
    <row r="8313" spans="326:327">
      <c r="LN8313" t="str">
        <v/>
      </c>
      <c r="LO8313" t="str">
        <v/>
      </c>
    </row>
    <row r="8314" spans="326:327">
      <c r="LN8314" t="str">
        <v/>
      </c>
      <c r="LO8314" t="str">
        <v/>
      </c>
    </row>
    <row r="8315" spans="326:327">
      <c r="LN8315" t="str">
        <v/>
      </c>
      <c r="LO8315" t="str">
        <v/>
      </c>
    </row>
    <row r="8316" spans="326:327">
      <c r="LN8316" t="str">
        <v/>
      </c>
      <c r="LO8316" t="str">
        <v/>
      </c>
    </row>
    <row r="8317" spans="326:327">
      <c r="LN8317" t="str">
        <v/>
      </c>
      <c r="LO8317" t="str">
        <v/>
      </c>
    </row>
    <row r="8318" spans="326:327">
      <c r="LN8318" t="str">
        <v/>
      </c>
      <c r="LO8318" t="str">
        <v/>
      </c>
    </row>
    <row r="8319" spans="326:327">
      <c r="LN8319" t="str">
        <v/>
      </c>
      <c r="LO8319" t="str">
        <v/>
      </c>
    </row>
    <row r="8320" spans="326:327">
      <c r="LN8320" t="str">
        <v/>
      </c>
      <c r="LO8320" t="str">
        <v/>
      </c>
    </row>
    <row r="8321" spans="326:327">
      <c r="LN8321" t="str">
        <v/>
      </c>
      <c r="LO8321" t="str">
        <v/>
      </c>
    </row>
    <row r="8322" spans="326:327">
      <c r="LN8322" t="str">
        <v/>
      </c>
      <c r="LO8322" t="str">
        <v/>
      </c>
    </row>
    <row r="8323" spans="326:327">
      <c r="LN8323" t="str">
        <v/>
      </c>
      <c r="LO8323" t="str">
        <v/>
      </c>
    </row>
    <row r="8324" spans="326:327">
      <c r="LN8324" t="str">
        <v/>
      </c>
      <c r="LO8324" t="str">
        <v/>
      </c>
    </row>
    <row r="8325" spans="326:327">
      <c r="LN8325" t="str">
        <v/>
      </c>
      <c r="LO8325" t="str">
        <v/>
      </c>
    </row>
    <row r="8326" spans="326:327">
      <c r="LN8326" t="str">
        <v/>
      </c>
      <c r="LO8326" t="str">
        <v/>
      </c>
    </row>
    <row r="8327" spans="326:327">
      <c r="LN8327" t="str">
        <v/>
      </c>
      <c r="LO8327" t="str">
        <v/>
      </c>
    </row>
    <row r="8328" spans="326:327">
      <c r="LN8328" t="str">
        <v/>
      </c>
      <c r="LO8328" t="str">
        <v/>
      </c>
    </row>
    <row r="8329" spans="326:327">
      <c r="LN8329" t="str">
        <v/>
      </c>
      <c r="LO8329" t="str">
        <v/>
      </c>
    </row>
    <row r="8330" spans="326:327">
      <c r="LN8330" t="str">
        <v/>
      </c>
      <c r="LO8330" t="str">
        <v/>
      </c>
    </row>
    <row r="8331" spans="326:327">
      <c r="LN8331" t="str">
        <v/>
      </c>
      <c r="LO8331" t="str">
        <v/>
      </c>
    </row>
    <row r="8332" spans="326:327">
      <c r="LN8332" t="str">
        <v/>
      </c>
      <c r="LO8332" t="str">
        <v/>
      </c>
    </row>
    <row r="8333" spans="326:327">
      <c r="LN8333" t="str">
        <v/>
      </c>
      <c r="LO8333" t="str">
        <v/>
      </c>
    </row>
    <row r="8334" spans="326:327">
      <c r="LN8334" t="str">
        <v/>
      </c>
      <c r="LO8334" t="str">
        <v/>
      </c>
    </row>
    <row r="8335" spans="326:327">
      <c r="LN8335" t="str">
        <v/>
      </c>
      <c r="LO8335" t="str">
        <v/>
      </c>
    </row>
    <row r="8336" spans="326:327">
      <c r="LN8336" t="str">
        <v/>
      </c>
      <c r="LO8336" t="str">
        <v/>
      </c>
    </row>
    <row r="8337" spans="326:327">
      <c r="LN8337" t="str">
        <v/>
      </c>
      <c r="LO8337" t="str">
        <v/>
      </c>
    </row>
    <row r="8338" spans="326:327">
      <c r="LN8338" t="str">
        <v/>
      </c>
      <c r="LO8338" t="str">
        <v/>
      </c>
    </row>
    <row r="8339" spans="326:327">
      <c r="LN8339" t="str">
        <v/>
      </c>
      <c r="LO8339" t="str">
        <v/>
      </c>
    </row>
    <row r="8340" spans="326:327">
      <c r="LN8340" t="str">
        <v/>
      </c>
      <c r="LO8340" t="str">
        <v/>
      </c>
    </row>
    <row r="8341" spans="326:327">
      <c r="LN8341" t="str">
        <v/>
      </c>
      <c r="LO8341" t="str">
        <v/>
      </c>
    </row>
    <row r="8342" spans="326:327">
      <c r="LN8342" t="str">
        <v/>
      </c>
      <c r="LO8342" t="str">
        <v/>
      </c>
    </row>
    <row r="8343" spans="326:327">
      <c r="LN8343" t="str">
        <v/>
      </c>
      <c r="LO8343" t="str">
        <v/>
      </c>
    </row>
    <row r="8344" spans="326:327">
      <c r="LN8344" t="str">
        <v/>
      </c>
      <c r="LO8344" t="str">
        <v/>
      </c>
    </row>
    <row r="8345" spans="326:327">
      <c r="LN8345" t="str">
        <v/>
      </c>
      <c r="LO8345" t="str">
        <v/>
      </c>
    </row>
    <row r="8346" spans="326:327">
      <c r="LN8346" t="str">
        <v/>
      </c>
      <c r="LO8346" t="str">
        <v/>
      </c>
    </row>
    <row r="8347" spans="326:327">
      <c r="LN8347" t="str">
        <v/>
      </c>
      <c r="LO8347" t="str">
        <v/>
      </c>
    </row>
    <row r="8348" spans="326:327">
      <c r="LN8348" t="str">
        <v/>
      </c>
      <c r="LO8348" t="str">
        <v/>
      </c>
    </row>
    <row r="8349" spans="326:327">
      <c r="LN8349" t="str">
        <v/>
      </c>
      <c r="LO8349" t="str">
        <v/>
      </c>
    </row>
    <row r="8350" spans="326:327">
      <c r="LN8350" t="str">
        <v/>
      </c>
      <c r="LO8350" t="str">
        <v/>
      </c>
    </row>
    <row r="8351" spans="326:327">
      <c r="LN8351" t="str">
        <v/>
      </c>
      <c r="LO8351" t="str">
        <v/>
      </c>
    </row>
    <row r="8352" spans="326:327">
      <c r="LN8352" t="str">
        <v/>
      </c>
      <c r="LO8352" t="str">
        <v/>
      </c>
    </row>
    <row r="8353" spans="326:327">
      <c r="LN8353" t="str">
        <v/>
      </c>
      <c r="LO8353" t="str">
        <v/>
      </c>
    </row>
    <row r="8354" spans="326:327">
      <c r="LN8354" t="str">
        <v/>
      </c>
      <c r="LO8354" t="str">
        <v/>
      </c>
    </row>
    <row r="8355" spans="326:327">
      <c r="LN8355" t="str">
        <v/>
      </c>
      <c r="LO8355" t="str">
        <v/>
      </c>
    </row>
    <row r="8356" spans="326:327">
      <c r="LN8356" t="str">
        <v/>
      </c>
      <c r="LO8356" t="str">
        <v/>
      </c>
    </row>
    <row r="8357" spans="326:327">
      <c r="LN8357" t="str">
        <v/>
      </c>
      <c r="LO8357" t="str">
        <v/>
      </c>
    </row>
    <row r="8358" spans="326:327">
      <c r="LN8358" t="str">
        <v/>
      </c>
      <c r="LO8358" t="str">
        <v/>
      </c>
    </row>
    <row r="8359" spans="326:327">
      <c r="LN8359" t="str">
        <v/>
      </c>
      <c r="LO8359" t="str">
        <v/>
      </c>
    </row>
    <row r="8360" spans="326:327">
      <c r="LN8360" t="str">
        <v/>
      </c>
      <c r="LO8360" t="str">
        <v/>
      </c>
    </row>
    <row r="8361" spans="326:327">
      <c r="LN8361" t="str">
        <v/>
      </c>
      <c r="LO8361" t="str">
        <v/>
      </c>
    </row>
    <row r="8362" spans="326:327">
      <c r="LN8362" t="str">
        <v/>
      </c>
      <c r="LO8362" t="str">
        <v/>
      </c>
    </row>
    <row r="8363" spans="326:327">
      <c r="LN8363" t="str">
        <v/>
      </c>
      <c r="LO8363" t="str">
        <v/>
      </c>
    </row>
    <row r="8364" spans="326:327">
      <c r="LN8364" t="str">
        <v/>
      </c>
      <c r="LO8364" t="str">
        <v/>
      </c>
    </row>
    <row r="8365" spans="326:327">
      <c r="LN8365" t="str">
        <v/>
      </c>
      <c r="LO8365" t="str">
        <v/>
      </c>
    </row>
    <row r="8366" spans="326:327">
      <c r="LN8366" t="str">
        <v/>
      </c>
      <c r="LO8366" t="str">
        <v/>
      </c>
    </row>
    <row r="8367" spans="326:327">
      <c r="LN8367" t="str">
        <v/>
      </c>
      <c r="LO8367" t="str">
        <v/>
      </c>
    </row>
    <row r="8368" spans="326:327">
      <c r="LN8368" t="str">
        <v/>
      </c>
      <c r="LO8368" t="str">
        <v/>
      </c>
    </row>
    <row r="8369" spans="326:327">
      <c r="LN8369" t="str">
        <v/>
      </c>
      <c r="LO8369" t="str">
        <v/>
      </c>
    </row>
    <row r="8370" spans="326:327">
      <c r="LN8370" t="str">
        <v/>
      </c>
      <c r="LO8370" t="str">
        <v/>
      </c>
    </row>
    <row r="8371" spans="326:327">
      <c r="LN8371" t="str">
        <v/>
      </c>
      <c r="LO8371" t="str">
        <v/>
      </c>
    </row>
    <row r="8372" spans="326:327">
      <c r="LN8372" t="str">
        <v/>
      </c>
      <c r="LO8372" t="str">
        <v/>
      </c>
    </row>
    <row r="8373" spans="326:327">
      <c r="LN8373" t="str">
        <v/>
      </c>
      <c r="LO8373" t="str">
        <v/>
      </c>
    </row>
    <row r="8374" spans="326:327">
      <c r="LN8374" t="str">
        <v/>
      </c>
      <c r="LO8374" t="str">
        <v/>
      </c>
    </row>
    <row r="8375" spans="326:327">
      <c r="LN8375" t="str">
        <v/>
      </c>
      <c r="LO8375" t="str">
        <v/>
      </c>
    </row>
    <row r="8376" spans="326:327">
      <c r="LN8376" t="str">
        <v/>
      </c>
      <c r="LO8376" t="str">
        <v/>
      </c>
    </row>
    <row r="8377" spans="326:327">
      <c r="LN8377" t="str">
        <v/>
      </c>
      <c r="LO8377" t="str">
        <v/>
      </c>
    </row>
    <row r="8378" spans="326:327">
      <c r="LN8378" t="str">
        <v/>
      </c>
      <c r="LO8378" t="str">
        <v/>
      </c>
    </row>
    <row r="8379" spans="326:327">
      <c r="LN8379" t="str">
        <v/>
      </c>
      <c r="LO8379" t="str">
        <v/>
      </c>
    </row>
    <row r="8380" spans="326:327">
      <c r="LN8380" t="str">
        <v/>
      </c>
      <c r="LO8380" t="str">
        <v/>
      </c>
    </row>
    <row r="8381" spans="326:327">
      <c r="LN8381" t="str">
        <v/>
      </c>
      <c r="LO8381" t="str">
        <v/>
      </c>
    </row>
    <row r="8382" spans="326:327">
      <c r="LN8382" t="str">
        <v/>
      </c>
      <c r="LO8382" t="str">
        <v/>
      </c>
    </row>
    <row r="8383" spans="326:327">
      <c r="LN8383" t="str">
        <v/>
      </c>
      <c r="LO8383" t="str">
        <v/>
      </c>
    </row>
    <row r="8384" spans="326:327">
      <c r="LN8384" t="str">
        <v/>
      </c>
      <c r="LO8384" t="str">
        <v/>
      </c>
    </row>
    <row r="8385" spans="326:327">
      <c r="LN8385" t="str">
        <v/>
      </c>
      <c r="LO8385" t="str">
        <v/>
      </c>
    </row>
    <row r="8386" spans="326:327">
      <c r="LN8386" t="str">
        <v/>
      </c>
      <c r="LO8386" t="str">
        <v/>
      </c>
    </row>
    <row r="8387" spans="326:327">
      <c r="LN8387" t="str">
        <v/>
      </c>
      <c r="LO8387" t="str">
        <v/>
      </c>
    </row>
    <row r="8388" spans="326:327">
      <c r="LN8388" t="str">
        <v/>
      </c>
      <c r="LO8388" t="str">
        <v/>
      </c>
    </row>
    <row r="8389" spans="326:327">
      <c r="LN8389" t="str">
        <v/>
      </c>
      <c r="LO8389" t="str">
        <v/>
      </c>
    </row>
    <row r="8390" spans="326:327">
      <c r="LN8390" t="str">
        <v/>
      </c>
      <c r="LO8390" t="str">
        <v/>
      </c>
    </row>
    <row r="8391" spans="326:327">
      <c r="LN8391" t="str">
        <v/>
      </c>
      <c r="LO8391" t="str">
        <v/>
      </c>
    </row>
    <row r="8392" spans="326:327">
      <c r="LN8392" t="str">
        <v/>
      </c>
      <c r="LO8392" t="str">
        <v/>
      </c>
    </row>
    <row r="8393" spans="326:327">
      <c r="LN8393" t="str">
        <v/>
      </c>
      <c r="LO8393" t="str">
        <v/>
      </c>
    </row>
    <row r="8394" spans="326:327">
      <c r="LN8394" t="str">
        <v/>
      </c>
      <c r="LO8394" t="str">
        <v/>
      </c>
    </row>
    <row r="8395" spans="326:327">
      <c r="LN8395" t="str">
        <v/>
      </c>
      <c r="LO8395" t="str">
        <v/>
      </c>
    </row>
    <row r="8396" spans="326:327">
      <c r="LN8396" t="str">
        <v/>
      </c>
      <c r="LO8396" t="str">
        <v/>
      </c>
    </row>
    <row r="8397" spans="326:327">
      <c r="LN8397" t="str">
        <v/>
      </c>
      <c r="LO8397" t="str">
        <v/>
      </c>
    </row>
    <row r="8398" spans="326:327">
      <c r="LN8398" t="str">
        <v/>
      </c>
      <c r="LO8398" t="str">
        <v/>
      </c>
    </row>
    <row r="8399" spans="326:327">
      <c r="LN8399" t="str">
        <v/>
      </c>
      <c r="LO8399" t="str">
        <v/>
      </c>
    </row>
    <row r="8400" spans="326:327">
      <c r="LN8400" t="str">
        <v/>
      </c>
      <c r="LO8400" t="str">
        <v/>
      </c>
    </row>
    <row r="8401" spans="326:327">
      <c r="LN8401" t="str">
        <v/>
      </c>
      <c r="LO8401" t="str">
        <v/>
      </c>
    </row>
    <row r="8402" spans="326:327">
      <c r="LN8402" t="str">
        <v/>
      </c>
      <c r="LO8402" t="str">
        <v/>
      </c>
    </row>
    <row r="8403" spans="326:327">
      <c r="LN8403" t="str">
        <v/>
      </c>
      <c r="LO8403" t="str">
        <v/>
      </c>
    </row>
    <row r="8404" spans="326:327">
      <c r="LN8404" t="str">
        <v/>
      </c>
      <c r="LO8404" t="str">
        <v/>
      </c>
    </row>
    <row r="8405" spans="326:327">
      <c r="LN8405" t="str">
        <v/>
      </c>
      <c r="LO8405" t="str">
        <v/>
      </c>
    </row>
    <row r="8406" spans="326:327">
      <c r="LN8406" t="str">
        <v/>
      </c>
      <c r="LO8406" t="str">
        <v/>
      </c>
    </row>
    <row r="8407" spans="326:327">
      <c r="LN8407" t="str">
        <v/>
      </c>
      <c r="LO8407" t="str">
        <v/>
      </c>
    </row>
    <row r="8408" spans="326:327">
      <c r="LN8408" t="str">
        <v/>
      </c>
      <c r="LO8408" t="str">
        <v/>
      </c>
    </row>
    <row r="8409" spans="326:327">
      <c r="LN8409" t="str">
        <v/>
      </c>
      <c r="LO8409" t="str">
        <v/>
      </c>
    </row>
    <row r="8410" spans="326:327">
      <c r="LN8410" t="str">
        <v/>
      </c>
      <c r="LO8410" t="str">
        <v/>
      </c>
    </row>
    <row r="8411" spans="326:327">
      <c r="LN8411" t="str">
        <v/>
      </c>
      <c r="LO8411" t="str">
        <v/>
      </c>
    </row>
    <row r="8412" spans="326:327">
      <c r="LN8412" t="str">
        <v/>
      </c>
      <c r="LO8412" t="str">
        <v/>
      </c>
    </row>
    <row r="8413" spans="326:327">
      <c r="LN8413" t="str">
        <v/>
      </c>
      <c r="LO8413" t="str">
        <v/>
      </c>
    </row>
    <row r="8414" spans="326:327">
      <c r="LN8414" t="str">
        <v/>
      </c>
      <c r="LO8414" t="str">
        <v/>
      </c>
    </row>
    <row r="8415" spans="326:327">
      <c r="LN8415" t="str">
        <v/>
      </c>
      <c r="LO8415" t="str">
        <v/>
      </c>
    </row>
    <row r="8416" spans="326:327">
      <c r="LN8416" t="str">
        <v/>
      </c>
      <c r="LO8416" t="str">
        <v/>
      </c>
    </row>
    <row r="8417" spans="326:327">
      <c r="LN8417" t="str">
        <v/>
      </c>
      <c r="LO8417" t="str">
        <v/>
      </c>
    </row>
    <row r="8418" spans="326:327">
      <c r="LN8418" t="str">
        <v/>
      </c>
      <c r="LO8418" t="str">
        <v/>
      </c>
    </row>
    <row r="8419" spans="326:327">
      <c r="LN8419" t="str">
        <v/>
      </c>
      <c r="LO8419" t="str">
        <v/>
      </c>
    </row>
    <row r="8420" spans="326:327">
      <c r="LN8420" t="str">
        <v/>
      </c>
      <c r="LO8420" t="str">
        <v/>
      </c>
    </row>
    <row r="8421" spans="326:327">
      <c r="LN8421" t="str">
        <v/>
      </c>
      <c r="LO8421" t="str">
        <v/>
      </c>
    </row>
    <row r="8422" spans="326:327">
      <c r="LN8422" t="str">
        <v/>
      </c>
      <c r="LO8422" t="str">
        <v/>
      </c>
    </row>
    <row r="8423" spans="326:327">
      <c r="LN8423" t="str">
        <v/>
      </c>
      <c r="LO8423" t="str">
        <v/>
      </c>
    </row>
    <row r="8424" spans="326:327">
      <c r="LN8424" t="str">
        <v/>
      </c>
      <c r="LO8424" t="str">
        <v/>
      </c>
    </row>
    <row r="8425" spans="326:327">
      <c r="LN8425" t="str">
        <v/>
      </c>
      <c r="LO8425" t="str">
        <v/>
      </c>
    </row>
    <row r="8426" spans="326:327">
      <c r="LN8426" t="str">
        <v/>
      </c>
      <c r="LO8426" t="str">
        <v/>
      </c>
    </row>
    <row r="8427" spans="326:327">
      <c r="LN8427" t="str">
        <v/>
      </c>
      <c r="LO8427" t="str">
        <v/>
      </c>
    </row>
    <row r="8428" spans="326:327">
      <c r="LN8428" t="str">
        <v/>
      </c>
      <c r="LO8428" t="str">
        <v/>
      </c>
    </row>
    <row r="8429" spans="326:327">
      <c r="LN8429" t="str">
        <v/>
      </c>
      <c r="LO8429" t="str">
        <v/>
      </c>
    </row>
    <row r="8430" spans="326:327">
      <c r="LN8430" t="str">
        <v/>
      </c>
      <c r="LO8430" t="str">
        <v/>
      </c>
    </row>
    <row r="8431" spans="326:327">
      <c r="LN8431" t="str">
        <v/>
      </c>
      <c r="LO8431" t="str">
        <v/>
      </c>
    </row>
    <row r="8432" spans="326:327">
      <c r="LN8432" t="str">
        <v/>
      </c>
      <c r="LO8432" t="str">
        <v/>
      </c>
    </row>
    <row r="8433" spans="326:327">
      <c r="LN8433" t="str">
        <v/>
      </c>
      <c r="LO8433" t="str">
        <v/>
      </c>
    </row>
    <row r="8434" spans="326:327">
      <c r="LN8434" t="str">
        <v/>
      </c>
      <c r="LO8434" t="str">
        <v/>
      </c>
    </row>
    <row r="8435" spans="326:327">
      <c r="LN8435" t="str">
        <v/>
      </c>
      <c r="LO8435" t="str">
        <v/>
      </c>
    </row>
    <row r="8436" spans="326:327">
      <c r="LN8436" t="str">
        <v/>
      </c>
      <c r="LO8436" t="str">
        <v/>
      </c>
    </row>
    <row r="8437" spans="326:327">
      <c r="LN8437" t="str">
        <v/>
      </c>
      <c r="LO8437" t="str">
        <v/>
      </c>
    </row>
    <row r="8438" spans="326:327">
      <c r="LN8438" t="str">
        <v/>
      </c>
      <c r="LO8438" t="str">
        <v/>
      </c>
    </row>
    <row r="8439" spans="326:327">
      <c r="LN8439" t="str">
        <v/>
      </c>
      <c r="LO8439" t="str">
        <v/>
      </c>
    </row>
    <row r="8440" spans="326:327">
      <c r="LN8440" t="str">
        <v/>
      </c>
      <c r="LO8440" t="str">
        <v/>
      </c>
    </row>
    <row r="8441" spans="326:327">
      <c r="LN8441" t="str">
        <v/>
      </c>
      <c r="LO8441" t="str">
        <v/>
      </c>
    </row>
    <row r="8442" spans="326:327">
      <c r="LN8442" t="str">
        <v/>
      </c>
      <c r="LO8442" t="str">
        <v/>
      </c>
    </row>
    <row r="8443" spans="326:327">
      <c r="LN8443" t="str">
        <v/>
      </c>
      <c r="LO8443" t="str">
        <v/>
      </c>
    </row>
    <row r="8444" spans="326:327">
      <c r="LN8444" t="str">
        <v/>
      </c>
      <c r="LO8444" t="str">
        <v/>
      </c>
    </row>
    <row r="8445" spans="326:327">
      <c r="LN8445" t="str">
        <v/>
      </c>
      <c r="LO8445" t="str">
        <v/>
      </c>
    </row>
    <row r="8446" spans="326:327">
      <c r="LN8446" t="str">
        <v/>
      </c>
      <c r="LO8446" t="str">
        <v/>
      </c>
    </row>
    <row r="8447" spans="326:327">
      <c r="LN8447" t="str">
        <v/>
      </c>
      <c r="LO8447" t="str">
        <v/>
      </c>
    </row>
    <row r="8448" spans="326:327">
      <c r="LN8448" t="str">
        <v/>
      </c>
      <c r="LO8448" t="str">
        <v/>
      </c>
    </row>
    <row r="8449" spans="326:327">
      <c r="LN8449" t="str">
        <v/>
      </c>
      <c r="LO8449" t="str">
        <v/>
      </c>
    </row>
    <row r="8450" spans="326:327">
      <c r="LN8450" t="str">
        <v/>
      </c>
      <c r="LO8450" t="str">
        <v/>
      </c>
    </row>
    <row r="8451" spans="326:327">
      <c r="LN8451" t="str">
        <v/>
      </c>
      <c r="LO8451" t="str">
        <v/>
      </c>
    </row>
    <row r="8452" spans="326:327">
      <c r="LN8452" t="str">
        <v/>
      </c>
      <c r="LO8452" t="str">
        <v/>
      </c>
    </row>
    <row r="8453" spans="326:327">
      <c r="LN8453" t="str">
        <v/>
      </c>
      <c r="LO8453" t="str">
        <v/>
      </c>
    </row>
    <row r="8454" spans="326:327">
      <c r="LN8454" t="str">
        <v/>
      </c>
      <c r="LO8454" t="str">
        <v/>
      </c>
    </row>
    <row r="8455" spans="326:327">
      <c r="LN8455" t="str">
        <v/>
      </c>
      <c r="LO8455" t="str">
        <v/>
      </c>
    </row>
    <row r="8456" spans="326:327">
      <c r="LN8456" t="str">
        <v/>
      </c>
      <c r="LO8456" t="str">
        <v/>
      </c>
    </row>
    <row r="8457" spans="326:327">
      <c r="LN8457" t="str">
        <v/>
      </c>
      <c r="LO8457" t="str">
        <v/>
      </c>
    </row>
    <row r="8458" spans="326:327">
      <c r="LN8458" t="str">
        <v/>
      </c>
      <c r="LO8458" t="str">
        <v/>
      </c>
    </row>
    <row r="8459" spans="326:327">
      <c r="LN8459" t="str">
        <v/>
      </c>
      <c r="LO8459" t="str">
        <v/>
      </c>
    </row>
    <row r="8460" spans="326:327">
      <c r="LN8460" t="str">
        <v/>
      </c>
      <c r="LO8460" t="str">
        <v/>
      </c>
    </row>
    <row r="8461" spans="326:327">
      <c r="LN8461" t="str">
        <v/>
      </c>
      <c r="LO8461" t="str">
        <v/>
      </c>
    </row>
    <row r="8462" spans="326:327">
      <c r="LN8462" t="str">
        <v/>
      </c>
      <c r="LO8462" t="str">
        <v/>
      </c>
    </row>
    <row r="8463" spans="326:327">
      <c r="LN8463" t="str">
        <v/>
      </c>
      <c r="LO8463" t="str">
        <v/>
      </c>
    </row>
    <row r="8464" spans="326:327">
      <c r="LN8464" t="str">
        <v/>
      </c>
      <c r="LO8464" t="str">
        <v/>
      </c>
    </row>
    <row r="8465" spans="326:327">
      <c r="LN8465" t="str">
        <v/>
      </c>
      <c r="LO8465" t="str">
        <v/>
      </c>
    </row>
    <row r="8466" spans="326:327">
      <c r="LN8466" t="str">
        <v/>
      </c>
      <c r="LO8466" t="str">
        <v/>
      </c>
    </row>
    <row r="8467" spans="326:327">
      <c r="LN8467" t="str">
        <v/>
      </c>
      <c r="LO8467" t="str">
        <v/>
      </c>
    </row>
    <row r="8468" spans="326:327">
      <c r="LN8468" t="str">
        <v/>
      </c>
      <c r="LO8468" t="str">
        <v/>
      </c>
    </row>
    <row r="8469" spans="326:327">
      <c r="LN8469" t="str">
        <v/>
      </c>
      <c r="LO8469" t="str">
        <v/>
      </c>
    </row>
    <row r="8470" spans="326:327">
      <c r="LN8470" t="str">
        <v/>
      </c>
      <c r="LO8470" t="str">
        <v/>
      </c>
    </row>
    <row r="8471" spans="326:327">
      <c r="LN8471" t="str">
        <v/>
      </c>
      <c r="LO8471" t="str">
        <v/>
      </c>
    </row>
    <row r="8472" spans="326:327">
      <c r="LN8472" t="str">
        <v/>
      </c>
      <c r="LO8472" t="str">
        <v/>
      </c>
    </row>
    <row r="8473" spans="326:327">
      <c r="LN8473" t="str">
        <v/>
      </c>
      <c r="LO8473" t="str">
        <v/>
      </c>
    </row>
    <row r="8474" spans="326:327">
      <c r="LN8474" t="str">
        <v/>
      </c>
      <c r="LO8474" t="str">
        <v/>
      </c>
    </row>
    <row r="8475" spans="326:327">
      <c r="LN8475" t="str">
        <v/>
      </c>
      <c r="LO8475" t="str">
        <v/>
      </c>
    </row>
    <row r="8476" spans="326:327">
      <c r="LN8476" t="str">
        <v/>
      </c>
      <c r="LO8476" t="str">
        <v/>
      </c>
    </row>
    <row r="8477" spans="326:327">
      <c r="LN8477" t="str">
        <v/>
      </c>
      <c r="LO8477" t="str">
        <v/>
      </c>
    </row>
    <row r="8478" spans="326:327">
      <c r="LN8478" t="str">
        <v/>
      </c>
      <c r="LO8478" t="str">
        <v/>
      </c>
    </row>
    <row r="8479" spans="326:327">
      <c r="LN8479" t="str">
        <v/>
      </c>
      <c r="LO8479" t="str">
        <v/>
      </c>
    </row>
    <row r="8480" spans="326:327">
      <c r="LN8480" t="str">
        <v/>
      </c>
      <c r="LO8480" t="str">
        <v/>
      </c>
    </row>
    <row r="8481" spans="326:327">
      <c r="LN8481" t="str">
        <v/>
      </c>
      <c r="LO8481" t="str">
        <v/>
      </c>
    </row>
    <row r="8482" spans="326:327">
      <c r="LN8482" t="str">
        <v/>
      </c>
      <c r="LO8482" t="str">
        <v/>
      </c>
    </row>
    <row r="8483" spans="326:327">
      <c r="LN8483" t="str">
        <v/>
      </c>
      <c r="LO8483" t="str">
        <v/>
      </c>
    </row>
    <row r="8484" spans="326:327">
      <c r="LN8484" t="str">
        <v/>
      </c>
      <c r="LO8484" t="str">
        <v/>
      </c>
    </row>
    <row r="8485" spans="326:327">
      <c r="LN8485" t="str">
        <v/>
      </c>
      <c r="LO8485" t="str">
        <v/>
      </c>
    </row>
    <row r="8486" spans="326:327">
      <c r="LN8486" t="str">
        <v/>
      </c>
      <c r="LO8486" t="str">
        <v/>
      </c>
    </row>
    <row r="8487" spans="326:327">
      <c r="LN8487" t="str">
        <v/>
      </c>
      <c r="LO8487" t="str">
        <v/>
      </c>
    </row>
    <row r="8488" spans="326:327">
      <c r="LN8488" t="str">
        <v/>
      </c>
      <c r="LO8488" t="str">
        <v/>
      </c>
    </row>
    <row r="8489" spans="326:327">
      <c r="LN8489" t="str">
        <v/>
      </c>
      <c r="LO8489" t="str">
        <v/>
      </c>
    </row>
    <row r="8490" spans="326:327">
      <c r="LN8490" t="str">
        <v/>
      </c>
      <c r="LO8490" t="str">
        <v/>
      </c>
    </row>
    <row r="8491" spans="326:327">
      <c r="LN8491" t="str">
        <v/>
      </c>
      <c r="LO8491" t="str">
        <v/>
      </c>
    </row>
    <row r="8492" spans="326:327">
      <c r="LN8492" t="str">
        <v/>
      </c>
      <c r="LO8492" t="str">
        <v/>
      </c>
    </row>
    <row r="8493" spans="326:327">
      <c r="LN8493" t="str">
        <v/>
      </c>
      <c r="LO8493" t="str">
        <v/>
      </c>
    </row>
    <row r="8494" spans="326:327">
      <c r="LN8494" t="str">
        <v/>
      </c>
      <c r="LO8494" t="str">
        <v/>
      </c>
    </row>
    <row r="8495" spans="326:327">
      <c r="LN8495" t="str">
        <v/>
      </c>
      <c r="LO8495" t="str">
        <v/>
      </c>
    </row>
    <row r="8496" spans="326:327">
      <c r="LN8496" t="str">
        <v/>
      </c>
      <c r="LO8496" t="str">
        <v/>
      </c>
    </row>
    <row r="8497" spans="326:327">
      <c r="LN8497" t="str">
        <v/>
      </c>
      <c r="LO8497" t="str">
        <v/>
      </c>
    </row>
    <row r="8498" spans="326:327">
      <c r="LN8498" t="str">
        <v/>
      </c>
      <c r="LO8498" t="str">
        <v/>
      </c>
    </row>
    <row r="8499" spans="326:327">
      <c r="LN8499" t="str">
        <v/>
      </c>
      <c r="LO8499" t="str">
        <v/>
      </c>
    </row>
    <row r="8500" spans="326:327">
      <c r="LN8500" t="str">
        <v/>
      </c>
      <c r="LO8500" t="str">
        <v/>
      </c>
    </row>
    <row r="8501" spans="326:327">
      <c r="LN8501" t="str">
        <v/>
      </c>
      <c r="LO8501" t="str">
        <v/>
      </c>
    </row>
    <row r="8502" spans="326:327">
      <c r="LN8502" t="str">
        <v/>
      </c>
      <c r="LO8502" t="str">
        <v/>
      </c>
    </row>
    <row r="8503" spans="326:327">
      <c r="LN8503" t="str">
        <v/>
      </c>
      <c r="LO8503" t="str">
        <v/>
      </c>
    </row>
    <row r="8504" spans="326:327">
      <c r="LN8504" t="str">
        <v/>
      </c>
      <c r="LO8504" t="str">
        <v/>
      </c>
    </row>
    <row r="8505" spans="326:327">
      <c r="LN8505" t="str">
        <v/>
      </c>
      <c r="LO8505" t="str">
        <v/>
      </c>
    </row>
    <row r="8506" spans="326:327">
      <c r="LN8506" t="str">
        <v/>
      </c>
      <c r="LO8506" t="str">
        <v/>
      </c>
    </row>
    <row r="8507" spans="326:327">
      <c r="LN8507" t="str">
        <v/>
      </c>
      <c r="LO8507" t="str">
        <v/>
      </c>
    </row>
    <row r="8508" spans="326:327">
      <c r="LN8508" t="str">
        <v/>
      </c>
      <c r="LO8508" t="str">
        <v/>
      </c>
    </row>
    <row r="8509" spans="326:327">
      <c r="LN8509" t="str">
        <v/>
      </c>
      <c r="LO8509" t="str">
        <v/>
      </c>
    </row>
    <row r="8510" spans="326:327">
      <c r="LN8510" t="str">
        <v/>
      </c>
      <c r="LO8510" t="str">
        <v/>
      </c>
    </row>
    <row r="8511" spans="326:327">
      <c r="LN8511" t="str">
        <v/>
      </c>
      <c r="LO8511" t="str">
        <v/>
      </c>
    </row>
    <row r="8512" spans="326:327">
      <c r="LN8512" t="str">
        <v/>
      </c>
      <c r="LO8512" t="str">
        <v/>
      </c>
    </row>
    <row r="8513" spans="326:327">
      <c r="LN8513" t="str">
        <v/>
      </c>
      <c r="LO8513" t="str">
        <v/>
      </c>
    </row>
    <row r="8514" spans="326:327">
      <c r="LN8514" t="str">
        <v/>
      </c>
      <c r="LO8514" t="str">
        <v/>
      </c>
    </row>
    <row r="8515" spans="326:327">
      <c r="LN8515" t="str">
        <v/>
      </c>
      <c r="LO8515" t="str">
        <v/>
      </c>
    </row>
    <row r="8516" spans="326:327">
      <c r="LN8516" t="str">
        <v/>
      </c>
      <c r="LO8516" t="str">
        <v/>
      </c>
    </row>
    <row r="8517" spans="326:327">
      <c r="LN8517" t="str">
        <v/>
      </c>
      <c r="LO8517" t="str">
        <v/>
      </c>
    </row>
    <row r="8518" spans="326:327">
      <c r="LN8518" t="str">
        <v/>
      </c>
      <c r="LO8518" t="str">
        <v/>
      </c>
    </row>
    <row r="8519" spans="326:327">
      <c r="LN8519" t="str">
        <v/>
      </c>
      <c r="LO8519" t="str">
        <v/>
      </c>
    </row>
    <row r="8520" spans="326:327">
      <c r="LN8520" t="str">
        <v/>
      </c>
      <c r="LO8520" t="str">
        <v/>
      </c>
    </row>
    <row r="8521" spans="326:327">
      <c r="LN8521" t="str">
        <v/>
      </c>
      <c r="LO8521" t="str">
        <v/>
      </c>
    </row>
    <row r="8522" spans="326:327">
      <c r="LN8522" t="str">
        <v/>
      </c>
      <c r="LO8522" t="str">
        <v/>
      </c>
    </row>
    <row r="8523" spans="326:327">
      <c r="LN8523" t="str">
        <v/>
      </c>
      <c r="LO8523" t="str">
        <v/>
      </c>
    </row>
    <row r="8524" spans="326:327">
      <c r="LN8524" t="str">
        <v/>
      </c>
      <c r="LO8524" t="str">
        <v/>
      </c>
    </row>
    <row r="8525" spans="326:327">
      <c r="LN8525" t="str">
        <v/>
      </c>
      <c r="LO8525" t="str">
        <v/>
      </c>
    </row>
    <row r="8526" spans="326:327">
      <c r="LN8526" t="str">
        <v/>
      </c>
      <c r="LO8526" t="str">
        <v/>
      </c>
    </row>
    <row r="8527" spans="326:327">
      <c r="LN8527" t="str">
        <v/>
      </c>
      <c r="LO8527" t="str">
        <v/>
      </c>
    </row>
    <row r="8528" spans="326:327">
      <c r="LN8528" t="str">
        <v/>
      </c>
      <c r="LO8528" t="str">
        <v/>
      </c>
    </row>
    <row r="8529" spans="326:327">
      <c r="LN8529" t="str">
        <v/>
      </c>
      <c r="LO8529" t="str">
        <v/>
      </c>
    </row>
    <row r="8530" spans="326:327">
      <c r="LN8530" t="str">
        <v/>
      </c>
      <c r="LO8530" t="str">
        <v/>
      </c>
    </row>
    <row r="8531" spans="326:327">
      <c r="LN8531" t="str">
        <v/>
      </c>
      <c r="LO8531" t="str">
        <v/>
      </c>
    </row>
    <row r="8532" spans="326:327">
      <c r="LN8532" t="str">
        <v/>
      </c>
      <c r="LO8532" t="str">
        <v/>
      </c>
    </row>
    <row r="8533" spans="326:327">
      <c r="LN8533" t="str">
        <v/>
      </c>
      <c r="LO8533" t="str">
        <v/>
      </c>
    </row>
    <row r="8534" spans="326:327">
      <c r="LN8534" t="str">
        <v/>
      </c>
      <c r="LO8534" t="str">
        <v/>
      </c>
    </row>
    <row r="8535" spans="326:327">
      <c r="LN8535" t="str">
        <v/>
      </c>
      <c r="LO8535" t="str">
        <v/>
      </c>
    </row>
    <row r="8536" spans="326:327">
      <c r="LN8536" t="str">
        <v/>
      </c>
      <c r="LO8536" t="str">
        <v/>
      </c>
    </row>
    <row r="8537" spans="326:327">
      <c r="LN8537" t="str">
        <v/>
      </c>
      <c r="LO8537" t="str">
        <v/>
      </c>
    </row>
    <row r="8538" spans="326:327">
      <c r="LN8538" t="str">
        <v/>
      </c>
      <c r="LO8538" t="str">
        <v/>
      </c>
    </row>
    <row r="8539" spans="326:327">
      <c r="LN8539" t="str">
        <v/>
      </c>
      <c r="LO8539" t="str">
        <v/>
      </c>
    </row>
    <row r="8540" spans="326:327">
      <c r="LN8540" t="str">
        <v/>
      </c>
      <c r="LO8540" t="str">
        <v/>
      </c>
    </row>
    <row r="8541" spans="326:327">
      <c r="LN8541" t="str">
        <v/>
      </c>
      <c r="LO8541" t="str">
        <v/>
      </c>
    </row>
    <row r="8542" spans="326:327">
      <c r="LN8542" t="str">
        <v/>
      </c>
      <c r="LO8542" t="str">
        <v/>
      </c>
    </row>
    <row r="8543" spans="326:327">
      <c r="LN8543" t="str">
        <v/>
      </c>
      <c r="LO8543" t="str">
        <v/>
      </c>
    </row>
    <row r="8544" spans="326:327">
      <c r="LN8544" t="str">
        <v/>
      </c>
      <c r="LO8544" t="str">
        <v/>
      </c>
    </row>
    <row r="8545" spans="326:327">
      <c r="LN8545" t="str">
        <v/>
      </c>
      <c r="LO8545" t="str">
        <v/>
      </c>
    </row>
    <row r="8546" spans="326:327">
      <c r="LN8546" t="str">
        <v/>
      </c>
      <c r="LO8546" t="str">
        <v/>
      </c>
    </row>
    <row r="8547" spans="326:327">
      <c r="LN8547" t="str">
        <v/>
      </c>
      <c r="LO8547" t="str">
        <v/>
      </c>
    </row>
    <row r="8548" spans="326:327">
      <c r="LN8548" t="str">
        <v/>
      </c>
      <c r="LO8548" t="str">
        <v/>
      </c>
    </row>
    <row r="8549" spans="326:327">
      <c r="LN8549" t="str">
        <v/>
      </c>
      <c r="LO8549" t="str">
        <v/>
      </c>
    </row>
    <row r="8550" spans="326:327">
      <c r="LN8550" t="str">
        <v/>
      </c>
      <c r="LO8550" t="str">
        <v/>
      </c>
    </row>
    <row r="8551" spans="326:327">
      <c r="LN8551" t="str">
        <v/>
      </c>
      <c r="LO8551" t="str">
        <v/>
      </c>
    </row>
    <row r="8552" spans="326:327">
      <c r="LN8552" t="str">
        <v/>
      </c>
      <c r="LO8552" t="str">
        <v/>
      </c>
    </row>
    <row r="8553" spans="326:327">
      <c r="LN8553" t="str">
        <v/>
      </c>
      <c r="LO8553" t="str">
        <v/>
      </c>
    </row>
    <row r="8554" spans="326:327">
      <c r="LN8554" t="str">
        <v/>
      </c>
      <c r="LO8554" t="str">
        <v/>
      </c>
    </row>
    <row r="8555" spans="326:327">
      <c r="LN8555" t="str">
        <v/>
      </c>
      <c r="LO8555" t="str">
        <v/>
      </c>
    </row>
    <row r="8556" spans="326:327">
      <c r="LN8556" t="str">
        <v/>
      </c>
      <c r="LO8556" t="str">
        <v/>
      </c>
    </row>
    <row r="8557" spans="326:327">
      <c r="LN8557" t="str">
        <v/>
      </c>
      <c r="LO8557" t="str">
        <v/>
      </c>
    </row>
    <row r="8558" spans="326:327">
      <c r="LN8558" t="str">
        <v/>
      </c>
      <c r="LO8558" t="str">
        <v/>
      </c>
    </row>
    <row r="8559" spans="326:327">
      <c r="LN8559" t="str">
        <v/>
      </c>
      <c r="LO8559" t="str">
        <v/>
      </c>
    </row>
    <row r="8560" spans="326:327">
      <c r="LN8560" t="str">
        <v/>
      </c>
      <c r="LO8560" t="str">
        <v/>
      </c>
    </row>
    <row r="8561" spans="326:327">
      <c r="LN8561" t="str">
        <v/>
      </c>
      <c r="LO8561" t="str">
        <v/>
      </c>
    </row>
    <row r="8562" spans="326:327">
      <c r="LN8562" t="str">
        <v/>
      </c>
      <c r="LO8562" t="str">
        <v/>
      </c>
    </row>
    <row r="8563" spans="326:327">
      <c r="LN8563" t="str">
        <v/>
      </c>
      <c r="LO8563" t="str">
        <v/>
      </c>
    </row>
    <row r="8564" spans="326:327">
      <c r="LN8564" t="str">
        <v/>
      </c>
      <c r="LO8564" t="str">
        <v/>
      </c>
    </row>
    <row r="8565" spans="326:327">
      <c r="LN8565" t="str">
        <v/>
      </c>
      <c r="LO8565" t="str">
        <v/>
      </c>
    </row>
    <row r="8566" spans="326:327">
      <c r="LN8566" t="str">
        <v/>
      </c>
      <c r="LO8566" t="str">
        <v/>
      </c>
    </row>
    <row r="8567" spans="326:327">
      <c r="LN8567" t="str">
        <v/>
      </c>
      <c r="LO8567" t="str">
        <v/>
      </c>
    </row>
    <row r="8568" spans="326:327">
      <c r="LN8568" t="str">
        <v/>
      </c>
      <c r="LO8568" t="str">
        <v/>
      </c>
    </row>
    <row r="8569" spans="326:327">
      <c r="LN8569" t="str">
        <v/>
      </c>
      <c r="LO8569" t="str">
        <v/>
      </c>
    </row>
    <row r="8570" spans="326:327">
      <c r="LN8570" t="str">
        <v/>
      </c>
      <c r="LO8570" t="str">
        <v/>
      </c>
    </row>
    <row r="8571" spans="326:327">
      <c r="LN8571" t="str">
        <v/>
      </c>
      <c r="LO8571" t="str">
        <v/>
      </c>
    </row>
    <row r="8572" spans="326:327">
      <c r="LN8572" t="str">
        <v/>
      </c>
      <c r="LO8572" t="str">
        <v/>
      </c>
    </row>
    <row r="8573" spans="326:327">
      <c r="LN8573" t="str">
        <v/>
      </c>
      <c r="LO8573" t="str">
        <v/>
      </c>
    </row>
    <row r="8574" spans="326:327">
      <c r="LN8574" t="str">
        <v/>
      </c>
      <c r="LO8574" t="str">
        <v/>
      </c>
    </row>
    <row r="8575" spans="326:327">
      <c r="LN8575" t="str">
        <v/>
      </c>
      <c r="LO8575" t="str">
        <v/>
      </c>
    </row>
    <row r="8576" spans="326:327">
      <c r="LN8576" t="str">
        <v/>
      </c>
      <c r="LO8576" t="str">
        <v/>
      </c>
    </row>
    <row r="8577" spans="326:327">
      <c r="LN8577" t="str">
        <v/>
      </c>
      <c r="LO8577" t="str">
        <v/>
      </c>
    </row>
    <row r="8578" spans="326:327">
      <c r="LN8578" t="str">
        <v/>
      </c>
      <c r="LO8578" t="str">
        <v/>
      </c>
    </row>
    <row r="8579" spans="326:327">
      <c r="LN8579" t="str">
        <v/>
      </c>
      <c r="LO8579" t="str">
        <v/>
      </c>
    </row>
    <row r="8580" spans="326:327">
      <c r="LN8580" t="str">
        <v/>
      </c>
      <c r="LO8580" t="str">
        <v/>
      </c>
    </row>
    <row r="8581" spans="326:327">
      <c r="LN8581" t="str">
        <v/>
      </c>
      <c r="LO8581" t="str">
        <v/>
      </c>
    </row>
    <row r="8582" spans="326:327">
      <c r="LN8582" t="str">
        <v/>
      </c>
      <c r="LO8582" t="str">
        <v/>
      </c>
    </row>
    <row r="8583" spans="326:327">
      <c r="LN8583" t="str">
        <v/>
      </c>
      <c r="LO8583" t="str">
        <v/>
      </c>
    </row>
    <row r="8584" spans="326:327">
      <c r="LN8584" t="str">
        <v/>
      </c>
      <c r="LO8584" t="str">
        <v/>
      </c>
    </row>
    <row r="8585" spans="326:327">
      <c r="LN8585" t="str">
        <v/>
      </c>
      <c r="LO8585" t="str">
        <v/>
      </c>
    </row>
    <row r="8586" spans="326:327">
      <c r="LN8586" t="str">
        <v/>
      </c>
      <c r="LO8586" t="str">
        <v/>
      </c>
    </row>
    <row r="8587" spans="326:327">
      <c r="LN8587" t="str">
        <v/>
      </c>
      <c r="LO8587" t="str">
        <v/>
      </c>
    </row>
    <row r="8588" spans="326:327">
      <c r="LN8588" t="str">
        <v/>
      </c>
      <c r="LO8588" t="str">
        <v/>
      </c>
    </row>
    <row r="8589" spans="326:327">
      <c r="LN8589" t="str">
        <v/>
      </c>
      <c r="LO8589" t="str">
        <v/>
      </c>
    </row>
    <row r="8590" spans="326:327">
      <c r="LN8590" t="str">
        <v/>
      </c>
      <c r="LO8590" t="str">
        <v/>
      </c>
    </row>
    <row r="8591" spans="326:327">
      <c r="LN8591" t="str">
        <v/>
      </c>
      <c r="LO8591" t="str">
        <v/>
      </c>
    </row>
    <row r="8592" spans="326:327">
      <c r="LN8592" t="str">
        <v/>
      </c>
      <c r="LO8592" t="str">
        <v/>
      </c>
    </row>
    <row r="8593" spans="326:327">
      <c r="LN8593" t="str">
        <v/>
      </c>
      <c r="LO8593" t="str">
        <v/>
      </c>
    </row>
    <row r="8594" spans="326:327">
      <c r="LN8594" t="str">
        <v/>
      </c>
      <c r="LO8594" t="str">
        <v/>
      </c>
    </row>
    <row r="8595" spans="326:327">
      <c r="LN8595" t="str">
        <v/>
      </c>
      <c r="LO8595" t="str">
        <v/>
      </c>
    </row>
    <row r="8596" spans="326:327">
      <c r="LN8596" t="str">
        <v/>
      </c>
      <c r="LO8596" t="str">
        <v/>
      </c>
    </row>
    <row r="8597" spans="326:327">
      <c r="LN8597" t="str">
        <v/>
      </c>
      <c r="LO8597" t="str">
        <v/>
      </c>
    </row>
    <row r="8598" spans="326:327">
      <c r="LN8598" t="str">
        <v/>
      </c>
      <c r="LO8598" t="str">
        <v/>
      </c>
    </row>
    <row r="8599" spans="326:327">
      <c r="LN8599" t="str">
        <v/>
      </c>
      <c r="LO8599" t="str">
        <v/>
      </c>
    </row>
    <row r="8600" spans="326:327">
      <c r="LN8600" t="str">
        <v/>
      </c>
      <c r="LO8600" t="str">
        <v/>
      </c>
    </row>
    <row r="8601" spans="326:327">
      <c r="LN8601" t="str">
        <v/>
      </c>
      <c r="LO8601" t="str">
        <v/>
      </c>
    </row>
    <row r="8602" spans="326:327">
      <c r="LN8602" t="str">
        <v/>
      </c>
      <c r="LO8602" t="str">
        <v/>
      </c>
    </row>
    <row r="8603" spans="326:327">
      <c r="LN8603" t="str">
        <v/>
      </c>
      <c r="LO8603" t="str">
        <v/>
      </c>
    </row>
    <row r="8604" spans="326:327">
      <c r="LN8604" t="str">
        <v/>
      </c>
      <c r="LO8604" t="str">
        <v/>
      </c>
    </row>
    <row r="8605" spans="326:327">
      <c r="LN8605" t="str">
        <v/>
      </c>
      <c r="LO8605" t="str">
        <v/>
      </c>
    </row>
    <row r="8606" spans="326:327">
      <c r="LN8606" t="str">
        <v/>
      </c>
      <c r="LO8606" t="str">
        <v/>
      </c>
    </row>
    <row r="8607" spans="326:327">
      <c r="LN8607" t="str">
        <v/>
      </c>
      <c r="LO8607" t="str">
        <v/>
      </c>
    </row>
    <row r="8608" spans="326:327">
      <c r="LN8608" t="str">
        <v/>
      </c>
      <c r="LO8608" t="str">
        <v/>
      </c>
    </row>
    <row r="8609" spans="326:327">
      <c r="LN8609" t="str">
        <v/>
      </c>
      <c r="LO8609" t="str">
        <v/>
      </c>
    </row>
    <row r="8610" spans="326:327">
      <c r="LN8610" t="str">
        <v/>
      </c>
      <c r="LO8610" t="str">
        <v/>
      </c>
    </row>
    <row r="8611" spans="326:327">
      <c r="LN8611" t="str">
        <v/>
      </c>
      <c r="LO8611" t="str">
        <v/>
      </c>
    </row>
    <row r="8612" spans="326:327">
      <c r="LN8612" t="str">
        <v/>
      </c>
      <c r="LO8612" t="str">
        <v/>
      </c>
    </row>
    <row r="8613" spans="326:327">
      <c r="LN8613" t="str">
        <v/>
      </c>
      <c r="LO8613" t="str">
        <v/>
      </c>
    </row>
    <row r="8614" spans="326:327">
      <c r="LN8614" t="str">
        <v/>
      </c>
      <c r="LO8614" t="str">
        <v/>
      </c>
    </row>
    <row r="8615" spans="326:327">
      <c r="LN8615" t="str">
        <v/>
      </c>
      <c r="LO8615" t="str">
        <v/>
      </c>
    </row>
    <row r="8616" spans="326:327">
      <c r="LN8616" t="str">
        <v/>
      </c>
      <c r="LO8616" t="str">
        <v/>
      </c>
    </row>
    <row r="8617" spans="326:327">
      <c r="LN8617" t="str">
        <v/>
      </c>
      <c r="LO8617" t="str">
        <v/>
      </c>
    </row>
    <row r="8618" spans="326:327">
      <c r="LN8618" t="str">
        <v/>
      </c>
      <c r="LO8618" t="str">
        <v/>
      </c>
    </row>
    <row r="8619" spans="326:327">
      <c r="LN8619" t="str">
        <v/>
      </c>
      <c r="LO8619" t="str">
        <v/>
      </c>
    </row>
    <row r="8620" spans="326:327">
      <c r="LN8620" t="str">
        <v/>
      </c>
      <c r="LO8620" t="str">
        <v/>
      </c>
    </row>
    <row r="8621" spans="326:327">
      <c r="LN8621" t="str">
        <v/>
      </c>
      <c r="LO8621" t="str">
        <v/>
      </c>
    </row>
    <row r="8622" spans="326:327">
      <c r="LN8622" t="str">
        <v/>
      </c>
      <c r="LO8622" t="str">
        <v/>
      </c>
    </row>
    <row r="8623" spans="326:327">
      <c r="LN8623" t="str">
        <v/>
      </c>
      <c r="LO8623" t="str">
        <v/>
      </c>
    </row>
    <row r="8624" spans="326:327">
      <c r="LN8624" t="str">
        <v/>
      </c>
      <c r="LO8624" t="str">
        <v/>
      </c>
    </row>
    <row r="8625" spans="326:327">
      <c r="LN8625" t="str">
        <v/>
      </c>
      <c r="LO8625" t="str">
        <v/>
      </c>
    </row>
    <row r="8626" spans="326:327">
      <c r="LN8626" t="str">
        <v/>
      </c>
      <c r="LO8626" t="str">
        <v/>
      </c>
    </row>
    <row r="8627" spans="326:327">
      <c r="LN8627" t="str">
        <v/>
      </c>
      <c r="LO8627" t="str">
        <v/>
      </c>
    </row>
    <row r="8628" spans="326:327">
      <c r="LN8628" t="str">
        <v/>
      </c>
      <c r="LO8628" t="str">
        <v/>
      </c>
    </row>
    <row r="8629" spans="326:327">
      <c r="LN8629" t="str">
        <v/>
      </c>
      <c r="LO8629" t="str">
        <v/>
      </c>
    </row>
    <row r="8630" spans="326:327">
      <c r="LN8630" t="str">
        <v/>
      </c>
      <c r="LO8630" t="str">
        <v/>
      </c>
    </row>
    <row r="8631" spans="326:327">
      <c r="LN8631" t="str">
        <v/>
      </c>
      <c r="LO8631" t="str">
        <v/>
      </c>
    </row>
    <row r="8632" spans="326:327">
      <c r="LN8632" t="str">
        <v/>
      </c>
      <c r="LO8632" t="str">
        <v/>
      </c>
    </row>
    <row r="8633" spans="326:327">
      <c r="LN8633" t="str">
        <v/>
      </c>
      <c r="LO8633" t="str">
        <v/>
      </c>
    </row>
    <row r="8634" spans="326:327">
      <c r="LN8634" t="str">
        <v/>
      </c>
      <c r="LO8634" t="str">
        <v/>
      </c>
    </row>
    <row r="8635" spans="326:327">
      <c r="LN8635" t="str">
        <v/>
      </c>
      <c r="LO8635" t="str">
        <v/>
      </c>
    </row>
    <row r="8636" spans="326:327">
      <c r="LN8636" t="str">
        <v/>
      </c>
      <c r="LO8636" t="str">
        <v/>
      </c>
    </row>
    <row r="8637" spans="326:327">
      <c r="LN8637" t="str">
        <v/>
      </c>
      <c r="LO8637" t="str">
        <v/>
      </c>
    </row>
    <row r="8638" spans="326:327">
      <c r="LN8638" t="str">
        <v/>
      </c>
      <c r="LO8638" t="str">
        <v/>
      </c>
    </row>
    <row r="8639" spans="326:327">
      <c r="LN8639" t="str">
        <v/>
      </c>
      <c r="LO8639" t="str">
        <v/>
      </c>
    </row>
    <row r="8640" spans="326:327">
      <c r="LN8640" t="str">
        <v/>
      </c>
      <c r="LO8640" t="str">
        <v/>
      </c>
    </row>
    <row r="8641" spans="326:327">
      <c r="LN8641" t="str">
        <v/>
      </c>
      <c r="LO8641" t="str">
        <v/>
      </c>
    </row>
    <row r="8642" spans="326:327">
      <c r="LN8642" t="str">
        <v/>
      </c>
      <c r="LO8642" t="str">
        <v/>
      </c>
    </row>
    <row r="8643" spans="326:327">
      <c r="LN8643" t="str">
        <v/>
      </c>
      <c r="LO8643" t="str">
        <v/>
      </c>
    </row>
    <row r="8644" spans="326:327">
      <c r="LN8644" t="str">
        <v/>
      </c>
      <c r="LO8644" t="str">
        <v/>
      </c>
    </row>
    <row r="8645" spans="326:327">
      <c r="LN8645" t="str">
        <v/>
      </c>
      <c r="LO8645" t="str">
        <v/>
      </c>
    </row>
    <row r="8646" spans="326:327">
      <c r="LN8646" t="str">
        <v/>
      </c>
      <c r="LO8646" t="str">
        <v/>
      </c>
    </row>
    <row r="8647" spans="326:327">
      <c r="LN8647" t="str">
        <v/>
      </c>
      <c r="LO8647" t="str">
        <v/>
      </c>
    </row>
    <row r="8648" spans="326:327">
      <c r="LN8648" t="str">
        <v/>
      </c>
      <c r="LO8648" t="str">
        <v/>
      </c>
    </row>
    <row r="8649" spans="326:327">
      <c r="LN8649" t="str">
        <v/>
      </c>
      <c r="LO8649" t="str">
        <v/>
      </c>
    </row>
    <row r="8650" spans="326:327">
      <c r="LN8650" t="str">
        <v/>
      </c>
      <c r="LO8650" t="str">
        <v/>
      </c>
    </row>
    <row r="8651" spans="326:327">
      <c r="LN8651" t="str">
        <v/>
      </c>
      <c r="LO8651" t="str">
        <v/>
      </c>
    </row>
    <row r="8652" spans="326:327">
      <c r="LN8652" t="str">
        <v/>
      </c>
      <c r="LO8652" t="str">
        <v/>
      </c>
    </row>
    <row r="8653" spans="326:327">
      <c r="LN8653" t="str">
        <v/>
      </c>
      <c r="LO8653" t="str">
        <v/>
      </c>
    </row>
    <row r="8654" spans="326:327">
      <c r="LN8654" t="str">
        <v/>
      </c>
      <c r="LO8654" t="str">
        <v/>
      </c>
    </row>
    <row r="8655" spans="326:327">
      <c r="LN8655" t="str">
        <v/>
      </c>
      <c r="LO8655" t="str">
        <v/>
      </c>
    </row>
    <row r="8656" spans="326:327">
      <c r="LN8656" t="str">
        <v/>
      </c>
      <c r="LO8656" t="str">
        <v/>
      </c>
    </row>
    <row r="8657" spans="326:327">
      <c r="LN8657" t="str">
        <v/>
      </c>
      <c r="LO8657" t="str">
        <v/>
      </c>
    </row>
    <row r="8658" spans="326:327">
      <c r="LN8658" t="str">
        <v/>
      </c>
      <c r="LO8658" t="str">
        <v/>
      </c>
    </row>
    <row r="8659" spans="326:327">
      <c r="LN8659" t="str">
        <v/>
      </c>
      <c r="LO8659" t="str">
        <v/>
      </c>
    </row>
    <row r="8660" spans="326:327">
      <c r="LN8660" t="str">
        <v/>
      </c>
      <c r="LO8660" t="str">
        <v/>
      </c>
    </row>
    <row r="8661" spans="326:327">
      <c r="LN8661" t="str">
        <v/>
      </c>
      <c r="LO8661" t="str">
        <v/>
      </c>
    </row>
    <row r="8662" spans="326:327">
      <c r="LN8662" t="str">
        <v/>
      </c>
      <c r="LO8662" t="str">
        <v/>
      </c>
    </row>
    <row r="8663" spans="326:327">
      <c r="LN8663" t="str">
        <v/>
      </c>
      <c r="LO8663" t="str">
        <v/>
      </c>
    </row>
    <row r="8664" spans="326:327">
      <c r="LN8664" t="str">
        <v/>
      </c>
      <c r="LO8664" t="str">
        <v/>
      </c>
    </row>
    <row r="8665" spans="326:327">
      <c r="LN8665" t="str">
        <v/>
      </c>
      <c r="LO8665" t="str">
        <v/>
      </c>
    </row>
    <row r="8666" spans="326:327">
      <c r="LN8666" t="str">
        <v/>
      </c>
      <c r="LO8666" t="str">
        <v/>
      </c>
    </row>
    <row r="8667" spans="326:327">
      <c r="LN8667" t="str">
        <v/>
      </c>
      <c r="LO8667" t="str">
        <v/>
      </c>
    </row>
    <row r="8668" spans="326:327">
      <c r="LN8668" t="str">
        <v/>
      </c>
      <c r="LO8668" t="str">
        <v/>
      </c>
    </row>
    <row r="8669" spans="326:327">
      <c r="LN8669" t="str">
        <v/>
      </c>
      <c r="LO8669" t="str">
        <v/>
      </c>
    </row>
    <row r="8670" spans="326:327">
      <c r="LN8670" t="str">
        <v/>
      </c>
      <c r="LO8670" t="str">
        <v/>
      </c>
    </row>
    <row r="8671" spans="326:327">
      <c r="LN8671" t="str">
        <v/>
      </c>
      <c r="LO8671" t="str">
        <v/>
      </c>
    </row>
    <row r="8672" spans="326:327">
      <c r="LN8672" t="str">
        <v/>
      </c>
      <c r="LO8672" t="str">
        <v/>
      </c>
    </row>
    <row r="8673" spans="326:327">
      <c r="LN8673" t="str">
        <v/>
      </c>
      <c r="LO8673" t="str">
        <v/>
      </c>
    </row>
    <row r="8674" spans="326:327">
      <c r="LN8674" t="str">
        <v/>
      </c>
      <c r="LO8674" t="str">
        <v/>
      </c>
    </row>
    <row r="8675" spans="326:327">
      <c r="LN8675" t="str">
        <v/>
      </c>
      <c r="LO8675" t="str">
        <v/>
      </c>
    </row>
    <row r="8676" spans="326:327">
      <c r="LN8676" t="str">
        <v/>
      </c>
      <c r="LO8676" t="str">
        <v/>
      </c>
    </row>
    <row r="8677" spans="326:327">
      <c r="LN8677" t="str">
        <v/>
      </c>
      <c r="LO8677" t="str">
        <v/>
      </c>
    </row>
    <row r="8678" spans="326:327">
      <c r="LN8678" t="str">
        <v/>
      </c>
      <c r="LO8678" t="str">
        <v/>
      </c>
    </row>
    <row r="8679" spans="326:327">
      <c r="LN8679" t="str">
        <v/>
      </c>
      <c r="LO8679" t="str">
        <v/>
      </c>
    </row>
    <row r="8680" spans="326:327">
      <c r="LN8680" t="str">
        <v/>
      </c>
      <c r="LO8680" t="str">
        <v/>
      </c>
    </row>
    <row r="8681" spans="326:327">
      <c r="LN8681" t="str">
        <v/>
      </c>
      <c r="LO8681" t="str">
        <v/>
      </c>
    </row>
    <row r="8682" spans="326:327">
      <c r="LN8682" t="str">
        <v/>
      </c>
      <c r="LO8682" t="str">
        <v/>
      </c>
    </row>
    <row r="8683" spans="326:327">
      <c r="LN8683" t="str">
        <v/>
      </c>
      <c r="LO8683" t="str">
        <v/>
      </c>
    </row>
    <row r="8684" spans="326:327">
      <c r="LN8684" t="str">
        <v/>
      </c>
      <c r="LO8684" t="str">
        <v/>
      </c>
    </row>
    <row r="8685" spans="326:327">
      <c r="LN8685" t="str">
        <v/>
      </c>
      <c r="LO8685" t="str">
        <v/>
      </c>
    </row>
    <row r="8686" spans="326:327">
      <c r="LN8686" t="str">
        <v/>
      </c>
      <c r="LO8686" t="str">
        <v/>
      </c>
    </row>
    <row r="8687" spans="326:327">
      <c r="LN8687" t="str">
        <v/>
      </c>
      <c r="LO8687" t="str">
        <v/>
      </c>
    </row>
    <row r="8688" spans="326:327">
      <c r="LN8688" t="str">
        <v/>
      </c>
      <c r="LO8688" t="str">
        <v/>
      </c>
    </row>
    <row r="8689" spans="326:327">
      <c r="LN8689" t="str">
        <v/>
      </c>
      <c r="LO8689" t="str">
        <v/>
      </c>
    </row>
    <row r="8690" spans="326:327">
      <c r="LN8690" t="str">
        <v/>
      </c>
      <c r="LO8690" t="str">
        <v/>
      </c>
    </row>
    <row r="8691" spans="326:327">
      <c r="LN8691" t="str">
        <v/>
      </c>
      <c r="LO8691" t="str">
        <v/>
      </c>
    </row>
    <row r="8692" spans="326:327">
      <c r="LN8692" t="str">
        <v/>
      </c>
      <c r="LO8692" t="str">
        <v/>
      </c>
    </row>
    <row r="8693" spans="326:327">
      <c r="LN8693" t="str">
        <v/>
      </c>
      <c r="LO8693" t="str">
        <v/>
      </c>
    </row>
    <row r="8694" spans="326:327">
      <c r="LN8694" t="str">
        <v/>
      </c>
      <c r="LO8694" t="str">
        <v/>
      </c>
    </row>
    <row r="8695" spans="326:327">
      <c r="LN8695" t="str">
        <v/>
      </c>
      <c r="LO8695" t="str">
        <v/>
      </c>
    </row>
    <row r="8696" spans="326:327">
      <c r="LN8696" t="str">
        <v/>
      </c>
      <c r="LO8696" t="str">
        <v/>
      </c>
    </row>
    <row r="8697" spans="326:327">
      <c r="LN8697" t="str">
        <v/>
      </c>
      <c r="LO8697" t="str">
        <v/>
      </c>
    </row>
    <row r="8698" spans="326:327">
      <c r="LN8698" t="str">
        <v/>
      </c>
      <c r="LO8698" t="str">
        <v/>
      </c>
    </row>
    <row r="8699" spans="326:327">
      <c r="LN8699" t="str">
        <v/>
      </c>
      <c r="LO8699" t="str">
        <v/>
      </c>
    </row>
    <row r="8700" spans="326:327">
      <c r="LN8700" t="str">
        <v/>
      </c>
      <c r="LO8700" t="str">
        <v/>
      </c>
    </row>
    <row r="8701" spans="326:327">
      <c r="LN8701" t="str">
        <v/>
      </c>
      <c r="LO8701" t="str">
        <v/>
      </c>
    </row>
    <row r="8702" spans="326:327">
      <c r="LN8702" t="str">
        <v/>
      </c>
      <c r="LO8702" t="str">
        <v/>
      </c>
    </row>
    <row r="8703" spans="326:327">
      <c r="LN8703" t="str">
        <v/>
      </c>
      <c r="LO8703" t="str">
        <v/>
      </c>
    </row>
    <row r="8704" spans="326:327">
      <c r="LN8704" t="str">
        <v/>
      </c>
      <c r="LO8704" t="str">
        <v/>
      </c>
    </row>
    <row r="8705" spans="326:327">
      <c r="LN8705" t="str">
        <v/>
      </c>
      <c r="LO8705" t="str">
        <v/>
      </c>
    </row>
    <row r="8706" spans="326:327">
      <c r="LN8706" t="str">
        <v/>
      </c>
      <c r="LO8706" t="str">
        <v/>
      </c>
    </row>
    <row r="8707" spans="326:327">
      <c r="LN8707" t="str">
        <v/>
      </c>
      <c r="LO8707" t="str">
        <v/>
      </c>
    </row>
    <row r="8708" spans="326:327">
      <c r="LN8708" t="str">
        <v/>
      </c>
      <c r="LO8708" t="str">
        <v/>
      </c>
    </row>
    <row r="8709" spans="326:327">
      <c r="LN8709" t="str">
        <v/>
      </c>
      <c r="LO8709" t="str">
        <v/>
      </c>
    </row>
    <row r="8710" spans="326:327">
      <c r="LN8710" t="str">
        <v/>
      </c>
      <c r="LO8710" t="str">
        <v/>
      </c>
    </row>
    <row r="8711" spans="326:327">
      <c r="LN8711" t="str">
        <v/>
      </c>
      <c r="LO8711" t="str">
        <v/>
      </c>
    </row>
    <row r="8712" spans="326:327">
      <c r="LN8712" t="str">
        <v/>
      </c>
      <c r="LO8712" t="str">
        <v/>
      </c>
    </row>
    <row r="8713" spans="326:327">
      <c r="LN8713" t="str">
        <v/>
      </c>
      <c r="LO8713" t="str">
        <v/>
      </c>
    </row>
    <row r="8714" spans="326:327">
      <c r="LN8714" t="str">
        <v/>
      </c>
      <c r="LO8714" t="str">
        <v/>
      </c>
    </row>
    <row r="8715" spans="326:327">
      <c r="LN8715" t="str">
        <v/>
      </c>
      <c r="LO8715" t="str">
        <v/>
      </c>
    </row>
    <row r="8716" spans="326:327">
      <c r="LN8716" t="str">
        <v/>
      </c>
      <c r="LO8716" t="str">
        <v/>
      </c>
    </row>
    <row r="8717" spans="326:327">
      <c r="LN8717" t="str">
        <v/>
      </c>
      <c r="LO8717" t="str">
        <v/>
      </c>
    </row>
    <row r="8718" spans="326:327">
      <c r="LN8718" t="str">
        <v/>
      </c>
      <c r="LO8718" t="str">
        <v/>
      </c>
    </row>
    <row r="8719" spans="326:327">
      <c r="LN8719" t="str">
        <v/>
      </c>
      <c r="LO8719" t="str">
        <v/>
      </c>
    </row>
    <row r="8720" spans="326:327">
      <c r="LN8720" t="str">
        <v/>
      </c>
      <c r="LO8720" t="str">
        <v/>
      </c>
    </row>
    <row r="8721" spans="326:327">
      <c r="LN8721" t="str">
        <v/>
      </c>
      <c r="LO8721" t="str">
        <v/>
      </c>
    </row>
    <row r="8722" spans="326:327">
      <c r="LN8722" t="str">
        <v/>
      </c>
      <c r="LO8722" t="str">
        <v/>
      </c>
    </row>
    <row r="8723" spans="326:327">
      <c r="LN8723" t="str">
        <v/>
      </c>
      <c r="LO8723" t="str">
        <v/>
      </c>
    </row>
    <row r="8724" spans="326:327">
      <c r="LN8724" t="str">
        <v/>
      </c>
      <c r="LO8724" t="str">
        <v/>
      </c>
    </row>
    <row r="8725" spans="326:327">
      <c r="LN8725" t="str">
        <v/>
      </c>
      <c r="LO8725" t="str">
        <v/>
      </c>
    </row>
    <row r="8726" spans="326:327">
      <c r="LN8726" t="str">
        <v/>
      </c>
      <c r="LO8726" t="str">
        <v/>
      </c>
    </row>
    <row r="8727" spans="326:327">
      <c r="LN8727" t="str">
        <v/>
      </c>
      <c r="LO8727" t="str">
        <v/>
      </c>
    </row>
    <row r="8728" spans="326:327">
      <c r="LN8728" t="str">
        <v/>
      </c>
      <c r="LO8728" t="str">
        <v/>
      </c>
    </row>
    <row r="8729" spans="326:327">
      <c r="LN8729" t="str">
        <v/>
      </c>
      <c r="LO8729" t="str">
        <v/>
      </c>
    </row>
    <row r="8730" spans="326:327">
      <c r="LN8730" t="str">
        <v/>
      </c>
      <c r="LO8730" t="str">
        <v/>
      </c>
    </row>
    <row r="8731" spans="326:327">
      <c r="LN8731" t="str">
        <v/>
      </c>
      <c r="LO8731" t="str">
        <v/>
      </c>
    </row>
    <row r="8732" spans="326:327">
      <c r="LN8732" t="str">
        <v/>
      </c>
      <c r="LO8732" t="str">
        <v/>
      </c>
    </row>
    <row r="8733" spans="326:327">
      <c r="LN8733" t="str">
        <v/>
      </c>
      <c r="LO8733" t="str">
        <v/>
      </c>
    </row>
    <row r="8734" spans="326:327">
      <c r="LN8734" t="str">
        <v/>
      </c>
      <c r="LO8734" t="str">
        <v/>
      </c>
    </row>
    <row r="8735" spans="326:327">
      <c r="LN8735" t="str">
        <v/>
      </c>
      <c r="LO8735" t="str">
        <v/>
      </c>
    </row>
    <row r="8736" spans="326:327">
      <c r="LN8736" t="str">
        <v/>
      </c>
      <c r="LO8736" t="str">
        <v/>
      </c>
    </row>
    <row r="8737" spans="326:327">
      <c r="LN8737" t="str">
        <v/>
      </c>
      <c r="LO8737" t="str">
        <v/>
      </c>
    </row>
    <row r="8738" spans="326:327">
      <c r="LN8738" t="str">
        <v/>
      </c>
      <c r="LO8738" t="str">
        <v/>
      </c>
    </row>
    <row r="8739" spans="326:327">
      <c r="LN8739" t="str">
        <v/>
      </c>
      <c r="LO8739" t="str">
        <v/>
      </c>
    </row>
    <row r="8740" spans="326:327">
      <c r="LN8740" t="str">
        <v/>
      </c>
      <c r="LO8740" t="str">
        <v/>
      </c>
    </row>
    <row r="8741" spans="326:327">
      <c r="LN8741" t="str">
        <v/>
      </c>
      <c r="LO8741" t="str">
        <v/>
      </c>
    </row>
    <row r="8742" spans="326:327">
      <c r="LN8742" t="str">
        <v/>
      </c>
      <c r="LO8742" t="str">
        <v/>
      </c>
    </row>
    <row r="8743" spans="326:327">
      <c r="LN8743" t="str">
        <v/>
      </c>
      <c r="LO8743" t="str">
        <v/>
      </c>
    </row>
    <row r="8744" spans="326:327">
      <c r="LN8744" t="str">
        <v/>
      </c>
      <c r="LO8744" t="str">
        <v/>
      </c>
    </row>
    <row r="8745" spans="326:327">
      <c r="LN8745" t="str">
        <v/>
      </c>
      <c r="LO8745" t="str">
        <v/>
      </c>
    </row>
    <row r="8746" spans="326:327">
      <c r="LN8746" t="str">
        <v/>
      </c>
      <c r="LO8746" t="str">
        <v/>
      </c>
    </row>
    <row r="8747" spans="326:327">
      <c r="LN8747" t="str">
        <v/>
      </c>
      <c r="LO8747" t="str">
        <v/>
      </c>
    </row>
    <row r="8748" spans="326:327">
      <c r="LN8748" t="str">
        <v/>
      </c>
      <c r="LO8748" t="str">
        <v/>
      </c>
    </row>
    <row r="8749" spans="326:327">
      <c r="LN8749" t="str">
        <v/>
      </c>
      <c r="LO8749" t="str">
        <v/>
      </c>
    </row>
    <row r="8750" spans="326:327">
      <c r="LN8750" t="str">
        <v/>
      </c>
      <c r="LO8750" t="str">
        <v/>
      </c>
    </row>
    <row r="8751" spans="326:327">
      <c r="LN8751" t="str">
        <v/>
      </c>
      <c r="LO8751" t="str">
        <v/>
      </c>
    </row>
    <row r="8752" spans="326:327">
      <c r="LN8752" t="str">
        <v/>
      </c>
      <c r="LO8752" t="str">
        <v/>
      </c>
    </row>
    <row r="8753" spans="326:327">
      <c r="LN8753" t="str">
        <v/>
      </c>
      <c r="LO8753" t="str">
        <v/>
      </c>
    </row>
    <row r="8754" spans="326:327">
      <c r="LN8754" t="str">
        <v/>
      </c>
      <c r="LO8754" t="str">
        <v/>
      </c>
    </row>
    <row r="8755" spans="326:327">
      <c r="LN8755" t="str">
        <v/>
      </c>
      <c r="LO8755" t="str">
        <v/>
      </c>
    </row>
    <row r="8756" spans="326:327">
      <c r="LN8756" t="str">
        <v/>
      </c>
      <c r="LO8756" t="str">
        <v/>
      </c>
    </row>
    <row r="8757" spans="326:327">
      <c r="LN8757" t="str">
        <v/>
      </c>
      <c r="LO8757" t="str">
        <v/>
      </c>
    </row>
    <row r="8758" spans="326:327">
      <c r="LN8758" t="str">
        <v/>
      </c>
      <c r="LO8758" t="str">
        <v/>
      </c>
    </row>
    <row r="8759" spans="326:327">
      <c r="LN8759" t="str">
        <v/>
      </c>
      <c r="LO8759" t="str">
        <v/>
      </c>
    </row>
    <row r="8760" spans="326:327">
      <c r="LN8760" t="str">
        <v/>
      </c>
      <c r="LO8760" t="str">
        <v/>
      </c>
    </row>
    <row r="8761" spans="326:327">
      <c r="LN8761" t="str">
        <v/>
      </c>
      <c r="LO8761" t="str">
        <v/>
      </c>
    </row>
    <row r="8762" spans="326:327">
      <c r="LN8762" t="str">
        <v/>
      </c>
      <c r="LO8762" t="str">
        <v/>
      </c>
    </row>
    <row r="8763" spans="326:327">
      <c r="LN8763" t="str">
        <v/>
      </c>
      <c r="LO8763" t="str">
        <v/>
      </c>
    </row>
    <row r="8764" spans="326:327">
      <c r="LN8764" t="str">
        <v/>
      </c>
      <c r="LO8764" t="str">
        <v/>
      </c>
    </row>
    <row r="8765" spans="326:327">
      <c r="LN8765" t="str">
        <v/>
      </c>
      <c r="LO8765" t="str">
        <v/>
      </c>
    </row>
    <row r="8766" spans="326:327">
      <c r="LN8766" t="str">
        <v/>
      </c>
      <c r="LO8766" t="str">
        <v/>
      </c>
    </row>
    <row r="8767" spans="326:327">
      <c r="LN8767" t="str">
        <v/>
      </c>
      <c r="LO8767" t="str">
        <v/>
      </c>
    </row>
    <row r="8768" spans="326:327">
      <c r="LN8768" t="str">
        <v/>
      </c>
      <c r="LO8768" t="str">
        <v/>
      </c>
    </row>
    <row r="8769" spans="326:327">
      <c r="LN8769" t="str">
        <v/>
      </c>
      <c r="LO8769" t="str">
        <v/>
      </c>
    </row>
    <row r="8770" spans="326:327">
      <c r="LN8770" t="str">
        <v/>
      </c>
      <c r="LO8770" t="str">
        <v/>
      </c>
    </row>
    <row r="8771" spans="326:327">
      <c r="LN8771" t="str">
        <v/>
      </c>
      <c r="LO8771" t="str">
        <v/>
      </c>
    </row>
    <row r="8772" spans="326:327">
      <c r="LN8772" t="str">
        <v/>
      </c>
      <c r="LO8772" t="str">
        <v/>
      </c>
    </row>
    <row r="8773" spans="326:327">
      <c r="LN8773" t="str">
        <v/>
      </c>
      <c r="LO8773" t="str">
        <v/>
      </c>
    </row>
    <row r="8774" spans="326:327">
      <c r="LN8774" t="str">
        <v/>
      </c>
      <c r="LO8774" t="str">
        <v/>
      </c>
    </row>
    <row r="8775" spans="326:327">
      <c r="LN8775" t="str">
        <v/>
      </c>
      <c r="LO8775" t="str">
        <v/>
      </c>
    </row>
    <row r="8776" spans="326:327">
      <c r="LN8776" t="str">
        <v/>
      </c>
      <c r="LO8776" t="str">
        <v/>
      </c>
    </row>
    <row r="8777" spans="326:327">
      <c r="LN8777" t="str">
        <v/>
      </c>
      <c r="LO8777" t="str">
        <v/>
      </c>
    </row>
    <row r="8778" spans="326:327">
      <c r="LN8778" t="str">
        <v/>
      </c>
      <c r="LO8778" t="str">
        <v/>
      </c>
    </row>
    <row r="8779" spans="326:327">
      <c r="LN8779" t="str">
        <v/>
      </c>
      <c r="LO8779" t="str">
        <v/>
      </c>
    </row>
    <row r="8780" spans="326:327">
      <c r="LN8780" t="str">
        <v/>
      </c>
      <c r="LO8780" t="str">
        <v/>
      </c>
    </row>
    <row r="8781" spans="326:327">
      <c r="LN8781" t="str">
        <v/>
      </c>
      <c r="LO8781" t="str">
        <v/>
      </c>
    </row>
    <row r="8782" spans="326:327">
      <c r="LN8782" t="str">
        <v/>
      </c>
      <c r="LO8782" t="str">
        <v/>
      </c>
    </row>
    <row r="8783" spans="326:327">
      <c r="LN8783" t="str">
        <v/>
      </c>
      <c r="LO8783" t="str">
        <v/>
      </c>
    </row>
    <row r="8784" spans="326:327">
      <c r="LN8784" t="str">
        <v/>
      </c>
      <c r="LO8784" t="str">
        <v/>
      </c>
    </row>
    <row r="8785" spans="326:327">
      <c r="LN8785" t="str">
        <v/>
      </c>
      <c r="LO8785" t="str">
        <v/>
      </c>
    </row>
    <row r="8786" spans="326:327">
      <c r="LN8786" t="str">
        <v/>
      </c>
      <c r="LO8786" t="str">
        <v/>
      </c>
    </row>
    <row r="8787" spans="326:327">
      <c r="LN8787" t="str">
        <v/>
      </c>
      <c r="LO8787" t="str">
        <v/>
      </c>
    </row>
    <row r="8788" spans="326:327">
      <c r="LN8788" t="str">
        <v/>
      </c>
      <c r="LO8788" t="str">
        <v/>
      </c>
    </row>
    <row r="8789" spans="326:327">
      <c r="LN8789" t="str">
        <v/>
      </c>
      <c r="LO8789" t="str">
        <v/>
      </c>
    </row>
    <row r="8790" spans="326:327">
      <c r="LN8790" t="str">
        <v/>
      </c>
      <c r="LO8790" t="str">
        <v/>
      </c>
    </row>
    <row r="8791" spans="326:327">
      <c r="LN8791" t="str">
        <v/>
      </c>
      <c r="LO8791" t="str">
        <v/>
      </c>
    </row>
    <row r="8792" spans="326:327">
      <c r="LN8792" t="str">
        <v/>
      </c>
      <c r="LO8792" t="str">
        <v/>
      </c>
    </row>
    <row r="8793" spans="326:327">
      <c r="LN8793" t="str">
        <v/>
      </c>
      <c r="LO8793" t="str">
        <v/>
      </c>
    </row>
    <row r="8794" spans="326:327">
      <c r="LN8794" t="str">
        <v/>
      </c>
      <c r="LO8794" t="str">
        <v/>
      </c>
    </row>
    <row r="8795" spans="326:327">
      <c r="LN8795" t="str">
        <v/>
      </c>
      <c r="LO8795" t="str">
        <v/>
      </c>
    </row>
    <row r="8796" spans="326:327">
      <c r="LN8796" t="str">
        <v/>
      </c>
      <c r="LO8796" t="str">
        <v/>
      </c>
    </row>
    <row r="8797" spans="326:327">
      <c r="LN8797" t="str">
        <v/>
      </c>
      <c r="LO8797" t="str">
        <v/>
      </c>
    </row>
    <row r="8798" spans="326:327">
      <c r="LN8798" t="str">
        <v/>
      </c>
      <c r="LO8798" t="str">
        <v/>
      </c>
    </row>
    <row r="8799" spans="326:327">
      <c r="LN8799" t="str">
        <v/>
      </c>
      <c r="LO8799" t="str">
        <v/>
      </c>
    </row>
    <row r="8800" spans="326:327">
      <c r="LN8800" t="str">
        <v/>
      </c>
      <c r="LO8800" t="str">
        <v/>
      </c>
    </row>
    <row r="8801" spans="326:327">
      <c r="LN8801" t="str">
        <v/>
      </c>
      <c r="LO8801" t="str">
        <v/>
      </c>
    </row>
    <row r="8802" spans="326:327">
      <c r="LN8802" t="str">
        <v/>
      </c>
      <c r="LO8802" t="str">
        <v/>
      </c>
    </row>
    <row r="8803" spans="326:327">
      <c r="LN8803" t="str">
        <v/>
      </c>
      <c r="LO8803" t="str">
        <v/>
      </c>
    </row>
    <row r="8804" spans="326:327">
      <c r="LN8804" t="str">
        <v/>
      </c>
      <c r="LO8804" t="str">
        <v/>
      </c>
    </row>
    <row r="8805" spans="326:327">
      <c r="LN8805" t="str">
        <v/>
      </c>
      <c r="LO8805" t="str">
        <v/>
      </c>
    </row>
    <row r="8806" spans="326:327">
      <c r="LN8806" t="str">
        <v/>
      </c>
      <c r="LO8806" t="str">
        <v/>
      </c>
    </row>
    <row r="8807" spans="326:327">
      <c r="LN8807" t="str">
        <v/>
      </c>
      <c r="LO8807" t="str">
        <v/>
      </c>
    </row>
    <row r="8808" spans="326:327">
      <c r="LN8808" t="str">
        <v/>
      </c>
      <c r="LO8808" t="str">
        <v/>
      </c>
    </row>
    <row r="8809" spans="326:327">
      <c r="LN8809" t="str">
        <v/>
      </c>
      <c r="LO8809" t="str">
        <v/>
      </c>
    </row>
    <row r="8810" spans="326:327">
      <c r="LN8810" t="str">
        <v/>
      </c>
      <c r="LO8810" t="str">
        <v/>
      </c>
    </row>
    <row r="8811" spans="326:327">
      <c r="LN8811" t="str">
        <v/>
      </c>
      <c r="LO8811" t="str">
        <v/>
      </c>
    </row>
    <row r="8812" spans="326:327">
      <c r="LN8812" t="str">
        <v/>
      </c>
      <c r="LO8812" t="str">
        <v/>
      </c>
    </row>
    <row r="8813" spans="326:327">
      <c r="LN8813" t="str">
        <v/>
      </c>
      <c r="LO8813" t="str">
        <v/>
      </c>
    </row>
    <row r="8814" spans="326:327">
      <c r="LN8814" t="str">
        <v/>
      </c>
      <c r="LO8814" t="str">
        <v/>
      </c>
    </row>
    <row r="8815" spans="326:327">
      <c r="LN8815" t="str">
        <v/>
      </c>
      <c r="LO8815" t="str">
        <v/>
      </c>
    </row>
    <row r="8816" spans="326:327">
      <c r="LN8816" t="str">
        <v/>
      </c>
      <c r="LO8816" t="str">
        <v/>
      </c>
    </row>
    <row r="8817" spans="326:327">
      <c r="LN8817" t="str">
        <v/>
      </c>
      <c r="LO8817" t="str">
        <v/>
      </c>
    </row>
    <row r="8818" spans="326:327">
      <c r="LN8818" t="str">
        <v/>
      </c>
      <c r="LO8818" t="str">
        <v/>
      </c>
    </row>
    <row r="8819" spans="326:327">
      <c r="LN8819" t="str">
        <v/>
      </c>
      <c r="LO8819" t="str">
        <v/>
      </c>
    </row>
    <row r="8820" spans="326:327">
      <c r="LN8820" t="str">
        <v/>
      </c>
      <c r="LO8820" t="str">
        <v/>
      </c>
    </row>
    <row r="8821" spans="326:327">
      <c r="LN8821" t="str">
        <v/>
      </c>
      <c r="LO8821" t="str">
        <v/>
      </c>
    </row>
    <row r="8822" spans="326:327">
      <c r="LN8822" t="str">
        <v/>
      </c>
      <c r="LO8822" t="str">
        <v/>
      </c>
    </row>
    <row r="8823" spans="326:327">
      <c r="LN8823" t="str">
        <v/>
      </c>
      <c r="LO8823" t="str">
        <v/>
      </c>
    </row>
    <row r="8824" spans="326:327">
      <c r="LN8824" t="str">
        <v/>
      </c>
      <c r="LO8824" t="str">
        <v/>
      </c>
    </row>
    <row r="8825" spans="326:327">
      <c r="LN8825" t="str">
        <v/>
      </c>
      <c r="LO8825" t="str">
        <v/>
      </c>
    </row>
    <row r="8826" spans="326:327">
      <c r="LN8826" t="str">
        <v/>
      </c>
      <c r="LO8826" t="str">
        <v/>
      </c>
    </row>
    <row r="8827" spans="326:327">
      <c r="LN8827" t="str">
        <v/>
      </c>
      <c r="LO8827" t="str">
        <v/>
      </c>
    </row>
    <row r="8828" spans="326:327">
      <c r="LN8828" t="str">
        <v/>
      </c>
      <c r="LO8828" t="str">
        <v/>
      </c>
    </row>
    <row r="8829" spans="326:327">
      <c r="LN8829" t="str">
        <v/>
      </c>
      <c r="LO8829" t="str">
        <v/>
      </c>
    </row>
    <row r="8830" spans="326:327">
      <c r="LN8830" t="str">
        <v/>
      </c>
      <c r="LO8830" t="str">
        <v/>
      </c>
    </row>
    <row r="8831" spans="326:327">
      <c r="LN8831" t="str">
        <v/>
      </c>
      <c r="LO8831" t="str">
        <v/>
      </c>
    </row>
    <row r="8832" spans="326:327">
      <c r="LN8832" t="str">
        <v/>
      </c>
      <c r="LO8832" t="str">
        <v/>
      </c>
    </row>
    <row r="8833" spans="326:327">
      <c r="LN8833" t="str">
        <v/>
      </c>
      <c r="LO8833" t="str">
        <v/>
      </c>
    </row>
    <row r="8834" spans="326:327">
      <c r="LN8834" t="str">
        <v/>
      </c>
      <c r="LO8834" t="str">
        <v/>
      </c>
    </row>
    <row r="8835" spans="326:327">
      <c r="LN8835" t="str">
        <v/>
      </c>
      <c r="LO8835" t="str">
        <v/>
      </c>
    </row>
    <row r="8836" spans="326:327">
      <c r="LN8836" t="str">
        <v/>
      </c>
      <c r="LO8836" t="str">
        <v/>
      </c>
    </row>
    <row r="8837" spans="326:327">
      <c r="LN8837" t="str">
        <v/>
      </c>
      <c r="LO8837" t="str">
        <v/>
      </c>
    </row>
    <row r="8838" spans="326:327">
      <c r="LN8838" t="str">
        <v/>
      </c>
      <c r="LO8838" t="str">
        <v/>
      </c>
    </row>
    <row r="8839" spans="326:327">
      <c r="LN8839" t="str">
        <v/>
      </c>
      <c r="LO8839" t="str">
        <v/>
      </c>
    </row>
    <row r="8840" spans="326:327">
      <c r="LN8840" t="str">
        <v/>
      </c>
      <c r="LO8840" t="str">
        <v/>
      </c>
    </row>
    <row r="8841" spans="326:327">
      <c r="LN8841" t="str">
        <v/>
      </c>
      <c r="LO8841" t="str">
        <v/>
      </c>
    </row>
    <row r="8842" spans="326:327">
      <c r="LN8842" t="str">
        <v/>
      </c>
      <c r="LO8842" t="str">
        <v/>
      </c>
    </row>
    <row r="8843" spans="326:327">
      <c r="LN8843" t="str">
        <v/>
      </c>
      <c r="LO8843" t="str">
        <v/>
      </c>
    </row>
    <row r="8844" spans="326:327">
      <c r="LN8844" t="str">
        <v/>
      </c>
      <c r="LO8844" t="str">
        <v/>
      </c>
    </row>
    <row r="8845" spans="326:327">
      <c r="LN8845" t="str">
        <v/>
      </c>
      <c r="LO8845" t="str">
        <v/>
      </c>
    </row>
    <row r="8846" spans="326:327">
      <c r="LN8846" t="str">
        <v/>
      </c>
      <c r="LO8846" t="str">
        <v/>
      </c>
    </row>
    <row r="8847" spans="326:327">
      <c r="LN8847" t="str">
        <v/>
      </c>
      <c r="LO8847" t="str">
        <v/>
      </c>
    </row>
    <row r="8848" spans="326:327">
      <c r="LN8848" t="str">
        <v/>
      </c>
      <c r="LO8848" t="str">
        <v/>
      </c>
    </row>
    <row r="8849" spans="326:327">
      <c r="LN8849" t="str">
        <v/>
      </c>
      <c r="LO8849" t="str">
        <v/>
      </c>
    </row>
    <row r="8850" spans="326:327">
      <c r="LN8850" t="str">
        <v/>
      </c>
      <c r="LO8850" t="str">
        <v/>
      </c>
    </row>
    <row r="8851" spans="326:327">
      <c r="LN8851" t="str">
        <v/>
      </c>
      <c r="LO8851" t="str">
        <v/>
      </c>
    </row>
    <row r="8852" spans="326:327">
      <c r="LN8852" t="str">
        <v/>
      </c>
      <c r="LO8852" t="str">
        <v/>
      </c>
    </row>
    <row r="8853" spans="326:327">
      <c r="LN8853" t="str">
        <v/>
      </c>
      <c r="LO8853" t="str">
        <v/>
      </c>
    </row>
    <row r="8854" spans="326:327">
      <c r="LN8854" t="str">
        <v/>
      </c>
      <c r="LO8854" t="str">
        <v/>
      </c>
    </row>
    <row r="8855" spans="326:327">
      <c r="LN8855" t="str">
        <v/>
      </c>
      <c r="LO8855" t="str">
        <v/>
      </c>
    </row>
    <row r="8856" spans="326:327">
      <c r="LN8856" t="str">
        <v/>
      </c>
      <c r="LO8856" t="str">
        <v/>
      </c>
    </row>
    <row r="8857" spans="326:327">
      <c r="LN8857" t="str">
        <v/>
      </c>
      <c r="LO8857" t="str">
        <v/>
      </c>
    </row>
    <row r="8858" spans="326:327">
      <c r="LN8858" t="str">
        <v/>
      </c>
      <c r="LO8858" t="str">
        <v/>
      </c>
    </row>
    <row r="8859" spans="326:327">
      <c r="LN8859" t="str">
        <v/>
      </c>
      <c r="LO8859" t="str">
        <v/>
      </c>
    </row>
    <row r="8860" spans="326:327">
      <c r="LN8860" t="str">
        <v/>
      </c>
      <c r="LO8860" t="str">
        <v/>
      </c>
    </row>
    <row r="8861" spans="326:327">
      <c r="LN8861" t="str">
        <v/>
      </c>
      <c r="LO8861" t="str">
        <v/>
      </c>
    </row>
    <row r="8862" spans="326:327">
      <c r="LN8862" t="str">
        <v/>
      </c>
      <c r="LO8862" t="str">
        <v/>
      </c>
    </row>
    <row r="8863" spans="326:327">
      <c r="LN8863" t="str">
        <v/>
      </c>
      <c r="LO8863" t="str">
        <v/>
      </c>
    </row>
    <row r="8864" spans="326:327">
      <c r="LN8864" t="str">
        <v/>
      </c>
      <c r="LO8864" t="str">
        <v/>
      </c>
    </row>
    <row r="8865" spans="326:327">
      <c r="LN8865" t="str">
        <v/>
      </c>
      <c r="LO8865" t="str">
        <v/>
      </c>
    </row>
    <row r="8866" spans="326:327">
      <c r="LN8866" t="str">
        <v/>
      </c>
      <c r="LO8866" t="str">
        <v/>
      </c>
    </row>
    <row r="8867" spans="326:327">
      <c r="LN8867" t="str">
        <v/>
      </c>
      <c r="LO8867" t="str">
        <v/>
      </c>
    </row>
    <row r="8868" spans="326:327">
      <c r="LN8868" t="str">
        <v/>
      </c>
      <c r="LO8868" t="str">
        <v/>
      </c>
    </row>
    <row r="8869" spans="326:327">
      <c r="LN8869" t="str">
        <v/>
      </c>
      <c r="LO8869" t="str">
        <v/>
      </c>
    </row>
    <row r="8870" spans="326:327">
      <c r="LN8870" t="str">
        <v/>
      </c>
      <c r="LO8870" t="str">
        <v/>
      </c>
    </row>
    <row r="8871" spans="326:327">
      <c r="LN8871" t="str">
        <v/>
      </c>
      <c r="LO8871" t="str">
        <v/>
      </c>
    </row>
    <row r="8872" spans="326:327">
      <c r="LN8872" t="str">
        <v/>
      </c>
      <c r="LO8872" t="str">
        <v/>
      </c>
    </row>
    <row r="8873" spans="326:327">
      <c r="LN8873" t="str">
        <v/>
      </c>
      <c r="LO8873" t="str">
        <v/>
      </c>
    </row>
    <row r="8874" spans="326:327">
      <c r="LN8874" t="str">
        <v/>
      </c>
      <c r="LO8874" t="str">
        <v/>
      </c>
    </row>
    <row r="8875" spans="326:327">
      <c r="LN8875" t="str">
        <v/>
      </c>
      <c r="LO8875" t="str">
        <v/>
      </c>
    </row>
    <row r="8876" spans="326:327">
      <c r="LN8876" t="str">
        <v/>
      </c>
      <c r="LO8876" t="str">
        <v/>
      </c>
    </row>
    <row r="8877" spans="326:327">
      <c r="LN8877" t="str">
        <v/>
      </c>
      <c r="LO8877" t="str">
        <v/>
      </c>
    </row>
    <row r="8878" spans="326:327">
      <c r="LN8878" t="str">
        <v/>
      </c>
      <c r="LO8878" t="str">
        <v/>
      </c>
    </row>
    <row r="8879" spans="326:327">
      <c r="LN8879" t="str">
        <v/>
      </c>
      <c r="LO8879" t="str">
        <v/>
      </c>
    </row>
    <row r="8880" spans="326:327">
      <c r="LN8880" t="str">
        <v/>
      </c>
      <c r="LO8880" t="str">
        <v/>
      </c>
    </row>
    <row r="8881" spans="326:327">
      <c r="LN8881" t="str">
        <v/>
      </c>
      <c r="LO8881" t="str">
        <v/>
      </c>
    </row>
    <row r="8882" spans="326:327">
      <c r="LN8882" t="str">
        <v/>
      </c>
      <c r="LO8882" t="str">
        <v/>
      </c>
    </row>
    <row r="8883" spans="326:327">
      <c r="LN8883" t="str">
        <v/>
      </c>
      <c r="LO8883" t="str">
        <v/>
      </c>
    </row>
    <row r="8884" spans="326:327">
      <c r="LN8884" t="str">
        <v/>
      </c>
      <c r="LO8884" t="str">
        <v/>
      </c>
    </row>
    <row r="8885" spans="326:327">
      <c r="LN8885" t="str">
        <v/>
      </c>
      <c r="LO8885" t="str">
        <v/>
      </c>
    </row>
    <row r="8886" spans="326:327">
      <c r="LN8886" t="str">
        <v/>
      </c>
      <c r="LO8886" t="str">
        <v/>
      </c>
    </row>
    <row r="8887" spans="326:327">
      <c r="LN8887" t="str">
        <v/>
      </c>
      <c r="LO8887" t="str">
        <v/>
      </c>
    </row>
    <row r="8888" spans="326:327">
      <c r="LN8888" t="str">
        <v/>
      </c>
      <c r="LO8888" t="str">
        <v/>
      </c>
    </row>
    <row r="8889" spans="326:327">
      <c r="LN8889" t="str">
        <v/>
      </c>
      <c r="LO8889" t="str">
        <v/>
      </c>
    </row>
    <row r="8890" spans="326:327">
      <c r="LN8890" t="str">
        <v/>
      </c>
      <c r="LO8890" t="str">
        <v/>
      </c>
    </row>
    <row r="8891" spans="326:327">
      <c r="LN8891" t="str">
        <v/>
      </c>
      <c r="LO8891" t="str">
        <v/>
      </c>
    </row>
    <row r="8892" spans="326:327">
      <c r="LN8892" t="str">
        <v/>
      </c>
      <c r="LO8892" t="str">
        <v/>
      </c>
    </row>
    <row r="8893" spans="326:327">
      <c r="LN8893" t="str">
        <v/>
      </c>
      <c r="LO8893" t="str">
        <v/>
      </c>
    </row>
    <row r="8894" spans="326:327">
      <c r="LN8894" t="str">
        <v/>
      </c>
      <c r="LO8894" t="str">
        <v/>
      </c>
    </row>
    <row r="8895" spans="326:327">
      <c r="LN8895" t="str">
        <v/>
      </c>
      <c r="LO8895" t="str">
        <v/>
      </c>
    </row>
    <row r="8896" spans="326:327">
      <c r="LN8896" t="str">
        <v/>
      </c>
      <c r="LO8896" t="str">
        <v/>
      </c>
    </row>
    <row r="8897" spans="326:327">
      <c r="LN8897" t="str">
        <v/>
      </c>
      <c r="LO8897" t="str">
        <v/>
      </c>
    </row>
    <row r="8898" spans="326:327">
      <c r="LN8898" t="str">
        <v/>
      </c>
      <c r="LO8898" t="str">
        <v/>
      </c>
    </row>
    <row r="8899" spans="326:327">
      <c r="LN8899" t="str">
        <v/>
      </c>
      <c r="LO8899" t="str">
        <v/>
      </c>
    </row>
    <row r="8900" spans="326:327">
      <c r="LN8900" t="str">
        <v/>
      </c>
      <c r="LO8900" t="str">
        <v/>
      </c>
    </row>
    <row r="8901" spans="326:327">
      <c r="LN8901" t="str">
        <v/>
      </c>
      <c r="LO8901" t="str">
        <v/>
      </c>
    </row>
    <row r="8902" spans="326:327">
      <c r="LN8902" t="str">
        <v/>
      </c>
      <c r="LO8902" t="str">
        <v/>
      </c>
    </row>
    <row r="8903" spans="326:327">
      <c r="LN8903" t="str">
        <v/>
      </c>
      <c r="LO8903" t="str">
        <v/>
      </c>
    </row>
    <row r="8904" spans="326:327">
      <c r="LN8904" t="str">
        <v/>
      </c>
      <c r="LO8904" t="str">
        <v/>
      </c>
    </row>
    <row r="8905" spans="326:327">
      <c r="LN8905" t="str">
        <v/>
      </c>
      <c r="LO8905" t="str">
        <v/>
      </c>
    </row>
    <row r="8906" spans="326:327">
      <c r="LN8906" t="str">
        <v/>
      </c>
      <c r="LO8906" t="str">
        <v/>
      </c>
    </row>
    <row r="8907" spans="326:327">
      <c r="LN8907" t="str">
        <v/>
      </c>
      <c r="LO8907" t="str">
        <v/>
      </c>
    </row>
    <row r="8908" spans="326:327">
      <c r="LN8908" t="str">
        <v/>
      </c>
      <c r="LO8908" t="str">
        <v/>
      </c>
    </row>
    <row r="8909" spans="326:327">
      <c r="LN8909" t="str">
        <v/>
      </c>
      <c r="LO8909" t="str">
        <v/>
      </c>
    </row>
    <row r="8910" spans="326:327">
      <c r="LN8910" t="str">
        <v/>
      </c>
      <c r="LO8910" t="str">
        <v/>
      </c>
    </row>
    <row r="8911" spans="326:327">
      <c r="LN8911" t="str">
        <v/>
      </c>
      <c r="LO8911" t="str">
        <v/>
      </c>
    </row>
    <row r="8912" spans="326:327">
      <c r="LN8912" t="str">
        <v/>
      </c>
      <c r="LO8912" t="str">
        <v/>
      </c>
    </row>
    <row r="8913" spans="326:327">
      <c r="LN8913" t="str">
        <v/>
      </c>
      <c r="LO8913" t="str">
        <v/>
      </c>
    </row>
    <row r="8914" spans="326:327">
      <c r="LN8914" t="str">
        <v/>
      </c>
      <c r="LO8914" t="str">
        <v/>
      </c>
    </row>
    <row r="8915" spans="326:327">
      <c r="LN8915" t="str">
        <v/>
      </c>
      <c r="LO8915" t="str">
        <v/>
      </c>
    </row>
    <row r="8916" spans="326:327">
      <c r="LN8916" t="str">
        <v/>
      </c>
      <c r="LO8916" t="str">
        <v/>
      </c>
    </row>
    <row r="8917" spans="326:327">
      <c r="LN8917" t="str">
        <v/>
      </c>
      <c r="LO8917" t="str">
        <v/>
      </c>
    </row>
    <row r="8918" spans="326:327">
      <c r="LN8918" t="str">
        <v/>
      </c>
      <c r="LO8918" t="str">
        <v/>
      </c>
    </row>
    <row r="8919" spans="326:327">
      <c r="LN8919" t="str">
        <v/>
      </c>
      <c r="LO8919" t="str">
        <v/>
      </c>
    </row>
    <row r="8920" spans="326:327">
      <c r="LN8920" t="str">
        <v/>
      </c>
      <c r="LO8920" t="str">
        <v/>
      </c>
    </row>
    <row r="8921" spans="326:327">
      <c r="LN8921" t="str">
        <v/>
      </c>
      <c r="LO8921" t="str">
        <v/>
      </c>
    </row>
    <row r="8922" spans="326:327">
      <c r="LN8922" t="str">
        <v/>
      </c>
      <c r="LO8922" t="str">
        <v/>
      </c>
    </row>
    <row r="8923" spans="326:327">
      <c r="LN8923" t="str">
        <v/>
      </c>
      <c r="LO8923" t="str">
        <v/>
      </c>
    </row>
    <row r="8924" spans="326:327">
      <c r="LN8924" t="str">
        <v/>
      </c>
      <c r="LO8924" t="str">
        <v/>
      </c>
    </row>
    <row r="8925" spans="326:327">
      <c r="LN8925" t="str">
        <v/>
      </c>
      <c r="LO8925" t="str">
        <v/>
      </c>
    </row>
    <row r="8926" spans="326:327">
      <c r="LN8926" t="str">
        <v/>
      </c>
      <c r="LO8926" t="str">
        <v/>
      </c>
    </row>
    <row r="8927" spans="326:327">
      <c r="LN8927" t="str">
        <v/>
      </c>
      <c r="LO8927" t="str">
        <v/>
      </c>
    </row>
    <row r="8928" spans="326:327">
      <c r="LN8928" t="str">
        <v/>
      </c>
      <c r="LO8928" t="str">
        <v/>
      </c>
    </row>
    <row r="8929" spans="326:327">
      <c r="LN8929" t="str">
        <v/>
      </c>
      <c r="LO8929" t="str">
        <v/>
      </c>
    </row>
    <row r="8930" spans="326:327">
      <c r="LN8930" t="str">
        <v/>
      </c>
      <c r="LO8930" t="str">
        <v/>
      </c>
    </row>
    <row r="8931" spans="326:327">
      <c r="LN8931" t="str">
        <v/>
      </c>
      <c r="LO8931" t="str">
        <v/>
      </c>
    </row>
    <row r="8932" spans="326:327">
      <c r="LN8932" t="str">
        <v/>
      </c>
      <c r="LO8932" t="str">
        <v/>
      </c>
    </row>
    <row r="8933" spans="326:327">
      <c r="LN8933" t="str">
        <v/>
      </c>
      <c r="LO8933" t="str">
        <v/>
      </c>
    </row>
    <row r="8934" spans="326:327">
      <c r="LN8934" t="str">
        <v/>
      </c>
      <c r="LO8934" t="str">
        <v/>
      </c>
    </row>
    <row r="8935" spans="326:327">
      <c r="LN8935" t="str">
        <v/>
      </c>
      <c r="LO8935" t="str">
        <v/>
      </c>
    </row>
    <row r="8936" spans="326:327">
      <c r="LN8936" t="str">
        <v/>
      </c>
      <c r="LO8936" t="str">
        <v/>
      </c>
    </row>
    <row r="8937" spans="326:327">
      <c r="LN8937" t="str">
        <v/>
      </c>
      <c r="LO8937" t="str">
        <v/>
      </c>
    </row>
    <row r="8938" spans="326:327">
      <c r="LN8938" t="str">
        <v/>
      </c>
      <c r="LO8938" t="str">
        <v/>
      </c>
    </row>
    <row r="8939" spans="326:327">
      <c r="LN8939" t="str">
        <v/>
      </c>
      <c r="LO8939" t="str">
        <v/>
      </c>
    </row>
    <row r="8940" spans="326:327">
      <c r="LN8940" t="str">
        <v/>
      </c>
      <c r="LO8940" t="str">
        <v/>
      </c>
    </row>
    <row r="8941" spans="326:327">
      <c r="LN8941" t="str">
        <v/>
      </c>
      <c r="LO8941" t="str">
        <v/>
      </c>
    </row>
    <row r="8942" spans="326:327">
      <c r="LN8942" t="str">
        <v/>
      </c>
      <c r="LO8942" t="str">
        <v/>
      </c>
    </row>
    <row r="8943" spans="326:327">
      <c r="LN8943" t="str">
        <v/>
      </c>
      <c r="LO8943" t="str">
        <v/>
      </c>
    </row>
    <row r="8944" spans="326:327">
      <c r="LN8944" t="str">
        <v/>
      </c>
      <c r="LO8944" t="str">
        <v/>
      </c>
    </row>
    <row r="8945" spans="326:327">
      <c r="LN8945" t="str">
        <v/>
      </c>
      <c r="LO8945" t="str">
        <v/>
      </c>
    </row>
    <row r="8946" spans="326:327">
      <c r="LN8946" t="str">
        <v/>
      </c>
      <c r="LO8946" t="str">
        <v/>
      </c>
    </row>
    <row r="8947" spans="326:327">
      <c r="LN8947" t="str">
        <v/>
      </c>
      <c r="LO8947" t="str">
        <v/>
      </c>
    </row>
    <row r="8948" spans="326:327">
      <c r="LN8948" t="str">
        <v/>
      </c>
      <c r="LO8948" t="str">
        <v/>
      </c>
    </row>
    <row r="8949" spans="326:327">
      <c r="LN8949" t="str">
        <v/>
      </c>
      <c r="LO8949" t="str">
        <v/>
      </c>
    </row>
    <row r="8950" spans="326:327">
      <c r="LN8950" t="str">
        <v/>
      </c>
      <c r="LO8950" t="str">
        <v/>
      </c>
    </row>
    <row r="8951" spans="326:327">
      <c r="LN8951" t="str">
        <v/>
      </c>
      <c r="LO8951" t="str">
        <v/>
      </c>
    </row>
    <row r="8952" spans="326:327">
      <c r="LN8952" t="str">
        <v/>
      </c>
      <c r="LO8952" t="str">
        <v/>
      </c>
    </row>
    <row r="8953" spans="326:327">
      <c r="LN8953" t="str">
        <v/>
      </c>
      <c r="LO8953" t="str">
        <v/>
      </c>
    </row>
    <row r="8954" spans="326:327">
      <c r="LN8954" t="str">
        <v/>
      </c>
      <c r="LO8954" t="str">
        <v/>
      </c>
    </row>
    <row r="8955" spans="326:327">
      <c r="LN8955" t="str">
        <v/>
      </c>
      <c r="LO8955" t="str">
        <v/>
      </c>
    </row>
    <row r="8956" spans="326:327">
      <c r="LN8956" t="str">
        <v/>
      </c>
      <c r="LO8956" t="str">
        <v/>
      </c>
    </row>
    <row r="8957" spans="326:327">
      <c r="LN8957" t="str">
        <v/>
      </c>
      <c r="LO8957" t="str">
        <v/>
      </c>
    </row>
    <row r="8958" spans="326:327">
      <c r="LN8958" t="str">
        <v/>
      </c>
      <c r="LO8958" t="str">
        <v/>
      </c>
    </row>
    <row r="8959" spans="326:327">
      <c r="LN8959" t="str">
        <v/>
      </c>
      <c r="LO8959" t="str">
        <v/>
      </c>
    </row>
    <row r="8960" spans="326:327">
      <c r="LN8960" t="str">
        <v/>
      </c>
      <c r="LO8960" t="str">
        <v/>
      </c>
    </row>
    <row r="8961" spans="326:327">
      <c r="LN8961" t="str">
        <v/>
      </c>
      <c r="LO8961" t="str">
        <v/>
      </c>
    </row>
    <row r="8962" spans="326:327">
      <c r="LN8962" t="str">
        <v/>
      </c>
      <c r="LO8962" t="str">
        <v/>
      </c>
    </row>
    <row r="8963" spans="326:327">
      <c r="LN8963" t="str">
        <v/>
      </c>
      <c r="LO8963" t="str">
        <v/>
      </c>
    </row>
    <row r="8964" spans="326:327">
      <c r="LN8964" t="str">
        <v/>
      </c>
      <c r="LO8964" t="str">
        <v/>
      </c>
    </row>
    <row r="8965" spans="326:327">
      <c r="LN8965" t="str">
        <v/>
      </c>
      <c r="LO8965" t="str">
        <v/>
      </c>
    </row>
    <row r="8966" spans="326:327">
      <c r="LN8966" t="str">
        <v/>
      </c>
      <c r="LO8966" t="str">
        <v/>
      </c>
    </row>
    <row r="8967" spans="326:327">
      <c r="LN8967" t="str">
        <v/>
      </c>
      <c r="LO8967" t="str">
        <v/>
      </c>
    </row>
    <row r="8968" spans="326:327">
      <c r="LN8968" t="str">
        <v/>
      </c>
      <c r="LO8968" t="str">
        <v/>
      </c>
    </row>
    <row r="8969" spans="326:327">
      <c r="LN8969" t="str">
        <v/>
      </c>
      <c r="LO8969" t="str">
        <v/>
      </c>
    </row>
    <row r="8970" spans="326:327">
      <c r="LN8970" t="str">
        <v/>
      </c>
      <c r="LO8970" t="str">
        <v/>
      </c>
    </row>
    <row r="8971" spans="326:327">
      <c r="LN8971" t="str">
        <v/>
      </c>
      <c r="LO8971" t="str">
        <v/>
      </c>
    </row>
    <row r="8972" spans="326:327">
      <c r="LN8972" t="str">
        <v/>
      </c>
      <c r="LO8972" t="str">
        <v/>
      </c>
    </row>
    <row r="8973" spans="326:327">
      <c r="LN8973" t="str">
        <v/>
      </c>
      <c r="LO8973" t="str">
        <v/>
      </c>
    </row>
    <row r="8974" spans="326:327">
      <c r="LN8974" t="str">
        <v/>
      </c>
      <c r="LO8974" t="str">
        <v/>
      </c>
    </row>
    <row r="8975" spans="326:327">
      <c r="LN8975" t="str">
        <v/>
      </c>
      <c r="LO8975" t="str">
        <v/>
      </c>
    </row>
    <row r="8976" spans="326:327">
      <c r="LN8976" t="str">
        <v/>
      </c>
      <c r="LO8976" t="str">
        <v/>
      </c>
    </row>
    <row r="8977" spans="326:327">
      <c r="LN8977" t="str">
        <v/>
      </c>
      <c r="LO8977" t="str">
        <v/>
      </c>
    </row>
    <row r="8978" spans="326:327">
      <c r="LN8978" t="str">
        <v/>
      </c>
      <c r="LO8978" t="str">
        <v/>
      </c>
    </row>
    <row r="8979" spans="326:327">
      <c r="LN8979" t="str">
        <v/>
      </c>
      <c r="LO8979" t="str">
        <v/>
      </c>
    </row>
    <row r="8980" spans="326:327">
      <c r="LN8980" t="str">
        <v/>
      </c>
      <c r="LO8980" t="str">
        <v/>
      </c>
    </row>
    <row r="8981" spans="326:327">
      <c r="LN8981" t="str">
        <v/>
      </c>
      <c r="LO8981" t="str">
        <v/>
      </c>
    </row>
    <row r="8982" spans="326:327">
      <c r="LN8982" t="str">
        <v/>
      </c>
      <c r="LO8982" t="str">
        <v/>
      </c>
    </row>
    <row r="8983" spans="326:327">
      <c r="LN8983" t="str">
        <v/>
      </c>
      <c r="LO8983" t="str">
        <v/>
      </c>
    </row>
    <row r="8984" spans="326:327">
      <c r="LN8984" t="str">
        <v/>
      </c>
      <c r="LO8984" t="str">
        <v/>
      </c>
    </row>
    <row r="8985" spans="326:327">
      <c r="LN8985" t="str">
        <v/>
      </c>
      <c r="LO8985" t="str">
        <v/>
      </c>
    </row>
    <row r="8986" spans="326:327">
      <c r="LN8986" t="str">
        <v/>
      </c>
      <c r="LO8986" t="str">
        <v/>
      </c>
    </row>
    <row r="8987" spans="326:327">
      <c r="LN8987" t="str">
        <v/>
      </c>
      <c r="LO8987" t="str">
        <v/>
      </c>
    </row>
    <row r="8988" spans="326:327">
      <c r="LN8988" t="str">
        <v/>
      </c>
      <c r="LO8988" t="str">
        <v/>
      </c>
    </row>
    <row r="8989" spans="326:327">
      <c r="LN8989" t="str">
        <v/>
      </c>
      <c r="LO8989" t="str">
        <v/>
      </c>
    </row>
    <row r="8990" spans="326:327">
      <c r="LN8990" t="str">
        <v/>
      </c>
      <c r="LO8990" t="str">
        <v/>
      </c>
    </row>
    <row r="8991" spans="326:327">
      <c r="LN8991" t="str">
        <v/>
      </c>
      <c r="LO8991" t="str">
        <v/>
      </c>
    </row>
    <row r="8992" spans="326:327">
      <c r="LN8992" t="str">
        <v/>
      </c>
      <c r="LO8992" t="str">
        <v/>
      </c>
    </row>
    <row r="8993" spans="326:327">
      <c r="LN8993" t="str">
        <v/>
      </c>
      <c r="LO8993" t="str">
        <v/>
      </c>
    </row>
    <row r="8994" spans="326:327">
      <c r="LN8994" t="str">
        <v/>
      </c>
      <c r="LO8994" t="str">
        <v/>
      </c>
    </row>
    <row r="8995" spans="326:327">
      <c r="LN8995" t="str">
        <v/>
      </c>
      <c r="LO8995" t="str">
        <v/>
      </c>
    </row>
    <row r="8996" spans="326:327">
      <c r="LN8996" t="str">
        <v/>
      </c>
      <c r="LO8996" t="str">
        <v/>
      </c>
    </row>
    <row r="8997" spans="326:327">
      <c r="LN8997" t="str">
        <v/>
      </c>
      <c r="LO8997" t="str">
        <v/>
      </c>
    </row>
    <row r="8998" spans="326:327">
      <c r="LN8998" t="str">
        <v/>
      </c>
      <c r="LO8998" t="str">
        <v/>
      </c>
    </row>
    <row r="8999" spans="326:327">
      <c r="LN8999" t="str">
        <v/>
      </c>
      <c r="LO8999" t="str">
        <v/>
      </c>
    </row>
    <row r="9000" spans="326:327">
      <c r="LN9000" t="str">
        <v/>
      </c>
      <c r="LO9000" t="str">
        <v/>
      </c>
    </row>
    <row r="9001" spans="326:327">
      <c r="LN9001" t="str">
        <v/>
      </c>
      <c r="LO9001" t="str">
        <v/>
      </c>
    </row>
    <row r="9002" spans="326:327">
      <c r="LN9002" t="str">
        <v/>
      </c>
      <c r="LO9002" t="str">
        <v/>
      </c>
    </row>
    <row r="9003" spans="326:327">
      <c r="LN9003" t="str">
        <v/>
      </c>
      <c r="LO9003" t="str">
        <v/>
      </c>
    </row>
    <row r="9004" spans="326:327">
      <c r="LN9004" t="str">
        <v/>
      </c>
      <c r="LO9004" t="str">
        <v/>
      </c>
    </row>
    <row r="9005" spans="326:327">
      <c r="LN9005" t="str">
        <v/>
      </c>
      <c r="LO9005" t="str">
        <v/>
      </c>
    </row>
    <row r="9006" spans="326:327">
      <c r="LN9006" t="str">
        <v/>
      </c>
      <c r="LO9006" t="str">
        <v/>
      </c>
    </row>
    <row r="9007" spans="326:327">
      <c r="LN9007" t="str">
        <v/>
      </c>
      <c r="LO9007" t="str">
        <v/>
      </c>
    </row>
    <row r="9008" spans="326:327">
      <c r="LN9008" t="str">
        <v/>
      </c>
      <c r="LO9008" t="str">
        <v/>
      </c>
    </row>
    <row r="9009" spans="326:327">
      <c r="LN9009" t="str">
        <v/>
      </c>
      <c r="LO9009" t="str">
        <v/>
      </c>
    </row>
    <row r="9010" spans="326:327">
      <c r="LN9010" t="str">
        <v/>
      </c>
      <c r="LO9010" t="str">
        <v/>
      </c>
    </row>
    <row r="9011" spans="326:327">
      <c r="LN9011" t="str">
        <v/>
      </c>
      <c r="LO9011" t="str">
        <v/>
      </c>
    </row>
    <row r="9012" spans="326:327">
      <c r="LN9012" t="str">
        <v/>
      </c>
      <c r="LO9012" t="str">
        <v/>
      </c>
    </row>
    <row r="9013" spans="326:327">
      <c r="LN9013" t="str">
        <v/>
      </c>
      <c r="LO9013" t="str">
        <v/>
      </c>
    </row>
    <row r="9014" spans="326:327">
      <c r="LN9014" t="str">
        <v/>
      </c>
      <c r="LO9014" t="str">
        <v/>
      </c>
    </row>
    <row r="9015" spans="326:327">
      <c r="LN9015" t="str">
        <v/>
      </c>
      <c r="LO9015" t="str">
        <v/>
      </c>
    </row>
    <row r="9016" spans="326:327">
      <c r="LN9016" t="str">
        <v/>
      </c>
      <c r="LO9016" t="str">
        <v/>
      </c>
    </row>
    <row r="9017" spans="326:327">
      <c r="LN9017" t="str">
        <v/>
      </c>
      <c r="LO9017" t="str">
        <v/>
      </c>
    </row>
    <row r="9018" spans="326:327">
      <c r="LN9018" t="str">
        <v/>
      </c>
      <c r="LO9018" t="str">
        <v/>
      </c>
    </row>
    <row r="9019" spans="326:327">
      <c r="LN9019" t="str">
        <v/>
      </c>
      <c r="LO9019" t="str">
        <v/>
      </c>
    </row>
    <row r="9020" spans="326:327">
      <c r="LN9020" t="str">
        <v/>
      </c>
      <c r="LO9020" t="str">
        <v/>
      </c>
    </row>
    <row r="9021" spans="326:327">
      <c r="LN9021" t="str">
        <v/>
      </c>
      <c r="LO9021" t="str">
        <v/>
      </c>
    </row>
    <row r="9022" spans="326:327">
      <c r="LN9022" t="str">
        <v/>
      </c>
      <c r="LO9022" t="str">
        <v/>
      </c>
    </row>
    <row r="9023" spans="326:327">
      <c r="LN9023" t="str">
        <v/>
      </c>
      <c r="LO9023" t="str">
        <v/>
      </c>
    </row>
    <row r="9024" spans="326:327">
      <c r="LN9024" t="str">
        <v/>
      </c>
      <c r="LO9024" t="str">
        <v/>
      </c>
    </row>
    <row r="9025" spans="326:327">
      <c r="LN9025" t="str">
        <v/>
      </c>
      <c r="LO9025" t="str">
        <v/>
      </c>
    </row>
    <row r="9026" spans="326:327">
      <c r="LN9026" t="str">
        <v/>
      </c>
      <c r="LO9026" t="str">
        <v/>
      </c>
    </row>
    <row r="9027" spans="326:327">
      <c r="LN9027" t="str">
        <v/>
      </c>
      <c r="LO9027" t="str">
        <v/>
      </c>
    </row>
    <row r="9028" spans="326:327">
      <c r="LN9028" t="str">
        <v/>
      </c>
      <c r="LO9028" t="str">
        <v/>
      </c>
    </row>
    <row r="9029" spans="326:327">
      <c r="LN9029" t="str">
        <v/>
      </c>
      <c r="LO9029" t="str">
        <v/>
      </c>
    </row>
    <row r="9030" spans="326:327">
      <c r="LN9030" t="str">
        <v/>
      </c>
      <c r="LO9030" t="str">
        <v/>
      </c>
    </row>
    <row r="9031" spans="326:327">
      <c r="LN9031" t="str">
        <v/>
      </c>
      <c r="LO9031" t="str">
        <v/>
      </c>
    </row>
    <row r="9032" spans="326:327">
      <c r="LN9032" t="str">
        <v/>
      </c>
      <c r="LO9032" t="str">
        <v/>
      </c>
    </row>
    <row r="9033" spans="326:327">
      <c r="LN9033" t="str">
        <v/>
      </c>
      <c r="LO9033" t="str">
        <v/>
      </c>
    </row>
    <row r="9034" spans="326:327">
      <c r="LN9034" t="str">
        <v/>
      </c>
      <c r="LO9034" t="str">
        <v/>
      </c>
    </row>
    <row r="9035" spans="326:327">
      <c r="LN9035" t="str">
        <v/>
      </c>
      <c r="LO9035" t="str">
        <v/>
      </c>
    </row>
    <row r="9036" spans="326:327">
      <c r="LN9036" t="str">
        <v/>
      </c>
      <c r="LO9036" t="str">
        <v/>
      </c>
    </row>
    <row r="9037" spans="326:327">
      <c r="LN9037" t="str">
        <v/>
      </c>
      <c r="LO9037" t="str">
        <v/>
      </c>
    </row>
    <row r="9038" spans="326:327">
      <c r="LN9038" t="str">
        <v/>
      </c>
      <c r="LO9038" t="str">
        <v/>
      </c>
    </row>
    <row r="9039" spans="326:327">
      <c r="LN9039" t="str">
        <v/>
      </c>
      <c r="LO9039" t="str">
        <v/>
      </c>
    </row>
    <row r="9040" spans="326:327">
      <c r="LN9040" t="str">
        <v/>
      </c>
      <c r="LO9040" t="str">
        <v/>
      </c>
    </row>
    <row r="9041" spans="326:327">
      <c r="LN9041" t="str">
        <v/>
      </c>
      <c r="LO9041" t="str">
        <v/>
      </c>
    </row>
    <row r="9042" spans="326:327">
      <c r="LN9042" t="str">
        <v/>
      </c>
      <c r="LO9042" t="str">
        <v/>
      </c>
    </row>
    <row r="9043" spans="326:327">
      <c r="LN9043" t="str">
        <v/>
      </c>
      <c r="LO9043" t="str">
        <v/>
      </c>
    </row>
    <row r="9044" spans="326:327">
      <c r="LN9044" t="str">
        <v/>
      </c>
      <c r="LO9044" t="str">
        <v/>
      </c>
    </row>
    <row r="9045" spans="326:327">
      <c r="LN9045" t="str">
        <v/>
      </c>
      <c r="LO9045" t="str">
        <v/>
      </c>
    </row>
    <row r="9046" spans="326:327">
      <c r="LN9046" t="str">
        <v/>
      </c>
      <c r="LO9046" t="str">
        <v/>
      </c>
    </row>
    <row r="9047" spans="326:327">
      <c r="LN9047" t="str">
        <v/>
      </c>
      <c r="LO9047" t="str">
        <v/>
      </c>
    </row>
    <row r="9048" spans="326:327">
      <c r="LN9048" t="str">
        <v/>
      </c>
      <c r="LO9048" t="str">
        <v/>
      </c>
    </row>
    <row r="9049" spans="326:327">
      <c r="LN9049" t="str">
        <v/>
      </c>
      <c r="LO9049" t="str">
        <v/>
      </c>
    </row>
    <row r="9050" spans="326:327">
      <c r="LN9050" t="str">
        <v/>
      </c>
      <c r="LO9050" t="str">
        <v/>
      </c>
    </row>
    <row r="9051" spans="326:327">
      <c r="LN9051" t="str">
        <v/>
      </c>
      <c r="LO9051" t="str">
        <v/>
      </c>
    </row>
    <row r="9052" spans="326:327">
      <c r="LN9052" t="str">
        <v/>
      </c>
      <c r="LO9052" t="str">
        <v/>
      </c>
    </row>
    <row r="9053" spans="326:327">
      <c r="LN9053" t="str">
        <v/>
      </c>
      <c r="LO9053" t="str">
        <v/>
      </c>
    </row>
    <row r="9054" spans="326:327">
      <c r="LN9054" t="str">
        <v/>
      </c>
      <c r="LO9054" t="str">
        <v/>
      </c>
    </row>
    <row r="9055" spans="326:327">
      <c r="LN9055" t="str">
        <v/>
      </c>
      <c r="LO9055" t="str">
        <v/>
      </c>
    </row>
    <row r="9056" spans="326:327">
      <c r="LN9056" t="str">
        <v/>
      </c>
      <c r="LO9056" t="str">
        <v/>
      </c>
    </row>
    <row r="9057" spans="326:327">
      <c r="LN9057" t="str">
        <v/>
      </c>
      <c r="LO9057" t="str">
        <v/>
      </c>
    </row>
    <row r="9058" spans="326:327">
      <c r="LN9058" t="str">
        <v/>
      </c>
      <c r="LO9058" t="str">
        <v/>
      </c>
    </row>
    <row r="9059" spans="326:327">
      <c r="LN9059" t="str">
        <v/>
      </c>
      <c r="LO9059" t="str">
        <v/>
      </c>
    </row>
    <row r="9060" spans="326:327">
      <c r="LN9060" t="str">
        <v/>
      </c>
      <c r="LO9060" t="str">
        <v/>
      </c>
    </row>
    <row r="9061" spans="326:327">
      <c r="LN9061" t="str">
        <v/>
      </c>
      <c r="LO9061" t="str">
        <v/>
      </c>
    </row>
    <row r="9062" spans="326:327">
      <c r="LN9062" t="str">
        <v/>
      </c>
      <c r="LO9062" t="str">
        <v/>
      </c>
    </row>
    <row r="9063" spans="326:327">
      <c r="LN9063" t="str">
        <v/>
      </c>
      <c r="LO9063" t="str">
        <v/>
      </c>
    </row>
    <row r="9064" spans="326:327">
      <c r="LN9064" t="str">
        <v/>
      </c>
      <c r="LO9064" t="str">
        <v/>
      </c>
    </row>
    <row r="9065" spans="326:327">
      <c r="LN9065" t="str">
        <v/>
      </c>
      <c r="LO9065" t="str">
        <v/>
      </c>
    </row>
    <row r="9066" spans="326:327">
      <c r="LN9066" t="str">
        <v/>
      </c>
      <c r="LO9066" t="str">
        <v/>
      </c>
    </row>
    <row r="9067" spans="326:327">
      <c r="LN9067" t="str">
        <v/>
      </c>
      <c r="LO9067" t="str">
        <v/>
      </c>
    </row>
    <row r="9068" spans="326:327">
      <c r="LN9068" t="str">
        <v/>
      </c>
      <c r="LO9068" t="str">
        <v/>
      </c>
    </row>
    <row r="9069" spans="326:327">
      <c r="LN9069" t="str">
        <v/>
      </c>
      <c r="LO9069" t="str">
        <v/>
      </c>
    </row>
    <row r="9070" spans="326:327">
      <c r="LN9070" t="str">
        <v/>
      </c>
      <c r="LO9070" t="str">
        <v/>
      </c>
    </row>
    <row r="9071" spans="326:327">
      <c r="LN9071" t="str">
        <v/>
      </c>
      <c r="LO9071" t="str">
        <v/>
      </c>
    </row>
    <row r="9072" spans="326:327">
      <c r="LN9072" t="str">
        <v/>
      </c>
      <c r="LO9072" t="str">
        <v/>
      </c>
    </row>
    <row r="9073" spans="326:327">
      <c r="LN9073" t="str">
        <v/>
      </c>
      <c r="LO9073" t="str">
        <v/>
      </c>
    </row>
    <row r="9074" spans="326:327">
      <c r="LN9074" t="str">
        <v/>
      </c>
      <c r="LO9074" t="str">
        <v/>
      </c>
    </row>
    <row r="9075" spans="326:327">
      <c r="LN9075" t="str">
        <v/>
      </c>
      <c r="LO9075" t="str">
        <v/>
      </c>
    </row>
    <row r="9076" spans="326:327">
      <c r="LN9076" t="str">
        <v/>
      </c>
      <c r="LO9076" t="str">
        <v/>
      </c>
    </row>
    <row r="9077" spans="326:327">
      <c r="LN9077" t="str">
        <v/>
      </c>
      <c r="LO9077" t="str">
        <v/>
      </c>
    </row>
    <row r="9078" spans="326:327">
      <c r="LN9078" t="str">
        <v/>
      </c>
      <c r="LO9078" t="str">
        <v/>
      </c>
    </row>
    <row r="9079" spans="326:327">
      <c r="LN9079" t="str">
        <v/>
      </c>
      <c r="LO9079" t="str">
        <v/>
      </c>
    </row>
    <row r="9080" spans="326:327">
      <c r="LN9080" t="str">
        <v/>
      </c>
      <c r="LO9080" t="str">
        <v/>
      </c>
    </row>
    <row r="9081" spans="326:327">
      <c r="LN9081" t="str">
        <v/>
      </c>
      <c r="LO9081" t="str">
        <v/>
      </c>
    </row>
    <row r="9082" spans="326:327">
      <c r="LN9082" t="str">
        <v/>
      </c>
      <c r="LO9082" t="str">
        <v/>
      </c>
    </row>
    <row r="9083" spans="326:327">
      <c r="LN9083" t="str">
        <v/>
      </c>
      <c r="LO9083" t="str">
        <v/>
      </c>
    </row>
    <row r="9084" spans="326:327">
      <c r="LN9084" t="str">
        <v/>
      </c>
      <c r="LO9084" t="str">
        <v/>
      </c>
    </row>
    <row r="9085" spans="326:327">
      <c r="LN9085" t="str">
        <v/>
      </c>
      <c r="LO9085" t="str">
        <v/>
      </c>
    </row>
    <row r="9086" spans="326:327">
      <c r="LN9086" t="str">
        <v/>
      </c>
      <c r="LO9086" t="str">
        <v/>
      </c>
    </row>
    <row r="9087" spans="326:327">
      <c r="LN9087" t="str">
        <v/>
      </c>
      <c r="LO9087" t="str">
        <v/>
      </c>
    </row>
    <row r="9088" spans="326:327">
      <c r="LN9088" t="str">
        <v/>
      </c>
      <c r="LO9088" t="str">
        <v/>
      </c>
    </row>
    <row r="9089" spans="326:327">
      <c r="LN9089" t="str">
        <v/>
      </c>
      <c r="LO9089" t="str">
        <v/>
      </c>
    </row>
    <row r="9090" spans="326:327">
      <c r="LN9090" t="str">
        <v/>
      </c>
      <c r="LO9090" t="str">
        <v/>
      </c>
    </row>
    <row r="9091" spans="326:327">
      <c r="LN9091" t="str">
        <v/>
      </c>
      <c r="LO9091" t="str">
        <v/>
      </c>
    </row>
    <row r="9092" spans="326:327">
      <c r="LN9092" t="str">
        <v/>
      </c>
      <c r="LO9092" t="str">
        <v/>
      </c>
    </row>
    <row r="9093" spans="326:327">
      <c r="LN9093" t="str">
        <v/>
      </c>
      <c r="LO9093" t="str">
        <v/>
      </c>
    </row>
    <row r="9094" spans="326:327">
      <c r="LN9094" t="str">
        <v/>
      </c>
      <c r="LO9094" t="str">
        <v/>
      </c>
    </row>
    <row r="9095" spans="326:327">
      <c r="LN9095" t="str">
        <v/>
      </c>
      <c r="LO9095" t="str">
        <v/>
      </c>
    </row>
    <row r="9096" spans="326:327">
      <c r="LN9096" t="str">
        <v/>
      </c>
      <c r="LO9096" t="str">
        <v/>
      </c>
    </row>
    <row r="9097" spans="326:327">
      <c r="LN9097" t="str">
        <v/>
      </c>
      <c r="LO9097" t="str">
        <v/>
      </c>
    </row>
    <row r="9098" spans="326:327">
      <c r="LN9098" t="str">
        <v/>
      </c>
      <c r="LO9098" t="str">
        <v/>
      </c>
    </row>
    <row r="9099" spans="326:327">
      <c r="LN9099" t="str">
        <v/>
      </c>
      <c r="LO9099" t="str">
        <v/>
      </c>
    </row>
    <row r="9100" spans="326:327">
      <c r="LN9100" t="str">
        <v/>
      </c>
      <c r="LO9100" t="str">
        <v/>
      </c>
    </row>
    <row r="9101" spans="326:327">
      <c r="LN9101" t="str">
        <v/>
      </c>
      <c r="LO9101" t="str">
        <v/>
      </c>
    </row>
    <row r="9102" spans="326:327">
      <c r="LN9102" t="str">
        <v/>
      </c>
      <c r="LO9102" t="str">
        <v/>
      </c>
    </row>
    <row r="9103" spans="326:327">
      <c r="LN9103" t="str">
        <v/>
      </c>
      <c r="LO9103" t="str">
        <v/>
      </c>
    </row>
    <row r="9104" spans="326:327">
      <c r="LN9104" t="str">
        <v/>
      </c>
      <c r="LO9104" t="str">
        <v/>
      </c>
    </row>
    <row r="9105" spans="326:327">
      <c r="LN9105" t="str">
        <v/>
      </c>
      <c r="LO9105" t="str">
        <v/>
      </c>
    </row>
    <row r="9106" spans="326:327">
      <c r="LN9106" t="str">
        <v/>
      </c>
      <c r="LO9106" t="str">
        <v/>
      </c>
    </row>
    <row r="9107" spans="326:327">
      <c r="LN9107" t="str">
        <v/>
      </c>
      <c r="LO9107" t="str">
        <v/>
      </c>
    </row>
    <row r="9108" spans="326:327">
      <c r="LN9108" t="str">
        <v/>
      </c>
      <c r="LO9108" t="str">
        <v/>
      </c>
    </row>
    <row r="9109" spans="326:327">
      <c r="LN9109" t="str">
        <v/>
      </c>
      <c r="LO9109" t="str">
        <v/>
      </c>
    </row>
    <row r="9110" spans="326:327">
      <c r="LN9110" t="str">
        <v/>
      </c>
      <c r="LO9110" t="str">
        <v/>
      </c>
    </row>
    <row r="9111" spans="326:327">
      <c r="LN9111" t="str">
        <v/>
      </c>
      <c r="LO9111" t="str">
        <v/>
      </c>
    </row>
    <row r="9112" spans="326:327">
      <c r="LN9112" t="str">
        <v/>
      </c>
      <c r="LO9112" t="str">
        <v/>
      </c>
    </row>
    <row r="9113" spans="326:327">
      <c r="LN9113" t="str">
        <v/>
      </c>
      <c r="LO9113" t="str">
        <v/>
      </c>
    </row>
    <row r="9114" spans="326:327">
      <c r="LN9114" t="str">
        <v/>
      </c>
      <c r="LO9114" t="str">
        <v/>
      </c>
    </row>
    <row r="9115" spans="326:327">
      <c r="LN9115" t="str">
        <v/>
      </c>
      <c r="LO9115" t="str">
        <v/>
      </c>
    </row>
    <row r="9116" spans="326:327">
      <c r="LN9116" t="str">
        <v/>
      </c>
      <c r="LO9116" t="str">
        <v/>
      </c>
    </row>
    <row r="9117" spans="326:327">
      <c r="LN9117" t="str">
        <v/>
      </c>
      <c r="LO9117" t="str">
        <v/>
      </c>
    </row>
    <row r="9118" spans="326:327">
      <c r="LN9118" t="str">
        <v/>
      </c>
      <c r="LO9118" t="str">
        <v/>
      </c>
    </row>
    <row r="9119" spans="326:327">
      <c r="LN9119" t="str">
        <v/>
      </c>
      <c r="LO9119" t="str">
        <v/>
      </c>
    </row>
    <row r="9120" spans="326:327">
      <c r="LN9120" t="str">
        <v/>
      </c>
      <c r="LO9120" t="str">
        <v/>
      </c>
    </row>
    <row r="9121" spans="326:327">
      <c r="LN9121" t="str">
        <v/>
      </c>
      <c r="LO9121" t="str">
        <v/>
      </c>
    </row>
    <row r="9122" spans="326:327">
      <c r="LN9122" t="str">
        <v/>
      </c>
      <c r="LO9122" t="str">
        <v/>
      </c>
    </row>
    <row r="9123" spans="326:327">
      <c r="LN9123" t="str">
        <v/>
      </c>
      <c r="LO9123" t="str">
        <v/>
      </c>
    </row>
    <row r="9124" spans="326:327">
      <c r="LN9124" t="str">
        <v/>
      </c>
      <c r="LO9124" t="str">
        <v/>
      </c>
    </row>
    <row r="9125" spans="326:327">
      <c r="LN9125" t="str">
        <v/>
      </c>
      <c r="LO9125" t="str">
        <v/>
      </c>
    </row>
    <row r="9126" spans="326:327">
      <c r="LN9126" t="str">
        <v/>
      </c>
      <c r="LO9126" t="str">
        <v/>
      </c>
    </row>
    <row r="9127" spans="326:327">
      <c r="LN9127" t="str">
        <v/>
      </c>
      <c r="LO9127" t="str">
        <v/>
      </c>
    </row>
    <row r="9128" spans="326:327">
      <c r="LN9128" t="str">
        <v/>
      </c>
      <c r="LO9128" t="str">
        <v/>
      </c>
    </row>
    <row r="9129" spans="326:327">
      <c r="LN9129" t="str">
        <v/>
      </c>
      <c r="LO9129" t="str">
        <v/>
      </c>
    </row>
    <row r="9130" spans="326:327">
      <c r="LN9130" t="str">
        <v/>
      </c>
      <c r="LO9130" t="str">
        <v/>
      </c>
    </row>
    <row r="9131" spans="326:327">
      <c r="LN9131" t="str">
        <v/>
      </c>
      <c r="LO9131" t="str">
        <v/>
      </c>
    </row>
    <row r="9132" spans="326:327">
      <c r="LN9132" t="str">
        <v/>
      </c>
      <c r="LO9132" t="str">
        <v/>
      </c>
    </row>
    <row r="9133" spans="326:327">
      <c r="LN9133" t="str">
        <v/>
      </c>
      <c r="LO9133" t="str">
        <v/>
      </c>
    </row>
    <row r="9134" spans="326:327">
      <c r="LN9134" t="str">
        <v/>
      </c>
      <c r="LO9134" t="str">
        <v/>
      </c>
    </row>
    <row r="9135" spans="326:327">
      <c r="LN9135" t="str">
        <v/>
      </c>
      <c r="LO9135" t="str">
        <v/>
      </c>
    </row>
    <row r="9136" spans="326:327">
      <c r="LN9136" t="str">
        <v/>
      </c>
      <c r="LO9136" t="str">
        <v/>
      </c>
    </row>
    <row r="9137" spans="326:327">
      <c r="LN9137" t="str">
        <v/>
      </c>
      <c r="LO9137" t="str">
        <v/>
      </c>
    </row>
    <row r="9138" spans="326:327">
      <c r="LN9138" t="str">
        <v/>
      </c>
      <c r="LO9138" t="str">
        <v/>
      </c>
    </row>
    <row r="9139" spans="326:327">
      <c r="LN9139" t="str">
        <v/>
      </c>
      <c r="LO9139" t="str">
        <v/>
      </c>
    </row>
    <row r="9140" spans="326:327">
      <c r="LN9140" t="str">
        <v/>
      </c>
      <c r="LO9140" t="str">
        <v/>
      </c>
    </row>
    <row r="9141" spans="326:327">
      <c r="LN9141" t="str">
        <v/>
      </c>
      <c r="LO9141" t="str">
        <v/>
      </c>
    </row>
    <row r="9142" spans="326:327">
      <c r="LN9142" t="str">
        <v/>
      </c>
      <c r="LO9142" t="str">
        <v/>
      </c>
    </row>
    <row r="9143" spans="326:327">
      <c r="LN9143" t="str">
        <v/>
      </c>
      <c r="LO9143" t="str">
        <v/>
      </c>
    </row>
    <row r="9144" spans="326:327">
      <c r="LN9144" t="str">
        <v/>
      </c>
      <c r="LO9144" t="str">
        <v/>
      </c>
    </row>
    <row r="9145" spans="326:327">
      <c r="LN9145" t="str">
        <v/>
      </c>
      <c r="LO9145" t="str">
        <v/>
      </c>
    </row>
    <row r="9146" spans="326:327">
      <c r="LN9146" t="str">
        <v/>
      </c>
      <c r="LO9146" t="str">
        <v/>
      </c>
    </row>
    <row r="9147" spans="326:327">
      <c r="LN9147" t="str">
        <v/>
      </c>
      <c r="LO9147" t="str">
        <v/>
      </c>
    </row>
    <row r="9148" spans="326:327">
      <c r="LN9148" t="str">
        <v/>
      </c>
      <c r="LO9148" t="str">
        <v/>
      </c>
    </row>
    <row r="9149" spans="326:327">
      <c r="LN9149" t="str">
        <v/>
      </c>
      <c r="LO9149" t="str">
        <v/>
      </c>
    </row>
    <row r="9150" spans="326:327">
      <c r="LN9150" t="str">
        <v/>
      </c>
      <c r="LO9150" t="str">
        <v/>
      </c>
    </row>
    <row r="9151" spans="326:327">
      <c r="LN9151" t="str">
        <v/>
      </c>
      <c r="LO9151" t="str">
        <v/>
      </c>
    </row>
    <row r="9152" spans="326:327">
      <c r="LN9152" t="str">
        <v/>
      </c>
      <c r="LO9152" t="str">
        <v/>
      </c>
    </row>
    <row r="9153" spans="326:327">
      <c r="LN9153" t="str">
        <v/>
      </c>
      <c r="LO9153" t="str">
        <v/>
      </c>
    </row>
    <row r="9154" spans="326:327">
      <c r="LN9154" t="str">
        <v/>
      </c>
      <c r="LO9154" t="str">
        <v/>
      </c>
    </row>
    <row r="9155" spans="326:327">
      <c r="LN9155" t="str">
        <v/>
      </c>
      <c r="LO9155" t="str">
        <v/>
      </c>
    </row>
    <row r="9156" spans="326:327">
      <c r="LN9156" t="str">
        <v/>
      </c>
      <c r="LO9156" t="str">
        <v/>
      </c>
    </row>
    <row r="9157" spans="326:327">
      <c r="LN9157" t="str">
        <v/>
      </c>
      <c r="LO9157" t="str">
        <v/>
      </c>
    </row>
    <row r="9158" spans="326:327">
      <c r="LN9158" t="str">
        <v/>
      </c>
      <c r="LO9158" t="str">
        <v/>
      </c>
    </row>
    <row r="9159" spans="326:327">
      <c r="LN9159" t="str">
        <v/>
      </c>
      <c r="LO9159" t="str">
        <v/>
      </c>
    </row>
    <row r="9160" spans="326:327">
      <c r="LN9160" t="str">
        <v/>
      </c>
      <c r="LO9160" t="str">
        <v/>
      </c>
    </row>
    <row r="9161" spans="326:327">
      <c r="LN9161" t="str">
        <v/>
      </c>
      <c r="LO9161" t="str">
        <v/>
      </c>
    </row>
    <row r="9162" spans="326:327">
      <c r="LN9162" t="str">
        <v/>
      </c>
      <c r="LO9162" t="str">
        <v/>
      </c>
    </row>
    <row r="9163" spans="326:327">
      <c r="LN9163" t="str">
        <v/>
      </c>
      <c r="LO9163" t="str">
        <v/>
      </c>
    </row>
    <row r="9164" spans="326:327">
      <c r="LN9164" t="str">
        <v/>
      </c>
      <c r="LO9164" t="str">
        <v/>
      </c>
    </row>
    <row r="9165" spans="326:327">
      <c r="LN9165" t="str">
        <v/>
      </c>
      <c r="LO9165" t="str">
        <v/>
      </c>
    </row>
    <row r="9166" spans="326:327">
      <c r="LN9166" t="str">
        <v/>
      </c>
      <c r="LO9166" t="str">
        <v/>
      </c>
    </row>
    <row r="9167" spans="326:327">
      <c r="LN9167" t="str">
        <v/>
      </c>
      <c r="LO9167" t="str">
        <v/>
      </c>
    </row>
    <row r="9168" spans="326:327">
      <c r="LN9168" t="str">
        <v/>
      </c>
      <c r="LO9168" t="str">
        <v/>
      </c>
    </row>
    <row r="9169" spans="326:327">
      <c r="LN9169" t="str">
        <v/>
      </c>
      <c r="LO9169" t="str">
        <v/>
      </c>
    </row>
    <row r="9170" spans="326:327">
      <c r="LN9170" t="str">
        <v/>
      </c>
      <c r="LO9170" t="str">
        <v/>
      </c>
    </row>
    <row r="9171" spans="326:327">
      <c r="LN9171" t="str">
        <v/>
      </c>
      <c r="LO9171" t="str">
        <v/>
      </c>
    </row>
    <row r="9172" spans="326:327">
      <c r="LN9172" t="str">
        <v/>
      </c>
      <c r="LO9172" t="str">
        <v/>
      </c>
    </row>
    <row r="9173" spans="326:327">
      <c r="LN9173" t="str">
        <v/>
      </c>
      <c r="LO9173" t="str">
        <v/>
      </c>
    </row>
    <row r="9174" spans="326:327">
      <c r="LN9174" t="str">
        <v/>
      </c>
      <c r="LO9174" t="str">
        <v/>
      </c>
    </row>
    <row r="9175" spans="326:327">
      <c r="LN9175" t="str">
        <v/>
      </c>
      <c r="LO9175" t="str">
        <v/>
      </c>
    </row>
    <row r="9176" spans="326:327">
      <c r="LN9176" t="str">
        <v/>
      </c>
      <c r="LO9176" t="str">
        <v/>
      </c>
    </row>
    <row r="9177" spans="326:327">
      <c r="LN9177" t="str">
        <v/>
      </c>
      <c r="LO9177" t="str">
        <v/>
      </c>
    </row>
    <row r="9178" spans="326:327">
      <c r="LN9178" t="str">
        <v/>
      </c>
      <c r="LO9178" t="str">
        <v/>
      </c>
    </row>
    <row r="9179" spans="326:327">
      <c r="LN9179" t="str">
        <v/>
      </c>
      <c r="LO9179" t="str">
        <v/>
      </c>
    </row>
    <row r="9180" spans="326:327">
      <c r="LN9180" t="str">
        <v/>
      </c>
      <c r="LO9180" t="str">
        <v/>
      </c>
    </row>
    <row r="9181" spans="326:327">
      <c r="LN9181" t="str">
        <v/>
      </c>
      <c r="LO9181" t="str">
        <v/>
      </c>
    </row>
    <row r="9182" spans="326:327">
      <c r="LN9182" t="str">
        <v/>
      </c>
      <c r="LO9182" t="str">
        <v/>
      </c>
    </row>
    <row r="9183" spans="326:327">
      <c r="LN9183" t="str">
        <v/>
      </c>
      <c r="LO9183" t="str">
        <v/>
      </c>
    </row>
    <row r="9184" spans="326:327">
      <c r="LN9184" t="str">
        <v/>
      </c>
      <c r="LO9184" t="str">
        <v/>
      </c>
    </row>
    <row r="9185" spans="326:327">
      <c r="LN9185" t="str">
        <v/>
      </c>
      <c r="LO9185" t="str">
        <v/>
      </c>
    </row>
    <row r="9186" spans="326:327">
      <c r="LN9186" t="str">
        <v/>
      </c>
      <c r="LO9186" t="str">
        <v/>
      </c>
    </row>
    <row r="9187" spans="326:327">
      <c r="LN9187" t="str">
        <v/>
      </c>
      <c r="LO9187" t="str">
        <v/>
      </c>
    </row>
    <row r="9188" spans="326:327">
      <c r="LN9188" t="str">
        <v/>
      </c>
      <c r="LO9188" t="str">
        <v/>
      </c>
    </row>
    <row r="9189" spans="326:327">
      <c r="LN9189" t="str">
        <v/>
      </c>
      <c r="LO9189" t="str">
        <v/>
      </c>
    </row>
    <row r="9190" spans="326:327">
      <c r="LN9190" t="str">
        <v/>
      </c>
      <c r="LO9190" t="str">
        <v/>
      </c>
    </row>
    <row r="9191" spans="326:327">
      <c r="LN9191" t="str">
        <v/>
      </c>
      <c r="LO9191" t="str">
        <v/>
      </c>
    </row>
    <row r="9192" spans="326:327">
      <c r="LN9192" t="str">
        <v/>
      </c>
      <c r="LO9192" t="str">
        <v/>
      </c>
    </row>
    <row r="9193" spans="326:327">
      <c r="LN9193" t="str">
        <v/>
      </c>
      <c r="LO9193" t="str">
        <v/>
      </c>
    </row>
    <row r="9194" spans="326:327">
      <c r="LN9194" t="str">
        <v/>
      </c>
      <c r="LO9194" t="str">
        <v/>
      </c>
    </row>
    <row r="9195" spans="326:327">
      <c r="LN9195" t="str">
        <v/>
      </c>
      <c r="LO9195" t="str">
        <v/>
      </c>
    </row>
    <row r="9196" spans="326:327">
      <c r="LN9196" t="str">
        <v/>
      </c>
      <c r="LO9196" t="str">
        <v/>
      </c>
    </row>
    <row r="9197" spans="326:327">
      <c r="LN9197" t="str">
        <v/>
      </c>
      <c r="LO9197" t="str">
        <v/>
      </c>
    </row>
    <row r="9198" spans="326:327">
      <c r="LN9198" t="str">
        <v/>
      </c>
      <c r="LO9198" t="str">
        <v/>
      </c>
    </row>
    <row r="9199" spans="326:327">
      <c r="LN9199" t="str">
        <v/>
      </c>
      <c r="LO9199" t="str">
        <v/>
      </c>
    </row>
    <row r="9200" spans="326:327">
      <c r="LN9200" t="str">
        <v/>
      </c>
      <c r="LO9200" t="str">
        <v/>
      </c>
    </row>
    <row r="9201" spans="326:327">
      <c r="LN9201" t="str">
        <v/>
      </c>
      <c r="LO9201" t="str">
        <v/>
      </c>
    </row>
    <row r="9202" spans="326:327">
      <c r="LN9202" t="str">
        <v/>
      </c>
      <c r="LO9202" t="str">
        <v/>
      </c>
    </row>
    <row r="9203" spans="326:327">
      <c r="LN9203" t="str">
        <v/>
      </c>
      <c r="LO9203" t="str">
        <v/>
      </c>
    </row>
    <row r="9204" spans="326:327">
      <c r="LN9204" t="str">
        <v/>
      </c>
      <c r="LO9204" t="str">
        <v/>
      </c>
    </row>
    <row r="9205" spans="326:327">
      <c r="LN9205" t="str">
        <v/>
      </c>
      <c r="LO9205" t="str">
        <v/>
      </c>
    </row>
    <row r="9206" spans="326:327">
      <c r="LN9206" t="str">
        <v/>
      </c>
      <c r="LO9206" t="str">
        <v/>
      </c>
    </row>
    <row r="9207" spans="326:327">
      <c r="LN9207" t="str">
        <v/>
      </c>
      <c r="LO9207" t="str">
        <v/>
      </c>
    </row>
    <row r="9208" spans="326:327">
      <c r="LN9208" t="str">
        <v/>
      </c>
      <c r="LO9208" t="str">
        <v/>
      </c>
    </row>
    <row r="9209" spans="326:327">
      <c r="LN9209" t="str">
        <v/>
      </c>
      <c r="LO9209" t="str">
        <v/>
      </c>
    </row>
    <row r="9210" spans="326:327">
      <c r="LN9210" t="str">
        <v/>
      </c>
      <c r="LO9210" t="str">
        <v/>
      </c>
    </row>
    <row r="9211" spans="326:327">
      <c r="LN9211" t="str">
        <v/>
      </c>
      <c r="LO9211" t="str">
        <v/>
      </c>
    </row>
    <row r="9212" spans="326:327">
      <c r="LN9212" t="str">
        <v/>
      </c>
      <c r="LO9212" t="str">
        <v/>
      </c>
    </row>
    <row r="9213" spans="326:327">
      <c r="LN9213" t="str">
        <v/>
      </c>
      <c r="LO9213" t="str">
        <v/>
      </c>
    </row>
    <row r="9214" spans="326:327">
      <c r="LN9214" t="str">
        <v/>
      </c>
      <c r="LO9214" t="str">
        <v/>
      </c>
    </row>
    <row r="9215" spans="326:327">
      <c r="LN9215" t="str">
        <v/>
      </c>
      <c r="LO9215" t="str">
        <v/>
      </c>
    </row>
    <row r="9216" spans="326:327">
      <c r="LN9216" t="str">
        <v/>
      </c>
      <c r="LO9216" t="str">
        <v/>
      </c>
    </row>
    <row r="9217" spans="326:327">
      <c r="LN9217" t="str">
        <v/>
      </c>
      <c r="LO9217" t="str">
        <v/>
      </c>
    </row>
    <row r="9218" spans="326:327">
      <c r="LN9218" t="str">
        <v/>
      </c>
      <c r="LO9218" t="str">
        <v/>
      </c>
    </row>
    <row r="9219" spans="326:327">
      <c r="LN9219" t="str">
        <v/>
      </c>
      <c r="LO9219" t="str">
        <v/>
      </c>
    </row>
    <row r="9220" spans="326:327">
      <c r="LN9220" t="str">
        <v/>
      </c>
      <c r="LO9220" t="str">
        <v/>
      </c>
    </row>
    <row r="9221" spans="326:327">
      <c r="LN9221" t="str">
        <v/>
      </c>
      <c r="LO9221" t="str">
        <v/>
      </c>
    </row>
    <row r="9222" spans="326:327">
      <c r="LN9222" t="str">
        <v/>
      </c>
      <c r="LO9222" t="str">
        <v/>
      </c>
    </row>
    <row r="9223" spans="326:327">
      <c r="LN9223" t="str">
        <v/>
      </c>
      <c r="LO9223" t="str">
        <v/>
      </c>
    </row>
    <row r="9224" spans="326:327">
      <c r="LN9224" t="str">
        <v/>
      </c>
      <c r="LO9224" t="str">
        <v/>
      </c>
    </row>
    <row r="9225" spans="326:327">
      <c r="LN9225" t="str">
        <v/>
      </c>
      <c r="LO9225" t="str">
        <v/>
      </c>
    </row>
    <row r="9226" spans="326:327">
      <c r="LN9226" t="str">
        <v/>
      </c>
      <c r="LO9226" t="str">
        <v/>
      </c>
    </row>
    <row r="9227" spans="326:327">
      <c r="LN9227" t="str">
        <v/>
      </c>
      <c r="LO9227" t="str">
        <v/>
      </c>
    </row>
    <row r="9228" spans="326:327">
      <c r="LN9228" t="str">
        <v/>
      </c>
      <c r="LO9228" t="str">
        <v/>
      </c>
    </row>
    <row r="9229" spans="326:327">
      <c r="LN9229" t="str">
        <v/>
      </c>
      <c r="LO9229" t="str">
        <v/>
      </c>
    </row>
    <row r="9230" spans="326:327">
      <c r="LN9230" t="str">
        <v/>
      </c>
      <c r="LO9230" t="str">
        <v/>
      </c>
    </row>
    <row r="9231" spans="326:327">
      <c r="LN9231" t="str">
        <v/>
      </c>
      <c r="LO9231" t="str">
        <v/>
      </c>
    </row>
    <row r="9232" spans="326:327">
      <c r="LN9232" t="str">
        <v/>
      </c>
      <c r="LO9232" t="str">
        <v/>
      </c>
    </row>
    <row r="9233" spans="326:327">
      <c r="LN9233" t="str">
        <v/>
      </c>
      <c r="LO9233" t="str">
        <v/>
      </c>
    </row>
    <row r="9234" spans="326:327">
      <c r="LN9234" t="str">
        <v/>
      </c>
      <c r="LO9234" t="str">
        <v/>
      </c>
    </row>
    <row r="9235" spans="326:327">
      <c r="LN9235" t="str">
        <v/>
      </c>
      <c r="LO9235" t="str">
        <v/>
      </c>
    </row>
    <row r="9236" spans="326:327">
      <c r="LN9236" t="str">
        <v/>
      </c>
      <c r="LO9236" t="str">
        <v/>
      </c>
    </row>
    <row r="9237" spans="326:327">
      <c r="LN9237" t="str">
        <v/>
      </c>
      <c r="LO9237" t="str">
        <v/>
      </c>
    </row>
    <row r="9238" spans="326:327">
      <c r="LN9238" t="str">
        <v/>
      </c>
      <c r="LO9238" t="str">
        <v/>
      </c>
    </row>
    <row r="9239" spans="326:327">
      <c r="LN9239" t="str">
        <v/>
      </c>
      <c r="LO9239" t="str">
        <v/>
      </c>
    </row>
    <row r="9240" spans="326:327">
      <c r="LN9240" t="str">
        <v/>
      </c>
      <c r="LO9240" t="str">
        <v/>
      </c>
    </row>
    <row r="9241" spans="326:327">
      <c r="LN9241" t="str">
        <v/>
      </c>
      <c r="LO9241" t="str">
        <v/>
      </c>
    </row>
    <row r="9242" spans="326:327">
      <c r="LN9242" t="str">
        <v/>
      </c>
      <c r="LO9242" t="str">
        <v/>
      </c>
    </row>
    <row r="9243" spans="326:327">
      <c r="LN9243" t="str">
        <v/>
      </c>
      <c r="LO9243" t="str">
        <v/>
      </c>
    </row>
    <row r="9244" spans="326:327">
      <c r="LN9244" t="str">
        <v/>
      </c>
      <c r="LO9244" t="str">
        <v/>
      </c>
    </row>
    <row r="9245" spans="326:327">
      <c r="LN9245" t="str">
        <v/>
      </c>
      <c r="LO9245" t="str">
        <v/>
      </c>
    </row>
    <row r="9246" spans="326:327">
      <c r="LN9246" t="str">
        <v/>
      </c>
      <c r="LO9246" t="str">
        <v/>
      </c>
    </row>
    <row r="9247" spans="326:327">
      <c r="LN9247" t="str">
        <v/>
      </c>
      <c r="LO9247" t="str">
        <v/>
      </c>
    </row>
    <row r="9248" spans="326:327">
      <c r="LN9248" t="str">
        <v/>
      </c>
      <c r="LO9248" t="str">
        <v/>
      </c>
    </row>
    <row r="9249" spans="326:327">
      <c r="LN9249" t="str">
        <v/>
      </c>
      <c r="LO9249" t="str">
        <v/>
      </c>
    </row>
    <row r="9250" spans="326:327">
      <c r="LN9250" t="str">
        <v/>
      </c>
      <c r="LO9250" t="str">
        <v/>
      </c>
    </row>
    <row r="9251" spans="326:327">
      <c r="LN9251" t="str">
        <v/>
      </c>
      <c r="LO9251" t="str">
        <v/>
      </c>
    </row>
    <row r="9252" spans="326:327">
      <c r="LN9252" t="str">
        <v/>
      </c>
      <c r="LO9252" t="str">
        <v/>
      </c>
    </row>
    <row r="9253" spans="326:327">
      <c r="LN9253" t="str">
        <v/>
      </c>
      <c r="LO9253" t="str">
        <v/>
      </c>
    </row>
    <row r="9254" spans="326:327">
      <c r="LN9254" t="str">
        <v/>
      </c>
      <c r="LO9254" t="str">
        <v/>
      </c>
    </row>
    <row r="9255" spans="326:327">
      <c r="LN9255" t="str">
        <v/>
      </c>
      <c r="LO9255" t="str">
        <v/>
      </c>
    </row>
    <row r="9256" spans="326:327">
      <c r="LN9256" t="str">
        <v/>
      </c>
      <c r="LO9256" t="str">
        <v/>
      </c>
    </row>
    <row r="9257" spans="326:327">
      <c r="LN9257" t="str">
        <v/>
      </c>
      <c r="LO9257" t="str">
        <v/>
      </c>
    </row>
    <row r="9258" spans="326:327">
      <c r="LN9258" t="str">
        <v/>
      </c>
      <c r="LO9258" t="str">
        <v/>
      </c>
    </row>
    <row r="9259" spans="326:327">
      <c r="LN9259" t="str">
        <v/>
      </c>
      <c r="LO9259" t="str">
        <v/>
      </c>
    </row>
    <row r="9260" spans="326:327">
      <c r="LN9260" t="str">
        <v/>
      </c>
      <c r="LO9260" t="str">
        <v/>
      </c>
    </row>
    <row r="9261" spans="326:327">
      <c r="LN9261" t="str">
        <v/>
      </c>
      <c r="LO9261" t="str">
        <v/>
      </c>
    </row>
    <row r="9262" spans="326:327">
      <c r="LN9262" t="str">
        <v/>
      </c>
      <c r="LO9262" t="str">
        <v/>
      </c>
    </row>
    <row r="9263" spans="326:327">
      <c r="LN9263" t="str">
        <v/>
      </c>
      <c r="LO9263" t="str">
        <v/>
      </c>
    </row>
    <row r="9264" spans="326:327">
      <c r="LN9264" t="str">
        <v/>
      </c>
      <c r="LO9264" t="str">
        <v/>
      </c>
    </row>
    <row r="9265" spans="326:327">
      <c r="LN9265" t="str">
        <v/>
      </c>
      <c r="LO9265" t="str">
        <v/>
      </c>
    </row>
    <row r="9266" spans="326:327">
      <c r="LN9266" t="str">
        <v/>
      </c>
      <c r="LO9266" t="str">
        <v/>
      </c>
    </row>
    <row r="9267" spans="326:327">
      <c r="LN9267" t="str">
        <v/>
      </c>
      <c r="LO9267" t="str">
        <v/>
      </c>
    </row>
    <row r="9268" spans="326:327">
      <c r="LN9268" t="str">
        <v/>
      </c>
      <c r="LO9268" t="str">
        <v/>
      </c>
    </row>
    <row r="9269" spans="326:327">
      <c r="LN9269" t="str">
        <v/>
      </c>
      <c r="LO9269" t="str">
        <v/>
      </c>
    </row>
    <row r="9270" spans="326:327">
      <c r="LN9270" t="str">
        <v/>
      </c>
      <c r="LO9270" t="str">
        <v/>
      </c>
    </row>
    <row r="9271" spans="326:327">
      <c r="LN9271" t="str">
        <v/>
      </c>
      <c r="LO9271" t="str">
        <v/>
      </c>
    </row>
    <row r="9272" spans="326:327">
      <c r="LN9272" t="str">
        <v/>
      </c>
      <c r="LO9272" t="str">
        <v/>
      </c>
    </row>
    <row r="9273" spans="326:327">
      <c r="LN9273" t="str">
        <v/>
      </c>
      <c r="LO9273" t="str">
        <v/>
      </c>
    </row>
    <row r="9274" spans="326:327">
      <c r="LN9274" t="str">
        <v/>
      </c>
      <c r="LO9274" t="str">
        <v/>
      </c>
    </row>
    <row r="9275" spans="326:327">
      <c r="LN9275" t="str">
        <v/>
      </c>
      <c r="LO9275" t="str">
        <v/>
      </c>
    </row>
    <row r="9276" spans="326:327">
      <c r="LN9276" t="str">
        <v/>
      </c>
      <c r="LO9276" t="str">
        <v/>
      </c>
    </row>
    <row r="9277" spans="326:327">
      <c r="LN9277" t="str">
        <v/>
      </c>
      <c r="LO9277" t="str">
        <v/>
      </c>
    </row>
    <row r="9278" spans="326:327">
      <c r="LN9278" t="str">
        <v/>
      </c>
      <c r="LO9278" t="str">
        <v/>
      </c>
    </row>
    <row r="9279" spans="326:327">
      <c r="LN9279" t="str">
        <v/>
      </c>
      <c r="LO9279" t="str">
        <v/>
      </c>
    </row>
    <row r="9280" spans="326:327">
      <c r="LN9280" t="str">
        <v/>
      </c>
      <c r="LO9280" t="str">
        <v/>
      </c>
    </row>
    <row r="9281" spans="326:327">
      <c r="LN9281" t="str">
        <v/>
      </c>
      <c r="LO9281" t="str">
        <v/>
      </c>
    </row>
    <row r="9282" spans="326:327">
      <c r="LN9282" t="str">
        <v/>
      </c>
      <c r="LO9282" t="str">
        <v/>
      </c>
    </row>
    <row r="9283" spans="326:327">
      <c r="LN9283" t="str">
        <v/>
      </c>
      <c r="LO9283" t="str">
        <v/>
      </c>
    </row>
    <row r="9284" spans="326:327">
      <c r="LN9284" t="str">
        <v/>
      </c>
      <c r="LO9284" t="str">
        <v/>
      </c>
    </row>
    <row r="9285" spans="326:327">
      <c r="LN9285" t="str">
        <v/>
      </c>
      <c r="LO9285" t="str">
        <v/>
      </c>
    </row>
    <row r="9286" spans="326:327">
      <c r="LN9286" t="str">
        <v/>
      </c>
      <c r="LO9286" t="str">
        <v/>
      </c>
    </row>
    <row r="9287" spans="326:327">
      <c r="LN9287" t="str">
        <v/>
      </c>
      <c r="LO9287" t="str">
        <v/>
      </c>
    </row>
    <row r="9288" spans="326:327">
      <c r="LN9288" t="str">
        <v/>
      </c>
      <c r="LO9288" t="str">
        <v/>
      </c>
    </row>
    <row r="9289" spans="326:327">
      <c r="LN9289" t="str">
        <v/>
      </c>
      <c r="LO9289" t="str">
        <v/>
      </c>
    </row>
    <row r="9290" spans="326:327">
      <c r="LN9290" t="str">
        <v/>
      </c>
      <c r="LO9290" t="str">
        <v/>
      </c>
    </row>
    <row r="9291" spans="326:327">
      <c r="LN9291" t="str">
        <v/>
      </c>
      <c r="LO9291" t="str">
        <v/>
      </c>
    </row>
    <row r="9292" spans="326:327">
      <c r="LN9292" t="str">
        <v/>
      </c>
      <c r="LO9292" t="str">
        <v/>
      </c>
    </row>
    <row r="9293" spans="326:327">
      <c r="LN9293" t="str">
        <v/>
      </c>
      <c r="LO9293" t="str">
        <v/>
      </c>
    </row>
    <row r="9294" spans="326:327">
      <c r="LN9294" t="str">
        <v/>
      </c>
      <c r="LO9294" t="str">
        <v/>
      </c>
    </row>
    <row r="9295" spans="326:327">
      <c r="LN9295" t="str">
        <v/>
      </c>
      <c r="LO9295" t="str">
        <v/>
      </c>
    </row>
    <row r="9296" spans="326:327">
      <c r="LN9296" t="str">
        <v/>
      </c>
      <c r="LO9296" t="str">
        <v/>
      </c>
    </row>
    <row r="9297" spans="326:327">
      <c r="LN9297" t="str">
        <v/>
      </c>
      <c r="LO9297" t="str">
        <v/>
      </c>
    </row>
    <row r="9298" spans="326:327">
      <c r="LN9298" t="str">
        <v/>
      </c>
      <c r="LO9298" t="str">
        <v/>
      </c>
    </row>
    <row r="9299" spans="326:327">
      <c r="LN9299" t="str">
        <v/>
      </c>
      <c r="LO9299" t="str">
        <v/>
      </c>
    </row>
    <row r="9300" spans="326:327">
      <c r="LN9300" t="str">
        <v/>
      </c>
      <c r="LO9300" t="str">
        <v/>
      </c>
    </row>
    <row r="9301" spans="326:327">
      <c r="LN9301" t="str">
        <v/>
      </c>
      <c r="LO9301" t="str">
        <v/>
      </c>
    </row>
    <row r="9302" spans="326:327">
      <c r="LN9302" t="str">
        <v/>
      </c>
      <c r="LO9302" t="str">
        <v/>
      </c>
    </row>
    <row r="9303" spans="326:327">
      <c r="LN9303" t="str">
        <v/>
      </c>
      <c r="LO9303" t="str">
        <v/>
      </c>
    </row>
    <row r="9304" spans="326:327">
      <c r="LN9304" t="str">
        <v/>
      </c>
      <c r="LO9304" t="str">
        <v/>
      </c>
    </row>
    <row r="9305" spans="326:327">
      <c r="LN9305" t="str">
        <v/>
      </c>
      <c r="LO9305" t="str">
        <v/>
      </c>
    </row>
    <row r="9306" spans="326:327">
      <c r="LN9306" t="str">
        <v/>
      </c>
      <c r="LO9306" t="str">
        <v/>
      </c>
    </row>
    <row r="9307" spans="326:327">
      <c r="LN9307" t="str">
        <v/>
      </c>
      <c r="LO9307" t="str">
        <v/>
      </c>
    </row>
    <row r="9308" spans="326:327">
      <c r="LN9308" t="str">
        <v/>
      </c>
      <c r="LO9308" t="str">
        <v/>
      </c>
    </row>
    <row r="9309" spans="326:327">
      <c r="LN9309" t="str">
        <v/>
      </c>
      <c r="LO9309" t="str">
        <v/>
      </c>
    </row>
    <row r="9310" spans="326:327">
      <c r="LN9310" t="str">
        <v/>
      </c>
      <c r="LO9310" t="str">
        <v/>
      </c>
    </row>
    <row r="9311" spans="326:327">
      <c r="LN9311" t="str">
        <v/>
      </c>
      <c r="LO9311" t="str">
        <v/>
      </c>
    </row>
    <row r="9312" spans="326:327">
      <c r="LN9312" t="str">
        <v/>
      </c>
      <c r="LO9312" t="str">
        <v/>
      </c>
    </row>
    <row r="9313" spans="326:327">
      <c r="LN9313" t="str">
        <v/>
      </c>
      <c r="LO9313" t="str">
        <v/>
      </c>
    </row>
    <row r="9314" spans="326:327">
      <c r="LN9314" t="str">
        <v/>
      </c>
      <c r="LO9314" t="str">
        <v/>
      </c>
    </row>
    <row r="9315" spans="326:327">
      <c r="LN9315" t="str">
        <v/>
      </c>
      <c r="LO9315" t="str">
        <v/>
      </c>
    </row>
    <row r="9316" spans="326:327">
      <c r="LN9316" t="str">
        <v/>
      </c>
      <c r="LO9316" t="str">
        <v/>
      </c>
    </row>
    <row r="9317" spans="326:327">
      <c r="LN9317" t="str">
        <v/>
      </c>
      <c r="LO9317" t="str">
        <v/>
      </c>
    </row>
    <row r="9318" spans="326:327">
      <c r="LN9318" t="str">
        <v/>
      </c>
      <c r="LO9318" t="str">
        <v/>
      </c>
    </row>
    <row r="9319" spans="326:327">
      <c r="LN9319" t="str">
        <v/>
      </c>
      <c r="LO9319" t="str">
        <v/>
      </c>
    </row>
    <row r="9320" spans="326:327">
      <c r="LN9320" t="str">
        <v/>
      </c>
      <c r="LO9320" t="str">
        <v/>
      </c>
    </row>
    <row r="9321" spans="326:327">
      <c r="LN9321" t="str">
        <v/>
      </c>
      <c r="LO9321" t="str">
        <v/>
      </c>
    </row>
    <row r="9322" spans="326:327">
      <c r="LN9322" t="str">
        <v/>
      </c>
      <c r="LO9322" t="str">
        <v/>
      </c>
    </row>
    <row r="9323" spans="326:327">
      <c r="LN9323" t="str">
        <v/>
      </c>
      <c r="LO9323" t="str">
        <v/>
      </c>
    </row>
    <row r="9324" spans="326:327">
      <c r="LN9324" t="str">
        <v/>
      </c>
      <c r="LO9324" t="str">
        <v/>
      </c>
    </row>
    <row r="9325" spans="326:327">
      <c r="LN9325" t="str">
        <v/>
      </c>
      <c r="LO9325" t="str">
        <v/>
      </c>
    </row>
    <row r="9326" spans="326:327">
      <c r="LN9326" t="str">
        <v/>
      </c>
      <c r="LO9326" t="str">
        <v/>
      </c>
    </row>
    <row r="9327" spans="326:327">
      <c r="LN9327" t="str">
        <v/>
      </c>
      <c r="LO9327" t="str">
        <v/>
      </c>
    </row>
    <row r="9328" spans="326:327">
      <c r="LN9328" t="str">
        <v/>
      </c>
      <c r="LO9328" t="str">
        <v/>
      </c>
    </row>
    <row r="9329" spans="326:327">
      <c r="LN9329" t="str">
        <v/>
      </c>
      <c r="LO9329" t="str">
        <v/>
      </c>
    </row>
    <row r="9330" spans="326:327">
      <c r="LN9330" t="str">
        <v/>
      </c>
      <c r="LO9330" t="str">
        <v/>
      </c>
    </row>
    <row r="9331" spans="326:327">
      <c r="LN9331" t="str">
        <v/>
      </c>
      <c r="LO9331" t="str">
        <v/>
      </c>
    </row>
    <row r="9332" spans="326:327">
      <c r="LN9332" t="str">
        <v/>
      </c>
      <c r="LO9332" t="str">
        <v/>
      </c>
    </row>
    <row r="9333" spans="326:327">
      <c r="LN9333" t="str">
        <v/>
      </c>
      <c r="LO9333" t="str">
        <v/>
      </c>
    </row>
    <row r="9334" spans="326:327">
      <c r="LN9334" t="str">
        <v/>
      </c>
      <c r="LO9334" t="str">
        <v/>
      </c>
    </row>
    <row r="9335" spans="326:327">
      <c r="LN9335" t="str">
        <v/>
      </c>
      <c r="LO9335" t="str">
        <v/>
      </c>
    </row>
    <row r="9336" spans="326:327">
      <c r="LN9336" t="str">
        <v/>
      </c>
      <c r="LO9336" t="str">
        <v/>
      </c>
    </row>
    <row r="9337" spans="326:327">
      <c r="LN9337" t="str">
        <v/>
      </c>
      <c r="LO9337" t="str">
        <v/>
      </c>
    </row>
    <row r="9338" spans="326:327">
      <c r="LN9338" t="str">
        <v/>
      </c>
      <c r="LO9338" t="str">
        <v/>
      </c>
    </row>
    <row r="9339" spans="326:327">
      <c r="LN9339" t="str">
        <v/>
      </c>
      <c r="LO9339" t="str">
        <v/>
      </c>
    </row>
    <row r="9340" spans="326:327">
      <c r="LN9340" t="str">
        <v/>
      </c>
      <c r="LO9340" t="str">
        <v/>
      </c>
    </row>
    <row r="9341" spans="326:327">
      <c r="LN9341" t="str">
        <v/>
      </c>
      <c r="LO9341" t="str">
        <v/>
      </c>
    </row>
    <row r="9342" spans="326:327">
      <c r="LN9342" t="str">
        <v/>
      </c>
      <c r="LO9342" t="str">
        <v/>
      </c>
    </row>
    <row r="9343" spans="326:327">
      <c r="LN9343" t="str">
        <v/>
      </c>
      <c r="LO9343" t="str">
        <v/>
      </c>
    </row>
    <row r="9344" spans="326:327">
      <c r="LN9344" t="str">
        <v/>
      </c>
      <c r="LO9344" t="str">
        <v/>
      </c>
    </row>
    <row r="9345" spans="326:327">
      <c r="LN9345" t="str">
        <v/>
      </c>
      <c r="LO9345" t="str">
        <v/>
      </c>
    </row>
    <row r="9346" spans="326:327">
      <c r="LN9346" t="str">
        <v/>
      </c>
      <c r="LO9346" t="str">
        <v/>
      </c>
    </row>
    <row r="9347" spans="326:327">
      <c r="LN9347" t="str">
        <v/>
      </c>
      <c r="LO9347" t="str">
        <v/>
      </c>
    </row>
    <row r="9348" spans="326:327">
      <c r="LN9348" t="str">
        <v/>
      </c>
      <c r="LO9348" t="str">
        <v/>
      </c>
    </row>
    <row r="9349" spans="326:327">
      <c r="LN9349" t="str">
        <v/>
      </c>
      <c r="LO9349" t="str">
        <v/>
      </c>
    </row>
    <row r="9350" spans="326:327">
      <c r="LN9350" t="str">
        <v/>
      </c>
      <c r="LO9350" t="str">
        <v/>
      </c>
    </row>
    <row r="9351" spans="326:327">
      <c r="LN9351" t="str">
        <v/>
      </c>
      <c r="LO9351" t="str">
        <v/>
      </c>
    </row>
    <row r="9352" spans="326:327">
      <c r="LN9352" t="str">
        <v/>
      </c>
      <c r="LO9352" t="str">
        <v/>
      </c>
    </row>
    <row r="9353" spans="326:327">
      <c r="LN9353" t="str">
        <v/>
      </c>
      <c r="LO9353" t="str">
        <v/>
      </c>
    </row>
    <row r="9354" spans="326:327">
      <c r="LN9354" t="str">
        <v/>
      </c>
      <c r="LO9354" t="str">
        <v/>
      </c>
    </row>
    <row r="9355" spans="326:327">
      <c r="LN9355" t="str">
        <v/>
      </c>
      <c r="LO9355" t="str">
        <v/>
      </c>
    </row>
    <row r="9356" spans="326:327">
      <c r="LN9356" t="str">
        <v/>
      </c>
      <c r="LO9356" t="str">
        <v/>
      </c>
    </row>
    <row r="9357" spans="326:327">
      <c r="LN9357" t="str">
        <v/>
      </c>
      <c r="LO9357" t="str">
        <v/>
      </c>
    </row>
    <row r="9358" spans="326:327">
      <c r="LN9358" t="str">
        <v/>
      </c>
      <c r="LO9358" t="str">
        <v/>
      </c>
    </row>
    <row r="9359" spans="326:327">
      <c r="LN9359" t="str">
        <v/>
      </c>
      <c r="LO9359" t="str">
        <v/>
      </c>
    </row>
    <row r="9360" spans="326:327">
      <c r="LN9360" t="str">
        <v/>
      </c>
      <c r="LO9360" t="str">
        <v/>
      </c>
    </row>
    <row r="9361" spans="326:327">
      <c r="LN9361" t="str">
        <v/>
      </c>
      <c r="LO9361" t="str">
        <v/>
      </c>
    </row>
    <row r="9362" spans="326:327">
      <c r="LN9362" t="str">
        <v/>
      </c>
      <c r="LO9362" t="str">
        <v/>
      </c>
    </row>
    <row r="9363" spans="326:327">
      <c r="LN9363" t="str">
        <v/>
      </c>
      <c r="LO9363" t="str">
        <v/>
      </c>
    </row>
    <row r="9364" spans="326:327">
      <c r="LN9364" t="str">
        <v/>
      </c>
      <c r="LO9364" t="str">
        <v/>
      </c>
    </row>
    <row r="9365" spans="326:327">
      <c r="LN9365" t="str">
        <v/>
      </c>
      <c r="LO9365" t="str">
        <v/>
      </c>
    </row>
    <row r="9366" spans="326:327">
      <c r="LN9366" t="str">
        <v/>
      </c>
      <c r="LO9366" t="str">
        <v/>
      </c>
    </row>
    <row r="9367" spans="326:327">
      <c r="LN9367" t="str">
        <v/>
      </c>
      <c r="LO9367" t="str">
        <v/>
      </c>
    </row>
    <row r="9368" spans="326:327">
      <c r="LN9368" t="str">
        <v/>
      </c>
      <c r="LO9368" t="str">
        <v/>
      </c>
    </row>
    <row r="9369" spans="326:327">
      <c r="LN9369" t="str">
        <v/>
      </c>
      <c r="LO9369" t="str">
        <v/>
      </c>
    </row>
    <row r="9370" spans="326:327">
      <c r="LN9370" t="str">
        <v/>
      </c>
      <c r="LO9370" t="str">
        <v/>
      </c>
    </row>
    <row r="9371" spans="326:327">
      <c r="LN9371" t="str">
        <v/>
      </c>
      <c r="LO9371" t="str">
        <v/>
      </c>
    </row>
    <row r="9372" spans="326:327">
      <c r="LN9372" t="str">
        <v/>
      </c>
      <c r="LO9372" t="str">
        <v/>
      </c>
    </row>
    <row r="9373" spans="326:327">
      <c r="LN9373" t="str">
        <v/>
      </c>
      <c r="LO9373" t="str">
        <v/>
      </c>
    </row>
    <row r="9374" spans="326:327">
      <c r="LN9374" t="str">
        <v/>
      </c>
      <c r="LO9374" t="str">
        <v/>
      </c>
    </row>
    <row r="9375" spans="326:327">
      <c r="LN9375" t="str">
        <v/>
      </c>
      <c r="LO9375" t="str">
        <v/>
      </c>
    </row>
    <row r="9376" spans="326:327">
      <c r="LN9376" t="str">
        <v/>
      </c>
      <c r="LO9376" t="str">
        <v/>
      </c>
    </row>
    <row r="9377" spans="326:327">
      <c r="LN9377" t="str">
        <v/>
      </c>
      <c r="LO9377" t="str">
        <v/>
      </c>
    </row>
    <row r="9378" spans="326:327">
      <c r="LN9378" t="str">
        <v/>
      </c>
      <c r="LO9378" t="str">
        <v/>
      </c>
    </row>
    <row r="9379" spans="326:327">
      <c r="LN9379" t="str">
        <v/>
      </c>
      <c r="LO9379" t="str">
        <v/>
      </c>
    </row>
    <row r="9380" spans="326:327">
      <c r="LN9380" t="str">
        <v/>
      </c>
      <c r="LO9380" t="str">
        <v/>
      </c>
    </row>
    <row r="9381" spans="326:327">
      <c r="LN9381" t="str">
        <v/>
      </c>
      <c r="LO9381" t="str">
        <v/>
      </c>
    </row>
    <row r="9382" spans="326:327">
      <c r="LN9382" t="str">
        <v/>
      </c>
      <c r="LO9382" t="str">
        <v/>
      </c>
    </row>
    <row r="9383" spans="326:327">
      <c r="LN9383" t="str">
        <v/>
      </c>
      <c r="LO9383" t="str">
        <v/>
      </c>
    </row>
    <row r="9384" spans="326:327">
      <c r="LN9384" t="str">
        <v/>
      </c>
      <c r="LO9384" t="str">
        <v/>
      </c>
    </row>
    <row r="9385" spans="326:327">
      <c r="LN9385" t="str">
        <v/>
      </c>
      <c r="LO9385" t="str">
        <v/>
      </c>
    </row>
    <row r="9386" spans="326:327">
      <c r="LN9386" t="str">
        <v/>
      </c>
      <c r="LO9386" t="str">
        <v/>
      </c>
    </row>
    <row r="9387" spans="326:327">
      <c r="LN9387" t="str">
        <v/>
      </c>
      <c r="LO9387" t="str">
        <v/>
      </c>
    </row>
    <row r="9388" spans="326:327">
      <c r="LN9388" t="str">
        <v/>
      </c>
      <c r="LO9388" t="str">
        <v/>
      </c>
    </row>
    <row r="9389" spans="326:327">
      <c r="LN9389" t="str">
        <v/>
      </c>
      <c r="LO9389" t="str">
        <v/>
      </c>
    </row>
    <row r="9390" spans="326:327">
      <c r="LN9390" t="str">
        <v/>
      </c>
      <c r="LO9390" t="str">
        <v/>
      </c>
    </row>
    <row r="9391" spans="326:327">
      <c r="LN9391" t="str">
        <v/>
      </c>
      <c r="LO9391" t="str">
        <v/>
      </c>
    </row>
    <row r="9392" spans="326:327">
      <c r="LN9392" t="str">
        <v/>
      </c>
      <c r="LO9392" t="str">
        <v/>
      </c>
    </row>
    <row r="9393" spans="326:327">
      <c r="LN9393" t="str">
        <v/>
      </c>
      <c r="LO9393" t="str">
        <v/>
      </c>
    </row>
    <row r="9394" spans="326:327">
      <c r="LN9394" t="str">
        <v/>
      </c>
      <c r="LO9394" t="str">
        <v/>
      </c>
    </row>
    <row r="9395" spans="326:327">
      <c r="LN9395" t="str">
        <v/>
      </c>
      <c r="LO9395" t="str">
        <v/>
      </c>
    </row>
    <row r="9396" spans="326:327">
      <c r="LN9396" t="str">
        <v/>
      </c>
      <c r="LO9396" t="str">
        <v/>
      </c>
    </row>
    <row r="9397" spans="326:327">
      <c r="LN9397" t="str">
        <v/>
      </c>
      <c r="LO9397" t="str">
        <v/>
      </c>
    </row>
    <row r="9398" spans="326:327">
      <c r="LN9398" t="str">
        <v/>
      </c>
      <c r="LO9398" t="str">
        <v/>
      </c>
    </row>
    <row r="9399" spans="326:327">
      <c r="LN9399" t="str">
        <v/>
      </c>
      <c r="LO9399" t="str">
        <v/>
      </c>
    </row>
    <row r="9400" spans="326:327">
      <c r="LN9400" t="str">
        <v/>
      </c>
      <c r="LO9400" t="str">
        <v/>
      </c>
    </row>
    <row r="9401" spans="326:327">
      <c r="LN9401" t="str">
        <v/>
      </c>
      <c r="LO9401" t="str">
        <v/>
      </c>
    </row>
    <row r="9402" spans="326:327">
      <c r="LN9402" t="str">
        <v/>
      </c>
      <c r="LO9402" t="str">
        <v/>
      </c>
    </row>
    <row r="9403" spans="326:327">
      <c r="LN9403" t="str">
        <v/>
      </c>
      <c r="LO9403" t="str">
        <v/>
      </c>
    </row>
    <row r="9404" spans="326:327">
      <c r="LN9404" t="str">
        <v/>
      </c>
      <c r="LO9404" t="str">
        <v/>
      </c>
    </row>
    <row r="9405" spans="326:327">
      <c r="LN9405" t="str">
        <v/>
      </c>
      <c r="LO9405" t="str">
        <v/>
      </c>
    </row>
    <row r="9406" spans="326:327">
      <c r="LN9406" t="str">
        <v/>
      </c>
      <c r="LO9406" t="str">
        <v/>
      </c>
    </row>
    <row r="9407" spans="326:327">
      <c r="LN9407" t="str">
        <v/>
      </c>
      <c r="LO9407" t="str">
        <v/>
      </c>
    </row>
    <row r="9408" spans="326:327">
      <c r="LN9408" t="str">
        <v/>
      </c>
      <c r="LO9408" t="str">
        <v/>
      </c>
    </row>
    <row r="9409" spans="326:327">
      <c r="LN9409" t="str">
        <v/>
      </c>
      <c r="LO9409" t="str">
        <v/>
      </c>
    </row>
    <row r="9410" spans="326:327">
      <c r="LN9410" t="str">
        <v/>
      </c>
      <c r="LO9410" t="str">
        <v/>
      </c>
    </row>
    <row r="9411" spans="326:327">
      <c r="LN9411" t="str">
        <v/>
      </c>
      <c r="LO9411" t="str">
        <v/>
      </c>
    </row>
    <row r="9412" spans="326:327">
      <c r="LN9412" t="str">
        <v/>
      </c>
      <c r="LO9412" t="str">
        <v/>
      </c>
    </row>
    <row r="9413" spans="326:327">
      <c r="LN9413" t="str">
        <v/>
      </c>
      <c r="LO9413" t="str">
        <v/>
      </c>
    </row>
    <row r="9414" spans="326:327">
      <c r="LN9414" t="str">
        <v/>
      </c>
      <c r="LO9414" t="str">
        <v/>
      </c>
    </row>
    <row r="9415" spans="326:327">
      <c r="LN9415" t="str">
        <v/>
      </c>
      <c r="LO9415" t="str">
        <v/>
      </c>
    </row>
    <row r="9416" spans="326:327">
      <c r="LN9416" t="str">
        <v/>
      </c>
      <c r="LO9416" t="str">
        <v/>
      </c>
    </row>
    <row r="9417" spans="326:327">
      <c r="LN9417" t="str">
        <v/>
      </c>
      <c r="LO9417" t="str">
        <v/>
      </c>
    </row>
    <row r="9418" spans="326:327">
      <c r="LN9418" t="str">
        <v/>
      </c>
      <c r="LO9418" t="str">
        <v/>
      </c>
    </row>
    <row r="9419" spans="326:327">
      <c r="LN9419" t="str">
        <v/>
      </c>
      <c r="LO9419" t="str">
        <v/>
      </c>
    </row>
    <row r="9420" spans="326:327">
      <c r="LN9420" t="str">
        <v/>
      </c>
      <c r="LO9420" t="str">
        <v/>
      </c>
    </row>
    <row r="9421" spans="326:327">
      <c r="LN9421" t="str">
        <v/>
      </c>
      <c r="LO9421" t="str">
        <v/>
      </c>
    </row>
    <row r="9422" spans="326:327">
      <c r="LN9422" t="str">
        <v/>
      </c>
      <c r="LO9422" t="str">
        <v/>
      </c>
    </row>
    <row r="9423" spans="326:327">
      <c r="LN9423" t="str">
        <v/>
      </c>
      <c r="LO9423" t="str">
        <v/>
      </c>
    </row>
    <row r="9424" spans="326:327">
      <c r="LN9424" t="str">
        <v/>
      </c>
      <c r="LO9424" t="str">
        <v/>
      </c>
    </row>
    <row r="9425" spans="326:327">
      <c r="LN9425" t="str">
        <v/>
      </c>
      <c r="LO9425" t="str">
        <v/>
      </c>
    </row>
    <row r="9426" spans="326:327">
      <c r="LN9426" t="str">
        <v/>
      </c>
      <c r="LO9426" t="str">
        <v/>
      </c>
    </row>
    <row r="9427" spans="326:327">
      <c r="LN9427" t="str">
        <v/>
      </c>
      <c r="LO9427" t="str">
        <v/>
      </c>
    </row>
    <row r="9428" spans="326:327">
      <c r="LN9428" t="str">
        <v/>
      </c>
      <c r="LO9428" t="str">
        <v/>
      </c>
    </row>
    <row r="9429" spans="326:327">
      <c r="LN9429" t="str">
        <v/>
      </c>
      <c r="LO9429" t="str">
        <v/>
      </c>
    </row>
    <row r="9430" spans="326:327">
      <c r="LN9430" t="str">
        <v/>
      </c>
      <c r="LO9430" t="str">
        <v/>
      </c>
    </row>
    <row r="9431" spans="326:327">
      <c r="LN9431" t="str">
        <v/>
      </c>
      <c r="LO9431" t="str">
        <v/>
      </c>
    </row>
    <row r="9432" spans="326:327">
      <c r="LN9432" t="str">
        <v/>
      </c>
      <c r="LO9432" t="str">
        <v/>
      </c>
    </row>
    <row r="9433" spans="326:327">
      <c r="LN9433" t="str">
        <v/>
      </c>
      <c r="LO9433" t="str">
        <v/>
      </c>
    </row>
    <row r="9434" spans="326:327">
      <c r="LN9434" t="str">
        <v/>
      </c>
      <c r="LO9434" t="str">
        <v/>
      </c>
    </row>
    <row r="9435" spans="326:327">
      <c r="LN9435" t="str">
        <v/>
      </c>
      <c r="LO9435" t="str">
        <v/>
      </c>
    </row>
    <row r="9436" spans="326:327">
      <c r="LN9436" t="str">
        <v/>
      </c>
      <c r="LO9436" t="str">
        <v/>
      </c>
    </row>
    <row r="9437" spans="326:327">
      <c r="LN9437" t="str">
        <v/>
      </c>
      <c r="LO9437" t="str">
        <v/>
      </c>
    </row>
    <row r="9438" spans="326:327">
      <c r="LN9438" t="str">
        <v/>
      </c>
      <c r="LO9438" t="str">
        <v/>
      </c>
    </row>
    <row r="9439" spans="326:327">
      <c r="LN9439" t="str">
        <v/>
      </c>
      <c r="LO9439" t="str">
        <v/>
      </c>
    </row>
    <row r="9440" spans="326:327">
      <c r="LN9440" t="str">
        <v/>
      </c>
      <c r="LO9440" t="str">
        <v/>
      </c>
    </row>
    <row r="9441" spans="326:327">
      <c r="LN9441" t="str">
        <v/>
      </c>
      <c r="LO9441" t="str">
        <v/>
      </c>
    </row>
    <row r="9442" spans="326:327">
      <c r="LN9442" t="str">
        <v/>
      </c>
      <c r="LO9442" t="str">
        <v/>
      </c>
    </row>
    <row r="9443" spans="326:327">
      <c r="LN9443" t="str">
        <v/>
      </c>
      <c r="LO9443" t="str">
        <v/>
      </c>
    </row>
    <row r="9444" spans="326:327">
      <c r="LN9444" t="str">
        <v/>
      </c>
      <c r="LO9444" t="str">
        <v/>
      </c>
    </row>
    <row r="9445" spans="326:327">
      <c r="LN9445" t="str">
        <v/>
      </c>
      <c r="LO9445" t="str">
        <v/>
      </c>
    </row>
    <row r="9446" spans="326:327">
      <c r="LN9446" t="str">
        <v/>
      </c>
      <c r="LO9446" t="str">
        <v/>
      </c>
    </row>
    <row r="9447" spans="326:327">
      <c r="LN9447" t="str">
        <v/>
      </c>
      <c r="LO9447" t="str">
        <v/>
      </c>
    </row>
    <row r="9448" spans="326:327">
      <c r="LN9448" t="str">
        <v/>
      </c>
      <c r="LO9448" t="str">
        <v/>
      </c>
    </row>
    <row r="9449" spans="326:327">
      <c r="LN9449" t="str">
        <v/>
      </c>
      <c r="LO9449" t="str">
        <v/>
      </c>
    </row>
    <row r="9450" spans="326:327">
      <c r="LN9450" t="str">
        <v/>
      </c>
      <c r="LO9450" t="str">
        <v/>
      </c>
    </row>
    <row r="9451" spans="326:327">
      <c r="LN9451" t="str">
        <v/>
      </c>
      <c r="LO9451" t="str">
        <v/>
      </c>
    </row>
    <row r="9452" spans="326:327">
      <c r="LN9452" t="str">
        <v/>
      </c>
      <c r="LO9452" t="str">
        <v/>
      </c>
    </row>
    <row r="9453" spans="326:327">
      <c r="LN9453" t="str">
        <v/>
      </c>
      <c r="LO9453" t="str">
        <v/>
      </c>
    </row>
    <row r="9454" spans="326:327">
      <c r="LN9454" t="str">
        <v/>
      </c>
      <c r="LO9454" t="str">
        <v/>
      </c>
    </row>
    <row r="9455" spans="326:327">
      <c r="LN9455" t="str">
        <v/>
      </c>
      <c r="LO9455" t="str">
        <v/>
      </c>
    </row>
    <row r="9456" spans="326:327">
      <c r="LN9456" t="str">
        <v/>
      </c>
      <c r="LO9456" t="str">
        <v/>
      </c>
    </row>
    <row r="9457" spans="326:327">
      <c r="LN9457" t="str">
        <v/>
      </c>
      <c r="LO9457" t="str">
        <v/>
      </c>
    </row>
    <row r="9458" spans="326:327">
      <c r="LN9458" t="str">
        <v/>
      </c>
      <c r="LO9458" t="str">
        <v/>
      </c>
    </row>
    <row r="9459" spans="326:327">
      <c r="LN9459" t="str">
        <v/>
      </c>
      <c r="LO9459" t="str">
        <v/>
      </c>
    </row>
    <row r="9460" spans="326:327">
      <c r="LN9460" t="str">
        <v/>
      </c>
      <c r="LO9460" t="str">
        <v/>
      </c>
    </row>
    <row r="9461" spans="326:327">
      <c r="LN9461" t="str">
        <v/>
      </c>
      <c r="LO9461" t="str">
        <v/>
      </c>
    </row>
    <row r="9462" spans="326:327">
      <c r="LN9462" t="str">
        <v/>
      </c>
      <c r="LO9462" t="str">
        <v/>
      </c>
    </row>
    <row r="9463" spans="326:327">
      <c r="LN9463" t="str">
        <v/>
      </c>
      <c r="LO9463" t="str">
        <v/>
      </c>
    </row>
    <row r="9464" spans="326:327">
      <c r="LN9464" t="str">
        <v/>
      </c>
      <c r="LO9464" t="str">
        <v/>
      </c>
    </row>
    <row r="9465" spans="326:327">
      <c r="LN9465" t="str">
        <v/>
      </c>
      <c r="LO9465" t="str">
        <v/>
      </c>
    </row>
    <row r="9466" spans="326:327">
      <c r="LN9466" t="str">
        <v/>
      </c>
      <c r="LO9466" t="str">
        <v/>
      </c>
    </row>
    <row r="9467" spans="326:327">
      <c r="LN9467" t="str">
        <v/>
      </c>
      <c r="LO9467" t="str">
        <v/>
      </c>
    </row>
    <row r="9468" spans="326:327">
      <c r="LN9468" t="str">
        <v/>
      </c>
      <c r="LO9468" t="str">
        <v/>
      </c>
    </row>
    <row r="9469" spans="326:327">
      <c r="LN9469" t="str">
        <v/>
      </c>
      <c r="LO9469" t="str">
        <v/>
      </c>
    </row>
    <row r="9470" spans="326:327">
      <c r="LN9470" t="str">
        <v/>
      </c>
      <c r="LO9470" t="str">
        <v/>
      </c>
    </row>
    <row r="9471" spans="326:327">
      <c r="LN9471" t="str">
        <v/>
      </c>
      <c r="LO9471" t="str">
        <v/>
      </c>
    </row>
    <row r="9472" spans="326:327">
      <c r="LN9472" t="str">
        <v/>
      </c>
      <c r="LO9472" t="str">
        <v/>
      </c>
    </row>
    <row r="9473" spans="326:327">
      <c r="LN9473" t="str">
        <v/>
      </c>
      <c r="LO9473" t="str">
        <v/>
      </c>
    </row>
    <row r="9474" spans="326:327">
      <c r="LN9474" t="str">
        <v/>
      </c>
      <c r="LO9474" t="str">
        <v/>
      </c>
    </row>
    <row r="9475" spans="326:327">
      <c r="LN9475" t="str">
        <v/>
      </c>
      <c r="LO9475" t="str">
        <v/>
      </c>
    </row>
    <row r="9476" spans="326:327">
      <c r="LN9476" t="str">
        <v/>
      </c>
      <c r="LO9476" t="str">
        <v/>
      </c>
    </row>
    <row r="9477" spans="326:327">
      <c r="LN9477" t="str">
        <v/>
      </c>
      <c r="LO9477" t="str">
        <v/>
      </c>
    </row>
    <row r="9478" spans="326:327">
      <c r="LN9478" t="str">
        <v/>
      </c>
      <c r="LO9478" t="str">
        <v/>
      </c>
    </row>
    <row r="9479" spans="326:327">
      <c r="LN9479" t="str">
        <v/>
      </c>
      <c r="LO9479" t="str">
        <v/>
      </c>
    </row>
    <row r="9480" spans="326:327">
      <c r="LN9480" t="str">
        <v/>
      </c>
      <c r="LO9480" t="str">
        <v/>
      </c>
    </row>
    <row r="9481" spans="326:327">
      <c r="LN9481" t="str">
        <v/>
      </c>
      <c r="LO9481" t="str">
        <v/>
      </c>
    </row>
    <row r="9482" spans="326:327">
      <c r="LN9482" t="str">
        <v/>
      </c>
      <c r="LO9482" t="str">
        <v/>
      </c>
    </row>
    <row r="9483" spans="326:327">
      <c r="LN9483" t="str">
        <v/>
      </c>
      <c r="LO9483" t="str">
        <v/>
      </c>
    </row>
    <row r="9484" spans="326:327">
      <c r="LN9484" t="str">
        <v/>
      </c>
      <c r="LO9484" t="str">
        <v/>
      </c>
    </row>
    <row r="9485" spans="326:327">
      <c r="LN9485" t="str">
        <v/>
      </c>
      <c r="LO9485" t="str">
        <v/>
      </c>
    </row>
    <row r="9486" spans="326:327">
      <c r="LN9486" t="str">
        <v/>
      </c>
      <c r="LO9486" t="str">
        <v/>
      </c>
    </row>
    <row r="9487" spans="326:327">
      <c r="LN9487" t="str">
        <v/>
      </c>
      <c r="LO9487" t="str">
        <v/>
      </c>
    </row>
    <row r="9488" spans="326:327">
      <c r="LN9488" t="str">
        <v/>
      </c>
      <c r="LO9488" t="str">
        <v/>
      </c>
    </row>
    <row r="9489" spans="326:327">
      <c r="LN9489" t="str">
        <v/>
      </c>
      <c r="LO9489" t="str">
        <v/>
      </c>
    </row>
    <row r="9490" spans="326:327">
      <c r="LN9490" t="str">
        <v/>
      </c>
      <c r="LO9490" t="str">
        <v/>
      </c>
    </row>
    <row r="9491" spans="326:327">
      <c r="LN9491" t="str">
        <v/>
      </c>
      <c r="LO9491" t="str">
        <v/>
      </c>
    </row>
    <row r="9492" spans="326:327">
      <c r="LN9492" t="str">
        <v/>
      </c>
      <c r="LO9492" t="str">
        <v/>
      </c>
    </row>
    <row r="9493" spans="326:327">
      <c r="LN9493" t="str">
        <v/>
      </c>
      <c r="LO9493" t="str">
        <v/>
      </c>
    </row>
    <row r="9494" spans="326:327">
      <c r="LN9494" t="str">
        <v/>
      </c>
      <c r="LO9494" t="str">
        <v/>
      </c>
    </row>
    <row r="9495" spans="326:327">
      <c r="LN9495" t="str">
        <v/>
      </c>
      <c r="LO9495" t="str">
        <v/>
      </c>
    </row>
    <row r="9496" spans="326:327">
      <c r="LN9496" t="str">
        <v/>
      </c>
      <c r="LO9496" t="str">
        <v/>
      </c>
    </row>
    <row r="9497" spans="326:327">
      <c r="LN9497" t="str">
        <v/>
      </c>
      <c r="LO9497" t="str">
        <v/>
      </c>
    </row>
    <row r="9498" spans="326:327">
      <c r="LN9498" t="str">
        <v/>
      </c>
      <c r="LO9498" t="str">
        <v/>
      </c>
    </row>
    <row r="9499" spans="326:327">
      <c r="LN9499" t="str">
        <v/>
      </c>
      <c r="LO9499" t="str">
        <v/>
      </c>
    </row>
    <row r="9500" spans="326:327">
      <c r="LN9500" t="str">
        <v/>
      </c>
      <c r="LO9500" t="str">
        <v/>
      </c>
    </row>
    <row r="9501" spans="326:327">
      <c r="LN9501" t="str">
        <v/>
      </c>
      <c r="LO9501" t="str">
        <v/>
      </c>
    </row>
    <row r="9502" spans="326:327">
      <c r="LN9502" t="str">
        <v/>
      </c>
      <c r="LO9502" t="str">
        <v/>
      </c>
    </row>
    <row r="9503" spans="326:327">
      <c r="LN9503" t="str">
        <v/>
      </c>
      <c r="LO9503" t="str">
        <v/>
      </c>
    </row>
    <row r="9504" spans="326:327">
      <c r="LN9504" t="str">
        <v/>
      </c>
      <c r="LO9504" t="str">
        <v/>
      </c>
    </row>
    <row r="9505" spans="326:327">
      <c r="LN9505" t="str">
        <v/>
      </c>
      <c r="LO9505" t="str">
        <v/>
      </c>
    </row>
    <row r="9506" spans="326:327">
      <c r="LN9506" t="str">
        <v/>
      </c>
      <c r="LO9506" t="str">
        <v/>
      </c>
    </row>
    <row r="9507" spans="326:327">
      <c r="LN9507" t="str">
        <v/>
      </c>
      <c r="LO9507" t="str">
        <v/>
      </c>
    </row>
    <row r="9508" spans="326:327">
      <c r="LN9508" t="str">
        <v/>
      </c>
      <c r="LO9508" t="str">
        <v/>
      </c>
    </row>
    <row r="9509" spans="326:327">
      <c r="LN9509" t="str">
        <v/>
      </c>
      <c r="LO9509" t="str">
        <v/>
      </c>
    </row>
    <row r="9510" spans="326:327">
      <c r="LN9510" t="str">
        <v/>
      </c>
      <c r="LO9510" t="str">
        <v/>
      </c>
    </row>
    <row r="9511" spans="326:327">
      <c r="LN9511" t="str">
        <v/>
      </c>
      <c r="LO9511" t="str">
        <v/>
      </c>
    </row>
    <row r="9512" spans="326:327">
      <c r="LN9512" t="str">
        <v/>
      </c>
      <c r="LO9512" t="str">
        <v/>
      </c>
    </row>
    <row r="9513" spans="326:327">
      <c r="LN9513" t="str">
        <v/>
      </c>
      <c r="LO9513" t="str">
        <v/>
      </c>
    </row>
    <row r="9514" spans="326:327">
      <c r="LN9514" t="str">
        <v/>
      </c>
      <c r="LO9514" t="str">
        <v/>
      </c>
    </row>
    <row r="9515" spans="326:327">
      <c r="LN9515" t="str">
        <v/>
      </c>
      <c r="LO9515" t="str">
        <v/>
      </c>
    </row>
    <row r="9516" spans="326:327">
      <c r="LN9516" t="str">
        <v/>
      </c>
      <c r="LO9516" t="str">
        <v/>
      </c>
    </row>
    <row r="9517" spans="326:327">
      <c r="LN9517" t="str">
        <v/>
      </c>
      <c r="LO9517" t="str">
        <v/>
      </c>
    </row>
    <row r="9518" spans="326:327">
      <c r="LN9518" t="str">
        <v/>
      </c>
      <c r="LO9518" t="str">
        <v/>
      </c>
    </row>
    <row r="9519" spans="326:327">
      <c r="LN9519" t="str">
        <v/>
      </c>
      <c r="LO9519" t="str">
        <v/>
      </c>
    </row>
    <row r="9520" spans="326:327">
      <c r="LN9520" t="str">
        <v/>
      </c>
      <c r="LO9520" t="str">
        <v/>
      </c>
    </row>
    <row r="9521" spans="326:327">
      <c r="LN9521" t="str">
        <v/>
      </c>
      <c r="LO9521" t="str">
        <v/>
      </c>
    </row>
    <row r="9522" spans="326:327">
      <c r="LN9522" t="str">
        <v/>
      </c>
      <c r="LO9522" t="str">
        <v/>
      </c>
    </row>
    <row r="9523" spans="326:327">
      <c r="LN9523" t="str">
        <v/>
      </c>
      <c r="LO9523" t="str">
        <v/>
      </c>
    </row>
    <row r="9524" spans="326:327">
      <c r="LN9524" t="str">
        <v/>
      </c>
      <c r="LO9524" t="str">
        <v/>
      </c>
    </row>
    <row r="9525" spans="326:327">
      <c r="LN9525" t="str">
        <v/>
      </c>
      <c r="LO9525" t="str">
        <v/>
      </c>
    </row>
    <row r="9526" spans="326:327">
      <c r="LN9526" t="str">
        <v/>
      </c>
      <c r="LO9526" t="str">
        <v/>
      </c>
    </row>
    <row r="9527" spans="326:327">
      <c r="LN9527" t="str">
        <v/>
      </c>
      <c r="LO9527" t="str">
        <v/>
      </c>
    </row>
    <row r="9528" spans="326:327">
      <c r="LN9528" t="str">
        <v/>
      </c>
      <c r="LO9528" t="str">
        <v/>
      </c>
    </row>
    <row r="9529" spans="326:327">
      <c r="LN9529" t="str">
        <v/>
      </c>
      <c r="LO9529" t="str">
        <v/>
      </c>
    </row>
    <row r="9530" spans="326:327">
      <c r="LN9530" t="str">
        <v/>
      </c>
      <c r="LO9530" t="str">
        <v/>
      </c>
    </row>
    <row r="9531" spans="326:327">
      <c r="LN9531" t="str">
        <v/>
      </c>
      <c r="LO9531" t="str">
        <v/>
      </c>
    </row>
    <row r="9532" spans="326:327">
      <c r="LN9532" t="str">
        <v/>
      </c>
      <c r="LO9532" t="str">
        <v/>
      </c>
    </row>
    <row r="9533" spans="326:327">
      <c r="LN9533" t="str">
        <v/>
      </c>
      <c r="LO9533" t="str">
        <v/>
      </c>
    </row>
    <row r="9534" spans="326:327">
      <c r="LN9534" t="str">
        <v/>
      </c>
      <c r="LO9534" t="str">
        <v/>
      </c>
    </row>
    <row r="9535" spans="326:327">
      <c r="LN9535" t="str">
        <v/>
      </c>
      <c r="LO9535" t="str">
        <v/>
      </c>
    </row>
    <row r="9536" spans="326:327">
      <c r="LN9536" t="str">
        <v/>
      </c>
      <c r="LO9536" t="str">
        <v/>
      </c>
    </row>
    <row r="9537" spans="326:327">
      <c r="LN9537" t="str">
        <v/>
      </c>
      <c r="LO9537" t="str">
        <v/>
      </c>
    </row>
    <row r="9538" spans="326:327">
      <c r="LN9538" t="str">
        <v/>
      </c>
      <c r="LO9538" t="str">
        <v/>
      </c>
    </row>
    <row r="9539" spans="326:327">
      <c r="LN9539" t="str">
        <v/>
      </c>
      <c r="LO9539" t="str">
        <v/>
      </c>
    </row>
    <row r="9540" spans="326:327">
      <c r="LN9540" t="str">
        <v/>
      </c>
      <c r="LO9540" t="str">
        <v/>
      </c>
    </row>
    <row r="9541" spans="326:327">
      <c r="LN9541" t="str">
        <v/>
      </c>
      <c r="LO9541" t="str">
        <v/>
      </c>
    </row>
    <row r="9542" spans="326:327">
      <c r="LN9542" t="str">
        <v/>
      </c>
      <c r="LO9542" t="str">
        <v/>
      </c>
    </row>
    <row r="9543" spans="326:327">
      <c r="LN9543" t="str">
        <v/>
      </c>
      <c r="LO9543" t="str">
        <v/>
      </c>
    </row>
    <row r="9544" spans="326:327">
      <c r="LN9544" t="str">
        <v/>
      </c>
      <c r="LO9544" t="str">
        <v/>
      </c>
    </row>
    <row r="9545" spans="326:327">
      <c r="LN9545" t="str">
        <v/>
      </c>
      <c r="LO9545" t="str">
        <v/>
      </c>
    </row>
    <row r="9546" spans="326:327">
      <c r="LN9546" t="str">
        <v/>
      </c>
      <c r="LO9546" t="str">
        <v/>
      </c>
    </row>
    <row r="9547" spans="326:327">
      <c r="LN9547" t="str">
        <v/>
      </c>
      <c r="LO9547" t="str">
        <v/>
      </c>
    </row>
    <row r="9548" spans="326:327">
      <c r="LN9548" t="str">
        <v/>
      </c>
      <c r="LO9548" t="str">
        <v/>
      </c>
    </row>
    <row r="9549" spans="326:327">
      <c r="LN9549" t="str">
        <v/>
      </c>
      <c r="LO9549" t="str">
        <v/>
      </c>
    </row>
    <row r="9550" spans="326:327">
      <c r="LN9550" t="str">
        <v/>
      </c>
      <c r="LO9550" t="str">
        <v/>
      </c>
    </row>
    <row r="9551" spans="326:327">
      <c r="LN9551" t="str">
        <v/>
      </c>
      <c r="LO9551" t="str">
        <v/>
      </c>
    </row>
    <row r="9552" spans="326:327">
      <c r="LN9552" t="str">
        <v/>
      </c>
      <c r="LO9552" t="str">
        <v/>
      </c>
    </row>
    <row r="9553" spans="326:327">
      <c r="LN9553" t="str">
        <v/>
      </c>
      <c r="LO9553" t="str">
        <v/>
      </c>
    </row>
    <row r="9554" spans="326:327">
      <c r="LN9554" t="str">
        <v/>
      </c>
      <c r="LO9554" t="str">
        <v/>
      </c>
    </row>
    <row r="9555" spans="326:327">
      <c r="LN9555" t="str">
        <v/>
      </c>
      <c r="LO9555" t="str">
        <v/>
      </c>
    </row>
    <row r="9556" spans="326:327">
      <c r="LN9556" t="str">
        <v/>
      </c>
      <c r="LO9556" t="str">
        <v/>
      </c>
    </row>
    <row r="9557" spans="326:327">
      <c r="LN9557" t="str">
        <v/>
      </c>
      <c r="LO9557" t="str">
        <v/>
      </c>
    </row>
    <row r="9558" spans="326:327">
      <c r="LN9558" t="str">
        <v/>
      </c>
      <c r="LO9558" t="str">
        <v/>
      </c>
    </row>
    <row r="9559" spans="326:327">
      <c r="LN9559" t="str">
        <v/>
      </c>
      <c r="LO9559" t="str">
        <v/>
      </c>
    </row>
    <row r="9560" spans="326:327">
      <c r="LN9560" t="str">
        <v/>
      </c>
      <c r="LO9560" t="str">
        <v/>
      </c>
    </row>
    <row r="9561" spans="326:327">
      <c r="LN9561" t="str">
        <v/>
      </c>
      <c r="LO9561" t="str">
        <v/>
      </c>
    </row>
    <row r="9562" spans="326:327">
      <c r="LN9562" t="str">
        <v/>
      </c>
      <c r="LO9562" t="str">
        <v/>
      </c>
    </row>
    <row r="9563" spans="326:327">
      <c r="LN9563" t="str">
        <v/>
      </c>
      <c r="LO9563" t="str">
        <v/>
      </c>
    </row>
    <row r="9564" spans="326:327">
      <c r="LN9564" t="str">
        <v/>
      </c>
      <c r="LO9564" t="str">
        <v/>
      </c>
    </row>
    <row r="9565" spans="326:327">
      <c r="LN9565" t="str">
        <v/>
      </c>
      <c r="LO9565" t="str">
        <v/>
      </c>
    </row>
    <row r="9566" spans="326:327">
      <c r="LN9566" t="str">
        <v/>
      </c>
      <c r="LO9566" t="str">
        <v/>
      </c>
    </row>
    <row r="9567" spans="326:327">
      <c r="LN9567" t="str">
        <v/>
      </c>
      <c r="LO9567" t="str">
        <v/>
      </c>
    </row>
    <row r="9568" spans="326:327">
      <c r="LN9568" t="str">
        <v/>
      </c>
      <c r="LO9568" t="str">
        <v/>
      </c>
    </row>
    <row r="9569" spans="326:327">
      <c r="LN9569" t="str">
        <v/>
      </c>
      <c r="LO9569" t="str">
        <v/>
      </c>
    </row>
    <row r="9570" spans="326:327">
      <c r="LN9570" t="str">
        <v/>
      </c>
      <c r="LO9570" t="str">
        <v/>
      </c>
    </row>
    <row r="9571" spans="326:327">
      <c r="LN9571" t="str">
        <v/>
      </c>
      <c r="LO9571" t="str">
        <v/>
      </c>
    </row>
    <row r="9572" spans="326:327">
      <c r="LN9572" t="str">
        <v/>
      </c>
      <c r="LO9572" t="str">
        <v/>
      </c>
    </row>
    <row r="9573" spans="326:327">
      <c r="LN9573" t="str">
        <v/>
      </c>
      <c r="LO9573" t="str">
        <v/>
      </c>
    </row>
    <row r="9574" spans="326:327">
      <c r="LN9574" t="str">
        <v/>
      </c>
      <c r="LO9574" t="str">
        <v/>
      </c>
    </row>
    <row r="9575" spans="326:327">
      <c r="LN9575" t="str">
        <v/>
      </c>
      <c r="LO9575" t="str">
        <v/>
      </c>
    </row>
    <row r="9576" spans="326:327">
      <c r="LN9576" t="str">
        <v/>
      </c>
      <c r="LO9576" t="str">
        <v/>
      </c>
    </row>
    <row r="9577" spans="326:327">
      <c r="LN9577" t="str">
        <v/>
      </c>
      <c r="LO9577" t="str">
        <v/>
      </c>
    </row>
    <row r="9578" spans="326:327">
      <c r="LN9578" t="str">
        <v/>
      </c>
      <c r="LO9578" t="str">
        <v/>
      </c>
    </row>
    <row r="9579" spans="326:327">
      <c r="LN9579" t="str">
        <v/>
      </c>
      <c r="LO9579" t="str">
        <v/>
      </c>
    </row>
    <row r="9580" spans="326:327">
      <c r="LN9580" t="str">
        <v/>
      </c>
      <c r="LO9580" t="str">
        <v/>
      </c>
    </row>
    <row r="9581" spans="326:327">
      <c r="LN9581" t="str">
        <v/>
      </c>
      <c r="LO9581" t="str">
        <v/>
      </c>
    </row>
    <row r="9582" spans="326:327">
      <c r="LN9582" t="str">
        <v/>
      </c>
      <c r="LO9582" t="str">
        <v/>
      </c>
    </row>
    <row r="9583" spans="326:327">
      <c r="LN9583" t="str">
        <v/>
      </c>
      <c r="LO9583" t="str">
        <v/>
      </c>
    </row>
    <row r="9584" spans="326:327">
      <c r="LN9584" t="str">
        <v/>
      </c>
      <c r="LO9584" t="str">
        <v/>
      </c>
    </row>
    <row r="9585" spans="326:327">
      <c r="LN9585" t="str">
        <v/>
      </c>
      <c r="LO9585" t="str">
        <v/>
      </c>
    </row>
    <row r="9586" spans="326:327">
      <c r="LN9586" t="str">
        <v/>
      </c>
      <c r="LO9586" t="str">
        <v/>
      </c>
    </row>
    <row r="9587" spans="326:327">
      <c r="LN9587" t="str">
        <v/>
      </c>
      <c r="LO9587" t="str">
        <v/>
      </c>
    </row>
    <row r="9588" spans="326:327">
      <c r="LN9588" t="str">
        <v/>
      </c>
      <c r="LO9588" t="str">
        <v/>
      </c>
    </row>
    <row r="9589" spans="326:327">
      <c r="LN9589" t="str">
        <v/>
      </c>
      <c r="LO9589" t="str">
        <v/>
      </c>
    </row>
    <row r="9590" spans="326:327">
      <c r="LN9590" t="str">
        <v/>
      </c>
      <c r="LO9590" t="str">
        <v/>
      </c>
    </row>
    <row r="9591" spans="326:327">
      <c r="LN9591" t="str">
        <v/>
      </c>
      <c r="LO9591" t="str">
        <v/>
      </c>
    </row>
    <row r="9592" spans="326:327">
      <c r="LN9592" t="str">
        <v/>
      </c>
      <c r="LO9592" t="str">
        <v/>
      </c>
    </row>
    <row r="9593" spans="326:327">
      <c r="LN9593" t="str">
        <v/>
      </c>
      <c r="LO9593" t="str">
        <v/>
      </c>
    </row>
    <row r="9594" spans="326:327">
      <c r="LN9594" t="str">
        <v/>
      </c>
      <c r="LO9594" t="str">
        <v/>
      </c>
    </row>
    <row r="9595" spans="326:327">
      <c r="LN9595" t="str">
        <v/>
      </c>
      <c r="LO9595" t="str">
        <v/>
      </c>
    </row>
    <row r="9596" spans="326:327">
      <c r="LN9596" t="str">
        <v/>
      </c>
      <c r="LO9596" t="str">
        <v/>
      </c>
    </row>
    <row r="9597" spans="326:327">
      <c r="LN9597" t="str">
        <v/>
      </c>
      <c r="LO9597" t="str">
        <v/>
      </c>
    </row>
    <row r="9598" spans="326:327">
      <c r="LN9598" t="str">
        <v/>
      </c>
      <c r="LO9598" t="str">
        <v/>
      </c>
    </row>
    <row r="9599" spans="326:327">
      <c r="LN9599" t="str">
        <v/>
      </c>
      <c r="LO9599" t="str">
        <v/>
      </c>
    </row>
    <row r="9600" spans="326:327">
      <c r="LN9600" t="str">
        <v/>
      </c>
      <c r="LO9600" t="str">
        <v/>
      </c>
    </row>
    <row r="9601" spans="326:327">
      <c r="LN9601" t="str">
        <v/>
      </c>
      <c r="LO9601" t="str">
        <v/>
      </c>
    </row>
    <row r="9602" spans="326:327">
      <c r="LN9602" t="str">
        <v/>
      </c>
      <c r="LO9602" t="str">
        <v/>
      </c>
    </row>
    <row r="9603" spans="326:327">
      <c r="LN9603" t="str">
        <v/>
      </c>
      <c r="LO9603" t="str">
        <v/>
      </c>
    </row>
    <row r="9604" spans="326:327">
      <c r="LN9604" t="str">
        <v/>
      </c>
      <c r="LO9604" t="str">
        <v/>
      </c>
    </row>
    <row r="9605" spans="326:327">
      <c r="LN9605" t="str">
        <v/>
      </c>
      <c r="LO9605" t="str">
        <v/>
      </c>
    </row>
    <row r="9606" spans="326:327">
      <c r="LN9606" t="str">
        <v/>
      </c>
      <c r="LO9606" t="str">
        <v/>
      </c>
    </row>
    <row r="9607" spans="326:327">
      <c r="LN9607" t="str">
        <v/>
      </c>
      <c r="LO9607" t="str">
        <v/>
      </c>
    </row>
    <row r="9608" spans="326:327">
      <c r="LN9608" t="str">
        <v/>
      </c>
      <c r="LO9608" t="str">
        <v/>
      </c>
    </row>
    <row r="9609" spans="326:327">
      <c r="LN9609" t="str">
        <v/>
      </c>
      <c r="LO9609" t="str">
        <v/>
      </c>
    </row>
    <row r="9610" spans="326:327">
      <c r="LN9610" t="str">
        <v/>
      </c>
      <c r="LO9610" t="str">
        <v/>
      </c>
    </row>
    <row r="9611" spans="326:327">
      <c r="LN9611" t="str">
        <v/>
      </c>
      <c r="LO9611" t="str">
        <v/>
      </c>
    </row>
    <row r="9612" spans="326:327">
      <c r="LN9612" t="str">
        <v/>
      </c>
      <c r="LO9612" t="str">
        <v/>
      </c>
    </row>
    <row r="9613" spans="326:327">
      <c r="LN9613" t="str">
        <v/>
      </c>
      <c r="LO9613" t="str">
        <v/>
      </c>
    </row>
    <row r="9614" spans="326:327">
      <c r="LN9614" t="str">
        <v/>
      </c>
      <c r="LO9614" t="str">
        <v/>
      </c>
    </row>
    <row r="9615" spans="326:327">
      <c r="LN9615" t="str">
        <v/>
      </c>
      <c r="LO9615" t="str">
        <v/>
      </c>
    </row>
    <row r="9616" spans="326:327">
      <c r="LN9616" t="str">
        <v/>
      </c>
      <c r="LO9616" t="str">
        <v/>
      </c>
    </row>
    <row r="9617" spans="326:327">
      <c r="LN9617" t="str">
        <v/>
      </c>
      <c r="LO9617" t="str">
        <v/>
      </c>
    </row>
    <row r="9618" spans="326:327">
      <c r="LN9618" t="str">
        <v/>
      </c>
      <c r="LO9618" t="str">
        <v/>
      </c>
    </row>
    <row r="9619" spans="326:327">
      <c r="LN9619" t="str">
        <v/>
      </c>
      <c r="LO9619" t="str">
        <v/>
      </c>
    </row>
    <row r="9620" spans="326:327">
      <c r="LN9620" t="str">
        <v/>
      </c>
      <c r="LO9620" t="str">
        <v/>
      </c>
    </row>
    <row r="9621" spans="326:327">
      <c r="LN9621" t="str">
        <v/>
      </c>
      <c r="LO9621" t="str">
        <v/>
      </c>
    </row>
    <row r="9622" spans="326:327">
      <c r="LN9622" t="str">
        <v/>
      </c>
      <c r="LO9622" t="str">
        <v/>
      </c>
    </row>
    <row r="9623" spans="326:327">
      <c r="LN9623" t="str">
        <v/>
      </c>
      <c r="LO9623" t="str">
        <v/>
      </c>
    </row>
    <row r="9624" spans="326:327">
      <c r="LN9624" t="str">
        <v/>
      </c>
      <c r="LO9624" t="str">
        <v/>
      </c>
    </row>
    <row r="9625" spans="326:327">
      <c r="LN9625" t="str">
        <v/>
      </c>
      <c r="LO9625" t="str">
        <v/>
      </c>
    </row>
    <row r="9626" spans="326:327">
      <c r="LN9626" t="str">
        <v/>
      </c>
      <c r="LO9626" t="str">
        <v/>
      </c>
    </row>
    <row r="9627" spans="326:327">
      <c r="LN9627" t="str">
        <v/>
      </c>
      <c r="LO9627" t="str">
        <v/>
      </c>
    </row>
    <row r="9628" spans="326:327">
      <c r="LN9628" t="str">
        <v/>
      </c>
      <c r="LO9628" t="str">
        <v/>
      </c>
    </row>
    <row r="9629" spans="326:327">
      <c r="LN9629" t="str">
        <v/>
      </c>
      <c r="LO9629" t="str">
        <v/>
      </c>
    </row>
    <row r="9630" spans="326:327">
      <c r="LN9630" t="str">
        <v/>
      </c>
      <c r="LO9630" t="str">
        <v/>
      </c>
    </row>
    <row r="9631" spans="326:327">
      <c r="LN9631" t="str">
        <v/>
      </c>
      <c r="LO9631" t="str">
        <v/>
      </c>
    </row>
    <row r="9632" spans="326:327">
      <c r="LN9632" t="str">
        <v/>
      </c>
      <c r="LO9632" t="str">
        <v/>
      </c>
    </row>
    <row r="9633" spans="326:327">
      <c r="LN9633" t="str">
        <v/>
      </c>
      <c r="LO9633" t="str">
        <v/>
      </c>
    </row>
    <row r="9634" spans="326:327">
      <c r="LN9634" t="str">
        <v/>
      </c>
      <c r="LO9634" t="str">
        <v/>
      </c>
    </row>
    <row r="9635" spans="326:327">
      <c r="LN9635" t="str">
        <v/>
      </c>
      <c r="LO9635" t="str">
        <v/>
      </c>
    </row>
    <row r="9636" spans="326:327">
      <c r="LN9636" t="str">
        <v/>
      </c>
      <c r="LO9636" t="str">
        <v/>
      </c>
    </row>
    <row r="9637" spans="326:327">
      <c r="LN9637" t="str">
        <v/>
      </c>
      <c r="LO9637" t="str">
        <v/>
      </c>
    </row>
    <row r="9638" spans="326:327">
      <c r="LN9638" t="str">
        <v/>
      </c>
      <c r="LO9638" t="str">
        <v/>
      </c>
    </row>
    <row r="9639" spans="326:327">
      <c r="LN9639" t="str">
        <v/>
      </c>
      <c r="LO9639" t="str">
        <v/>
      </c>
    </row>
    <row r="9640" spans="326:327">
      <c r="LN9640" t="str">
        <v/>
      </c>
      <c r="LO9640" t="str">
        <v/>
      </c>
    </row>
    <row r="9641" spans="326:327">
      <c r="LN9641" t="str">
        <v/>
      </c>
      <c r="LO9641" t="str">
        <v/>
      </c>
    </row>
    <row r="9642" spans="326:327">
      <c r="LN9642" t="str">
        <v/>
      </c>
      <c r="LO9642" t="str">
        <v/>
      </c>
    </row>
    <row r="9643" spans="326:327">
      <c r="LN9643" t="str">
        <v/>
      </c>
      <c r="LO9643" t="str">
        <v/>
      </c>
    </row>
    <row r="9644" spans="326:327">
      <c r="LN9644" t="str">
        <v/>
      </c>
      <c r="LO9644" t="str">
        <v/>
      </c>
    </row>
    <row r="9645" spans="326:327">
      <c r="LN9645" t="str">
        <v/>
      </c>
      <c r="LO9645" t="str">
        <v/>
      </c>
    </row>
    <row r="9646" spans="326:327">
      <c r="LN9646" t="str">
        <v/>
      </c>
      <c r="LO9646" t="str">
        <v/>
      </c>
    </row>
    <row r="9647" spans="326:327">
      <c r="LN9647" t="str">
        <v/>
      </c>
      <c r="LO9647" t="str">
        <v/>
      </c>
    </row>
    <row r="9648" spans="326:327">
      <c r="LN9648" t="str">
        <v/>
      </c>
      <c r="LO9648" t="str">
        <v/>
      </c>
    </row>
    <row r="9649" spans="326:327">
      <c r="LN9649" t="str">
        <v/>
      </c>
      <c r="LO9649" t="str">
        <v/>
      </c>
    </row>
    <row r="9650" spans="326:327">
      <c r="LN9650" t="str">
        <v/>
      </c>
      <c r="LO9650" t="str">
        <v/>
      </c>
    </row>
    <row r="9651" spans="326:327">
      <c r="LN9651" t="str">
        <v/>
      </c>
      <c r="LO9651" t="str">
        <v/>
      </c>
    </row>
    <row r="9652" spans="326:327">
      <c r="LN9652" t="str">
        <v/>
      </c>
      <c r="LO9652" t="str">
        <v/>
      </c>
    </row>
    <row r="9653" spans="326:327">
      <c r="LN9653" t="str">
        <v/>
      </c>
      <c r="LO9653" t="str">
        <v/>
      </c>
    </row>
    <row r="9654" spans="326:327">
      <c r="LN9654" t="str">
        <v/>
      </c>
      <c r="LO9654" t="str">
        <v/>
      </c>
    </row>
    <row r="9655" spans="326:327">
      <c r="LN9655" t="str">
        <v/>
      </c>
      <c r="LO9655" t="str">
        <v/>
      </c>
    </row>
    <row r="9656" spans="326:327">
      <c r="LN9656" t="str">
        <v/>
      </c>
      <c r="LO9656" t="str">
        <v/>
      </c>
    </row>
    <row r="9657" spans="326:327">
      <c r="LN9657" t="str">
        <v/>
      </c>
      <c r="LO9657" t="str">
        <v/>
      </c>
    </row>
    <row r="9658" spans="326:327">
      <c r="LN9658" t="str">
        <v/>
      </c>
      <c r="LO9658" t="str">
        <v/>
      </c>
    </row>
    <row r="9659" spans="326:327">
      <c r="LN9659" t="str">
        <v/>
      </c>
      <c r="LO9659" t="str">
        <v/>
      </c>
    </row>
    <row r="9660" spans="326:327">
      <c r="LN9660" t="str">
        <v/>
      </c>
      <c r="LO9660" t="str">
        <v/>
      </c>
    </row>
    <row r="9661" spans="326:327">
      <c r="LN9661" t="str">
        <v/>
      </c>
      <c r="LO9661" t="str">
        <v/>
      </c>
    </row>
    <row r="9662" spans="326:327">
      <c r="LN9662" t="str">
        <v/>
      </c>
      <c r="LO9662" t="str">
        <v/>
      </c>
    </row>
    <row r="9663" spans="326:327">
      <c r="LN9663" t="str">
        <v/>
      </c>
      <c r="LO9663" t="str">
        <v/>
      </c>
    </row>
    <row r="9664" spans="326:327">
      <c r="LN9664" t="str">
        <v/>
      </c>
      <c r="LO9664" t="str">
        <v/>
      </c>
    </row>
    <row r="9665" spans="326:327">
      <c r="LN9665" t="str">
        <v/>
      </c>
      <c r="LO9665" t="str">
        <v/>
      </c>
    </row>
    <row r="9666" spans="326:327">
      <c r="LN9666" t="str">
        <v/>
      </c>
      <c r="LO9666" t="str">
        <v/>
      </c>
    </row>
    <row r="9667" spans="326:327">
      <c r="LN9667" t="str">
        <v/>
      </c>
      <c r="LO9667" t="str">
        <v/>
      </c>
    </row>
    <row r="9668" spans="326:327">
      <c r="LN9668" t="str">
        <v/>
      </c>
      <c r="LO9668" t="str">
        <v/>
      </c>
    </row>
    <row r="9669" spans="326:327">
      <c r="LN9669" t="str">
        <v/>
      </c>
      <c r="LO9669" t="str">
        <v/>
      </c>
    </row>
    <row r="9670" spans="326:327">
      <c r="LN9670" t="str">
        <v/>
      </c>
      <c r="LO9670" t="str">
        <v/>
      </c>
    </row>
    <row r="9671" spans="326:327">
      <c r="LN9671" t="str">
        <v/>
      </c>
      <c r="LO9671" t="str">
        <v/>
      </c>
    </row>
    <row r="9672" spans="326:327">
      <c r="LN9672" t="str">
        <v/>
      </c>
      <c r="LO9672" t="str">
        <v/>
      </c>
    </row>
    <row r="9673" spans="326:327">
      <c r="LN9673" t="str">
        <v/>
      </c>
      <c r="LO9673" t="str">
        <v/>
      </c>
    </row>
    <row r="9674" spans="326:327">
      <c r="LN9674" t="str">
        <v/>
      </c>
      <c r="LO9674" t="str">
        <v/>
      </c>
    </row>
    <row r="9675" spans="326:327">
      <c r="LN9675" t="str">
        <v/>
      </c>
      <c r="LO9675" t="str">
        <v/>
      </c>
    </row>
    <row r="9676" spans="326:327">
      <c r="LN9676" t="str">
        <v/>
      </c>
      <c r="LO9676" t="str">
        <v/>
      </c>
    </row>
    <row r="9677" spans="326:327">
      <c r="LN9677" t="str">
        <v/>
      </c>
      <c r="LO9677" t="str">
        <v/>
      </c>
    </row>
    <row r="9678" spans="326:327">
      <c r="LN9678" t="str">
        <v/>
      </c>
      <c r="LO9678" t="str">
        <v/>
      </c>
    </row>
    <row r="9679" spans="326:327">
      <c r="LN9679" t="str">
        <v/>
      </c>
      <c r="LO9679" t="str">
        <v/>
      </c>
    </row>
    <row r="9680" spans="326:327">
      <c r="LN9680" t="str">
        <v/>
      </c>
      <c r="LO9680" t="str">
        <v/>
      </c>
    </row>
    <row r="9681" spans="326:327">
      <c r="LN9681" t="str">
        <v/>
      </c>
      <c r="LO9681" t="str">
        <v/>
      </c>
    </row>
    <row r="9682" spans="326:327">
      <c r="LN9682" t="str">
        <v/>
      </c>
      <c r="LO9682" t="str">
        <v/>
      </c>
    </row>
    <row r="9683" spans="326:327">
      <c r="LN9683" t="str">
        <v/>
      </c>
      <c r="LO9683" t="str">
        <v/>
      </c>
    </row>
    <row r="9684" spans="326:327">
      <c r="LN9684" t="str">
        <v/>
      </c>
      <c r="LO9684" t="str">
        <v/>
      </c>
    </row>
    <row r="9685" spans="326:327">
      <c r="LN9685" t="str">
        <v/>
      </c>
      <c r="LO9685" t="str">
        <v/>
      </c>
    </row>
    <row r="9686" spans="326:327">
      <c r="LN9686" t="str">
        <v/>
      </c>
      <c r="LO9686" t="str">
        <v/>
      </c>
    </row>
    <row r="9687" spans="326:327">
      <c r="LN9687" t="str">
        <v/>
      </c>
      <c r="LO9687" t="str">
        <v/>
      </c>
    </row>
    <row r="9688" spans="326:327">
      <c r="LN9688" t="str">
        <v/>
      </c>
      <c r="LO9688" t="str">
        <v/>
      </c>
    </row>
    <row r="9689" spans="326:327">
      <c r="LN9689" t="str">
        <v/>
      </c>
      <c r="LO9689" t="str">
        <v/>
      </c>
    </row>
    <row r="9690" spans="326:327">
      <c r="LN9690" t="str">
        <v/>
      </c>
      <c r="LO9690" t="str">
        <v/>
      </c>
    </row>
    <row r="9691" spans="326:327">
      <c r="LN9691" t="str">
        <v/>
      </c>
      <c r="LO9691" t="str">
        <v/>
      </c>
    </row>
    <row r="9692" spans="326:327">
      <c r="LN9692" t="str">
        <v/>
      </c>
      <c r="LO9692" t="str">
        <v/>
      </c>
    </row>
    <row r="9693" spans="326:327">
      <c r="LN9693" t="str">
        <v/>
      </c>
      <c r="LO9693" t="str">
        <v/>
      </c>
    </row>
    <row r="9694" spans="326:327">
      <c r="LN9694" t="str">
        <v/>
      </c>
      <c r="LO9694" t="str">
        <v/>
      </c>
    </row>
    <row r="9695" spans="326:327">
      <c r="LN9695" t="str">
        <v/>
      </c>
      <c r="LO9695" t="str">
        <v/>
      </c>
    </row>
    <row r="9696" spans="326:327">
      <c r="LN9696" t="str">
        <v/>
      </c>
      <c r="LO9696" t="str">
        <v/>
      </c>
    </row>
    <row r="9697" spans="326:327">
      <c r="LN9697" t="str">
        <v/>
      </c>
      <c r="LO9697" t="str">
        <v/>
      </c>
    </row>
    <row r="9698" spans="326:327">
      <c r="LN9698" t="str">
        <v/>
      </c>
      <c r="LO9698" t="str">
        <v/>
      </c>
    </row>
    <row r="9699" spans="326:327">
      <c r="LN9699" t="str">
        <v/>
      </c>
      <c r="LO9699" t="str">
        <v/>
      </c>
    </row>
    <row r="9700" spans="326:327">
      <c r="LN9700" t="str">
        <v/>
      </c>
      <c r="LO9700" t="str">
        <v/>
      </c>
    </row>
    <row r="9701" spans="326:327">
      <c r="LN9701" t="str">
        <v/>
      </c>
      <c r="LO9701" t="str">
        <v/>
      </c>
    </row>
    <row r="9702" spans="326:327">
      <c r="LN9702" t="str">
        <v/>
      </c>
      <c r="LO9702" t="str">
        <v/>
      </c>
    </row>
    <row r="9703" spans="326:327">
      <c r="LN9703" t="str">
        <v/>
      </c>
      <c r="LO9703" t="str">
        <v/>
      </c>
    </row>
    <row r="9704" spans="326:327">
      <c r="LN9704" t="str">
        <v/>
      </c>
      <c r="LO9704" t="str">
        <v/>
      </c>
    </row>
    <row r="9705" spans="326:327">
      <c r="LN9705" t="str">
        <v/>
      </c>
      <c r="LO9705" t="str">
        <v/>
      </c>
    </row>
    <row r="9706" spans="326:327">
      <c r="LN9706" t="str">
        <v/>
      </c>
      <c r="LO9706" t="str">
        <v/>
      </c>
    </row>
    <row r="9707" spans="326:327">
      <c r="LN9707" t="str">
        <v/>
      </c>
      <c r="LO9707" t="str">
        <v/>
      </c>
    </row>
    <row r="9708" spans="326:327">
      <c r="LN9708" t="str">
        <v/>
      </c>
      <c r="LO9708" t="str">
        <v/>
      </c>
    </row>
    <row r="9709" spans="326:327">
      <c r="LN9709" t="str">
        <v/>
      </c>
      <c r="LO9709" t="str">
        <v/>
      </c>
    </row>
    <row r="9710" spans="326:327">
      <c r="LN9710" t="str">
        <v/>
      </c>
      <c r="LO9710" t="str">
        <v/>
      </c>
    </row>
    <row r="9711" spans="326:327">
      <c r="LN9711" t="str">
        <v/>
      </c>
      <c r="LO9711" t="str">
        <v/>
      </c>
    </row>
    <row r="9712" spans="326:327">
      <c r="LN9712" t="str">
        <v/>
      </c>
      <c r="LO9712" t="str">
        <v/>
      </c>
    </row>
    <row r="9713" spans="326:327">
      <c r="LN9713" t="str">
        <v/>
      </c>
      <c r="LO9713" t="str">
        <v/>
      </c>
    </row>
    <row r="9714" spans="326:327">
      <c r="LN9714" t="str">
        <v/>
      </c>
      <c r="LO9714" t="str">
        <v/>
      </c>
    </row>
    <row r="9715" spans="326:327">
      <c r="LN9715" t="str">
        <v/>
      </c>
      <c r="LO9715" t="str">
        <v/>
      </c>
    </row>
    <row r="9716" spans="326:327">
      <c r="LN9716" t="str">
        <v/>
      </c>
      <c r="LO9716" t="str">
        <v/>
      </c>
    </row>
    <row r="9717" spans="326:327">
      <c r="LN9717" t="str">
        <v/>
      </c>
      <c r="LO9717" t="str">
        <v/>
      </c>
    </row>
    <row r="9718" spans="326:327">
      <c r="LN9718" t="str">
        <v/>
      </c>
      <c r="LO9718" t="str">
        <v/>
      </c>
    </row>
    <row r="9719" spans="326:327">
      <c r="LN9719" t="str">
        <v/>
      </c>
      <c r="LO9719" t="str">
        <v/>
      </c>
    </row>
    <row r="9720" spans="326:327">
      <c r="LN9720" t="str">
        <v/>
      </c>
      <c r="LO9720" t="str">
        <v/>
      </c>
    </row>
    <row r="9721" spans="326:327">
      <c r="LN9721" t="str">
        <v/>
      </c>
      <c r="LO9721" t="str">
        <v/>
      </c>
    </row>
    <row r="9722" spans="326:327">
      <c r="LN9722" t="str">
        <v/>
      </c>
      <c r="LO9722" t="str">
        <v/>
      </c>
    </row>
    <row r="9723" spans="326:327">
      <c r="LN9723" t="str">
        <v/>
      </c>
      <c r="LO9723" t="str">
        <v/>
      </c>
    </row>
    <row r="9724" spans="326:327">
      <c r="LN9724" t="str">
        <v/>
      </c>
      <c r="LO9724" t="str">
        <v/>
      </c>
    </row>
    <row r="9725" spans="326:327">
      <c r="LN9725" t="str">
        <v/>
      </c>
      <c r="LO9725" t="str">
        <v/>
      </c>
    </row>
    <row r="9726" spans="326:327">
      <c r="LN9726" t="str">
        <v/>
      </c>
      <c r="LO9726" t="str">
        <v/>
      </c>
    </row>
    <row r="9727" spans="326:327">
      <c r="LN9727" t="str">
        <v/>
      </c>
      <c r="LO9727" t="str">
        <v/>
      </c>
    </row>
    <row r="9728" spans="326:327">
      <c r="LN9728" t="str">
        <v/>
      </c>
      <c r="LO9728" t="str">
        <v/>
      </c>
    </row>
    <row r="9729" spans="326:327">
      <c r="LN9729" t="str">
        <v/>
      </c>
      <c r="LO9729" t="str">
        <v/>
      </c>
    </row>
    <row r="9730" spans="326:327">
      <c r="LN9730" t="str">
        <v/>
      </c>
      <c r="LO9730" t="str">
        <v/>
      </c>
    </row>
    <row r="9731" spans="326:327">
      <c r="LN9731" t="str">
        <v/>
      </c>
      <c r="LO9731" t="str">
        <v/>
      </c>
    </row>
    <row r="9732" spans="326:327">
      <c r="LN9732" t="str">
        <v/>
      </c>
      <c r="LO9732" t="str">
        <v/>
      </c>
    </row>
    <row r="9733" spans="326:327">
      <c r="LN9733" t="str">
        <v/>
      </c>
      <c r="LO9733" t="str">
        <v/>
      </c>
    </row>
    <row r="9734" spans="326:327">
      <c r="LN9734" t="str">
        <v/>
      </c>
      <c r="LO9734" t="str">
        <v/>
      </c>
    </row>
    <row r="9735" spans="326:327">
      <c r="LN9735" t="str">
        <v/>
      </c>
      <c r="LO9735" t="str">
        <v/>
      </c>
    </row>
    <row r="9736" spans="326:327">
      <c r="LN9736" t="str">
        <v/>
      </c>
      <c r="LO9736" t="str">
        <v/>
      </c>
    </row>
    <row r="9737" spans="326:327">
      <c r="LN9737" t="str">
        <v/>
      </c>
      <c r="LO9737" t="str">
        <v/>
      </c>
    </row>
    <row r="9738" spans="326:327">
      <c r="LN9738" t="str">
        <v/>
      </c>
      <c r="LO9738" t="str">
        <v/>
      </c>
    </row>
    <row r="9739" spans="326:327">
      <c r="LN9739" t="str">
        <v/>
      </c>
      <c r="LO9739" t="str">
        <v/>
      </c>
    </row>
    <row r="9740" spans="326:327">
      <c r="LN9740" t="str">
        <v/>
      </c>
      <c r="LO9740" t="str">
        <v/>
      </c>
    </row>
    <row r="9741" spans="326:327">
      <c r="LN9741" t="str">
        <v/>
      </c>
      <c r="LO9741" t="str">
        <v/>
      </c>
    </row>
    <row r="9742" spans="326:327">
      <c r="LN9742" t="str">
        <v/>
      </c>
      <c r="LO9742" t="str">
        <v/>
      </c>
    </row>
    <row r="9743" spans="326:327">
      <c r="LN9743" t="str">
        <v/>
      </c>
      <c r="LO9743" t="str">
        <v/>
      </c>
    </row>
    <row r="9744" spans="326:327">
      <c r="LN9744" t="str">
        <v/>
      </c>
      <c r="LO9744" t="str">
        <v/>
      </c>
    </row>
    <row r="9745" spans="326:327">
      <c r="LN9745" t="str">
        <v/>
      </c>
      <c r="LO9745" t="str">
        <v/>
      </c>
    </row>
    <row r="9746" spans="326:327">
      <c r="LN9746" t="str">
        <v/>
      </c>
      <c r="LO9746" t="str">
        <v/>
      </c>
    </row>
    <row r="9747" spans="326:327">
      <c r="LN9747" t="str">
        <v/>
      </c>
      <c r="LO9747" t="str">
        <v/>
      </c>
    </row>
    <row r="9748" spans="326:327">
      <c r="LN9748" t="str">
        <v/>
      </c>
      <c r="LO9748" t="str">
        <v/>
      </c>
    </row>
    <row r="9749" spans="326:327">
      <c r="LN9749" t="str">
        <v/>
      </c>
      <c r="LO9749" t="str">
        <v/>
      </c>
    </row>
    <row r="9750" spans="326:327">
      <c r="LN9750" t="str">
        <v/>
      </c>
      <c r="LO9750" t="str">
        <v/>
      </c>
    </row>
    <row r="9751" spans="326:327">
      <c r="LN9751" t="str">
        <v/>
      </c>
      <c r="LO9751" t="str">
        <v/>
      </c>
    </row>
    <row r="9752" spans="326:327">
      <c r="LN9752" t="str">
        <v/>
      </c>
      <c r="LO9752" t="str">
        <v/>
      </c>
    </row>
    <row r="9753" spans="326:327">
      <c r="LN9753" t="str">
        <v/>
      </c>
      <c r="LO9753" t="str">
        <v/>
      </c>
    </row>
    <row r="9754" spans="326:327">
      <c r="LN9754" t="str">
        <v/>
      </c>
      <c r="LO9754" t="str">
        <v/>
      </c>
    </row>
    <row r="9755" spans="326:327">
      <c r="LN9755" t="str">
        <v/>
      </c>
      <c r="LO9755" t="str">
        <v/>
      </c>
    </row>
    <row r="9756" spans="326:327">
      <c r="LN9756" t="str">
        <v/>
      </c>
      <c r="LO9756" t="str">
        <v/>
      </c>
    </row>
    <row r="9757" spans="326:327">
      <c r="LN9757" t="str">
        <v/>
      </c>
      <c r="LO9757" t="str">
        <v/>
      </c>
    </row>
    <row r="9758" spans="326:327">
      <c r="LN9758" t="str">
        <v/>
      </c>
      <c r="LO9758" t="str">
        <v/>
      </c>
    </row>
    <row r="9759" spans="326:327">
      <c r="LN9759" t="str">
        <v/>
      </c>
      <c r="LO9759" t="str">
        <v/>
      </c>
    </row>
    <row r="9760" spans="326:327">
      <c r="LN9760" t="str">
        <v/>
      </c>
      <c r="LO9760" t="str">
        <v/>
      </c>
    </row>
    <row r="9761" spans="326:327">
      <c r="LN9761" t="str">
        <v/>
      </c>
      <c r="LO9761" t="str">
        <v/>
      </c>
    </row>
    <row r="9762" spans="326:327">
      <c r="LN9762" t="str">
        <v/>
      </c>
      <c r="LO9762" t="str">
        <v/>
      </c>
    </row>
    <row r="9763" spans="326:327">
      <c r="LN9763" t="str">
        <v/>
      </c>
      <c r="LO9763" t="str">
        <v/>
      </c>
    </row>
    <row r="9764" spans="326:327">
      <c r="LN9764" t="str">
        <v/>
      </c>
      <c r="LO9764" t="str">
        <v/>
      </c>
    </row>
    <row r="9765" spans="326:327">
      <c r="LN9765" t="str">
        <v/>
      </c>
      <c r="LO9765" t="str">
        <v/>
      </c>
    </row>
    <row r="9766" spans="326:327">
      <c r="LN9766" t="str">
        <v/>
      </c>
      <c r="LO9766" t="str">
        <v/>
      </c>
    </row>
    <row r="9767" spans="326:327">
      <c r="LN9767" t="str">
        <v/>
      </c>
      <c r="LO9767" t="str">
        <v/>
      </c>
    </row>
    <row r="9768" spans="326:327">
      <c r="LN9768" t="str">
        <v/>
      </c>
      <c r="LO9768" t="str">
        <v/>
      </c>
    </row>
    <row r="9769" spans="326:327">
      <c r="LN9769" t="str">
        <v/>
      </c>
      <c r="LO9769" t="str">
        <v/>
      </c>
    </row>
    <row r="9770" spans="326:327">
      <c r="LN9770" t="str">
        <v/>
      </c>
      <c r="LO9770" t="str">
        <v/>
      </c>
    </row>
    <row r="9771" spans="326:327">
      <c r="LN9771" t="str">
        <v/>
      </c>
      <c r="LO9771" t="str">
        <v/>
      </c>
    </row>
    <row r="9772" spans="326:327">
      <c r="LN9772" t="str">
        <v/>
      </c>
      <c r="LO9772" t="str">
        <v/>
      </c>
    </row>
    <row r="9773" spans="326:327">
      <c r="LN9773" t="str">
        <v/>
      </c>
      <c r="LO9773" t="str">
        <v/>
      </c>
    </row>
    <row r="9774" spans="326:327">
      <c r="LN9774" t="str">
        <v/>
      </c>
      <c r="LO9774" t="str">
        <v/>
      </c>
    </row>
    <row r="9775" spans="326:327">
      <c r="LN9775" t="str">
        <v/>
      </c>
      <c r="LO9775" t="str">
        <v/>
      </c>
    </row>
    <row r="9776" spans="326:327">
      <c r="LN9776" t="str">
        <v/>
      </c>
      <c r="LO9776" t="str">
        <v/>
      </c>
    </row>
    <row r="9777" spans="326:327">
      <c r="LN9777" t="str">
        <v/>
      </c>
      <c r="LO9777" t="str">
        <v/>
      </c>
    </row>
    <row r="9778" spans="326:327">
      <c r="LN9778" t="str">
        <v/>
      </c>
      <c r="LO9778" t="str">
        <v/>
      </c>
    </row>
    <row r="9779" spans="326:327">
      <c r="LN9779" t="str">
        <v/>
      </c>
      <c r="LO9779" t="str">
        <v/>
      </c>
    </row>
    <row r="9780" spans="326:327">
      <c r="LN9780" t="str">
        <v/>
      </c>
      <c r="LO9780" t="str">
        <v/>
      </c>
    </row>
    <row r="9781" spans="326:327">
      <c r="LN9781" t="str">
        <v/>
      </c>
      <c r="LO9781" t="str">
        <v/>
      </c>
    </row>
    <row r="9782" spans="326:327">
      <c r="LN9782" t="str">
        <v/>
      </c>
      <c r="LO9782" t="str">
        <v/>
      </c>
    </row>
    <row r="9783" spans="326:327">
      <c r="LN9783" t="str">
        <v/>
      </c>
      <c r="LO9783" t="str">
        <v/>
      </c>
    </row>
    <row r="9784" spans="326:327">
      <c r="LN9784" t="str">
        <v/>
      </c>
      <c r="LO9784" t="str">
        <v/>
      </c>
    </row>
    <row r="9785" spans="326:327">
      <c r="LN9785" t="str">
        <v/>
      </c>
      <c r="LO9785" t="str">
        <v/>
      </c>
    </row>
    <row r="9786" spans="326:327">
      <c r="LN9786" t="str">
        <v/>
      </c>
      <c r="LO9786" t="str">
        <v/>
      </c>
    </row>
    <row r="9787" spans="326:327">
      <c r="LN9787" t="str">
        <v/>
      </c>
      <c r="LO9787" t="str">
        <v/>
      </c>
    </row>
    <row r="9788" spans="326:327">
      <c r="LN9788" t="str">
        <v/>
      </c>
      <c r="LO9788" t="str">
        <v/>
      </c>
    </row>
    <row r="9789" spans="326:327">
      <c r="LN9789" t="str">
        <v/>
      </c>
      <c r="LO9789" t="str">
        <v/>
      </c>
    </row>
    <row r="9790" spans="326:327">
      <c r="LN9790" t="str">
        <v/>
      </c>
      <c r="LO9790" t="str">
        <v/>
      </c>
    </row>
    <row r="9791" spans="326:327">
      <c r="LN9791" t="str">
        <v/>
      </c>
      <c r="LO9791" t="str">
        <v/>
      </c>
    </row>
    <row r="9792" spans="326:327">
      <c r="LN9792" t="str">
        <v/>
      </c>
      <c r="LO9792" t="str">
        <v/>
      </c>
    </row>
    <row r="9793" spans="326:327">
      <c r="LN9793" t="str">
        <v/>
      </c>
      <c r="LO9793" t="str">
        <v/>
      </c>
    </row>
    <row r="9794" spans="326:327">
      <c r="LN9794" t="str">
        <v/>
      </c>
      <c r="LO9794" t="str">
        <v/>
      </c>
    </row>
    <row r="9795" spans="326:327">
      <c r="LN9795" t="str">
        <v/>
      </c>
      <c r="LO9795" t="str">
        <v/>
      </c>
    </row>
    <row r="9796" spans="326:327">
      <c r="LN9796" t="str">
        <v/>
      </c>
      <c r="LO9796" t="str">
        <v/>
      </c>
    </row>
    <row r="9797" spans="326:327">
      <c r="LN9797" t="str">
        <v/>
      </c>
      <c r="LO9797" t="str">
        <v/>
      </c>
    </row>
    <row r="9798" spans="326:327">
      <c r="LN9798" t="str">
        <v/>
      </c>
      <c r="LO9798" t="str">
        <v/>
      </c>
    </row>
    <row r="9799" spans="326:327">
      <c r="LN9799" t="str">
        <v/>
      </c>
      <c r="LO9799" t="str">
        <v/>
      </c>
    </row>
    <row r="9800" spans="326:327">
      <c r="LN9800" t="str">
        <v/>
      </c>
      <c r="LO9800" t="str">
        <v/>
      </c>
    </row>
    <row r="9801" spans="326:327">
      <c r="LN9801" t="str">
        <v/>
      </c>
      <c r="LO9801" t="str">
        <v/>
      </c>
    </row>
    <row r="9802" spans="326:327">
      <c r="LN9802" t="str">
        <v/>
      </c>
      <c r="LO9802" t="str">
        <v/>
      </c>
    </row>
    <row r="9803" spans="326:327">
      <c r="LN9803" t="str">
        <v/>
      </c>
      <c r="LO9803" t="str">
        <v/>
      </c>
    </row>
    <row r="9804" spans="326:327">
      <c r="LN9804" t="str">
        <v/>
      </c>
      <c r="LO9804" t="str">
        <v/>
      </c>
    </row>
    <row r="9805" spans="326:327">
      <c r="LN9805" t="str">
        <v/>
      </c>
      <c r="LO9805" t="str">
        <v/>
      </c>
    </row>
    <row r="9806" spans="326:327">
      <c r="LN9806" t="str">
        <v/>
      </c>
      <c r="LO9806" t="str">
        <v/>
      </c>
    </row>
    <row r="9807" spans="326:327">
      <c r="LN9807" t="str">
        <v/>
      </c>
      <c r="LO9807" t="str">
        <v/>
      </c>
    </row>
    <row r="9808" spans="326:327">
      <c r="LN9808" t="str">
        <v/>
      </c>
      <c r="LO9808" t="str">
        <v/>
      </c>
    </row>
    <row r="9809" spans="326:327">
      <c r="LN9809" t="str">
        <v/>
      </c>
      <c r="LO9809" t="str">
        <v/>
      </c>
    </row>
    <row r="9810" spans="326:327">
      <c r="LN9810" t="str">
        <v/>
      </c>
      <c r="LO9810" t="str">
        <v/>
      </c>
    </row>
    <row r="9811" spans="326:327">
      <c r="LN9811" t="str">
        <v/>
      </c>
      <c r="LO9811" t="str">
        <v/>
      </c>
    </row>
    <row r="9812" spans="326:327">
      <c r="LN9812" t="str">
        <v/>
      </c>
      <c r="LO9812" t="str">
        <v/>
      </c>
    </row>
    <row r="9813" spans="326:327">
      <c r="LN9813" t="str">
        <v/>
      </c>
      <c r="LO9813" t="str">
        <v/>
      </c>
    </row>
    <row r="9814" spans="326:327">
      <c r="LN9814" t="str">
        <v/>
      </c>
      <c r="LO9814" t="str">
        <v/>
      </c>
    </row>
    <row r="9815" spans="326:327">
      <c r="LN9815" t="str">
        <v/>
      </c>
      <c r="LO9815" t="str">
        <v/>
      </c>
    </row>
    <row r="9816" spans="326:327">
      <c r="LN9816" t="str">
        <v/>
      </c>
      <c r="LO9816" t="str">
        <v/>
      </c>
    </row>
    <row r="9817" spans="326:327">
      <c r="LN9817" t="str">
        <v/>
      </c>
      <c r="LO9817" t="str">
        <v/>
      </c>
    </row>
    <row r="9818" spans="326:327">
      <c r="LN9818" t="str">
        <v/>
      </c>
      <c r="LO9818" t="str">
        <v/>
      </c>
    </row>
    <row r="9819" spans="326:327">
      <c r="LN9819" t="str">
        <v/>
      </c>
      <c r="LO9819" t="str">
        <v/>
      </c>
    </row>
    <row r="9820" spans="326:327">
      <c r="LN9820" t="str">
        <v/>
      </c>
      <c r="LO9820" t="str">
        <v/>
      </c>
    </row>
    <row r="9821" spans="326:327">
      <c r="LN9821" t="str">
        <v/>
      </c>
      <c r="LO9821" t="str">
        <v/>
      </c>
    </row>
    <row r="9822" spans="326:327">
      <c r="LN9822" t="str">
        <v/>
      </c>
      <c r="LO9822" t="str">
        <v/>
      </c>
    </row>
    <row r="9823" spans="326:327">
      <c r="LN9823" t="str">
        <v/>
      </c>
      <c r="LO9823" t="str">
        <v/>
      </c>
    </row>
    <row r="9824" spans="326:327">
      <c r="LN9824" t="str">
        <v/>
      </c>
      <c r="LO9824" t="str">
        <v/>
      </c>
    </row>
    <row r="9825" spans="326:327">
      <c r="LN9825" t="str">
        <v/>
      </c>
      <c r="LO9825" t="str">
        <v/>
      </c>
    </row>
    <row r="9826" spans="326:327">
      <c r="LN9826" t="str">
        <v/>
      </c>
      <c r="LO9826" t="str">
        <v/>
      </c>
    </row>
    <row r="9827" spans="326:327">
      <c r="LN9827" t="str">
        <v/>
      </c>
      <c r="LO9827" t="str">
        <v/>
      </c>
    </row>
    <row r="9828" spans="326:327">
      <c r="LN9828" t="str">
        <v/>
      </c>
      <c r="LO9828" t="str">
        <v/>
      </c>
    </row>
    <row r="9829" spans="326:327">
      <c r="LN9829" t="str">
        <v/>
      </c>
      <c r="LO9829" t="str">
        <v/>
      </c>
    </row>
    <row r="9830" spans="326:327">
      <c r="LN9830" t="str">
        <v/>
      </c>
      <c r="LO9830" t="str">
        <v/>
      </c>
    </row>
    <row r="9831" spans="326:327">
      <c r="LN9831" t="str">
        <v/>
      </c>
      <c r="LO9831" t="str">
        <v/>
      </c>
    </row>
    <row r="9832" spans="326:327">
      <c r="LN9832" t="str">
        <v/>
      </c>
      <c r="LO9832" t="str">
        <v/>
      </c>
    </row>
    <row r="9833" spans="326:327">
      <c r="LN9833" t="str">
        <v/>
      </c>
      <c r="LO9833" t="str">
        <v/>
      </c>
    </row>
    <row r="9834" spans="326:327">
      <c r="LN9834" t="str">
        <v/>
      </c>
      <c r="LO9834" t="str">
        <v/>
      </c>
    </row>
    <row r="9835" spans="326:327">
      <c r="LN9835" t="str">
        <v/>
      </c>
      <c r="LO9835" t="str">
        <v/>
      </c>
    </row>
    <row r="9836" spans="326:327">
      <c r="LN9836" t="str">
        <v/>
      </c>
      <c r="LO9836" t="str">
        <v/>
      </c>
    </row>
    <row r="9837" spans="326:327">
      <c r="LN9837" t="str">
        <v/>
      </c>
      <c r="LO9837" t="str">
        <v/>
      </c>
    </row>
    <row r="9838" spans="326:327">
      <c r="LN9838" t="str">
        <v/>
      </c>
      <c r="LO9838" t="str">
        <v/>
      </c>
    </row>
    <row r="9839" spans="326:327">
      <c r="LN9839" t="str">
        <v/>
      </c>
      <c r="LO9839" t="str">
        <v/>
      </c>
    </row>
    <row r="9840" spans="326:327">
      <c r="LN9840" t="str">
        <v/>
      </c>
      <c r="LO9840" t="str">
        <v/>
      </c>
    </row>
    <row r="9841" spans="326:327">
      <c r="LN9841" t="str">
        <v/>
      </c>
      <c r="LO9841" t="str">
        <v/>
      </c>
    </row>
    <row r="9842" spans="326:327">
      <c r="LN9842" t="str">
        <v/>
      </c>
      <c r="LO9842" t="str">
        <v/>
      </c>
    </row>
    <row r="9843" spans="326:327">
      <c r="LN9843" t="str">
        <v/>
      </c>
      <c r="LO9843" t="str">
        <v/>
      </c>
    </row>
    <row r="9844" spans="326:327">
      <c r="LN9844" t="str">
        <v/>
      </c>
      <c r="LO9844" t="str">
        <v/>
      </c>
    </row>
    <row r="9845" spans="326:327">
      <c r="LN9845" t="str">
        <v/>
      </c>
      <c r="LO9845" t="str">
        <v/>
      </c>
    </row>
    <row r="9846" spans="326:327">
      <c r="LN9846" t="str">
        <v/>
      </c>
      <c r="LO9846" t="str">
        <v/>
      </c>
    </row>
    <row r="9847" spans="326:327">
      <c r="LN9847" t="str">
        <v/>
      </c>
      <c r="LO9847" t="str">
        <v/>
      </c>
    </row>
    <row r="9848" spans="326:327">
      <c r="LN9848" t="str">
        <v/>
      </c>
      <c r="LO9848" t="str">
        <v/>
      </c>
    </row>
    <row r="9849" spans="326:327">
      <c r="LN9849" t="str">
        <v/>
      </c>
      <c r="LO9849" t="str">
        <v/>
      </c>
    </row>
    <row r="9850" spans="326:327">
      <c r="LN9850" t="str">
        <v/>
      </c>
      <c r="LO9850" t="str">
        <v/>
      </c>
    </row>
    <row r="9851" spans="326:327">
      <c r="LN9851" t="str">
        <v/>
      </c>
      <c r="LO9851" t="str">
        <v/>
      </c>
    </row>
    <row r="9852" spans="326:327">
      <c r="LN9852" t="str">
        <v/>
      </c>
      <c r="LO9852" t="str">
        <v/>
      </c>
    </row>
    <row r="9853" spans="326:327">
      <c r="LN9853" t="str">
        <v/>
      </c>
      <c r="LO9853" t="str">
        <v/>
      </c>
    </row>
    <row r="9854" spans="326:327">
      <c r="LN9854" t="str">
        <v/>
      </c>
      <c r="LO9854" t="str">
        <v/>
      </c>
    </row>
    <row r="9855" spans="326:327">
      <c r="LN9855" t="str">
        <v/>
      </c>
      <c r="LO9855" t="str">
        <v/>
      </c>
    </row>
    <row r="9856" spans="326:327">
      <c r="LN9856" t="str">
        <v/>
      </c>
      <c r="LO9856" t="str">
        <v/>
      </c>
    </row>
    <row r="9857" spans="326:327">
      <c r="LN9857" t="str">
        <v/>
      </c>
      <c r="LO9857" t="str">
        <v/>
      </c>
    </row>
    <row r="9858" spans="326:327">
      <c r="LN9858" t="str">
        <v/>
      </c>
      <c r="LO9858" t="str">
        <v/>
      </c>
    </row>
    <row r="9859" spans="326:327">
      <c r="LN9859" t="str">
        <v/>
      </c>
      <c r="LO9859" t="str">
        <v/>
      </c>
    </row>
    <row r="9860" spans="326:327">
      <c r="LN9860" t="str">
        <v/>
      </c>
      <c r="LO9860" t="str">
        <v/>
      </c>
    </row>
    <row r="9861" spans="326:327">
      <c r="LN9861" t="str">
        <v/>
      </c>
      <c r="LO9861" t="str">
        <v/>
      </c>
    </row>
    <row r="9862" spans="326:327">
      <c r="LN9862" t="str">
        <v/>
      </c>
      <c r="LO9862" t="str">
        <v/>
      </c>
    </row>
    <row r="9863" spans="326:327">
      <c r="LN9863" t="str">
        <v/>
      </c>
      <c r="LO9863" t="str">
        <v/>
      </c>
    </row>
    <row r="9864" spans="326:327">
      <c r="LN9864" t="str">
        <v/>
      </c>
      <c r="LO9864" t="str">
        <v/>
      </c>
    </row>
    <row r="9865" spans="326:327">
      <c r="LN9865" t="str">
        <v/>
      </c>
      <c r="LO9865" t="str">
        <v/>
      </c>
    </row>
    <row r="9866" spans="326:327">
      <c r="LN9866" t="str">
        <v/>
      </c>
      <c r="LO9866" t="str">
        <v/>
      </c>
    </row>
    <row r="9867" spans="326:327">
      <c r="LN9867" t="str">
        <v/>
      </c>
      <c r="LO9867" t="str">
        <v/>
      </c>
    </row>
    <row r="9868" spans="326:327">
      <c r="LN9868" t="str">
        <v/>
      </c>
      <c r="LO9868" t="str">
        <v/>
      </c>
    </row>
    <row r="9869" spans="326:327">
      <c r="LN9869" t="str">
        <v/>
      </c>
      <c r="LO9869" t="str">
        <v/>
      </c>
    </row>
    <row r="9870" spans="326:327">
      <c r="LN9870" t="str">
        <v/>
      </c>
      <c r="LO9870" t="str">
        <v/>
      </c>
    </row>
    <row r="9871" spans="326:327">
      <c r="LN9871" t="str">
        <v/>
      </c>
      <c r="LO9871" t="str">
        <v/>
      </c>
    </row>
    <row r="9872" spans="326:327">
      <c r="LN9872" t="str">
        <v/>
      </c>
      <c r="LO9872" t="str">
        <v/>
      </c>
    </row>
    <row r="9873" spans="326:327">
      <c r="LN9873" t="str">
        <v/>
      </c>
      <c r="LO9873" t="str">
        <v/>
      </c>
    </row>
    <row r="9874" spans="326:327">
      <c r="LN9874" t="str">
        <v/>
      </c>
      <c r="LO9874" t="str">
        <v/>
      </c>
    </row>
    <row r="9875" spans="326:327">
      <c r="LN9875" t="str">
        <v/>
      </c>
      <c r="LO9875" t="str">
        <v/>
      </c>
    </row>
    <row r="9876" spans="326:327">
      <c r="LN9876" t="str">
        <v/>
      </c>
      <c r="LO9876" t="str">
        <v/>
      </c>
    </row>
    <row r="9877" spans="326:327">
      <c r="LN9877" t="str">
        <v/>
      </c>
      <c r="LO9877" t="str">
        <v/>
      </c>
    </row>
    <row r="9878" spans="326:327">
      <c r="LN9878" t="str">
        <v/>
      </c>
      <c r="LO9878" t="str">
        <v/>
      </c>
    </row>
    <row r="9879" spans="326:327">
      <c r="LN9879" t="str">
        <v/>
      </c>
      <c r="LO9879" t="str">
        <v/>
      </c>
    </row>
    <row r="9880" spans="326:327">
      <c r="LN9880" t="str">
        <v/>
      </c>
      <c r="LO9880" t="str">
        <v/>
      </c>
    </row>
    <row r="9881" spans="326:327">
      <c r="LN9881" t="str">
        <v/>
      </c>
      <c r="LO9881" t="str">
        <v/>
      </c>
    </row>
    <row r="9882" spans="326:327">
      <c r="LN9882" t="str">
        <v/>
      </c>
      <c r="LO9882" t="str">
        <v/>
      </c>
    </row>
    <row r="9883" spans="326:327">
      <c r="LN9883" t="str">
        <v/>
      </c>
      <c r="LO9883" t="str">
        <v/>
      </c>
    </row>
    <row r="9884" spans="326:327">
      <c r="LN9884" t="str">
        <v/>
      </c>
      <c r="LO9884" t="str">
        <v/>
      </c>
    </row>
    <row r="9885" spans="326:327">
      <c r="LN9885" t="str">
        <v/>
      </c>
      <c r="LO9885" t="str">
        <v/>
      </c>
    </row>
    <row r="9886" spans="326:327">
      <c r="LN9886" t="str">
        <v/>
      </c>
      <c r="LO9886" t="str">
        <v/>
      </c>
    </row>
    <row r="9887" spans="326:327">
      <c r="LN9887" t="str">
        <v/>
      </c>
      <c r="LO9887" t="str">
        <v/>
      </c>
    </row>
    <row r="9888" spans="326:327">
      <c r="LN9888" t="str">
        <v/>
      </c>
      <c r="LO9888" t="str">
        <v/>
      </c>
    </row>
    <row r="9889" spans="326:327">
      <c r="LN9889" t="str">
        <v/>
      </c>
      <c r="LO9889" t="str">
        <v/>
      </c>
    </row>
    <row r="9890" spans="326:327">
      <c r="LN9890" t="str">
        <v/>
      </c>
      <c r="LO9890" t="str">
        <v/>
      </c>
    </row>
    <row r="9891" spans="326:327">
      <c r="LN9891" t="str">
        <v/>
      </c>
      <c r="LO9891" t="str">
        <v/>
      </c>
    </row>
    <row r="9892" spans="326:327">
      <c r="LN9892" t="str">
        <v/>
      </c>
      <c r="LO9892" t="str">
        <v/>
      </c>
    </row>
    <row r="9893" spans="326:327">
      <c r="LN9893" t="str">
        <v/>
      </c>
      <c r="LO9893" t="str">
        <v/>
      </c>
    </row>
    <row r="9894" spans="326:327">
      <c r="LN9894" t="str">
        <v/>
      </c>
      <c r="LO9894" t="str">
        <v/>
      </c>
    </row>
    <row r="9895" spans="326:327">
      <c r="LN9895" t="str">
        <v/>
      </c>
      <c r="LO9895" t="str">
        <v/>
      </c>
    </row>
    <row r="9896" spans="326:327">
      <c r="LN9896" t="str">
        <v/>
      </c>
      <c r="LO9896" t="str">
        <v/>
      </c>
    </row>
    <row r="9897" spans="326:327">
      <c r="LN9897" t="str">
        <v/>
      </c>
      <c r="LO9897" t="str">
        <v/>
      </c>
    </row>
    <row r="9898" spans="326:327">
      <c r="LN9898" t="str">
        <v/>
      </c>
      <c r="LO9898" t="str">
        <v/>
      </c>
    </row>
    <row r="9899" spans="326:327">
      <c r="LN9899" t="str">
        <v/>
      </c>
      <c r="LO9899" t="str">
        <v/>
      </c>
    </row>
    <row r="9900" spans="326:327">
      <c r="LN9900" t="str">
        <v/>
      </c>
      <c r="LO9900" t="str">
        <v/>
      </c>
    </row>
    <row r="9901" spans="326:327">
      <c r="LN9901" t="str">
        <v/>
      </c>
      <c r="LO9901" t="str">
        <v/>
      </c>
    </row>
    <row r="9902" spans="326:327">
      <c r="LN9902" t="str">
        <v/>
      </c>
      <c r="LO9902" t="str">
        <v/>
      </c>
    </row>
    <row r="9903" spans="326:327">
      <c r="LN9903" t="str">
        <v/>
      </c>
      <c r="LO9903" t="str">
        <v/>
      </c>
    </row>
    <row r="9904" spans="326:327">
      <c r="LN9904" t="str">
        <v/>
      </c>
      <c r="LO9904" t="str">
        <v/>
      </c>
    </row>
    <row r="9905" spans="326:327">
      <c r="LN9905" t="str">
        <v/>
      </c>
      <c r="LO9905" t="str">
        <v/>
      </c>
    </row>
    <row r="9906" spans="326:327">
      <c r="LN9906" t="str">
        <v/>
      </c>
      <c r="LO9906" t="str">
        <v/>
      </c>
    </row>
    <row r="9907" spans="326:327">
      <c r="LN9907" t="str">
        <v/>
      </c>
      <c r="LO9907" t="str">
        <v/>
      </c>
    </row>
    <row r="9908" spans="326:327">
      <c r="LN9908" t="str">
        <v/>
      </c>
      <c r="LO9908" t="str">
        <v/>
      </c>
    </row>
    <row r="9909" spans="326:327">
      <c r="LN9909" t="str">
        <v/>
      </c>
      <c r="LO9909" t="str">
        <v/>
      </c>
    </row>
    <row r="9910" spans="326:327">
      <c r="LN9910" t="str">
        <v/>
      </c>
      <c r="LO9910" t="str">
        <v/>
      </c>
    </row>
    <row r="9911" spans="326:327">
      <c r="LN9911" t="str">
        <v/>
      </c>
      <c r="LO9911" t="str">
        <v/>
      </c>
    </row>
    <row r="9912" spans="326:327">
      <c r="LN9912" t="str">
        <v/>
      </c>
      <c r="LO9912" t="str">
        <v/>
      </c>
    </row>
    <row r="9913" spans="326:327">
      <c r="LN9913" t="str">
        <v/>
      </c>
      <c r="LO9913" t="str">
        <v/>
      </c>
    </row>
    <row r="9914" spans="326:327">
      <c r="LN9914" t="str">
        <v/>
      </c>
      <c r="LO9914" t="str">
        <v/>
      </c>
    </row>
    <row r="9915" spans="326:327">
      <c r="LN9915" t="str">
        <v/>
      </c>
      <c r="LO9915" t="str">
        <v/>
      </c>
    </row>
    <row r="9916" spans="326:327">
      <c r="LN9916" t="str">
        <v/>
      </c>
      <c r="LO9916" t="str">
        <v/>
      </c>
    </row>
    <row r="9917" spans="326:327">
      <c r="LN9917" t="str">
        <v/>
      </c>
      <c r="LO9917" t="str">
        <v/>
      </c>
    </row>
    <row r="9918" spans="326:327">
      <c r="LN9918" t="str">
        <v/>
      </c>
      <c r="LO9918" t="str">
        <v/>
      </c>
    </row>
    <row r="9919" spans="326:327">
      <c r="LN9919" t="str">
        <v/>
      </c>
      <c r="LO9919" t="str">
        <v/>
      </c>
    </row>
    <row r="9920" spans="326:327">
      <c r="LN9920" t="str">
        <v/>
      </c>
      <c r="LO9920" t="str">
        <v/>
      </c>
    </row>
    <row r="9921" spans="326:327">
      <c r="LN9921" t="str">
        <v/>
      </c>
      <c r="LO9921" t="str">
        <v/>
      </c>
    </row>
    <row r="9922" spans="326:327">
      <c r="LN9922" t="str">
        <v/>
      </c>
      <c r="LO9922" t="str">
        <v/>
      </c>
    </row>
    <row r="9923" spans="326:327">
      <c r="LN9923" t="str">
        <v/>
      </c>
      <c r="LO9923" t="str">
        <v/>
      </c>
    </row>
    <row r="9924" spans="326:327">
      <c r="LN9924" t="str">
        <v/>
      </c>
      <c r="LO9924" t="str">
        <v/>
      </c>
    </row>
    <row r="9925" spans="326:327">
      <c r="LN9925" t="str">
        <v/>
      </c>
      <c r="LO9925" t="str">
        <v/>
      </c>
    </row>
    <row r="9926" spans="326:327">
      <c r="LN9926" t="str">
        <v/>
      </c>
      <c r="LO9926" t="str">
        <v/>
      </c>
    </row>
    <row r="9927" spans="326:327">
      <c r="LN9927" t="str">
        <v/>
      </c>
      <c r="LO9927" t="str">
        <v/>
      </c>
    </row>
    <row r="9928" spans="326:327">
      <c r="LN9928" t="str">
        <v/>
      </c>
      <c r="LO9928" t="str">
        <v/>
      </c>
    </row>
    <row r="9929" spans="326:327">
      <c r="LN9929" t="str">
        <v/>
      </c>
      <c r="LO9929" t="str">
        <v/>
      </c>
    </row>
    <row r="9930" spans="326:327">
      <c r="LN9930" t="str">
        <v/>
      </c>
      <c r="LO9930" t="str">
        <v/>
      </c>
    </row>
    <row r="9931" spans="326:327">
      <c r="LN9931" t="str">
        <v/>
      </c>
      <c r="LO9931" t="str">
        <v/>
      </c>
    </row>
    <row r="9932" spans="326:327">
      <c r="LN9932" t="str">
        <v/>
      </c>
      <c r="LO9932" t="str">
        <v/>
      </c>
    </row>
    <row r="9933" spans="326:327">
      <c r="LN9933" t="str">
        <v/>
      </c>
      <c r="LO9933" t="str">
        <v/>
      </c>
    </row>
    <row r="9934" spans="326:327">
      <c r="LN9934" t="str">
        <v/>
      </c>
      <c r="LO9934" t="str">
        <v/>
      </c>
    </row>
    <row r="9935" spans="326:327">
      <c r="LN9935" t="str">
        <v/>
      </c>
      <c r="LO9935" t="str">
        <v/>
      </c>
    </row>
    <row r="9936" spans="326:327">
      <c r="LN9936" t="str">
        <v/>
      </c>
      <c r="LO9936" t="str">
        <v/>
      </c>
    </row>
    <row r="9937" spans="326:327">
      <c r="LN9937" t="str">
        <v/>
      </c>
      <c r="LO9937" t="str">
        <v/>
      </c>
    </row>
    <row r="9938" spans="326:327">
      <c r="LN9938" t="str">
        <v/>
      </c>
      <c r="LO9938" t="str">
        <v/>
      </c>
    </row>
    <row r="9939" spans="326:327">
      <c r="LN9939" t="str">
        <v/>
      </c>
      <c r="LO9939" t="str">
        <v/>
      </c>
    </row>
    <row r="9940" spans="326:327">
      <c r="LN9940" t="str">
        <v/>
      </c>
      <c r="LO9940" t="str">
        <v/>
      </c>
    </row>
    <row r="9941" spans="326:327">
      <c r="LN9941" t="str">
        <v/>
      </c>
      <c r="LO9941" t="str">
        <v/>
      </c>
    </row>
    <row r="9942" spans="326:327">
      <c r="LN9942" t="str">
        <v/>
      </c>
      <c r="LO9942" t="str">
        <v/>
      </c>
    </row>
    <row r="9943" spans="326:327">
      <c r="LN9943" t="str">
        <v/>
      </c>
      <c r="LO9943" t="str">
        <v/>
      </c>
    </row>
    <row r="9944" spans="326:327">
      <c r="LN9944" t="str">
        <v/>
      </c>
      <c r="LO9944" t="str">
        <v/>
      </c>
    </row>
    <row r="9945" spans="326:327">
      <c r="LN9945" t="str">
        <v/>
      </c>
      <c r="LO9945" t="str">
        <v/>
      </c>
    </row>
    <row r="9946" spans="326:327">
      <c r="LN9946" t="str">
        <v/>
      </c>
      <c r="LO9946" t="str">
        <v/>
      </c>
    </row>
    <row r="9947" spans="326:327">
      <c r="LN9947" t="str">
        <v/>
      </c>
      <c r="LO9947" t="str">
        <v/>
      </c>
    </row>
    <row r="9948" spans="326:327">
      <c r="LN9948" t="str">
        <v/>
      </c>
      <c r="LO9948" t="str">
        <v/>
      </c>
    </row>
    <row r="9949" spans="326:327">
      <c r="LN9949" t="str">
        <v/>
      </c>
      <c r="LO9949" t="str">
        <v/>
      </c>
    </row>
    <row r="9950" spans="326:327">
      <c r="LN9950" t="str">
        <v/>
      </c>
      <c r="LO9950" t="str">
        <v/>
      </c>
    </row>
    <row r="9951" spans="326:327">
      <c r="LN9951" t="str">
        <v/>
      </c>
      <c r="LO9951" t="str">
        <v/>
      </c>
    </row>
    <row r="9952" spans="326:327">
      <c r="LN9952" t="str">
        <v/>
      </c>
      <c r="LO9952" t="str">
        <v/>
      </c>
    </row>
    <row r="9953" spans="326:327">
      <c r="LN9953" t="str">
        <v/>
      </c>
      <c r="LO9953" t="str">
        <v/>
      </c>
    </row>
    <row r="9954" spans="326:327">
      <c r="LN9954" t="str">
        <v/>
      </c>
      <c r="LO9954" t="str">
        <v/>
      </c>
    </row>
    <row r="9955" spans="326:327">
      <c r="LN9955" t="str">
        <v/>
      </c>
      <c r="LO9955" t="str">
        <v/>
      </c>
    </row>
    <row r="9956" spans="326:327">
      <c r="LN9956" t="str">
        <v/>
      </c>
      <c r="LO9956" t="str">
        <v/>
      </c>
    </row>
    <row r="9957" spans="326:327">
      <c r="LN9957" t="str">
        <v/>
      </c>
      <c r="LO9957" t="str">
        <v/>
      </c>
    </row>
    <row r="9958" spans="326:327">
      <c r="LN9958" t="str">
        <v/>
      </c>
      <c r="LO9958" t="str">
        <v/>
      </c>
    </row>
    <row r="9959" spans="326:327">
      <c r="LN9959" t="str">
        <v/>
      </c>
      <c r="LO9959" t="str">
        <v/>
      </c>
    </row>
    <row r="9960" spans="326:327">
      <c r="LN9960" t="str">
        <v/>
      </c>
      <c r="LO9960" t="str">
        <v/>
      </c>
    </row>
    <row r="9961" spans="326:327">
      <c r="LN9961" t="str">
        <v/>
      </c>
      <c r="LO9961" t="str">
        <v/>
      </c>
    </row>
    <row r="9962" spans="326:327">
      <c r="LN9962" t="str">
        <v/>
      </c>
      <c r="LO9962" t="str">
        <v/>
      </c>
    </row>
    <row r="9963" spans="326:327">
      <c r="LN9963" t="str">
        <v/>
      </c>
      <c r="LO9963" t="str">
        <v/>
      </c>
    </row>
    <row r="9964" spans="326:327">
      <c r="LN9964" t="str">
        <v/>
      </c>
      <c r="LO9964" t="str">
        <v/>
      </c>
    </row>
    <row r="9965" spans="326:327">
      <c r="LN9965" t="str">
        <v/>
      </c>
      <c r="LO9965" t="str">
        <v/>
      </c>
    </row>
    <row r="9966" spans="326:327">
      <c r="LN9966" t="str">
        <v/>
      </c>
      <c r="LO9966" t="str">
        <v/>
      </c>
    </row>
    <row r="9967" spans="326:327">
      <c r="LN9967" t="str">
        <v/>
      </c>
      <c r="LO9967" t="str">
        <v/>
      </c>
    </row>
    <row r="9968" spans="326:327">
      <c r="LN9968" t="str">
        <v/>
      </c>
      <c r="LO9968" t="str">
        <v/>
      </c>
    </row>
    <row r="9969" spans="326:327">
      <c r="LN9969" t="str">
        <v/>
      </c>
      <c r="LO9969" t="str">
        <v/>
      </c>
    </row>
    <row r="9970" spans="326:327">
      <c r="LN9970" t="str">
        <v/>
      </c>
      <c r="LO9970" t="str">
        <v/>
      </c>
    </row>
    <row r="9971" spans="326:327">
      <c r="LN9971" t="str">
        <v/>
      </c>
      <c r="LO9971" t="str">
        <v/>
      </c>
    </row>
    <row r="9972" spans="326:327">
      <c r="LN9972" t="str">
        <v/>
      </c>
      <c r="LO9972" t="str">
        <v/>
      </c>
    </row>
    <row r="9973" spans="326:327">
      <c r="LN9973" t="str">
        <v/>
      </c>
      <c r="LO9973" t="str">
        <v/>
      </c>
    </row>
    <row r="9974" spans="326:327">
      <c r="LN9974" t="str">
        <v/>
      </c>
      <c r="LO9974" t="str">
        <v/>
      </c>
    </row>
    <row r="9975" spans="326:327">
      <c r="LN9975" t="str">
        <v/>
      </c>
      <c r="LO9975" t="str">
        <v/>
      </c>
    </row>
    <row r="9976" spans="326:327">
      <c r="LN9976" t="str">
        <v/>
      </c>
      <c r="LO9976" t="str">
        <v/>
      </c>
    </row>
    <row r="9977" spans="326:327">
      <c r="LN9977" t="str">
        <v/>
      </c>
      <c r="LO9977" t="str">
        <v/>
      </c>
    </row>
    <row r="9978" spans="326:327">
      <c r="LN9978" t="str">
        <v/>
      </c>
      <c r="LO9978" t="str">
        <v/>
      </c>
    </row>
    <row r="9979" spans="326:327">
      <c r="LN9979" t="str">
        <v/>
      </c>
      <c r="LO9979" t="str">
        <v/>
      </c>
    </row>
    <row r="9980" spans="326:327">
      <c r="LN9980" t="str">
        <v/>
      </c>
      <c r="LO9980" t="str">
        <v/>
      </c>
    </row>
    <row r="9981" spans="326:327">
      <c r="LN9981" t="str">
        <v/>
      </c>
      <c r="LO9981" t="str">
        <v/>
      </c>
    </row>
    <row r="9982" spans="326:327">
      <c r="LN9982" t="str">
        <v/>
      </c>
      <c r="LO9982" t="str">
        <v/>
      </c>
    </row>
    <row r="9983" spans="326:327">
      <c r="LN9983" t="str">
        <v/>
      </c>
      <c r="LO9983" t="str">
        <v/>
      </c>
    </row>
    <row r="9984" spans="326:327">
      <c r="LN9984" t="str">
        <v/>
      </c>
      <c r="LO9984" t="str">
        <v/>
      </c>
    </row>
    <row r="9985" spans="326:327">
      <c r="LN9985" t="str">
        <v/>
      </c>
      <c r="LO9985" t="str">
        <v/>
      </c>
    </row>
    <row r="9986" spans="326:327">
      <c r="LN9986" t="str">
        <v/>
      </c>
      <c r="LO9986" t="str">
        <v/>
      </c>
    </row>
    <row r="9987" spans="326:327">
      <c r="LN9987" t="str">
        <v/>
      </c>
      <c r="LO9987" t="str">
        <v/>
      </c>
    </row>
    <row r="9988" spans="326:327">
      <c r="LN9988" t="str">
        <v/>
      </c>
      <c r="LO9988" t="str">
        <v/>
      </c>
    </row>
    <row r="9989" spans="326:327">
      <c r="LN9989" t="str">
        <v/>
      </c>
      <c r="LO9989" t="str">
        <v/>
      </c>
    </row>
    <row r="9990" spans="326:327">
      <c r="LN9990" t="str">
        <v/>
      </c>
      <c r="LO9990" t="str">
        <v/>
      </c>
    </row>
    <row r="9991" spans="326:327">
      <c r="LN9991" t="str">
        <v/>
      </c>
      <c r="LO9991" t="str">
        <v/>
      </c>
    </row>
    <row r="9992" spans="326:327">
      <c r="LN9992" t="str">
        <v/>
      </c>
      <c r="LO9992" t="str">
        <v/>
      </c>
    </row>
    <row r="9993" spans="326:327">
      <c r="LN9993" t="str">
        <v/>
      </c>
      <c r="LO9993" t="str">
        <v/>
      </c>
    </row>
    <row r="9994" spans="326:327">
      <c r="LN9994" t="str">
        <v/>
      </c>
      <c r="LO9994" t="str">
        <v/>
      </c>
    </row>
    <row r="9995" spans="326:327">
      <c r="LN9995" t="str">
        <v/>
      </c>
      <c r="LO9995" t="str">
        <v/>
      </c>
    </row>
    <row r="9996" spans="326:327">
      <c r="LN9996" t="str">
        <v/>
      </c>
      <c r="LO9996" t="str">
        <v/>
      </c>
    </row>
    <row r="9997" spans="326:327">
      <c r="LN9997" t="str">
        <v/>
      </c>
      <c r="LO9997" t="str">
        <v/>
      </c>
    </row>
    <row r="9998" spans="326:327">
      <c r="LN9998" t="str">
        <v/>
      </c>
      <c r="LO9998" t="str">
        <v/>
      </c>
    </row>
    <row r="9999" spans="326:327">
      <c r="LN9999" t="str">
        <v/>
      </c>
      <c r="LO9999" t="str">
        <v/>
      </c>
    </row>
    <row r="10000" spans="326:327">
      <c r="LN10000" t="str">
        <v/>
      </c>
      <c r="LO10000" t="str">
        <v/>
      </c>
    </row>
    <row r="10001" spans="326:327">
      <c r="LN10001" t="str">
        <v/>
      </c>
      <c r="LO10001" t="str">
        <v/>
      </c>
    </row>
    <row r="10002" spans="326:327">
      <c r="LN10002" t="str">
        <v/>
      </c>
      <c r="LO10002" t="str">
        <v/>
      </c>
    </row>
    <row r="10003" spans="326:327">
      <c r="LN10003" t="str">
        <v/>
      </c>
      <c r="LO10003" t="str">
        <v/>
      </c>
    </row>
    <row r="10004" spans="326:327">
      <c r="LN10004" t="str">
        <v/>
      </c>
      <c r="LO10004" t="str">
        <v/>
      </c>
    </row>
    <row r="10005" spans="326:327">
      <c r="LN10005" t="str">
        <v/>
      </c>
      <c r="LO10005" t="str">
        <v/>
      </c>
    </row>
    <row r="10006" spans="326:327">
      <c r="LN10006" t="str">
        <v/>
      </c>
      <c r="LO10006" t="str">
        <v/>
      </c>
    </row>
    <row r="10007" spans="326:327">
      <c r="LN10007" t="str">
        <v/>
      </c>
      <c r="LO10007" t="str">
        <v/>
      </c>
    </row>
    <row r="10008" spans="326:327">
      <c r="LN10008" t="str">
        <v/>
      </c>
      <c r="LO10008" t="str">
        <v/>
      </c>
    </row>
    <row r="10009" spans="326:327">
      <c r="LN10009" t="str">
        <v/>
      </c>
      <c r="LO10009" t="str">
        <v/>
      </c>
    </row>
    <row r="10010" spans="326:327">
      <c r="LN10010" t="str">
        <v/>
      </c>
      <c r="LO10010" t="str">
        <v/>
      </c>
    </row>
    <row r="10011" spans="326:327">
      <c r="LN10011" t="str">
        <v/>
      </c>
      <c r="LO10011" t="str">
        <v/>
      </c>
    </row>
    <row r="10012" spans="326:327">
      <c r="LN10012" t="str">
        <v/>
      </c>
      <c r="LO10012" t="str">
        <v/>
      </c>
    </row>
    <row r="10013" spans="326:327">
      <c r="LN10013" t="str">
        <v/>
      </c>
      <c r="LO10013" t="str">
        <v/>
      </c>
    </row>
    <row r="10014" spans="326:327">
      <c r="LN10014" t="str">
        <v/>
      </c>
      <c r="LO10014" t="str">
        <v/>
      </c>
    </row>
    <row r="10015" spans="326:327">
      <c r="LN10015" t="str">
        <v/>
      </c>
      <c r="LO10015" t="str">
        <v/>
      </c>
    </row>
    <row r="10016" spans="326:327">
      <c r="LN10016" t="str">
        <v/>
      </c>
      <c r="LO10016" t="str">
        <v/>
      </c>
    </row>
    <row r="10017" spans="326:327">
      <c r="LN10017" t="str">
        <v/>
      </c>
      <c r="LO10017" t="str">
        <v/>
      </c>
    </row>
    <row r="10018" spans="326:327">
      <c r="LN10018" t="str">
        <v/>
      </c>
      <c r="LO10018" t="str">
        <v/>
      </c>
    </row>
    <row r="10019" spans="326:327">
      <c r="LN10019" t="str">
        <v/>
      </c>
      <c r="LO10019" t="str">
        <v/>
      </c>
    </row>
    <row r="10020" spans="326:327">
      <c r="LN10020" t="str">
        <v/>
      </c>
      <c r="LO10020" t="str">
        <v/>
      </c>
    </row>
    <row r="10021" spans="326:327">
      <c r="LN10021" t="str">
        <v/>
      </c>
      <c r="LO10021" t="str">
        <v/>
      </c>
    </row>
    <row r="10022" spans="326:327">
      <c r="LN10022" t="str">
        <v/>
      </c>
      <c r="LO10022" t="str">
        <v/>
      </c>
    </row>
    <row r="10023" spans="326:327">
      <c r="LN10023" t="str">
        <v/>
      </c>
      <c r="LO10023" t="str">
        <v/>
      </c>
    </row>
    <row r="10024" spans="326:327">
      <c r="LN10024" t="str">
        <v/>
      </c>
      <c r="LO10024" t="str">
        <v/>
      </c>
    </row>
    <row r="10025" spans="326:327">
      <c r="LN10025" t="str">
        <v/>
      </c>
      <c r="LO10025" t="str">
        <v/>
      </c>
    </row>
    <row r="10026" spans="326:327">
      <c r="LN10026" t="str">
        <v/>
      </c>
      <c r="LO10026" t="str">
        <v/>
      </c>
    </row>
    <row r="10027" spans="326:327">
      <c r="LN10027" t="str">
        <v/>
      </c>
      <c r="LO10027" t="str">
        <v/>
      </c>
    </row>
    <row r="10028" spans="326:327">
      <c r="LN10028" t="str">
        <v/>
      </c>
      <c r="LO10028" t="str">
        <v/>
      </c>
    </row>
    <row r="10029" spans="326:327">
      <c r="LN10029" t="str">
        <v/>
      </c>
      <c r="LO10029" t="str">
        <v/>
      </c>
    </row>
    <row r="10030" spans="326:327">
      <c r="LN10030" t="str">
        <v/>
      </c>
      <c r="LO10030" t="str">
        <v/>
      </c>
    </row>
    <row r="10031" spans="326:327">
      <c r="LN10031" t="str">
        <v/>
      </c>
      <c r="LO10031" t="str">
        <v/>
      </c>
    </row>
    <row r="10032" spans="326:327">
      <c r="LN10032" t="str">
        <v/>
      </c>
      <c r="LO10032" t="str">
        <v/>
      </c>
    </row>
    <row r="10033" spans="326:327">
      <c r="LN10033" t="str">
        <v/>
      </c>
      <c r="LO10033" t="str">
        <v/>
      </c>
    </row>
    <row r="10034" spans="326:327">
      <c r="LN10034" t="str">
        <v/>
      </c>
      <c r="LO10034" t="str">
        <v/>
      </c>
    </row>
    <row r="10035" spans="326:327">
      <c r="LN10035" t="str">
        <v/>
      </c>
      <c r="LO10035" t="str">
        <v/>
      </c>
    </row>
    <row r="10036" spans="326:327">
      <c r="LN10036" t="str">
        <v/>
      </c>
      <c r="LO10036" t="str">
        <v/>
      </c>
    </row>
    <row r="10037" spans="326:327">
      <c r="LN10037" t="str">
        <v/>
      </c>
      <c r="LO10037" t="str">
        <v/>
      </c>
    </row>
    <row r="10038" spans="326:327">
      <c r="LN10038" t="str">
        <v/>
      </c>
      <c r="LO10038" t="str">
        <v/>
      </c>
    </row>
    <row r="10039" spans="326:327">
      <c r="LN10039" t="str">
        <v/>
      </c>
      <c r="LO10039" t="str">
        <v/>
      </c>
    </row>
    <row r="10040" spans="326:327">
      <c r="LN10040" t="str">
        <v/>
      </c>
      <c r="LO10040" t="str">
        <v/>
      </c>
    </row>
    <row r="10041" spans="326:327">
      <c r="LN10041" t="str">
        <v/>
      </c>
      <c r="LO10041" t="str">
        <v/>
      </c>
    </row>
    <row r="10042" spans="326:327">
      <c r="LN10042" t="str">
        <v/>
      </c>
      <c r="LO10042" t="str">
        <v/>
      </c>
    </row>
    <row r="10043" spans="326:327">
      <c r="LN10043" t="str">
        <v/>
      </c>
      <c r="LO10043" t="str">
        <v/>
      </c>
    </row>
    <row r="10044" spans="326:327">
      <c r="LN10044" t="str">
        <v/>
      </c>
      <c r="LO10044" t="str">
        <v/>
      </c>
    </row>
    <row r="10045" spans="326:327">
      <c r="LN10045" t="str">
        <v/>
      </c>
      <c r="LO10045" t="str">
        <v/>
      </c>
    </row>
    <row r="10046" spans="326:327">
      <c r="LN10046" t="str">
        <v/>
      </c>
      <c r="LO10046" t="str">
        <v/>
      </c>
    </row>
    <row r="10047" spans="326:327">
      <c r="LN10047" t="str">
        <v/>
      </c>
      <c r="LO10047" t="str">
        <v/>
      </c>
    </row>
    <row r="10048" spans="326:327">
      <c r="LN10048" t="str">
        <v/>
      </c>
      <c r="LO10048" t="str">
        <v/>
      </c>
    </row>
    <row r="10049" spans="326:327">
      <c r="LN10049" t="str">
        <v/>
      </c>
      <c r="LO10049" t="str">
        <v/>
      </c>
    </row>
    <row r="10050" spans="326:327">
      <c r="LN10050" t="str">
        <v/>
      </c>
      <c r="LO10050" t="str">
        <v/>
      </c>
    </row>
    <row r="10051" spans="326:327">
      <c r="LN10051" t="str">
        <v/>
      </c>
      <c r="LO10051" t="str">
        <v/>
      </c>
    </row>
    <row r="10052" spans="326:327">
      <c r="LN10052" t="str">
        <v/>
      </c>
      <c r="LO10052" t="str">
        <v/>
      </c>
    </row>
    <row r="10053" spans="326:327">
      <c r="LN10053" t="str">
        <v/>
      </c>
      <c r="LO10053" t="str">
        <v/>
      </c>
    </row>
    <row r="10054" spans="326:327">
      <c r="LN10054" t="str">
        <v/>
      </c>
      <c r="LO10054" t="str">
        <v/>
      </c>
    </row>
    <row r="10055" spans="326:327">
      <c r="LN10055" t="str">
        <v/>
      </c>
      <c r="LO10055" t="str">
        <v/>
      </c>
    </row>
    <row r="10056" spans="326:327">
      <c r="LN10056" t="str">
        <v/>
      </c>
      <c r="LO10056" t="str">
        <v/>
      </c>
    </row>
    <row r="10057" spans="326:327">
      <c r="LN10057" t="str">
        <v/>
      </c>
      <c r="LO10057" t="str">
        <v/>
      </c>
    </row>
    <row r="10058" spans="326:327">
      <c r="LN10058" t="str">
        <v/>
      </c>
      <c r="LO10058" t="str">
        <v/>
      </c>
    </row>
    <row r="10059" spans="326:327">
      <c r="LN10059" t="str">
        <v/>
      </c>
      <c r="LO10059" t="str">
        <v/>
      </c>
    </row>
    <row r="10060" spans="326:327">
      <c r="LN10060" t="str">
        <v/>
      </c>
      <c r="LO10060" t="str">
        <v/>
      </c>
    </row>
    <row r="10061" spans="326:327">
      <c r="LN10061" t="str">
        <v/>
      </c>
      <c r="LO10061" t="str">
        <v/>
      </c>
    </row>
    <row r="10062" spans="326:327">
      <c r="LN10062" t="str">
        <v/>
      </c>
      <c r="LO10062" t="str">
        <v/>
      </c>
    </row>
    <row r="10063" spans="326:327">
      <c r="LN10063" t="str">
        <v/>
      </c>
      <c r="LO10063" t="str">
        <v/>
      </c>
    </row>
    <row r="10064" spans="326:327">
      <c r="LN10064" t="str">
        <v/>
      </c>
      <c r="LO10064" t="str">
        <v/>
      </c>
    </row>
    <row r="10065" spans="326:327">
      <c r="LN10065" t="str">
        <v/>
      </c>
      <c r="LO10065" t="str">
        <v/>
      </c>
    </row>
    <row r="10066" spans="326:327">
      <c r="LN10066" t="str">
        <v/>
      </c>
      <c r="LO10066" t="str">
        <v/>
      </c>
    </row>
    <row r="10067" spans="326:327">
      <c r="LN10067" t="str">
        <v/>
      </c>
      <c r="LO10067" t="str">
        <v/>
      </c>
    </row>
    <row r="10068" spans="326:327">
      <c r="LN10068" t="str">
        <v/>
      </c>
      <c r="LO10068" t="str">
        <v/>
      </c>
    </row>
    <row r="10069" spans="326:327">
      <c r="LN10069" t="str">
        <v/>
      </c>
      <c r="LO10069" t="str">
        <v/>
      </c>
    </row>
    <row r="10070" spans="326:327">
      <c r="LN10070" t="str">
        <v/>
      </c>
      <c r="LO10070" t="str">
        <v/>
      </c>
    </row>
    <row r="10071" spans="326:327">
      <c r="LN10071" t="str">
        <v/>
      </c>
      <c r="LO10071" t="str">
        <v/>
      </c>
    </row>
    <row r="10072" spans="326:327">
      <c r="LN10072" t="str">
        <v/>
      </c>
      <c r="LO10072" t="str">
        <v/>
      </c>
    </row>
    <row r="10073" spans="326:327">
      <c r="LN10073" t="str">
        <v/>
      </c>
      <c r="LO10073" t="str">
        <v/>
      </c>
    </row>
    <row r="10074" spans="326:327">
      <c r="LN10074" t="str">
        <v/>
      </c>
      <c r="LO10074" t="str">
        <v/>
      </c>
    </row>
    <row r="10075" spans="326:327">
      <c r="LN10075" t="str">
        <v/>
      </c>
      <c r="LO10075" t="str">
        <v/>
      </c>
    </row>
    <row r="10076" spans="326:327">
      <c r="LN10076" t="str">
        <v/>
      </c>
      <c r="LO10076" t="str">
        <v/>
      </c>
    </row>
    <row r="10077" spans="326:327">
      <c r="LN10077" t="str">
        <v/>
      </c>
      <c r="LO10077" t="str">
        <v/>
      </c>
    </row>
    <row r="10078" spans="326:327">
      <c r="LN10078" t="str">
        <v/>
      </c>
      <c r="LO10078" t="str">
        <v/>
      </c>
    </row>
    <row r="10079" spans="326:327">
      <c r="LN10079" t="str">
        <v/>
      </c>
      <c r="LO10079" t="str">
        <v/>
      </c>
    </row>
    <row r="10080" spans="326:327">
      <c r="LN10080" t="str">
        <v/>
      </c>
      <c r="LO10080" t="str">
        <v/>
      </c>
    </row>
    <row r="10081" spans="326:327">
      <c r="LN10081" t="str">
        <v/>
      </c>
      <c r="LO10081" t="str">
        <v/>
      </c>
    </row>
    <row r="10082" spans="326:327">
      <c r="LN10082" t="str">
        <v/>
      </c>
      <c r="LO10082" t="str">
        <v/>
      </c>
    </row>
    <row r="10083" spans="326:327">
      <c r="LN10083" t="str">
        <v/>
      </c>
      <c r="LO10083" t="str">
        <v/>
      </c>
    </row>
    <row r="10084" spans="326:327">
      <c r="LN10084" t="str">
        <v/>
      </c>
      <c r="LO10084" t="str">
        <v/>
      </c>
    </row>
    <row r="10085" spans="326:327">
      <c r="LN10085" t="str">
        <v/>
      </c>
      <c r="LO10085" t="str">
        <v/>
      </c>
    </row>
    <row r="10086" spans="326:327">
      <c r="LN10086" t="str">
        <v/>
      </c>
      <c r="LO10086" t="str">
        <v/>
      </c>
    </row>
    <row r="10087" spans="326:327">
      <c r="LN10087" t="str">
        <v/>
      </c>
      <c r="LO10087" t="str">
        <v/>
      </c>
    </row>
    <row r="10088" spans="326:327">
      <c r="LN10088" t="str">
        <v/>
      </c>
      <c r="LO10088" t="str">
        <v/>
      </c>
    </row>
    <row r="10089" spans="326:327">
      <c r="LN10089" t="str">
        <v/>
      </c>
      <c r="LO10089" t="str">
        <v/>
      </c>
    </row>
    <row r="10090" spans="326:327">
      <c r="LN10090" t="str">
        <v/>
      </c>
      <c r="LO10090" t="str">
        <v/>
      </c>
    </row>
    <row r="10091" spans="326:327">
      <c r="LN10091" t="str">
        <v/>
      </c>
      <c r="LO10091" t="str">
        <v/>
      </c>
    </row>
    <row r="10092" spans="326:327">
      <c r="LN10092" t="str">
        <v/>
      </c>
      <c r="LO10092" t="str">
        <v/>
      </c>
    </row>
    <row r="10093" spans="326:327">
      <c r="LN10093" t="str">
        <v/>
      </c>
      <c r="LO10093" t="str">
        <v/>
      </c>
    </row>
    <row r="10094" spans="326:327">
      <c r="LN10094" t="str">
        <v/>
      </c>
      <c r="LO10094" t="str">
        <v/>
      </c>
    </row>
    <row r="10095" spans="326:327">
      <c r="LN10095" t="str">
        <v/>
      </c>
      <c r="LO10095" t="str">
        <v/>
      </c>
    </row>
    <row r="10096" spans="326:327">
      <c r="LN10096" t="str">
        <v/>
      </c>
      <c r="LO10096" t="str">
        <v/>
      </c>
    </row>
    <row r="10097" spans="326:327">
      <c r="LN10097" t="str">
        <v/>
      </c>
      <c r="LO10097" t="str">
        <v/>
      </c>
    </row>
    <row r="10098" spans="326:327">
      <c r="LN10098" t="str">
        <v/>
      </c>
      <c r="LO10098" t="str">
        <v/>
      </c>
    </row>
    <row r="10099" spans="326:327">
      <c r="LN10099" t="str">
        <v/>
      </c>
      <c r="LO10099" t="str">
        <v/>
      </c>
    </row>
    <row r="10100" spans="326:327">
      <c r="LN10100" t="str">
        <v/>
      </c>
      <c r="LO10100" t="str">
        <v/>
      </c>
    </row>
    <row r="10101" spans="326:327">
      <c r="LN10101" t="str">
        <v/>
      </c>
      <c r="LO10101" t="str">
        <v/>
      </c>
    </row>
    <row r="10102" spans="326:327">
      <c r="LN10102" t="str">
        <v/>
      </c>
      <c r="LO10102" t="str">
        <v/>
      </c>
    </row>
    <row r="10103" spans="326:327">
      <c r="LN10103" t="str">
        <v/>
      </c>
      <c r="LO10103" t="str">
        <v/>
      </c>
    </row>
    <row r="10104" spans="326:327">
      <c r="LN10104" t="str">
        <v/>
      </c>
      <c r="LO10104" t="str">
        <v/>
      </c>
    </row>
    <row r="10105" spans="326:327">
      <c r="LN10105" t="str">
        <v/>
      </c>
      <c r="LO10105" t="str">
        <v/>
      </c>
    </row>
    <row r="10106" spans="326:327">
      <c r="LN10106" t="str">
        <v/>
      </c>
      <c r="LO10106" t="str">
        <v/>
      </c>
    </row>
    <row r="10107" spans="326:327">
      <c r="LN10107" t="str">
        <v/>
      </c>
      <c r="LO10107" t="str">
        <v/>
      </c>
    </row>
    <row r="10108" spans="326:327">
      <c r="LN10108" t="str">
        <v/>
      </c>
      <c r="LO10108" t="str">
        <v/>
      </c>
    </row>
    <row r="10109" spans="326:327">
      <c r="LN10109" t="str">
        <v/>
      </c>
      <c r="LO10109" t="str">
        <v/>
      </c>
    </row>
    <row r="10110" spans="326:327">
      <c r="LN10110" t="str">
        <v/>
      </c>
      <c r="LO10110" t="str">
        <v/>
      </c>
    </row>
    <row r="10111" spans="326:327">
      <c r="LN10111" t="str">
        <v/>
      </c>
      <c r="LO10111" t="str">
        <v/>
      </c>
    </row>
    <row r="10112" spans="326:327">
      <c r="LN10112" t="str">
        <v/>
      </c>
      <c r="LO10112" t="str">
        <v/>
      </c>
    </row>
    <row r="10113" spans="326:327">
      <c r="LN10113" t="str">
        <v/>
      </c>
      <c r="LO10113" t="str">
        <v/>
      </c>
    </row>
    <row r="10114" spans="326:327">
      <c r="LN10114" t="str">
        <v/>
      </c>
      <c r="LO10114" t="str">
        <v/>
      </c>
    </row>
    <row r="10115" spans="326:327">
      <c r="LN10115" t="str">
        <v/>
      </c>
      <c r="LO10115" t="str">
        <v/>
      </c>
    </row>
    <row r="10116" spans="326:327">
      <c r="LN10116" t="str">
        <v/>
      </c>
      <c r="LO10116" t="str">
        <v/>
      </c>
    </row>
    <row r="10117" spans="326:327">
      <c r="LN10117" t="str">
        <v/>
      </c>
      <c r="LO10117" t="str">
        <v/>
      </c>
    </row>
    <row r="10118" spans="326:327">
      <c r="LN10118" t="str">
        <v/>
      </c>
      <c r="LO10118" t="str">
        <v/>
      </c>
    </row>
    <row r="10119" spans="326:327">
      <c r="LN10119" t="str">
        <v/>
      </c>
      <c r="LO10119" t="str">
        <v/>
      </c>
    </row>
    <row r="10120" spans="326:327">
      <c r="LN10120" t="str">
        <v/>
      </c>
      <c r="LO10120" t="str">
        <v/>
      </c>
    </row>
    <row r="10121" spans="326:327">
      <c r="LN10121" t="str">
        <v/>
      </c>
      <c r="LO10121" t="str">
        <v/>
      </c>
    </row>
    <row r="10122" spans="326:327">
      <c r="LN10122" t="str">
        <v/>
      </c>
      <c r="LO10122" t="str">
        <v/>
      </c>
    </row>
    <row r="10123" spans="326:327">
      <c r="LN10123" t="str">
        <v/>
      </c>
      <c r="LO10123" t="str">
        <v/>
      </c>
    </row>
    <row r="10124" spans="326:327">
      <c r="LN10124" t="str">
        <v/>
      </c>
      <c r="LO10124" t="str">
        <v/>
      </c>
    </row>
    <row r="10125" spans="326:327">
      <c r="LN10125" t="str">
        <v/>
      </c>
      <c r="LO10125" t="str">
        <v/>
      </c>
    </row>
    <row r="10126" spans="326:327">
      <c r="LN10126" t="str">
        <v/>
      </c>
      <c r="LO10126" t="str">
        <v/>
      </c>
    </row>
    <row r="10127" spans="326:327">
      <c r="LN10127" t="str">
        <v/>
      </c>
      <c r="LO10127" t="str">
        <v/>
      </c>
    </row>
    <row r="10128" spans="326:327">
      <c r="LN10128" t="str">
        <v/>
      </c>
      <c r="LO10128" t="str">
        <v/>
      </c>
    </row>
    <row r="10129" spans="326:327">
      <c r="LN10129" t="str">
        <v/>
      </c>
      <c r="LO10129" t="str">
        <v/>
      </c>
    </row>
    <row r="10130" spans="326:327">
      <c r="LN10130" t="str">
        <v/>
      </c>
      <c r="LO10130" t="str">
        <v/>
      </c>
    </row>
    <row r="10131" spans="326:327">
      <c r="LN10131" t="str">
        <v/>
      </c>
      <c r="LO10131" t="str">
        <v/>
      </c>
    </row>
    <row r="10132" spans="326:327">
      <c r="LN10132" t="str">
        <v/>
      </c>
      <c r="LO10132" t="str">
        <v/>
      </c>
    </row>
    <row r="10133" spans="326:327">
      <c r="LN10133" t="str">
        <v/>
      </c>
      <c r="LO10133" t="str">
        <v/>
      </c>
    </row>
    <row r="10134" spans="326:327">
      <c r="LN10134" t="str">
        <v/>
      </c>
      <c r="LO10134" t="str">
        <v/>
      </c>
    </row>
    <row r="10135" spans="326:327">
      <c r="LN10135" t="str">
        <v/>
      </c>
      <c r="LO10135" t="str">
        <v/>
      </c>
    </row>
    <row r="10136" spans="326:327">
      <c r="LN10136" t="str">
        <v/>
      </c>
      <c r="LO10136" t="str">
        <v/>
      </c>
    </row>
    <row r="10137" spans="326:327">
      <c r="LN10137" t="str">
        <v/>
      </c>
      <c r="LO10137" t="str">
        <v/>
      </c>
    </row>
    <row r="10138" spans="326:327">
      <c r="LN10138" t="str">
        <v/>
      </c>
      <c r="LO10138" t="str">
        <v/>
      </c>
    </row>
    <row r="10139" spans="326:327">
      <c r="LN10139" t="str">
        <v/>
      </c>
      <c r="LO10139" t="str">
        <v/>
      </c>
    </row>
    <row r="10140" spans="326:327">
      <c r="LN10140" t="str">
        <v/>
      </c>
      <c r="LO10140" t="str">
        <v/>
      </c>
    </row>
    <row r="10141" spans="326:327">
      <c r="LN10141" t="str">
        <v/>
      </c>
      <c r="LO10141" t="str">
        <v/>
      </c>
    </row>
    <row r="10142" spans="326:327">
      <c r="LN10142" t="str">
        <v/>
      </c>
      <c r="LO10142" t="str">
        <v/>
      </c>
    </row>
    <row r="10143" spans="326:327">
      <c r="LN10143" t="str">
        <v/>
      </c>
      <c r="LO10143" t="str">
        <v/>
      </c>
    </row>
    <row r="10144" spans="326:327">
      <c r="LN10144" t="str">
        <v/>
      </c>
      <c r="LO10144" t="str">
        <v/>
      </c>
    </row>
    <row r="10145" spans="326:327">
      <c r="LN10145" t="str">
        <v/>
      </c>
      <c r="LO10145" t="str">
        <v/>
      </c>
    </row>
    <row r="10146" spans="326:327">
      <c r="LN10146" t="str">
        <v/>
      </c>
      <c r="LO10146" t="str">
        <v/>
      </c>
    </row>
    <row r="10147" spans="326:327">
      <c r="LN10147" t="str">
        <v/>
      </c>
      <c r="LO10147" t="str">
        <v/>
      </c>
    </row>
    <row r="10148" spans="326:327">
      <c r="LN10148" t="str">
        <v/>
      </c>
      <c r="LO10148" t="str">
        <v/>
      </c>
    </row>
    <row r="10149" spans="326:327">
      <c r="LN10149" t="str">
        <v/>
      </c>
      <c r="LO10149" t="str">
        <v/>
      </c>
    </row>
    <row r="10150" spans="326:327">
      <c r="LN10150" t="str">
        <v/>
      </c>
      <c r="LO10150" t="str">
        <v/>
      </c>
    </row>
    <row r="10151" spans="326:327">
      <c r="LN10151" t="str">
        <v/>
      </c>
      <c r="LO10151" t="str">
        <v/>
      </c>
    </row>
    <row r="10152" spans="326:327">
      <c r="LN10152" t="str">
        <v/>
      </c>
      <c r="LO10152" t="str">
        <v/>
      </c>
    </row>
    <row r="10153" spans="326:327">
      <c r="LN10153" t="str">
        <v/>
      </c>
      <c r="LO10153" t="str">
        <v/>
      </c>
    </row>
    <row r="10154" spans="326:327">
      <c r="LN10154" t="str">
        <v/>
      </c>
      <c r="LO10154" t="str">
        <v/>
      </c>
    </row>
    <row r="10155" spans="326:327">
      <c r="LN10155" t="str">
        <v/>
      </c>
      <c r="LO10155" t="str">
        <v/>
      </c>
    </row>
    <row r="10156" spans="326:327">
      <c r="LN10156" t="str">
        <v/>
      </c>
      <c r="LO10156" t="str">
        <v/>
      </c>
    </row>
    <row r="10157" spans="326:327">
      <c r="LN10157" t="str">
        <v/>
      </c>
      <c r="LO10157" t="str">
        <v/>
      </c>
    </row>
    <row r="10158" spans="326:327">
      <c r="LN10158" t="str">
        <v/>
      </c>
      <c r="LO10158" t="str">
        <v/>
      </c>
    </row>
    <row r="10159" spans="326:327">
      <c r="LN10159" t="str">
        <v/>
      </c>
      <c r="LO10159" t="str">
        <v/>
      </c>
    </row>
    <row r="10160" spans="326:327">
      <c r="LN10160" t="str">
        <v/>
      </c>
      <c r="LO10160" t="str">
        <v/>
      </c>
    </row>
    <row r="10161" spans="326:327">
      <c r="LN10161" t="str">
        <v/>
      </c>
      <c r="LO10161" t="str">
        <v/>
      </c>
    </row>
    <row r="10162" spans="326:327">
      <c r="LN10162" t="str">
        <v/>
      </c>
      <c r="LO10162" t="str">
        <v/>
      </c>
    </row>
    <row r="10163" spans="326:327">
      <c r="LN10163" t="str">
        <v/>
      </c>
      <c r="LO10163" t="str">
        <v/>
      </c>
    </row>
    <row r="10164" spans="326:327">
      <c r="LN10164" t="str">
        <v/>
      </c>
      <c r="LO10164" t="str">
        <v/>
      </c>
    </row>
    <row r="10165" spans="326:327">
      <c r="LN10165" t="str">
        <v/>
      </c>
      <c r="LO10165" t="str">
        <v/>
      </c>
    </row>
    <row r="10166" spans="326:327">
      <c r="LN10166" t="str">
        <v/>
      </c>
      <c r="LO10166" t="str">
        <v/>
      </c>
    </row>
    <row r="10167" spans="326:327">
      <c r="LN10167" t="str">
        <v/>
      </c>
      <c r="LO10167" t="str">
        <v/>
      </c>
    </row>
    <row r="10168" spans="326:327">
      <c r="LN10168" t="str">
        <v/>
      </c>
      <c r="LO10168" t="str">
        <v/>
      </c>
    </row>
    <row r="10169" spans="326:327">
      <c r="LN10169" t="str">
        <v/>
      </c>
      <c r="LO10169" t="str">
        <v/>
      </c>
    </row>
    <row r="10170" spans="326:327">
      <c r="LN10170" t="str">
        <v/>
      </c>
      <c r="LO10170" t="str">
        <v/>
      </c>
    </row>
    <row r="10171" spans="326:327">
      <c r="LN10171" t="str">
        <v/>
      </c>
      <c r="LO10171" t="str">
        <v/>
      </c>
    </row>
    <row r="10172" spans="326:327">
      <c r="LN10172" t="str">
        <v/>
      </c>
      <c r="LO10172" t="str">
        <v/>
      </c>
    </row>
    <row r="10173" spans="326:327">
      <c r="LN10173" t="str">
        <v/>
      </c>
      <c r="LO10173" t="str">
        <v/>
      </c>
    </row>
    <row r="10174" spans="326:327">
      <c r="LN10174" t="str">
        <v/>
      </c>
      <c r="LO10174" t="str">
        <v/>
      </c>
    </row>
    <row r="10175" spans="326:327">
      <c r="LN10175" t="str">
        <v/>
      </c>
      <c r="LO10175" t="str">
        <v/>
      </c>
    </row>
    <row r="10176" spans="326:327">
      <c r="LN10176" t="str">
        <v/>
      </c>
      <c r="LO10176" t="str">
        <v/>
      </c>
    </row>
    <row r="10177" spans="326:327">
      <c r="LN10177" t="str">
        <v/>
      </c>
      <c r="LO10177" t="str">
        <v/>
      </c>
    </row>
    <row r="10178" spans="326:327">
      <c r="LN10178" t="str">
        <v/>
      </c>
      <c r="LO10178" t="str">
        <v/>
      </c>
    </row>
    <row r="10179" spans="326:327">
      <c r="LN10179" t="str">
        <v/>
      </c>
      <c r="LO10179" t="str">
        <v/>
      </c>
    </row>
    <row r="10180" spans="326:327">
      <c r="LN10180" t="str">
        <v/>
      </c>
      <c r="LO10180" t="str">
        <v/>
      </c>
    </row>
    <row r="10181" spans="326:327">
      <c r="LN10181" t="str">
        <v/>
      </c>
      <c r="LO10181" t="str">
        <v/>
      </c>
    </row>
    <row r="10182" spans="326:327">
      <c r="LN10182" t="str">
        <v/>
      </c>
      <c r="LO10182" t="str">
        <v/>
      </c>
    </row>
    <row r="10183" spans="326:327">
      <c r="LN10183" t="str">
        <v/>
      </c>
      <c r="LO10183" t="str">
        <v/>
      </c>
    </row>
    <row r="10184" spans="326:327">
      <c r="LN10184" t="str">
        <v/>
      </c>
      <c r="LO10184" t="str">
        <v/>
      </c>
    </row>
    <row r="10185" spans="326:327">
      <c r="LN10185" t="str">
        <v/>
      </c>
      <c r="LO10185" t="str">
        <v/>
      </c>
    </row>
    <row r="10186" spans="326:327">
      <c r="LN10186" t="str">
        <v/>
      </c>
      <c r="LO10186" t="str">
        <v/>
      </c>
    </row>
    <row r="10187" spans="326:327">
      <c r="LN10187" t="str">
        <v/>
      </c>
      <c r="LO10187" t="str">
        <v/>
      </c>
    </row>
    <row r="10188" spans="326:327">
      <c r="LN10188" t="str">
        <v/>
      </c>
      <c r="LO10188" t="str">
        <v/>
      </c>
    </row>
    <row r="10189" spans="326:327">
      <c r="LN10189" t="str">
        <v/>
      </c>
      <c r="LO10189" t="str">
        <v/>
      </c>
    </row>
    <row r="10190" spans="326:327">
      <c r="LN10190" t="str">
        <v/>
      </c>
      <c r="LO10190" t="str">
        <v/>
      </c>
    </row>
    <row r="10191" spans="326:327">
      <c r="LN10191" t="str">
        <v/>
      </c>
      <c r="LO10191" t="str">
        <v/>
      </c>
    </row>
    <row r="10192" spans="326:327">
      <c r="LN10192" t="str">
        <v/>
      </c>
      <c r="LO10192" t="str">
        <v/>
      </c>
    </row>
    <row r="10193" spans="326:327">
      <c r="LN10193" t="str">
        <v/>
      </c>
      <c r="LO10193" t="str">
        <v/>
      </c>
    </row>
    <row r="10194" spans="326:327">
      <c r="LN10194" t="str">
        <v/>
      </c>
      <c r="LO10194" t="str">
        <v/>
      </c>
    </row>
    <row r="10195" spans="326:327">
      <c r="LN10195" t="str">
        <v/>
      </c>
      <c r="LO10195" t="str">
        <v/>
      </c>
    </row>
    <row r="10196" spans="326:327">
      <c r="LN10196" t="str">
        <v/>
      </c>
      <c r="LO10196" t="str">
        <v/>
      </c>
    </row>
    <row r="10197" spans="326:327">
      <c r="LN10197" t="str">
        <v/>
      </c>
      <c r="LO10197" t="str">
        <v/>
      </c>
    </row>
    <row r="10198" spans="326:327">
      <c r="LN10198" t="str">
        <v/>
      </c>
      <c r="LO10198" t="str">
        <v/>
      </c>
    </row>
    <row r="10199" spans="326:327">
      <c r="LN10199" t="str">
        <v/>
      </c>
      <c r="LO10199" t="str">
        <v/>
      </c>
    </row>
    <row r="10200" spans="326:327">
      <c r="LN10200" t="str">
        <v/>
      </c>
      <c r="LO10200" t="str">
        <v/>
      </c>
    </row>
    <row r="10201" spans="326:327">
      <c r="LN10201" t="str">
        <v/>
      </c>
      <c r="LO10201" t="str">
        <v/>
      </c>
    </row>
    <row r="10202" spans="326:327">
      <c r="LN10202" t="str">
        <v/>
      </c>
      <c r="LO10202" t="str">
        <v/>
      </c>
    </row>
    <row r="10203" spans="326:327">
      <c r="LN10203" t="str">
        <v/>
      </c>
      <c r="LO10203" t="str">
        <v/>
      </c>
    </row>
    <row r="10204" spans="326:327">
      <c r="LN10204" t="str">
        <v/>
      </c>
      <c r="LO10204" t="str">
        <v/>
      </c>
    </row>
    <row r="10205" spans="326:327">
      <c r="LN10205" t="str">
        <v/>
      </c>
      <c r="LO10205" t="str">
        <v/>
      </c>
    </row>
    <row r="10206" spans="326:327">
      <c r="LN10206" t="str">
        <v/>
      </c>
      <c r="LO10206" t="str">
        <v/>
      </c>
    </row>
    <row r="10207" spans="326:327">
      <c r="LN10207" t="str">
        <v/>
      </c>
      <c r="LO10207" t="str">
        <v/>
      </c>
    </row>
    <row r="10208" spans="326:327">
      <c r="LN10208" t="str">
        <v/>
      </c>
      <c r="LO10208" t="str">
        <v/>
      </c>
    </row>
    <row r="10209" spans="326:327">
      <c r="LN10209" t="str">
        <v/>
      </c>
      <c r="LO10209" t="str">
        <v/>
      </c>
    </row>
    <row r="10210" spans="326:327">
      <c r="LN10210" t="str">
        <v/>
      </c>
      <c r="LO10210" t="str">
        <v/>
      </c>
    </row>
    <row r="10211" spans="326:327">
      <c r="LN10211" t="str">
        <v/>
      </c>
      <c r="LO10211" t="str">
        <v/>
      </c>
    </row>
    <row r="10212" spans="326:327">
      <c r="LN10212" t="str">
        <v/>
      </c>
      <c r="LO10212" t="str">
        <v/>
      </c>
    </row>
    <row r="10213" spans="326:327">
      <c r="LN10213" t="str">
        <v/>
      </c>
      <c r="LO10213" t="str">
        <v/>
      </c>
    </row>
    <row r="10214" spans="326:327">
      <c r="LN10214" t="str">
        <v/>
      </c>
      <c r="LO10214" t="str">
        <v/>
      </c>
    </row>
    <row r="10215" spans="326:327">
      <c r="LN10215" t="str">
        <v/>
      </c>
      <c r="LO10215" t="str">
        <v/>
      </c>
    </row>
    <row r="10216" spans="326:327">
      <c r="LN10216" t="str">
        <v/>
      </c>
      <c r="LO10216" t="str">
        <v/>
      </c>
    </row>
    <row r="10217" spans="326:327">
      <c r="LN10217" t="str">
        <v/>
      </c>
      <c r="LO10217" t="str">
        <v/>
      </c>
    </row>
    <row r="10218" spans="326:327">
      <c r="LN10218" t="str">
        <v/>
      </c>
      <c r="LO10218" t="str">
        <v/>
      </c>
    </row>
    <row r="10219" spans="326:327">
      <c r="LN10219" t="str">
        <v/>
      </c>
      <c r="LO10219" t="str">
        <v/>
      </c>
    </row>
    <row r="10220" spans="326:327">
      <c r="LN10220" t="str">
        <v/>
      </c>
      <c r="LO10220" t="str">
        <v/>
      </c>
    </row>
    <row r="10221" spans="326:327">
      <c r="LN10221" t="str">
        <v/>
      </c>
      <c r="LO10221" t="str">
        <v/>
      </c>
    </row>
    <row r="10222" spans="326:327">
      <c r="LN10222" t="str">
        <v/>
      </c>
      <c r="LO10222" t="str">
        <v/>
      </c>
    </row>
    <row r="10223" spans="326:327">
      <c r="LN10223" t="str">
        <v/>
      </c>
      <c r="LO10223" t="str">
        <v/>
      </c>
    </row>
    <row r="10224" spans="326:327">
      <c r="LN10224" t="str">
        <v/>
      </c>
      <c r="LO10224" t="str">
        <v/>
      </c>
    </row>
    <row r="10225" spans="326:327">
      <c r="LN10225" t="str">
        <v/>
      </c>
      <c r="LO10225" t="str">
        <v/>
      </c>
    </row>
    <row r="10226" spans="326:327">
      <c r="LN10226" t="str">
        <v/>
      </c>
      <c r="LO10226" t="str">
        <v/>
      </c>
    </row>
    <row r="10227" spans="326:327">
      <c r="LN10227" t="str">
        <v/>
      </c>
      <c r="LO10227" t="str">
        <v/>
      </c>
    </row>
    <row r="10228" spans="326:327">
      <c r="LN10228" t="str">
        <v/>
      </c>
      <c r="LO10228" t="str">
        <v/>
      </c>
    </row>
    <row r="10229" spans="326:327">
      <c r="LN10229" t="str">
        <v/>
      </c>
      <c r="LO10229" t="str">
        <v/>
      </c>
    </row>
    <row r="10230" spans="326:327">
      <c r="LN10230" t="str">
        <v/>
      </c>
      <c r="LO10230" t="str">
        <v/>
      </c>
    </row>
    <row r="10231" spans="326:327">
      <c r="LN10231" t="str">
        <v/>
      </c>
      <c r="LO10231" t="str">
        <v/>
      </c>
    </row>
    <row r="10232" spans="326:327">
      <c r="LN10232" t="str">
        <v/>
      </c>
      <c r="LO10232" t="str">
        <v/>
      </c>
    </row>
    <row r="10233" spans="326:327">
      <c r="LN10233" t="str">
        <v/>
      </c>
      <c r="LO10233" t="str">
        <v/>
      </c>
    </row>
    <row r="10234" spans="326:327">
      <c r="LN10234" t="str">
        <v/>
      </c>
      <c r="LO10234" t="str">
        <v/>
      </c>
    </row>
    <row r="10235" spans="326:327">
      <c r="LN10235" t="str">
        <v/>
      </c>
      <c r="LO10235" t="str">
        <v/>
      </c>
    </row>
    <row r="10236" spans="326:327">
      <c r="LN10236" t="str">
        <v/>
      </c>
      <c r="LO10236" t="str">
        <v/>
      </c>
    </row>
    <row r="10237" spans="326:327">
      <c r="LN10237" t="str">
        <v/>
      </c>
      <c r="LO10237" t="str">
        <v/>
      </c>
    </row>
    <row r="10238" spans="326:327">
      <c r="LN10238" t="str">
        <v/>
      </c>
      <c r="LO10238" t="str">
        <v/>
      </c>
    </row>
    <row r="10239" spans="326:327">
      <c r="LN10239" t="str">
        <v/>
      </c>
      <c r="LO10239" t="str">
        <v/>
      </c>
    </row>
    <row r="10240" spans="326:327">
      <c r="LN10240" t="str">
        <v/>
      </c>
      <c r="LO10240" t="str">
        <v/>
      </c>
    </row>
    <row r="10241" spans="326:327">
      <c r="LN10241" t="str">
        <v/>
      </c>
      <c r="LO10241" t="str">
        <v/>
      </c>
    </row>
    <row r="10242" spans="326:327">
      <c r="LN10242" t="str">
        <v/>
      </c>
      <c r="LO10242" t="str">
        <v/>
      </c>
    </row>
    <row r="10243" spans="326:327">
      <c r="LN10243" t="str">
        <v/>
      </c>
      <c r="LO10243" t="str">
        <v/>
      </c>
    </row>
    <row r="10244" spans="326:327">
      <c r="LN10244" t="str">
        <v/>
      </c>
      <c r="LO10244" t="str">
        <v/>
      </c>
    </row>
    <row r="10245" spans="326:327">
      <c r="LN10245" t="str">
        <v/>
      </c>
      <c r="LO10245" t="str">
        <v/>
      </c>
    </row>
    <row r="10246" spans="326:327">
      <c r="LN10246" t="str">
        <v/>
      </c>
      <c r="LO10246" t="str">
        <v/>
      </c>
    </row>
    <row r="10247" spans="326:327">
      <c r="LN10247" t="str">
        <v/>
      </c>
      <c r="LO10247" t="str">
        <v/>
      </c>
    </row>
    <row r="10248" spans="326:327">
      <c r="LN10248" t="str">
        <v/>
      </c>
      <c r="LO10248" t="str">
        <v/>
      </c>
    </row>
    <row r="10249" spans="326:327">
      <c r="LN10249" t="str">
        <v/>
      </c>
      <c r="LO10249" t="str">
        <v/>
      </c>
    </row>
    <row r="10250" spans="326:327">
      <c r="LN10250" t="str">
        <v/>
      </c>
      <c r="LO10250" t="str">
        <v/>
      </c>
    </row>
    <row r="10251" spans="326:327">
      <c r="LN10251" t="str">
        <v/>
      </c>
      <c r="LO10251" t="str">
        <v/>
      </c>
    </row>
    <row r="10252" spans="326:327">
      <c r="LN10252" t="str">
        <v/>
      </c>
      <c r="LO10252" t="str">
        <v/>
      </c>
    </row>
    <row r="10253" spans="326:327">
      <c r="LN10253" t="str">
        <v/>
      </c>
      <c r="LO10253" t="str">
        <v/>
      </c>
    </row>
    <row r="10254" spans="326:327">
      <c r="LN10254" t="str">
        <v/>
      </c>
      <c r="LO10254" t="str">
        <v/>
      </c>
    </row>
    <row r="10255" spans="326:327">
      <c r="LN10255" t="str">
        <v/>
      </c>
      <c r="LO10255" t="str">
        <v/>
      </c>
    </row>
    <row r="10256" spans="326:327">
      <c r="LN10256" t="str">
        <v/>
      </c>
      <c r="LO10256" t="str">
        <v/>
      </c>
    </row>
    <row r="10257" spans="326:327">
      <c r="LN10257" t="str">
        <v/>
      </c>
      <c r="LO10257" t="str">
        <v/>
      </c>
    </row>
    <row r="10258" spans="326:327">
      <c r="LN10258" t="str">
        <v/>
      </c>
      <c r="LO10258" t="str">
        <v/>
      </c>
    </row>
    <row r="10259" spans="326:327">
      <c r="LN10259" t="str">
        <v/>
      </c>
      <c r="LO10259" t="str">
        <v/>
      </c>
    </row>
    <row r="10260" spans="326:327">
      <c r="LN10260" t="str">
        <v/>
      </c>
      <c r="LO10260" t="str">
        <v/>
      </c>
    </row>
    <row r="10261" spans="326:327">
      <c r="LN10261" t="str">
        <v/>
      </c>
      <c r="LO10261" t="str">
        <v/>
      </c>
    </row>
    <row r="10262" spans="326:327">
      <c r="LN10262" t="str">
        <v/>
      </c>
      <c r="LO10262" t="str">
        <v/>
      </c>
    </row>
    <row r="10263" spans="326:327">
      <c r="LN10263" t="str">
        <v/>
      </c>
      <c r="LO10263" t="str">
        <v/>
      </c>
    </row>
    <row r="10264" spans="326:327">
      <c r="LN10264" t="str">
        <v/>
      </c>
      <c r="LO10264" t="str">
        <v/>
      </c>
    </row>
    <row r="10265" spans="326:327">
      <c r="LN10265" t="str">
        <v/>
      </c>
      <c r="LO10265" t="str">
        <v/>
      </c>
    </row>
    <row r="10266" spans="326:327">
      <c r="LN10266" t="str">
        <v/>
      </c>
      <c r="LO10266" t="str">
        <v/>
      </c>
    </row>
    <row r="10267" spans="326:327">
      <c r="LN10267" t="str">
        <v/>
      </c>
      <c r="LO10267" t="str">
        <v/>
      </c>
    </row>
    <row r="10268" spans="326:327">
      <c r="LN10268" t="str">
        <v/>
      </c>
      <c r="LO10268" t="str">
        <v/>
      </c>
    </row>
    <row r="10269" spans="326:327">
      <c r="LN10269" t="str">
        <v/>
      </c>
      <c r="LO10269" t="str">
        <v/>
      </c>
    </row>
    <row r="10270" spans="326:327">
      <c r="LN10270" t="str">
        <v/>
      </c>
      <c r="LO10270" t="str">
        <v/>
      </c>
    </row>
    <row r="10271" spans="326:327">
      <c r="LN10271" t="str">
        <v/>
      </c>
      <c r="LO10271" t="str">
        <v/>
      </c>
    </row>
    <row r="10272" spans="326:327">
      <c r="LN10272" t="str">
        <v/>
      </c>
      <c r="LO10272" t="str">
        <v/>
      </c>
    </row>
    <row r="10273" spans="326:327">
      <c r="LN10273" t="str">
        <v/>
      </c>
      <c r="LO10273" t="str">
        <v/>
      </c>
    </row>
    <row r="10274" spans="326:327">
      <c r="LN10274" t="str">
        <v/>
      </c>
      <c r="LO10274" t="str">
        <v/>
      </c>
    </row>
    <row r="10275" spans="326:327">
      <c r="LN10275" t="str">
        <v/>
      </c>
      <c r="LO10275" t="str">
        <v/>
      </c>
    </row>
    <row r="10276" spans="326:327">
      <c r="LN10276" t="str">
        <v/>
      </c>
      <c r="LO10276" t="str">
        <v/>
      </c>
    </row>
    <row r="10277" spans="326:327">
      <c r="LN10277" t="str">
        <v/>
      </c>
      <c r="LO10277" t="str">
        <v/>
      </c>
    </row>
    <row r="10278" spans="326:327">
      <c r="LN10278" t="str">
        <v/>
      </c>
      <c r="LO10278" t="str">
        <v/>
      </c>
    </row>
    <row r="10279" spans="326:327">
      <c r="LN10279" t="str">
        <v/>
      </c>
      <c r="LO10279" t="str">
        <v/>
      </c>
    </row>
    <row r="10280" spans="326:327">
      <c r="LN10280" t="str">
        <v/>
      </c>
      <c r="LO10280" t="str">
        <v/>
      </c>
    </row>
    <row r="10281" spans="326:327">
      <c r="LN10281" t="str">
        <v/>
      </c>
      <c r="LO10281" t="str">
        <v/>
      </c>
    </row>
    <row r="10282" spans="326:327">
      <c r="LN10282" t="str">
        <v/>
      </c>
      <c r="LO10282" t="str">
        <v/>
      </c>
    </row>
    <row r="10283" spans="326:327">
      <c r="LN10283" t="str">
        <v/>
      </c>
      <c r="LO10283" t="str">
        <v/>
      </c>
    </row>
    <row r="10284" spans="326:327">
      <c r="LN10284" t="str">
        <v/>
      </c>
      <c r="LO10284" t="str">
        <v/>
      </c>
    </row>
    <row r="10285" spans="326:327">
      <c r="LN10285" t="str">
        <v/>
      </c>
      <c r="LO10285" t="str">
        <v/>
      </c>
    </row>
    <row r="10286" spans="326:327">
      <c r="LN10286" t="str">
        <v/>
      </c>
      <c r="LO10286" t="str">
        <v/>
      </c>
    </row>
    <row r="10287" spans="326:327">
      <c r="LN10287" t="str">
        <v/>
      </c>
      <c r="LO10287" t="str">
        <v/>
      </c>
    </row>
    <row r="10288" spans="326:327">
      <c r="LN10288" t="str">
        <v/>
      </c>
      <c r="LO10288" t="str">
        <v/>
      </c>
    </row>
    <row r="10289" spans="326:327">
      <c r="LN10289" t="str">
        <v/>
      </c>
      <c r="LO10289" t="str">
        <v/>
      </c>
    </row>
    <row r="10290" spans="326:327">
      <c r="LN10290" t="str">
        <v/>
      </c>
      <c r="LO10290" t="str">
        <v/>
      </c>
    </row>
    <row r="10291" spans="326:327">
      <c r="LN10291" t="str">
        <v/>
      </c>
      <c r="LO10291" t="str">
        <v/>
      </c>
    </row>
    <row r="10292" spans="326:327">
      <c r="LN10292" t="str">
        <v/>
      </c>
      <c r="LO10292" t="str">
        <v/>
      </c>
    </row>
    <row r="10293" spans="326:327">
      <c r="LN10293" t="str">
        <v/>
      </c>
      <c r="LO10293" t="str">
        <v/>
      </c>
    </row>
    <row r="10294" spans="326:327">
      <c r="LN10294" t="str">
        <v/>
      </c>
      <c r="LO10294" t="str">
        <v/>
      </c>
    </row>
    <row r="10295" spans="326:327">
      <c r="LN10295" t="str">
        <v/>
      </c>
      <c r="LO10295" t="str">
        <v/>
      </c>
    </row>
    <row r="10296" spans="326:327">
      <c r="LN10296" t="str">
        <v/>
      </c>
      <c r="LO10296" t="str">
        <v/>
      </c>
    </row>
    <row r="10297" spans="326:327">
      <c r="LN10297" t="str">
        <v/>
      </c>
      <c r="LO10297" t="str">
        <v/>
      </c>
    </row>
    <row r="10298" spans="326:327">
      <c r="LN10298" t="str">
        <v/>
      </c>
      <c r="LO10298" t="str">
        <v/>
      </c>
    </row>
    <row r="10299" spans="326:327">
      <c r="LN10299" t="str">
        <v/>
      </c>
      <c r="LO10299" t="str">
        <v/>
      </c>
    </row>
    <row r="10300" spans="326:327">
      <c r="LN10300" t="str">
        <v/>
      </c>
      <c r="LO10300" t="str">
        <v/>
      </c>
    </row>
    <row r="10301" spans="326:327">
      <c r="LN10301" t="str">
        <v/>
      </c>
      <c r="LO10301" t="str">
        <v/>
      </c>
    </row>
    <row r="10302" spans="326:327">
      <c r="LN10302" t="str">
        <v/>
      </c>
      <c r="LO10302" t="str">
        <v/>
      </c>
    </row>
    <row r="10303" spans="326:327">
      <c r="LN10303" t="str">
        <v/>
      </c>
      <c r="LO10303" t="str">
        <v/>
      </c>
    </row>
    <row r="10304" spans="326:327">
      <c r="LN10304" t="str">
        <v/>
      </c>
      <c r="LO10304" t="str">
        <v/>
      </c>
    </row>
    <row r="10305" spans="326:327">
      <c r="LN10305" t="str">
        <v/>
      </c>
      <c r="LO10305" t="str">
        <v/>
      </c>
    </row>
    <row r="10306" spans="326:327">
      <c r="LN10306" t="str">
        <v/>
      </c>
      <c r="LO10306" t="str">
        <v/>
      </c>
    </row>
    <row r="10307" spans="326:327">
      <c r="LN10307" t="str">
        <v/>
      </c>
      <c r="LO10307" t="str">
        <v/>
      </c>
    </row>
    <row r="10308" spans="326:327">
      <c r="LN10308" t="str">
        <v/>
      </c>
      <c r="LO10308" t="str">
        <v/>
      </c>
    </row>
    <row r="10309" spans="326:327">
      <c r="LN10309" t="str">
        <v/>
      </c>
      <c r="LO10309" t="str">
        <v/>
      </c>
    </row>
    <row r="10310" spans="326:327">
      <c r="LN10310" t="str">
        <v/>
      </c>
      <c r="LO10310" t="str">
        <v/>
      </c>
    </row>
    <row r="10311" spans="326:327">
      <c r="LN10311" t="str">
        <v/>
      </c>
      <c r="LO10311" t="str">
        <v/>
      </c>
    </row>
    <row r="10312" spans="326:327">
      <c r="LN10312" t="str">
        <v/>
      </c>
      <c r="LO10312" t="str">
        <v/>
      </c>
    </row>
    <row r="10313" spans="326:327">
      <c r="LN10313" t="str">
        <v/>
      </c>
      <c r="LO10313" t="str">
        <v/>
      </c>
    </row>
    <row r="10314" spans="326:327">
      <c r="LN10314" t="str">
        <v/>
      </c>
      <c r="LO10314" t="str">
        <v/>
      </c>
    </row>
    <row r="10315" spans="326:327">
      <c r="LN10315" t="str">
        <v/>
      </c>
      <c r="LO10315" t="str">
        <v/>
      </c>
    </row>
    <row r="10316" spans="326:327">
      <c r="LN10316" t="str">
        <v/>
      </c>
      <c r="LO10316" t="str">
        <v/>
      </c>
    </row>
    <row r="10317" spans="326:327">
      <c r="LN10317" t="str">
        <v/>
      </c>
      <c r="LO10317" t="str">
        <v/>
      </c>
    </row>
    <row r="10318" spans="326:327">
      <c r="LN10318" t="str">
        <v/>
      </c>
      <c r="LO10318" t="str">
        <v/>
      </c>
    </row>
    <row r="10319" spans="326:327">
      <c r="LN10319" t="str">
        <v/>
      </c>
      <c r="LO10319" t="str">
        <v/>
      </c>
    </row>
    <row r="10320" spans="326:327">
      <c r="LN10320" t="str">
        <v/>
      </c>
      <c r="LO10320" t="str">
        <v/>
      </c>
    </row>
    <row r="10321" spans="326:327">
      <c r="LN10321" t="str">
        <v/>
      </c>
      <c r="LO10321" t="str">
        <v/>
      </c>
    </row>
    <row r="10322" spans="326:327">
      <c r="LN10322" t="str">
        <v/>
      </c>
      <c r="LO10322" t="str">
        <v/>
      </c>
    </row>
    <row r="10323" spans="326:327">
      <c r="LN10323" t="str">
        <v/>
      </c>
      <c r="LO10323" t="str">
        <v/>
      </c>
    </row>
    <row r="10324" spans="326:327">
      <c r="LN10324" t="str">
        <v/>
      </c>
      <c r="LO10324" t="str">
        <v/>
      </c>
    </row>
    <row r="10325" spans="326:327">
      <c r="LN10325" t="str">
        <v/>
      </c>
      <c r="LO10325" t="str">
        <v/>
      </c>
    </row>
    <row r="10326" spans="326:327">
      <c r="LN10326" t="str">
        <v/>
      </c>
      <c r="LO10326" t="str">
        <v/>
      </c>
    </row>
    <row r="10327" spans="326:327">
      <c r="LN10327" t="str">
        <v/>
      </c>
      <c r="LO10327" t="str">
        <v/>
      </c>
    </row>
    <row r="10328" spans="326:327">
      <c r="LN10328" t="str">
        <v/>
      </c>
      <c r="LO10328" t="str">
        <v/>
      </c>
    </row>
    <row r="10329" spans="326:327">
      <c r="LN10329" t="str">
        <v/>
      </c>
      <c r="LO10329" t="str">
        <v/>
      </c>
    </row>
    <row r="10330" spans="326:327">
      <c r="LN10330" t="str">
        <v/>
      </c>
      <c r="LO10330" t="str">
        <v/>
      </c>
    </row>
    <row r="10331" spans="326:327">
      <c r="LN10331" t="str">
        <v/>
      </c>
      <c r="LO10331" t="str">
        <v/>
      </c>
    </row>
    <row r="10332" spans="326:327">
      <c r="LN10332" t="str">
        <v/>
      </c>
      <c r="LO10332" t="str">
        <v/>
      </c>
    </row>
    <row r="10333" spans="326:327">
      <c r="LN10333" t="str">
        <v/>
      </c>
      <c r="LO10333" t="str">
        <v/>
      </c>
    </row>
    <row r="10334" spans="326:327">
      <c r="LN10334" t="str">
        <v/>
      </c>
      <c r="LO10334" t="str">
        <v/>
      </c>
    </row>
    <row r="10335" spans="326:327">
      <c r="LN10335" t="str">
        <v/>
      </c>
      <c r="LO10335" t="str">
        <v/>
      </c>
    </row>
    <row r="10336" spans="326:327">
      <c r="LN10336" t="str">
        <v/>
      </c>
      <c r="LO10336" t="str">
        <v/>
      </c>
    </row>
    <row r="10337" spans="326:327">
      <c r="LN10337" t="str">
        <v/>
      </c>
      <c r="LO10337" t="str">
        <v/>
      </c>
    </row>
    <row r="10338" spans="326:327">
      <c r="LN10338" t="str">
        <v/>
      </c>
      <c r="LO10338" t="str">
        <v/>
      </c>
    </row>
    <row r="10339" spans="326:327">
      <c r="LN10339" t="str">
        <v/>
      </c>
      <c r="LO10339" t="str">
        <v/>
      </c>
    </row>
    <row r="10340" spans="326:327">
      <c r="LN10340" t="str">
        <v/>
      </c>
      <c r="LO10340" t="str">
        <v/>
      </c>
    </row>
    <row r="10341" spans="326:327">
      <c r="LN10341" t="str">
        <v/>
      </c>
      <c r="LO10341" t="str">
        <v/>
      </c>
    </row>
    <row r="10342" spans="326:327">
      <c r="LN10342" t="str">
        <v/>
      </c>
      <c r="LO10342" t="str">
        <v/>
      </c>
    </row>
    <row r="10343" spans="326:327">
      <c r="LN10343" t="str">
        <v/>
      </c>
      <c r="LO10343" t="str">
        <v/>
      </c>
    </row>
    <row r="10344" spans="326:327">
      <c r="LN10344" t="str">
        <v/>
      </c>
      <c r="LO10344" t="str">
        <v/>
      </c>
    </row>
    <row r="10345" spans="326:327">
      <c r="LN10345" t="str">
        <v/>
      </c>
      <c r="LO10345" t="str">
        <v/>
      </c>
    </row>
    <row r="10346" spans="326:327">
      <c r="LN10346" t="str">
        <v/>
      </c>
      <c r="LO10346" t="str">
        <v/>
      </c>
    </row>
    <row r="10347" spans="326:327">
      <c r="LN10347" t="str">
        <v/>
      </c>
      <c r="LO10347" t="str">
        <v/>
      </c>
    </row>
    <row r="10348" spans="326:327">
      <c r="LN10348" t="str">
        <v/>
      </c>
      <c r="LO10348" t="str">
        <v/>
      </c>
    </row>
    <row r="10349" spans="326:327">
      <c r="LN10349" t="str">
        <v/>
      </c>
      <c r="LO10349" t="str">
        <v/>
      </c>
    </row>
    <row r="10350" spans="326:327">
      <c r="LN10350" t="str">
        <v/>
      </c>
      <c r="LO10350" t="str">
        <v/>
      </c>
    </row>
    <row r="10351" spans="326:327">
      <c r="LN10351" t="str">
        <v/>
      </c>
      <c r="LO10351" t="str">
        <v/>
      </c>
    </row>
    <row r="10352" spans="326:327">
      <c r="LN10352" t="str">
        <v/>
      </c>
      <c r="LO10352" t="str">
        <v/>
      </c>
    </row>
    <row r="10353" spans="326:327">
      <c r="LN10353" t="str">
        <v/>
      </c>
      <c r="LO10353" t="str">
        <v/>
      </c>
    </row>
    <row r="10354" spans="326:327">
      <c r="LN10354" t="str">
        <v/>
      </c>
      <c r="LO10354" t="str">
        <v/>
      </c>
    </row>
    <row r="10355" spans="326:327">
      <c r="LN10355" t="str">
        <v/>
      </c>
      <c r="LO10355" t="str">
        <v/>
      </c>
    </row>
    <row r="10356" spans="326:327">
      <c r="LN10356" t="str">
        <v/>
      </c>
      <c r="LO10356" t="str">
        <v/>
      </c>
    </row>
    <row r="10357" spans="326:327">
      <c r="LN10357" t="str">
        <v/>
      </c>
      <c r="LO10357" t="str">
        <v/>
      </c>
    </row>
    <row r="10358" spans="326:327">
      <c r="LN10358" t="str">
        <v/>
      </c>
      <c r="LO10358" t="str">
        <v/>
      </c>
    </row>
    <row r="10359" spans="326:327">
      <c r="LN10359" t="str">
        <v/>
      </c>
      <c r="LO10359" t="str">
        <v/>
      </c>
    </row>
    <row r="10360" spans="326:327">
      <c r="LN10360" t="str">
        <v/>
      </c>
      <c r="LO10360" t="str">
        <v/>
      </c>
    </row>
    <row r="10361" spans="326:327">
      <c r="LN10361" t="str">
        <v/>
      </c>
      <c r="LO10361" t="str">
        <v/>
      </c>
    </row>
    <row r="10362" spans="326:327">
      <c r="LN10362" t="str">
        <v/>
      </c>
      <c r="LO10362" t="str">
        <v/>
      </c>
    </row>
    <row r="10363" spans="326:327">
      <c r="LN10363" t="str">
        <v/>
      </c>
      <c r="LO10363" t="str">
        <v/>
      </c>
    </row>
    <row r="10364" spans="326:327">
      <c r="LN10364" t="str">
        <v/>
      </c>
      <c r="LO10364" t="str">
        <v/>
      </c>
    </row>
    <row r="10365" spans="326:327">
      <c r="LN10365" t="str">
        <v/>
      </c>
      <c r="LO10365" t="str">
        <v/>
      </c>
    </row>
    <row r="10366" spans="326:327">
      <c r="LN10366" t="str">
        <v/>
      </c>
      <c r="LO10366" t="str">
        <v/>
      </c>
    </row>
    <row r="10367" spans="326:327">
      <c r="LN10367" t="str">
        <v/>
      </c>
      <c r="LO10367" t="str">
        <v/>
      </c>
    </row>
    <row r="10368" spans="326:327">
      <c r="LN10368" t="str">
        <v/>
      </c>
      <c r="LO10368" t="str">
        <v/>
      </c>
    </row>
    <row r="10369" spans="326:327">
      <c r="LN10369" t="str">
        <v/>
      </c>
      <c r="LO10369" t="str">
        <v/>
      </c>
    </row>
    <row r="10370" spans="326:327">
      <c r="LN10370" t="str">
        <v/>
      </c>
      <c r="LO10370" t="str">
        <v/>
      </c>
    </row>
    <row r="10371" spans="326:327">
      <c r="LN10371" t="str">
        <v/>
      </c>
      <c r="LO10371" t="str">
        <v/>
      </c>
    </row>
    <row r="10372" spans="326:327">
      <c r="LN10372" t="str">
        <v/>
      </c>
      <c r="LO10372" t="str">
        <v/>
      </c>
    </row>
    <row r="10373" spans="326:327">
      <c r="LN10373" t="str">
        <v/>
      </c>
      <c r="LO10373" t="str">
        <v/>
      </c>
    </row>
    <row r="10374" spans="326:327">
      <c r="LN10374" t="str">
        <v/>
      </c>
      <c r="LO10374" t="str">
        <v/>
      </c>
    </row>
    <row r="10375" spans="326:327">
      <c r="LN10375" t="str">
        <v/>
      </c>
      <c r="LO10375" t="str">
        <v/>
      </c>
    </row>
    <row r="10376" spans="326:327">
      <c r="LN10376" t="str">
        <v/>
      </c>
      <c r="LO10376" t="str">
        <v/>
      </c>
    </row>
    <row r="10377" spans="326:327">
      <c r="LN10377" t="str">
        <v/>
      </c>
      <c r="LO10377" t="str">
        <v/>
      </c>
    </row>
    <row r="10378" spans="326:327">
      <c r="LN10378" t="str">
        <v/>
      </c>
      <c r="LO10378" t="str">
        <v/>
      </c>
    </row>
    <row r="10379" spans="326:327">
      <c r="LN10379" t="str">
        <v/>
      </c>
      <c r="LO10379" t="str">
        <v/>
      </c>
    </row>
    <row r="10380" spans="326:327">
      <c r="LN10380" t="str">
        <v/>
      </c>
      <c r="LO10380" t="str">
        <v/>
      </c>
    </row>
    <row r="10381" spans="326:327">
      <c r="LN10381" t="str">
        <v/>
      </c>
      <c r="LO10381" t="str">
        <v/>
      </c>
    </row>
    <row r="10382" spans="326:327">
      <c r="LN10382" t="str">
        <v/>
      </c>
      <c r="LO10382" t="str">
        <v/>
      </c>
    </row>
    <row r="10383" spans="326:327">
      <c r="LN10383" t="str">
        <v/>
      </c>
      <c r="LO10383" t="str">
        <v/>
      </c>
    </row>
    <row r="10384" spans="326:327">
      <c r="LN10384" t="str">
        <v/>
      </c>
      <c r="LO10384" t="str">
        <v/>
      </c>
    </row>
    <row r="10385" spans="326:327">
      <c r="LN10385" t="str">
        <v/>
      </c>
      <c r="LO10385" t="str">
        <v/>
      </c>
    </row>
    <row r="10386" spans="326:327">
      <c r="LN10386" t="str">
        <v/>
      </c>
      <c r="LO10386" t="str">
        <v/>
      </c>
    </row>
    <row r="10387" spans="326:327">
      <c r="LN10387" t="str">
        <v/>
      </c>
      <c r="LO10387" t="str">
        <v/>
      </c>
    </row>
    <row r="10388" spans="326:327">
      <c r="LN10388" t="str">
        <v/>
      </c>
      <c r="LO10388" t="str">
        <v/>
      </c>
    </row>
    <row r="10389" spans="326:327">
      <c r="LN10389" t="str">
        <v/>
      </c>
      <c r="LO10389" t="str">
        <v/>
      </c>
    </row>
    <row r="10390" spans="326:327">
      <c r="LN10390" t="str">
        <v/>
      </c>
      <c r="LO10390" t="str">
        <v/>
      </c>
    </row>
    <row r="10391" spans="326:327">
      <c r="LN10391" t="str">
        <v/>
      </c>
      <c r="LO10391" t="str">
        <v/>
      </c>
    </row>
    <row r="10392" spans="326:327">
      <c r="LN10392" t="str">
        <v/>
      </c>
      <c r="LO10392" t="str">
        <v/>
      </c>
    </row>
    <row r="10393" spans="326:327">
      <c r="LN10393" t="str">
        <v/>
      </c>
      <c r="LO10393" t="str">
        <v/>
      </c>
    </row>
    <row r="10394" spans="326:327">
      <c r="LN10394" t="str">
        <v/>
      </c>
      <c r="LO10394" t="str">
        <v/>
      </c>
    </row>
    <row r="10395" spans="326:327">
      <c r="LN10395" t="str">
        <v/>
      </c>
      <c r="LO10395" t="str">
        <v/>
      </c>
    </row>
    <row r="10396" spans="326:327">
      <c r="LN10396" t="str">
        <v/>
      </c>
      <c r="LO10396" t="str">
        <v/>
      </c>
    </row>
    <row r="10397" spans="326:327">
      <c r="LN10397" t="str">
        <v/>
      </c>
      <c r="LO10397" t="str">
        <v/>
      </c>
    </row>
    <row r="10398" spans="326:327">
      <c r="LN10398" t="str">
        <v/>
      </c>
      <c r="LO10398" t="str">
        <v/>
      </c>
    </row>
    <row r="10399" spans="326:327">
      <c r="LN10399" t="str">
        <v/>
      </c>
      <c r="LO10399" t="str">
        <v/>
      </c>
    </row>
    <row r="10400" spans="326:327">
      <c r="LN10400" t="str">
        <v/>
      </c>
      <c r="LO10400" t="str">
        <v/>
      </c>
    </row>
    <row r="10401" spans="326:327">
      <c r="LN10401" t="str">
        <v/>
      </c>
      <c r="LO10401" t="str">
        <v/>
      </c>
    </row>
    <row r="10402" spans="326:327">
      <c r="LN10402" t="str">
        <v/>
      </c>
      <c r="LO10402" t="str">
        <v/>
      </c>
    </row>
    <row r="10403" spans="326:327">
      <c r="LN10403" t="str">
        <v/>
      </c>
      <c r="LO10403" t="str">
        <v/>
      </c>
    </row>
    <row r="10404" spans="326:327">
      <c r="LN10404" t="str">
        <v/>
      </c>
      <c r="LO10404" t="str">
        <v/>
      </c>
    </row>
    <row r="10405" spans="326:327">
      <c r="LN10405" t="str">
        <v/>
      </c>
      <c r="LO10405" t="str">
        <v/>
      </c>
    </row>
    <row r="10406" spans="326:327">
      <c r="LN10406" t="str">
        <v/>
      </c>
      <c r="LO10406" t="str">
        <v/>
      </c>
    </row>
    <row r="10407" spans="326:327">
      <c r="LN10407" t="str">
        <v/>
      </c>
      <c r="LO10407" t="str">
        <v/>
      </c>
    </row>
    <row r="10408" spans="326:327">
      <c r="LN10408" t="str">
        <v/>
      </c>
      <c r="LO10408" t="str">
        <v/>
      </c>
    </row>
    <row r="10409" spans="326:327">
      <c r="LN10409" t="str">
        <v/>
      </c>
      <c r="LO10409" t="str">
        <v/>
      </c>
    </row>
    <row r="10410" spans="326:327">
      <c r="LN10410" t="str">
        <v/>
      </c>
      <c r="LO10410" t="str">
        <v/>
      </c>
    </row>
    <row r="10411" spans="326:327">
      <c r="LN10411" t="str">
        <v/>
      </c>
      <c r="LO10411" t="str">
        <v/>
      </c>
    </row>
    <row r="10412" spans="326:327">
      <c r="LN10412" t="str">
        <v/>
      </c>
      <c r="LO10412" t="str">
        <v/>
      </c>
    </row>
    <row r="10413" spans="326:327">
      <c r="LN10413" t="str">
        <v/>
      </c>
      <c r="LO10413" t="str">
        <v/>
      </c>
    </row>
    <row r="10414" spans="326:327">
      <c r="LN10414" t="str">
        <v/>
      </c>
      <c r="LO10414" t="str">
        <v/>
      </c>
    </row>
    <row r="10415" spans="326:327">
      <c r="LN10415" t="str">
        <v/>
      </c>
      <c r="LO10415" t="str">
        <v/>
      </c>
    </row>
    <row r="10416" spans="326:327">
      <c r="LN10416" t="str">
        <v/>
      </c>
      <c r="LO10416" t="str">
        <v/>
      </c>
    </row>
    <row r="10417" spans="326:327">
      <c r="LN10417" t="str">
        <v/>
      </c>
      <c r="LO10417" t="str">
        <v/>
      </c>
    </row>
    <row r="10418" spans="326:327">
      <c r="LN10418" t="str">
        <v/>
      </c>
      <c r="LO10418" t="str">
        <v/>
      </c>
    </row>
    <row r="10419" spans="326:327">
      <c r="LN10419" t="str">
        <v/>
      </c>
      <c r="LO10419" t="str">
        <v/>
      </c>
    </row>
    <row r="10420" spans="326:327">
      <c r="LN10420" t="str">
        <v/>
      </c>
      <c r="LO10420" t="str">
        <v/>
      </c>
    </row>
    <row r="10421" spans="326:327">
      <c r="LN10421" t="str">
        <v/>
      </c>
      <c r="LO10421" t="str">
        <v/>
      </c>
    </row>
    <row r="10422" spans="326:327">
      <c r="LN10422" t="str">
        <v/>
      </c>
      <c r="LO10422" t="str">
        <v/>
      </c>
    </row>
    <row r="10423" spans="326:327">
      <c r="LN10423" t="str">
        <v/>
      </c>
      <c r="LO10423" t="str">
        <v/>
      </c>
    </row>
    <row r="10424" spans="326:327">
      <c r="LN10424" t="str">
        <v/>
      </c>
      <c r="LO10424" t="str">
        <v/>
      </c>
    </row>
    <row r="10425" spans="326:327">
      <c r="LN10425" t="str">
        <v/>
      </c>
      <c r="LO10425" t="str">
        <v/>
      </c>
    </row>
    <row r="10426" spans="326:327">
      <c r="LN10426" t="str">
        <v/>
      </c>
      <c r="LO10426" t="str">
        <v/>
      </c>
    </row>
    <row r="10427" spans="326:327">
      <c r="LN10427" t="str">
        <v/>
      </c>
      <c r="LO10427" t="str">
        <v/>
      </c>
    </row>
    <row r="10428" spans="326:327">
      <c r="LN10428" t="str">
        <v/>
      </c>
      <c r="LO10428" t="str">
        <v/>
      </c>
    </row>
    <row r="10429" spans="326:327">
      <c r="LN10429" t="str">
        <v/>
      </c>
      <c r="LO10429" t="str">
        <v/>
      </c>
    </row>
    <row r="10430" spans="326:327">
      <c r="LN10430" t="str">
        <v/>
      </c>
      <c r="LO10430" t="str">
        <v/>
      </c>
    </row>
    <row r="10431" spans="326:327">
      <c r="LN10431" t="str">
        <v/>
      </c>
      <c r="LO10431" t="str">
        <v/>
      </c>
    </row>
    <row r="10432" spans="326:327">
      <c r="LN10432" t="str">
        <v/>
      </c>
      <c r="LO10432" t="str">
        <v/>
      </c>
    </row>
    <row r="10433" spans="326:327">
      <c r="LN10433" t="str">
        <v/>
      </c>
      <c r="LO10433" t="str">
        <v/>
      </c>
    </row>
    <row r="10434" spans="326:327">
      <c r="LN10434" t="str">
        <v/>
      </c>
      <c r="LO10434" t="str">
        <v/>
      </c>
    </row>
    <row r="10435" spans="326:327">
      <c r="LN10435" t="str">
        <v/>
      </c>
      <c r="LO10435" t="str">
        <v/>
      </c>
    </row>
    <row r="10436" spans="326:327">
      <c r="LN10436" t="str">
        <v/>
      </c>
      <c r="LO10436" t="str">
        <v/>
      </c>
    </row>
    <row r="10437" spans="326:327">
      <c r="LN10437" t="str">
        <v/>
      </c>
      <c r="LO10437" t="str">
        <v/>
      </c>
    </row>
    <row r="10438" spans="326:327">
      <c r="LN10438" t="str">
        <v/>
      </c>
      <c r="LO10438" t="str">
        <v/>
      </c>
    </row>
    <row r="10439" spans="326:327">
      <c r="LN10439" t="str">
        <v/>
      </c>
      <c r="LO10439" t="str">
        <v/>
      </c>
    </row>
    <row r="10440" spans="326:327">
      <c r="LN10440" t="str">
        <v/>
      </c>
      <c r="LO10440" t="str">
        <v/>
      </c>
    </row>
    <row r="10441" spans="326:327">
      <c r="LN10441" t="str">
        <v/>
      </c>
      <c r="LO10441" t="str">
        <v/>
      </c>
    </row>
    <row r="10442" spans="326:327">
      <c r="LN10442" t="str">
        <v/>
      </c>
      <c r="LO10442" t="str">
        <v/>
      </c>
    </row>
    <row r="10443" spans="326:327">
      <c r="LN10443" t="str">
        <v/>
      </c>
      <c r="LO10443" t="str">
        <v/>
      </c>
    </row>
    <row r="10444" spans="326:327">
      <c r="LN10444" t="str">
        <v/>
      </c>
      <c r="LO10444" t="str">
        <v/>
      </c>
    </row>
    <row r="10445" spans="326:327">
      <c r="LN10445" t="str">
        <v/>
      </c>
      <c r="LO10445" t="str">
        <v/>
      </c>
    </row>
    <row r="10446" spans="326:327">
      <c r="LN10446" t="str">
        <v/>
      </c>
      <c r="LO10446" t="str">
        <v/>
      </c>
    </row>
    <row r="10447" spans="326:327">
      <c r="LN10447" t="str">
        <v/>
      </c>
      <c r="LO10447" t="str">
        <v/>
      </c>
    </row>
    <row r="10448" spans="326:327">
      <c r="LN10448" t="str">
        <v/>
      </c>
      <c r="LO10448" t="str">
        <v/>
      </c>
    </row>
    <row r="10449" spans="326:327">
      <c r="LN10449" t="str">
        <v/>
      </c>
      <c r="LO10449" t="str">
        <v/>
      </c>
    </row>
    <row r="10450" spans="326:327">
      <c r="LN10450" t="str">
        <v/>
      </c>
      <c r="LO10450" t="str">
        <v/>
      </c>
    </row>
    <row r="10451" spans="326:327">
      <c r="LN10451" t="str">
        <v/>
      </c>
      <c r="LO10451" t="str">
        <v/>
      </c>
    </row>
    <row r="10452" spans="326:327">
      <c r="LN10452" t="str">
        <v/>
      </c>
      <c r="LO10452" t="str">
        <v/>
      </c>
    </row>
    <row r="10453" spans="326:327">
      <c r="LN10453" t="str">
        <v/>
      </c>
      <c r="LO10453" t="str">
        <v/>
      </c>
    </row>
    <row r="10454" spans="326:327">
      <c r="LN10454" t="str">
        <v/>
      </c>
      <c r="LO10454" t="str">
        <v/>
      </c>
    </row>
    <row r="10455" spans="326:327">
      <c r="LN10455" t="str">
        <v/>
      </c>
      <c r="LO10455" t="str">
        <v/>
      </c>
    </row>
    <row r="10456" spans="326:327">
      <c r="LN10456" t="str">
        <v/>
      </c>
      <c r="LO10456" t="str">
        <v/>
      </c>
    </row>
    <row r="10457" spans="326:327">
      <c r="LN10457" t="str">
        <v/>
      </c>
      <c r="LO10457" t="str">
        <v/>
      </c>
    </row>
    <row r="10458" spans="326:327">
      <c r="LN10458" t="str">
        <v/>
      </c>
      <c r="LO10458" t="str">
        <v/>
      </c>
    </row>
    <row r="10459" spans="326:327">
      <c r="LN10459" t="str">
        <v/>
      </c>
      <c r="LO10459" t="str">
        <v/>
      </c>
    </row>
    <row r="10460" spans="326:327">
      <c r="LN10460" t="str">
        <v/>
      </c>
      <c r="LO10460" t="str">
        <v/>
      </c>
    </row>
    <row r="10461" spans="326:327">
      <c r="LN10461" t="str">
        <v/>
      </c>
      <c r="LO10461" t="str">
        <v/>
      </c>
    </row>
    <row r="10462" spans="326:327">
      <c r="LN10462" t="str">
        <v/>
      </c>
      <c r="LO10462" t="str">
        <v/>
      </c>
    </row>
    <row r="10463" spans="326:327">
      <c r="LN10463" t="str">
        <v/>
      </c>
      <c r="LO10463" t="str">
        <v/>
      </c>
    </row>
    <row r="10464" spans="326:327">
      <c r="LN10464" t="str">
        <v/>
      </c>
      <c r="LO10464" t="str">
        <v/>
      </c>
    </row>
    <row r="10465" spans="326:327">
      <c r="LN10465" t="str">
        <v/>
      </c>
      <c r="LO10465" t="str">
        <v/>
      </c>
    </row>
    <row r="10466" spans="326:327">
      <c r="LN10466" t="str">
        <v/>
      </c>
      <c r="LO10466" t="str">
        <v/>
      </c>
    </row>
    <row r="10467" spans="326:327">
      <c r="LN10467" t="str">
        <v/>
      </c>
      <c r="LO10467" t="str">
        <v/>
      </c>
    </row>
    <row r="10468" spans="326:327">
      <c r="LN10468" t="str">
        <v/>
      </c>
      <c r="LO10468" t="str">
        <v/>
      </c>
    </row>
    <row r="10469" spans="326:327">
      <c r="LN10469" t="str">
        <v/>
      </c>
      <c r="LO10469" t="str">
        <v/>
      </c>
    </row>
    <row r="10470" spans="326:327">
      <c r="LN10470" t="str">
        <v/>
      </c>
      <c r="LO10470" t="str">
        <v/>
      </c>
    </row>
    <row r="10471" spans="326:327">
      <c r="LN10471" t="str">
        <v/>
      </c>
      <c r="LO10471" t="str">
        <v/>
      </c>
    </row>
    <row r="10472" spans="326:327">
      <c r="LN10472" t="str">
        <v/>
      </c>
      <c r="LO10472" t="str">
        <v/>
      </c>
    </row>
    <row r="10473" spans="326:327">
      <c r="LN10473" t="str">
        <v/>
      </c>
      <c r="LO10473" t="str">
        <v/>
      </c>
    </row>
    <row r="10474" spans="326:327">
      <c r="LN10474" t="str">
        <v/>
      </c>
      <c r="LO10474" t="str">
        <v/>
      </c>
    </row>
    <row r="10475" spans="326:327">
      <c r="LN10475" t="str">
        <v/>
      </c>
      <c r="LO10475" t="str">
        <v/>
      </c>
    </row>
    <row r="10476" spans="326:327">
      <c r="LN10476" t="str">
        <v/>
      </c>
      <c r="LO10476" t="str">
        <v/>
      </c>
    </row>
    <row r="10477" spans="326:327">
      <c r="LN10477" t="str">
        <v/>
      </c>
      <c r="LO10477" t="str">
        <v/>
      </c>
    </row>
    <row r="10478" spans="326:327">
      <c r="LN10478" t="str">
        <v/>
      </c>
      <c r="LO10478" t="str">
        <v/>
      </c>
    </row>
    <row r="10479" spans="326:327">
      <c r="LN10479" t="str">
        <v/>
      </c>
      <c r="LO10479" t="str">
        <v/>
      </c>
    </row>
    <row r="10480" spans="326:327">
      <c r="LN10480" t="str">
        <v/>
      </c>
      <c r="LO10480" t="str">
        <v/>
      </c>
    </row>
    <row r="10481" spans="326:327">
      <c r="LN10481" t="str">
        <v/>
      </c>
      <c r="LO10481" t="str">
        <v/>
      </c>
    </row>
    <row r="10482" spans="326:327">
      <c r="LN10482" t="str">
        <v/>
      </c>
      <c r="LO10482" t="str">
        <v/>
      </c>
    </row>
    <row r="10483" spans="326:327">
      <c r="LN10483" t="str">
        <v/>
      </c>
      <c r="LO10483" t="str">
        <v/>
      </c>
    </row>
    <row r="10484" spans="326:327">
      <c r="LN10484" t="str">
        <v/>
      </c>
      <c r="LO10484" t="str">
        <v/>
      </c>
    </row>
    <row r="10485" spans="326:327">
      <c r="LN10485" t="str">
        <v/>
      </c>
      <c r="LO10485" t="str">
        <v/>
      </c>
    </row>
    <row r="10486" spans="326:327">
      <c r="LN10486" t="str">
        <v/>
      </c>
      <c r="LO10486" t="str">
        <v/>
      </c>
    </row>
    <row r="10487" spans="326:327">
      <c r="LN10487" t="str">
        <v/>
      </c>
      <c r="LO10487" t="str">
        <v/>
      </c>
    </row>
    <row r="10488" spans="326:327">
      <c r="LN10488" t="str">
        <v/>
      </c>
      <c r="LO10488" t="str">
        <v/>
      </c>
    </row>
    <row r="10489" spans="326:327">
      <c r="LN10489" t="str">
        <v/>
      </c>
      <c r="LO10489" t="str">
        <v/>
      </c>
    </row>
    <row r="10490" spans="326:327">
      <c r="LN10490" t="str">
        <v/>
      </c>
      <c r="LO10490" t="str">
        <v/>
      </c>
    </row>
    <row r="10491" spans="326:327">
      <c r="LN10491" t="str">
        <v/>
      </c>
      <c r="LO10491" t="str">
        <v/>
      </c>
    </row>
    <row r="10492" spans="326:327">
      <c r="LN10492" t="str">
        <v/>
      </c>
      <c r="LO10492" t="str">
        <v/>
      </c>
    </row>
    <row r="10493" spans="326:327">
      <c r="LN10493" t="str">
        <v/>
      </c>
      <c r="LO10493" t="str">
        <v/>
      </c>
    </row>
    <row r="10494" spans="326:327">
      <c r="LN10494" t="str">
        <v/>
      </c>
      <c r="LO10494" t="str">
        <v/>
      </c>
    </row>
    <row r="10495" spans="326:327">
      <c r="LN10495" t="str">
        <v/>
      </c>
      <c r="LO10495" t="str">
        <v/>
      </c>
    </row>
    <row r="10496" spans="326:327">
      <c r="LN10496" t="str">
        <v/>
      </c>
      <c r="LO10496" t="str">
        <v/>
      </c>
    </row>
    <row r="10497" spans="326:327">
      <c r="LN10497" t="str">
        <v/>
      </c>
      <c r="LO10497" t="str">
        <v/>
      </c>
    </row>
    <row r="10498" spans="326:327">
      <c r="LN10498" t="str">
        <v/>
      </c>
      <c r="LO10498" t="str">
        <v/>
      </c>
    </row>
    <row r="10499" spans="326:327">
      <c r="LN10499" t="str">
        <v/>
      </c>
      <c r="LO10499" t="str">
        <v/>
      </c>
    </row>
    <row r="10500" spans="326:327">
      <c r="LN10500" t="str">
        <v/>
      </c>
      <c r="LO10500" t="str">
        <v/>
      </c>
    </row>
    <row r="10501" spans="326:327">
      <c r="LN10501" t="str">
        <v/>
      </c>
      <c r="LO10501" t="str">
        <v/>
      </c>
    </row>
    <row r="10502" spans="326:327">
      <c r="LN10502" t="str">
        <v/>
      </c>
      <c r="LO10502" t="str">
        <v/>
      </c>
    </row>
    <row r="10503" spans="326:327">
      <c r="LN10503" t="str">
        <v/>
      </c>
      <c r="LO10503" t="str">
        <v/>
      </c>
    </row>
    <row r="10504" spans="326:327">
      <c r="LN10504" t="str">
        <v/>
      </c>
      <c r="LO10504" t="str">
        <v/>
      </c>
    </row>
    <row r="10505" spans="326:327">
      <c r="LN10505" t="str">
        <v/>
      </c>
      <c r="LO10505" t="str">
        <v/>
      </c>
    </row>
    <row r="10506" spans="326:327">
      <c r="LN10506" t="str">
        <v/>
      </c>
      <c r="LO10506" t="str">
        <v/>
      </c>
    </row>
    <row r="10507" spans="326:327">
      <c r="LN10507" t="str">
        <v/>
      </c>
      <c r="LO10507" t="str">
        <v/>
      </c>
    </row>
    <row r="10508" spans="326:327">
      <c r="LN10508" t="str">
        <v/>
      </c>
      <c r="LO10508" t="str">
        <v/>
      </c>
    </row>
    <row r="10509" spans="326:327">
      <c r="LN10509" t="str">
        <v/>
      </c>
      <c r="LO10509" t="str">
        <v/>
      </c>
    </row>
    <row r="10510" spans="326:327">
      <c r="LN10510" t="str">
        <v/>
      </c>
      <c r="LO10510" t="str">
        <v/>
      </c>
    </row>
    <row r="10511" spans="326:327">
      <c r="LN10511" t="str">
        <v/>
      </c>
      <c r="LO10511" t="str">
        <v/>
      </c>
    </row>
    <row r="10512" spans="326:327">
      <c r="LN10512" t="str">
        <v/>
      </c>
      <c r="LO10512" t="str">
        <v/>
      </c>
    </row>
    <row r="10513" spans="326:327">
      <c r="LN10513" t="str">
        <v/>
      </c>
      <c r="LO10513" t="str">
        <v/>
      </c>
    </row>
    <row r="10514" spans="326:327">
      <c r="LN10514" t="str">
        <v/>
      </c>
      <c r="LO10514" t="str">
        <v/>
      </c>
    </row>
    <row r="10515" spans="326:327">
      <c r="LN10515" t="str">
        <v/>
      </c>
      <c r="LO10515" t="str">
        <v/>
      </c>
    </row>
    <row r="10516" spans="326:327">
      <c r="LN10516" t="str">
        <v/>
      </c>
      <c r="LO10516" t="str">
        <v/>
      </c>
    </row>
    <row r="10517" spans="326:327">
      <c r="LN10517" t="str">
        <v/>
      </c>
      <c r="LO10517" t="str">
        <v/>
      </c>
    </row>
    <row r="10518" spans="326:327">
      <c r="LN10518" t="str">
        <v/>
      </c>
      <c r="LO10518" t="str">
        <v/>
      </c>
    </row>
    <row r="10519" spans="326:327">
      <c r="LN10519" t="str">
        <v/>
      </c>
      <c r="LO10519" t="str">
        <v/>
      </c>
    </row>
    <row r="10520" spans="326:327">
      <c r="LN10520" t="str">
        <v/>
      </c>
      <c r="LO10520" t="str">
        <v/>
      </c>
    </row>
    <row r="10521" spans="326:327">
      <c r="LN10521" t="str">
        <v/>
      </c>
      <c r="LO10521" t="str">
        <v/>
      </c>
    </row>
    <row r="10522" spans="326:327">
      <c r="LN10522" t="str">
        <v/>
      </c>
      <c r="LO10522" t="str">
        <v/>
      </c>
    </row>
    <row r="10523" spans="326:327">
      <c r="LN10523" t="str">
        <v/>
      </c>
      <c r="LO10523" t="str">
        <v/>
      </c>
    </row>
    <row r="10524" spans="326:327">
      <c r="LN10524" t="str">
        <v/>
      </c>
      <c r="LO10524" t="str">
        <v/>
      </c>
    </row>
    <row r="10525" spans="326:327">
      <c r="LN10525" t="str">
        <v/>
      </c>
      <c r="LO10525" t="str">
        <v/>
      </c>
    </row>
    <row r="10526" spans="326:327">
      <c r="LN10526" t="str">
        <v/>
      </c>
      <c r="LO10526" t="str">
        <v/>
      </c>
    </row>
    <row r="10527" spans="326:327">
      <c r="LN10527" t="str">
        <v/>
      </c>
      <c r="LO10527" t="str">
        <v/>
      </c>
    </row>
    <row r="10528" spans="326:327">
      <c r="LN10528" t="str">
        <v/>
      </c>
      <c r="LO10528" t="str">
        <v/>
      </c>
    </row>
    <row r="10529" spans="326:327">
      <c r="LN10529" t="str">
        <v/>
      </c>
      <c r="LO10529" t="str">
        <v/>
      </c>
    </row>
    <row r="10530" spans="326:327">
      <c r="LN10530" t="str">
        <v/>
      </c>
      <c r="LO10530" t="str">
        <v/>
      </c>
    </row>
    <row r="10531" spans="326:327">
      <c r="LN10531" t="str">
        <v/>
      </c>
      <c r="LO10531" t="str">
        <v/>
      </c>
    </row>
    <row r="10532" spans="326:327">
      <c r="LN10532" t="str">
        <v/>
      </c>
      <c r="LO10532" t="str">
        <v/>
      </c>
    </row>
    <row r="10533" spans="326:327">
      <c r="LN10533" t="str">
        <v/>
      </c>
      <c r="LO10533" t="str">
        <v/>
      </c>
    </row>
    <row r="10534" spans="326:327">
      <c r="LN10534" t="str">
        <v/>
      </c>
      <c r="LO10534" t="str">
        <v/>
      </c>
    </row>
    <row r="10535" spans="326:327">
      <c r="LN10535" t="str">
        <v/>
      </c>
      <c r="LO10535" t="str">
        <v/>
      </c>
    </row>
    <row r="10536" spans="326:327">
      <c r="LN10536" t="str">
        <v/>
      </c>
      <c r="LO10536" t="str">
        <v/>
      </c>
    </row>
    <row r="10537" spans="326:327">
      <c r="LN10537" t="str">
        <v/>
      </c>
      <c r="LO10537" t="str">
        <v/>
      </c>
    </row>
    <row r="10538" spans="326:327">
      <c r="LN10538" t="str">
        <v/>
      </c>
      <c r="LO10538" t="str">
        <v/>
      </c>
    </row>
    <row r="10539" spans="326:327">
      <c r="LN10539" t="str">
        <v/>
      </c>
      <c r="LO10539" t="str">
        <v/>
      </c>
    </row>
    <row r="10540" spans="326:327">
      <c r="LN10540" t="str">
        <v/>
      </c>
      <c r="LO10540" t="str">
        <v/>
      </c>
    </row>
    <row r="10541" spans="326:327">
      <c r="LN10541" t="str">
        <v/>
      </c>
      <c r="LO10541" t="str">
        <v/>
      </c>
    </row>
    <row r="10542" spans="326:327">
      <c r="LN10542" t="str">
        <v/>
      </c>
      <c r="LO10542" t="str">
        <v/>
      </c>
    </row>
    <row r="10543" spans="326:327">
      <c r="LN10543" t="str">
        <v/>
      </c>
      <c r="LO10543" t="str">
        <v/>
      </c>
    </row>
    <row r="10544" spans="326:327">
      <c r="LN10544" t="str">
        <v/>
      </c>
      <c r="LO10544" t="str">
        <v/>
      </c>
    </row>
    <row r="10545" spans="326:327">
      <c r="LN10545" t="str">
        <v/>
      </c>
      <c r="LO10545" t="str">
        <v/>
      </c>
    </row>
    <row r="10546" spans="326:327">
      <c r="LN10546" t="str">
        <v/>
      </c>
      <c r="LO10546" t="str">
        <v/>
      </c>
    </row>
    <row r="10547" spans="326:327">
      <c r="LN10547" t="str">
        <v/>
      </c>
      <c r="LO10547" t="str">
        <v/>
      </c>
    </row>
    <row r="10548" spans="326:327">
      <c r="LN10548" t="str">
        <v/>
      </c>
      <c r="LO10548" t="str">
        <v/>
      </c>
    </row>
    <row r="10549" spans="326:327">
      <c r="LN10549" t="str">
        <v/>
      </c>
      <c r="LO10549" t="str">
        <v/>
      </c>
    </row>
    <row r="10550" spans="326:327">
      <c r="LN10550" t="str">
        <v/>
      </c>
      <c r="LO10550" t="str">
        <v/>
      </c>
    </row>
    <row r="10551" spans="326:327">
      <c r="LN10551" t="str">
        <v/>
      </c>
      <c r="LO10551" t="str">
        <v/>
      </c>
    </row>
    <row r="10552" spans="326:327">
      <c r="LN10552" t="str">
        <v/>
      </c>
      <c r="LO10552" t="str">
        <v/>
      </c>
    </row>
    <row r="10553" spans="326:327">
      <c r="LN10553" t="str">
        <v/>
      </c>
      <c r="LO10553" t="str">
        <v/>
      </c>
    </row>
    <row r="10554" spans="326:327">
      <c r="LN10554" t="str">
        <v/>
      </c>
      <c r="LO10554" t="str">
        <v/>
      </c>
    </row>
    <row r="10555" spans="326:327">
      <c r="LN10555" t="str">
        <v/>
      </c>
      <c r="LO10555" t="str">
        <v/>
      </c>
    </row>
    <row r="10556" spans="326:327">
      <c r="LN10556" t="str">
        <v/>
      </c>
      <c r="LO10556" t="str">
        <v/>
      </c>
    </row>
    <row r="10557" spans="326:327">
      <c r="LN10557" t="str">
        <v/>
      </c>
      <c r="LO10557" t="str">
        <v/>
      </c>
    </row>
    <row r="10558" spans="326:327">
      <c r="LN10558" t="str">
        <v/>
      </c>
      <c r="LO10558" t="str">
        <v/>
      </c>
    </row>
    <row r="10559" spans="326:327">
      <c r="LN10559" t="str">
        <v/>
      </c>
      <c r="LO10559" t="str">
        <v/>
      </c>
    </row>
    <row r="10560" spans="326:327">
      <c r="LN10560" t="str">
        <v/>
      </c>
      <c r="LO10560" t="str">
        <v/>
      </c>
    </row>
    <row r="10561" spans="326:327">
      <c r="LN10561" t="str">
        <v/>
      </c>
      <c r="LO10561" t="str">
        <v/>
      </c>
    </row>
    <row r="10562" spans="326:327">
      <c r="LN10562" t="str">
        <v/>
      </c>
      <c r="LO10562" t="str">
        <v/>
      </c>
    </row>
    <row r="10563" spans="326:327">
      <c r="LN10563" t="str">
        <v/>
      </c>
      <c r="LO10563" t="str">
        <v/>
      </c>
    </row>
    <row r="10564" spans="326:327">
      <c r="LN10564" t="str">
        <v/>
      </c>
      <c r="LO10564" t="str">
        <v/>
      </c>
    </row>
    <row r="10565" spans="326:327">
      <c r="LN10565" t="str">
        <v/>
      </c>
      <c r="LO10565" t="str">
        <v/>
      </c>
    </row>
    <row r="10566" spans="326:327">
      <c r="LN10566" t="str">
        <v/>
      </c>
      <c r="LO10566" t="str">
        <v/>
      </c>
    </row>
    <row r="10567" spans="326:327">
      <c r="LN10567" t="str">
        <v/>
      </c>
      <c r="LO10567" t="str">
        <v/>
      </c>
    </row>
    <row r="10568" spans="326:327">
      <c r="LN10568" t="str">
        <v/>
      </c>
      <c r="LO10568" t="str">
        <v/>
      </c>
    </row>
    <row r="10569" spans="326:327">
      <c r="LN10569" t="str">
        <v/>
      </c>
      <c r="LO10569" t="str">
        <v/>
      </c>
    </row>
    <row r="10570" spans="326:327">
      <c r="LN10570" t="str">
        <v/>
      </c>
      <c r="LO10570" t="str">
        <v/>
      </c>
    </row>
    <row r="10571" spans="326:327">
      <c r="LN10571" t="str">
        <v/>
      </c>
      <c r="LO10571" t="str">
        <v/>
      </c>
    </row>
    <row r="10572" spans="326:327">
      <c r="LN10572" t="str">
        <v/>
      </c>
      <c r="LO10572" t="str">
        <v/>
      </c>
    </row>
    <row r="10573" spans="326:327">
      <c r="LN10573" t="str">
        <v/>
      </c>
      <c r="LO10573" t="str">
        <v/>
      </c>
    </row>
    <row r="10574" spans="326:327">
      <c r="LN10574" t="str">
        <v/>
      </c>
      <c r="LO10574" t="str">
        <v/>
      </c>
    </row>
    <row r="10575" spans="326:327">
      <c r="LN10575" t="str">
        <v/>
      </c>
      <c r="LO10575" t="str">
        <v/>
      </c>
    </row>
    <row r="10576" spans="326:327">
      <c r="LN10576" t="str">
        <v/>
      </c>
      <c r="LO10576" t="str">
        <v/>
      </c>
    </row>
    <row r="10577" spans="326:327">
      <c r="LN10577" t="str">
        <v/>
      </c>
      <c r="LO10577" t="str">
        <v/>
      </c>
    </row>
    <row r="10578" spans="326:327">
      <c r="LN10578" t="str">
        <v/>
      </c>
      <c r="LO10578" t="str">
        <v/>
      </c>
    </row>
    <row r="10579" spans="326:327">
      <c r="LN10579" t="str">
        <v/>
      </c>
      <c r="LO10579" t="str">
        <v/>
      </c>
    </row>
    <row r="10580" spans="326:327">
      <c r="LN10580" t="str">
        <v/>
      </c>
      <c r="LO10580" t="str">
        <v/>
      </c>
    </row>
    <row r="10581" spans="326:327">
      <c r="LN10581" t="str">
        <v/>
      </c>
      <c r="LO10581" t="str">
        <v/>
      </c>
    </row>
    <row r="10582" spans="326:327">
      <c r="LN10582" t="str">
        <v/>
      </c>
      <c r="LO10582" t="str">
        <v/>
      </c>
    </row>
    <row r="10583" spans="326:327">
      <c r="LN10583" t="str">
        <v/>
      </c>
      <c r="LO10583" t="str">
        <v/>
      </c>
    </row>
    <row r="10584" spans="326:327">
      <c r="LN10584" t="str">
        <v/>
      </c>
      <c r="LO10584" t="str">
        <v/>
      </c>
    </row>
    <row r="10585" spans="326:327">
      <c r="LN10585" t="str">
        <v/>
      </c>
      <c r="LO10585" t="str">
        <v/>
      </c>
    </row>
    <row r="10586" spans="326:327">
      <c r="LN10586" t="str">
        <v/>
      </c>
      <c r="LO10586" t="str">
        <v/>
      </c>
    </row>
    <row r="10587" spans="326:327">
      <c r="LN10587" t="str">
        <v/>
      </c>
      <c r="LO10587" t="str">
        <v/>
      </c>
    </row>
    <row r="10588" spans="326:327">
      <c r="LN10588" t="str">
        <v/>
      </c>
      <c r="LO10588" t="str">
        <v/>
      </c>
    </row>
    <row r="10589" spans="326:327">
      <c r="LN10589" t="str">
        <v/>
      </c>
      <c r="LO10589" t="str">
        <v/>
      </c>
    </row>
    <row r="10590" spans="326:327">
      <c r="LN10590" t="str">
        <v/>
      </c>
      <c r="LO10590" t="str">
        <v/>
      </c>
    </row>
    <row r="10591" spans="326:327">
      <c r="LN10591" t="str">
        <v/>
      </c>
      <c r="LO10591" t="str">
        <v/>
      </c>
    </row>
    <row r="10592" spans="326:327">
      <c r="LN10592" t="str">
        <v/>
      </c>
      <c r="LO10592" t="str">
        <v/>
      </c>
    </row>
    <row r="10593" spans="326:327">
      <c r="LN10593" t="str">
        <v/>
      </c>
      <c r="LO10593" t="str">
        <v/>
      </c>
    </row>
    <row r="10594" spans="326:327">
      <c r="LN10594" t="str">
        <v/>
      </c>
      <c r="LO10594" t="str">
        <v/>
      </c>
    </row>
    <row r="10595" spans="326:327">
      <c r="LN10595" t="str">
        <v/>
      </c>
      <c r="LO10595" t="str">
        <v/>
      </c>
    </row>
    <row r="10596" spans="326:327">
      <c r="LN10596" t="str">
        <v/>
      </c>
      <c r="LO10596" t="str">
        <v/>
      </c>
    </row>
    <row r="10597" spans="326:327">
      <c r="LN10597" t="str">
        <v/>
      </c>
      <c r="LO10597" t="str">
        <v/>
      </c>
    </row>
    <row r="10598" spans="326:327">
      <c r="LN10598" t="str">
        <v/>
      </c>
      <c r="LO10598" t="str">
        <v/>
      </c>
    </row>
    <row r="10599" spans="326:327">
      <c r="LN10599" t="str">
        <v/>
      </c>
      <c r="LO10599" t="str">
        <v/>
      </c>
    </row>
    <row r="10600" spans="326:327">
      <c r="LN10600" t="str">
        <v/>
      </c>
      <c r="LO10600" t="str">
        <v/>
      </c>
    </row>
    <row r="10601" spans="326:327">
      <c r="LN10601" t="str">
        <v/>
      </c>
      <c r="LO10601" t="str">
        <v/>
      </c>
    </row>
    <row r="10602" spans="326:327">
      <c r="LN10602" t="str">
        <v/>
      </c>
      <c r="LO10602" t="str">
        <v/>
      </c>
    </row>
    <row r="10603" spans="326:327">
      <c r="LN10603" t="str">
        <v/>
      </c>
      <c r="LO10603" t="str">
        <v/>
      </c>
    </row>
    <row r="10604" spans="326:327">
      <c r="LN10604" t="str">
        <v/>
      </c>
      <c r="LO10604" t="str">
        <v/>
      </c>
    </row>
    <row r="10605" spans="326:327">
      <c r="LN10605" t="str">
        <v/>
      </c>
      <c r="LO10605" t="str">
        <v/>
      </c>
    </row>
    <row r="10606" spans="326:327">
      <c r="LN10606" t="str">
        <v/>
      </c>
      <c r="LO10606" t="str">
        <v/>
      </c>
    </row>
    <row r="10607" spans="326:327">
      <c r="LN10607" t="str">
        <v/>
      </c>
      <c r="LO10607" t="str">
        <v/>
      </c>
    </row>
    <row r="10608" spans="326:327">
      <c r="LN10608" t="str">
        <v/>
      </c>
      <c r="LO10608" t="str">
        <v/>
      </c>
    </row>
    <row r="10609" spans="326:327">
      <c r="LN10609" t="str">
        <v/>
      </c>
      <c r="LO10609" t="str">
        <v/>
      </c>
    </row>
    <row r="10610" spans="326:327">
      <c r="LN10610" t="str">
        <v/>
      </c>
      <c r="LO10610" t="str">
        <v/>
      </c>
    </row>
    <row r="10611" spans="326:327">
      <c r="LN10611" t="str">
        <v/>
      </c>
      <c r="LO10611" t="str">
        <v/>
      </c>
    </row>
    <row r="10612" spans="326:327">
      <c r="LN10612" t="str">
        <v/>
      </c>
      <c r="LO10612" t="str">
        <v/>
      </c>
    </row>
    <row r="10613" spans="326:327">
      <c r="LN10613" t="str">
        <v/>
      </c>
      <c r="LO10613" t="str">
        <v/>
      </c>
    </row>
    <row r="10614" spans="326:327">
      <c r="LN10614" t="str">
        <v/>
      </c>
      <c r="LO10614" t="str">
        <v/>
      </c>
    </row>
    <row r="10615" spans="326:327">
      <c r="LN10615" t="str">
        <v/>
      </c>
      <c r="LO10615" t="str">
        <v/>
      </c>
    </row>
    <row r="10616" spans="326:327">
      <c r="LN10616" t="str">
        <v/>
      </c>
      <c r="LO10616" t="str">
        <v/>
      </c>
    </row>
    <row r="10617" spans="326:327">
      <c r="LN10617" t="str">
        <v/>
      </c>
      <c r="LO10617" t="str">
        <v/>
      </c>
    </row>
    <row r="10618" spans="326:327">
      <c r="LN10618" t="str">
        <v/>
      </c>
      <c r="LO10618" t="str">
        <v/>
      </c>
    </row>
    <row r="10619" spans="326:327">
      <c r="LN10619" t="str">
        <v/>
      </c>
      <c r="LO10619" t="str">
        <v/>
      </c>
    </row>
    <row r="10620" spans="326:327">
      <c r="LN10620" t="str">
        <v/>
      </c>
      <c r="LO10620" t="str">
        <v/>
      </c>
    </row>
    <row r="10621" spans="326:327">
      <c r="LN10621" t="str">
        <v/>
      </c>
      <c r="LO10621" t="str">
        <v/>
      </c>
    </row>
    <row r="10622" spans="326:327">
      <c r="LN10622" t="str">
        <v/>
      </c>
      <c r="LO10622" t="str">
        <v/>
      </c>
    </row>
    <row r="10623" spans="326:327">
      <c r="LN10623" t="str">
        <v/>
      </c>
      <c r="LO10623" t="str">
        <v/>
      </c>
    </row>
    <row r="10624" spans="326:327">
      <c r="LN10624" t="str">
        <v/>
      </c>
      <c r="LO10624" t="str">
        <v/>
      </c>
    </row>
    <row r="10625" spans="326:327">
      <c r="LN10625" t="str">
        <v/>
      </c>
      <c r="LO10625" t="str">
        <v/>
      </c>
    </row>
    <row r="10626" spans="326:327">
      <c r="LN10626" t="str">
        <v/>
      </c>
      <c r="LO10626" t="str">
        <v/>
      </c>
    </row>
    <row r="10627" spans="326:327">
      <c r="LN10627" t="str">
        <v/>
      </c>
      <c r="LO10627" t="str">
        <v/>
      </c>
    </row>
    <row r="10628" spans="326:327">
      <c r="LN10628" t="str">
        <v/>
      </c>
      <c r="LO10628" t="str">
        <v/>
      </c>
    </row>
    <row r="10629" spans="326:327">
      <c r="LN10629" t="str">
        <v/>
      </c>
      <c r="LO10629" t="str">
        <v/>
      </c>
    </row>
    <row r="10630" spans="326:327">
      <c r="LN10630" t="str">
        <v/>
      </c>
      <c r="LO10630" t="str">
        <v/>
      </c>
    </row>
    <row r="10631" spans="326:327">
      <c r="LN10631" t="str">
        <v/>
      </c>
      <c r="LO10631" t="str">
        <v/>
      </c>
    </row>
    <row r="10632" spans="326:327">
      <c r="LN10632" t="str">
        <v/>
      </c>
      <c r="LO10632" t="str">
        <v/>
      </c>
    </row>
    <row r="10633" spans="326:327">
      <c r="LN10633" t="str">
        <v/>
      </c>
      <c r="LO10633" t="str">
        <v/>
      </c>
    </row>
    <row r="10634" spans="326:327">
      <c r="LN10634" t="str">
        <v/>
      </c>
      <c r="LO10634" t="str">
        <v/>
      </c>
    </row>
    <row r="10635" spans="326:327">
      <c r="LN10635" t="str">
        <v/>
      </c>
      <c r="LO10635" t="str">
        <v/>
      </c>
    </row>
    <row r="10636" spans="326:327">
      <c r="LN10636" t="str">
        <v/>
      </c>
      <c r="LO10636" t="str">
        <v/>
      </c>
    </row>
    <row r="10637" spans="326:327">
      <c r="LN10637" t="str">
        <v/>
      </c>
      <c r="LO10637" t="str">
        <v/>
      </c>
    </row>
    <row r="10638" spans="326:327">
      <c r="LN10638" t="str">
        <v/>
      </c>
      <c r="LO10638" t="str">
        <v/>
      </c>
    </row>
    <row r="10639" spans="326:327">
      <c r="LN10639" t="str">
        <v/>
      </c>
      <c r="LO10639" t="str">
        <v/>
      </c>
    </row>
    <row r="10640" spans="326:327">
      <c r="LN10640" t="str">
        <v/>
      </c>
      <c r="LO10640" t="str">
        <v/>
      </c>
    </row>
    <row r="10641" spans="326:327">
      <c r="LN10641" t="str">
        <v/>
      </c>
      <c r="LO10641" t="str">
        <v/>
      </c>
    </row>
    <row r="10642" spans="326:327">
      <c r="LN10642" t="str">
        <v/>
      </c>
      <c r="LO10642" t="str">
        <v/>
      </c>
    </row>
    <row r="10643" spans="326:327">
      <c r="LN10643" t="str">
        <v/>
      </c>
      <c r="LO10643" t="str">
        <v/>
      </c>
    </row>
    <row r="10644" spans="326:327">
      <c r="LN10644" t="str">
        <v/>
      </c>
      <c r="LO10644" t="str">
        <v/>
      </c>
    </row>
    <row r="10645" spans="326:327">
      <c r="LN10645" t="str">
        <v/>
      </c>
      <c r="LO10645" t="str">
        <v/>
      </c>
    </row>
    <row r="10646" spans="326:327">
      <c r="LN10646" t="str">
        <v/>
      </c>
      <c r="LO10646" t="str">
        <v/>
      </c>
    </row>
    <row r="10647" spans="326:327">
      <c r="LN10647" t="str">
        <v/>
      </c>
      <c r="LO10647" t="str">
        <v/>
      </c>
    </row>
    <row r="10648" spans="326:327">
      <c r="LN10648" t="str">
        <v/>
      </c>
      <c r="LO10648" t="str">
        <v/>
      </c>
    </row>
    <row r="10649" spans="326:327">
      <c r="LN10649" t="str">
        <v/>
      </c>
      <c r="LO10649" t="str">
        <v/>
      </c>
    </row>
    <row r="10650" spans="326:327">
      <c r="LN10650" t="str">
        <v/>
      </c>
      <c r="LO10650" t="str">
        <v/>
      </c>
    </row>
    <row r="10651" spans="326:327">
      <c r="LN10651" t="str">
        <v/>
      </c>
      <c r="LO10651" t="str">
        <v/>
      </c>
    </row>
    <row r="10652" spans="326:327">
      <c r="LN10652" t="str">
        <v/>
      </c>
      <c r="LO10652" t="str">
        <v/>
      </c>
    </row>
    <row r="10653" spans="326:327">
      <c r="LN10653" t="str">
        <v/>
      </c>
      <c r="LO10653" t="str">
        <v/>
      </c>
    </row>
    <row r="10654" spans="326:327">
      <c r="LN10654" t="str">
        <v/>
      </c>
      <c r="LO10654" t="str">
        <v/>
      </c>
    </row>
    <row r="10655" spans="326:327">
      <c r="LN10655" t="str">
        <v/>
      </c>
      <c r="LO10655" t="str">
        <v/>
      </c>
    </row>
    <row r="10656" spans="326:327">
      <c r="LN10656" t="str">
        <v/>
      </c>
      <c r="LO10656" t="str">
        <v/>
      </c>
    </row>
    <row r="10657" spans="326:327">
      <c r="LN10657" t="str">
        <v/>
      </c>
      <c r="LO10657" t="str">
        <v/>
      </c>
    </row>
    <row r="10658" spans="326:327">
      <c r="LN10658" t="str">
        <v/>
      </c>
      <c r="LO10658" t="str">
        <v/>
      </c>
    </row>
    <row r="10659" spans="326:327">
      <c r="LN10659" t="str">
        <v/>
      </c>
      <c r="LO10659" t="str">
        <v/>
      </c>
    </row>
    <row r="10660" spans="326:327">
      <c r="LN10660" t="str">
        <v/>
      </c>
      <c r="LO10660" t="str">
        <v/>
      </c>
    </row>
    <row r="10661" spans="326:327">
      <c r="LN10661" t="str">
        <v/>
      </c>
      <c r="LO10661" t="str">
        <v/>
      </c>
    </row>
    <row r="10662" spans="326:327">
      <c r="LN10662" t="str">
        <v/>
      </c>
      <c r="LO10662" t="str">
        <v/>
      </c>
    </row>
    <row r="10663" spans="326:327">
      <c r="LN10663" t="str">
        <v/>
      </c>
      <c r="LO10663" t="str">
        <v/>
      </c>
    </row>
    <row r="10664" spans="326:327">
      <c r="LN10664" t="str">
        <v/>
      </c>
      <c r="LO10664" t="str">
        <v/>
      </c>
    </row>
    <row r="10665" spans="326:327">
      <c r="LN10665" t="str">
        <v/>
      </c>
      <c r="LO10665" t="str">
        <v/>
      </c>
    </row>
    <row r="10666" spans="326:327">
      <c r="LN10666" t="str">
        <v/>
      </c>
      <c r="LO10666" t="str">
        <v/>
      </c>
    </row>
    <row r="10667" spans="326:327">
      <c r="LN10667" t="str">
        <v/>
      </c>
      <c r="LO10667" t="str">
        <v/>
      </c>
    </row>
    <row r="10668" spans="326:327">
      <c r="LN10668" t="str">
        <v/>
      </c>
      <c r="LO10668" t="str">
        <v/>
      </c>
    </row>
    <row r="10669" spans="326:327">
      <c r="LN10669" t="str">
        <v/>
      </c>
      <c r="LO10669" t="str">
        <v/>
      </c>
    </row>
    <row r="10670" spans="326:327">
      <c r="LN10670" t="str">
        <v/>
      </c>
      <c r="LO10670" t="str">
        <v/>
      </c>
    </row>
    <row r="10671" spans="326:327">
      <c r="LN10671" t="str">
        <v/>
      </c>
      <c r="LO10671" t="str">
        <v/>
      </c>
    </row>
    <row r="10672" spans="326:327">
      <c r="LN10672" t="str">
        <v/>
      </c>
      <c r="LO10672" t="str">
        <v/>
      </c>
    </row>
    <row r="10673" spans="326:327">
      <c r="LN10673" t="str">
        <v/>
      </c>
      <c r="LO10673" t="str">
        <v/>
      </c>
    </row>
    <row r="10674" spans="326:327">
      <c r="LN10674" t="str">
        <v/>
      </c>
      <c r="LO10674" t="str">
        <v/>
      </c>
    </row>
    <row r="10675" spans="326:327">
      <c r="LN10675" t="str">
        <v/>
      </c>
      <c r="LO10675" t="str">
        <v/>
      </c>
    </row>
    <row r="10676" spans="326:327">
      <c r="LN10676" t="str">
        <v/>
      </c>
      <c r="LO10676" t="str">
        <v/>
      </c>
    </row>
    <row r="10677" spans="326:327">
      <c r="LN10677" t="str">
        <v/>
      </c>
      <c r="LO10677" t="str">
        <v/>
      </c>
    </row>
    <row r="10678" spans="326:327">
      <c r="LN10678" t="str">
        <v/>
      </c>
      <c r="LO10678" t="str">
        <v/>
      </c>
    </row>
    <row r="10679" spans="326:327">
      <c r="LN10679" t="str">
        <v/>
      </c>
      <c r="LO10679" t="str">
        <v/>
      </c>
    </row>
    <row r="10680" spans="326:327">
      <c r="LN10680" t="str">
        <v/>
      </c>
      <c r="LO10680" t="str">
        <v/>
      </c>
    </row>
    <row r="10681" spans="326:327">
      <c r="LN10681" t="str">
        <v/>
      </c>
      <c r="LO10681" t="str">
        <v/>
      </c>
    </row>
    <row r="10682" spans="326:327">
      <c r="LN10682" t="str">
        <v/>
      </c>
      <c r="LO10682" t="str">
        <v/>
      </c>
    </row>
    <row r="10683" spans="326:327">
      <c r="LN10683" t="str">
        <v/>
      </c>
      <c r="LO10683" t="str">
        <v/>
      </c>
    </row>
    <row r="10684" spans="326:327">
      <c r="LN10684" t="str">
        <v/>
      </c>
      <c r="LO10684" t="str">
        <v/>
      </c>
    </row>
    <row r="10685" spans="326:327">
      <c r="LN10685" t="str">
        <v/>
      </c>
      <c r="LO10685" t="str">
        <v/>
      </c>
    </row>
    <row r="10686" spans="326:327">
      <c r="LN10686" t="str">
        <v/>
      </c>
      <c r="LO10686" t="str">
        <v/>
      </c>
    </row>
    <row r="10687" spans="326:327">
      <c r="LN10687" t="str">
        <v/>
      </c>
      <c r="LO10687" t="str">
        <v/>
      </c>
    </row>
    <row r="10688" spans="326:327">
      <c r="LN10688" t="str">
        <v/>
      </c>
      <c r="LO10688" t="str">
        <v/>
      </c>
    </row>
    <row r="10689" spans="326:327">
      <c r="LN10689" t="str">
        <v/>
      </c>
      <c r="LO10689" t="str">
        <v/>
      </c>
    </row>
    <row r="10690" spans="326:327">
      <c r="LN10690" t="str">
        <v/>
      </c>
      <c r="LO10690" t="str">
        <v/>
      </c>
    </row>
    <row r="10691" spans="326:327">
      <c r="LN10691" t="str">
        <v/>
      </c>
      <c r="LO10691" t="str">
        <v/>
      </c>
    </row>
    <row r="10692" spans="326:327">
      <c r="LN10692" t="str">
        <v/>
      </c>
      <c r="LO10692" t="str">
        <v/>
      </c>
    </row>
    <row r="10693" spans="326:327">
      <c r="LN10693" t="str">
        <v/>
      </c>
      <c r="LO10693" t="str">
        <v/>
      </c>
    </row>
    <row r="10694" spans="326:327">
      <c r="LN10694" t="str">
        <v/>
      </c>
      <c r="LO10694" t="str">
        <v/>
      </c>
    </row>
    <row r="10695" spans="326:327">
      <c r="LN10695" t="str">
        <v/>
      </c>
      <c r="LO10695" t="str">
        <v/>
      </c>
    </row>
    <row r="10696" spans="326:327">
      <c r="LN10696" t="str">
        <v/>
      </c>
      <c r="LO10696" t="str">
        <v/>
      </c>
    </row>
    <row r="10697" spans="326:327">
      <c r="LN10697" t="str">
        <v/>
      </c>
      <c r="LO10697" t="str">
        <v/>
      </c>
    </row>
    <row r="10698" spans="326:327">
      <c r="LN10698" t="str">
        <v/>
      </c>
      <c r="LO10698" t="str">
        <v/>
      </c>
    </row>
    <row r="10699" spans="326:327">
      <c r="LN10699" t="str">
        <v/>
      </c>
      <c r="LO10699" t="str">
        <v/>
      </c>
    </row>
    <row r="10700" spans="326:327">
      <c r="LN10700" t="str">
        <v/>
      </c>
      <c r="LO10700" t="str">
        <v/>
      </c>
    </row>
    <row r="10701" spans="326:327">
      <c r="LN10701" t="str">
        <v/>
      </c>
      <c r="LO10701" t="str">
        <v/>
      </c>
    </row>
    <row r="10702" spans="326:327">
      <c r="LN10702" t="str">
        <v/>
      </c>
      <c r="LO10702" t="str">
        <v/>
      </c>
    </row>
    <row r="10703" spans="326:327">
      <c r="LN10703" t="str">
        <v/>
      </c>
      <c r="LO10703" t="str">
        <v/>
      </c>
    </row>
    <row r="10704" spans="326:327">
      <c r="LN10704" t="str">
        <v/>
      </c>
      <c r="LO10704" t="str">
        <v/>
      </c>
    </row>
    <row r="10705" spans="326:327">
      <c r="LN10705" t="str">
        <v/>
      </c>
      <c r="LO10705" t="str">
        <v/>
      </c>
    </row>
    <row r="10706" spans="326:327">
      <c r="LN10706" t="str">
        <v/>
      </c>
      <c r="LO10706" t="str">
        <v/>
      </c>
    </row>
    <row r="10707" spans="326:327">
      <c r="LN10707" t="str">
        <v/>
      </c>
      <c r="LO10707" t="str">
        <v/>
      </c>
    </row>
    <row r="10708" spans="326:327">
      <c r="LN10708" t="str">
        <v/>
      </c>
      <c r="LO10708" t="str">
        <v/>
      </c>
    </row>
    <row r="10709" spans="326:327">
      <c r="LN10709" t="str">
        <v/>
      </c>
      <c r="LO10709" t="str">
        <v/>
      </c>
    </row>
    <row r="10710" spans="326:327">
      <c r="LN10710" t="str">
        <v/>
      </c>
      <c r="LO10710" t="str">
        <v/>
      </c>
    </row>
    <row r="10711" spans="326:327">
      <c r="LN10711" t="str">
        <v/>
      </c>
      <c r="LO10711" t="str">
        <v/>
      </c>
    </row>
    <row r="10712" spans="326:327">
      <c r="LN10712" t="str">
        <v/>
      </c>
      <c r="LO10712" t="str">
        <v/>
      </c>
    </row>
    <row r="10713" spans="326:327">
      <c r="LN10713" t="str">
        <v/>
      </c>
      <c r="LO10713" t="str">
        <v/>
      </c>
    </row>
    <row r="10714" spans="326:327">
      <c r="LN10714" t="str">
        <v/>
      </c>
      <c r="LO10714" t="str">
        <v/>
      </c>
    </row>
    <row r="10715" spans="326:327">
      <c r="LN10715" t="str">
        <v/>
      </c>
      <c r="LO10715" t="str">
        <v/>
      </c>
    </row>
    <row r="10716" spans="326:327">
      <c r="LN10716" t="str">
        <v/>
      </c>
      <c r="LO10716" t="str">
        <v/>
      </c>
    </row>
    <row r="10717" spans="326:327">
      <c r="LN10717" t="str">
        <v/>
      </c>
      <c r="LO10717" t="str">
        <v/>
      </c>
    </row>
    <row r="10718" spans="326:327">
      <c r="LN10718" t="str">
        <v/>
      </c>
      <c r="LO10718" t="str">
        <v/>
      </c>
    </row>
    <row r="10719" spans="326:327">
      <c r="LN10719" t="str">
        <v/>
      </c>
      <c r="LO10719" t="str">
        <v/>
      </c>
    </row>
    <row r="10720" spans="326:327">
      <c r="LN10720" t="str">
        <v/>
      </c>
      <c r="LO10720" t="str">
        <v/>
      </c>
    </row>
    <row r="10721" spans="326:327">
      <c r="LN10721" t="str">
        <v/>
      </c>
      <c r="LO10721" t="str">
        <v/>
      </c>
    </row>
    <row r="10722" spans="326:327">
      <c r="LN10722" t="str">
        <v/>
      </c>
      <c r="LO10722" t="str">
        <v/>
      </c>
    </row>
    <row r="10723" spans="326:327">
      <c r="LN10723" t="str">
        <v/>
      </c>
      <c r="LO10723" t="str">
        <v/>
      </c>
    </row>
    <row r="10724" spans="326:327">
      <c r="LN10724" t="str">
        <v/>
      </c>
      <c r="LO10724" t="str">
        <v/>
      </c>
    </row>
    <row r="10725" spans="326:327">
      <c r="LN10725" t="str">
        <v/>
      </c>
      <c r="LO10725" t="str">
        <v/>
      </c>
    </row>
    <row r="10726" spans="326:327">
      <c r="LN10726" t="str">
        <v/>
      </c>
      <c r="LO10726" t="str">
        <v/>
      </c>
    </row>
    <row r="10727" spans="326:327">
      <c r="LN10727" t="str">
        <v/>
      </c>
      <c r="LO10727" t="str">
        <v/>
      </c>
    </row>
    <row r="10728" spans="326:327">
      <c r="LN10728" t="str">
        <v/>
      </c>
      <c r="LO10728" t="str">
        <v/>
      </c>
    </row>
    <row r="10729" spans="326:327">
      <c r="LN10729" t="str">
        <v/>
      </c>
      <c r="LO10729" t="str">
        <v/>
      </c>
    </row>
    <row r="10730" spans="326:327">
      <c r="LN10730" t="str">
        <v/>
      </c>
      <c r="LO10730" t="str">
        <v/>
      </c>
    </row>
    <row r="10731" spans="326:327">
      <c r="LN10731" t="str">
        <v/>
      </c>
      <c r="LO10731" t="str">
        <v/>
      </c>
    </row>
    <row r="10732" spans="326:327">
      <c r="LN10732" t="str">
        <v/>
      </c>
      <c r="LO10732" t="str">
        <v/>
      </c>
    </row>
    <row r="10733" spans="326:327">
      <c r="LN10733" t="str">
        <v/>
      </c>
      <c r="LO10733" t="str">
        <v/>
      </c>
    </row>
    <row r="10734" spans="326:327">
      <c r="LN10734" t="str">
        <v/>
      </c>
      <c r="LO10734" t="str">
        <v/>
      </c>
    </row>
    <row r="10735" spans="326:327">
      <c r="LN10735" t="str">
        <v/>
      </c>
      <c r="LO10735" t="str">
        <v/>
      </c>
    </row>
    <row r="10736" spans="326:327">
      <c r="LN10736" t="str">
        <v/>
      </c>
      <c r="LO10736" t="str">
        <v/>
      </c>
    </row>
    <row r="10737" spans="326:327">
      <c r="LN10737" t="str">
        <v/>
      </c>
      <c r="LO10737" t="str">
        <v/>
      </c>
    </row>
    <row r="10738" spans="326:327">
      <c r="LN10738" t="str">
        <v/>
      </c>
      <c r="LO10738" t="str">
        <v/>
      </c>
    </row>
    <row r="10739" spans="326:327">
      <c r="LN10739" t="str">
        <v/>
      </c>
      <c r="LO10739" t="str">
        <v/>
      </c>
    </row>
    <row r="10740" spans="326:327">
      <c r="LN10740" t="str">
        <v/>
      </c>
      <c r="LO10740" t="str">
        <v/>
      </c>
    </row>
    <row r="10741" spans="326:327">
      <c r="LN10741" t="str">
        <v/>
      </c>
      <c r="LO10741" t="str">
        <v/>
      </c>
    </row>
    <row r="10742" spans="326:327">
      <c r="LN10742" t="str">
        <v/>
      </c>
      <c r="LO10742" t="str">
        <v/>
      </c>
    </row>
    <row r="10743" spans="326:327">
      <c r="LN10743" t="str">
        <v/>
      </c>
      <c r="LO10743" t="str">
        <v/>
      </c>
    </row>
    <row r="10744" spans="326:327">
      <c r="LN10744" t="str">
        <v/>
      </c>
      <c r="LO10744" t="str">
        <v/>
      </c>
    </row>
    <row r="10745" spans="326:327">
      <c r="LN10745" t="str">
        <v/>
      </c>
      <c r="LO10745" t="str">
        <v/>
      </c>
    </row>
    <row r="10746" spans="326:327">
      <c r="LN10746" t="str">
        <v/>
      </c>
      <c r="LO10746" t="str">
        <v/>
      </c>
    </row>
    <row r="10747" spans="326:327">
      <c r="LN10747" t="str">
        <v/>
      </c>
      <c r="LO10747" t="str">
        <v/>
      </c>
    </row>
    <row r="10748" spans="326:327">
      <c r="LN10748" t="str">
        <v/>
      </c>
      <c r="LO10748" t="str">
        <v/>
      </c>
    </row>
    <row r="10749" spans="326:327">
      <c r="LN10749" t="str">
        <v/>
      </c>
      <c r="LO10749" t="str">
        <v/>
      </c>
    </row>
    <row r="10750" spans="326:327">
      <c r="LN10750" t="str">
        <v/>
      </c>
      <c r="LO10750" t="str">
        <v/>
      </c>
    </row>
    <row r="10751" spans="326:327">
      <c r="LN10751" t="str">
        <v/>
      </c>
      <c r="LO10751" t="str">
        <v/>
      </c>
    </row>
    <row r="10752" spans="326:327">
      <c r="LN10752" t="str">
        <v/>
      </c>
      <c r="LO10752" t="str">
        <v/>
      </c>
    </row>
    <row r="10753" spans="326:327">
      <c r="LN10753" t="str">
        <v/>
      </c>
      <c r="LO10753" t="str">
        <v/>
      </c>
    </row>
    <row r="10754" spans="326:327">
      <c r="LN10754" t="str">
        <v/>
      </c>
      <c r="LO10754" t="str">
        <v/>
      </c>
    </row>
    <row r="10755" spans="326:327">
      <c r="LN10755" t="str">
        <v/>
      </c>
      <c r="LO10755" t="str">
        <v/>
      </c>
    </row>
    <row r="10756" spans="326:327">
      <c r="LN10756" t="str">
        <v/>
      </c>
      <c r="LO10756" t="str">
        <v/>
      </c>
    </row>
    <row r="10757" spans="326:327">
      <c r="LN10757" t="str">
        <v/>
      </c>
      <c r="LO10757" t="str">
        <v/>
      </c>
    </row>
    <row r="10758" spans="326:327">
      <c r="LN10758" t="str">
        <v/>
      </c>
      <c r="LO10758" t="str">
        <v/>
      </c>
    </row>
    <row r="10759" spans="326:327">
      <c r="LN10759" t="str">
        <v/>
      </c>
      <c r="LO10759" t="str">
        <v/>
      </c>
    </row>
    <row r="10760" spans="326:327">
      <c r="LN10760" t="str">
        <v/>
      </c>
      <c r="LO10760" t="str">
        <v/>
      </c>
    </row>
    <row r="10761" spans="326:327">
      <c r="LN10761" t="str">
        <v/>
      </c>
      <c r="LO10761" t="str">
        <v/>
      </c>
    </row>
    <row r="10762" spans="326:327">
      <c r="LN10762" t="str">
        <v/>
      </c>
      <c r="LO10762" t="str">
        <v/>
      </c>
    </row>
    <row r="10763" spans="326:327">
      <c r="LN10763" t="str">
        <v/>
      </c>
      <c r="LO10763" t="str">
        <v/>
      </c>
    </row>
    <row r="10764" spans="326:327">
      <c r="LN10764" t="str">
        <v/>
      </c>
      <c r="LO10764" t="str">
        <v/>
      </c>
    </row>
    <row r="10765" spans="326:327">
      <c r="LN10765" t="str">
        <v/>
      </c>
      <c r="LO10765" t="str">
        <v/>
      </c>
    </row>
    <row r="10766" spans="326:327">
      <c r="LN10766" t="str">
        <v/>
      </c>
      <c r="LO10766" t="str">
        <v/>
      </c>
    </row>
    <row r="10767" spans="326:327">
      <c r="LN10767" t="str">
        <v/>
      </c>
      <c r="LO10767" t="str">
        <v/>
      </c>
    </row>
    <row r="10768" spans="326:327">
      <c r="LN10768" t="str">
        <v/>
      </c>
      <c r="LO10768" t="str">
        <v/>
      </c>
    </row>
    <row r="10769" spans="326:327">
      <c r="LN10769" t="str">
        <v/>
      </c>
      <c r="LO10769" t="str">
        <v/>
      </c>
    </row>
    <row r="10770" spans="326:327">
      <c r="LN10770" t="str">
        <v/>
      </c>
      <c r="LO10770" t="str">
        <v/>
      </c>
    </row>
    <row r="10771" spans="326:327">
      <c r="LN10771" t="str">
        <v/>
      </c>
      <c r="LO10771" t="str">
        <v/>
      </c>
    </row>
    <row r="10772" spans="326:327">
      <c r="LN10772" t="str">
        <v/>
      </c>
      <c r="LO10772" t="str">
        <v/>
      </c>
    </row>
    <row r="10773" spans="326:327">
      <c r="LN10773" t="str">
        <v/>
      </c>
      <c r="LO10773" t="str">
        <v/>
      </c>
    </row>
    <row r="10774" spans="326:327">
      <c r="LN10774" t="str">
        <v/>
      </c>
      <c r="LO10774" t="str">
        <v/>
      </c>
    </row>
    <row r="10775" spans="326:327">
      <c r="LN10775" t="str">
        <v/>
      </c>
      <c r="LO10775" t="str">
        <v/>
      </c>
    </row>
    <row r="10776" spans="326:327">
      <c r="LN10776" t="str">
        <v/>
      </c>
      <c r="LO10776" t="str">
        <v/>
      </c>
    </row>
    <row r="10777" spans="326:327">
      <c r="LN10777" t="str">
        <v/>
      </c>
      <c r="LO10777" t="str">
        <v/>
      </c>
    </row>
    <row r="10778" spans="326:327">
      <c r="LN10778" t="str">
        <v/>
      </c>
      <c r="LO10778" t="str">
        <v/>
      </c>
    </row>
    <row r="10779" spans="326:327">
      <c r="LN10779" t="str">
        <v/>
      </c>
      <c r="LO10779" t="str">
        <v/>
      </c>
    </row>
    <row r="10780" spans="326:327">
      <c r="LN10780" t="str">
        <v/>
      </c>
      <c r="LO10780" t="str">
        <v/>
      </c>
    </row>
    <row r="10781" spans="326:327">
      <c r="LN10781" t="str">
        <v/>
      </c>
      <c r="LO10781" t="str">
        <v/>
      </c>
    </row>
    <row r="10782" spans="326:327">
      <c r="LN10782" t="str">
        <v/>
      </c>
      <c r="LO10782" t="str">
        <v/>
      </c>
    </row>
    <row r="10783" spans="326:327">
      <c r="LN10783" t="str">
        <v/>
      </c>
      <c r="LO10783" t="str">
        <v/>
      </c>
    </row>
    <row r="10784" spans="326:327">
      <c r="LN10784" t="str">
        <v/>
      </c>
      <c r="LO10784" t="str">
        <v/>
      </c>
    </row>
    <row r="10785" spans="326:327">
      <c r="LN10785" t="str">
        <v/>
      </c>
      <c r="LO10785" t="str">
        <v/>
      </c>
    </row>
    <row r="10786" spans="326:327">
      <c r="LN10786" t="str">
        <v/>
      </c>
      <c r="LO10786" t="str">
        <v/>
      </c>
    </row>
    <row r="10787" spans="326:327">
      <c r="LN10787" t="str">
        <v/>
      </c>
      <c r="LO10787" t="str">
        <v/>
      </c>
    </row>
    <row r="10788" spans="326:327">
      <c r="LN10788" t="str">
        <v/>
      </c>
      <c r="LO10788" t="str">
        <v/>
      </c>
    </row>
    <row r="10789" spans="326:327">
      <c r="LN10789" t="str">
        <v/>
      </c>
      <c r="LO10789" t="str">
        <v/>
      </c>
    </row>
    <row r="10790" spans="326:327">
      <c r="LN10790" t="str">
        <v/>
      </c>
      <c r="LO10790" t="str">
        <v/>
      </c>
    </row>
    <row r="10791" spans="326:327">
      <c r="LN10791" t="str">
        <v/>
      </c>
      <c r="LO10791" t="str">
        <v/>
      </c>
    </row>
    <row r="10792" spans="326:327">
      <c r="LN10792" t="str">
        <v/>
      </c>
      <c r="LO10792" t="str">
        <v/>
      </c>
    </row>
    <row r="10793" spans="326:327">
      <c r="LN10793" t="str">
        <v/>
      </c>
      <c r="LO10793" t="str">
        <v/>
      </c>
    </row>
    <row r="10794" spans="326:327">
      <c r="LN10794" t="str">
        <v/>
      </c>
      <c r="LO10794" t="str">
        <v/>
      </c>
    </row>
    <row r="10795" spans="326:327">
      <c r="LN10795" t="str">
        <v/>
      </c>
      <c r="LO10795" t="str">
        <v/>
      </c>
    </row>
    <row r="10796" spans="326:327">
      <c r="LN10796" t="str">
        <v/>
      </c>
      <c r="LO10796" t="str">
        <v/>
      </c>
    </row>
    <row r="10797" spans="326:327">
      <c r="LN10797" t="str">
        <v/>
      </c>
      <c r="LO10797" t="str">
        <v/>
      </c>
    </row>
    <row r="10798" spans="326:327">
      <c r="LN10798" t="str">
        <v/>
      </c>
      <c r="LO10798" t="str">
        <v/>
      </c>
    </row>
    <row r="10799" spans="326:327">
      <c r="LN10799" t="str">
        <v/>
      </c>
      <c r="LO10799" t="str">
        <v/>
      </c>
    </row>
    <row r="10800" spans="326:327">
      <c r="LN10800" t="str">
        <v/>
      </c>
      <c r="LO10800" t="str">
        <v/>
      </c>
    </row>
    <row r="10801" spans="326:327">
      <c r="LN10801" t="str">
        <v/>
      </c>
      <c r="LO10801" t="str">
        <v/>
      </c>
    </row>
    <row r="10802" spans="326:327">
      <c r="LN10802" t="str">
        <v/>
      </c>
      <c r="LO10802" t="str">
        <v/>
      </c>
    </row>
    <row r="10803" spans="326:327">
      <c r="LN10803" t="str">
        <v/>
      </c>
      <c r="LO10803" t="str">
        <v/>
      </c>
    </row>
    <row r="10804" spans="326:327">
      <c r="LN10804" t="str">
        <v/>
      </c>
      <c r="LO10804" t="str">
        <v/>
      </c>
    </row>
    <row r="10805" spans="326:327">
      <c r="LN10805" t="str">
        <v/>
      </c>
      <c r="LO10805" t="str">
        <v/>
      </c>
    </row>
    <row r="10806" spans="326:327">
      <c r="LN10806" t="str">
        <v/>
      </c>
      <c r="LO10806" t="str">
        <v/>
      </c>
    </row>
    <row r="10807" spans="326:327">
      <c r="LN10807" t="str">
        <v/>
      </c>
      <c r="LO10807" t="str">
        <v/>
      </c>
    </row>
    <row r="10808" spans="326:327">
      <c r="LN10808" t="str">
        <v/>
      </c>
      <c r="LO10808" t="str">
        <v/>
      </c>
    </row>
    <row r="10809" spans="326:327">
      <c r="LN10809" t="str">
        <v/>
      </c>
      <c r="LO10809" t="str">
        <v/>
      </c>
    </row>
    <row r="10810" spans="326:327">
      <c r="LN10810" t="str">
        <v/>
      </c>
      <c r="LO10810" t="str">
        <v/>
      </c>
    </row>
    <row r="10811" spans="326:327">
      <c r="LN10811" t="str">
        <v/>
      </c>
      <c r="LO10811" t="str">
        <v/>
      </c>
    </row>
    <row r="10812" spans="326:327">
      <c r="LN10812" t="str">
        <v/>
      </c>
      <c r="LO10812" t="str">
        <v/>
      </c>
    </row>
    <row r="10813" spans="326:327">
      <c r="LN10813" t="str">
        <v/>
      </c>
      <c r="LO10813" t="str">
        <v/>
      </c>
    </row>
    <row r="10814" spans="326:327">
      <c r="LN10814" t="str">
        <v/>
      </c>
      <c r="LO10814" t="str">
        <v/>
      </c>
    </row>
    <row r="10815" spans="326:327">
      <c r="LN10815" t="str">
        <v/>
      </c>
      <c r="LO10815" t="str">
        <v/>
      </c>
    </row>
    <row r="10816" spans="326:327">
      <c r="LN10816" t="str">
        <v/>
      </c>
      <c r="LO10816" t="str">
        <v/>
      </c>
    </row>
    <row r="10817" spans="326:327">
      <c r="LN10817" t="str">
        <v/>
      </c>
      <c r="LO10817" t="str">
        <v/>
      </c>
    </row>
    <row r="10818" spans="326:327">
      <c r="LN10818" t="str">
        <v/>
      </c>
      <c r="LO10818" t="str">
        <v/>
      </c>
    </row>
    <row r="10819" spans="326:327">
      <c r="LN10819" t="str">
        <v/>
      </c>
      <c r="LO10819" t="str">
        <v/>
      </c>
    </row>
    <row r="10820" spans="326:327">
      <c r="LN10820" t="str">
        <v/>
      </c>
      <c r="LO10820" t="str">
        <v/>
      </c>
    </row>
    <row r="10821" spans="326:327">
      <c r="LN10821" t="str">
        <v/>
      </c>
      <c r="LO10821" t="str">
        <v/>
      </c>
    </row>
    <row r="10822" spans="326:327">
      <c r="LN10822" t="str">
        <v/>
      </c>
      <c r="LO10822" t="str">
        <v/>
      </c>
    </row>
    <row r="10823" spans="326:327">
      <c r="LN10823" t="str">
        <v/>
      </c>
      <c r="LO10823" t="str">
        <v/>
      </c>
    </row>
    <row r="10824" spans="326:327">
      <c r="LN10824" t="str">
        <v/>
      </c>
      <c r="LO10824" t="str">
        <v/>
      </c>
    </row>
    <row r="10825" spans="326:327">
      <c r="LN10825" t="str">
        <v/>
      </c>
      <c r="LO10825" t="str">
        <v/>
      </c>
    </row>
    <row r="10826" spans="326:327">
      <c r="LN10826" t="str">
        <v/>
      </c>
      <c r="LO10826" t="str">
        <v/>
      </c>
    </row>
    <row r="10827" spans="326:327">
      <c r="LN10827" t="str">
        <v/>
      </c>
      <c r="LO10827" t="str">
        <v/>
      </c>
    </row>
    <row r="10828" spans="326:327">
      <c r="LN10828" t="str">
        <v/>
      </c>
      <c r="LO10828" t="str">
        <v/>
      </c>
    </row>
    <row r="10829" spans="326:327">
      <c r="LN10829" t="str">
        <v/>
      </c>
      <c r="LO10829" t="str">
        <v/>
      </c>
    </row>
    <row r="10830" spans="326:327">
      <c r="LN10830" t="str">
        <v/>
      </c>
      <c r="LO10830" t="str">
        <v/>
      </c>
    </row>
    <row r="10831" spans="326:327">
      <c r="LN10831" t="str">
        <v/>
      </c>
      <c r="LO10831" t="str">
        <v/>
      </c>
    </row>
    <row r="10832" spans="326:327">
      <c r="LN10832" t="str">
        <v/>
      </c>
      <c r="LO10832" t="str">
        <v/>
      </c>
    </row>
    <row r="10833" spans="326:327">
      <c r="LN10833" t="str">
        <v/>
      </c>
      <c r="LO10833" t="str">
        <v/>
      </c>
    </row>
    <row r="10834" spans="326:327">
      <c r="LN10834" t="str">
        <v/>
      </c>
      <c r="LO10834" t="str">
        <v/>
      </c>
    </row>
    <row r="10835" spans="326:327">
      <c r="LN10835" t="str">
        <v/>
      </c>
      <c r="LO10835" t="str">
        <v/>
      </c>
    </row>
    <row r="10836" spans="326:327">
      <c r="LN10836" t="str">
        <v/>
      </c>
      <c r="LO10836" t="str">
        <v/>
      </c>
    </row>
    <row r="10837" spans="326:327">
      <c r="LN10837" t="str">
        <v/>
      </c>
      <c r="LO10837" t="str">
        <v/>
      </c>
    </row>
    <row r="10838" spans="326:327">
      <c r="LN10838" t="str">
        <v/>
      </c>
      <c r="LO10838" t="str">
        <v/>
      </c>
    </row>
    <row r="10839" spans="326:327">
      <c r="LN10839" t="str">
        <v/>
      </c>
      <c r="LO10839" t="str">
        <v/>
      </c>
    </row>
    <row r="10840" spans="326:327">
      <c r="LN10840" t="str">
        <v/>
      </c>
      <c r="LO10840" t="str">
        <v/>
      </c>
    </row>
    <row r="10841" spans="326:327">
      <c r="LN10841" t="str">
        <v/>
      </c>
      <c r="LO10841" t="str">
        <v/>
      </c>
    </row>
    <row r="10842" spans="326:327">
      <c r="LN10842" t="str">
        <v/>
      </c>
      <c r="LO10842" t="str">
        <v/>
      </c>
    </row>
    <row r="10843" spans="326:327">
      <c r="LN10843" t="str">
        <v/>
      </c>
      <c r="LO10843" t="str">
        <v/>
      </c>
    </row>
    <row r="10844" spans="326:327">
      <c r="LN10844" t="str">
        <v/>
      </c>
      <c r="LO10844" t="str">
        <v/>
      </c>
    </row>
    <row r="10845" spans="326:327">
      <c r="LN10845" t="str">
        <v/>
      </c>
      <c r="LO10845" t="str">
        <v/>
      </c>
    </row>
    <row r="10846" spans="326:327">
      <c r="LN10846" t="str">
        <v/>
      </c>
      <c r="LO10846" t="str">
        <v/>
      </c>
    </row>
    <row r="10847" spans="326:327">
      <c r="LN10847" t="str">
        <v/>
      </c>
      <c r="LO10847" t="str">
        <v/>
      </c>
    </row>
    <row r="10848" spans="326:327">
      <c r="LN10848" t="str">
        <v/>
      </c>
      <c r="LO10848" t="str">
        <v/>
      </c>
    </row>
    <row r="10849" spans="326:327">
      <c r="LN10849" t="str">
        <v/>
      </c>
      <c r="LO10849" t="str">
        <v/>
      </c>
    </row>
    <row r="10850" spans="326:327">
      <c r="LN10850" t="str">
        <v/>
      </c>
      <c r="LO10850" t="str">
        <v/>
      </c>
    </row>
    <row r="10851" spans="326:327">
      <c r="LN10851" t="str">
        <v/>
      </c>
      <c r="LO10851" t="str">
        <v/>
      </c>
    </row>
    <row r="10852" spans="326:327">
      <c r="LN10852" t="str">
        <v/>
      </c>
      <c r="LO10852" t="str">
        <v/>
      </c>
    </row>
    <row r="10853" spans="326:327">
      <c r="LN10853" t="str">
        <v/>
      </c>
      <c r="LO10853" t="str">
        <v/>
      </c>
    </row>
    <row r="10854" spans="326:327">
      <c r="LN10854" t="str">
        <v/>
      </c>
      <c r="LO10854" t="str">
        <v/>
      </c>
    </row>
    <row r="10855" spans="326:327">
      <c r="LN10855" t="str">
        <v/>
      </c>
      <c r="LO10855" t="str">
        <v/>
      </c>
    </row>
    <row r="10856" spans="326:327">
      <c r="LN10856" t="str">
        <v/>
      </c>
      <c r="LO10856" t="str">
        <v/>
      </c>
    </row>
    <row r="10857" spans="326:327">
      <c r="LN10857" t="str">
        <v/>
      </c>
      <c r="LO10857" t="str">
        <v/>
      </c>
    </row>
    <row r="10858" spans="326:327">
      <c r="LN10858" t="str">
        <v/>
      </c>
      <c r="LO10858" t="str">
        <v/>
      </c>
    </row>
    <row r="10859" spans="326:327">
      <c r="LN10859" t="str">
        <v/>
      </c>
      <c r="LO10859" t="str">
        <v/>
      </c>
    </row>
    <row r="10860" spans="326:327">
      <c r="LN10860" t="str">
        <v/>
      </c>
      <c r="LO10860" t="str">
        <v/>
      </c>
    </row>
    <row r="10861" spans="326:327">
      <c r="LN10861" t="str">
        <v/>
      </c>
      <c r="LO10861" t="str">
        <v/>
      </c>
    </row>
    <row r="10862" spans="326:327">
      <c r="LN10862" t="str">
        <v/>
      </c>
      <c r="LO10862" t="str">
        <v/>
      </c>
    </row>
    <row r="10863" spans="326:327">
      <c r="LN10863" t="str">
        <v/>
      </c>
      <c r="LO10863" t="str">
        <v/>
      </c>
    </row>
    <row r="10864" spans="326:327">
      <c r="LN10864" t="str">
        <v/>
      </c>
      <c r="LO10864" t="str">
        <v/>
      </c>
    </row>
    <row r="10865" spans="326:327">
      <c r="LN10865" t="str">
        <v/>
      </c>
      <c r="LO10865" t="str">
        <v/>
      </c>
    </row>
    <row r="10866" spans="326:327">
      <c r="LN10866" t="str">
        <v/>
      </c>
      <c r="LO10866" t="str">
        <v/>
      </c>
    </row>
    <row r="10867" spans="326:327">
      <c r="LN10867" t="str">
        <v/>
      </c>
      <c r="LO10867" t="str">
        <v/>
      </c>
    </row>
    <row r="10868" spans="326:327">
      <c r="LN10868" t="str">
        <v/>
      </c>
      <c r="LO10868" t="str">
        <v/>
      </c>
    </row>
    <row r="10869" spans="326:327">
      <c r="LN10869" t="str">
        <v/>
      </c>
      <c r="LO10869" t="str">
        <v/>
      </c>
    </row>
    <row r="10870" spans="326:327">
      <c r="LN10870" t="str">
        <v/>
      </c>
      <c r="LO10870" t="str">
        <v/>
      </c>
    </row>
    <row r="10871" spans="326:327">
      <c r="LN10871" t="str">
        <v/>
      </c>
      <c r="LO10871" t="str">
        <v/>
      </c>
    </row>
    <row r="10872" spans="326:327">
      <c r="LN10872" t="str">
        <v/>
      </c>
      <c r="LO10872" t="str">
        <v/>
      </c>
    </row>
    <row r="10873" spans="326:327">
      <c r="LN10873" t="str">
        <v/>
      </c>
      <c r="LO10873" t="str">
        <v/>
      </c>
    </row>
    <row r="10874" spans="326:327">
      <c r="LN10874" t="str">
        <v/>
      </c>
      <c r="LO10874" t="str">
        <v/>
      </c>
    </row>
    <row r="10875" spans="326:327">
      <c r="LN10875" t="str">
        <v/>
      </c>
      <c r="LO10875" t="str">
        <v/>
      </c>
    </row>
    <row r="10876" spans="326:327">
      <c r="LN10876" t="str">
        <v/>
      </c>
      <c r="LO10876" t="str">
        <v/>
      </c>
    </row>
    <row r="10877" spans="326:327">
      <c r="LN10877" t="str">
        <v/>
      </c>
      <c r="LO10877" t="str">
        <v/>
      </c>
    </row>
    <row r="10878" spans="326:327">
      <c r="LN10878" t="str">
        <v/>
      </c>
      <c r="LO10878" t="str">
        <v/>
      </c>
    </row>
    <row r="10879" spans="326:327">
      <c r="LN10879" t="str">
        <v/>
      </c>
      <c r="LO10879" t="str">
        <v/>
      </c>
    </row>
    <row r="10880" spans="326:327">
      <c r="LN10880" t="str">
        <v/>
      </c>
      <c r="LO10880" t="str">
        <v/>
      </c>
    </row>
    <row r="10881" spans="326:327">
      <c r="LN10881" t="str">
        <v/>
      </c>
      <c r="LO10881" t="str">
        <v/>
      </c>
    </row>
    <row r="10882" spans="326:327">
      <c r="LN10882" t="str">
        <v/>
      </c>
      <c r="LO10882" t="str">
        <v/>
      </c>
    </row>
    <row r="10883" spans="326:327">
      <c r="LN10883" t="str">
        <v/>
      </c>
      <c r="LO10883" t="str">
        <v/>
      </c>
    </row>
    <row r="10884" spans="326:327">
      <c r="LN10884" t="str">
        <v/>
      </c>
      <c r="LO10884" t="str">
        <v/>
      </c>
    </row>
    <row r="10885" spans="326:327">
      <c r="LN10885" t="str">
        <v/>
      </c>
      <c r="LO10885" t="str">
        <v/>
      </c>
    </row>
    <row r="10886" spans="326:327">
      <c r="LN10886" t="str">
        <v/>
      </c>
      <c r="LO10886" t="str">
        <v/>
      </c>
    </row>
    <row r="10887" spans="326:327">
      <c r="LN10887" t="str">
        <v/>
      </c>
      <c r="LO10887" t="str">
        <v/>
      </c>
    </row>
    <row r="10888" spans="326:327">
      <c r="LN10888" t="str">
        <v/>
      </c>
      <c r="LO10888" t="str">
        <v/>
      </c>
    </row>
    <row r="10889" spans="326:327">
      <c r="LN10889" t="str">
        <v/>
      </c>
      <c r="LO10889" t="str">
        <v/>
      </c>
    </row>
    <row r="10890" spans="326:327">
      <c r="LN10890" t="str">
        <v/>
      </c>
      <c r="LO10890" t="str">
        <v/>
      </c>
    </row>
    <row r="10891" spans="326:327">
      <c r="LN10891" t="str">
        <v/>
      </c>
      <c r="LO10891" t="str">
        <v/>
      </c>
    </row>
    <row r="10892" spans="326:327">
      <c r="LN10892" t="str">
        <v/>
      </c>
      <c r="LO10892" t="str">
        <v/>
      </c>
    </row>
    <row r="10893" spans="326:327">
      <c r="LN10893" t="str">
        <v/>
      </c>
      <c r="LO10893" t="str">
        <v/>
      </c>
    </row>
    <row r="10894" spans="326:327">
      <c r="LN10894" t="str">
        <v/>
      </c>
      <c r="LO10894" t="str">
        <v/>
      </c>
    </row>
    <row r="10895" spans="326:327">
      <c r="LN10895" t="str">
        <v/>
      </c>
      <c r="LO10895" t="str">
        <v/>
      </c>
    </row>
    <row r="10896" spans="326:327">
      <c r="LN10896" t="str">
        <v/>
      </c>
      <c r="LO10896" t="str">
        <v/>
      </c>
    </row>
    <row r="10897" spans="326:327">
      <c r="LN10897" t="str">
        <v/>
      </c>
      <c r="LO10897" t="str">
        <v/>
      </c>
    </row>
    <row r="10898" spans="326:327">
      <c r="LN10898" t="str">
        <v/>
      </c>
      <c r="LO10898" t="str">
        <v/>
      </c>
    </row>
    <row r="10899" spans="326:327">
      <c r="LN10899" t="str">
        <v/>
      </c>
      <c r="LO10899" t="str">
        <v/>
      </c>
    </row>
    <row r="10900" spans="326:327">
      <c r="LN10900" t="str">
        <v/>
      </c>
      <c r="LO10900" t="str">
        <v/>
      </c>
    </row>
    <row r="10901" spans="326:327">
      <c r="LN10901" t="str">
        <v/>
      </c>
      <c r="LO10901" t="str">
        <v/>
      </c>
    </row>
    <row r="10902" spans="326:327">
      <c r="LN10902" t="str">
        <v/>
      </c>
      <c r="LO10902" t="str">
        <v/>
      </c>
    </row>
    <row r="10903" spans="326:327">
      <c r="LN10903" t="str">
        <v/>
      </c>
      <c r="LO10903" t="str">
        <v/>
      </c>
    </row>
    <row r="10904" spans="326:327">
      <c r="LN10904" t="str">
        <v/>
      </c>
      <c r="LO10904" t="str">
        <v/>
      </c>
    </row>
    <row r="10905" spans="326:327">
      <c r="LN10905" t="str">
        <v/>
      </c>
      <c r="LO10905" t="str">
        <v/>
      </c>
    </row>
    <row r="10906" spans="326:327">
      <c r="LN10906" t="str">
        <v/>
      </c>
      <c r="LO10906" t="str">
        <v/>
      </c>
    </row>
    <row r="10907" spans="326:327">
      <c r="LN10907" t="str">
        <v/>
      </c>
      <c r="LO10907" t="str">
        <v/>
      </c>
    </row>
    <row r="10908" spans="326:327">
      <c r="LN10908" t="str">
        <v/>
      </c>
      <c r="LO10908" t="str">
        <v/>
      </c>
    </row>
    <row r="10909" spans="326:327">
      <c r="LN10909" t="str">
        <v/>
      </c>
      <c r="LO10909" t="str">
        <v/>
      </c>
    </row>
    <row r="10910" spans="326:327">
      <c r="LN10910" t="str">
        <v/>
      </c>
      <c r="LO10910" t="str">
        <v/>
      </c>
    </row>
    <row r="10911" spans="326:327">
      <c r="LN10911" t="str">
        <v/>
      </c>
      <c r="LO10911" t="str">
        <v/>
      </c>
    </row>
    <row r="10912" spans="326:327">
      <c r="LN10912" t="str">
        <v/>
      </c>
      <c r="LO10912" t="str">
        <v/>
      </c>
    </row>
    <row r="10913" spans="326:327">
      <c r="LN10913" t="str">
        <v/>
      </c>
      <c r="LO10913" t="str">
        <v/>
      </c>
    </row>
    <row r="10914" spans="326:327">
      <c r="LN10914" t="str">
        <v/>
      </c>
      <c r="LO10914" t="str">
        <v/>
      </c>
    </row>
    <row r="10915" spans="326:327">
      <c r="LN10915" t="str">
        <v/>
      </c>
      <c r="LO10915" t="str">
        <v/>
      </c>
    </row>
    <row r="10916" spans="326:327">
      <c r="LN10916" t="str">
        <v/>
      </c>
      <c r="LO10916" t="str">
        <v/>
      </c>
    </row>
    <row r="10917" spans="326:327">
      <c r="LN10917" t="str">
        <v/>
      </c>
      <c r="LO10917" t="str">
        <v/>
      </c>
    </row>
    <row r="10918" spans="326:327">
      <c r="LN10918" t="str">
        <v/>
      </c>
      <c r="LO10918" t="str">
        <v/>
      </c>
    </row>
    <row r="10919" spans="326:327">
      <c r="LN10919" t="str">
        <v/>
      </c>
      <c r="LO10919" t="str">
        <v/>
      </c>
    </row>
    <row r="10920" spans="326:327">
      <c r="LN10920" t="str">
        <v/>
      </c>
      <c r="LO10920" t="str">
        <v/>
      </c>
    </row>
    <row r="10921" spans="326:327">
      <c r="LN10921" t="str">
        <v/>
      </c>
      <c r="LO10921" t="str">
        <v/>
      </c>
    </row>
    <row r="10922" spans="326:327">
      <c r="LN10922" t="str">
        <v/>
      </c>
      <c r="LO10922" t="str">
        <v/>
      </c>
    </row>
    <row r="10923" spans="326:327">
      <c r="LN10923" t="str">
        <v/>
      </c>
      <c r="LO10923" t="str">
        <v/>
      </c>
    </row>
    <row r="10924" spans="326:327">
      <c r="LN10924" t="str">
        <v/>
      </c>
      <c r="LO10924" t="str">
        <v/>
      </c>
    </row>
    <row r="10925" spans="326:327">
      <c r="LN10925" t="str">
        <v/>
      </c>
      <c r="LO10925" t="str">
        <v/>
      </c>
    </row>
    <row r="10926" spans="326:327">
      <c r="LN10926" t="str">
        <v/>
      </c>
      <c r="LO10926" t="str">
        <v/>
      </c>
    </row>
    <row r="10927" spans="326:327">
      <c r="LN10927" t="str">
        <v/>
      </c>
      <c r="LO10927" t="str">
        <v/>
      </c>
    </row>
    <row r="10928" spans="326:327">
      <c r="LN10928" t="str">
        <v/>
      </c>
      <c r="LO10928" t="str">
        <v/>
      </c>
    </row>
    <row r="10929" spans="326:327">
      <c r="LN10929" t="str">
        <v/>
      </c>
      <c r="LO10929" t="str">
        <v/>
      </c>
    </row>
    <row r="10930" spans="326:327">
      <c r="LN10930" t="str">
        <v/>
      </c>
      <c r="LO10930" t="str">
        <v/>
      </c>
    </row>
    <row r="10931" spans="326:327">
      <c r="LN10931" t="str">
        <v/>
      </c>
      <c r="LO10931" t="str">
        <v/>
      </c>
    </row>
    <row r="10932" spans="326:327">
      <c r="LN10932" t="str">
        <v/>
      </c>
      <c r="LO10932" t="str">
        <v/>
      </c>
    </row>
    <row r="10933" spans="326:327">
      <c r="LN10933" t="str">
        <v/>
      </c>
      <c r="LO10933" t="str">
        <v/>
      </c>
    </row>
    <row r="10934" spans="326:327">
      <c r="LN10934" t="str">
        <v/>
      </c>
      <c r="LO10934" t="str">
        <v/>
      </c>
    </row>
    <row r="10935" spans="326:327">
      <c r="LN10935" t="str">
        <v/>
      </c>
      <c r="LO10935" t="str">
        <v/>
      </c>
    </row>
    <row r="10936" spans="326:327">
      <c r="LN10936" t="str">
        <v/>
      </c>
      <c r="LO10936" t="str">
        <v/>
      </c>
    </row>
    <row r="10937" spans="326:327">
      <c r="LN10937" t="str">
        <v/>
      </c>
      <c r="LO10937" t="str">
        <v/>
      </c>
    </row>
    <row r="10938" spans="326:327">
      <c r="LN10938" t="str">
        <v/>
      </c>
      <c r="LO10938" t="str">
        <v/>
      </c>
    </row>
    <row r="10939" spans="326:327">
      <c r="LN10939" t="str">
        <v/>
      </c>
      <c r="LO10939" t="str">
        <v/>
      </c>
    </row>
    <row r="10940" spans="326:327">
      <c r="LN10940" t="str">
        <v/>
      </c>
      <c r="LO10940" t="str">
        <v/>
      </c>
    </row>
    <row r="10941" spans="326:327">
      <c r="LN10941" t="str">
        <v/>
      </c>
      <c r="LO10941" t="str">
        <v/>
      </c>
    </row>
    <row r="10942" spans="326:327">
      <c r="LN10942" t="str">
        <v/>
      </c>
      <c r="LO10942" t="str">
        <v/>
      </c>
    </row>
    <row r="10943" spans="326:327">
      <c r="LN10943" t="str">
        <v/>
      </c>
      <c r="LO10943" t="str">
        <v/>
      </c>
    </row>
    <row r="10944" spans="326:327">
      <c r="LN10944" t="str">
        <v/>
      </c>
      <c r="LO10944" t="str">
        <v/>
      </c>
    </row>
    <row r="10945" spans="326:327">
      <c r="LN10945" t="str">
        <v/>
      </c>
      <c r="LO10945" t="str">
        <v/>
      </c>
    </row>
    <row r="10946" spans="326:327">
      <c r="LN10946" t="str">
        <v/>
      </c>
      <c r="LO10946" t="str">
        <v/>
      </c>
    </row>
    <row r="10947" spans="326:327">
      <c r="LN10947" t="str">
        <v/>
      </c>
      <c r="LO10947" t="str">
        <v/>
      </c>
    </row>
    <row r="10948" spans="326:327">
      <c r="LN10948" t="str">
        <v/>
      </c>
      <c r="LO10948" t="str">
        <v/>
      </c>
    </row>
    <row r="10949" spans="326:327">
      <c r="LN10949" t="str">
        <v/>
      </c>
      <c r="LO10949" t="str">
        <v/>
      </c>
    </row>
    <row r="10950" spans="326:327">
      <c r="LN10950" t="str">
        <v/>
      </c>
      <c r="LO10950" t="str">
        <v/>
      </c>
    </row>
    <row r="10951" spans="326:327">
      <c r="LN10951" t="str">
        <v/>
      </c>
      <c r="LO10951" t="str">
        <v/>
      </c>
    </row>
    <row r="10952" spans="326:327">
      <c r="LN10952" t="str">
        <v/>
      </c>
      <c r="LO10952" t="str">
        <v/>
      </c>
    </row>
    <row r="10953" spans="326:327">
      <c r="LN10953" t="str">
        <v/>
      </c>
      <c r="LO10953" t="str">
        <v/>
      </c>
    </row>
    <row r="10954" spans="326:327">
      <c r="LN10954" t="str">
        <v/>
      </c>
      <c r="LO10954" t="str">
        <v/>
      </c>
    </row>
    <row r="10955" spans="326:327">
      <c r="LN10955" t="str">
        <v/>
      </c>
      <c r="LO10955" t="str">
        <v/>
      </c>
    </row>
    <row r="10956" spans="326:327">
      <c r="LN10956" t="str">
        <v/>
      </c>
      <c r="LO10956" t="str">
        <v/>
      </c>
    </row>
    <row r="10957" spans="326:327">
      <c r="LN10957" t="str">
        <v/>
      </c>
      <c r="LO10957" t="str">
        <v/>
      </c>
    </row>
    <row r="10958" spans="326:327">
      <c r="LN10958" t="str">
        <v/>
      </c>
      <c r="LO10958" t="str">
        <v/>
      </c>
    </row>
    <row r="10959" spans="326:327">
      <c r="LN10959" t="str">
        <v/>
      </c>
      <c r="LO10959" t="str">
        <v/>
      </c>
    </row>
    <row r="10960" spans="326:327">
      <c r="LN10960" t="str">
        <v/>
      </c>
      <c r="LO10960" t="str">
        <v/>
      </c>
    </row>
    <row r="10961" spans="326:327">
      <c r="LN10961" t="str">
        <v/>
      </c>
      <c r="LO10961" t="str">
        <v/>
      </c>
    </row>
    <row r="10962" spans="326:327">
      <c r="LN10962" t="str">
        <v/>
      </c>
      <c r="LO10962" t="str">
        <v/>
      </c>
    </row>
    <row r="10963" spans="326:327">
      <c r="LN10963" t="str">
        <v/>
      </c>
      <c r="LO10963" t="str">
        <v/>
      </c>
    </row>
    <row r="10964" spans="326:327">
      <c r="LN10964" t="str">
        <v/>
      </c>
      <c r="LO10964" t="str">
        <v/>
      </c>
    </row>
    <row r="10965" spans="326:327">
      <c r="LN10965" t="str">
        <v/>
      </c>
      <c r="LO10965" t="str">
        <v/>
      </c>
    </row>
    <row r="10966" spans="326:327">
      <c r="LN10966" t="str">
        <v/>
      </c>
      <c r="LO10966" t="str">
        <v/>
      </c>
    </row>
    <row r="10967" spans="326:327">
      <c r="LN10967" t="str">
        <v/>
      </c>
      <c r="LO10967" t="str">
        <v/>
      </c>
    </row>
    <row r="10968" spans="326:327">
      <c r="LN10968" t="str">
        <v/>
      </c>
      <c r="LO10968" t="str">
        <v/>
      </c>
    </row>
    <row r="10969" spans="326:327">
      <c r="LN10969" t="str">
        <v/>
      </c>
      <c r="LO10969" t="str">
        <v/>
      </c>
    </row>
    <row r="10970" spans="326:327">
      <c r="LN10970" t="str">
        <v/>
      </c>
      <c r="LO10970" t="str">
        <v/>
      </c>
    </row>
    <row r="10971" spans="326:327">
      <c r="LN10971" t="str">
        <v/>
      </c>
      <c r="LO10971" t="str">
        <v/>
      </c>
    </row>
    <row r="10972" spans="326:327">
      <c r="LN10972" t="str">
        <v/>
      </c>
      <c r="LO10972" t="str">
        <v/>
      </c>
    </row>
    <row r="10973" spans="326:327">
      <c r="LN10973" t="str">
        <v/>
      </c>
      <c r="LO10973" t="str">
        <v/>
      </c>
    </row>
    <row r="10974" spans="326:327">
      <c r="LN10974" t="str">
        <v/>
      </c>
      <c r="LO10974" t="str">
        <v/>
      </c>
    </row>
    <row r="10975" spans="326:327">
      <c r="LN10975" t="str">
        <v/>
      </c>
      <c r="LO10975" t="str">
        <v/>
      </c>
    </row>
    <row r="10976" spans="326:327">
      <c r="LN10976" t="str">
        <v/>
      </c>
      <c r="LO10976" t="str">
        <v/>
      </c>
    </row>
    <row r="10977" spans="326:327">
      <c r="LN10977" t="str">
        <v/>
      </c>
      <c r="LO10977" t="str">
        <v/>
      </c>
    </row>
    <row r="10978" spans="326:327">
      <c r="LN10978" t="str">
        <v/>
      </c>
      <c r="LO10978" t="str">
        <v/>
      </c>
    </row>
    <row r="10979" spans="326:327">
      <c r="LN10979" t="str">
        <v/>
      </c>
      <c r="LO10979" t="str">
        <v/>
      </c>
    </row>
    <row r="10980" spans="326:327">
      <c r="LN10980" t="str">
        <v/>
      </c>
      <c r="LO10980" t="str">
        <v/>
      </c>
    </row>
    <row r="10981" spans="326:327">
      <c r="LN10981" t="str">
        <v/>
      </c>
      <c r="LO10981" t="str">
        <v/>
      </c>
    </row>
    <row r="10982" spans="326:327">
      <c r="LN10982" t="str">
        <v/>
      </c>
      <c r="LO10982" t="str">
        <v/>
      </c>
    </row>
    <row r="10983" spans="326:327">
      <c r="LN10983" t="str">
        <v/>
      </c>
      <c r="LO10983" t="str">
        <v/>
      </c>
    </row>
    <row r="10984" spans="326:327">
      <c r="LN10984" t="str">
        <v/>
      </c>
      <c r="LO10984" t="str">
        <v/>
      </c>
    </row>
    <row r="10985" spans="326:327">
      <c r="LN10985" t="str">
        <v/>
      </c>
      <c r="LO10985" t="str">
        <v/>
      </c>
    </row>
    <row r="10986" spans="326:327">
      <c r="LN10986" t="str">
        <v/>
      </c>
      <c r="LO10986" t="str">
        <v/>
      </c>
    </row>
    <row r="10987" spans="326:327">
      <c r="LN10987" t="str">
        <v/>
      </c>
      <c r="LO10987" t="str">
        <v/>
      </c>
    </row>
    <row r="10988" spans="326:327">
      <c r="LN10988" t="str">
        <v/>
      </c>
      <c r="LO10988" t="str">
        <v/>
      </c>
    </row>
    <row r="10989" spans="326:327">
      <c r="LN10989" t="str">
        <v/>
      </c>
      <c r="LO10989" t="str">
        <v/>
      </c>
    </row>
    <row r="10990" spans="326:327">
      <c r="LN10990" t="str">
        <v/>
      </c>
      <c r="LO10990" t="str">
        <v/>
      </c>
    </row>
    <row r="10991" spans="326:327">
      <c r="LN10991" t="str">
        <v/>
      </c>
      <c r="LO10991" t="str">
        <v/>
      </c>
    </row>
    <row r="10992" spans="326:327">
      <c r="LN10992" t="str">
        <v/>
      </c>
      <c r="LO10992" t="str">
        <v/>
      </c>
    </row>
    <row r="10993" spans="326:327">
      <c r="LN10993" t="str">
        <v/>
      </c>
      <c r="LO10993" t="str">
        <v/>
      </c>
    </row>
    <row r="10994" spans="326:327">
      <c r="LN10994" t="str">
        <v/>
      </c>
      <c r="LO10994" t="str">
        <v/>
      </c>
    </row>
    <row r="10995" spans="326:327">
      <c r="LN10995" t="str">
        <v/>
      </c>
      <c r="LO10995" t="str">
        <v/>
      </c>
    </row>
    <row r="10996" spans="326:327">
      <c r="LN10996" t="str">
        <v/>
      </c>
      <c r="LO10996" t="str">
        <v/>
      </c>
    </row>
    <row r="10997" spans="326:327">
      <c r="LN10997" t="str">
        <v/>
      </c>
      <c r="LO10997" t="str">
        <v/>
      </c>
    </row>
    <row r="10998" spans="326:327">
      <c r="LN10998" t="str">
        <v/>
      </c>
      <c r="LO10998" t="str">
        <v/>
      </c>
    </row>
    <row r="10999" spans="326:327">
      <c r="LN10999" t="str">
        <v/>
      </c>
      <c r="LO10999" t="str">
        <v/>
      </c>
    </row>
    <row r="11000" spans="326:327">
      <c r="LN11000" t="str">
        <v/>
      </c>
      <c r="LO11000" t="str">
        <v/>
      </c>
    </row>
    <row r="11001" spans="326:327">
      <c r="LN11001" t="str">
        <v/>
      </c>
      <c r="LO11001" t="str">
        <v/>
      </c>
    </row>
    <row r="11002" spans="326:327">
      <c r="LN11002" t="str">
        <v/>
      </c>
      <c r="LO11002" t="str">
        <v/>
      </c>
    </row>
    <row r="11003" spans="326:327">
      <c r="LN11003" t="str">
        <v/>
      </c>
      <c r="LO11003" t="str">
        <v/>
      </c>
    </row>
    <row r="11004" spans="326:327">
      <c r="LN11004" t="str">
        <v/>
      </c>
      <c r="LO11004" t="str">
        <v/>
      </c>
    </row>
    <row r="11005" spans="326:327">
      <c r="LN11005" t="str">
        <v/>
      </c>
      <c r="LO11005" t="str">
        <v/>
      </c>
    </row>
    <row r="11006" spans="326:327">
      <c r="LN11006" t="str">
        <v/>
      </c>
      <c r="LO11006" t="str">
        <v/>
      </c>
    </row>
    <row r="11007" spans="326:327">
      <c r="LN11007" t="str">
        <v/>
      </c>
      <c r="LO11007" t="str">
        <v/>
      </c>
    </row>
    <row r="11008" spans="326:327">
      <c r="LN11008" t="str">
        <v/>
      </c>
      <c r="LO11008" t="str">
        <v/>
      </c>
    </row>
    <row r="11009" spans="326:327">
      <c r="LN11009" t="str">
        <v/>
      </c>
      <c r="LO11009" t="str">
        <v/>
      </c>
    </row>
    <row r="11010" spans="326:327">
      <c r="LN11010" t="str">
        <v/>
      </c>
      <c r="LO11010" t="str">
        <v/>
      </c>
    </row>
    <row r="11011" spans="326:327">
      <c r="LN11011" t="str">
        <v/>
      </c>
      <c r="LO11011" t="str">
        <v/>
      </c>
    </row>
    <row r="11012" spans="326:327">
      <c r="LN11012" t="str">
        <v/>
      </c>
      <c r="LO11012" t="str">
        <v/>
      </c>
    </row>
    <row r="11013" spans="326:327">
      <c r="LN11013" t="str">
        <v/>
      </c>
      <c r="LO11013" t="str">
        <v/>
      </c>
    </row>
    <row r="11014" spans="326:327">
      <c r="LN11014" t="str">
        <v/>
      </c>
      <c r="LO11014" t="str">
        <v/>
      </c>
    </row>
    <row r="11015" spans="326:327">
      <c r="LN11015" t="str">
        <v/>
      </c>
      <c r="LO11015" t="str">
        <v/>
      </c>
    </row>
    <row r="11016" spans="326:327">
      <c r="LN11016" t="str">
        <v/>
      </c>
      <c r="LO11016" t="str">
        <v/>
      </c>
    </row>
    <row r="11017" spans="326:327">
      <c r="LN11017" t="str">
        <v/>
      </c>
      <c r="LO11017" t="str">
        <v/>
      </c>
    </row>
    <row r="11018" spans="326:327">
      <c r="LN11018" t="str">
        <v/>
      </c>
      <c r="LO11018" t="str">
        <v/>
      </c>
    </row>
    <row r="11019" spans="326:327">
      <c r="LN11019" t="str">
        <v/>
      </c>
      <c r="LO11019" t="str">
        <v/>
      </c>
    </row>
    <row r="11020" spans="326:327">
      <c r="LN11020" t="str">
        <v/>
      </c>
      <c r="LO11020" t="str">
        <v/>
      </c>
    </row>
    <row r="11021" spans="326:327">
      <c r="LN11021" t="str">
        <v/>
      </c>
      <c r="LO11021" t="str">
        <v/>
      </c>
    </row>
    <row r="11022" spans="326:327">
      <c r="LN11022" t="str">
        <v/>
      </c>
      <c r="LO11022" t="str">
        <v/>
      </c>
    </row>
    <row r="11023" spans="326:327">
      <c r="LN11023" t="str">
        <v/>
      </c>
      <c r="LO11023" t="str">
        <v/>
      </c>
    </row>
    <row r="11024" spans="326:327">
      <c r="LN11024" t="str">
        <v/>
      </c>
      <c r="LO11024" t="str">
        <v/>
      </c>
    </row>
    <row r="11025" spans="326:327">
      <c r="LN11025" t="str">
        <v/>
      </c>
      <c r="LO11025" t="str">
        <v/>
      </c>
    </row>
    <row r="11026" spans="326:327">
      <c r="LN11026" t="str">
        <v/>
      </c>
      <c r="LO11026" t="str">
        <v/>
      </c>
    </row>
    <row r="11027" spans="326:327">
      <c r="LN11027" t="str">
        <v/>
      </c>
      <c r="LO11027" t="str">
        <v/>
      </c>
    </row>
    <row r="11028" spans="326:327">
      <c r="LN11028" t="str">
        <v/>
      </c>
      <c r="LO11028" t="str">
        <v/>
      </c>
    </row>
    <row r="11029" spans="326:327">
      <c r="LN11029" t="str">
        <v/>
      </c>
      <c r="LO11029" t="str">
        <v/>
      </c>
    </row>
    <row r="11030" spans="326:327">
      <c r="LN11030" t="str">
        <v/>
      </c>
      <c r="LO11030" t="str">
        <v/>
      </c>
    </row>
    <row r="11031" spans="326:327">
      <c r="LN11031" t="str">
        <v/>
      </c>
      <c r="LO11031" t="str">
        <v/>
      </c>
    </row>
    <row r="11032" spans="326:327">
      <c r="LN11032" t="str">
        <v/>
      </c>
      <c r="LO11032" t="str">
        <v/>
      </c>
    </row>
    <row r="11033" spans="326:327">
      <c r="LN11033" t="str">
        <v/>
      </c>
      <c r="LO11033" t="str">
        <v/>
      </c>
    </row>
    <row r="11034" spans="326:327">
      <c r="LN11034" t="str">
        <v/>
      </c>
      <c r="LO11034" t="str">
        <v/>
      </c>
    </row>
    <row r="11035" spans="326:327">
      <c r="LN11035" t="str">
        <v/>
      </c>
      <c r="LO11035" t="str">
        <v/>
      </c>
    </row>
    <row r="11036" spans="326:327">
      <c r="LN11036" t="str">
        <v/>
      </c>
      <c r="LO11036" t="str">
        <v/>
      </c>
    </row>
    <row r="11037" spans="326:327">
      <c r="LN11037" t="str">
        <v/>
      </c>
      <c r="LO11037" t="str">
        <v/>
      </c>
    </row>
    <row r="11038" spans="326:327">
      <c r="LN11038" t="str">
        <v/>
      </c>
      <c r="LO11038" t="str">
        <v/>
      </c>
    </row>
    <row r="11039" spans="326:327">
      <c r="LN11039" t="str">
        <v/>
      </c>
      <c r="LO11039" t="str">
        <v/>
      </c>
    </row>
    <row r="11040" spans="326:327">
      <c r="LN11040" t="str">
        <v/>
      </c>
      <c r="LO11040" t="str">
        <v/>
      </c>
    </row>
    <row r="11041" spans="326:327">
      <c r="LN11041" t="str">
        <v/>
      </c>
      <c r="LO11041" t="str">
        <v/>
      </c>
    </row>
    <row r="11042" spans="326:327">
      <c r="LN11042" t="str">
        <v/>
      </c>
      <c r="LO11042" t="str">
        <v/>
      </c>
    </row>
    <row r="11043" spans="326:327">
      <c r="LN11043" t="str">
        <v/>
      </c>
      <c r="LO11043" t="str">
        <v/>
      </c>
    </row>
    <row r="11044" spans="326:327">
      <c r="LN11044" t="str">
        <v/>
      </c>
      <c r="LO11044" t="str">
        <v/>
      </c>
    </row>
    <row r="11045" spans="326:327">
      <c r="LN11045" t="str">
        <v/>
      </c>
      <c r="LO11045" t="str">
        <v/>
      </c>
    </row>
    <row r="11046" spans="326:327">
      <c r="LN11046" t="str">
        <v/>
      </c>
      <c r="LO11046" t="str">
        <v/>
      </c>
    </row>
    <row r="11047" spans="326:327">
      <c r="LN11047" t="str">
        <v/>
      </c>
      <c r="LO11047" t="str">
        <v/>
      </c>
    </row>
    <row r="11048" spans="326:327">
      <c r="LN11048" t="str">
        <v/>
      </c>
      <c r="LO11048" t="str">
        <v/>
      </c>
    </row>
    <row r="11049" spans="326:327">
      <c r="LN11049" t="str">
        <v/>
      </c>
      <c r="LO11049" t="str">
        <v/>
      </c>
    </row>
    <row r="11050" spans="326:327">
      <c r="LN11050" t="str">
        <v/>
      </c>
      <c r="LO11050" t="str">
        <v/>
      </c>
    </row>
    <row r="11051" spans="326:327">
      <c r="LN11051" t="str">
        <v/>
      </c>
      <c r="LO11051" t="str">
        <v/>
      </c>
    </row>
    <row r="11052" spans="326:327">
      <c r="LN11052" t="str">
        <v/>
      </c>
      <c r="LO11052" t="str">
        <v/>
      </c>
    </row>
    <row r="11053" spans="326:327">
      <c r="LN11053" t="str">
        <v/>
      </c>
      <c r="LO11053" t="str">
        <v/>
      </c>
    </row>
    <row r="11054" spans="326:327">
      <c r="LN11054" t="str">
        <v/>
      </c>
      <c r="LO11054" t="str">
        <v/>
      </c>
    </row>
    <row r="11055" spans="326:327">
      <c r="LN11055" t="str">
        <v/>
      </c>
      <c r="LO11055" t="str">
        <v/>
      </c>
    </row>
    <row r="11056" spans="326:327">
      <c r="LN11056" t="str">
        <v/>
      </c>
      <c r="LO11056" t="str">
        <v/>
      </c>
    </row>
    <row r="11057" spans="326:327">
      <c r="LN11057" t="str">
        <v/>
      </c>
      <c r="LO11057" t="str">
        <v/>
      </c>
    </row>
    <row r="11058" spans="326:327">
      <c r="LN11058" t="str">
        <v/>
      </c>
      <c r="LO11058" t="str">
        <v/>
      </c>
    </row>
    <row r="11059" spans="326:327">
      <c r="LN11059" t="str">
        <v/>
      </c>
      <c r="LO11059" t="str">
        <v/>
      </c>
    </row>
    <row r="11060" spans="326:327">
      <c r="LN11060" t="str">
        <v/>
      </c>
      <c r="LO11060" t="str">
        <v/>
      </c>
    </row>
    <row r="11061" spans="326:327">
      <c r="LN11061" t="str">
        <v/>
      </c>
      <c r="LO11061" t="str">
        <v/>
      </c>
    </row>
    <row r="11062" spans="326:327">
      <c r="LN11062" t="str">
        <v/>
      </c>
      <c r="LO11062" t="str">
        <v/>
      </c>
    </row>
    <row r="11063" spans="326:327">
      <c r="LN11063" t="str">
        <v/>
      </c>
      <c r="LO11063" t="str">
        <v/>
      </c>
    </row>
    <row r="11064" spans="326:327">
      <c r="LN11064" t="str">
        <v/>
      </c>
      <c r="LO11064" t="str">
        <v/>
      </c>
    </row>
    <row r="11065" spans="326:327">
      <c r="LN11065" t="str">
        <v/>
      </c>
      <c r="LO11065" t="str">
        <v/>
      </c>
    </row>
    <row r="11066" spans="326:327">
      <c r="LN11066" t="str">
        <v/>
      </c>
      <c r="LO11066" t="str">
        <v/>
      </c>
    </row>
    <row r="11067" spans="326:327">
      <c r="LN11067" t="str">
        <v/>
      </c>
      <c r="LO11067" t="str">
        <v/>
      </c>
    </row>
    <row r="11068" spans="326:327">
      <c r="LN11068" t="str">
        <v/>
      </c>
      <c r="LO11068" t="str">
        <v/>
      </c>
    </row>
    <row r="11069" spans="326:327">
      <c r="LN11069" t="str">
        <v/>
      </c>
      <c r="LO11069" t="str">
        <v/>
      </c>
    </row>
    <row r="11070" spans="326:327">
      <c r="LN11070" t="str">
        <v/>
      </c>
      <c r="LO11070" t="str">
        <v/>
      </c>
    </row>
    <row r="11071" spans="326:327">
      <c r="LN11071" t="str">
        <v/>
      </c>
      <c r="LO11071" t="str">
        <v/>
      </c>
    </row>
    <row r="11072" spans="326:327">
      <c r="LN11072" t="str">
        <v/>
      </c>
      <c r="LO11072" t="str">
        <v/>
      </c>
    </row>
    <row r="11073" spans="326:327">
      <c r="LN11073" t="str">
        <v/>
      </c>
      <c r="LO11073" t="str">
        <v/>
      </c>
    </row>
    <row r="11074" spans="326:327">
      <c r="LN11074" t="str">
        <v/>
      </c>
      <c r="LO11074" t="str">
        <v/>
      </c>
    </row>
    <row r="11075" spans="326:327">
      <c r="LN11075" t="str">
        <v/>
      </c>
      <c r="LO11075" t="str">
        <v/>
      </c>
    </row>
    <row r="11076" spans="326:327">
      <c r="LN11076" t="str">
        <v/>
      </c>
      <c r="LO11076" t="str">
        <v/>
      </c>
    </row>
    <row r="11077" spans="326:327">
      <c r="LN11077" t="str">
        <v/>
      </c>
      <c r="LO11077" t="str">
        <v/>
      </c>
    </row>
    <row r="11078" spans="326:327">
      <c r="LN11078" t="str">
        <v/>
      </c>
      <c r="LO11078" t="str">
        <v/>
      </c>
    </row>
    <row r="11079" spans="326:327">
      <c r="LN11079" t="str">
        <v/>
      </c>
      <c r="LO11079" t="str">
        <v/>
      </c>
    </row>
    <row r="11080" spans="326:327">
      <c r="LN11080" t="str">
        <v/>
      </c>
      <c r="LO11080" t="str">
        <v/>
      </c>
    </row>
    <row r="11081" spans="326:327">
      <c r="LN11081" t="str">
        <v/>
      </c>
      <c r="LO11081" t="str">
        <v/>
      </c>
    </row>
    <row r="11082" spans="326:327">
      <c r="LN11082" t="str">
        <v/>
      </c>
      <c r="LO11082" t="str">
        <v/>
      </c>
    </row>
    <row r="11083" spans="326:327">
      <c r="LN11083" t="str">
        <v/>
      </c>
      <c r="LO11083" t="str">
        <v/>
      </c>
    </row>
    <row r="11084" spans="326:327">
      <c r="LN11084" t="str">
        <v/>
      </c>
      <c r="LO11084" t="str">
        <v/>
      </c>
    </row>
    <row r="11085" spans="326:327">
      <c r="LN11085" t="str">
        <v/>
      </c>
      <c r="LO11085" t="str">
        <v/>
      </c>
    </row>
    <row r="11086" spans="326:327">
      <c r="LN11086" t="str">
        <v/>
      </c>
      <c r="LO11086" t="str">
        <v/>
      </c>
    </row>
    <row r="11087" spans="326:327">
      <c r="LN11087" t="str">
        <v/>
      </c>
      <c r="LO11087" t="str">
        <v/>
      </c>
    </row>
    <row r="11088" spans="326:327">
      <c r="LN11088" t="str">
        <v/>
      </c>
      <c r="LO11088" t="str">
        <v/>
      </c>
    </row>
    <row r="11089" spans="326:327">
      <c r="LN11089" t="str">
        <v/>
      </c>
      <c r="LO11089" t="str">
        <v/>
      </c>
    </row>
    <row r="11090" spans="326:327">
      <c r="LN11090" t="str">
        <v/>
      </c>
      <c r="LO11090" t="str">
        <v/>
      </c>
    </row>
    <row r="11091" spans="326:327">
      <c r="LN11091" t="str">
        <v/>
      </c>
      <c r="LO11091" t="str">
        <v/>
      </c>
    </row>
    <row r="11092" spans="326:327">
      <c r="LN11092" t="str">
        <v/>
      </c>
      <c r="LO11092" t="str">
        <v/>
      </c>
    </row>
    <row r="11093" spans="326:327">
      <c r="LN11093" t="str">
        <v/>
      </c>
      <c r="LO11093" t="str">
        <v/>
      </c>
    </row>
    <row r="11094" spans="326:327">
      <c r="LN11094" t="str">
        <v/>
      </c>
      <c r="LO11094" t="str">
        <v/>
      </c>
    </row>
    <row r="11095" spans="326:327">
      <c r="LN11095" t="str">
        <v/>
      </c>
      <c r="LO11095" t="str">
        <v/>
      </c>
    </row>
    <row r="11096" spans="326:327">
      <c r="LN11096" t="str">
        <v/>
      </c>
      <c r="LO11096" t="str">
        <v/>
      </c>
    </row>
    <row r="11097" spans="326:327">
      <c r="LN11097" t="str">
        <v/>
      </c>
      <c r="LO11097" t="str">
        <v/>
      </c>
    </row>
    <row r="11098" spans="326:327">
      <c r="LN11098" t="str">
        <v/>
      </c>
      <c r="LO11098" t="str">
        <v/>
      </c>
    </row>
    <row r="11099" spans="326:327">
      <c r="LN11099" t="str">
        <v/>
      </c>
      <c r="LO11099" t="str">
        <v/>
      </c>
    </row>
    <row r="11100" spans="326:327">
      <c r="LN11100" t="str">
        <v/>
      </c>
      <c r="LO11100" t="str">
        <v/>
      </c>
    </row>
    <row r="11101" spans="326:327">
      <c r="LN11101" t="str">
        <v/>
      </c>
      <c r="LO11101" t="str">
        <v/>
      </c>
    </row>
    <row r="11102" spans="326:327">
      <c r="LN11102" t="str">
        <v/>
      </c>
      <c r="LO11102" t="str">
        <v/>
      </c>
    </row>
    <row r="11103" spans="326:327">
      <c r="LN11103" t="str">
        <v/>
      </c>
      <c r="LO11103" t="str">
        <v/>
      </c>
    </row>
    <row r="11104" spans="326:327">
      <c r="LN11104" t="str">
        <v/>
      </c>
      <c r="LO11104" t="str">
        <v/>
      </c>
    </row>
    <row r="11105" spans="326:327">
      <c r="LN11105" t="str">
        <v/>
      </c>
      <c r="LO11105" t="str">
        <v/>
      </c>
    </row>
    <row r="11106" spans="326:327">
      <c r="LN11106" t="str">
        <v/>
      </c>
      <c r="LO11106" t="str">
        <v/>
      </c>
    </row>
    <row r="11107" spans="326:327">
      <c r="LN11107" t="str">
        <v/>
      </c>
      <c r="LO11107" t="str">
        <v/>
      </c>
    </row>
    <row r="11108" spans="326:327">
      <c r="LN11108" t="str">
        <v/>
      </c>
      <c r="LO11108" t="str">
        <v/>
      </c>
    </row>
    <row r="11109" spans="326:327">
      <c r="LN11109" t="str">
        <v/>
      </c>
      <c r="LO11109" t="str">
        <v/>
      </c>
    </row>
    <row r="11110" spans="326:327">
      <c r="LN11110" t="str">
        <v/>
      </c>
      <c r="LO11110" t="str">
        <v/>
      </c>
    </row>
    <row r="11111" spans="326:327">
      <c r="LN11111" t="str">
        <v/>
      </c>
      <c r="LO11111" t="str">
        <v/>
      </c>
    </row>
    <row r="11112" spans="326:327">
      <c r="LN11112" t="str">
        <v/>
      </c>
      <c r="LO11112" t="str">
        <v/>
      </c>
    </row>
    <row r="11113" spans="326:327">
      <c r="LN11113" t="str">
        <v/>
      </c>
      <c r="LO11113" t="str">
        <v/>
      </c>
    </row>
    <row r="11114" spans="326:327">
      <c r="LN11114" t="str">
        <v/>
      </c>
      <c r="LO11114" t="str">
        <v/>
      </c>
    </row>
    <row r="11115" spans="326:327">
      <c r="LN11115" t="str">
        <v/>
      </c>
      <c r="LO11115" t="str">
        <v/>
      </c>
    </row>
    <row r="11116" spans="326:327">
      <c r="LN11116" t="str">
        <v/>
      </c>
      <c r="LO11116" t="str">
        <v/>
      </c>
    </row>
    <row r="11117" spans="326:327">
      <c r="LN11117" t="str">
        <v/>
      </c>
      <c r="LO11117" t="str">
        <v/>
      </c>
    </row>
    <row r="11118" spans="326:327">
      <c r="LN11118" t="str">
        <v/>
      </c>
      <c r="LO11118" t="str">
        <v/>
      </c>
    </row>
    <row r="11119" spans="326:327">
      <c r="LN11119" t="str">
        <v/>
      </c>
      <c r="LO11119" t="str">
        <v/>
      </c>
    </row>
    <row r="11120" spans="326:327">
      <c r="LN11120" t="str">
        <v/>
      </c>
      <c r="LO11120" t="str">
        <v/>
      </c>
    </row>
    <row r="11121" spans="326:327">
      <c r="LN11121" t="str">
        <v/>
      </c>
      <c r="LO11121" t="str">
        <v/>
      </c>
    </row>
    <row r="11122" spans="326:327">
      <c r="LN11122" t="str">
        <v/>
      </c>
      <c r="LO11122" t="str">
        <v/>
      </c>
    </row>
    <row r="11123" spans="326:327">
      <c r="LN11123" t="str">
        <v/>
      </c>
      <c r="LO11123" t="str">
        <v/>
      </c>
    </row>
    <row r="11124" spans="326:327">
      <c r="LN11124" t="str">
        <v/>
      </c>
      <c r="LO11124" t="str">
        <v/>
      </c>
    </row>
    <row r="11125" spans="326:327">
      <c r="LN11125" t="str">
        <v/>
      </c>
      <c r="LO11125" t="str">
        <v/>
      </c>
    </row>
    <row r="11126" spans="326:327">
      <c r="LN11126" t="str">
        <v/>
      </c>
      <c r="LO11126" t="str">
        <v/>
      </c>
    </row>
    <row r="11127" spans="326:327">
      <c r="LN11127" t="str">
        <v/>
      </c>
      <c r="LO11127" t="str">
        <v/>
      </c>
    </row>
    <row r="11128" spans="326:327">
      <c r="LN11128" t="str">
        <v/>
      </c>
      <c r="LO11128" t="str">
        <v/>
      </c>
    </row>
    <row r="11129" spans="326:327">
      <c r="LN11129" t="str">
        <v/>
      </c>
      <c r="LO11129" t="str">
        <v/>
      </c>
    </row>
    <row r="11130" spans="326:327">
      <c r="LN11130" t="str">
        <v/>
      </c>
      <c r="LO11130" t="str">
        <v/>
      </c>
    </row>
    <row r="11131" spans="326:327">
      <c r="LN11131" t="str">
        <v/>
      </c>
      <c r="LO11131" t="str">
        <v/>
      </c>
    </row>
    <row r="11132" spans="326:327">
      <c r="LN11132" t="str">
        <v/>
      </c>
      <c r="LO11132" t="str">
        <v/>
      </c>
    </row>
    <row r="11133" spans="326:327">
      <c r="LN11133" t="str">
        <v/>
      </c>
      <c r="LO11133" t="str">
        <v/>
      </c>
    </row>
    <row r="11134" spans="326:327">
      <c r="LN11134" t="str">
        <v/>
      </c>
      <c r="LO11134" t="str">
        <v/>
      </c>
    </row>
    <row r="11135" spans="326:327">
      <c r="LN11135" t="str">
        <v/>
      </c>
      <c r="LO11135" t="str">
        <v/>
      </c>
    </row>
    <row r="11136" spans="326:327">
      <c r="LN11136" t="str">
        <v/>
      </c>
      <c r="LO11136" t="str">
        <v/>
      </c>
    </row>
    <row r="11137" spans="326:327">
      <c r="LN11137" t="str">
        <v/>
      </c>
      <c r="LO11137" t="str">
        <v/>
      </c>
    </row>
    <row r="11138" spans="326:327">
      <c r="LN11138" t="str">
        <v/>
      </c>
      <c r="LO11138" t="str">
        <v/>
      </c>
    </row>
    <row r="11139" spans="326:327">
      <c r="LN11139" t="str">
        <v/>
      </c>
      <c r="LO11139" t="str">
        <v/>
      </c>
    </row>
    <row r="11140" spans="326:327">
      <c r="LN11140" t="str">
        <v/>
      </c>
      <c r="LO11140" t="str">
        <v/>
      </c>
    </row>
    <row r="11141" spans="326:327">
      <c r="LN11141" t="str">
        <v/>
      </c>
      <c r="LO11141" t="str">
        <v/>
      </c>
    </row>
    <row r="11142" spans="326:327">
      <c r="LN11142" t="str">
        <v/>
      </c>
      <c r="LO11142" t="str">
        <v/>
      </c>
    </row>
    <row r="11143" spans="326:327">
      <c r="LN11143" t="str">
        <v/>
      </c>
      <c r="LO11143" t="str">
        <v/>
      </c>
    </row>
    <row r="11144" spans="326:327">
      <c r="LN11144" t="str">
        <v/>
      </c>
      <c r="LO11144" t="str">
        <v/>
      </c>
    </row>
    <row r="11145" spans="326:327">
      <c r="LN11145" t="str">
        <v/>
      </c>
      <c r="LO11145" t="str">
        <v/>
      </c>
    </row>
    <row r="11146" spans="326:327">
      <c r="LN11146" t="str">
        <v/>
      </c>
      <c r="LO11146" t="str">
        <v/>
      </c>
    </row>
    <row r="11147" spans="326:327">
      <c r="LN11147" t="str">
        <v/>
      </c>
      <c r="LO11147" t="str">
        <v/>
      </c>
    </row>
    <row r="11148" spans="326:327">
      <c r="LN11148" t="str">
        <v/>
      </c>
      <c r="LO11148" t="str">
        <v/>
      </c>
    </row>
    <row r="11149" spans="326:327">
      <c r="LN11149" t="str">
        <v/>
      </c>
      <c r="LO11149" t="str">
        <v/>
      </c>
    </row>
    <row r="11150" spans="326:327">
      <c r="LN11150" t="str">
        <v/>
      </c>
      <c r="LO11150" t="str">
        <v/>
      </c>
    </row>
    <row r="11151" spans="326:327">
      <c r="LN11151" t="str">
        <v/>
      </c>
      <c r="LO11151" t="str">
        <v/>
      </c>
    </row>
    <row r="11152" spans="326:327">
      <c r="LN11152" t="str">
        <v/>
      </c>
      <c r="LO11152" t="str">
        <v/>
      </c>
    </row>
    <row r="11153" spans="326:327">
      <c r="LN11153" t="str">
        <v/>
      </c>
      <c r="LO11153" t="str">
        <v/>
      </c>
    </row>
    <row r="11154" spans="326:327">
      <c r="LN11154" t="str">
        <v/>
      </c>
      <c r="LO11154" t="str">
        <v/>
      </c>
    </row>
    <row r="11155" spans="326:327">
      <c r="LN11155" t="str">
        <v/>
      </c>
      <c r="LO11155" t="str">
        <v/>
      </c>
    </row>
    <row r="11156" spans="326:327">
      <c r="LN11156" t="str">
        <v/>
      </c>
      <c r="LO11156" t="str">
        <v/>
      </c>
    </row>
    <row r="11157" spans="326:327">
      <c r="LN11157" t="str">
        <v/>
      </c>
      <c r="LO11157" t="str">
        <v/>
      </c>
    </row>
    <row r="11158" spans="326:327">
      <c r="LN11158" t="str">
        <v/>
      </c>
      <c r="LO11158" t="str">
        <v/>
      </c>
    </row>
    <row r="11159" spans="326:327">
      <c r="LN11159" t="str">
        <v/>
      </c>
      <c r="LO11159" t="str">
        <v/>
      </c>
    </row>
    <row r="11160" spans="326:327">
      <c r="LN11160" t="str">
        <v/>
      </c>
      <c r="LO11160" t="str">
        <v/>
      </c>
    </row>
    <row r="11161" spans="326:327">
      <c r="LN11161" t="str">
        <v/>
      </c>
      <c r="LO11161" t="str">
        <v/>
      </c>
    </row>
    <row r="11162" spans="326:327">
      <c r="LN11162" t="str">
        <v/>
      </c>
      <c r="LO11162" t="str">
        <v/>
      </c>
    </row>
    <row r="11163" spans="326:327">
      <c r="LN11163" t="str">
        <v/>
      </c>
      <c r="LO11163" t="str">
        <v/>
      </c>
    </row>
    <row r="11164" spans="326:327">
      <c r="LN11164" t="str">
        <v/>
      </c>
      <c r="LO11164" t="str">
        <v/>
      </c>
    </row>
    <row r="11165" spans="326:327">
      <c r="LN11165" t="str">
        <v/>
      </c>
      <c r="LO11165" t="str">
        <v/>
      </c>
    </row>
    <row r="11166" spans="326:327">
      <c r="LN11166" t="str">
        <v/>
      </c>
      <c r="LO11166" t="str">
        <v/>
      </c>
    </row>
    <row r="11167" spans="326:327">
      <c r="LN11167" t="str">
        <v/>
      </c>
      <c r="LO11167" t="str">
        <v/>
      </c>
    </row>
    <row r="11168" spans="326:327">
      <c r="LN11168" t="str">
        <v/>
      </c>
      <c r="LO11168" t="str">
        <v/>
      </c>
    </row>
    <row r="11169" spans="326:327">
      <c r="LN11169" t="str">
        <v/>
      </c>
      <c r="LO11169" t="str">
        <v/>
      </c>
    </row>
    <row r="11170" spans="326:327">
      <c r="LN11170" t="str">
        <v/>
      </c>
      <c r="LO11170" t="str">
        <v/>
      </c>
    </row>
    <row r="11171" spans="326:327">
      <c r="LN11171" t="str">
        <v/>
      </c>
      <c r="LO11171" t="str">
        <v/>
      </c>
    </row>
    <row r="11172" spans="326:327">
      <c r="LN11172" t="str">
        <v/>
      </c>
      <c r="LO11172" t="str">
        <v/>
      </c>
    </row>
    <row r="11173" spans="326:327">
      <c r="LN11173" t="str">
        <v/>
      </c>
      <c r="LO11173" t="str">
        <v/>
      </c>
    </row>
    <row r="11174" spans="326:327">
      <c r="LN11174" t="str">
        <v/>
      </c>
      <c r="LO11174" t="str">
        <v/>
      </c>
    </row>
    <row r="11175" spans="326:327">
      <c r="LN11175" t="str">
        <v/>
      </c>
      <c r="LO11175" t="str">
        <v/>
      </c>
    </row>
    <row r="11176" spans="326:327">
      <c r="LN11176" t="str">
        <v/>
      </c>
      <c r="LO11176" t="str">
        <v/>
      </c>
    </row>
    <row r="11177" spans="326:327">
      <c r="LN11177" t="str">
        <v/>
      </c>
      <c r="LO11177" t="str">
        <v/>
      </c>
    </row>
    <row r="11178" spans="326:327">
      <c r="LN11178" t="str">
        <v/>
      </c>
      <c r="LO11178" t="str">
        <v/>
      </c>
    </row>
    <row r="11179" spans="326:327">
      <c r="LN11179" t="str">
        <v/>
      </c>
      <c r="LO11179" t="str">
        <v/>
      </c>
    </row>
    <row r="11180" spans="326:327">
      <c r="LN11180" t="str">
        <v/>
      </c>
      <c r="LO11180" t="str">
        <v/>
      </c>
    </row>
    <row r="11181" spans="326:327">
      <c r="LN11181" t="str">
        <v/>
      </c>
      <c r="LO11181" t="str">
        <v/>
      </c>
    </row>
    <row r="11182" spans="326:327">
      <c r="LN11182" t="str">
        <v/>
      </c>
      <c r="LO11182" t="str">
        <v/>
      </c>
    </row>
    <row r="11183" spans="326:327">
      <c r="LN11183" t="str">
        <v/>
      </c>
      <c r="LO11183" t="str">
        <v/>
      </c>
    </row>
    <row r="11184" spans="326:327">
      <c r="LN11184" t="str">
        <v/>
      </c>
      <c r="LO11184" t="str">
        <v/>
      </c>
    </row>
    <row r="11185" spans="326:327">
      <c r="LN11185" t="str">
        <v/>
      </c>
      <c r="LO11185" t="str">
        <v/>
      </c>
    </row>
    <row r="11186" spans="326:327">
      <c r="LN11186" t="str">
        <v/>
      </c>
      <c r="LO11186" t="str">
        <v/>
      </c>
    </row>
    <row r="11187" spans="326:327">
      <c r="LN11187" t="str">
        <v/>
      </c>
      <c r="LO11187" t="str">
        <v/>
      </c>
    </row>
    <row r="11188" spans="326:327">
      <c r="LN11188" t="str">
        <v/>
      </c>
      <c r="LO11188" t="str">
        <v/>
      </c>
    </row>
    <row r="11189" spans="326:327">
      <c r="LN11189" t="str">
        <v/>
      </c>
      <c r="LO11189" t="str">
        <v/>
      </c>
    </row>
    <row r="11190" spans="326:327">
      <c r="LN11190" t="str">
        <v/>
      </c>
      <c r="LO11190" t="str">
        <v/>
      </c>
    </row>
    <row r="11191" spans="326:327">
      <c r="LN11191" t="str">
        <v/>
      </c>
      <c r="LO11191" t="str">
        <v/>
      </c>
    </row>
    <row r="11192" spans="326:327">
      <c r="LN11192" t="str">
        <v/>
      </c>
      <c r="LO11192" t="str">
        <v/>
      </c>
    </row>
    <row r="11193" spans="326:327">
      <c r="LN11193" t="str">
        <v/>
      </c>
      <c r="LO11193" t="str">
        <v/>
      </c>
    </row>
    <row r="11194" spans="326:327">
      <c r="LN11194" t="str">
        <v/>
      </c>
      <c r="LO11194" t="str">
        <v/>
      </c>
    </row>
    <row r="11195" spans="326:327">
      <c r="LN11195" t="str">
        <v/>
      </c>
      <c r="LO11195" t="str">
        <v/>
      </c>
    </row>
    <row r="11196" spans="326:327">
      <c r="LN11196" t="str">
        <v/>
      </c>
      <c r="LO11196" t="str">
        <v/>
      </c>
    </row>
    <row r="11197" spans="326:327">
      <c r="LN11197" t="str">
        <v/>
      </c>
      <c r="LO11197" t="str">
        <v/>
      </c>
    </row>
    <row r="11198" spans="326:327">
      <c r="LN11198" t="str">
        <v/>
      </c>
      <c r="LO11198" t="str">
        <v/>
      </c>
    </row>
    <row r="11199" spans="326:327">
      <c r="LN11199" t="str">
        <v/>
      </c>
      <c r="LO11199" t="str">
        <v/>
      </c>
    </row>
    <row r="11200" spans="326:327">
      <c r="LN11200" t="str">
        <v/>
      </c>
      <c r="LO11200" t="str">
        <v/>
      </c>
    </row>
    <row r="11201" spans="326:327">
      <c r="LN11201" t="str">
        <v/>
      </c>
      <c r="LO11201" t="str">
        <v/>
      </c>
    </row>
    <row r="11202" spans="326:327">
      <c r="LN11202" t="str">
        <v/>
      </c>
      <c r="LO11202" t="str">
        <v/>
      </c>
    </row>
    <row r="11203" spans="326:327">
      <c r="LN11203" t="str">
        <v/>
      </c>
      <c r="LO11203" t="str">
        <v/>
      </c>
    </row>
    <row r="11204" spans="326:327">
      <c r="LN11204" t="str">
        <v/>
      </c>
      <c r="LO11204" t="str">
        <v/>
      </c>
    </row>
    <row r="11205" spans="326:327">
      <c r="LN11205" t="str">
        <v/>
      </c>
      <c r="LO11205" t="str">
        <v/>
      </c>
    </row>
    <row r="11206" spans="326:327">
      <c r="LN11206" t="str">
        <v/>
      </c>
      <c r="LO11206" t="str">
        <v/>
      </c>
    </row>
    <row r="11207" spans="326:327">
      <c r="LN11207" t="str">
        <v/>
      </c>
      <c r="LO11207" t="str">
        <v/>
      </c>
    </row>
    <row r="11208" spans="326:327">
      <c r="LN11208" t="str">
        <v/>
      </c>
      <c r="LO11208" t="str">
        <v/>
      </c>
    </row>
    <row r="11209" spans="326:327">
      <c r="LN11209" t="str">
        <v/>
      </c>
      <c r="LO11209" t="str">
        <v/>
      </c>
    </row>
    <row r="11210" spans="326:327">
      <c r="LN11210" t="str">
        <v/>
      </c>
      <c r="LO11210" t="str">
        <v/>
      </c>
    </row>
    <row r="11211" spans="326:327">
      <c r="LN11211" t="str">
        <v/>
      </c>
      <c r="LO11211" t="str">
        <v/>
      </c>
    </row>
    <row r="11212" spans="326:327">
      <c r="LN11212" t="str">
        <v/>
      </c>
      <c r="LO11212" t="str">
        <v/>
      </c>
    </row>
    <row r="11213" spans="326:327">
      <c r="LN11213" t="str">
        <v/>
      </c>
      <c r="LO11213" t="str">
        <v/>
      </c>
    </row>
    <row r="11214" spans="326:327">
      <c r="LN11214" t="str">
        <v/>
      </c>
      <c r="LO11214" t="str">
        <v/>
      </c>
    </row>
    <row r="11215" spans="326:327">
      <c r="LN11215" t="str">
        <v/>
      </c>
      <c r="LO11215" t="str">
        <v/>
      </c>
    </row>
    <row r="11216" spans="326:327">
      <c r="LN11216" t="str">
        <v/>
      </c>
      <c r="LO11216" t="str">
        <v/>
      </c>
    </row>
    <row r="11217" spans="326:327">
      <c r="LN11217" t="str">
        <v/>
      </c>
      <c r="LO11217" t="str">
        <v/>
      </c>
    </row>
    <row r="11218" spans="326:327">
      <c r="LN11218" t="str">
        <v/>
      </c>
      <c r="LO11218" t="str">
        <v/>
      </c>
    </row>
    <row r="11219" spans="326:327">
      <c r="LN11219" t="str">
        <v/>
      </c>
      <c r="LO11219" t="str">
        <v/>
      </c>
    </row>
    <row r="11220" spans="326:327">
      <c r="LN11220" t="str">
        <v/>
      </c>
      <c r="LO11220" t="str">
        <v/>
      </c>
    </row>
    <row r="11221" spans="326:327">
      <c r="LN11221" t="str">
        <v/>
      </c>
      <c r="LO11221" t="str">
        <v/>
      </c>
    </row>
    <row r="11222" spans="326:327">
      <c r="LN11222" t="str">
        <v/>
      </c>
      <c r="LO11222" t="str">
        <v/>
      </c>
    </row>
    <row r="11223" spans="326:327">
      <c r="LN11223" t="str">
        <v/>
      </c>
      <c r="LO11223" t="str">
        <v/>
      </c>
    </row>
    <row r="11224" spans="326:327">
      <c r="LN11224" t="str">
        <v/>
      </c>
      <c r="LO11224" t="str">
        <v/>
      </c>
    </row>
    <row r="11225" spans="326:327">
      <c r="LN11225" t="str">
        <v/>
      </c>
      <c r="LO11225" t="str">
        <v/>
      </c>
    </row>
    <row r="11226" spans="326:327">
      <c r="LN11226" t="str">
        <v/>
      </c>
      <c r="LO11226" t="str">
        <v/>
      </c>
    </row>
    <row r="11227" spans="326:327">
      <c r="LN11227" t="str">
        <v/>
      </c>
      <c r="LO11227" t="str">
        <v/>
      </c>
    </row>
    <row r="11228" spans="326:327">
      <c r="LN11228" t="str">
        <v/>
      </c>
      <c r="LO11228" t="str">
        <v/>
      </c>
    </row>
    <row r="11229" spans="326:327">
      <c r="LN11229" t="str">
        <v/>
      </c>
      <c r="LO11229" t="str">
        <v/>
      </c>
    </row>
    <row r="11230" spans="326:327">
      <c r="LN11230" t="str">
        <v/>
      </c>
      <c r="LO11230" t="str">
        <v/>
      </c>
    </row>
    <row r="11231" spans="326:327">
      <c r="LN11231" t="str">
        <v/>
      </c>
      <c r="LO11231" t="str">
        <v/>
      </c>
    </row>
    <row r="11232" spans="326:327">
      <c r="LN11232" t="str">
        <v/>
      </c>
      <c r="LO11232" t="str">
        <v/>
      </c>
    </row>
    <row r="11233" spans="326:327">
      <c r="LN11233" t="str">
        <v/>
      </c>
      <c r="LO11233" t="str">
        <v/>
      </c>
    </row>
    <row r="11234" spans="326:327">
      <c r="LN11234" t="str">
        <v/>
      </c>
      <c r="LO11234" t="str">
        <v/>
      </c>
    </row>
    <row r="11235" spans="326:327">
      <c r="LN11235" t="str">
        <v/>
      </c>
      <c r="LO11235" t="str">
        <v/>
      </c>
    </row>
    <row r="11236" spans="326:327">
      <c r="LN11236" t="str">
        <v/>
      </c>
      <c r="LO11236" t="str">
        <v/>
      </c>
    </row>
    <row r="11237" spans="326:327">
      <c r="LN11237" t="str">
        <v/>
      </c>
      <c r="LO11237" t="str">
        <v/>
      </c>
    </row>
    <row r="11238" spans="326:327">
      <c r="LN11238" t="str">
        <v/>
      </c>
      <c r="LO11238" t="str">
        <v/>
      </c>
    </row>
    <row r="11239" spans="326:327">
      <c r="LN11239" t="str">
        <v/>
      </c>
      <c r="LO11239" t="str">
        <v/>
      </c>
    </row>
    <row r="11240" spans="326:327">
      <c r="LN11240" t="str">
        <v/>
      </c>
      <c r="LO11240" t="str">
        <v/>
      </c>
    </row>
    <row r="11241" spans="326:327">
      <c r="LN11241" t="str">
        <v/>
      </c>
      <c r="LO11241" t="str">
        <v/>
      </c>
    </row>
    <row r="11242" spans="326:327">
      <c r="LN11242" t="str">
        <v/>
      </c>
      <c r="LO11242" t="str">
        <v/>
      </c>
    </row>
    <row r="11243" spans="326:327">
      <c r="LN11243" t="str">
        <v/>
      </c>
      <c r="LO11243" t="str">
        <v/>
      </c>
    </row>
    <row r="11244" spans="326:327">
      <c r="LN11244" t="str">
        <v/>
      </c>
      <c r="LO11244" t="str">
        <v/>
      </c>
    </row>
    <row r="11245" spans="326:327">
      <c r="LN11245" t="str">
        <v/>
      </c>
      <c r="LO11245" t="str">
        <v/>
      </c>
    </row>
    <row r="11246" spans="326:327">
      <c r="LN11246" t="str">
        <v/>
      </c>
      <c r="LO11246" t="str">
        <v/>
      </c>
    </row>
    <row r="11247" spans="326:327">
      <c r="LN11247" t="str">
        <v/>
      </c>
      <c r="LO11247" t="str">
        <v/>
      </c>
    </row>
    <row r="11248" spans="326:327">
      <c r="LN11248" t="str">
        <v/>
      </c>
      <c r="LO11248" t="str">
        <v/>
      </c>
    </row>
    <row r="11249" spans="326:327">
      <c r="LN11249" t="str">
        <v/>
      </c>
      <c r="LO11249" t="str">
        <v/>
      </c>
    </row>
    <row r="11250" spans="326:327">
      <c r="LN11250" t="str">
        <v/>
      </c>
      <c r="LO11250" t="str">
        <v/>
      </c>
    </row>
    <row r="11251" spans="326:327">
      <c r="LN11251" t="str">
        <v/>
      </c>
      <c r="LO11251" t="str">
        <v/>
      </c>
    </row>
    <row r="11252" spans="326:327">
      <c r="LN11252" t="str">
        <v/>
      </c>
      <c r="LO11252" t="str">
        <v/>
      </c>
    </row>
    <row r="11253" spans="326:327">
      <c r="LN11253" t="str">
        <v/>
      </c>
      <c r="LO11253" t="str">
        <v/>
      </c>
    </row>
    <row r="11254" spans="326:327">
      <c r="LN11254" t="str">
        <v/>
      </c>
      <c r="LO11254" t="str">
        <v/>
      </c>
    </row>
    <row r="11255" spans="326:327">
      <c r="LN11255" t="str">
        <v/>
      </c>
      <c r="LO11255" t="str">
        <v/>
      </c>
    </row>
    <row r="11256" spans="326:327">
      <c r="LN11256" t="str">
        <v/>
      </c>
      <c r="LO11256" t="str">
        <v/>
      </c>
    </row>
    <row r="11257" spans="326:327">
      <c r="LN11257" t="str">
        <v/>
      </c>
      <c r="LO11257" t="str">
        <v/>
      </c>
    </row>
    <row r="11258" spans="326:327">
      <c r="LN11258" t="str">
        <v/>
      </c>
      <c r="LO11258" t="str">
        <v/>
      </c>
    </row>
    <row r="11259" spans="326:327">
      <c r="LN11259" t="str">
        <v/>
      </c>
      <c r="LO11259" t="str">
        <v/>
      </c>
    </row>
    <row r="11260" spans="326:327">
      <c r="LN11260" t="str">
        <v/>
      </c>
      <c r="LO11260" t="str">
        <v/>
      </c>
    </row>
    <row r="11261" spans="326:327">
      <c r="LN11261" t="str">
        <v/>
      </c>
      <c r="LO11261" t="str">
        <v/>
      </c>
    </row>
    <row r="11262" spans="326:327">
      <c r="LN11262" t="str">
        <v/>
      </c>
      <c r="LO11262" t="str">
        <v/>
      </c>
    </row>
    <row r="11263" spans="326:327">
      <c r="LN11263" t="str">
        <v/>
      </c>
      <c r="LO11263" t="str">
        <v/>
      </c>
    </row>
    <row r="11264" spans="326:327">
      <c r="LN11264" t="str">
        <v/>
      </c>
      <c r="LO11264" t="str">
        <v/>
      </c>
    </row>
    <row r="11265" spans="326:327">
      <c r="LN11265" t="str">
        <v/>
      </c>
      <c r="LO11265" t="str">
        <v/>
      </c>
    </row>
    <row r="11266" spans="326:327">
      <c r="LN11266" t="str">
        <v/>
      </c>
      <c r="LO11266" t="str">
        <v/>
      </c>
    </row>
    <row r="11267" spans="326:327">
      <c r="LN11267" t="str">
        <v/>
      </c>
      <c r="LO11267" t="str">
        <v/>
      </c>
    </row>
    <row r="11268" spans="326:327">
      <c r="LN11268" t="str">
        <v/>
      </c>
      <c r="LO11268" t="str">
        <v/>
      </c>
    </row>
    <row r="11269" spans="326:327">
      <c r="LN11269" t="str">
        <v/>
      </c>
      <c r="LO11269" t="str">
        <v/>
      </c>
    </row>
    <row r="11270" spans="326:327">
      <c r="LN11270" t="str">
        <v/>
      </c>
      <c r="LO11270" t="str">
        <v/>
      </c>
    </row>
    <row r="11271" spans="326:327">
      <c r="LN11271" t="str">
        <v/>
      </c>
      <c r="LO11271" t="str">
        <v/>
      </c>
    </row>
    <row r="11272" spans="326:327">
      <c r="LN11272" t="str">
        <v/>
      </c>
      <c r="LO11272" t="str">
        <v/>
      </c>
    </row>
    <row r="11273" spans="326:327">
      <c r="LN11273" t="str">
        <v/>
      </c>
      <c r="LO11273" t="str">
        <v/>
      </c>
    </row>
    <row r="11274" spans="326:327">
      <c r="LN11274" t="str">
        <v/>
      </c>
      <c r="LO11274" t="str">
        <v/>
      </c>
    </row>
    <row r="11275" spans="326:327">
      <c r="LN11275" t="str">
        <v/>
      </c>
      <c r="LO11275" t="str">
        <v/>
      </c>
    </row>
    <row r="11276" spans="326:327">
      <c r="LN11276" t="str">
        <v/>
      </c>
      <c r="LO11276" t="str">
        <v/>
      </c>
    </row>
    <row r="11277" spans="326:327">
      <c r="LN11277" t="str">
        <v/>
      </c>
      <c r="LO11277" t="str">
        <v/>
      </c>
    </row>
    <row r="11278" spans="326:327">
      <c r="LN11278" t="str">
        <v/>
      </c>
      <c r="LO11278" t="str">
        <v/>
      </c>
    </row>
    <row r="11279" spans="326:327">
      <c r="LN11279" t="str">
        <v/>
      </c>
      <c r="LO11279" t="str">
        <v/>
      </c>
    </row>
    <row r="11280" spans="326:327">
      <c r="LN11280" t="str">
        <v/>
      </c>
      <c r="LO11280" t="str">
        <v/>
      </c>
    </row>
    <row r="11281" spans="326:327">
      <c r="LN11281" t="str">
        <v/>
      </c>
      <c r="LO11281" t="str">
        <v/>
      </c>
    </row>
    <row r="11282" spans="326:327">
      <c r="LN11282" t="str">
        <v/>
      </c>
      <c r="LO11282" t="str">
        <v/>
      </c>
    </row>
    <row r="11283" spans="326:327">
      <c r="LN11283" t="str">
        <v/>
      </c>
      <c r="LO11283" t="str">
        <v/>
      </c>
    </row>
    <row r="11284" spans="326:327">
      <c r="LN11284" t="str">
        <v/>
      </c>
      <c r="LO11284" t="str">
        <v/>
      </c>
    </row>
    <row r="11285" spans="326:327">
      <c r="LN11285" t="str">
        <v/>
      </c>
      <c r="LO11285" t="str">
        <v/>
      </c>
    </row>
    <row r="11286" spans="326:327">
      <c r="LN11286" t="str">
        <v/>
      </c>
      <c r="LO11286" t="str">
        <v/>
      </c>
    </row>
    <row r="11287" spans="326:327">
      <c r="LN11287" t="str">
        <v/>
      </c>
      <c r="LO11287" t="str">
        <v/>
      </c>
    </row>
    <row r="11288" spans="326:327">
      <c r="LN11288" t="str">
        <v/>
      </c>
      <c r="LO11288" t="str">
        <v/>
      </c>
    </row>
    <row r="11289" spans="326:327">
      <c r="LN11289" t="str">
        <v/>
      </c>
      <c r="LO11289" t="str">
        <v/>
      </c>
    </row>
    <row r="11290" spans="326:327">
      <c r="LN11290" t="str">
        <v/>
      </c>
      <c r="LO11290" t="str">
        <v/>
      </c>
    </row>
    <row r="11291" spans="326:327">
      <c r="LN11291" t="str">
        <v/>
      </c>
      <c r="LO11291" t="str">
        <v/>
      </c>
    </row>
    <row r="11292" spans="326:327">
      <c r="LN11292" t="str">
        <v/>
      </c>
      <c r="LO11292" t="str">
        <v/>
      </c>
    </row>
    <row r="11293" spans="326:327">
      <c r="LN11293" t="str">
        <v/>
      </c>
      <c r="LO11293" t="str">
        <v/>
      </c>
    </row>
    <row r="11294" spans="326:327">
      <c r="LN11294" t="str">
        <v/>
      </c>
      <c r="LO11294" t="str">
        <v/>
      </c>
    </row>
    <row r="11295" spans="326:327">
      <c r="LN11295" t="str">
        <v/>
      </c>
      <c r="LO11295" t="str">
        <v/>
      </c>
    </row>
    <row r="11296" spans="326:327">
      <c r="LN11296" t="str">
        <v/>
      </c>
      <c r="LO11296" t="str">
        <v/>
      </c>
    </row>
    <row r="11297" spans="326:327">
      <c r="LN11297" t="str">
        <v/>
      </c>
      <c r="LO11297" t="str">
        <v/>
      </c>
    </row>
    <row r="11298" spans="326:327">
      <c r="LN11298" t="str">
        <v/>
      </c>
      <c r="LO11298" t="str">
        <v/>
      </c>
    </row>
    <row r="11299" spans="326:327">
      <c r="LN11299" t="str">
        <v/>
      </c>
      <c r="LO11299" t="str">
        <v/>
      </c>
    </row>
    <row r="11300" spans="326:327">
      <c r="LN11300" t="str">
        <v/>
      </c>
      <c r="LO11300" t="str">
        <v/>
      </c>
    </row>
    <row r="11301" spans="326:327">
      <c r="LN11301" t="str">
        <v/>
      </c>
      <c r="LO11301" t="str">
        <v/>
      </c>
    </row>
    <row r="11302" spans="326:327">
      <c r="LN11302" t="str">
        <v/>
      </c>
      <c r="LO11302" t="str">
        <v/>
      </c>
    </row>
    <row r="11303" spans="326:327">
      <c r="LN11303" t="str">
        <v/>
      </c>
      <c r="LO11303" t="str">
        <v/>
      </c>
    </row>
    <row r="11304" spans="326:327">
      <c r="LN11304" t="str">
        <v/>
      </c>
      <c r="LO11304" t="str">
        <v/>
      </c>
    </row>
    <row r="11305" spans="326:327">
      <c r="LN11305" t="str">
        <v/>
      </c>
      <c r="LO11305" t="str">
        <v/>
      </c>
    </row>
    <row r="11306" spans="326:327">
      <c r="LN11306" t="str">
        <v/>
      </c>
      <c r="LO11306" t="str">
        <v/>
      </c>
    </row>
    <row r="11307" spans="326:327">
      <c r="LN11307" t="str">
        <v/>
      </c>
      <c r="LO11307" t="str">
        <v/>
      </c>
    </row>
    <row r="11308" spans="326:327">
      <c r="LN11308" t="str">
        <v/>
      </c>
      <c r="LO11308" t="str">
        <v/>
      </c>
    </row>
    <row r="11309" spans="326:327">
      <c r="LN11309" t="str">
        <v/>
      </c>
      <c r="LO11309" t="str">
        <v/>
      </c>
    </row>
    <row r="11310" spans="326:327">
      <c r="LN11310" t="str">
        <v/>
      </c>
      <c r="LO11310" t="str">
        <v/>
      </c>
    </row>
    <row r="11311" spans="326:327">
      <c r="LN11311" t="str">
        <v/>
      </c>
      <c r="LO11311" t="str">
        <v/>
      </c>
    </row>
    <row r="11312" spans="326:327">
      <c r="LN11312" t="str">
        <v/>
      </c>
      <c r="LO11312" t="str">
        <v/>
      </c>
    </row>
    <row r="11313" spans="326:327">
      <c r="LN11313" t="str">
        <v/>
      </c>
      <c r="LO11313" t="str">
        <v/>
      </c>
    </row>
    <row r="11314" spans="326:327">
      <c r="LN11314" t="str">
        <v/>
      </c>
      <c r="LO11314" t="str">
        <v/>
      </c>
    </row>
    <row r="11315" spans="326:327">
      <c r="LN11315" t="str">
        <v/>
      </c>
      <c r="LO11315" t="str">
        <v/>
      </c>
    </row>
    <row r="11316" spans="326:327">
      <c r="LN11316" t="str">
        <v/>
      </c>
      <c r="LO11316" t="str">
        <v/>
      </c>
    </row>
    <row r="11317" spans="326:327">
      <c r="LN11317" t="str">
        <v/>
      </c>
      <c r="LO11317" t="str">
        <v/>
      </c>
    </row>
    <row r="11318" spans="326:327">
      <c r="LN11318" t="str">
        <v/>
      </c>
      <c r="LO11318" t="str">
        <v/>
      </c>
    </row>
    <row r="11319" spans="326:327">
      <c r="LN11319" t="str">
        <v/>
      </c>
      <c r="LO11319" t="str">
        <v/>
      </c>
    </row>
    <row r="11320" spans="326:327">
      <c r="LN11320" t="str">
        <v/>
      </c>
      <c r="LO11320" t="str">
        <v/>
      </c>
    </row>
    <row r="11321" spans="326:327">
      <c r="LN11321" t="str">
        <v/>
      </c>
      <c r="LO11321" t="str">
        <v/>
      </c>
    </row>
    <row r="11322" spans="326:327">
      <c r="LN11322" t="str">
        <v/>
      </c>
      <c r="LO11322" t="str">
        <v/>
      </c>
    </row>
    <row r="11323" spans="326:327">
      <c r="LN11323" t="str">
        <v/>
      </c>
      <c r="LO11323" t="str">
        <v/>
      </c>
    </row>
    <row r="11324" spans="326:327">
      <c r="LN11324" t="str">
        <v/>
      </c>
      <c r="LO11324" t="str">
        <v/>
      </c>
    </row>
    <row r="11325" spans="326:327">
      <c r="LN11325" t="str">
        <v/>
      </c>
      <c r="LO11325" t="str">
        <v/>
      </c>
    </row>
    <row r="11326" spans="326:327">
      <c r="LN11326" t="str">
        <v/>
      </c>
      <c r="LO11326" t="str">
        <v/>
      </c>
    </row>
    <row r="11327" spans="326:327">
      <c r="LN11327" t="str">
        <v/>
      </c>
      <c r="LO11327" t="str">
        <v/>
      </c>
    </row>
    <row r="11328" spans="326:327">
      <c r="LN11328" t="str">
        <v/>
      </c>
      <c r="LO11328" t="str">
        <v/>
      </c>
    </row>
    <row r="11329" spans="326:327">
      <c r="LN11329" t="str">
        <v/>
      </c>
      <c r="LO11329" t="str">
        <v/>
      </c>
    </row>
    <row r="11330" spans="326:327">
      <c r="LN11330" t="str">
        <v/>
      </c>
      <c r="LO11330" t="str">
        <v/>
      </c>
    </row>
    <row r="11331" spans="326:327">
      <c r="LN11331" t="str">
        <v/>
      </c>
      <c r="LO11331" t="str">
        <v/>
      </c>
    </row>
    <row r="11332" spans="326:327">
      <c r="LN11332" t="str">
        <v/>
      </c>
      <c r="LO11332" t="str">
        <v/>
      </c>
    </row>
    <row r="11333" spans="326:327">
      <c r="LN11333" t="str">
        <v/>
      </c>
      <c r="LO11333" t="str">
        <v/>
      </c>
    </row>
    <row r="11334" spans="326:327">
      <c r="LN11334" t="str">
        <v/>
      </c>
      <c r="LO11334" t="str">
        <v/>
      </c>
    </row>
    <row r="11335" spans="326:327">
      <c r="LN11335" t="str">
        <v/>
      </c>
      <c r="LO11335" t="str">
        <v/>
      </c>
    </row>
    <row r="11336" spans="326:327">
      <c r="LN11336" t="str">
        <v/>
      </c>
      <c r="LO11336" t="str">
        <v/>
      </c>
    </row>
    <row r="11337" spans="326:327">
      <c r="LN11337" t="str">
        <v/>
      </c>
      <c r="LO11337" t="str">
        <v/>
      </c>
    </row>
    <row r="11338" spans="326:327">
      <c r="LN11338" t="str">
        <v/>
      </c>
      <c r="LO11338" t="str">
        <v/>
      </c>
    </row>
    <row r="11339" spans="326:327">
      <c r="LN11339" t="str">
        <v/>
      </c>
      <c r="LO11339" t="str">
        <v/>
      </c>
    </row>
    <row r="11340" spans="326:327">
      <c r="LN11340" t="str">
        <v/>
      </c>
      <c r="LO11340" t="str">
        <v/>
      </c>
    </row>
    <row r="11341" spans="326:327">
      <c r="LN11341" t="str">
        <v/>
      </c>
      <c r="LO11341" t="str">
        <v/>
      </c>
    </row>
    <row r="11342" spans="326:327">
      <c r="LN11342" t="str">
        <v/>
      </c>
      <c r="LO11342" t="str">
        <v/>
      </c>
    </row>
    <row r="11343" spans="326:327">
      <c r="LN11343" t="str">
        <v/>
      </c>
      <c r="LO11343" t="str">
        <v/>
      </c>
    </row>
    <row r="11344" spans="326:327">
      <c r="LN11344" t="str">
        <v/>
      </c>
      <c r="LO11344" t="str">
        <v/>
      </c>
    </row>
    <row r="11345" spans="326:327">
      <c r="LN11345" t="str">
        <v/>
      </c>
      <c r="LO11345" t="str">
        <v/>
      </c>
    </row>
    <row r="11346" spans="326:327">
      <c r="LN11346" t="str">
        <v/>
      </c>
      <c r="LO11346" t="str">
        <v/>
      </c>
    </row>
    <row r="11347" spans="326:327">
      <c r="LN11347" t="str">
        <v/>
      </c>
      <c r="LO11347" t="str">
        <v/>
      </c>
    </row>
    <row r="11348" spans="326:327">
      <c r="LN11348" t="str">
        <v/>
      </c>
      <c r="LO11348" t="str">
        <v/>
      </c>
    </row>
    <row r="11349" spans="326:327">
      <c r="LN11349" t="str">
        <v/>
      </c>
      <c r="LO11349" t="str">
        <v/>
      </c>
    </row>
    <row r="11350" spans="326:327">
      <c r="LN11350" t="str">
        <v/>
      </c>
      <c r="LO11350" t="str">
        <v/>
      </c>
    </row>
    <row r="11351" spans="326:327">
      <c r="LN11351" t="str">
        <v/>
      </c>
      <c r="LO11351" t="str">
        <v/>
      </c>
    </row>
    <row r="11352" spans="326:327">
      <c r="LN11352" t="str">
        <v/>
      </c>
      <c r="LO11352" t="str">
        <v/>
      </c>
    </row>
    <row r="11353" spans="326:327">
      <c r="LN11353" t="str">
        <v/>
      </c>
      <c r="LO11353" t="str">
        <v/>
      </c>
    </row>
    <row r="11354" spans="326:327">
      <c r="LN11354" t="str">
        <v/>
      </c>
      <c r="LO11354" t="str">
        <v/>
      </c>
    </row>
    <row r="11355" spans="326:327">
      <c r="LN11355" t="str">
        <v/>
      </c>
      <c r="LO11355" t="str">
        <v/>
      </c>
    </row>
    <row r="11356" spans="326:327">
      <c r="LN11356" t="str">
        <v/>
      </c>
      <c r="LO11356" t="str">
        <v/>
      </c>
    </row>
    <row r="11357" spans="326:327">
      <c r="LN11357" t="str">
        <v/>
      </c>
      <c r="LO11357" t="str">
        <v/>
      </c>
    </row>
    <row r="11358" spans="326:327">
      <c r="LN11358" t="str">
        <v/>
      </c>
      <c r="LO11358" t="str">
        <v/>
      </c>
    </row>
    <row r="11359" spans="326:327">
      <c r="LN11359" t="str">
        <v/>
      </c>
      <c r="LO11359" t="str">
        <v/>
      </c>
    </row>
    <row r="11360" spans="326:327">
      <c r="LN11360" t="str">
        <v/>
      </c>
      <c r="LO11360" t="str">
        <v/>
      </c>
    </row>
    <row r="11361" spans="326:327">
      <c r="LN11361" t="str">
        <v/>
      </c>
      <c r="LO11361" t="str">
        <v/>
      </c>
    </row>
    <row r="11362" spans="326:327">
      <c r="LN11362" t="str">
        <v/>
      </c>
      <c r="LO11362" t="str">
        <v/>
      </c>
    </row>
    <row r="11363" spans="326:327">
      <c r="LN11363" t="str">
        <v/>
      </c>
      <c r="LO11363" t="str">
        <v/>
      </c>
    </row>
    <row r="11364" spans="326:327">
      <c r="LN11364" t="str">
        <v/>
      </c>
      <c r="LO11364" t="str">
        <v/>
      </c>
    </row>
    <row r="11365" spans="326:327">
      <c r="LN11365" t="str">
        <v/>
      </c>
      <c r="LO11365" t="str">
        <v/>
      </c>
    </row>
    <row r="11366" spans="326:327">
      <c r="LN11366" t="str">
        <v/>
      </c>
      <c r="LO11366" t="str">
        <v/>
      </c>
    </row>
    <row r="11367" spans="326:327">
      <c r="LN11367" t="str">
        <v/>
      </c>
      <c r="LO11367" t="str">
        <v/>
      </c>
    </row>
    <row r="11368" spans="326:327">
      <c r="LN11368" t="str">
        <v/>
      </c>
      <c r="LO11368" t="str">
        <v/>
      </c>
    </row>
    <row r="11369" spans="326:327">
      <c r="LN11369" t="str">
        <v/>
      </c>
      <c r="LO11369" t="str">
        <v/>
      </c>
    </row>
    <row r="11370" spans="326:327">
      <c r="LN11370" t="str">
        <v/>
      </c>
      <c r="LO11370" t="str">
        <v/>
      </c>
    </row>
    <row r="11371" spans="326:327">
      <c r="LN11371" t="str">
        <v/>
      </c>
      <c r="LO11371" t="str">
        <v/>
      </c>
    </row>
    <row r="11372" spans="326:327">
      <c r="LN11372" t="str">
        <v/>
      </c>
      <c r="LO11372" t="str">
        <v/>
      </c>
    </row>
    <row r="11373" spans="326:327">
      <c r="LN11373" t="str">
        <v/>
      </c>
      <c r="LO11373" t="str">
        <v/>
      </c>
    </row>
    <row r="11374" spans="326:327">
      <c r="LN11374" t="str">
        <v/>
      </c>
      <c r="LO11374" t="str">
        <v/>
      </c>
    </row>
    <row r="11375" spans="326:327">
      <c r="LN11375" t="str">
        <v/>
      </c>
      <c r="LO11375" t="str">
        <v/>
      </c>
    </row>
    <row r="11376" spans="326:327">
      <c r="LN11376" t="str">
        <v/>
      </c>
      <c r="LO11376" t="str">
        <v/>
      </c>
    </row>
    <row r="11377" spans="326:327">
      <c r="LN11377" t="str">
        <v/>
      </c>
      <c r="LO11377" t="str">
        <v/>
      </c>
    </row>
    <row r="11378" spans="326:327">
      <c r="LN11378" t="str">
        <v/>
      </c>
      <c r="LO11378" t="str">
        <v/>
      </c>
    </row>
    <row r="11379" spans="326:327">
      <c r="LN11379" t="str">
        <v/>
      </c>
      <c r="LO11379" t="str">
        <v/>
      </c>
    </row>
    <row r="11380" spans="326:327">
      <c r="LN11380" t="str">
        <v/>
      </c>
      <c r="LO11380" t="str">
        <v/>
      </c>
    </row>
    <row r="11381" spans="326:327">
      <c r="LN11381" t="str">
        <v/>
      </c>
      <c r="LO11381" t="str">
        <v/>
      </c>
    </row>
    <row r="11382" spans="326:327">
      <c r="LN11382" t="str">
        <v/>
      </c>
      <c r="LO11382" t="str">
        <v/>
      </c>
    </row>
    <row r="11383" spans="326:327">
      <c r="LN11383" t="str">
        <v/>
      </c>
      <c r="LO11383" t="str">
        <v/>
      </c>
    </row>
    <row r="11384" spans="326:327">
      <c r="LN11384" t="str">
        <v/>
      </c>
      <c r="LO11384" t="str">
        <v/>
      </c>
    </row>
    <row r="11385" spans="326:327">
      <c r="LN11385" t="str">
        <v/>
      </c>
      <c r="LO11385" t="str">
        <v/>
      </c>
    </row>
    <row r="11386" spans="326:327">
      <c r="LN11386" t="str">
        <v/>
      </c>
      <c r="LO11386" t="str">
        <v/>
      </c>
    </row>
    <row r="11387" spans="326:327">
      <c r="LN11387" t="str">
        <v/>
      </c>
      <c r="LO11387" t="str">
        <v/>
      </c>
    </row>
    <row r="11388" spans="326:327">
      <c r="LN11388" t="str">
        <v/>
      </c>
      <c r="LO11388" t="str">
        <v/>
      </c>
    </row>
    <row r="11389" spans="326:327">
      <c r="LN11389" t="str">
        <v/>
      </c>
      <c r="LO11389" t="str">
        <v/>
      </c>
    </row>
    <row r="11390" spans="326:327">
      <c r="LN11390" t="str">
        <v/>
      </c>
      <c r="LO11390" t="str">
        <v/>
      </c>
    </row>
    <row r="11391" spans="326:327">
      <c r="LN11391" t="str">
        <v/>
      </c>
      <c r="LO11391" t="str">
        <v/>
      </c>
    </row>
    <row r="11392" spans="326:327">
      <c r="LN11392" t="str">
        <v/>
      </c>
      <c r="LO11392" t="str">
        <v/>
      </c>
    </row>
    <row r="11393" spans="326:327">
      <c r="LN11393" t="str">
        <v/>
      </c>
      <c r="LO11393" t="str">
        <v/>
      </c>
    </row>
    <row r="11394" spans="326:327">
      <c r="LN11394" t="str">
        <v/>
      </c>
      <c r="LO11394" t="str">
        <v/>
      </c>
    </row>
    <row r="11395" spans="326:327">
      <c r="LN11395" t="str">
        <v/>
      </c>
      <c r="LO11395" t="str">
        <v/>
      </c>
    </row>
    <row r="11396" spans="326:327">
      <c r="LN11396" t="str">
        <v/>
      </c>
      <c r="LO11396" t="str">
        <v/>
      </c>
    </row>
    <row r="11397" spans="326:327">
      <c r="LN11397" t="str">
        <v/>
      </c>
      <c r="LO11397" t="str">
        <v/>
      </c>
    </row>
    <row r="11398" spans="326:327">
      <c r="LN11398" t="str">
        <v/>
      </c>
      <c r="LO11398" t="str">
        <v/>
      </c>
    </row>
    <row r="11399" spans="326:327">
      <c r="LN11399" t="str">
        <v/>
      </c>
      <c r="LO11399" t="str">
        <v/>
      </c>
    </row>
    <row r="11400" spans="326:327">
      <c r="LN11400" t="str">
        <v/>
      </c>
      <c r="LO11400" t="str">
        <v/>
      </c>
    </row>
    <row r="11401" spans="326:327">
      <c r="LN11401" t="str">
        <v/>
      </c>
      <c r="LO11401" t="str">
        <v/>
      </c>
    </row>
    <row r="11402" spans="326:327">
      <c r="LN11402" t="str">
        <v/>
      </c>
      <c r="LO11402" t="str">
        <v/>
      </c>
    </row>
    <row r="11403" spans="326:327">
      <c r="LN11403" t="str">
        <v/>
      </c>
      <c r="LO11403" t="str">
        <v/>
      </c>
    </row>
    <row r="11404" spans="326:327">
      <c r="LN11404" t="str">
        <v/>
      </c>
      <c r="LO11404" t="str">
        <v/>
      </c>
    </row>
    <row r="11405" spans="326:327">
      <c r="LN11405" t="str">
        <v/>
      </c>
      <c r="LO11405" t="str">
        <v/>
      </c>
    </row>
    <row r="11406" spans="326:327">
      <c r="LN11406" t="str">
        <v/>
      </c>
      <c r="LO11406" t="str">
        <v/>
      </c>
    </row>
    <row r="11407" spans="326:327">
      <c r="LN11407" t="str">
        <v/>
      </c>
      <c r="LO11407" t="str">
        <v/>
      </c>
    </row>
    <row r="11408" spans="326:327">
      <c r="LN11408" t="str">
        <v/>
      </c>
      <c r="LO11408" t="str">
        <v/>
      </c>
    </row>
    <row r="11409" spans="326:327">
      <c r="LN11409" t="str">
        <v/>
      </c>
      <c r="LO11409" t="str">
        <v/>
      </c>
    </row>
    <row r="11410" spans="326:327">
      <c r="LN11410" t="str">
        <v/>
      </c>
      <c r="LO11410" t="str">
        <v/>
      </c>
    </row>
    <row r="11411" spans="326:327">
      <c r="LN11411" t="str">
        <v/>
      </c>
      <c r="LO11411" t="str">
        <v/>
      </c>
    </row>
    <row r="11412" spans="326:327">
      <c r="LN11412" t="str">
        <v/>
      </c>
      <c r="LO11412" t="str">
        <v/>
      </c>
    </row>
    <row r="11413" spans="326:327">
      <c r="LN11413" t="str">
        <v/>
      </c>
      <c r="LO11413" t="str">
        <v/>
      </c>
    </row>
    <row r="11414" spans="326:327">
      <c r="LN11414" t="str">
        <v/>
      </c>
      <c r="LO11414" t="str">
        <v/>
      </c>
    </row>
    <row r="11415" spans="326:327">
      <c r="LN11415" t="str">
        <v/>
      </c>
      <c r="LO11415" t="str">
        <v/>
      </c>
    </row>
    <row r="11416" spans="326:327">
      <c r="LN11416" t="str">
        <v/>
      </c>
      <c r="LO11416" t="str">
        <v/>
      </c>
    </row>
    <row r="11417" spans="326:327">
      <c r="LN11417" t="str">
        <v/>
      </c>
      <c r="LO11417" t="str">
        <v/>
      </c>
    </row>
    <row r="11418" spans="326:327">
      <c r="LN11418" t="str">
        <v/>
      </c>
      <c r="LO11418" t="str">
        <v/>
      </c>
    </row>
    <row r="11419" spans="326:327">
      <c r="LN11419" t="str">
        <v/>
      </c>
      <c r="LO11419" t="str">
        <v/>
      </c>
    </row>
    <row r="11420" spans="326:327">
      <c r="LN11420" t="str">
        <v/>
      </c>
      <c r="LO11420" t="str">
        <v/>
      </c>
    </row>
    <row r="11421" spans="326:327">
      <c r="LN11421" t="str">
        <v/>
      </c>
      <c r="LO11421" t="str">
        <v/>
      </c>
    </row>
    <row r="11422" spans="326:327">
      <c r="LN11422" t="str">
        <v/>
      </c>
      <c r="LO11422" t="str">
        <v/>
      </c>
    </row>
    <row r="11423" spans="326:327">
      <c r="LN11423" t="str">
        <v/>
      </c>
      <c r="LO11423" t="str">
        <v/>
      </c>
    </row>
    <row r="11424" spans="326:327">
      <c r="LN11424" t="str">
        <v/>
      </c>
      <c r="LO11424" t="str">
        <v/>
      </c>
    </row>
    <row r="11425" spans="326:327">
      <c r="LN11425" t="str">
        <v/>
      </c>
      <c r="LO11425" t="str">
        <v/>
      </c>
    </row>
    <row r="11426" spans="326:327">
      <c r="LN11426" t="str">
        <v/>
      </c>
      <c r="LO11426" t="str">
        <v/>
      </c>
    </row>
    <row r="11427" spans="326:327">
      <c r="LN11427" t="str">
        <v/>
      </c>
      <c r="LO11427" t="str">
        <v/>
      </c>
    </row>
    <row r="11428" spans="326:327">
      <c r="LN11428" t="str">
        <v/>
      </c>
      <c r="LO11428" t="str">
        <v/>
      </c>
    </row>
    <row r="11429" spans="326:327">
      <c r="LN11429" t="str">
        <v/>
      </c>
      <c r="LO11429" t="str">
        <v/>
      </c>
    </row>
    <row r="11430" spans="326:327">
      <c r="LN11430" t="str">
        <v/>
      </c>
      <c r="LO11430" t="str">
        <v/>
      </c>
    </row>
    <row r="11431" spans="326:327">
      <c r="LN11431" t="str">
        <v/>
      </c>
      <c r="LO11431" t="str">
        <v/>
      </c>
    </row>
    <row r="11432" spans="326:327">
      <c r="LN11432" t="str">
        <v/>
      </c>
      <c r="LO11432" t="str">
        <v/>
      </c>
    </row>
    <row r="11433" spans="326:327">
      <c r="LN11433" t="str">
        <v/>
      </c>
      <c r="LO11433" t="str">
        <v/>
      </c>
    </row>
    <row r="11434" spans="326:327">
      <c r="LN11434" t="str">
        <v/>
      </c>
      <c r="LO11434" t="str">
        <v/>
      </c>
    </row>
    <row r="11435" spans="326:327">
      <c r="LN11435" t="str">
        <v/>
      </c>
      <c r="LO11435" t="str">
        <v/>
      </c>
    </row>
    <row r="11436" spans="326:327">
      <c r="LN11436" t="str">
        <v/>
      </c>
      <c r="LO11436" t="str">
        <v/>
      </c>
    </row>
    <row r="11437" spans="326:327">
      <c r="LN11437" t="str">
        <v/>
      </c>
      <c r="LO11437" t="str">
        <v/>
      </c>
    </row>
    <row r="11438" spans="326:327">
      <c r="LN11438" t="str">
        <v/>
      </c>
      <c r="LO11438" t="str">
        <v/>
      </c>
    </row>
    <row r="11439" spans="326:327">
      <c r="LN11439" t="str">
        <v/>
      </c>
      <c r="LO11439" t="str">
        <v/>
      </c>
    </row>
    <row r="11440" spans="326:327">
      <c r="LN11440" t="str">
        <v/>
      </c>
      <c r="LO11440" t="str">
        <v/>
      </c>
    </row>
    <row r="11441" spans="326:327">
      <c r="LN11441" t="str">
        <v/>
      </c>
      <c r="LO11441" t="str">
        <v/>
      </c>
    </row>
    <row r="11442" spans="326:327">
      <c r="LN11442" t="str">
        <v/>
      </c>
      <c r="LO11442" t="str">
        <v/>
      </c>
    </row>
    <row r="11443" spans="326:327">
      <c r="LN11443" t="str">
        <v/>
      </c>
      <c r="LO11443" t="str">
        <v/>
      </c>
    </row>
    <row r="11444" spans="326:327">
      <c r="LN11444" t="str">
        <v/>
      </c>
      <c r="LO11444" t="str">
        <v/>
      </c>
    </row>
    <row r="11445" spans="326:327">
      <c r="LN11445" t="str">
        <v/>
      </c>
      <c r="LO11445" t="str">
        <v/>
      </c>
    </row>
    <row r="11446" spans="326:327">
      <c r="LN11446" t="str">
        <v/>
      </c>
      <c r="LO11446" t="str">
        <v/>
      </c>
    </row>
    <row r="11447" spans="326:327">
      <c r="LN11447" t="str">
        <v/>
      </c>
      <c r="LO11447" t="str">
        <v/>
      </c>
    </row>
    <row r="11448" spans="326:327">
      <c r="LN11448" t="str">
        <v/>
      </c>
      <c r="LO11448" t="str">
        <v/>
      </c>
    </row>
    <row r="11449" spans="326:327">
      <c r="LN11449" t="str">
        <v/>
      </c>
      <c r="LO11449" t="str">
        <v/>
      </c>
    </row>
    <row r="11450" spans="326:327">
      <c r="LN11450" t="str">
        <v/>
      </c>
      <c r="LO11450" t="str">
        <v/>
      </c>
    </row>
    <row r="11451" spans="326:327">
      <c r="LN11451" t="str">
        <v/>
      </c>
      <c r="LO11451" t="str">
        <v/>
      </c>
    </row>
    <row r="11452" spans="326:327">
      <c r="LN11452" t="str">
        <v/>
      </c>
      <c r="LO11452" t="str">
        <v/>
      </c>
    </row>
    <row r="11453" spans="326:327">
      <c r="LN11453" t="str">
        <v/>
      </c>
      <c r="LO11453" t="str">
        <v/>
      </c>
    </row>
    <row r="11454" spans="326:327">
      <c r="LN11454" t="str">
        <v/>
      </c>
      <c r="LO11454" t="str">
        <v/>
      </c>
    </row>
    <row r="11455" spans="326:327">
      <c r="LN11455" t="str">
        <v/>
      </c>
      <c r="LO11455" t="str">
        <v/>
      </c>
    </row>
    <row r="11456" spans="326:327">
      <c r="LN11456" t="str">
        <v/>
      </c>
      <c r="LO11456" t="str">
        <v/>
      </c>
    </row>
    <row r="11457" spans="326:327">
      <c r="LN11457" t="str">
        <v/>
      </c>
      <c r="LO11457" t="str">
        <v/>
      </c>
    </row>
    <row r="11458" spans="326:327">
      <c r="LN11458" t="str">
        <v/>
      </c>
      <c r="LO11458" t="str">
        <v/>
      </c>
    </row>
    <row r="11459" spans="326:327">
      <c r="LN11459" t="str">
        <v/>
      </c>
      <c r="LO11459" t="str">
        <v/>
      </c>
    </row>
    <row r="11460" spans="326:327">
      <c r="LN11460" t="str">
        <v/>
      </c>
      <c r="LO11460" t="str">
        <v/>
      </c>
    </row>
    <row r="11461" spans="326:327">
      <c r="LN11461" t="str">
        <v/>
      </c>
      <c r="LO11461" t="str">
        <v/>
      </c>
    </row>
    <row r="11462" spans="326:327">
      <c r="LN11462" t="str">
        <v/>
      </c>
      <c r="LO11462" t="str">
        <v/>
      </c>
    </row>
    <row r="11463" spans="326:327">
      <c r="LN11463" t="str">
        <v/>
      </c>
      <c r="LO11463" t="str">
        <v/>
      </c>
    </row>
    <row r="11464" spans="326:327">
      <c r="LN11464" t="str">
        <v/>
      </c>
      <c r="LO11464" t="str">
        <v/>
      </c>
    </row>
    <row r="11465" spans="326:327">
      <c r="LN11465" t="str">
        <v/>
      </c>
      <c r="LO11465" t="str">
        <v/>
      </c>
    </row>
    <row r="11466" spans="326:327">
      <c r="LN11466" t="str">
        <v/>
      </c>
      <c r="LO11466" t="str">
        <v/>
      </c>
    </row>
    <row r="11467" spans="326:327">
      <c r="LN11467" t="str">
        <v/>
      </c>
      <c r="LO11467" t="str">
        <v/>
      </c>
    </row>
    <row r="11468" spans="326:327">
      <c r="LN11468" t="str">
        <v/>
      </c>
      <c r="LO11468" t="str">
        <v/>
      </c>
    </row>
    <row r="11469" spans="326:327">
      <c r="LN11469" t="str">
        <v/>
      </c>
      <c r="LO11469" t="str">
        <v/>
      </c>
    </row>
    <row r="11470" spans="326:327">
      <c r="LN11470" t="str">
        <v/>
      </c>
      <c r="LO11470" t="str">
        <v/>
      </c>
    </row>
    <row r="11471" spans="326:327">
      <c r="LN11471" t="str">
        <v/>
      </c>
      <c r="LO11471" t="str">
        <v/>
      </c>
    </row>
    <row r="11472" spans="326:327">
      <c r="LN11472" t="str">
        <v/>
      </c>
      <c r="LO11472" t="str">
        <v/>
      </c>
    </row>
    <row r="11473" spans="326:327">
      <c r="LN11473" t="str">
        <v/>
      </c>
      <c r="LO11473" t="str">
        <v/>
      </c>
    </row>
    <row r="11474" spans="326:327">
      <c r="LN11474" t="str">
        <v/>
      </c>
      <c r="LO11474" t="str">
        <v/>
      </c>
    </row>
    <row r="11475" spans="326:327">
      <c r="LN11475" t="str">
        <v/>
      </c>
      <c r="LO11475" t="str">
        <v/>
      </c>
    </row>
    <row r="11476" spans="326:327">
      <c r="LN11476" t="str">
        <v/>
      </c>
      <c r="LO11476" t="str">
        <v/>
      </c>
    </row>
    <row r="11477" spans="326:327">
      <c r="LN11477" t="str">
        <v/>
      </c>
      <c r="LO11477" t="str">
        <v/>
      </c>
    </row>
    <row r="11478" spans="326:327">
      <c r="LN11478" t="str">
        <v/>
      </c>
      <c r="LO11478" t="str">
        <v/>
      </c>
    </row>
    <row r="11479" spans="326:327">
      <c r="LN11479" t="str">
        <v/>
      </c>
      <c r="LO11479" t="str">
        <v/>
      </c>
    </row>
    <row r="11480" spans="326:327">
      <c r="LN11480" t="str">
        <v/>
      </c>
      <c r="LO11480" t="str">
        <v/>
      </c>
    </row>
    <row r="11481" spans="326:327">
      <c r="LN11481" t="str">
        <v/>
      </c>
      <c r="LO11481" t="str">
        <v/>
      </c>
    </row>
    <row r="11482" spans="326:327">
      <c r="LN11482" t="str">
        <v/>
      </c>
      <c r="LO11482" t="str">
        <v/>
      </c>
    </row>
    <row r="11483" spans="326:327">
      <c r="LN11483" t="str">
        <v/>
      </c>
      <c r="LO11483" t="str">
        <v/>
      </c>
    </row>
    <row r="11484" spans="326:327">
      <c r="LN11484" t="str">
        <v/>
      </c>
      <c r="LO11484" t="str">
        <v/>
      </c>
    </row>
    <row r="11485" spans="326:327">
      <c r="LN11485" t="str">
        <v/>
      </c>
      <c r="LO11485" t="str">
        <v/>
      </c>
    </row>
    <row r="11486" spans="326:327">
      <c r="LN11486" t="str">
        <v/>
      </c>
      <c r="LO11486" t="str">
        <v/>
      </c>
    </row>
    <row r="11487" spans="326:327">
      <c r="LN11487" t="str">
        <v/>
      </c>
      <c r="LO11487" t="str">
        <v/>
      </c>
    </row>
    <row r="11488" spans="326:327">
      <c r="LN11488" t="str">
        <v/>
      </c>
      <c r="LO11488" t="str">
        <v/>
      </c>
    </row>
    <row r="11489" spans="326:327">
      <c r="LN11489" t="str">
        <v/>
      </c>
      <c r="LO11489" t="str">
        <v/>
      </c>
    </row>
    <row r="11490" spans="326:327">
      <c r="LN11490" t="str">
        <v/>
      </c>
      <c r="LO11490" t="str">
        <v/>
      </c>
    </row>
    <row r="11491" spans="326:327">
      <c r="LN11491" t="str">
        <v/>
      </c>
      <c r="LO11491" t="str">
        <v/>
      </c>
    </row>
    <row r="11492" spans="326:327">
      <c r="LN11492" t="str">
        <v/>
      </c>
      <c r="LO11492" t="str">
        <v/>
      </c>
    </row>
    <row r="11493" spans="326:327">
      <c r="LN11493" t="str">
        <v/>
      </c>
      <c r="LO11493" t="str">
        <v/>
      </c>
    </row>
    <row r="11494" spans="326:327">
      <c r="LN11494" t="str">
        <v/>
      </c>
      <c r="LO11494" t="str">
        <v/>
      </c>
    </row>
    <row r="11495" spans="326:327">
      <c r="LN11495" t="str">
        <v/>
      </c>
      <c r="LO11495" t="str">
        <v/>
      </c>
    </row>
    <row r="11496" spans="326:327">
      <c r="LN11496" t="str">
        <v/>
      </c>
      <c r="LO11496" t="str">
        <v/>
      </c>
    </row>
    <row r="11497" spans="326:327">
      <c r="LN11497" t="str">
        <v/>
      </c>
      <c r="LO11497" t="str">
        <v/>
      </c>
    </row>
    <row r="11498" spans="326:327">
      <c r="LN11498" t="str">
        <v/>
      </c>
      <c r="LO11498" t="str">
        <v/>
      </c>
    </row>
    <row r="11499" spans="326:327">
      <c r="LN11499" t="str">
        <v/>
      </c>
      <c r="LO11499" t="str">
        <v/>
      </c>
    </row>
    <row r="11500" spans="326:327">
      <c r="LN11500" t="str">
        <v/>
      </c>
      <c r="LO11500" t="str">
        <v/>
      </c>
    </row>
    <row r="11501" spans="326:327">
      <c r="LN11501" t="str">
        <v/>
      </c>
      <c r="LO11501" t="str">
        <v/>
      </c>
    </row>
    <row r="11502" spans="326:327">
      <c r="LN11502" t="str">
        <v/>
      </c>
      <c r="LO11502" t="str">
        <v/>
      </c>
    </row>
    <row r="11503" spans="326:327">
      <c r="LN11503" t="str">
        <v/>
      </c>
      <c r="LO11503" t="str">
        <v/>
      </c>
    </row>
    <row r="11504" spans="326:327">
      <c r="LN11504" t="str">
        <v/>
      </c>
      <c r="LO11504" t="str">
        <v/>
      </c>
    </row>
    <row r="11505" spans="326:327">
      <c r="LN11505" t="str">
        <v/>
      </c>
      <c r="LO11505" t="str">
        <v/>
      </c>
    </row>
    <row r="11506" spans="326:327">
      <c r="LN11506" t="str">
        <v/>
      </c>
      <c r="LO11506" t="str">
        <v/>
      </c>
    </row>
    <row r="11507" spans="326:327">
      <c r="LN11507" t="str">
        <v/>
      </c>
      <c r="LO11507" t="str">
        <v/>
      </c>
    </row>
    <row r="11508" spans="326:327">
      <c r="LN11508" t="str">
        <v/>
      </c>
      <c r="LO11508" t="str">
        <v/>
      </c>
    </row>
    <row r="11509" spans="326:327">
      <c r="LN11509" t="str">
        <v/>
      </c>
      <c r="LO11509" t="str">
        <v/>
      </c>
    </row>
    <row r="11510" spans="326:327">
      <c r="LN11510" t="str">
        <v/>
      </c>
      <c r="LO11510" t="str">
        <v/>
      </c>
    </row>
    <row r="11511" spans="326:327">
      <c r="LN11511" t="str">
        <v/>
      </c>
      <c r="LO11511" t="str">
        <v/>
      </c>
    </row>
    <row r="11512" spans="326:327">
      <c r="LN11512" t="str">
        <v/>
      </c>
      <c r="LO11512" t="str">
        <v/>
      </c>
    </row>
    <row r="11513" spans="326:327">
      <c r="LN11513" t="str">
        <v/>
      </c>
      <c r="LO11513" t="str">
        <v/>
      </c>
    </row>
    <row r="11514" spans="326:327">
      <c r="LN11514" t="str">
        <v/>
      </c>
      <c r="LO11514" t="str">
        <v/>
      </c>
    </row>
    <row r="11515" spans="326:327">
      <c r="LN11515" t="str">
        <v/>
      </c>
      <c r="LO11515" t="str">
        <v/>
      </c>
    </row>
    <row r="11516" spans="326:327">
      <c r="LN11516" t="str">
        <v/>
      </c>
      <c r="LO11516" t="str">
        <v/>
      </c>
    </row>
    <row r="11517" spans="326:327">
      <c r="LN11517" t="str">
        <v/>
      </c>
      <c r="LO11517" t="str">
        <v/>
      </c>
    </row>
    <row r="11518" spans="326:327">
      <c r="LN11518" t="str">
        <v/>
      </c>
      <c r="LO11518" t="str">
        <v/>
      </c>
    </row>
    <row r="11519" spans="326:327">
      <c r="LN11519" t="str">
        <v/>
      </c>
      <c r="LO11519" t="str">
        <v/>
      </c>
    </row>
    <row r="11520" spans="326:327">
      <c r="LN11520" t="str">
        <v/>
      </c>
      <c r="LO11520" t="str">
        <v/>
      </c>
    </row>
    <row r="11521" spans="326:327">
      <c r="LN11521" t="str">
        <v/>
      </c>
      <c r="LO11521" t="str">
        <v/>
      </c>
    </row>
    <row r="11522" spans="326:327">
      <c r="LN11522" t="str">
        <v/>
      </c>
      <c r="LO11522" t="str">
        <v/>
      </c>
    </row>
    <row r="11523" spans="326:327">
      <c r="LN11523" t="str">
        <v/>
      </c>
      <c r="LO11523" t="str">
        <v/>
      </c>
    </row>
    <row r="11524" spans="326:327">
      <c r="LN11524" t="str">
        <v/>
      </c>
      <c r="LO11524" t="str">
        <v/>
      </c>
    </row>
    <row r="11525" spans="326:327">
      <c r="LN11525" t="str">
        <v/>
      </c>
      <c r="LO11525" t="str">
        <v/>
      </c>
    </row>
    <row r="11526" spans="326:327">
      <c r="LN11526" t="str">
        <v/>
      </c>
      <c r="LO11526" t="str">
        <v/>
      </c>
    </row>
    <row r="11527" spans="326:327">
      <c r="LN11527" t="str">
        <v/>
      </c>
      <c r="LO11527" t="str">
        <v/>
      </c>
    </row>
    <row r="11528" spans="326:327">
      <c r="LN11528" t="str">
        <v/>
      </c>
      <c r="LO11528" t="str">
        <v/>
      </c>
    </row>
    <row r="11529" spans="326:327">
      <c r="LN11529" t="str">
        <v/>
      </c>
      <c r="LO11529" t="str">
        <v/>
      </c>
    </row>
    <row r="11530" spans="326:327">
      <c r="LN11530" t="str">
        <v/>
      </c>
      <c r="LO11530" t="str">
        <v/>
      </c>
    </row>
    <row r="11531" spans="326:327">
      <c r="LN11531" t="str">
        <v/>
      </c>
      <c r="LO11531" t="str">
        <v/>
      </c>
    </row>
    <row r="11532" spans="326:327">
      <c r="LN11532" t="str">
        <v/>
      </c>
      <c r="LO11532" t="str">
        <v/>
      </c>
    </row>
    <row r="11533" spans="326:327">
      <c r="LN11533" t="str">
        <v/>
      </c>
      <c r="LO11533" t="str">
        <v/>
      </c>
    </row>
    <row r="11534" spans="326:327">
      <c r="LN11534" t="str">
        <v/>
      </c>
      <c r="LO11534" t="str">
        <v/>
      </c>
    </row>
    <row r="11535" spans="326:327">
      <c r="LN11535" t="str">
        <v/>
      </c>
      <c r="LO11535" t="str">
        <v/>
      </c>
    </row>
    <row r="11536" spans="326:327">
      <c r="LN11536" t="str">
        <v/>
      </c>
      <c r="LO11536" t="str">
        <v/>
      </c>
    </row>
    <row r="11537" spans="326:327">
      <c r="LN11537" t="str">
        <v/>
      </c>
      <c r="LO11537" t="str">
        <v/>
      </c>
    </row>
    <row r="11538" spans="326:327">
      <c r="LN11538" t="str">
        <v/>
      </c>
      <c r="LO11538" t="str">
        <v/>
      </c>
    </row>
    <row r="11539" spans="326:327">
      <c r="LN11539" t="str">
        <v/>
      </c>
      <c r="LO11539" t="str">
        <v/>
      </c>
    </row>
    <row r="11540" spans="326:327">
      <c r="LN11540" t="str">
        <v/>
      </c>
      <c r="LO11540" t="str">
        <v/>
      </c>
    </row>
    <row r="11541" spans="326:327">
      <c r="LN11541" t="str">
        <v/>
      </c>
      <c r="LO11541" t="str">
        <v/>
      </c>
    </row>
    <row r="11542" spans="326:327">
      <c r="LN11542" t="str">
        <v/>
      </c>
      <c r="LO11542" t="str">
        <v/>
      </c>
    </row>
    <row r="11543" spans="326:327">
      <c r="LN11543" t="str">
        <v/>
      </c>
      <c r="LO11543" t="str">
        <v/>
      </c>
    </row>
    <row r="11544" spans="326:327">
      <c r="LN11544" t="str">
        <v/>
      </c>
      <c r="LO11544" t="str">
        <v/>
      </c>
    </row>
    <row r="11545" spans="326:327">
      <c r="LN11545" t="str">
        <v/>
      </c>
      <c r="LO11545" t="str">
        <v/>
      </c>
    </row>
    <row r="11546" spans="326:327">
      <c r="LN11546" t="str">
        <v/>
      </c>
      <c r="LO11546" t="str">
        <v/>
      </c>
    </row>
    <row r="11547" spans="326:327">
      <c r="LN11547" t="str">
        <v/>
      </c>
      <c r="LO11547" t="str">
        <v/>
      </c>
    </row>
    <row r="11548" spans="326:327">
      <c r="LN11548" t="str">
        <v/>
      </c>
      <c r="LO11548" t="str">
        <v/>
      </c>
    </row>
    <row r="11549" spans="326:327">
      <c r="LN11549" t="str">
        <v/>
      </c>
      <c r="LO11549" t="str">
        <v/>
      </c>
    </row>
    <row r="11550" spans="326:327">
      <c r="LN11550" t="str">
        <v/>
      </c>
      <c r="LO11550" t="str">
        <v/>
      </c>
    </row>
    <row r="11551" spans="326:327">
      <c r="LN11551" t="str">
        <v/>
      </c>
      <c r="LO11551" t="str">
        <v/>
      </c>
    </row>
    <row r="11552" spans="326:327">
      <c r="LN11552" t="str">
        <v/>
      </c>
      <c r="LO11552" t="str">
        <v/>
      </c>
    </row>
    <row r="11553" spans="326:327">
      <c r="LN11553" t="str">
        <v/>
      </c>
      <c r="LO11553" t="str">
        <v/>
      </c>
    </row>
    <row r="11554" spans="326:327">
      <c r="LN11554" t="str">
        <v/>
      </c>
      <c r="LO11554" t="str">
        <v/>
      </c>
    </row>
    <row r="11555" spans="326:327">
      <c r="LN11555" t="str">
        <v/>
      </c>
      <c r="LO11555" t="str">
        <v/>
      </c>
    </row>
    <row r="11556" spans="326:327">
      <c r="LN11556" t="str">
        <v/>
      </c>
      <c r="LO11556" t="str">
        <v/>
      </c>
    </row>
    <row r="11557" spans="326:327">
      <c r="LN11557" t="str">
        <v/>
      </c>
      <c r="LO11557" t="str">
        <v/>
      </c>
    </row>
    <row r="11558" spans="326:327">
      <c r="LN11558" t="str">
        <v/>
      </c>
      <c r="LO11558" t="str">
        <v/>
      </c>
    </row>
    <row r="11559" spans="326:327">
      <c r="LN11559" t="str">
        <v/>
      </c>
      <c r="LO11559" t="str">
        <v/>
      </c>
    </row>
    <row r="11560" spans="326:327">
      <c r="LN11560" t="str">
        <v/>
      </c>
      <c r="LO11560" t="str">
        <v/>
      </c>
    </row>
    <row r="11561" spans="326:327">
      <c r="LN11561" t="str">
        <v/>
      </c>
      <c r="LO11561" t="str">
        <v/>
      </c>
    </row>
    <row r="11562" spans="326:327">
      <c r="LN11562" t="str">
        <v/>
      </c>
      <c r="LO11562" t="str">
        <v/>
      </c>
    </row>
    <row r="11563" spans="326:327">
      <c r="LN11563" t="str">
        <v/>
      </c>
      <c r="LO11563" t="str">
        <v/>
      </c>
    </row>
    <row r="11564" spans="326:327">
      <c r="LN11564" t="str">
        <v/>
      </c>
      <c r="LO11564" t="str">
        <v/>
      </c>
    </row>
    <row r="11565" spans="326:327">
      <c r="LN11565" t="str">
        <v/>
      </c>
      <c r="LO11565" t="str">
        <v/>
      </c>
    </row>
    <row r="11566" spans="326:327">
      <c r="LN11566" t="str">
        <v/>
      </c>
      <c r="LO11566" t="str">
        <v/>
      </c>
    </row>
    <row r="11567" spans="326:327">
      <c r="LN11567" t="str">
        <v/>
      </c>
      <c r="LO11567" t="str">
        <v/>
      </c>
    </row>
    <row r="11568" spans="326:327">
      <c r="LN11568" t="str">
        <v/>
      </c>
      <c r="LO11568" t="str">
        <v/>
      </c>
    </row>
    <row r="11569" spans="326:327">
      <c r="LN11569" t="str">
        <v/>
      </c>
      <c r="LO11569" t="str">
        <v/>
      </c>
    </row>
    <row r="11570" spans="326:327">
      <c r="LN11570" t="str">
        <v/>
      </c>
      <c r="LO11570" t="str">
        <v/>
      </c>
    </row>
    <row r="11571" spans="326:327">
      <c r="LN11571" t="str">
        <v/>
      </c>
      <c r="LO11571" t="str">
        <v/>
      </c>
    </row>
    <row r="11572" spans="326:327">
      <c r="LN11572" t="str">
        <v/>
      </c>
      <c r="LO11572" t="str">
        <v/>
      </c>
    </row>
    <row r="11573" spans="326:327">
      <c r="LN11573" t="str">
        <v/>
      </c>
      <c r="LO11573" t="str">
        <v/>
      </c>
    </row>
    <row r="11574" spans="326:327">
      <c r="LN11574" t="str">
        <v/>
      </c>
      <c r="LO11574" t="str">
        <v/>
      </c>
    </row>
    <row r="11575" spans="326:327">
      <c r="LN11575" t="str">
        <v/>
      </c>
      <c r="LO11575" t="str">
        <v/>
      </c>
    </row>
    <row r="11576" spans="326:327">
      <c r="LN11576" t="str">
        <v/>
      </c>
      <c r="LO11576" t="str">
        <v/>
      </c>
    </row>
    <row r="11577" spans="326:327">
      <c r="LN11577" t="str">
        <v/>
      </c>
      <c r="LO11577" t="str">
        <v/>
      </c>
    </row>
    <row r="11578" spans="326:327">
      <c r="LN11578" t="str">
        <v/>
      </c>
      <c r="LO11578" t="str">
        <v/>
      </c>
    </row>
    <row r="11579" spans="326:327">
      <c r="LN11579" t="str">
        <v/>
      </c>
      <c r="LO11579" t="str">
        <v/>
      </c>
    </row>
    <row r="11580" spans="326:327">
      <c r="LN11580" t="str">
        <v/>
      </c>
      <c r="LO11580" t="str">
        <v/>
      </c>
    </row>
    <row r="11581" spans="326:327">
      <c r="LN11581" t="str">
        <v/>
      </c>
      <c r="LO11581" t="str">
        <v/>
      </c>
    </row>
    <row r="11582" spans="326:327">
      <c r="LN11582" t="str">
        <v/>
      </c>
      <c r="LO11582" t="str">
        <v/>
      </c>
    </row>
    <row r="11583" spans="326:327">
      <c r="LN11583" t="str">
        <v/>
      </c>
      <c r="LO11583" t="str">
        <v/>
      </c>
    </row>
    <row r="11584" spans="326:327">
      <c r="LN11584" t="str">
        <v/>
      </c>
      <c r="LO11584" t="str">
        <v/>
      </c>
    </row>
    <row r="11585" spans="326:327">
      <c r="LN11585" t="str">
        <v/>
      </c>
      <c r="LO11585" t="str">
        <v/>
      </c>
    </row>
    <row r="11586" spans="326:327">
      <c r="LN11586" t="str">
        <v/>
      </c>
      <c r="LO11586" t="str">
        <v/>
      </c>
    </row>
    <row r="11587" spans="326:327">
      <c r="LN11587" t="str">
        <v/>
      </c>
      <c r="LO11587" t="str">
        <v/>
      </c>
    </row>
    <row r="11588" spans="326:327">
      <c r="LN11588" t="str">
        <v/>
      </c>
      <c r="LO11588" t="str">
        <v/>
      </c>
    </row>
    <row r="11589" spans="326:327">
      <c r="LN11589" t="str">
        <v/>
      </c>
      <c r="LO11589" t="str">
        <v/>
      </c>
    </row>
    <row r="11590" spans="326:327">
      <c r="LN11590" t="str">
        <v/>
      </c>
      <c r="LO11590" t="str">
        <v/>
      </c>
    </row>
    <row r="11591" spans="326:327">
      <c r="LN11591" t="str">
        <v/>
      </c>
      <c r="LO11591" t="str">
        <v/>
      </c>
    </row>
    <row r="11592" spans="326:327">
      <c r="LN11592" t="str">
        <v/>
      </c>
      <c r="LO11592" t="str">
        <v/>
      </c>
    </row>
    <row r="11593" spans="326:327">
      <c r="LN11593" t="str">
        <v/>
      </c>
      <c r="LO11593" t="str">
        <v/>
      </c>
    </row>
    <row r="11594" spans="326:327">
      <c r="LN11594" t="str">
        <v/>
      </c>
      <c r="LO11594" t="str">
        <v/>
      </c>
    </row>
    <row r="11595" spans="326:327">
      <c r="LN11595" t="str">
        <v/>
      </c>
      <c r="LO11595" t="str">
        <v/>
      </c>
    </row>
    <row r="11596" spans="326:327">
      <c r="LN11596" t="str">
        <v/>
      </c>
      <c r="LO11596" t="str">
        <v/>
      </c>
    </row>
    <row r="11597" spans="326:327">
      <c r="LN11597" t="str">
        <v/>
      </c>
      <c r="LO11597" t="str">
        <v/>
      </c>
    </row>
    <row r="11598" spans="326:327">
      <c r="LN11598" t="str">
        <v/>
      </c>
      <c r="LO11598" t="str">
        <v/>
      </c>
    </row>
    <row r="11599" spans="326:327">
      <c r="LN11599" t="str">
        <v/>
      </c>
      <c r="LO11599" t="str">
        <v/>
      </c>
    </row>
    <row r="11600" spans="326:327">
      <c r="LN11600" t="str">
        <v/>
      </c>
      <c r="LO11600" t="str">
        <v/>
      </c>
    </row>
    <row r="11601" spans="326:327">
      <c r="LN11601" t="str">
        <v/>
      </c>
      <c r="LO11601" t="str">
        <v/>
      </c>
    </row>
    <row r="11602" spans="326:327">
      <c r="LN11602" t="str">
        <v/>
      </c>
      <c r="LO11602" t="str">
        <v/>
      </c>
    </row>
    <row r="11603" spans="326:327">
      <c r="LN11603" t="str">
        <v/>
      </c>
      <c r="LO11603" t="str">
        <v/>
      </c>
    </row>
    <row r="11604" spans="326:327">
      <c r="LN11604" t="str">
        <v/>
      </c>
      <c r="LO11604" t="str">
        <v/>
      </c>
    </row>
    <row r="11605" spans="326:327">
      <c r="LN11605" t="str">
        <v/>
      </c>
      <c r="LO11605" t="str">
        <v/>
      </c>
    </row>
    <row r="11606" spans="326:327">
      <c r="LN11606" t="str">
        <v/>
      </c>
      <c r="LO11606" t="str">
        <v/>
      </c>
    </row>
    <row r="11607" spans="326:327">
      <c r="LN11607" t="str">
        <v/>
      </c>
      <c r="LO11607" t="str">
        <v/>
      </c>
    </row>
    <row r="11608" spans="326:327">
      <c r="LN11608" t="str">
        <v/>
      </c>
      <c r="LO11608" t="str">
        <v/>
      </c>
    </row>
    <row r="11609" spans="326:327">
      <c r="LN11609" t="str">
        <v/>
      </c>
      <c r="LO11609" t="str">
        <v/>
      </c>
    </row>
    <row r="11610" spans="326:327">
      <c r="LN11610" t="str">
        <v/>
      </c>
      <c r="LO11610" t="str">
        <v/>
      </c>
    </row>
    <row r="11611" spans="326:327">
      <c r="LN11611" t="str">
        <v/>
      </c>
      <c r="LO11611" t="str">
        <v/>
      </c>
    </row>
    <row r="11612" spans="326:327">
      <c r="LN11612" t="str">
        <v/>
      </c>
      <c r="LO11612" t="str">
        <v/>
      </c>
    </row>
    <row r="11613" spans="326:327">
      <c r="LN11613" t="str">
        <v/>
      </c>
      <c r="LO11613" t="str">
        <v/>
      </c>
    </row>
    <row r="11614" spans="326:327">
      <c r="LN11614" t="str">
        <v/>
      </c>
      <c r="LO11614" t="str">
        <v/>
      </c>
    </row>
    <row r="11615" spans="326:327">
      <c r="LN11615" t="str">
        <v/>
      </c>
      <c r="LO11615" t="str">
        <v/>
      </c>
    </row>
    <row r="11616" spans="326:327">
      <c r="LN11616" t="str">
        <v/>
      </c>
      <c r="LO11616" t="str">
        <v/>
      </c>
    </row>
    <row r="11617" spans="326:327">
      <c r="LN11617" t="str">
        <v/>
      </c>
      <c r="LO11617" t="str">
        <v/>
      </c>
    </row>
    <row r="11618" spans="326:327">
      <c r="LN11618" t="str">
        <v/>
      </c>
      <c r="LO11618" t="str">
        <v/>
      </c>
    </row>
    <row r="11619" spans="326:327">
      <c r="LN11619" t="str">
        <v/>
      </c>
      <c r="LO11619" t="str">
        <v/>
      </c>
    </row>
    <row r="11620" spans="326:327">
      <c r="LN11620" t="str">
        <v/>
      </c>
      <c r="LO11620" t="str">
        <v/>
      </c>
    </row>
    <row r="11621" spans="326:327">
      <c r="LN11621" t="str">
        <v/>
      </c>
      <c r="LO11621" t="str">
        <v/>
      </c>
    </row>
    <row r="11622" spans="326:327">
      <c r="LN11622" t="str">
        <v/>
      </c>
      <c r="LO11622" t="str">
        <v/>
      </c>
    </row>
    <row r="11623" spans="326:327">
      <c r="LN11623" t="str">
        <v/>
      </c>
      <c r="LO11623" t="str">
        <v/>
      </c>
    </row>
    <row r="11624" spans="326:327">
      <c r="LN11624" t="str">
        <v/>
      </c>
      <c r="LO11624" t="str">
        <v/>
      </c>
    </row>
    <row r="11625" spans="326:327">
      <c r="LN11625" t="str">
        <v/>
      </c>
      <c r="LO11625" t="str">
        <v/>
      </c>
    </row>
    <row r="11626" spans="326:327">
      <c r="LN11626" t="str">
        <v/>
      </c>
      <c r="LO11626" t="str">
        <v/>
      </c>
    </row>
    <row r="11627" spans="326:327">
      <c r="LN11627" t="str">
        <v/>
      </c>
      <c r="LO11627" t="str">
        <v/>
      </c>
    </row>
    <row r="11628" spans="326:327">
      <c r="LN11628" t="str">
        <v/>
      </c>
      <c r="LO11628" t="str">
        <v/>
      </c>
    </row>
    <row r="11629" spans="326:327">
      <c r="LN11629" t="str">
        <v/>
      </c>
      <c r="LO11629" t="str">
        <v/>
      </c>
    </row>
    <row r="11630" spans="326:327">
      <c r="LN11630" t="str">
        <v/>
      </c>
      <c r="LO11630" t="str">
        <v/>
      </c>
    </row>
    <row r="11631" spans="326:327">
      <c r="LN11631" t="str">
        <v/>
      </c>
      <c r="LO11631" t="str">
        <v/>
      </c>
    </row>
    <row r="11632" spans="326:327">
      <c r="LN11632" t="str">
        <v/>
      </c>
      <c r="LO11632" t="str">
        <v/>
      </c>
    </row>
    <row r="11633" spans="326:327">
      <c r="LN11633" t="str">
        <v/>
      </c>
      <c r="LO11633" t="str">
        <v/>
      </c>
    </row>
    <row r="11634" spans="326:327">
      <c r="LN11634" t="str">
        <v/>
      </c>
      <c r="LO11634" t="str">
        <v/>
      </c>
    </row>
    <row r="11635" spans="326:327">
      <c r="LN11635" t="str">
        <v/>
      </c>
      <c r="LO11635" t="str">
        <v/>
      </c>
    </row>
    <row r="11636" spans="326:327">
      <c r="LN11636" t="str">
        <v/>
      </c>
      <c r="LO11636" t="str">
        <v/>
      </c>
    </row>
    <row r="11637" spans="326:327">
      <c r="LN11637" t="str">
        <v/>
      </c>
      <c r="LO11637" t="str">
        <v/>
      </c>
    </row>
    <row r="11638" spans="326:327">
      <c r="LN11638" t="str">
        <v/>
      </c>
      <c r="LO11638" t="str">
        <v/>
      </c>
    </row>
    <row r="11639" spans="326:327">
      <c r="LN11639" t="str">
        <v/>
      </c>
      <c r="LO11639" t="str">
        <v/>
      </c>
    </row>
    <row r="11640" spans="326:327">
      <c r="LN11640" t="str">
        <v/>
      </c>
      <c r="LO11640" t="str">
        <v/>
      </c>
    </row>
    <row r="11641" spans="326:327">
      <c r="LN11641" t="str">
        <v/>
      </c>
      <c r="LO11641" t="str">
        <v/>
      </c>
    </row>
    <row r="11642" spans="326:327">
      <c r="LN11642" t="str">
        <v/>
      </c>
      <c r="LO11642" t="str">
        <v/>
      </c>
    </row>
    <row r="11643" spans="326:327">
      <c r="LN11643" t="str">
        <v/>
      </c>
      <c r="LO11643" t="str">
        <v/>
      </c>
    </row>
    <row r="11644" spans="326:327">
      <c r="LN11644" t="str">
        <v/>
      </c>
      <c r="LO11644" t="str">
        <v/>
      </c>
    </row>
    <row r="11645" spans="326:327">
      <c r="LN11645" t="str">
        <v/>
      </c>
      <c r="LO11645" t="str">
        <v/>
      </c>
    </row>
    <row r="11646" spans="326:327">
      <c r="LN11646" t="str">
        <v/>
      </c>
      <c r="LO11646" t="str">
        <v/>
      </c>
    </row>
    <row r="11647" spans="326:327">
      <c r="LN11647" t="str">
        <v/>
      </c>
      <c r="LO11647" t="str">
        <v/>
      </c>
    </row>
    <row r="11648" spans="326:327">
      <c r="LN11648" t="str">
        <v/>
      </c>
      <c r="LO11648" t="str">
        <v/>
      </c>
    </row>
    <row r="11649" spans="326:327">
      <c r="LN11649" t="str">
        <v/>
      </c>
      <c r="LO11649" t="str">
        <v/>
      </c>
    </row>
    <row r="11650" spans="326:327">
      <c r="LN11650" t="str">
        <v/>
      </c>
      <c r="LO11650" t="str">
        <v/>
      </c>
    </row>
    <row r="11651" spans="326:327">
      <c r="LN11651" t="str">
        <v/>
      </c>
      <c r="LO11651" t="str">
        <v/>
      </c>
    </row>
    <row r="11652" spans="326:327">
      <c r="LN11652" t="str">
        <v/>
      </c>
      <c r="LO11652" t="str">
        <v/>
      </c>
    </row>
    <row r="11653" spans="326:327">
      <c r="LN11653" t="str">
        <v/>
      </c>
      <c r="LO11653" t="str">
        <v/>
      </c>
    </row>
    <row r="11654" spans="326:327">
      <c r="LN11654" t="str">
        <v/>
      </c>
      <c r="LO11654" t="str">
        <v/>
      </c>
    </row>
    <row r="11655" spans="326:327">
      <c r="LN11655" t="str">
        <v/>
      </c>
      <c r="LO11655" t="str">
        <v/>
      </c>
    </row>
    <row r="11656" spans="326:327">
      <c r="LN11656" t="str">
        <v/>
      </c>
      <c r="LO11656" t="str">
        <v/>
      </c>
    </row>
    <row r="11657" spans="326:327">
      <c r="LN11657" t="str">
        <v/>
      </c>
      <c r="LO11657" t="str">
        <v/>
      </c>
    </row>
    <row r="11658" spans="326:327">
      <c r="LN11658" t="str">
        <v/>
      </c>
      <c r="LO11658" t="str">
        <v/>
      </c>
    </row>
    <row r="11659" spans="326:327">
      <c r="LN11659" t="str">
        <v/>
      </c>
      <c r="LO11659" t="str">
        <v/>
      </c>
    </row>
    <row r="11660" spans="326:327">
      <c r="LN11660" t="str">
        <v/>
      </c>
      <c r="LO11660" t="str">
        <v/>
      </c>
    </row>
    <row r="11661" spans="326:327">
      <c r="LN11661" t="str">
        <v/>
      </c>
      <c r="LO11661" t="str">
        <v/>
      </c>
    </row>
    <row r="11662" spans="326:327">
      <c r="LN11662" t="str">
        <v/>
      </c>
      <c r="LO11662" t="str">
        <v/>
      </c>
    </row>
    <row r="11663" spans="326:327">
      <c r="LN11663" t="str">
        <v/>
      </c>
      <c r="LO11663" t="str">
        <v/>
      </c>
    </row>
    <row r="11664" spans="326:327">
      <c r="LN11664" t="str">
        <v/>
      </c>
      <c r="LO11664" t="str">
        <v/>
      </c>
    </row>
    <row r="11665" spans="326:327">
      <c r="LN11665" t="str">
        <v/>
      </c>
      <c r="LO11665" t="str">
        <v/>
      </c>
    </row>
    <row r="11666" spans="326:327">
      <c r="LN11666" t="str">
        <v/>
      </c>
      <c r="LO11666" t="str">
        <v/>
      </c>
    </row>
    <row r="11667" spans="326:327">
      <c r="LN11667" t="str">
        <v/>
      </c>
      <c r="LO11667" t="str">
        <v/>
      </c>
    </row>
    <row r="11668" spans="326:327">
      <c r="LN11668" t="str">
        <v/>
      </c>
      <c r="LO11668" t="str">
        <v/>
      </c>
    </row>
    <row r="11669" spans="326:327">
      <c r="LN11669" t="str">
        <v/>
      </c>
      <c r="LO11669" t="str">
        <v/>
      </c>
    </row>
    <row r="11670" spans="326:327">
      <c r="LN11670" t="str">
        <v/>
      </c>
      <c r="LO11670" t="str">
        <v/>
      </c>
    </row>
    <row r="11671" spans="326:327">
      <c r="LN11671" t="str">
        <v/>
      </c>
      <c r="LO11671" t="str">
        <v/>
      </c>
    </row>
    <row r="11672" spans="326:327">
      <c r="LN11672" t="str">
        <v/>
      </c>
      <c r="LO11672" t="str">
        <v/>
      </c>
    </row>
    <row r="11673" spans="326:327">
      <c r="LN11673" t="str">
        <v/>
      </c>
      <c r="LO11673" t="str">
        <v/>
      </c>
    </row>
    <row r="11674" spans="326:327">
      <c r="LN11674" t="str">
        <v/>
      </c>
      <c r="LO11674" t="str">
        <v/>
      </c>
    </row>
    <row r="11675" spans="326:327">
      <c r="LN11675" t="str">
        <v/>
      </c>
      <c r="LO11675" t="str">
        <v/>
      </c>
    </row>
    <row r="11676" spans="326:327">
      <c r="LN11676" t="str">
        <v/>
      </c>
      <c r="LO11676" t="str">
        <v/>
      </c>
    </row>
    <row r="11677" spans="326:327">
      <c r="LN11677" t="str">
        <v/>
      </c>
      <c r="LO11677" t="str">
        <v/>
      </c>
    </row>
    <row r="11678" spans="326:327">
      <c r="LN11678" t="str">
        <v/>
      </c>
      <c r="LO11678" t="str">
        <v/>
      </c>
    </row>
    <row r="11679" spans="326:327">
      <c r="LN11679" t="str">
        <v/>
      </c>
      <c r="LO11679" t="str">
        <v/>
      </c>
    </row>
    <row r="11680" spans="326:327">
      <c r="LN11680" t="str">
        <v/>
      </c>
      <c r="LO11680" t="str">
        <v/>
      </c>
    </row>
    <row r="11681" spans="326:327">
      <c r="LN11681" t="str">
        <v/>
      </c>
      <c r="LO11681" t="str">
        <v/>
      </c>
    </row>
    <row r="11682" spans="326:327">
      <c r="LN11682" t="str">
        <v/>
      </c>
      <c r="LO11682" t="str">
        <v/>
      </c>
    </row>
    <row r="11683" spans="326:327">
      <c r="LN11683" t="str">
        <v/>
      </c>
      <c r="LO11683" t="str">
        <v/>
      </c>
    </row>
    <row r="11684" spans="326:327">
      <c r="LN11684" t="str">
        <v/>
      </c>
      <c r="LO11684" t="str">
        <v/>
      </c>
    </row>
    <row r="11685" spans="326:327">
      <c r="LN11685" t="str">
        <v/>
      </c>
      <c r="LO11685" t="str">
        <v/>
      </c>
    </row>
    <row r="11686" spans="326:327">
      <c r="LN11686" t="str">
        <v/>
      </c>
      <c r="LO11686" t="str">
        <v/>
      </c>
    </row>
    <row r="11687" spans="326:327">
      <c r="LN11687" t="str">
        <v/>
      </c>
      <c r="LO11687" t="str">
        <v/>
      </c>
    </row>
    <row r="11688" spans="326:327">
      <c r="LN11688" t="str">
        <v/>
      </c>
      <c r="LO11688" t="str">
        <v/>
      </c>
    </row>
    <row r="11689" spans="326:327">
      <c r="LN11689" t="str">
        <v/>
      </c>
      <c r="LO11689" t="str">
        <v/>
      </c>
    </row>
    <row r="11690" spans="326:327">
      <c r="LN11690" t="str">
        <v/>
      </c>
      <c r="LO11690" t="str">
        <v/>
      </c>
    </row>
    <row r="11691" spans="326:327">
      <c r="LN11691" t="str">
        <v/>
      </c>
      <c r="LO11691" t="str">
        <v/>
      </c>
    </row>
    <row r="11692" spans="326:327">
      <c r="LN11692" t="str">
        <v/>
      </c>
      <c r="LO11692" t="str">
        <v/>
      </c>
    </row>
    <row r="11693" spans="326:327">
      <c r="LN11693" t="str">
        <v/>
      </c>
      <c r="LO11693" t="str">
        <v/>
      </c>
    </row>
    <row r="11694" spans="326:327">
      <c r="LN11694" t="str">
        <v/>
      </c>
      <c r="LO11694" t="str">
        <v/>
      </c>
    </row>
    <row r="11695" spans="326:327">
      <c r="LN11695" t="str">
        <v/>
      </c>
      <c r="LO11695" t="str">
        <v/>
      </c>
    </row>
    <row r="11696" spans="326:327">
      <c r="LN11696" t="str">
        <v/>
      </c>
      <c r="LO11696" t="str">
        <v/>
      </c>
    </row>
    <row r="11697" spans="326:327">
      <c r="LN11697" t="str">
        <v/>
      </c>
      <c r="LO11697" t="str">
        <v/>
      </c>
    </row>
    <row r="11698" spans="326:327">
      <c r="LN11698" t="str">
        <v/>
      </c>
      <c r="LO11698" t="str">
        <v/>
      </c>
    </row>
    <row r="11699" spans="326:327">
      <c r="LN11699" t="str">
        <v/>
      </c>
      <c r="LO11699" t="str">
        <v/>
      </c>
    </row>
    <row r="11700" spans="326:327">
      <c r="LN11700" t="str">
        <v/>
      </c>
      <c r="LO11700" t="str">
        <v/>
      </c>
    </row>
    <row r="11701" spans="326:327">
      <c r="LN11701" t="str">
        <v/>
      </c>
      <c r="LO11701" t="str">
        <v/>
      </c>
    </row>
    <row r="11702" spans="326:327">
      <c r="LN11702" t="str">
        <v/>
      </c>
      <c r="LO11702" t="str">
        <v/>
      </c>
    </row>
    <row r="11703" spans="326:327">
      <c r="LN11703" t="str">
        <v/>
      </c>
      <c r="LO11703" t="str">
        <v/>
      </c>
    </row>
    <row r="11704" spans="326:327">
      <c r="LN11704" t="str">
        <v/>
      </c>
      <c r="LO11704" t="str">
        <v/>
      </c>
    </row>
    <row r="11705" spans="326:327">
      <c r="LN11705" t="str">
        <v/>
      </c>
      <c r="LO11705" t="str">
        <v/>
      </c>
    </row>
    <row r="11706" spans="326:327">
      <c r="LN11706" t="str">
        <v/>
      </c>
      <c r="LO11706" t="str">
        <v/>
      </c>
    </row>
    <row r="11707" spans="326:327">
      <c r="LN11707" t="str">
        <v/>
      </c>
      <c r="LO11707" t="str">
        <v/>
      </c>
    </row>
    <row r="11708" spans="326:327">
      <c r="LN11708" t="str">
        <v/>
      </c>
      <c r="LO11708" t="str">
        <v/>
      </c>
    </row>
    <row r="11709" spans="326:327">
      <c r="LN11709" t="str">
        <v/>
      </c>
      <c r="LO11709" t="str">
        <v/>
      </c>
    </row>
    <row r="11710" spans="326:327">
      <c r="LN11710" t="str">
        <v/>
      </c>
      <c r="LO11710" t="str">
        <v/>
      </c>
    </row>
    <row r="11711" spans="326:327">
      <c r="LN11711" t="str">
        <v/>
      </c>
      <c r="LO11711" t="str">
        <v/>
      </c>
    </row>
    <row r="11712" spans="326:327">
      <c r="LN11712" t="str">
        <v/>
      </c>
      <c r="LO11712" t="str">
        <v/>
      </c>
    </row>
    <row r="11713" spans="326:327">
      <c r="LN11713" t="str">
        <v/>
      </c>
      <c r="LO11713" t="str">
        <v/>
      </c>
    </row>
    <row r="11714" spans="326:327">
      <c r="LN11714" t="str">
        <v/>
      </c>
      <c r="LO11714" t="str">
        <v/>
      </c>
    </row>
    <row r="11715" spans="326:327">
      <c r="LN11715" t="str">
        <v/>
      </c>
      <c r="LO11715" t="str">
        <v/>
      </c>
    </row>
    <row r="11716" spans="326:327">
      <c r="LN11716" t="str">
        <v/>
      </c>
      <c r="LO11716" t="str">
        <v/>
      </c>
    </row>
    <row r="11717" spans="326:327">
      <c r="LN11717" t="str">
        <v/>
      </c>
      <c r="LO11717" t="str">
        <v/>
      </c>
    </row>
    <row r="11718" spans="326:327">
      <c r="LN11718" t="str">
        <v/>
      </c>
      <c r="LO11718" t="str">
        <v/>
      </c>
    </row>
    <row r="11719" spans="326:327">
      <c r="LN11719" t="str">
        <v/>
      </c>
      <c r="LO11719" t="str">
        <v/>
      </c>
    </row>
    <row r="11720" spans="326:327">
      <c r="LN11720" t="str">
        <v/>
      </c>
      <c r="LO11720" t="str">
        <v/>
      </c>
    </row>
    <row r="11721" spans="326:327">
      <c r="LN11721" t="str">
        <v/>
      </c>
      <c r="LO11721" t="str">
        <v/>
      </c>
    </row>
    <row r="11722" spans="326:327">
      <c r="LN11722" t="str">
        <v/>
      </c>
      <c r="LO11722" t="str">
        <v/>
      </c>
    </row>
    <row r="11723" spans="326:327">
      <c r="LN11723" t="str">
        <v/>
      </c>
      <c r="LO11723" t="str">
        <v/>
      </c>
    </row>
    <row r="11724" spans="326:327">
      <c r="LN11724" t="str">
        <v/>
      </c>
      <c r="LO11724" t="str">
        <v/>
      </c>
    </row>
    <row r="11725" spans="326:327">
      <c r="LN11725" t="str">
        <v/>
      </c>
      <c r="LO11725" t="str">
        <v/>
      </c>
    </row>
    <row r="11726" spans="326:327">
      <c r="LN11726" t="str">
        <v/>
      </c>
      <c r="LO11726" t="str">
        <v/>
      </c>
    </row>
    <row r="11727" spans="326:327">
      <c r="LN11727" t="str">
        <v/>
      </c>
      <c r="LO11727" t="str">
        <v/>
      </c>
    </row>
    <row r="11728" spans="326:327">
      <c r="LN11728" t="str">
        <v/>
      </c>
      <c r="LO11728" t="str">
        <v/>
      </c>
    </row>
    <row r="11729" spans="326:327">
      <c r="LN11729" t="str">
        <v/>
      </c>
      <c r="LO11729" t="str">
        <v/>
      </c>
    </row>
    <row r="11730" spans="326:327">
      <c r="LN11730" t="str">
        <v/>
      </c>
      <c r="LO11730" t="str">
        <v/>
      </c>
    </row>
    <row r="11731" spans="326:327">
      <c r="LN11731" t="str">
        <v/>
      </c>
      <c r="LO11731" t="str">
        <v/>
      </c>
    </row>
    <row r="11732" spans="326:327">
      <c r="LN11732" t="str">
        <v/>
      </c>
      <c r="LO11732" t="str">
        <v/>
      </c>
    </row>
    <row r="11733" spans="326:327">
      <c r="LN11733" t="str">
        <v/>
      </c>
      <c r="LO11733" t="str">
        <v/>
      </c>
    </row>
    <row r="11734" spans="326:327">
      <c r="LN11734" t="str">
        <v/>
      </c>
      <c r="LO11734" t="str">
        <v/>
      </c>
    </row>
    <row r="11735" spans="326:327">
      <c r="LN11735" t="str">
        <v/>
      </c>
      <c r="LO11735" t="str">
        <v/>
      </c>
    </row>
    <row r="11736" spans="326:327">
      <c r="LN11736" t="str">
        <v/>
      </c>
      <c r="LO11736" t="str">
        <v/>
      </c>
    </row>
    <row r="11737" spans="326:327">
      <c r="LN11737" t="str">
        <v/>
      </c>
      <c r="LO11737" t="str">
        <v/>
      </c>
    </row>
    <row r="11738" spans="326:327">
      <c r="LN11738" t="str">
        <v/>
      </c>
      <c r="LO11738" t="str">
        <v/>
      </c>
    </row>
    <row r="11739" spans="326:327">
      <c r="LN11739" t="str">
        <v/>
      </c>
      <c r="LO11739" t="str">
        <v/>
      </c>
    </row>
    <row r="11740" spans="326:327">
      <c r="LN11740" t="str">
        <v/>
      </c>
      <c r="LO11740" t="str">
        <v/>
      </c>
    </row>
    <row r="11741" spans="326:327">
      <c r="LN11741" t="str">
        <v/>
      </c>
      <c r="LO11741" t="str">
        <v/>
      </c>
    </row>
    <row r="11742" spans="326:327">
      <c r="LN11742" t="str">
        <v/>
      </c>
      <c r="LO11742" t="str">
        <v/>
      </c>
    </row>
    <row r="11743" spans="326:327">
      <c r="LN11743" t="str">
        <v/>
      </c>
      <c r="LO11743" t="str">
        <v/>
      </c>
    </row>
    <row r="11744" spans="326:327">
      <c r="LN11744" t="str">
        <v/>
      </c>
      <c r="LO11744" t="str">
        <v/>
      </c>
    </row>
    <row r="11745" spans="326:327">
      <c r="LN11745" t="str">
        <v/>
      </c>
      <c r="LO11745" t="str">
        <v/>
      </c>
    </row>
    <row r="11746" spans="326:327">
      <c r="LN11746" t="str">
        <v/>
      </c>
      <c r="LO11746" t="str">
        <v/>
      </c>
    </row>
    <row r="11747" spans="326:327">
      <c r="LN11747" t="str">
        <v/>
      </c>
      <c r="LO11747" t="str">
        <v/>
      </c>
    </row>
    <row r="11748" spans="326:327">
      <c r="LN11748" t="str">
        <v/>
      </c>
      <c r="LO11748" t="str">
        <v/>
      </c>
    </row>
    <row r="11749" spans="326:327">
      <c r="LN11749" t="str">
        <v/>
      </c>
      <c r="LO11749" t="str">
        <v/>
      </c>
    </row>
    <row r="11750" spans="326:327">
      <c r="LN11750" t="str">
        <v/>
      </c>
      <c r="LO11750" t="str">
        <v/>
      </c>
    </row>
    <row r="11751" spans="326:327">
      <c r="LN11751" t="str">
        <v/>
      </c>
      <c r="LO11751" t="str">
        <v/>
      </c>
    </row>
    <row r="11752" spans="326:327">
      <c r="LN11752" t="str">
        <v/>
      </c>
      <c r="LO11752" t="str">
        <v/>
      </c>
    </row>
    <row r="11753" spans="326:327">
      <c r="LN11753" t="str">
        <v/>
      </c>
      <c r="LO11753" t="str">
        <v/>
      </c>
    </row>
    <row r="11754" spans="326:327">
      <c r="LN11754" t="str">
        <v/>
      </c>
      <c r="LO11754" t="str">
        <v/>
      </c>
    </row>
    <row r="11755" spans="326:327">
      <c r="LN11755" t="str">
        <v/>
      </c>
      <c r="LO11755" t="str">
        <v/>
      </c>
    </row>
    <row r="11756" spans="326:327">
      <c r="LN11756" t="str">
        <v/>
      </c>
      <c r="LO11756" t="str">
        <v/>
      </c>
    </row>
    <row r="11757" spans="326:327">
      <c r="LN11757" t="str">
        <v/>
      </c>
      <c r="LO11757" t="str">
        <v/>
      </c>
    </row>
    <row r="11758" spans="326:327">
      <c r="LN11758" t="str">
        <v/>
      </c>
      <c r="LO11758" t="str">
        <v/>
      </c>
    </row>
    <row r="11759" spans="326:327">
      <c r="LN11759" t="str">
        <v/>
      </c>
      <c r="LO11759" t="str">
        <v/>
      </c>
    </row>
    <row r="11760" spans="326:327">
      <c r="LN11760" t="str">
        <v/>
      </c>
      <c r="LO11760" t="str">
        <v/>
      </c>
    </row>
    <row r="11761" spans="326:327">
      <c r="LN11761" t="str">
        <v/>
      </c>
      <c r="LO11761" t="str">
        <v/>
      </c>
    </row>
    <row r="11762" spans="326:327">
      <c r="LN11762" t="str">
        <v/>
      </c>
      <c r="LO11762" t="str">
        <v/>
      </c>
    </row>
    <row r="11763" spans="326:327">
      <c r="LN11763" t="str">
        <v/>
      </c>
      <c r="LO11763" t="str">
        <v/>
      </c>
    </row>
    <row r="11764" spans="326:327">
      <c r="LN11764" t="str">
        <v/>
      </c>
      <c r="LO11764" t="str">
        <v/>
      </c>
    </row>
    <row r="11765" spans="326:327">
      <c r="LN11765" t="str">
        <v/>
      </c>
      <c r="LO11765" t="str">
        <v/>
      </c>
    </row>
    <row r="11766" spans="326:327">
      <c r="LN11766" t="str">
        <v/>
      </c>
      <c r="LO11766" t="str">
        <v/>
      </c>
    </row>
    <row r="11767" spans="326:327">
      <c r="LN11767" t="str">
        <v/>
      </c>
      <c r="LO11767" t="str">
        <v/>
      </c>
    </row>
    <row r="11768" spans="326:327">
      <c r="LN11768" t="str">
        <v/>
      </c>
      <c r="LO11768" t="str">
        <v/>
      </c>
    </row>
    <row r="11769" spans="326:327">
      <c r="LN11769" t="str">
        <v/>
      </c>
      <c r="LO11769" t="str">
        <v/>
      </c>
    </row>
    <row r="11770" spans="326:327">
      <c r="LN11770" t="str">
        <v/>
      </c>
      <c r="LO11770" t="str">
        <v/>
      </c>
    </row>
    <row r="11771" spans="326:327">
      <c r="LN11771" t="str">
        <v/>
      </c>
      <c r="LO11771" t="str">
        <v/>
      </c>
    </row>
    <row r="11772" spans="326:327">
      <c r="LN11772" t="str">
        <v/>
      </c>
      <c r="LO11772" t="str">
        <v/>
      </c>
    </row>
    <row r="11773" spans="326:327">
      <c r="LN11773" t="str">
        <v/>
      </c>
      <c r="LO11773" t="str">
        <v/>
      </c>
    </row>
    <row r="11774" spans="326:327">
      <c r="LN11774" t="str">
        <v/>
      </c>
      <c r="LO11774" t="str">
        <v/>
      </c>
    </row>
    <row r="11775" spans="326:327">
      <c r="LN11775" t="str">
        <v/>
      </c>
      <c r="LO11775" t="str">
        <v/>
      </c>
    </row>
    <row r="11776" spans="326:327">
      <c r="LN11776" t="str">
        <v/>
      </c>
      <c r="LO11776" t="str">
        <v/>
      </c>
    </row>
    <row r="11777" spans="326:327">
      <c r="LN11777" t="str">
        <v/>
      </c>
      <c r="LO11777" t="str">
        <v/>
      </c>
    </row>
    <row r="11778" spans="326:327">
      <c r="LN11778" t="str">
        <v/>
      </c>
      <c r="LO11778" t="str">
        <v/>
      </c>
    </row>
    <row r="11779" spans="326:327">
      <c r="LN11779" t="str">
        <v/>
      </c>
      <c r="LO11779" t="str">
        <v/>
      </c>
    </row>
    <row r="11780" spans="326:327">
      <c r="LN11780" t="str">
        <v/>
      </c>
      <c r="LO11780" t="str">
        <v/>
      </c>
    </row>
    <row r="11781" spans="326:327">
      <c r="LN11781" t="str">
        <v/>
      </c>
      <c r="LO11781" t="str">
        <v/>
      </c>
    </row>
    <row r="11782" spans="326:327">
      <c r="LN11782" t="str">
        <v/>
      </c>
      <c r="LO11782" t="str">
        <v/>
      </c>
    </row>
    <row r="11783" spans="326:327">
      <c r="LN11783" t="str">
        <v/>
      </c>
      <c r="LO11783" t="str">
        <v/>
      </c>
    </row>
    <row r="11784" spans="326:327">
      <c r="LN11784" t="str">
        <v/>
      </c>
      <c r="LO11784" t="str">
        <v/>
      </c>
    </row>
    <row r="11785" spans="326:327">
      <c r="LN11785" t="str">
        <v/>
      </c>
      <c r="LO11785" t="str">
        <v/>
      </c>
    </row>
    <row r="11786" spans="326:327">
      <c r="LN11786" t="str">
        <v/>
      </c>
      <c r="LO11786" t="str">
        <v/>
      </c>
    </row>
    <row r="11787" spans="326:327">
      <c r="LN11787" t="str">
        <v/>
      </c>
      <c r="LO11787" t="str">
        <v/>
      </c>
    </row>
    <row r="11788" spans="326:327">
      <c r="LN11788" t="str">
        <v/>
      </c>
      <c r="LO11788" t="str">
        <v/>
      </c>
    </row>
    <row r="11789" spans="326:327">
      <c r="LN11789" t="str">
        <v/>
      </c>
      <c r="LO11789" t="str">
        <v/>
      </c>
    </row>
    <row r="11790" spans="326:327">
      <c r="LN11790" t="str">
        <v/>
      </c>
      <c r="LO11790" t="str">
        <v/>
      </c>
    </row>
    <row r="11791" spans="326:327">
      <c r="LN11791" t="str">
        <v/>
      </c>
      <c r="LO11791" t="str">
        <v/>
      </c>
    </row>
    <row r="11792" spans="326:327">
      <c r="LN11792" t="str">
        <v/>
      </c>
      <c r="LO11792" t="str">
        <v/>
      </c>
    </row>
    <row r="11793" spans="326:327">
      <c r="LN11793" t="str">
        <v/>
      </c>
      <c r="LO11793" t="str">
        <v/>
      </c>
    </row>
    <row r="11794" spans="326:327">
      <c r="LN11794" t="str">
        <v/>
      </c>
      <c r="LO11794" t="str">
        <v/>
      </c>
    </row>
    <row r="11795" spans="326:327">
      <c r="LN11795" t="str">
        <v/>
      </c>
      <c r="LO11795" t="str">
        <v/>
      </c>
    </row>
    <row r="11796" spans="326:327">
      <c r="LN11796" t="str">
        <v/>
      </c>
      <c r="LO11796" t="str">
        <v/>
      </c>
    </row>
    <row r="11797" spans="326:327">
      <c r="LN11797" t="str">
        <v/>
      </c>
      <c r="LO11797" t="str">
        <v/>
      </c>
    </row>
    <row r="11798" spans="326:327">
      <c r="LN11798" t="str">
        <v/>
      </c>
      <c r="LO11798" t="str">
        <v/>
      </c>
    </row>
    <row r="11799" spans="326:327">
      <c r="LN11799" t="str">
        <v/>
      </c>
      <c r="LO11799" t="str">
        <v/>
      </c>
    </row>
    <row r="11800" spans="326:327">
      <c r="LN11800" t="str">
        <v/>
      </c>
      <c r="LO11800" t="str">
        <v/>
      </c>
    </row>
    <row r="11801" spans="326:327">
      <c r="LN11801" t="str">
        <v/>
      </c>
      <c r="LO11801" t="str">
        <v/>
      </c>
    </row>
    <row r="11802" spans="326:327">
      <c r="LN11802" t="str">
        <v/>
      </c>
      <c r="LO11802" t="str">
        <v/>
      </c>
    </row>
    <row r="11803" spans="326:327">
      <c r="LN11803" t="str">
        <v/>
      </c>
      <c r="LO11803" t="str">
        <v/>
      </c>
    </row>
    <row r="11804" spans="326:327">
      <c r="LN11804" t="str">
        <v/>
      </c>
      <c r="LO11804" t="str">
        <v/>
      </c>
    </row>
    <row r="11805" spans="326:327">
      <c r="LN11805" t="str">
        <v/>
      </c>
      <c r="LO11805" t="str">
        <v/>
      </c>
    </row>
    <row r="11806" spans="326:327">
      <c r="LN11806" t="str">
        <v/>
      </c>
      <c r="LO11806" t="str">
        <v/>
      </c>
    </row>
    <row r="11807" spans="326:327">
      <c r="LN11807" t="str">
        <v/>
      </c>
      <c r="LO11807" t="str">
        <v/>
      </c>
    </row>
    <row r="11808" spans="326:327">
      <c r="LN11808" t="str">
        <v/>
      </c>
      <c r="LO11808" t="str">
        <v/>
      </c>
    </row>
    <row r="11809" spans="326:327">
      <c r="LN11809" t="str">
        <v/>
      </c>
      <c r="LO11809" t="str">
        <v/>
      </c>
    </row>
    <row r="11810" spans="326:327">
      <c r="LN11810" t="str">
        <v/>
      </c>
      <c r="LO11810" t="str">
        <v/>
      </c>
    </row>
    <row r="11811" spans="326:327">
      <c r="LN11811" t="str">
        <v/>
      </c>
      <c r="LO11811" t="str">
        <v/>
      </c>
    </row>
    <row r="11812" spans="326:327">
      <c r="LN11812" t="str">
        <v/>
      </c>
      <c r="LO11812" t="str">
        <v/>
      </c>
    </row>
    <row r="11813" spans="326:327">
      <c r="LN11813" t="str">
        <v/>
      </c>
      <c r="LO11813" t="str">
        <v/>
      </c>
    </row>
    <row r="11814" spans="326:327">
      <c r="LN11814" t="str">
        <v/>
      </c>
      <c r="LO11814" t="str">
        <v/>
      </c>
    </row>
    <row r="11815" spans="326:327">
      <c r="LN11815" t="str">
        <v/>
      </c>
      <c r="LO11815" t="str">
        <v/>
      </c>
    </row>
    <row r="11816" spans="326:327">
      <c r="LN11816" t="str">
        <v/>
      </c>
      <c r="LO11816" t="str">
        <v/>
      </c>
    </row>
    <row r="11817" spans="326:327">
      <c r="LN11817" t="str">
        <v/>
      </c>
      <c r="LO11817" t="str">
        <v/>
      </c>
    </row>
    <row r="11818" spans="326:327">
      <c r="LN11818" t="str">
        <v/>
      </c>
      <c r="LO11818" t="str">
        <v/>
      </c>
    </row>
    <row r="11819" spans="326:327">
      <c r="LN11819" t="str">
        <v/>
      </c>
      <c r="LO11819" t="str">
        <v/>
      </c>
    </row>
    <row r="11820" spans="326:327">
      <c r="LN11820" t="str">
        <v/>
      </c>
      <c r="LO11820" t="str">
        <v/>
      </c>
    </row>
    <row r="11821" spans="326:327">
      <c r="LN11821" t="str">
        <v/>
      </c>
      <c r="LO11821" t="str">
        <v/>
      </c>
    </row>
    <row r="11822" spans="326:327">
      <c r="LN11822" t="str">
        <v/>
      </c>
      <c r="LO11822" t="str">
        <v/>
      </c>
    </row>
    <row r="11823" spans="326:327">
      <c r="LN11823" t="str">
        <v/>
      </c>
      <c r="LO11823" t="str">
        <v/>
      </c>
    </row>
    <row r="11824" spans="326:327">
      <c r="LN11824" t="str">
        <v/>
      </c>
      <c r="LO11824" t="str">
        <v/>
      </c>
    </row>
    <row r="11825" spans="326:327">
      <c r="LN11825" t="str">
        <v/>
      </c>
      <c r="LO11825" t="str">
        <v/>
      </c>
    </row>
    <row r="11826" spans="326:327">
      <c r="LN11826" t="str">
        <v/>
      </c>
      <c r="LO11826" t="str">
        <v/>
      </c>
    </row>
    <row r="11827" spans="326:327">
      <c r="LN11827" t="str">
        <v/>
      </c>
      <c r="LO11827" t="str">
        <v/>
      </c>
    </row>
    <row r="11828" spans="326:327">
      <c r="LN11828" t="str">
        <v/>
      </c>
      <c r="LO11828" t="str">
        <v/>
      </c>
    </row>
    <row r="11829" spans="326:327">
      <c r="LN11829" t="str">
        <v/>
      </c>
      <c r="LO11829" t="str">
        <v/>
      </c>
    </row>
    <row r="11830" spans="326:327">
      <c r="LN11830" t="str">
        <v/>
      </c>
      <c r="LO11830" t="str">
        <v/>
      </c>
    </row>
    <row r="11831" spans="326:327">
      <c r="LN11831" t="str">
        <v/>
      </c>
      <c r="LO11831" t="str">
        <v/>
      </c>
    </row>
    <row r="11832" spans="326:327">
      <c r="LN11832" t="str">
        <v/>
      </c>
      <c r="LO11832" t="str">
        <v/>
      </c>
    </row>
    <row r="11833" spans="326:327">
      <c r="LN11833" t="str">
        <v/>
      </c>
      <c r="LO11833" t="str">
        <v/>
      </c>
    </row>
    <row r="11834" spans="326:327">
      <c r="LN11834" t="str">
        <v/>
      </c>
      <c r="LO11834" t="str">
        <v/>
      </c>
    </row>
    <row r="11835" spans="326:327">
      <c r="LN11835" t="str">
        <v/>
      </c>
      <c r="LO11835" t="str">
        <v/>
      </c>
    </row>
    <row r="11836" spans="326:327">
      <c r="LN11836" t="str">
        <v/>
      </c>
      <c r="LO11836" t="str">
        <v/>
      </c>
    </row>
    <row r="11837" spans="326:327">
      <c r="LN11837" t="str">
        <v/>
      </c>
      <c r="LO11837" t="str">
        <v/>
      </c>
    </row>
    <row r="11838" spans="326:327">
      <c r="LN11838" t="str">
        <v/>
      </c>
      <c r="LO11838" t="str">
        <v/>
      </c>
    </row>
    <row r="11839" spans="326:327">
      <c r="LN11839" t="str">
        <v/>
      </c>
      <c r="LO11839" t="str">
        <v/>
      </c>
    </row>
    <row r="11840" spans="326:327">
      <c r="LN11840" t="str">
        <v/>
      </c>
      <c r="LO11840" t="str">
        <v/>
      </c>
    </row>
    <row r="11841" spans="326:327">
      <c r="LN11841" t="str">
        <v/>
      </c>
      <c r="LO11841" t="str">
        <v/>
      </c>
    </row>
    <row r="11842" spans="326:327">
      <c r="LN11842" t="str">
        <v/>
      </c>
      <c r="LO11842" t="str">
        <v/>
      </c>
    </row>
    <row r="11843" spans="326:327">
      <c r="LN11843" t="str">
        <v/>
      </c>
      <c r="LO11843" t="str">
        <v/>
      </c>
    </row>
    <row r="11844" spans="326:327">
      <c r="LN11844" t="str">
        <v/>
      </c>
      <c r="LO11844" t="str">
        <v/>
      </c>
    </row>
    <row r="11845" spans="326:327">
      <c r="LN11845" t="str">
        <v/>
      </c>
      <c r="LO11845" t="str">
        <v/>
      </c>
    </row>
    <row r="11846" spans="326:327">
      <c r="LN11846" t="str">
        <v/>
      </c>
      <c r="LO11846" t="str">
        <v/>
      </c>
    </row>
    <row r="11847" spans="326:327">
      <c r="LN11847" t="str">
        <v/>
      </c>
      <c r="LO11847" t="str">
        <v/>
      </c>
    </row>
    <row r="11848" spans="326:327">
      <c r="LN11848" t="str">
        <v/>
      </c>
      <c r="LO11848" t="str">
        <v/>
      </c>
    </row>
    <row r="11849" spans="326:327">
      <c r="LN11849" t="str">
        <v/>
      </c>
      <c r="LO11849" t="str">
        <v/>
      </c>
    </row>
    <row r="11850" spans="326:327">
      <c r="LN11850" t="str">
        <v/>
      </c>
      <c r="LO11850" t="str">
        <v/>
      </c>
    </row>
    <row r="11851" spans="326:327">
      <c r="LN11851" t="str">
        <v/>
      </c>
      <c r="LO11851" t="str">
        <v/>
      </c>
    </row>
    <row r="11852" spans="326:327">
      <c r="LN11852" t="str">
        <v/>
      </c>
      <c r="LO11852" t="str">
        <v/>
      </c>
    </row>
    <row r="11853" spans="326:327">
      <c r="LN11853" t="str">
        <v/>
      </c>
      <c r="LO11853" t="str">
        <v/>
      </c>
    </row>
    <row r="11854" spans="326:327">
      <c r="LN11854" t="str">
        <v/>
      </c>
      <c r="LO11854" t="str">
        <v/>
      </c>
    </row>
    <row r="11855" spans="326:327">
      <c r="LN11855" t="str">
        <v/>
      </c>
      <c r="LO11855" t="str">
        <v/>
      </c>
    </row>
    <row r="11856" spans="326:327">
      <c r="LN11856" t="str">
        <v/>
      </c>
      <c r="LO11856" t="str">
        <v/>
      </c>
    </row>
    <row r="11857" spans="326:327">
      <c r="LN11857" t="str">
        <v/>
      </c>
      <c r="LO11857" t="str">
        <v/>
      </c>
    </row>
    <row r="11858" spans="326:327">
      <c r="LN11858" t="str">
        <v/>
      </c>
      <c r="LO11858" t="str">
        <v/>
      </c>
    </row>
    <row r="11859" spans="326:327">
      <c r="LN11859" t="str">
        <v/>
      </c>
      <c r="LO11859" t="str">
        <v/>
      </c>
    </row>
    <row r="11860" spans="326:327">
      <c r="LN11860" t="str">
        <v/>
      </c>
      <c r="LO11860" t="str">
        <v/>
      </c>
    </row>
    <row r="11861" spans="326:327">
      <c r="LN11861" t="str">
        <v/>
      </c>
      <c r="LO11861" t="str">
        <v/>
      </c>
    </row>
    <row r="11862" spans="326:327">
      <c r="LN11862" t="str">
        <v/>
      </c>
      <c r="LO11862" t="str">
        <v/>
      </c>
    </row>
    <row r="11863" spans="326:327">
      <c r="LN11863" t="str">
        <v/>
      </c>
      <c r="LO11863" t="str">
        <v/>
      </c>
    </row>
    <row r="11864" spans="326:327">
      <c r="LN11864" t="str">
        <v/>
      </c>
      <c r="LO11864" t="str">
        <v/>
      </c>
    </row>
    <row r="11865" spans="326:327">
      <c r="LN11865" t="str">
        <v/>
      </c>
      <c r="LO11865" t="str">
        <v/>
      </c>
    </row>
    <row r="11866" spans="326:327">
      <c r="LN11866" t="str">
        <v/>
      </c>
      <c r="LO11866" t="str">
        <v/>
      </c>
    </row>
    <row r="11867" spans="326:327">
      <c r="LN11867" t="str">
        <v/>
      </c>
      <c r="LO11867" t="str">
        <v/>
      </c>
    </row>
    <row r="11868" spans="326:327">
      <c r="LN11868" t="str">
        <v/>
      </c>
      <c r="LO11868" t="str">
        <v/>
      </c>
    </row>
    <row r="11869" spans="326:327">
      <c r="LN11869" t="str">
        <v/>
      </c>
      <c r="LO11869" t="str">
        <v/>
      </c>
    </row>
    <row r="11870" spans="326:327">
      <c r="LN11870" t="str">
        <v/>
      </c>
      <c r="LO11870" t="str">
        <v/>
      </c>
    </row>
    <row r="11871" spans="326:327">
      <c r="LN11871" t="str">
        <v/>
      </c>
      <c r="LO11871" t="str">
        <v/>
      </c>
    </row>
    <row r="11872" spans="326:327">
      <c r="LN11872" t="str">
        <v/>
      </c>
      <c r="LO11872" t="str">
        <v/>
      </c>
    </row>
    <row r="11873" spans="326:327">
      <c r="LN11873" t="str">
        <v/>
      </c>
      <c r="LO11873" t="str">
        <v/>
      </c>
    </row>
    <row r="11874" spans="326:327">
      <c r="LN11874" t="str">
        <v/>
      </c>
      <c r="LO11874" t="str">
        <v/>
      </c>
    </row>
    <row r="11875" spans="326:327">
      <c r="LN11875" t="str">
        <v/>
      </c>
      <c r="LO11875" t="str">
        <v/>
      </c>
    </row>
    <row r="11876" spans="326:327">
      <c r="LN11876" t="str">
        <v/>
      </c>
      <c r="LO11876" t="str">
        <v/>
      </c>
    </row>
    <row r="11877" spans="326:327">
      <c r="LN11877" t="str">
        <v/>
      </c>
      <c r="LO11877" t="str">
        <v/>
      </c>
    </row>
    <row r="11878" spans="326:327">
      <c r="LN11878" t="str">
        <v/>
      </c>
      <c r="LO11878" t="str">
        <v/>
      </c>
    </row>
    <row r="11879" spans="326:327">
      <c r="LN11879" t="str">
        <v/>
      </c>
      <c r="LO11879" t="str">
        <v/>
      </c>
    </row>
    <row r="11880" spans="326:327">
      <c r="LN11880" t="str">
        <v/>
      </c>
      <c r="LO11880" t="str">
        <v/>
      </c>
    </row>
    <row r="11881" spans="326:327">
      <c r="LN11881" t="str">
        <v/>
      </c>
      <c r="LO11881" t="str">
        <v/>
      </c>
    </row>
    <row r="11882" spans="326:327">
      <c r="LN11882" t="str">
        <v/>
      </c>
      <c r="LO11882" t="str">
        <v/>
      </c>
    </row>
    <row r="11883" spans="326:327">
      <c r="LN11883" t="str">
        <v/>
      </c>
      <c r="LO11883" t="str">
        <v/>
      </c>
    </row>
    <row r="11884" spans="326:327">
      <c r="LN11884" t="str">
        <v/>
      </c>
      <c r="LO11884" t="str">
        <v/>
      </c>
    </row>
    <row r="11885" spans="326:327">
      <c r="LN11885" t="str">
        <v/>
      </c>
      <c r="LO11885" t="str">
        <v/>
      </c>
    </row>
    <row r="11886" spans="326:327">
      <c r="LN11886" t="str">
        <v/>
      </c>
      <c r="LO11886" t="str">
        <v/>
      </c>
    </row>
    <row r="11887" spans="326:327">
      <c r="LN11887" t="str">
        <v/>
      </c>
      <c r="LO11887" t="str">
        <v/>
      </c>
    </row>
    <row r="11888" spans="326:327">
      <c r="LN11888" t="str">
        <v/>
      </c>
      <c r="LO11888" t="str">
        <v/>
      </c>
    </row>
    <row r="11889" spans="326:327">
      <c r="LN11889" t="str">
        <v/>
      </c>
      <c r="LO11889" t="str">
        <v/>
      </c>
    </row>
    <row r="11890" spans="326:327">
      <c r="LN11890" t="str">
        <v/>
      </c>
      <c r="LO11890" t="str">
        <v/>
      </c>
    </row>
    <row r="11891" spans="326:327">
      <c r="LN11891" t="str">
        <v/>
      </c>
      <c r="LO11891" t="str">
        <v/>
      </c>
    </row>
    <row r="11892" spans="326:327">
      <c r="LN11892" t="str">
        <v/>
      </c>
      <c r="LO11892" t="str">
        <v/>
      </c>
    </row>
    <row r="11893" spans="326:327">
      <c r="LN11893" t="str">
        <v/>
      </c>
      <c r="LO11893" t="str">
        <v/>
      </c>
    </row>
    <row r="11894" spans="326:327">
      <c r="LN11894" t="str">
        <v/>
      </c>
      <c r="LO11894" t="str">
        <v/>
      </c>
    </row>
    <row r="11895" spans="326:327">
      <c r="LN11895" t="str">
        <v/>
      </c>
      <c r="LO11895" t="str">
        <v/>
      </c>
    </row>
    <row r="11896" spans="326:327">
      <c r="LN11896" t="str">
        <v/>
      </c>
      <c r="LO11896" t="str">
        <v/>
      </c>
    </row>
    <row r="11897" spans="326:327">
      <c r="LN11897" t="str">
        <v/>
      </c>
      <c r="LO11897" t="str">
        <v/>
      </c>
    </row>
    <row r="11898" spans="326:327">
      <c r="LN11898" t="str">
        <v/>
      </c>
      <c r="LO11898" t="str">
        <v/>
      </c>
    </row>
    <row r="11899" spans="326:327">
      <c r="LN11899" t="str">
        <v/>
      </c>
      <c r="LO11899" t="str">
        <v/>
      </c>
    </row>
    <row r="11900" spans="326:327">
      <c r="LN11900" t="str">
        <v/>
      </c>
      <c r="LO11900" t="str">
        <v/>
      </c>
    </row>
    <row r="11901" spans="326:327">
      <c r="LN11901" t="str">
        <v/>
      </c>
      <c r="LO11901" t="str">
        <v/>
      </c>
    </row>
    <row r="11902" spans="326:327">
      <c r="LN11902" t="str">
        <v/>
      </c>
      <c r="LO11902" t="str">
        <v/>
      </c>
    </row>
    <row r="11903" spans="326:327">
      <c r="LN11903" t="str">
        <v/>
      </c>
      <c r="LO11903" t="str">
        <v/>
      </c>
    </row>
    <row r="11904" spans="326:327">
      <c r="LN11904" t="str">
        <v/>
      </c>
      <c r="LO11904" t="str">
        <v/>
      </c>
    </row>
    <row r="11905" spans="326:327">
      <c r="LN11905" t="str">
        <v/>
      </c>
      <c r="LO11905" t="str">
        <v/>
      </c>
    </row>
    <row r="11906" spans="326:327">
      <c r="LN11906" t="str">
        <v/>
      </c>
      <c r="LO11906" t="str">
        <v/>
      </c>
    </row>
    <row r="11907" spans="326:327">
      <c r="LN11907" t="str">
        <v/>
      </c>
      <c r="LO11907" t="str">
        <v/>
      </c>
    </row>
    <row r="11908" spans="326:327">
      <c r="LN11908" t="str">
        <v/>
      </c>
      <c r="LO11908" t="str">
        <v/>
      </c>
    </row>
    <row r="11909" spans="326:327">
      <c r="LN11909" t="str">
        <v/>
      </c>
      <c r="LO11909" t="str">
        <v/>
      </c>
    </row>
    <row r="11910" spans="326:327">
      <c r="LN11910" t="str">
        <v/>
      </c>
      <c r="LO11910" t="str">
        <v/>
      </c>
    </row>
    <row r="11911" spans="326:327">
      <c r="LN11911" t="str">
        <v/>
      </c>
      <c r="LO11911" t="str">
        <v/>
      </c>
    </row>
    <row r="11912" spans="326:327">
      <c r="LN11912" t="str">
        <v/>
      </c>
      <c r="LO11912" t="str">
        <v/>
      </c>
    </row>
    <row r="11913" spans="326:327">
      <c r="LN11913" t="str">
        <v/>
      </c>
      <c r="LO11913" t="str">
        <v/>
      </c>
    </row>
    <row r="11914" spans="326:327">
      <c r="LN11914" t="str">
        <v/>
      </c>
      <c r="LO11914" t="str">
        <v/>
      </c>
    </row>
    <row r="11915" spans="326:327">
      <c r="LN11915" t="str">
        <v/>
      </c>
      <c r="LO11915" t="str">
        <v/>
      </c>
    </row>
    <row r="11916" spans="326:327">
      <c r="LN11916" t="str">
        <v/>
      </c>
      <c r="LO11916" t="str">
        <v/>
      </c>
    </row>
    <row r="11917" spans="326:327">
      <c r="LN11917" t="str">
        <v/>
      </c>
      <c r="LO11917" t="str">
        <v/>
      </c>
    </row>
    <row r="11918" spans="326:327">
      <c r="LN11918" t="str">
        <v/>
      </c>
      <c r="LO11918" t="str">
        <v/>
      </c>
    </row>
    <row r="11919" spans="326:327">
      <c r="LN11919" t="str">
        <v/>
      </c>
      <c r="LO11919" t="str">
        <v/>
      </c>
    </row>
    <row r="11920" spans="326:327">
      <c r="LN11920" t="str">
        <v/>
      </c>
      <c r="LO11920" t="str">
        <v/>
      </c>
    </row>
    <row r="11921" spans="326:327">
      <c r="LN11921" t="str">
        <v/>
      </c>
      <c r="LO11921" t="str">
        <v/>
      </c>
    </row>
    <row r="11922" spans="326:327">
      <c r="LN11922" t="str">
        <v/>
      </c>
      <c r="LO11922" t="str">
        <v/>
      </c>
    </row>
    <row r="11923" spans="326:327">
      <c r="LN11923" t="str">
        <v/>
      </c>
      <c r="LO11923" t="str">
        <v/>
      </c>
    </row>
    <row r="11924" spans="326:327">
      <c r="LN11924" t="str">
        <v/>
      </c>
      <c r="LO11924" t="str">
        <v/>
      </c>
    </row>
    <row r="11925" spans="326:327">
      <c r="LN11925" t="str">
        <v/>
      </c>
      <c r="LO11925" t="str">
        <v/>
      </c>
    </row>
    <row r="11926" spans="326:327">
      <c r="LN11926" t="str">
        <v/>
      </c>
      <c r="LO11926" t="str">
        <v/>
      </c>
    </row>
    <row r="11927" spans="326:327">
      <c r="LN11927" t="str">
        <v/>
      </c>
      <c r="LO11927" t="str">
        <v/>
      </c>
    </row>
    <row r="11928" spans="326:327">
      <c r="LN11928" t="str">
        <v/>
      </c>
      <c r="LO11928" t="str">
        <v/>
      </c>
    </row>
    <row r="11929" spans="326:327">
      <c r="LN11929" t="str">
        <v/>
      </c>
      <c r="LO11929" t="str">
        <v/>
      </c>
    </row>
    <row r="11930" spans="326:327">
      <c r="LN11930" t="str">
        <v/>
      </c>
      <c r="LO11930" t="str">
        <v/>
      </c>
    </row>
    <row r="11931" spans="326:327">
      <c r="LN11931" t="str">
        <v/>
      </c>
      <c r="LO11931" t="str">
        <v/>
      </c>
    </row>
    <row r="11932" spans="326:327">
      <c r="LN11932" t="str">
        <v/>
      </c>
      <c r="LO11932" t="str">
        <v/>
      </c>
    </row>
    <row r="11933" spans="326:327">
      <c r="LN11933" t="str">
        <v/>
      </c>
      <c r="LO11933" t="str">
        <v/>
      </c>
    </row>
    <row r="11934" spans="326:327">
      <c r="LN11934" t="str">
        <v/>
      </c>
      <c r="LO11934" t="str">
        <v/>
      </c>
    </row>
    <row r="11935" spans="326:327">
      <c r="LN11935" t="str">
        <v/>
      </c>
      <c r="LO11935" t="str">
        <v/>
      </c>
    </row>
    <row r="11936" spans="326:327">
      <c r="LN11936" t="str">
        <v/>
      </c>
      <c r="LO11936" t="str">
        <v/>
      </c>
    </row>
    <row r="11937" spans="326:327">
      <c r="LN11937" t="str">
        <v/>
      </c>
      <c r="LO11937" t="str">
        <v/>
      </c>
    </row>
    <row r="11938" spans="326:327">
      <c r="LN11938" t="str">
        <v/>
      </c>
      <c r="LO11938" t="str">
        <v/>
      </c>
    </row>
    <row r="11939" spans="326:327">
      <c r="LN11939" t="str">
        <v/>
      </c>
      <c r="LO11939" t="str">
        <v/>
      </c>
    </row>
    <row r="11940" spans="326:327">
      <c r="LN11940" t="str">
        <v/>
      </c>
      <c r="LO11940" t="str">
        <v/>
      </c>
    </row>
    <row r="11941" spans="326:327">
      <c r="LN11941" t="str">
        <v/>
      </c>
      <c r="LO11941" t="str">
        <v/>
      </c>
    </row>
    <row r="11942" spans="326:327">
      <c r="LN11942" t="str">
        <v/>
      </c>
      <c r="LO11942" t="str">
        <v/>
      </c>
    </row>
    <row r="11943" spans="326:327">
      <c r="LN11943" t="str">
        <v/>
      </c>
      <c r="LO11943" t="str">
        <v/>
      </c>
    </row>
    <row r="11944" spans="326:327">
      <c r="LN11944" t="str">
        <v/>
      </c>
      <c r="LO11944" t="str">
        <v/>
      </c>
    </row>
    <row r="11945" spans="326:327">
      <c r="LN11945" t="str">
        <v/>
      </c>
      <c r="LO11945" t="str">
        <v/>
      </c>
    </row>
    <row r="11946" spans="326:327">
      <c r="LN11946" t="str">
        <v/>
      </c>
      <c r="LO11946" t="str">
        <v/>
      </c>
    </row>
    <row r="11947" spans="326:327">
      <c r="LN11947" t="str">
        <v/>
      </c>
      <c r="LO11947" t="str">
        <v/>
      </c>
    </row>
    <row r="11948" spans="326:327">
      <c r="LN11948" t="str">
        <v/>
      </c>
      <c r="LO11948" t="str">
        <v/>
      </c>
    </row>
    <row r="11949" spans="326:327">
      <c r="LN11949" t="str">
        <v/>
      </c>
      <c r="LO11949" t="str">
        <v/>
      </c>
    </row>
    <row r="11950" spans="326:327">
      <c r="LN11950" t="str">
        <v/>
      </c>
      <c r="LO11950" t="str">
        <v/>
      </c>
    </row>
    <row r="11951" spans="326:327">
      <c r="LN11951" t="str">
        <v/>
      </c>
      <c r="LO11951" t="str">
        <v/>
      </c>
    </row>
    <row r="11952" spans="326:327">
      <c r="LN11952" t="str">
        <v/>
      </c>
      <c r="LO11952" t="str">
        <v/>
      </c>
    </row>
    <row r="11953" spans="326:327">
      <c r="LN11953" t="str">
        <v/>
      </c>
      <c r="LO11953" t="str">
        <v/>
      </c>
    </row>
    <row r="11954" spans="326:327">
      <c r="LN11954" t="str">
        <v/>
      </c>
      <c r="LO11954" t="str">
        <v/>
      </c>
    </row>
    <row r="11955" spans="326:327">
      <c r="LN11955" t="str">
        <v/>
      </c>
      <c r="LO11955" t="str">
        <v/>
      </c>
    </row>
    <row r="11956" spans="326:327">
      <c r="LN11956" t="str">
        <v/>
      </c>
      <c r="LO11956" t="str">
        <v/>
      </c>
    </row>
    <row r="11957" spans="326:327">
      <c r="LN11957" t="str">
        <v/>
      </c>
      <c r="LO11957" t="str">
        <v/>
      </c>
    </row>
    <row r="11958" spans="326:327">
      <c r="LN11958" t="str">
        <v/>
      </c>
      <c r="LO11958" t="str">
        <v/>
      </c>
    </row>
    <row r="11959" spans="326:327">
      <c r="LN11959" t="str">
        <v/>
      </c>
      <c r="LO11959" t="str">
        <v/>
      </c>
    </row>
    <row r="11960" spans="326:327">
      <c r="LN11960" t="str">
        <v/>
      </c>
      <c r="LO11960" t="str">
        <v/>
      </c>
    </row>
    <row r="11961" spans="326:327">
      <c r="LN11961" t="str">
        <v/>
      </c>
      <c r="LO11961" t="str">
        <v/>
      </c>
    </row>
    <row r="11962" spans="326:327">
      <c r="LN11962" t="str">
        <v/>
      </c>
      <c r="LO11962" t="str">
        <v/>
      </c>
    </row>
    <row r="11963" spans="326:327">
      <c r="LN11963" t="str">
        <v/>
      </c>
      <c r="LO11963" t="str">
        <v/>
      </c>
    </row>
    <row r="11964" spans="326:327">
      <c r="LN11964" t="str">
        <v/>
      </c>
      <c r="LO11964" t="str">
        <v/>
      </c>
    </row>
    <row r="11965" spans="326:327">
      <c r="LN11965" t="str">
        <v/>
      </c>
      <c r="LO11965" t="str">
        <v/>
      </c>
    </row>
    <row r="11966" spans="326:327">
      <c r="LN11966" t="str">
        <v/>
      </c>
      <c r="LO11966" t="str">
        <v/>
      </c>
    </row>
    <row r="11967" spans="326:327">
      <c r="LN11967" t="str">
        <v/>
      </c>
      <c r="LO11967" t="str">
        <v/>
      </c>
    </row>
    <row r="11968" spans="326:327">
      <c r="LN11968" t="str">
        <v/>
      </c>
      <c r="LO11968" t="str">
        <v/>
      </c>
    </row>
    <row r="11969" spans="326:327">
      <c r="LN11969" t="str">
        <v/>
      </c>
      <c r="LO11969" t="str">
        <v/>
      </c>
    </row>
    <row r="11970" spans="326:327">
      <c r="LN11970" t="str">
        <v/>
      </c>
      <c r="LO11970" t="str">
        <v/>
      </c>
    </row>
    <row r="11971" spans="326:327">
      <c r="LN11971" t="str">
        <v/>
      </c>
      <c r="LO11971" t="str">
        <v/>
      </c>
    </row>
    <row r="11972" spans="326:327">
      <c r="LN11972" t="str">
        <v/>
      </c>
      <c r="LO11972" t="str">
        <v/>
      </c>
    </row>
    <row r="11973" spans="326:327">
      <c r="LN11973" t="str">
        <v/>
      </c>
      <c r="LO11973" t="str">
        <v/>
      </c>
    </row>
    <row r="11974" spans="326:327">
      <c r="LN11974" t="str">
        <v/>
      </c>
      <c r="LO11974" t="str">
        <v/>
      </c>
    </row>
    <row r="11975" spans="326:327">
      <c r="LN11975" t="str">
        <v/>
      </c>
      <c r="LO11975" t="str">
        <v/>
      </c>
    </row>
    <row r="11976" spans="326:327">
      <c r="LN11976" t="str">
        <v/>
      </c>
      <c r="LO11976" t="str">
        <v/>
      </c>
    </row>
    <row r="11977" spans="326:327">
      <c r="LN11977" t="str">
        <v/>
      </c>
      <c r="LO11977" t="str">
        <v/>
      </c>
    </row>
    <row r="11978" spans="326:327">
      <c r="LN11978" t="str">
        <v/>
      </c>
      <c r="LO11978" t="str">
        <v/>
      </c>
    </row>
    <row r="11979" spans="326:327">
      <c r="LN11979" t="str">
        <v/>
      </c>
      <c r="LO11979" t="str">
        <v/>
      </c>
    </row>
    <row r="11980" spans="326:327">
      <c r="LN11980" t="str">
        <v/>
      </c>
      <c r="LO11980" t="str">
        <v/>
      </c>
    </row>
    <row r="11981" spans="326:327">
      <c r="LN11981" t="str">
        <v/>
      </c>
      <c r="LO11981" t="str">
        <v/>
      </c>
    </row>
    <row r="11982" spans="326:327">
      <c r="LN11982" t="str">
        <v/>
      </c>
      <c r="LO11982" t="str">
        <v/>
      </c>
    </row>
    <row r="11983" spans="326:327">
      <c r="LN11983" t="str">
        <v/>
      </c>
      <c r="LO11983" t="str">
        <v/>
      </c>
    </row>
    <row r="11984" spans="326:327">
      <c r="LN11984" t="str">
        <v/>
      </c>
      <c r="LO11984" t="str">
        <v/>
      </c>
    </row>
    <row r="11985" spans="326:327">
      <c r="LN11985" t="str">
        <v/>
      </c>
      <c r="LO11985" t="str">
        <v/>
      </c>
    </row>
    <row r="11986" spans="326:327">
      <c r="LN11986" t="str">
        <v/>
      </c>
      <c r="LO11986" t="str">
        <v/>
      </c>
    </row>
    <row r="11987" spans="326:327">
      <c r="LN11987" t="str">
        <v/>
      </c>
      <c r="LO11987" t="str">
        <v/>
      </c>
    </row>
    <row r="11988" spans="326:327">
      <c r="LN11988" t="str">
        <v/>
      </c>
      <c r="LO11988" t="str">
        <v/>
      </c>
    </row>
    <row r="11989" spans="326:327">
      <c r="LN11989" t="str">
        <v/>
      </c>
      <c r="LO11989" t="str">
        <v/>
      </c>
    </row>
    <row r="11990" spans="326:327">
      <c r="LN11990" t="str">
        <v/>
      </c>
      <c r="LO11990" t="str">
        <v/>
      </c>
    </row>
    <row r="11991" spans="326:327">
      <c r="LN11991" t="str">
        <v/>
      </c>
      <c r="LO11991" t="str">
        <v/>
      </c>
    </row>
    <row r="11992" spans="326:327">
      <c r="LN11992" t="str">
        <v/>
      </c>
      <c r="LO11992" t="str">
        <v/>
      </c>
    </row>
    <row r="11993" spans="326:327">
      <c r="LN11993" t="str">
        <v/>
      </c>
      <c r="LO11993" t="str">
        <v/>
      </c>
    </row>
    <row r="11994" spans="326:327">
      <c r="LN11994" t="str">
        <v/>
      </c>
      <c r="LO11994" t="str">
        <v/>
      </c>
    </row>
    <row r="11995" spans="326:327">
      <c r="LN11995" t="str">
        <v/>
      </c>
      <c r="LO11995" t="str">
        <v/>
      </c>
    </row>
    <row r="11996" spans="326:327">
      <c r="LN11996" t="str">
        <v/>
      </c>
      <c r="LO11996" t="str">
        <v/>
      </c>
    </row>
    <row r="11997" spans="326:327">
      <c r="LN11997" t="str">
        <v/>
      </c>
      <c r="LO11997" t="str">
        <v/>
      </c>
    </row>
    <row r="11998" spans="326:327">
      <c r="LN11998" t="str">
        <v/>
      </c>
      <c r="LO11998" t="str">
        <v/>
      </c>
    </row>
    <row r="11999" spans="326:327">
      <c r="LN11999" t="str">
        <v/>
      </c>
      <c r="LO11999" t="str">
        <v/>
      </c>
    </row>
    <row r="12000" spans="326:327">
      <c r="LN12000" t="str">
        <v/>
      </c>
      <c r="LO12000" t="str">
        <v/>
      </c>
    </row>
    <row r="12001" spans="326:327">
      <c r="LN12001" t="str">
        <v/>
      </c>
      <c r="LO12001" t="str">
        <v/>
      </c>
    </row>
    <row r="12002" spans="326:327">
      <c r="LN12002" t="str">
        <v/>
      </c>
      <c r="LO12002" t="str">
        <v/>
      </c>
    </row>
    <row r="12003" spans="326:327">
      <c r="LN12003" t="str">
        <v/>
      </c>
      <c r="LO12003" t="str">
        <v/>
      </c>
    </row>
    <row r="12004" spans="326:327">
      <c r="LN12004" t="str">
        <v/>
      </c>
      <c r="LO12004" t="str">
        <v/>
      </c>
    </row>
    <row r="12005" spans="326:327">
      <c r="LN12005" t="str">
        <v/>
      </c>
      <c r="LO12005" t="str">
        <v/>
      </c>
    </row>
    <row r="12006" spans="326:327">
      <c r="LN12006" t="str">
        <v/>
      </c>
      <c r="LO12006" t="str">
        <v/>
      </c>
    </row>
    <row r="12007" spans="326:327">
      <c r="LN12007" t="str">
        <v/>
      </c>
      <c r="LO12007" t="str">
        <v/>
      </c>
    </row>
    <row r="12008" spans="326:327">
      <c r="LN12008" t="str">
        <v/>
      </c>
      <c r="LO12008" t="str">
        <v/>
      </c>
    </row>
    <row r="12009" spans="326:327">
      <c r="LN12009" t="str">
        <v/>
      </c>
      <c r="LO12009" t="str">
        <v/>
      </c>
    </row>
    <row r="12010" spans="326:327">
      <c r="LN12010" t="str">
        <v/>
      </c>
      <c r="LO12010" t="str">
        <v/>
      </c>
    </row>
    <row r="12011" spans="326:327">
      <c r="LN12011" t="str">
        <v/>
      </c>
      <c r="LO12011" t="str">
        <v/>
      </c>
    </row>
    <row r="12012" spans="326:327">
      <c r="LN12012" t="str">
        <v/>
      </c>
      <c r="LO12012" t="str">
        <v/>
      </c>
    </row>
    <row r="12013" spans="326:327">
      <c r="LN12013" t="str">
        <v/>
      </c>
      <c r="LO12013" t="str">
        <v/>
      </c>
    </row>
    <row r="12014" spans="326:327">
      <c r="LN12014" t="str">
        <v/>
      </c>
      <c r="LO12014" t="str">
        <v/>
      </c>
    </row>
    <row r="12015" spans="326:327">
      <c r="LN12015" t="str">
        <v/>
      </c>
      <c r="LO12015" t="str">
        <v/>
      </c>
    </row>
    <row r="12016" spans="326:327">
      <c r="LN12016" t="str">
        <v/>
      </c>
      <c r="LO12016" t="str">
        <v/>
      </c>
    </row>
    <row r="12017" spans="326:327">
      <c r="LN12017" t="str">
        <v/>
      </c>
      <c r="LO12017" t="str">
        <v/>
      </c>
    </row>
    <row r="12018" spans="326:327">
      <c r="LN12018" t="str">
        <v/>
      </c>
      <c r="LO12018" t="str">
        <v/>
      </c>
    </row>
    <row r="12019" spans="326:327">
      <c r="LN12019" t="str">
        <v/>
      </c>
      <c r="LO12019" t="str">
        <v/>
      </c>
    </row>
    <row r="12020" spans="326:327">
      <c r="LN12020" t="str">
        <v/>
      </c>
      <c r="LO12020" t="str">
        <v/>
      </c>
    </row>
    <row r="12021" spans="326:327">
      <c r="LN12021" t="str">
        <v/>
      </c>
      <c r="LO12021" t="str">
        <v/>
      </c>
    </row>
    <row r="12022" spans="326:327">
      <c r="LN12022" t="str">
        <v/>
      </c>
      <c r="LO12022" t="str">
        <v/>
      </c>
    </row>
    <row r="12023" spans="326:327">
      <c r="LN12023" t="str">
        <v/>
      </c>
      <c r="LO12023" t="str">
        <v/>
      </c>
    </row>
    <row r="12024" spans="326:327">
      <c r="LN12024" t="str">
        <v/>
      </c>
      <c r="LO12024" t="str">
        <v/>
      </c>
    </row>
    <row r="12025" spans="326:327">
      <c r="LN12025" t="str">
        <v/>
      </c>
      <c r="LO12025" t="str">
        <v/>
      </c>
    </row>
    <row r="12026" spans="326:327">
      <c r="LN12026" t="str">
        <v/>
      </c>
      <c r="LO12026" t="str">
        <v/>
      </c>
    </row>
    <row r="12027" spans="326:327">
      <c r="LN12027" t="str">
        <v/>
      </c>
      <c r="LO12027" t="str">
        <v/>
      </c>
    </row>
    <row r="12028" spans="326:327">
      <c r="LN12028" t="str">
        <v/>
      </c>
      <c r="LO12028" t="str">
        <v/>
      </c>
    </row>
    <row r="12029" spans="326:327">
      <c r="LN12029" t="str">
        <v/>
      </c>
      <c r="LO12029" t="str">
        <v/>
      </c>
    </row>
    <row r="12030" spans="326:327">
      <c r="LN12030" t="str">
        <v/>
      </c>
      <c r="LO12030" t="str">
        <v/>
      </c>
    </row>
    <row r="12031" spans="326:327">
      <c r="LN12031" t="str">
        <v/>
      </c>
      <c r="LO12031" t="str">
        <v/>
      </c>
    </row>
    <row r="12032" spans="326:327">
      <c r="LN12032" t="str">
        <v/>
      </c>
      <c r="LO12032" t="str">
        <v/>
      </c>
    </row>
    <row r="12033" spans="326:327">
      <c r="LN12033" t="str">
        <v/>
      </c>
      <c r="LO12033" t="str">
        <v/>
      </c>
    </row>
    <row r="12034" spans="326:327">
      <c r="LN12034" t="str">
        <v/>
      </c>
      <c r="LO12034" t="str">
        <v/>
      </c>
    </row>
    <row r="12035" spans="326:327">
      <c r="LN12035" t="str">
        <v/>
      </c>
      <c r="LO12035" t="str">
        <v/>
      </c>
    </row>
    <row r="12036" spans="326:327">
      <c r="LN12036" t="str">
        <v/>
      </c>
      <c r="LO12036" t="str">
        <v/>
      </c>
    </row>
    <row r="12037" spans="326:327">
      <c r="LN12037" t="str">
        <v/>
      </c>
      <c r="LO12037" t="str">
        <v/>
      </c>
    </row>
    <row r="12038" spans="326:327">
      <c r="LN12038" t="str">
        <v/>
      </c>
      <c r="LO12038" t="str">
        <v/>
      </c>
    </row>
    <row r="12039" spans="326:327">
      <c r="LN12039" t="str">
        <v/>
      </c>
      <c r="LO12039" t="str">
        <v/>
      </c>
    </row>
    <row r="12040" spans="326:327">
      <c r="LN12040" t="str">
        <v/>
      </c>
      <c r="LO12040" t="str">
        <v/>
      </c>
    </row>
    <row r="12041" spans="326:327">
      <c r="LN12041" t="str">
        <v/>
      </c>
      <c r="LO12041" t="str">
        <v/>
      </c>
    </row>
    <row r="12042" spans="326:327">
      <c r="LN12042" t="str">
        <v/>
      </c>
      <c r="LO12042" t="str">
        <v/>
      </c>
    </row>
    <row r="12043" spans="326:327">
      <c r="LN12043" t="str">
        <v/>
      </c>
      <c r="LO12043" t="str">
        <v/>
      </c>
    </row>
    <row r="12044" spans="326:327">
      <c r="LN12044" t="str">
        <v/>
      </c>
      <c r="LO12044" t="str">
        <v/>
      </c>
    </row>
    <row r="12045" spans="326:327">
      <c r="LN12045" t="str">
        <v/>
      </c>
      <c r="LO12045" t="str">
        <v/>
      </c>
    </row>
    <row r="12046" spans="326:327">
      <c r="LN12046" t="str">
        <v/>
      </c>
      <c r="LO12046" t="str">
        <v/>
      </c>
    </row>
    <row r="12047" spans="326:327">
      <c r="LN12047" t="str">
        <v/>
      </c>
      <c r="LO12047" t="str">
        <v/>
      </c>
    </row>
    <row r="12048" spans="326:327">
      <c r="LN12048" t="str">
        <v/>
      </c>
      <c r="LO12048" t="str">
        <v/>
      </c>
    </row>
    <row r="12049" spans="326:327">
      <c r="LN12049" t="str">
        <v/>
      </c>
      <c r="LO12049" t="str">
        <v/>
      </c>
    </row>
    <row r="12050" spans="326:327">
      <c r="LN12050" t="str">
        <v/>
      </c>
      <c r="LO12050" t="str">
        <v/>
      </c>
    </row>
    <row r="12051" spans="326:327">
      <c r="LN12051" t="str">
        <v/>
      </c>
      <c r="LO12051" t="str">
        <v/>
      </c>
    </row>
    <row r="12052" spans="326:327">
      <c r="LN12052" t="str">
        <v/>
      </c>
      <c r="LO12052" t="str">
        <v/>
      </c>
    </row>
    <row r="12053" spans="326:327">
      <c r="LN12053" t="str">
        <v/>
      </c>
      <c r="LO12053" t="str">
        <v/>
      </c>
    </row>
    <row r="12054" spans="326:327">
      <c r="LN12054" t="str">
        <v/>
      </c>
      <c r="LO12054" t="str">
        <v/>
      </c>
    </row>
    <row r="12055" spans="326:327">
      <c r="LN12055" t="str">
        <v/>
      </c>
      <c r="LO12055" t="str">
        <v/>
      </c>
    </row>
    <row r="12056" spans="326:327">
      <c r="LN12056" t="str">
        <v/>
      </c>
      <c r="LO12056" t="str">
        <v/>
      </c>
    </row>
    <row r="12057" spans="326:327">
      <c r="LN12057" t="str">
        <v/>
      </c>
      <c r="LO12057" t="str">
        <v/>
      </c>
    </row>
    <row r="12058" spans="326:327">
      <c r="LN12058" t="str">
        <v/>
      </c>
      <c r="LO12058" t="str">
        <v/>
      </c>
    </row>
    <row r="12059" spans="326:327">
      <c r="LN12059" t="str">
        <v/>
      </c>
      <c r="LO12059" t="str">
        <v/>
      </c>
    </row>
    <row r="12060" spans="326:327">
      <c r="LN12060" t="str">
        <v/>
      </c>
      <c r="LO12060" t="str">
        <v/>
      </c>
    </row>
    <row r="12061" spans="326:327">
      <c r="LN12061" t="str">
        <v/>
      </c>
      <c r="LO12061" t="str">
        <v/>
      </c>
    </row>
    <row r="12062" spans="326:327">
      <c r="LN12062" t="str">
        <v/>
      </c>
      <c r="LO12062" t="str">
        <v/>
      </c>
    </row>
    <row r="12063" spans="326:327">
      <c r="LN12063" t="str">
        <v/>
      </c>
      <c r="LO12063" t="str">
        <v/>
      </c>
    </row>
    <row r="12064" spans="326:327">
      <c r="LN12064" t="str">
        <v/>
      </c>
      <c r="LO12064" t="str">
        <v/>
      </c>
    </row>
    <row r="12065" spans="326:327">
      <c r="LN12065" t="str">
        <v/>
      </c>
      <c r="LO12065" t="str">
        <v/>
      </c>
    </row>
    <row r="12066" spans="326:327">
      <c r="LN12066" t="str">
        <v/>
      </c>
      <c r="LO12066" t="str">
        <v/>
      </c>
    </row>
    <row r="12067" spans="326:327">
      <c r="LN12067" t="str">
        <v/>
      </c>
      <c r="LO12067" t="str">
        <v/>
      </c>
    </row>
    <row r="12068" spans="326:327">
      <c r="LN12068" t="str">
        <v/>
      </c>
      <c r="LO12068" t="str">
        <v/>
      </c>
    </row>
    <row r="12069" spans="326:327">
      <c r="LN12069" t="str">
        <v/>
      </c>
      <c r="LO12069" t="str">
        <v/>
      </c>
    </row>
    <row r="12070" spans="326:327">
      <c r="LN12070" t="str">
        <v/>
      </c>
      <c r="LO12070" t="str">
        <v/>
      </c>
    </row>
    <row r="12071" spans="326:327">
      <c r="LN12071" t="str">
        <v/>
      </c>
      <c r="LO12071" t="str">
        <v/>
      </c>
    </row>
    <row r="12072" spans="326:327">
      <c r="LN12072" t="str">
        <v/>
      </c>
      <c r="LO12072" t="str">
        <v/>
      </c>
    </row>
    <row r="12073" spans="326:327">
      <c r="LN12073" t="str">
        <v/>
      </c>
      <c r="LO12073" t="str">
        <v/>
      </c>
    </row>
    <row r="12074" spans="326:327">
      <c r="LN12074" t="str">
        <v/>
      </c>
      <c r="LO12074" t="str">
        <v/>
      </c>
    </row>
    <row r="12075" spans="326:327">
      <c r="LN12075" t="str">
        <v/>
      </c>
      <c r="LO12075" t="str">
        <v/>
      </c>
    </row>
    <row r="12076" spans="326:327">
      <c r="LN12076" t="str">
        <v/>
      </c>
      <c r="LO12076" t="str">
        <v/>
      </c>
    </row>
    <row r="12077" spans="326:327">
      <c r="LN12077" t="str">
        <v/>
      </c>
      <c r="LO12077" t="str">
        <v/>
      </c>
    </row>
    <row r="12078" spans="326:327">
      <c r="LN12078" t="str">
        <v/>
      </c>
      <c r="LO12078" t="str">
        <v/>
      </c>
    </row>
    <row r="12079" spans="326:327">
      <c r="LN12079" t="str">
        <v/>
      </c>
      <c r="LO12079" t="str">
        <v/>
      </c>
    </row>
    <row r="12080" spans="326:327">
      <c r="LN12080" t="str">
        <v/>
      </c>
      <c r="LO12080" t="str">
        <v/>
      </c>
    </row>
    <row r="12081" spans="326:327">
      <c r="LN12081" t="str">
        <v/>
      </c>
      <c r="LO12081" t="str">
        <v/>
      </c>
    </row>
    <row r="12082" spans="326:327">
      <c r="LN12082" t="str">
        <v/>
      </c>
      <c r="LO12082" t="str">
        <v/>
      </c>
    </row>
    <row r="12083" spans="326:327">
      <c r="LN12083" t="str">
        <v/>
      </c>
      <c r="LO12083" t="str">
        <v/>
      </c>
    </row>
    <row r="12084" spans="326:327">
      <c r="LN12084" t="str">
        <v/>
      </c>
      <c r="LO12084" t="str">
        <v/>
      </c>
    </row>
    <row r="12085" spans="326:327">
      <c r="LN12085" t="str">
        <v/>
      </c>
      <c r="LO12085" t="str">
        <v/>
      </c>
    </row>
    <row r="12086" spans="326:327">
      <c r="LN12086" t="str">
        <v/>
      </c>
      <c r="LO12086" t="str">
        <v/>
      </c>
    </row>
    <row r="12087" spans="326:327">
      <c r="LN12087" t="str">
        <v/>
      </c>
      <c r="LO12087" t="str">
        <v/>
      </c>
    </row>
    <row r="12088" spans="326:327">
      <c r="LN12088" t="str">
        <v/>
      </c>
      <c r="LO12088" t="str">
        <v/>
      </c>
    </row>
    <row r="12089" spans="326:327">
      <c r="LN12089" t="str">
        <v/>
      </c>
      <c r="LO12089" t="str">
        <v/>
      </c>
    </row>
    <row r="12090" spans="326:327">
      <c r="LN12090" t="str">
        <v/>
      </c>
      <c r="LO12090" t="str">
        <v/>
      </c>
    </row>
    <row r="12091" spans="326:327">
      <c r="LN12091" t="str">
        <v/>
      </c>
      <c r="LO12091" t="str">
        <v/>
      </c>
    </row>
    <row r="12092" spans="326:327">
      <c r="LN12092" t="str">
        <v/>
      </c>
      <c r="LO12092" t="str">
        <v/>
      </c>
    </row>
    <row r="12093" spans="326:327">
      <c r="LN12093" t="str">
        <v/>
      </c>
      <c r="LO12093" t="str">
        <v/>
      </c>
    </row>
    <row r="12094" spans="326:327">
      <c r="LN12094" t="str">
        <v/>
      </c>
      <c r="LO12094" t="str">
        <v/>
      </c>
    </row>
    <row r="12095" spans="326:327">
      <c r="LN12095" t="str">
        <v/>
      </c>
      <c r="LO12095" t="str">
        <v/>
      </c>
    </row>
    <row r="12096" spans="326:327">
      <c r="LN12096" t="str">
        <v/>
      </c>
      <c r="LO12096" t="str">
        <v/>
      </c>
    </row>
    <row r="12097" spans="326:327">
      <c r="LN12097" t="str">
        <v/>
      </c>
      <c r="LO12097" t="str">
        <v/>
      </c>
    </row>
    <row r="12098" spans="326:327">
      <c r="LN12098" t="str">
        <v/>
      </c>
      <c r="LO12098" t="str">
        <v/>
      </c>
    </row>
    <row r="12099" spans="326:327">
      <c r="LN12099" t="str">
        <v/>
      </c>
      <c r="LO12099" t="str">
        <v/>
      </c>
    </row>
    <row r="12100" spans="326:327">
      <c r="LN12100" t="str">
        <v/>
      </c>
      <c r="LO12100" t="str">
        <v/>
      </c>
    </row>
    <row r="12101" spans="326:327">
      <c r="LN12101" t="str">
        <v/>
      </c>
      <c r="LO12101" t="str">
        <v/>
      </c>
    </row>
    <row r="12102" spans="326:327">
      <c r="LN12102" t="str">
        <v/>
      </c>
      <c r="LO12102" t="str">
        <v/>
      </c>
    </row>
    <row r="12103" spans="326:327">
      <c r="LN12103" t="str">
        <v/>
      </c>
      <c r="LO12103" t="str">
        <v/>
      </c>
    </row>
    <row r="12104" spans="326:327">
      <c r="LN12104" t="str">
        <v/>
      </c>
      <c r="LO12104" t="str">
        <v/>
      </c>
    </row>
    <row r="12105" spans="326:327">
      <c r="LN12105" t="str">
        <v/>
      </c>
      <c r="LO12105" t="str">
        <v/>
      </c>
    </row>
    <row r="12106" spans="326:327">
      <c r="LN12106" t="str">
        <v/>
      </c>
      <c r="LO12106" t="str">
        <v/>
      </c>
    </row>
    <row r="12107" spans="326:327">
      <c r="LN12107" t="str">
        <v/>
      </c>
      <c r="LO12107" t="str">
        <v/>
      </c>
    </row>
    <row r="12108" spans="326:327">
      <c r="LN12108" t="str">
        <v/>
      </c>
      <c r="LO12108" t="str">
        <v/>
      </c>
    </row>
    <row r="12109" spans="326:327">
      <c r="LN12109" t="str">
        <v/>
      </c>
      <c r="LO12109" t="str">
        <v/>
      </c>
    </row>
    <row r="12110" spans="326:327">
      <c r="LN12110" t="str">
        <v/>
      </c>
      <c r="LO12110" t="str">
        <v/>
      </c>
    </row>
    <row r="12111" spans="326:327">
      <c r="LN12111" t="str">
        <v/>
      </c>
      <c r="LO12111" t="str">
        <v/>
      </c>
    </row>
    <row r="12112" spans="326:327">
      <c r="LN12112" t="str">
        <v/>
      </c>
      <c r="LO12112" t="str">
        <v/>
      </c>
    </row>
    <row r="12113" spans="326:327">
      <c r="LN12113" t="str">
        <v/>
      </c>
      <c r="LO12113" t="str">
        <v/>
      </c>
    </row>
    <row r="12114" spans="326:327">
      <c r="LN12114" t="str">
        <v/>
      </c>
      <c r="LO12114" t="str">
        <v/>
      </c>
    </row>
    <row r="12115" spans="326:327">
      <c r="LN12115" t="str">
        <v/>
      </c>
      <c r="LO12115" t="str">
        <v/>
      </c>
    </row>
    <row r="12116" spans="326:327">
      <c r="LN12116" t="str">
        <v/>
      </c>
      <c r="LO12116" t="str">
        <v/>
      </c>
    </row>
    <row r="12117" spans="326:327">
      <c r="LN12117" t="str">
        <v/>
      </c>
      <c r="LO12117" t="str">
        <v/>
      </c>
    </row>
    <row r="12118" spans="326:327">
      <c r="LN12118" t="str">
        <v/>
      </c>
      <c r="LO12118" t="str">
        <v/>
      </c>
    </row>
    <row r="12119" spans="326:327">
      <c r="LN12119" t="str">
        <v/>
      </c>
      <c r="LO12119" t="str">
        <v/>
      </c>
    </row>
    <row r="12120" spans="326:327">
      <c r="LN12120" t="str">
        <v/>
      </c>
      <c r="LO12120" t="str">
        <v/>
      </c>
    </row>
    <row r="12121" spans="326:327">
      <c r="LN12121" t="str">
        <v/>
      </c>
      <c r="LO12121" t="str">
        <v/>
      </c>
    </row>
    <row r="12122" spans="326:327">
      <c r="LN12122" t="str">
        <v/>
      </c>
      <c r="LO12122" t="str">
        <v/>
      </c>
    </row>
    <row r="12123" spans="326:327">
      <c r="LN12123" t="str">
        <v/>
      </c>
      <c r="LO12123" t="str">
        <v/>
      </c>
    </row>
    <row r="12124" spans="326:327">
      <c r="LN12124" t="str">
        <v/>
      </c>
      <c r="LO12124" t="str">
        <v/>
      </c>
    </row>
    <row r="12125" spans="326:327">
      <c r="LN12125" t="str">
        <v/>
      </c>
      <c r="LO12125" t="str">
        <v/>
      </c>
    </row>
    <row r="12126" spans="326:327">
      <c r="LN12126" t="str">
        <v/>
      </c>
      <c r="LO12126" t="str">
        <v/>
      </c>
    </row>
    <row r="12127" spans="326:327">
      <c r="LN12127" t="str">
        <v/>
      </c>
      <c r="LO12127" t="str">
        <v/>
      </c>
    </row>
    <row r="12128" spans="326:327">
      <c r="LN12128" t="str">
        <v/>
      </c>
      <c r="LO12128" t="str">
        <v/>
      </c>
    </row>
    <row r="12129" spans="326:327">
      <c r="LN12129" t="str">
        <v/>
      </c>
      <c r="LO12129" t="str">
        <v/>
      </c>
    </row>
    <row r="12130" spans="326:327">
      <c r="LN12130" t="str">
        <v/>
      </c>
      <c r="LO12130" t="str">
        <v/>
      </c>
    </row>
    <row r="12131" spans="326:327">
      <c r="LN12131" t="str">
        <v/>
      </c>
      <c r="LO12131" t="str">
        <v/>
      </c>
    </row>
    <row r="12132" spans="326:327">
      <c r="LN12132" t="str">
        <v/>
      </c>
      <c r="LO12132" t="str">
        <v/>
      </c>
    </row>
    <row r="12133" spans="326:327">
      <c r="LN12133" t="str">
        <v/>
      </c>
      <c r="LO12133" t="str">
        <v/>
      </c>
    </row>
    <row r="12134" spans="326:327">
      <c r="LN12134" t="str">
        <v/>
      </c>
      <c r="LO12134" t="str">
        <v/>
      </c>
    </row>
    <row r="12135" spans="326:327">
      <c r="LN12135" t="str">
        <v/>
      </c>
      <c r="LO12135" t="str">
        <v/>
      </c>
    </row>
    <row r="12136" spans="326:327">
      <c r="LN12136" t="str">
        <v/>
      </c>
      <c r="LO12136" t="str">
        <v/>
      </c>
    </row>
    <row r="12137" spans="326:327">
      <c r="LN12137" t="str">
        <v/>
      </c>
      <c r="LO12137" t="str">
        <v/>
      </c>
    </row>
    <row r="12138" spans="326:327">
      <c r="LN12138" t="str">
        <v/>
      </c>
      <c r="LO12138" t="str">
        <v/>
      </c>
    </row>
    <row r="12139" spans="326:327">
      <c r="LN12139" t="str">
        <v/>
      </c>
      <c r="LO12139" t="str">
        <v/>
      </c>
    </row>
    <row r="12140" spans="326:327">
      <c r="LN12140" t="str">
        <v/>
      </c>
      <c r="LO12140" t="str">
        <v/>
      </c>
    </row>
    <row r="12141" spans="326:327">
      <c r="LN12141" t="str">
        <v/>
      </c>
      <c r="LO12141" t="str">
        <v/>
      </c>
    </row>
    <row r="12142" spans="326:327">
      <c r="LN12142" t="str">
        <v/>
      </c>
      <c r="LO12142" t="str">
        <v/>
      </c>
    </row>
    <row r="12143" spans="326:327">
      <c r="LN12143" t="str">
        <v/>
      </c>
      <c r="LO12143" t="str">
        <v/>
      </c>
    </row>
    <row r="12144" spans="326:327">
      <c r="LN12144" t="str">
        <v/>
      </c>
      <c r="LO12144" t="str">
        <v/>
      </c>
    </row>
    <row r="12145" spans="326:327">
      <c r="LN12145" t="str">
        <v/>
      </c>
      <c r="LO12145" t="str">
        <v/>
      </c>
    </row>
    <row r="12146" spans="326:327">
      <c r="LN12146" t="str">
        <v/>
      </c>
      <c r="LO12146" t="str">
        <v/>
      </c>
    </row>
    <row r="12147" spans="326:327">
      <c r="LN12147" t="str">
        <v/>
      </c>
      <c r="LO12147" t="str">
        <v/>
      </c>
    </row>
    <row r="12148" spans="326:327">
      <c r="LN12148" t="str">
        <v/>
      </c>
      <c r="LO12148" t="str">
        <v/>
      </c>
    </row>
    <row r="12149" spans="326:327">
      <c r="LN12149" t="str">
        <v/>
      </c>
      <c r="LO12149" t="str">
        <v/>
      </c>
    </row>
    <row r="12150" spans="326:327">
      <c r="LN12150" t="str">
        <v/>
      </c>
      <c r="LO12150" t="str">
        <v/>
      </c>
    </row>
    <row r="12151" spans="326:327">
      <c r="LN12151" t="str">
        <v/>
      </c>
      <c r="LO12151" t="str">
        <v/>
      </c>
    </row>
    <row r="12152" spans="326:327">
      <c r="LN12152" t="str">
        <v/>
      </c>
      <c r="LO12152" t="str">
        <v/>
      </c>
    </row>
    <row r="12153" spans="326:327">
      <c r="LN12153" t="str">
        <v/>
      </c>
      <c r="LO12153" t="str">
        <v/>
      </c>
    </row>
    <row r="12154" spans="326:327">
      <c r="LN12154" t="str">
        <v/>
      </c>
      <c r="LO12154" t="str">
        <v/>
      </c>
    </row>
    <row r="12155" spans="326:327">
      <c r="LN12155" t="str">
        <v/>
      </c>
      <c r="LO12155" t="str">
        <v/>
      </c>
    </row>
    <row r="12156" spans="326:327">
      <c r="LN12156" t="str">
        <v/>
      </c>
      <c r="LO12156" t="str">
        <v/>
      </c>
    </row>
    <row r="12157" spans="326:327">
      <c r="LN12157" t="str">
        <v/>
      </c>
      <c r="LO12157" t="str">
        <v/>
      </c>
    </row>
    <row r="12158" spans="326:327">
      <c r="LN12158" t="str">
        <v/>
      </c>
      <c r="LO12158" t="str">
        <v/>
      </c>
    </row>
    <row r="12159" spans="326:327">
      <c r="LN12159" t="str">
        <v/>
      </c>
      <c r="LO12159" t="str">
        <v/>
      </c>
    </row>
    <row r="12160" spans="326:327">
      <c r="LN12160" t="str">
        <v/>
      </c>
      <c r="LO12160" t="str">
        <v/>
      </c>
    </row>
    <row r="12161" spans="326:327">
      <c r="LN12161" t="str">
        <v/>
      </c>
      <c r="LO12161" t="str">
        <v/>
      </c>
    </row>
    <row r="12162" spans="326:327">
      <c r="LN12162" t="str">
        <v/>
      </c>
      <c r="LO12162" t="str">
        <v/>
      </c>
    </row>
    <row r="12163" spans="326:327">
      <c r="LN12163" t="str">
        <v/>
      </c>
      <c r="LO12163" t="str">
        <v/>
      </c>
    </row>
    <row r="12164" spans="326:327">
      <c r="LN12164" t="str">
        <v/>
      </c>
      <c r="LO12164" t="str">
        <v/>
      </c>
    </row>
    <row r="12165" spans="326:327">
      <c r="LN12165" t="str">
        <v/>
      </c>
      <c r="LO12165" t="str">
        <v/>
      </c>
    </row>
    <row r="12166" spans="326:327">
      <c r="LN12166" t="str">
        <v/>
      </c>
      <c r="LO12166" t="str">
        <v/>
      </c>
    </row>
    <row r="12167" spans="326:327">
      <c r="LN12167" t="str">
        <v/>
      </c>
      <c r="LO12167" t="str">
        <v/>
      </c>
    </row>
    <row r="12168" spans="326:327">
      <c r="LN12168" t="str">
        <v/>
      </c>
      <c r="LO12168" t="str">
        <v/>
      </c>
    </row>
    <row r="12169" spans="326:327">
      <c r="LN12169" t="str">
        <v/>
      </c>
      <c r="LO12169" t="str">
        <v/>
      </c>
    </row>
    <row r="12170" spans="326:327">
      <c r="LN12170" t="str">
        <v/>
      </c>
      <c r="LO12170" t="str">
        <v/>
      </c>
    </row>
    <row r="12171" spans="326:327">
      <c r="LN12171" t="str">
        <v/>
      </c>
      <c r="LO12171" t="str">
        <v/>
      </c>
    </row>
    <row r="12172" spans="326:327">
      <c r="LN12172" t="str">
        <v/>
      </c>
      <c r="LO12172" t="str">
        <v/>
      </c>
    </row>
    <row r="12173" spans="326:327">
      <c r="LN12173" t="str">
        <v/>
      </c>
      <c r="LO12173" t="str">
        <v/>
      </c>
    </row>
    <row r="12174" spans="326:327">
      <c r="LN12174" t="str">
        <v/>
      </c>
      <c r="LO12174" t="str">
        <v/>
      </c>
    </row>
    <row r="12175" spans="326:327">
      <c r="LN12175" t="str">
        <v/>
      </c>
      <c r="LO12175" t="str">
        <v/>
      </c>
    </row>
    <row r="12176" spans="326:327">
      <c r="LN12176" t="str">
        <v/>
      </c>
      <c r="LO12176" t="str">
        <v/>
      </c>
    </row>
    <row r="12177" spans="326:327">
      <c r="LN12177" t="str">
        <v/>
      </c>
      <c r="LO12177" t="str">
        <v/>
      </c>
    </row>
    <row r="12178" spans="326:327">
      <c r="LN12178" t="str">
        <v/>
      </c>
      <c r="LO12178" t="str">
        <v/>
      </c>
    </row>
    <row r="12179" spans="326:327">
      <c r="LN12179" t="str">
        <v/>
      </c>
      <c r="LO12179" t="str">
        <v/>
      </c>
    </row>
    <row r="12180" spans="326:327">
      <c r="LN12180" t="str">
        <v/>
      </c>
      <c r="LO12180" t="str">
        <v/>
      </c>
    </row>
    <row r="12181" spans="326:327">
      <c r="LN12181" t="str">
        <v/>
      </c>
      <c r="LO12181" t="str">
        <v/>
      </c>
    </row>
    <row r="12182" spans="326:327">
      <c r="LN12182" t="str">
        <v/>
      </c>
      <c r="LO12182" t="str">
        <v/>
      </c>
    </row>
    <row r="12183" spans="326:327">
      <c r="LN12183" t="str">
        <v/>
      </c>
      <c r="LO12183" t="str">
        <v/>
      </c>
    </row>
    <row r="12184" spans="326:327">
      <c r="LN12184" t="str">
        <v/>
      </c>
      <c r="LO12184" t="str">
        <v/>
      </c>
    </row>
    <row r="12185" spans="326:327">
      <c r="LN12185" t="str">
        <v/>
      </c>
      <c r="LO12185" t="str">
        <v/>
      </c>
    </row>
    <row r="12186" spans="326:327">
      <c r="LN12186" t="str">
        <v/>
      </c>
      <c r="LO12186" t="str">
        <v/>
      </c>
    </row>
    <row r="12187" spans="326:327">
      <c r="LN12187" t="str">
        <v/>
      </c>
      <c r="LO12187" t="str">
        <v/>
      </c>
    </row>
    <row r="12188" spans="326:327">
      <c r="LN12188" t="str">
        <v/>
      </c>
      <c r="LO12188" t="str">
        <v/>
      </c>
    </row>
    <row r="12189" spans="326:327">
      <c r="LN12189" t="str">
        <v/>
      </c>
      <c r="LO12189" t="str">
        <v/>
      </c>
    </row>
    <row r="12190" spans="326:327">
      <c r="LN12190" t="str">
        <v/>
      </c>
      <c r="LO12190" t="str">
        <v/>
      </c>
    </row>
    <row r="12191" spans="326:327">
      <c r="LN12191" t="str">
        <v/>
      </c>
      <c r="LO12191" t="str">
        <v/>
      </c>
    </row>
    <row r="12192" spans="326:327">
      <c r="LN12192" t="str">
        <v/>
      </c>
      <c r="LO12192" t="str">
        <v/>
      </c>
    </row>
    <row r="12193" spans="326:327">
      <c r="LN12193" t="str">
        <v/>
      </c>
      <c r="LO12193" t="str">
        <v/>
      </c>
    </row>
    <row r="12194" spans="326:327">
      <c r="LN12194" t="str">
        <v/>
      </c>
      <c r="LO12194" t="str">
        <v/>
      </c>
    </row>
    <row r="12195" spans="326:327">
      <c r="LN12195" t="str">
        <v/>
      </c>
      <c r="LO12195" t="str">
        <v/>
      </c>
    </row>
    <row r="12196" spans="326:327">
      <c r="LN12196" t="str">
        <v/>
      </c>
      <c r="LO12196" t="str">
        <v/>
      </c>
    </row>
    <row r="12197" spans="326:327">
      <c r="LN12197" t="str">
        <v/>
      </c>
      <c r="LO12197" t="str">
        <v/>
      </c>
    </row>
    <row r="12198" spans="326:327">
      <c r="LN12198" t="str">
        <v/>
      </c>
      <c r="LO12198" t="str">
        <v/>
      </c>
    </row>
    <row r="12199" spans="326:327">
      <c r="LN12199" t="str">
        <v/>
      </c>
      <c r="LO12199" t="str">
        <v/>
      </c>
    </row>
    <row r="12200" spans="326:327">
      <c r="LN12200" t="str">
        <v/>
      </c>
      <c r="LO12200" t="str">
        <v/>
      </c>
    </row>
    <row r="12201" spans="326:327">
      <c r="LN12201" t="str">
        <v/>
      </c>
      <c r="LO12201" t="str">
        <v/>
      </c>
    </row>
    <row r="12202" spans="326:327">
      <c r="LN12202" t="str">
        <v/>
      </c>
      <c r="LO12202" t="str">
        <v/>
      </c>
    </row>
    <row r="12203" spans="326:327">
      <c r="LN12203" t="str">
        <v/>
      </c>
      <c r="LO12203" t="str">
        <v/>
      </c>
    </row>
    <row r="12204" spans="326:327">
      <c r="LN12204" t="str">
        <v/>
      </c>
      <c r="LO12204" t="str">
        <v/>
      </c>
    </row>
    <row r="12205" spans="326:327">
      <c r="LN12205" t="str">
        <v/>
      </c>
      <c r="LO12205" t="str">
        <v/>
      </c>
    </row>
    <row r="12206" spans="326:327">
      <c r="LN12206" t="str">
        <v/>
      </c>
      <c r="LO12206" t="str">
        <v/>
      </c>
    </row>
    <row r="12207" spans="326:327">
      <c r="LN12207" t="str">
        <v/>
      </c>
      <c r="LO12207" t="str">
        <v/>
      </c>
    </row>
    <row r="12208" spans="326:327">
      <c r="LN12208" t="str">
        <v/>
      </c>
      <c r="LO12208" t="str">
        <v/>
      </c>
    </row>
    <row r="12209" spans="326:327">
      <c r="LN12209" t="str">
        <v/>
      </c>
      <c r="LO12209" t="str">
        <v/>
      </c>
    </row>
    <row r="12210" spans="326:327">
      <c r="LN12210" t="str">
        <v/>
      </c>
      <c r="LO12210" t="str">
        <v/>
      </c>
    </row>
    <row r="12211" spans="326:327">
      <c r="LN12211" t="str">
        <v/>
      </c>
      <c r="LO12211" t="str">
        <v/>
      </c>
    </row>
    <row r="12212" spans="326:327">
      <c r="LN12212" t="str">
        <v/>
      </c>
      <c r="LO12212" t="str">
        <v/>
      </c>
    </row>
    <row r="12213" spans="326:327">
      <c r="LN12213" t="str">
        <v/>
      </c>
      <c r="LO12213" t="str">
        <v/>
      </c>
    </row>
    <row r="12214" spans="326:327">
      <c r="LN12214" t="str">
        <v/>
      </c>
      <c r="LO12214" t="str">
        <v/>
      </c>
    </row>
    <row r="12215" spans="326:327">
      <c r="LN12215" t="str">
        <v/>
      </c>
      <c r="LO12215" t="str">
        <v/>
      </c>
    </row>
    <row r="12216" spans="326:327">
      <c r="LN12216" t="str">
        <v/>
      </c>
      <c r="LO12216" t="str">
        <v/>
      </c>
    </row>
    <row r="12217" spans="326:327">
      <c r="LN12217" t="str">
        <v/>
      </c>
      <c r="LO12217" t="str">
        <v/>
      </c>
    </row>
    <row r="12218" spans="326:327">
      <c r="LN12218" t="str">
        <v/>
      </c>
      <c r="LO12218" t="str">
        <v/>
      </c>
    </row>
    <row r="12219" spans="326:327">
      <c r="LN12219" t="str">
        <v/>
      </c>
      <c r="LO12219" t="str">
        <v/>
      </c>
    </row>
    <row r="12220" spans="326:327">
      <c r="LN12220" t="str">
        <v/>
      </c>
      <c r="LO12220" t="str">
        <v/>
      </c>
    </row>
    <row r="12221" spans="326:327">
      <c r="LN12221" t="str">
        <v/>
      </c>
      <c r="LO12221" t="str">
        <v/>
      </c>
    </row>
    <row r="12222" spans="326:327">
      <c r="LN12222" t="str">
        <v/>
      </c>
      <c r="LO12222" t="str">
        <v/>
      </c>
    </row>
    <row r="12223" spans="326:327">
      <c r="LN12223" t="str">
        <v/>
      </c>
      <c r="LO12223" t="str">
        <v/>
      </c>
    </row>
    <row r="12224" spans="326:327">
      <c r="LN12224" t="str">
        <v/>
      </c>
      <c r="LO12224" t="str">
        <v/>
      </c>
    </row>
    <row r="12225" spans="326:327">
      <c r="LN12225" t="str">
        <v/>
      </c>
      <c r="LO12225" t="str">
        <v/>
      </c>
    </row>
    <row r="12226" spans="326:327">
      <c r="LN12226" t="str">
        <v/>
      </c>
      <c r="LO12226" t="str">
        <v/>
      </c>
    </row>
    <row r="12227" spans="326:327">
      <c r="LN12227" t="str">
        <v/>
      </c>
      <c r="LO12227" t="str">
        <v/>
      </c>
    </row>
    <row r="12228" spans="326:327">
      <c r="LN12228" t="str">
        <v/>
      </c>
      <c r="LO12228" t="str">
        <v/>
      </c>
    </row>
    <row r="12229" spans="326:327">
      <c r="LN12229" t="str">
        <v/>
      </c>
      <c r="LO12229" t="str">
        <v/>
      </c>
    </row>
    <row r="12230" spans="326:327">
      <c r="LN12230" t="str">
        <v/>
      </c>
      <c r="LO12230" t="str">
        <v/>
      </c>
    </row>
    <row r="12231" spans="326:327">
      <c r="LN12231" t="str">
        <v/>
      </c>
      <c r="LO12231" t="str">
        <v/>
      </c>
    </row>
    <row r="12232" spans="326:327">
      <c r="LN12232" t="str">
        <v/>
      </c>
      <c r="LO12232" t="str">
        <v/>
      </c>
    </row>
    <row r="12233" spans="326:327">
      <c r="LN12233" t="str">
        <v/>
      </c>
      <c r="LO12233" t="str">
        <v/>
      </c>
    </row>
    <row r="12234" spans="326:327">
      <c r="LN12234" t="str">
        <v/>
      </c>
      <c r="LO12234" t="str">
        <v/>
      </c>
    </row>
    <row r="12235" spans="326:327">
      <c r="LN12235" t="str">
        <v/>
      </c>
      <c r="LO12235" t="str">
        <v/>
      </c>
    </row>
    <row r="12236" spans="326:327">
      <c r="LN12236" t="str">
        <v/>
      </c>
      <c r="LO12236" t="str">
        <v/>
      </c>
    </row>
    <row r="12237" spans="326:327">
      <c r="LN12237" t="str">
        <v/>
      </c>
      <c r="LO12237" t="str">
        <v/>
      </c>
    </row>
    <row r="12238" spans="326:327">
      <c r="LN12238" t="str">
        <v/>
      </c>
      <c r="LO12238" t="str">
        <v/>
      </c>
    </row>
    <row r="12239" spans="326:327">
      <c r="LN12239" t="str">
        <v/>
      </c>
      <c r="LO12239" t="str">
        <v/>
      </c>
    </row>
    <row r="12240" spans="326:327">
      <c r="LN12240" t="str">
        <v/>
      </c>
      <c r="LO12240" t="str">
        <v/>
      </c>
    </row>
    <row r="12241" spans="326:327">
      <c r="LN12241" t="str">
        <v/>
      </c>
      <c r="LO12241" t="str">
        <v/>
      </c>
    </row>
    <row r="12242" spans="326:327">
      <c r="LN12242" t="str">
        <v/>
      </c>
      <c r="LO12242" t="str">
        <v/>
      </c>
    </row>
    <row r="12243" spans="326:327">
      <c r="LN12243" t="str">
        <v/>
      </c>
      <c r="LO12243" t="str">
        <v/>
      </c>
    </row>
    <row r="12244" spans="326:327">
      <c r="LN12244" t="str">
        <v/>
      </c>
      <c r="LO12244" t="str">
        <v/>
      </c>
    </row>
    <row r="12245" spans="326:327">
      <c r="LN12245" t="str">
        <v/>
      </c>
      <c r="LO12245" t="str">
        <v/>
      </c>
    </row>
    <row r="12246" spans="326:327">
      <c r="LN12246" t="str">
        <v/>
      </c>
      <c r="LO12246" t="str">
        <v/>
      </c>
    </row>
    <row r="12247" spans="326:327">
      <c r="LN12247" t="str">
        <v/>
      </c>
      <c r="LO12247" t="str">
        <v/>
      </c>
    </row>
    <row r="12248" spans="326:327">
      <c r="LN12248" t="str">
        <v/>
      </c>
      <c r="LO12248" t="str">
        <v/>
      </c>
    </row>
    <row r="12249" spans="326:327">
      <c r="LN12249" t="str">
        <v/>
      </c>
      <c r="LO12249" t="str">
        <v/>
      </c>
    </row>
    <row r="12250" spans="326:327">
      <c r="LN12250" t="str">
        <v/>
      </c>
      <c r="LO12250" t="str">
        <v/>
      </c>
    </row>
    <row r="12251" spans="326:327">
      <c r="LN12251" t="str">
        <v/>
      </c>
      <c r="LO12251" t="str">
        <v/>
      </c>
    </row>
    <row r="12252" spans="326:327">
      <c r="LN12252" t="str">
        <v/>
      </c>
      <c r="LO12252" t="str">
        <v/>
      </c>
    </row>
    <row r="12253" spans="326:327">
      <c r="LN12253" t="str">
        <v/>
      </c>
      <c r="LO12253" t="str">
        <v/>
      </c>
    </row>
    <row r="12254" spans="326:327">
      <c r="LN12254" t="str">
        <v/>
      </c>
      <c r="LO12254" t="str">
        <v/>
      </c>
    </row>
    <row r="12255" spans="326:327">
      <c r="LN12255" t="str">
        <v/>
      </c>
      <c r="LO12255" t="str">
        <v/>
      </c>
    </row>
    <row r="12256" spans="326:327">
      <c r="LN12256" t="str">
        <v/>
      </c>
      <c r="LO12256" t="str">
        <v/>
      </c>
    </row>
    <row r="12257" spans="326:327">
      <c r="LN12257" t="str">
        <v/>
      </c>
      <c r="LO12257" t="str">
        <v/>
      </c>
    </row>
    <row r="12258" spans="326:327">
      <c r="LN12258" t="str">
        <v/>
      </c>
      <c r="LO12258" t="str">
        <v/>
      </c>
    </row>
    <row r="12259" spans="326:327">
      <c r="LN12259" t="str">
        <v/>
      </c>
      <c r="LO12259" t="str">
        <v/>
      </c>
    </row>
    <row r="12260" spans="326:327">
      <c r="LN12260" t="str">
        <v/>
      </c>
      <c r="LO12260" t="str">
        <v/>
      </c>
    </row>
    <row r="12261" spans="326:327">
      <c r="LN12261" t="str">
        <v/>
      </c>
      <c r="LO12261" t="str">
        <v/>
      </c>
    </row>
    <row r="12262" spans="326:327">
      <c r="LN12262" t="str">
        <v/>
      </c>
      <c r="LO12262" t="str">
        <v/>
      </c>
    </row>
    <row r="12263" spans="326:327">
      <c r="LN12263" t="str">
        <v/>
      </c>
      <c r="LO12263" t="str">
        <v/>
      </c>
    </row>
    <row r="12264" spans="326:327">
      <c r="LN12264" t="str">
        <v/>
      </c>
      <c r="LO12264" t="str">
        <v/>
      </c>
    </row>
    <row r="12265" spans="326:327">
      <c r="LN12265" t="str">
        <v/>
      </c>
      <c r="LO12265" t="str">
        <v/>
      </c>
    </row>
    <row r="12266" spans="326:327">
      <c r="LN12266" t="str">
        <v/>
      </c>
      <c r="LO12266" t="str">
        <v/>
      </c>
    </row>
    <row r="12267" spans="326:327">
      <c r="LN12267" t="str">
        <v/>
      </c>
      <c r="LO12267" t="str">
        <v/>
      </c>
    </row>
    <row r="12268" spans="326:327">
      <c r="LN12268" t="str">
        <v/>
      </c>
      <c r="LO12268" t="str">
        <v/>
      </c>
    </row>
    <row r="12269" spans="326:327">
      <c r="LN12269" t="str">
        <v/>
      </c>
      <c r="LO12269" t="str">
        <v/>
      </c>
    </row>
    <row r="12270" spans="326:327">
      <c r="LN12270" t="str">
        <v/>
      </c>
      <c r="LO12270" t="str">
        <v/>
      </c>
    </row>
    <row r="12271" spans="326:327">
      <c r="LN12271" t="str">
        <v/>
      </c>
      <c r="LO12271" t="str">
        <v/>
      </c>
    </row>
    <row r="12272" spans="326:327">
      <c r="LN12272" t="str">
        <v/>
      </c>
      <c r="LO12272" t="str">
        <v/>
      </c>
    </row>
    <row r="12273" spans="326:327">
      <c r="LN12273" t="str">
        <v/>
      </c>
      <c r="LO12273" t="str">
        <v/>
      </c>
    </row>
    <row r="12274" spans="326:327">
      <c r="LN12274" t="str">
        <v/>
      </c>
      <c r="LO12274" t="str">
        <v/>
      </c>
    </row>
    <row r="12275" spans="326:327">
      <c r="LN12275" t="str">
        <v/>
      </c>
      <c r="LO12275" t="str">
        <v/>
      </c>
    </row>
    <row r="12276" spans="326:327">
      <c r="LN12276" t="str">
        <v/>
      </c>
      <c r="LO12276" t="str">
        <v/>
      </c>
    </row>
    <row r="12277" spans="326:327">
      <c r="LN12277" t="str">
        <v/>
      </c>
      <c r="LO12277" t="str">
        <v/>
      </c>
    </row>
    <row r="12278" spans="326:327">
      <c r="LN12278" t="str">
        <v/>
      </c>
      <c r="LO12278" t="str">
        <v/>
      </c>
    </row>
    <row r="12279" spans="326:327">
      <c r="LN12279" t="str">
        <v/>
      </c>
      <c r="LO12279" t="str">
        <v/>
      </c>
    </row>
    <row r="12280" spans="326:327">
      <c r="LN12280" t="str">
        <v/>
      </c>
      <c r="LO12280" t="str">
        <v/>
      </c>
    </row>
    <row r="12281" spans="326:327">
      <c r="LN12281" t="str">
        <v/>
      </c>
      <c r="LO12281" t="str">
        <v/>
      </c>
    </row>
    <row r="12282" spans="326:327">
      <c r="LN12282" t="str">
        <v/>
      </c>
      <c r="LO12282" t="str">
        <v/>
      </c>
    </row>
    <row r="12283" spans="326:327">
      <c r="LN12283" t="str">
        <v/>
      </c>
      <c r="LO12283" t="str">
        <v/>
      </c>
    </row>
    <row r="12284" spans="326:327">
      <c r="LN12284" t="str">
        <v/>
      </c>
      <c r="LO12284" t="str">
        <v/>
      </c>
    </row>
    <row r="12285" spans="326:327">
      <c r="LN12285" t="str">
        <v/>
      </c>
      <c r="LO12285" t="str">
        <v/>
      </c>
    </row>
    <row r="12286" spans="326:327">
      <c r="LN12286" t="str">
        <v/>
      </c>
      <c r="LO12286" t="str">
        <v/>
      </c>
    </row>
    <row r="12287" spans="326:327">
      <c r="LN12287" t="str">
        <v/>
      </c>
      <c r="LO12287" t="str">
        <v/>
      </c>
    </row>
    <row r="12288" spans="326:327">
      <c r="LN12288" t="str">
        <v/>
      </c>
      <c r="LO12288" t="str">
        <v/>
      </c>
    </row>
    <row r="12289" spans="326:327">
      <c r="LN12289" t="str">
        <v/>
      </c>
      <c r="LO12289" t="str">
        <v/>
      </c>
    </row>
    <row r="12290" spans="326:327">
      <c r="LN12290" t="str">
        <v/>
      </c>
      <c r="LO12290" t="str">
        <v/>
      </c>
    </row>
    <row r="12291" spans="326:327">
      <c r="LN12291" t="str">
        <v/>
      </c>
      <c r="LO12291" t="str">
        <v/>
      </c>
    </row>
    <row r="12292" spans="326:327">
      <c r="LN12292" t="str">
        <v/>
      </c>
      <c r="LO12292" t="str">
        <v/>
      </c>
    </row>
    <row r="12293" spans="326:327">
      <c r="LN12293" t="str">
        <v/>
      </c>
      <c r="LO12293" t="str">
        <v/>
      </c>
    </row>
    <row r="12294" spans="326:327">
      <c r="LN12294" t="str">
        <v/>
      </c>
      <c r="LO12294" t="str">
        <v/>
      </c>
    </row>
    <row r="12295" spans="326:327">
      <c r="LN12295" t="str">
        <v/>
      </c>
      <c r="LO12295" t="str">
        <v/>
      </c>
    </row>
    <row r="12296" spans="326:327">
      <c r="LN12296" t="str">
        <v/>
      </c>
      <c r="LO12296" t="str">
        <v/>
      </c>
    </row>
    <row r="12297" spans="326:327">
      <c r="LN12297" t="str">
        <v/>
      </c>
      <c r="LO12297" t="str">
        <v/>
      </c>
    </row>
    <row r="12298" spans="326:327">
      <c r="LN12298" t="str">
        <v/>
      </c>
      <c r="LO12298" t="str">
        <v/>
      </c>
    </row>
    <row r="12299" spans="326:327">
      <c r="LN12299" t="str">
        <v/>
      </c>
      <c r="LO12299" t="str">
        <v/>
      </c>
    </row>
    <row r="12300" spans="326:327">
      <c r="LN12300" t="str">
        <v/>
      </c>
      <c r="LO12300" t="str">
        <v/>
      </c>
    </row>
    <row r="12301" spans="326:327">
      <c r="LN12301" t="str">
        <v/>
      </c>
      <c r="LO12301" t="str">
        <v/>
      </c>
    </row>
    <row r="12302" spans="326:327">
      <c r="LN12302" t="str">
        <v/>
      </c>
      <c r="LO12302" t="str">
        <v/>
      </c>
    </row>
    <row r="12303" spans="326:327">
      <c r="LN12303" t="str">
        <v/>
      </c>
      <c r="LO12303" t="str">
        <v/>
      </c>
    </row>
    <row r="12304" spans="326:327">
      <c r="LN12304" t="str">
        <v/>
      </c>
      <c r="LO12304" t="str">
        <v/>
      </c>
    </row>
    <row r="12305" spans="326:327">
      <c r="LN12305" t="str">
        <v/>
      </c>
      <c r="LO12305" t="str">
        <v/>
      </c>
    </row>
    <row r="12306" spans="326:327">
      <c r="LN12306" t="str">
        <v/>
      </c>
      <c r="LO12306" t="str">
        <v/>
      </c>
    </row>
    <row r="12307" spans="326:327">
      <c r="LN12307" t="str">
        <v/>
      </c>
      <c r="LO12307" t="str">
        <v/>
      </c>
    </row>
    <row r="12308" spans="326:327">
      <c r="LN12308" t="str">
        <v/>
      </c>
      <c r="LO12308" t="str">
        <v/>
      </c>
    </row>
    <row r="12309" spans="326:327">
      <c r="LN12309" t="str">
        <v/>
      </c>
      <c r="LO12309" t="str">
        <v/>
      </c>
    </row>
    <row r="12310" spans="326:327">
      <c r="LN12310" t="str">
        <v/>
      </c>
      <c r="LO12310" t="str">
        <v/>
      </c>
    </row>
    <row r="12311" spans="326:327">
      <c r="LN12311" t="str">
        <v/>
      </c>
      <c r="LO12311" t="str">
        <v/>
      </c>
    </row>
    <row r="12312" spans="326:327">
      <c r="LN12312" t="str">
        <v/>
      </c>
      <c r="LO12312" t="str">
        <v/>
      </c>
    </row>
    <row r="12313" spans="326:327">
      <c r="LN12313" t="str">
        <v/>
      </c>
      <c r="LO12313" t="str">
        <v/>
      </c>
    </row>
    <row r="12314" spans="326:327">
      <c r="LN12314" t="str">
        <v/>
      </c>
      <c r="LO12314" t="str">
        <v/>
      </c>
    </row>
    <row r="12315" spans="326:327">
      <c r="LN12315" t="str">
        <v/>
      </c>
      <c r="LO12315" t="str">
        <v/>
      </c>
    </row>
    <row r="12316" spans="326:327">
      <c r="LN12316" t="str">
        <v/>
      </c>
      <c r="LO12316" t="str">
        <v/>
      </c>
    </row>
    <row r="12317" spans="326:327">
      <c r="LN12317" t="str">
        <v/>
      </c>
      <c r="LO12317" t="str">
        <v/>
      </c>
    </row>
    <row r="12318" spans="326:327">
      <c r="LN12318" t="str">
        <v/>
      </c>
      <c r="LO12318" t="str">
        <v/>
      </c>
    </row>
    <row r="12319" spans="326:327">
      <c r="LN12319" t="str">
        <v/>
      </c>
      <c r="LO12319" t="str">
        <v/>
      </c>
    </row>
    <row r="12320" spans="326:327">
      <c r="LN12320" t="str">
        <v/>
      </c>
      <c r="LO12320" t="str">
        <v/>
      </c>
    </row>
    <row r="12321" spans="326:327">
      <c r="LN12321" t="str">
        <v/>
      </c>
      <c r="LO12321" t="str">
        <v/>
      </c>
    </row>
    <row r="12322" spans="326:327">
      <c r="LN12322" t="str">
        <v/>
      </c>
      <c r="LO12322" t="str">
        <v/>
      </c>
    </row>
    <row r="12323" spans="326:327">
      <c r="LN12323" t="str">
        <v/>
      </c>
      <c r="LO12323" t="str">
        <v/>
      </c>
    </row>
    <row r="12324" spans="326:327">
      <c r="LN12324" t="str">
        <v/>
      </c>
      <c r="LO12324" t="str">
        <v/>
      </c>
    </row>
    <row r="12325" spans="326:327">
      <c r="LN12325" t="str">
        <v/>
      </c>
      <c r="LO12325" t="str">
        <v/>
      </c>
    </row>
    <row r="12326" spans="326:327">
      <c r="LN12326" t="str">
        <v/>
      </c>
      <c r="LO12326" t="str">
        <v/>
      </c>
    </row>
    <row r="12327" spans="326:327">
      <c r="LN12327" t="str">
        <v/>
      </c>
      <c r="LO12327" t="str">
        <v/>
      </c>
    </row>
    <row r="12328" spans="326:327">
      <c r="LN12328" t="str">
        <v/>
      </c>
      <c r="LO12328" t="str">
        <v/>
      </c>
    </row>
    <row r="12329" spans="326:327">
      <c r="LN12329" t="str">
        <v/>
      </c>
      <c r="LO12329" t="str">
        <v/>
      </c>
    </row>
    <row r="12330" spans="326:327">
      <c r="LN12330" t="str">
        <v/>
      </c>
      <c r="LO12330" t="str">
        <v/>
      </c>
    </row>
    <row r="12331" spans="326:327">
      <c r="LN12331" t="str">
        <v/>
      </c>
      <c r="LO12331" t="str">
        <v/>
      </c>
    </row>
    <row r="12332" spans="326:327">
      <c r="LN12332" t="str">
        <v/>
      </c>
      <c r="LO12332" t="str">
        <v/>
      </c>
    </row>
    <row r="12333" spans="326:327">
      <c r="LN12333" t="str">
        <v/>
      </c>
      <c r="LO12333" t="str">
        <v/>
      </c>
    </row>
    <row r="12334" spans="326:327">
      <c r="LN12334" t="str">
        <v/>
      </c>
      <c r="LO12334" t="str">
        <v/>
      </c>
    </row>
    <row r="12335" spans="326:327">
      <c r="LN12335" t="str">
        <v/>
      </c>
      <c r="LO12335" t="str">
        <v/>
      </c>
    </row>
    <row r="12336" spans="326:327">
      <c r="LN12336" t="str">
        <v/>
      </c>
      <c r="LO12336" t="str">
        <v/>
      </c>
    </row>
    <row r="12337" spans="326:327">
      <c r="LN12337" t="str">
        <v/>
      </c>
      <c r="LO12337" t="str">
        <v/>
      </c>
    </row>
    <row r="12338" spans="326:327">
      <c r="LN12338" t="str">
        <v/>
      </c>
      <c r="LO12338" t="str">
        <v/>
      </c>
    </row>
    <row r="12339" spans="326:327">
      <c r="LN12339" t="str">
        <v/>
      </c>
      <c r="LO12339" t="str">
        <v/>
      </c>
    </row>
    <row r="12340" spans="326:327">
      <c r="LN12340" t="str">
        <v/>
      </c>
      <c r="LO12340" t="str">
        <v/>
      </c>
    </row>
    <row r="12341" spans="326:327">
      <c r="LN12341" t="str">
        <v/>
      </c>
      <c r="LO12341" t="str">
        <v/>
      </c>
    </row>
    <row r="12342" spans="326:327">
      <c r="LN12342" t="str">
        <v/>
      </c>
      <c r="LO12342" t="str">
        <v/>
      </c>
    </row>
    <row r="12343" spans="326:327">
      <c r="LN12343" t="str">
        <v/>
      </c>
      <c r="LO12343" t="str">
        <v/>
      </c>
    </row>
    <row r="12344" spans="326:327">
      <c r="LN12344" t="str">
        <v/>
      </c>
      <c r="LO12344" t="str">
        <v/>
      </c>
    </row>
    <row r="12345" spans="326:327">
      <c r="LN12345" t="str">
        <v/>
      </c>
      <c r="LO12345" t="str">
        <v/>
      </c>
    </row>
    <row r="12346" spans="326:327">
      <c r="LN12346" t="str">
        <v/>
      </c>
      <c r="LO12346" t="str">
        <v/>
      </c>
    </row>
    <row r="12347" spans="326:327">
      <c r="LN12347" t="str">
        <v/>
      </c>
      <c r="LO12347" t="str">
        <v/>
      </c>
    </row>
    <row r="12348" spans="326:327">
      <c r="LN12348" t="str">
        <v/>
      </c>
      <c r="LO12348" t="str">
        <v/>
      </c>
    </row>
    <row r="12349" spans="326:327">
      <c r="LN12349" t="str">
        <v/>
      </c>
      <c r="LO12349" t="str">
        <v/>
      </c>
    </row>
    <row r="12350" spans="326:327">
      <c r="LN12350" t="str">
        <v/>
      </c>
      <c r="LO12350" t="str">
        <v/>
      </c>
    </row>
    <row r="12351" spans="326:327">
      <c r="LN12351" t="str">
        <v/>
      </c>
      <c r="LO12351" t="str">
        <v/>
      </c>
    </row>
    <row r="12352" spans="326:327">
      <c r="LN12352" t="str">
        <v/>
      </c>
      <c r="LO12352" t="str">
        <v/>
      </c>
    </row>
    <row r="12353" spans="326:327">
      <c r="LN12353" t="str">
        <v/>
      </c>
      <c r="LO12353" t="str">
        <v/>
      </c>
    </row>
    <row r="12354" spans="326:327">
      <c r="LN12354" t="str">
        <v/>
      </c>
      <c r="LO12354" t="str">
        <v/>
      </c>
    </row>
    <row r="12355" spans="326:327">
      <c r="LN12355" t="str">
        <v/>
      </c>
      <c r="LO12355" t="str">
        <v/>
      </c>
    </row>
    <row r="12356" spans="326:327">
      <c r="LN12356" t="str">
        <v/>
      </c>
      <c r="LO12356" t="str">
        <v/>
      </c>
    </row>
    <row r="12357" spans="326:327">
      <c r="LN12357" t="str">
        <v/>
      </c>
      <c r="LO12357" t="str">
        <v/>
      </c>
    </row>
    <row r="12358" spans="326:327">
      <c r="LN12358" t="str">
        <v/>
      </c>
      <c r="LO12358" t="str">
        <v/>
      </c>
    </row>
    <row r="12359" spans="326:327">
      <c r="LN12359" t="str">
        <v/>
      </c>
      <c r="LO12359" t="str">
        <v/>
      </c>
    </row>
    <row r="12360" spans="326:327">
      <c r="LN12360" t="str">
        <v/>
      </c>
      <c r="LO12360" t="str">
        <v/>
      </c>
    </row>
    <row r="12361" spans="326:327">
      <c r="LN12361" t="str">
        <v/>
      </c>
      <c r="LO12361" t="str">
        <v/>
      </c>
    </row>
    <row r="12362" spans="326:327">
      <c r="LN12362" t="str">
        <v/>
      </c>
      <c r="LO12362" t="str">
        <v/>
      </c>
    </row>
    <row r="12363" spans="326:327">
      <c r="LN12363" t="str">
        <v/>
      </c>
      <c r="LO12363" t="str">
        <v/>
      </c>
    </row>
    <row r="12364" spans="326:327">
      <c r="LN12364" t="str">
        <v/>
      </c>
      <c r="LO12364" t="str">
        <v/>
      </c>
    </row>
    <row r="12365" spans="326:327">
      <c r="LN12365" t="str">
        <v/>
      </c>
      <c r="LO12365" t="str">
        <v/>
      </c>
    </row>
    <row r="12366" spans="326:327">
      <c r="LN12366" t="str">
        <v/>
      </c>
      <c r="LO12366" t="str">
        <v/>
      </c>
    </row>
    <row r="12367" spans="326:327">
      <c r="LN12367" t="str">
        <v/>
      </c>
      <c r="LO12367" t="str">
        <v/>
      </c>
    </row>
    <row r="12368" spans="326:327">
      <c r="LN12368" t="str">
        <v/>
      </c>
      <c r="LO12368" t="str">
        <v/>
      </c>
    </row>
    <row r="12369" spans="326:327">
      <c r="LN12369" t="str">
        <v/>
      </c>
      <c r="LO12369" t="str">
        <v/>
      </c>
    </row>
    <row r="12370" spans="326:327">
      <c r="LN12370" t="str">
        <v/>
      </c>
      <c r="LO12370" t="str">
        <v/>
      </c>
    </row>
    <row r="12371" spans="326:327">
      <c r="LN12371" t="str">
        <v/>
      </c>
      <c r="LO12371" t="str">
        <v/>
      </c>
    </row>
    <row r="12372" spans="326:327">
      <c r="LN12372" t="str">
        <v/>
      </c>
      <c r="LO12372" t="str">
        <v/>
      </c>
    </row>
    <row r="12373" spans="326:327">
      <c r="LN12373" t="str">
        <v/>
      </c>
      <c r="LO12373" t="str">
        <v/>
      </c>
    </row>
    <row r="12374" spans="326:327">
      <c r="LN12374" t="str">
        <v/>
      </c>
      <c r="LO12374" t="str">
        <v/>
      </c>
    </row>
    <row r="12375" spans="326:327">
      <c r="LN12375" t="str">
        <v/>
      </c>
      <c r="LO12375" t="str">
        <v/>
      </c>
    </row>
    <row r="12376" spans="326:327">
      <c r="LN12376" t="str">
        <v/>
      </c>
      <c r="LO12376" t="str">
        <v/>
      </c>
    </row>
    <row r="12377" spans="326:327">
      <c r="LN12377" t="str">
        <v/>
      </c>
      <c r="LO12377" t="str">
        <v/>
      </c>
    </row>
    <row r="12378" spans="326:327">
      <c r="LN12378" t="str">
        <v/>
      </c>
      <c r="LO12378" t="str">
        <v/>
      </c>
    </row>
    <row r="12379" spans="326:327">
      <c r="LN12379" t="str">
        <v/>
      </c>
      <c r="LO12379" t="str">
        <v/>
      </c>
    </row>
    <row r="12380" spans="326:327">
      <c r="LN12380" t="str">
        <v/>
      </c>
      <c r="LO12380" t="str">
        <v/>
      </c>
    </row>
    <row r="12381" spans="326:327">
      <c r="LN12381" t="str">
        <v/>
      </c>
      <c r="LO12381" t="str">
        <v/>
      </c>
    </row>
    <row r="12382" spans="326:327">
      <c r="LN12382" t="str">
        <v/>
      </c>
      <c r="LO12382" t="str">
        <v/>
      </c>
    </row>
    <row r="12383" spans="326:327">
      <c r="LN12383" t="str">
        <v/>
      </c>
      <c r="LO12383" t="str">
        <v/>
      </c>
    </row>
    <row r="12384" spans="326:327">
      <c r="LN12384" t="str">
        <v/>
      </c>
      <c r="LO12384" t="str">
        <v/>
      </c>
    </row>
    <row r="12385" spans="326:327">
      <c r="LN12385" t="str">
        <v/>
      </c>
      <c r="LO12385" t="str">
        <v/>
      </c>
    </row>
    <row r="12386" spans="326:327">
      <c r="LN12386" t="str">
        <v/>
      </c>
      <c r="LO12386" t="str">
        <v/>
      </c>
    </row>
    <row r="12387" spans="326:327">
      <c r="LN12387" t="str">
        <v/>
      </c>
      <c r="LO12387" t="str">
        <v/>
      </c>
    </row>
    <row r="12388" spans="326:327">
      <c r="LN12388" t="str">
        <v/>
      </c>
      <c r="LO12388" t="str">
        <v/>
      </c>
    </row>
    <row r="12389" spans="326:327">
      <c r="LN12389" t="str">
        <v/>
      </c>
      <c r="LO12389" t="str">
        <v/>
      </c>
    </row>
    <row r="12390" spans="326:327">
      <c r="LN12390" t="str">
        <v/>
      </c>
      <c r="LO12390" t="str">
        <v/>
      </c>
    </row>
    <row r="12391" spans="326:327">
      <c r="LN12391" t="str">
        <v/>
      </c>
      <c r="LO12391" t="str">
        <v/>
      </c>
    </row>
    <row r="12392" spans="326:327">
      <c r="LN12392" t="str">
        <v/>
      </c>
      <c r="LO12392" t="str">
        <v/>
      </c>
    </row>
    <row r="12393" spans="326:327">
      <c r="LN12393" t="str">
        <v/>
      </c>
      <c r="LO12393" t="str">
        <v/>
      </c>
    </row>
    <row r="12394" spans="326:327">
      <c r="LN12394" t="str">
        <v/>
      </c>
      <c r="LO12394" t="str">
        <v/>
      </c>
    </row>
    <row r="12395" spans="326:327">
      <c r="LN12395" t="str">
        <v/>
      </c>
      <c r="LO12395" t="str">
        <v/>
      </c>
    </row>
    <row r="12396" spans="326:327">
      <c r="LN12396" t="str">
        <v/>
      </c>
      <c r="LO12396" t="str">
        <v/>
      </c>
    </row>
    <row r="12397" spans="326:327">
      <c r="LN12397" t="str">
        <v/>
      </c>
      <c r="LO12397" t="str">
        <v/>
      </c>
    </row>
    <row r="12398" spans="326:327">
      <c r="LN12398" t="str">
        <v/>
      </c>
      <c r="LO12398" t="str">
        <v/>
      </c>
    </row>
    <row r="12399" spans="326:327">
      <c r="LN12399" t="str">
        <v/>
      </c>
      <c r="LO12399" t="str">
        <v/>
      </c>
    </row>
    <row r="12400" spans="326:327">
      <c r="LN12400" t="str">
        <v/>
      </c>
      <c r="LO12400" t="str">
        <v/>
      </c>
    </row>
    <row r="12401" spans="326:327">
      <c r="LN12401" t="str">
        <v/>
      </c>
      <c r="LO12401" t="str">
        <v/>
      </c>
    </row>
    <row r="12402" spans="326:327">
      <c r="LN12402" t="str">
        <v/>
      </c>
      <c r="LO12402" t="str">
        <v/>
      </c>
    </row>
    <row r="12403" spans="326:327">
      <c r="LN12403" t="str">
        <v/>
      </c>
      <c r="LO12403" t="str">
        <v/>
      </c>
    </row>
    <row r="12404" spans="326:327">
      <c r="LN12404" t="str">
        <v/>
      </c>
      <c r="LO12404" t="str">
        <v/>
      </c>
    </row>
    <row r="12405" spans="326:327">
      <c r="LN12405" t="str">
        <v/>
      </c>
      <c r="LO12405" t="str">
        <v/>
      </c>
    </row>
    <row r="12406" spans="326:327">
      <c r="LN12406" t="str">
        <v/>
      </c>
      <c r="LO12406" t="str">
        <v/>
      </c>
    </row>
    <row r="12407" spans="326:327">
      <c r="LN12407" t="str">
        <v/>
      </c>
      <c r="LO12407" t="str">
        <v/>
      </c>
    </row>
    <row r="12408" spans="326:327">
      <c r="LN12408" t="str">
        <v/>
      </c>
      <c r="LO12408" t="str">
        <v/>
      </c>
    </row>
    <row r="12409" spans="326:327">
      <c r="LN12409" t="str">
        <v/>
      </c>
      <c r="LO12409" t="str">
        <v/>
      </c>
    </row>
    <row r="12410" spans="326:327">
      <c r="LN12410" t="str">
        <v/>
      </c>
      <c r="LO12410" t="str">
        <v/>
      </c>
    </row>
    <row r="12411" spans="326:327">
      <c r="LN12411" t="str">
        <v/>
      </c>
      <c r="LO12411" t="str">
        <v/>
      </c>
    </row>
    <row r="12412" spans="326:327">
      <c r="LN12412" t="str">
        <v/>
      </c>
      <c r="LO12412" t="str">
        <v/>
      </c>
    </row>
    <row r="12413" spans="326:327">
      <c r="LN12413" t="str">
        <v/>
      </c>
      <c r="LO12413" t="str">
        <v/>
      </c>
    </row>
    <row r="12414" spans="326:327">
      <c r="LN12414" t="str">
        <v/>
      </c>
      <c r="LO12414" t="str">
        <v/>
      </c>
    </row>
    <row r="12415" spans="326:327">
      <c r="LN12415" t="str">
        <v/>
      </c>
      <c r="LO12415" t="str">
        <v/>
      </c>
    </row>
    <row r="12416" spans="326:327">
      <c r="LN12416" t="str">
        <v/>
      </c>
      <c r="LO12416" t="str">
        <v/>
      </c>
    </row>
    <row r="12417" spans="326:327">
      <c r="LN12417" t="str">
        <v/>
      </c>
      <c r="LO12417" t="str">
        <v/>
      </c>
    </row>
    <row r="12418" spans="326:327">
      <c r="LN12418" t="str">
        <v/>
      </c>
      <c r="LO12418" t="str">
        <v/>
      </c>
    </row>
    <row r="12419" spans="326:327">
      <c r="LN12419" t="str">
        <v/>
      </c>
      <c r="LO12419" t="str">
        <v/>
      </c>
    </row>
    <row r="12420" spans="326:327">
      <c r="LN12420" t="str">
        <v/>
      </c>
      <c r="LO12420" t="str">
        <v/>
      </c>
    </row>
    <row r="12421" spans="326:327">
      <c r="LN12421" t="str">
        <v/>
      </c>
      <c r="LO12421" t="str">
        <v/>
      </c>
    </row>
    <row r="12422" spans="326:327">
      <c r="LN12422" t="str">
        <v/>
      </c>
      <c r="LO12422" t="str">
        <v/>
      </c>
    </row>
    <row r="12423" spans="326:327">
      <c r="LN12423" t="str">
        <v/>
      </c>
      <c r="LO12423" t="str">
        <v/>
      </c>
    </row>
    <row r="12424" spans="326:327">
      <c r="LN12424" t="str">
        <v/>
      </c>
      <c r="LO12424" t="str">
        <v/>
      </c>
    </row>
    <row r="12425" spans="326:327">
      <c r="LN12425" t="str">
        <v/>
      </c>
      <c r="LO12425" t="str">
        <v/>
      </c>
    </row>
    <row r="12426" spans="326:327">
      <c r="LN12426" t="str">
        <v/>
      </c>
      <c r="LO12426" t="str">
        <v/>
      </c>
    </row>
    <row r="12427" spans="326:327">
      <c r="LN12427" t="str">
        <v/>
      </c>
      <c r="LO12427" t="str">
        <v/>
      </c>
    </row>
    <row r="12428" spans="326:327">
      <c r="LN12428" t="str">
        <v/>
      </c>
      <c r="LO12428" t="str">
        <v/>
      </c>
    </row>
    <row r="12429" spans="326:327">
      <c r="LN12429" t="str">
        <v/>
      </c>
      <c r="LO12429" t="str">
        <v/>
      </c>
    </row>
    <row r="12430" spans="326:327">
      <c r="LN12430" t="str">
        <v/>
      </c>
      <c r="LO12430" t="str">
        <v/>
      </c>
    </row>
    <row r="12431" spans="326:327">
      <c r="LN12431" t="str">
        <v/>
      </c>
      <c r="LO12431" t="str">
        <v/>
      </c>
    </row>
    <row r="12432" spans="326:327">
      <c r="LN12432" t="str">
        <v/>
      </c>
      <c r="LO12432" t="str">
        <v/>
      </c>
    </row>
    <row r="12433" spans="326:327">
      <c r="LN12433" t="str">
        <v/>
      </c>
      <c r="LO12433" t="str">
        <v/>
      </c>
    </row>
    <row r="12434" spans="326:327">
      <c r="LN12434" t="str">
        <v/>
      </c>
      <c r="LO12434" t="str">
        <v/>
      </c>
    </row>
    <row r="12435" spans="326:327">
      <c r="LN12435" t="str">
        <v/>
      </c>
      <c r="LO12435" t="str">
        <v/>
      </c>
    </row>
    <row r="12436" spans="326:327">
      <c r="LN12436" t="str">
        <v/>
      </c>
      <c r="LO12436" t="str">
        <v/>
      </c>
    </row>
    <row r="12437" spans="326:327">
      <c r="LN12437" t="str">
        <v/>
      </c>
      <c r="LO12437" t="str">
        <v/>
      </c>
    </row>
    <row r="12438" spans="326:327">
      <c r="LN12438" t="str">
        <v/>
      </c>
      <c r="LO12438" t="str">
        <v/>
      </c>
    </row>
    <row r="12439" spans="326:327">
      <c r="LN12439" t="str">
        <v/>
      </c>
      <c r="LO12439" t="str">
        <v/>
      </c>
    </row>
    <row r="12440" spans="326:327">
      <c r="LN12440" t="str">
        <v/>
      </c>
      <c r="LO12440" t="str">
        <v/>
      </c>
    </row>
    <row r="12441" spans="326:327">
      <c r="LN12441" t="str">
        <v/>
      </c>
      <c r="LO12441" t="str">
        <v/>
      </c>
    </row>
    <row r="12442" spans="326:327">
      <c r="LN12442" t="str">
        <v/>
      </c>
      <c r="LO12442" t="str">
        <v/>
      </c>
    </row>
    <row r="12443" spans="326:327">
      <c r="LN12443" t="str">
        <v/>
      </c>
      <c r="LO12443" t="str">
        <v/>
      </c>
    </row>
    <row r="12444" spans="326:327">
      <c r="LN12444" t="str">
        <v/>
      </c>
      <c r="LO12444" t="str">
        <v/>
      </c>
    </row>
    <row r="12445" spans="326:327">
      <c r="LN12445" t="str">
        <v/>
      </c>
      <c r="LO12445" t="str">
        <v/>
      </c>
    </row>
    <row r="12446" spans="326:327">
      <c r="LN12446" t="str">
        <v/>
      </c>
      <c r="LO12446" t="str">
        <v/>
      </c>
    </row>
    <row r="12447" spans="326:327">
      <c r="LN12447" t="str">
        <v/>
      </c>
      <c r="LO12447" t="str">
        <v/>
      </c>
    </row>
    <row r="12448" spans="326:327">
      <c r="LN12448" t="str">
        <v/>
      </c>
      <c r="LO12448" t="str">
        <v/>
      </c>
    </row>
    <row r="12449" spans="326:327">
      <c r="LN12449" t="str">
        <v/>
      </c>
      <c r="LO12449" t="str">
        <v/>
      </c>
    </row>
    <row r="12450" spans="326:327">
      <c r="LN12450" t="str">
        <v/>
      </c>
      <c r="LO12450" t="str">
        <v/>
      </c>
    </row>
    <row r="12451" spans="326:327">
      <c r="LN12451" t="str">
        <v/>
      </c>
      <c r="LO12451" t="str">
        <v/>
      </c>
    </row>
    <row r="12452" spans="326:327">
      <c r="LN12452" t="str">
        <v/>
      </c>
      <c r="LO12452" t="str">
        <v/>
      </c>
    </row>
    <row r="12453" spans="326:327">
      <c r="LN12453" t="str">
        <v/>
      </c>
      <c r="LO12453" t="str">
        <v/>
      </c>
    </row>
    <row r="12454" spans="326:327">
      <c r="LN12454" t="str">
        <v/>
      </c>
      <c r="LO12454" t="str">
        <v/>
      </c>
    </row>
    <row r="12455" spans="326:327">
      <c r="LN12455" t="str">
        <v/>
      </c>
      <c r="LO12455" t="str">
        <v/>
      </c>
    </row>
    <row r="12456" spans="326:327">
      <c r="LN12456" t="str">
        <v/>
      </c>
      <c r="LO12456" t="str">
        <v/>
      </c>
    </row>
    <row r="12457" spans="326:327">
      <c r="LN12457" t="str">
        <v/>
      </c>
      <c r="LO12457" t="str">
        <v/>
      </c>
    </row>
    <row r="12458" spans="326:327">
      <c r="LN12458" t="str">
        <v/>
      </c>
      <c r="LO12458" t="str">
        <v/>
      </c>
    </row>
    <row r="12459" spans="326:327">
      <c r="LN12459" t="str">
        <v/>
      </c>
      <c r="LO12459" t="str">
        <v/>
      </c>
    </row>
    <row r="12460" spans="326:327">
      <c r="LN12460" t="str">
        <v/>
      </c>
      <c r="LO12460" t="str">
        <v/>
      </c>
    </row>
    <row r="12461" spans="326:327">
      <c r="LN12461" t="str">
        <v/>
      </c>
      <c r="LO12461" t="str">
        <v/>
      </c>
    </row>
    <row r="12462" spans="326:327">
      <c r="LN12462" t="str">
        <v/>
      </c>
      <c r="LO12462" t="str">
        <v/>
      </c>
    </row>
    <row r="12463" spans="326:327">
      <c r="LN12463" t="str">
        <v/>
      </c>
      <c r="LO12463" t="str">
        <v/>
      </c>
    </row>
    <row r="12464" spans="326:327">
      <c r="LN12464" t="str">
        <v/>
      </c>
      <c r="LO12464" t="str">
        <v/>
      </c>
    </row>
    <row r="12465" spans="326:327">
      <c r="LN12465" t="str">
        <v/>
      </c>
      <c r="LO12465" t="str">
        <v/>
      </c>
    </row>
    <row r="12466" spans="326:327">
      <c r="LN12466" t="str">
        <v/>
      </c>
      <c r="LO12466" t="str">
        <v/>
      </c>
    </row>
    <row r="12467" spans="326:327">
      <c r="LN12467" t="str">
        <v/>
      </c>
      <c r="LO12467" t="str">
        <v/>
      </c>
    </row>
    <row r="12468" spans="326:327">
      <c r="LN12468" t="str">
        <v/>
      </c>
      <c r="LO12468" t="str">
        <v/>
      </c>
    </row>
    <row r="12469" spans="326:327">
      <c r="LN12469" t="str">
        <v/>
      </c>
      <c r="LO12469" t="str">
        <v/>
      </c>
    </row>
    <row r="12470" spans="326:327">
      <c r="LN12470" t="str">
        <v/>
      </c>
      <c r="LO12470" t="str">
        <v/>
      </c>
    </row>
    <row r="12471" spans="326:327">
      <c r="LN12471" t="str">
        <v/>
      </c>
      <c r="LO12471" t="str">
        <v/>
      </c>
    </row>
    <row r="12472" spans="326:327">
      <c r="LN12472" t="str">
        <v/>
      </c>
      <c r="LO12472" t="str">
        <v/>
      </c>
    </row>
    <row r="12473" spans="326:327">
      <c r="LN12473" t="str">
        <v/>
      </c>
      <c r="LO12473" t="str">
        <v/>
      </c>
    </row>
    <row r="12474" spans="326:327">
      <c r="LN12474" t="str">
        <v/>
      </c>
      <c r="LO12474" t="str">
        <v/>
      </c>
    </row>
    <row r="12475" spans="326:327">
      <c r="LN12475" t="str">
        <v/>
      </c>
      <c r="LO12475" t="str">
        <v/>
      </c>
    </row>
    <row r="12476" spans="326:327">
      <c r="LN12476" t="str">
        <v/>
      </c>
      <c r="LO12476" t="str">
        <v/>
      </c>
    </row>
    <row r="12477" spans="326:327">
      <c r="LN12477" t="str">
        <v/>
      </c>
      <c r="LO12477" t="str">
        <v/>
      </c>
    </row>
    <row r="12478" spans="326:327">
      <c r="LN12478" t="str">
        <v/>
      </c>
      <c r="LO12478" t="str">
        <v/>
      </c>
    </row>
    <row r="12479" spans="326:327">
      <c r="LN12479" t="str">
        <v/>
      </c>
      <c r="LO12479" t="str">
        <v/>
      </c>
    </row>
    <row r="12480" spans="326:327">
      <c r="LN12480" t="str">
        <v/>
      </c>
      <c r="LO12480" t="str">
        <v/>
      </c>
    </row>
    <row r="12481" spans="326:327">
      <c r="LN12481" t="str">
        <v/>
      </c>
      <c r="LO12481" t="str">
        <v/>
      </c>
    </row>
    <row r="12482" spans="326:327">
      <c r="LN12482" t="str">
        <v/>
      </c>
      <c r="LO12482" t="str">
        <v/>
      </c>
    </row>
    <row r="12483" spans="326:327">
      <c r="LN12483" t="str">
        <v/>
      </c>
      <c r="LO12483" t="str">
        <v/>
      </c>
    </row>
    <row r="12484" spans="326:327">
      <c r="LN12484" t="str">
        <v/>
      </c>
      <c r="LO12484" t="str">
        <v/>
      </c>
    </row>
    <row r="12485" spans="326:327">
      <c r="LN12485" t="str">
        <v/>
      </c>
      <c r="LO12485" t="str">
        <v/>
      </c>
    </row>
    <row r="12486" spans="326:327">
      <c r="LN12486" t="str">
        <v/>
      </c>
      <c r="LO12486" t="str">
        <v/>
      </c>
    </row>
    <row r="12487" spans="326:327">
      <c r="LN12487" t="str">
        <v/>
      </c>
      <c r="LO12487" t="str">
        <v/>
      </c>
    </row>
    <row r="12488" spans="326:327">
      <c r="LN12488" t="str">
        <v/>
      </c>
      <c r="LO12488" t="str">
        <v/>
      </c>
    </row>
    <row r="12489" spans="326:327">
      <c r="LN12489" t="str">
        <v/>
      </c>
      <c r="LO12489" t="str">
        <v/>
      </c>
    </row>
    <row r="12490" spans="326:327">
      <c r="LN12490" t="str">
        <v/>
      </c>
      <c r="LO12490" t="str">
        <v/>
      </c>
    </row>
    <row r="12491" spans="326:327">
      <c r="LN12491" t="str">
        <v/>
      </c>
      <c r="LO12491" t="str">
        <v/>
      </c>
    </row>
    <row r="12492" spans="326:327">
      <c r="LN12492" t="str">
        <v/>
      </c>
      <c r="LO12492" t="str">
        <v/>
      </c>
    </row>
    <row r="12493" spans="326:327">
      <c r="LN12493" t="str">
        <v/>
      </c>
      <c r="LO12493" t="str">
        <v/>
      </c>
    </row>
    <row r="12494" spans="326:327">
      <c r="LN12494" t="str">
        <v/>
      </c>
      <c r="LO12494" t="str">
        <v/>
      </c>
    </row>
    <row r="12495" spans="326:327">
      <c r="LN12495" t="str">
        <v/>
      </c>
      <c r="LO12495" t="str">
        <v/>
      </c>
    </row>
    <row r="12496" spans="326:327">
      <c r="LN12496" t="str">
        <v/>
      </c>
      <c r="LO12496" t="str">
        <v/>
      </c>
    </row>
    <row r="12497" spans="326:327">
      <c r="LN12497" t="str">
        <v/>
      </c>
      <c r="LO12497" t="str">
        <v/>
      </c>
    </row>
    <row r="12498" spans="326:327">
      <c r="LN12498" t="str">
        <v/>
      </c>
      <c r="LO12498" t="str">
        <v/>
      </c>
    </row>
    <row r="12499" spans="326:327">
      <c r="LN12499" t="str">
        <v/>
      </c>
      <c r="LO12499" t="str">
        <v/>
      </c>
    </row>
    <row r="12500" spans="326:327">
      <c r="LN12500" t="str">
        <v/>
      </c>
      <c r="LO12500" t="str">
        <v/>
      </c>
    </row>
    <row r="12501" spans="326:327">
      <c r="LN12501" t="str">
        <v/>
      </c>
      <c r="LO12501" t="str">
        <v/>
      </c>
    </row>
    <row r="12502" spans="326:327">
      <c r="LN12502" t="str">
        <v/>
      </c>
      <c r="LO12502" t="str">
        <v/>
      </c>
    </row>
    <row r="12503" spans="326:327">
      <c r="LN12503" t="str">
        <v/>
      </c>
      <c r="LO12503" t="str">
        <v/>
      </c>
    </row>
    <row r="12504" spans="326:327">
      <c r="LN12504" t="str">
        <v/>
      </c>
      <c r="LO12504" t="str">
        <v/>
      </c>
    </row>
    <row r="12505" spans="326:327">
      <c r="LN12505" t="str">
        <v/>
      </c>
      <c r="LO12505" t="str">
        <v/>
      </c>
    </row>
    <row r="12506" spans="326:327">
      <c r="LN12506" t="str">
        <v/>
      </c>
      <c r="LO12506" t="str">
        <v/>
      </c>
    </row>
    <row r="12507" spans="326:327">
      <c r="LN12507" t="str">
        <v/>
      </c>
      <c r="LO12507" t="str">
        <v/>
      </c>
    </row>
    <row r="12508" spans="326:327">
      <c r="LN12508" t="str">
        <v/>
      </c>
      <c r="LO12508" t="str">
        <v/>
      </c>
    </row>
    <row r="12509" spans="326:327">
      <c r="LN12509" t="str">
        <v/>
      </c>
      <c r="LO12509" t="str">
        <v/>
      </c>
    </row>
    <row r="12510" spans="326:327">
      <c r="LN12510" t="str">
        <v/>
      </c>
      <c r="LO12510" t="str">
        <v/>
      </c>
    </row>
    <row r="12511" spans="326:327">
      <c r="LN12511" t="str">
        <v/>
      </c>
      <c r="LO12511" t="str">
        <v/>
      </c>
    </row>
    <row r="12512" spans="326:327">
      <c r="LN12512" t="str">
        <v/>
      </c>
      <c r="LO12512" t="str">
        <v/>
      </c>
    </row>
    <row r="12513" spans="326:327">
      <c r="LN12513" t="str">
        <v/>
      </c>
      <c r="LO12513" t="str">
        <v/>
      </c>
    </row>
    <row r="12514" spans="326:327">
      <c r="LN12514" t="str">
        <v/>
      </c>
      <c r="LO12514" t="str">
        <v/>
      </c>
    </row>
    <row r="12515" spans="326:327">
      <c r="LN12515" t="str">
        <v/>
      </c>
      <c r="LO12515" t="str">
        <v/>
      </c>
    </row>
    <row r="12516" spans="326:327">
      <c r="LN12516" t="str">
        <v/>
      </c>
      <c r="LO12516" t="str">
        <v/>
      </c>
    </row>
    <row r="12517" spans="326:327">
      <c r="LN12517" t="str">
        <v/>
      </c>
      <c r="LO12517" t="str">
        <v/>
      </c>
    </row>
    <row r="12518" spans="326:327">
      <c r="LN12518" t="str">
        <v/>
      </c>
      <c r="LO12518" t="str">
        <v/>
      </c>
    </row>
    <row r="12519" spans="326:327">
      <c r="LN12519" t="str">
        <v/>
      </c>
      <c r="LO12519" t="str">
        <v/>
      </c>
    </row>
    <row r="12520" spans="326:327">
      <c r="LN12520" t="str">
        <v/>
      </c>
      <c r="LO12520" t="str">
        <v/>
      </c>
    </row>
    <row r="12521" spans="326:327">
      <c r="LN12521" t="str">
        <v/>
      </c>
      <c r="LO12521" t="str">
        <v/>
      </c>
    </row>
    <row r="12522" spans="326:327">
      <c r="LN12522" t="str">
        <v/>
      </c>
      <c r="LO12522" t="str">
        <v/>
      </c>
    </row>
    <row r="12523" spans="326:327">
      <c r="LN12523" t="str">
        <v/>
      </c>
      <c r="LO12523" t="str">
        <v/>
      </c>
    </row>
    <row r="12524" spans="326:327">
      <c r="LN12524" t="str">
        <v/>
      </c>
      <c r="LO12524" t="str">
        <v/>
      </c>
    </row>
    <row r="12525" spans="326:327">
      <c r="LN12525" t="str">
        <v/>
      </c>
      <c r="LO12525" t="str">
        <v/>
      </c>
    </row>
    <row r="12526" spans="326:327">
      <c r="LN12526" t="str">
        <v/>
      </c>
      <c r="LO12526" t="str">
        <v/>
      </c>
    </row>
    <row r="12527" spans="326:327">
      <c r="LN12527" t="str">
        <v/>
      </c>
      <c r="LO12527" t="str">
        <v/>
      </c>
    </row>
    <row r="12528" spans="326:327">
      <c r="LN12528" t="str">
        <v/>
      </c>
      <c r="LO12528" t="str">
        <v/>
      </c>
    </row>
    <row r="12529" spans="326:327">
      <c r="LN12529" t="str">
        <v/>
      </c>
      <c r="LO12529" t="str">
        <v/>
      </c>
    </row>
    <row r="12530" spans="326:327">
      <c r="LN12530" t="str">
        <v/>
      </c>
      <c r="LO12530" t="str">
        <v/>
      </c>
    </row>
    <row r="12531" spans="326:327">
      <c r="LN12531" t="str">
        <v/>
      </c>
      <c r="LO12531" t="str">
        <v/>
      </c>
    </row>
    <row r="12532" spans="326:327">
      <c r="LN12532" t="str">
        <v/>
      </c>
      <c r="LO12532" t="str">
        <v/>
      </c>
    </row>
    <row r="12533" spans="326:327">
      <c r="LN12533" t="str">
        <v/>
      </c>
      <c r="LO12533" t="str">
        <v/>
      </c>
    </row>
    <row r="12534" spans="326:327">
      <c r="LN12534" t="str">
        <v/>
      </c>
      <c r="LO12534" t="str">
        <v/>
      </c>
    </row>
    <row r="12535" spans="326:327">
      <c r="LN12535" t="str">
        <v/>
      </c>
      <c r="LO12535" t="str">
        <v/>
      </c>
    </row>
    <row r="12536" spans="326:327">
      <c r="LN12536" t="str">
        <v/>
      </c>
      <c r="LO12536" t="str">
        <v/>
      </c>
    </row>
    <row r="12537" spans="326:327">
      <c r="LN12537" t="str">
        <v/>
      </c>
      <c r="LO12537" t="str">
        <v/>
      </c>
    </row>
    <row r="12538" spans="326:327">
      <c r="LN12538" t="str">
        <v/>
      </c>
      <c r="LO12538" t="str">
        <v/>
      </c>
    </row>
    <row r="12539" spans="326:327">
      <c r="LN12539" t="str">
        <v/>
      </c>
      <c r="LO12539" t="str">
        <v/>
      </c>
    </row>
    <row r="12540" spans="326:327">
      <c r="LN12540" t="str">
        <v/>
      </c>
      <c r="LO12540" t="str">
        <v/>
      </c>
    </row>
    <row r="12541" spans="326:327">
      <c r="LN12541" t="str">
        <v/>
      </c>
      <c r="LO12541" t="str">
        <v/>
      </c>
    </row>
    <row r="12542" spans="326:327">
      <c r="LN12542" t="str">
        <v/>
      </c>
      <c r="LO12542" t="str">
        <v/>
      </c>
    </row>
    <row r="12543" spans="326:327">
      <c r="LN12543" t="str">
        <v/>
      </c>
      <c r="LO12543" t="str">
        <v/>
      </c>
    </row>
    <row r="12544" spans="326:327">
      <c r="LN12544" t="str">
        <v/>
      </c>
      <c r="LO12544" t="str">
        <v/>
      </c>
    </row>
    <row r="12545" spans="326:327">
      <c r="LN12545" t="str">
        <v/>
      </c>
      <c r="LO12545" t="str">
        <v/>
      </c>
    </row>
    <row r="12546" spans="326:327">
      <c r="LN12546" t="str">
        <v/>
      </c>
      <c r="LO12546" t="str">
        <v/>
      </c>
    </row>
    <row r="12547" spans="326:327">
      <c r="LN12547" t="str">
        <v/>
      </c>
      <c r="LO12547" t="str">
        <v/>
      </c>
    </row>
    <row r="12548" spans="326:327">
      <c r="LN12548" t="str">
        <v/>
      </c>
      <c r="LO12548" t="str">
        <v/>
      </c>
    </row>
    <row r="12549" spans="326:327">
      <c r="LN12549" t="str">
        <v/>
      </c>
      <c r="LO12549" t="str">
        <v/>
      </c>
    </row>
    <row r="12550" spans="326:327">
      <c r="LN12550" t="str">
        <v/>
      </c>
      <c r="LO12550" t="str">
        <v/>
      </c>
    </row>
    <row r="12551" spans="326:327">
      <c r="LN12551" t="str">
        <v/>
      </c>
      <c r="LO12551" t="str">
        <v/>
      </c>
    </row>
    <row r="12552" spans="326:327">
      <c r="LN12552" t="str">
        <v/>
      </c>
      <c r="LO12552" t="str">
        <v/>
      </c>
    </row>
    <row r="12553" spans="326:327">
      <c r="LN12553" t="str">
        <v/>
      </c>
      <c r="LO12553" t="str">
        <v/>
      </c>
    </row>
    <row r="12554" spans="326:327">
      <c r="LN12554" t="str">
        <v/>
      </c>
      <c r="LO12554" t="str">
        <v/>
      </c>
    </row>
    <row r="12555" spans="326:327">
      <c r="LN12555" t="str">
        <v/>
      </c>
      <c r="LO12555" t="str">
        <v/>
      </c>
    </row>
    <row r="12556" spans="326:327">
      <c r="LN12556" t="str">
        <v/>
      </c>
      <c r="LO12556" t="str">
        <v/>
      </c>
    </row>
    <row r="12557" spans="326:327">
      <c r="LN12557" t="str">
        <v/>
      </c>
      <c r="LO12557" t="str">
        <v/>
      </c>
    </row>
    <row r="12558" spans="326:327">
      <c r="LN12558" t="str">
        <v/>
      </c>
      <c r="LO12558" t="str">
        <v/>
      </c>
    </row>
    <row r="12559" spans="326:327">
      <c r="LN12559" t="str">
        <v/>
      </c>
      <c r="LO12559" t="str">
        <v/>
      </c>
    </row>
    <row r="12560" spans="326:327">
      <c r="LN12560" t="str">
        <v/>
      </c>
      <c r="LO12560" t="str">
        <v/>
      </c>
    </row>
    <row r="12561" spans="326:327">
      <c r="LN12561" t="str">
        <v/>
      </c>
      <c r="LO12561" t="str">
        <v/>
      </c>
    </row>
    <row r="12562" spans="326:327">
      <c r="LN12562" t="str">
        <v/>
      </c>
      <c r="LO12562" t="str">
        <v/>
      </c>
    </row>
    <row r="12563" spans="326:327">
      <c r="LN12563" t="str">
        <v/>
      </c>
      <c r="LO12563" t="str">
        <v/>
      </c>
    </row>
    <row r="12564" spans="326:327">
      <c r="LN12564" t="str">
        <v/>
      </c>
      <c r="LO12564" t="str">
        <v/>
      </c>
    </row>
    <row r="12565" spans="326:327">
      <c r="LN12565" t="str">
        <v/>
      </c>
      <c r="LO12565" t="str">
        <v/>
      </c>
    </row>
    <row r="12566" spans="326:327">
      <c r="LN12566" t="str">
        <v/>
      </c>
      <c r="LO12566" t="str">
        <v/>
      </c>
    </row>
    <row r="12567" spans="326:327">
      <c r="LN12567" t="str">
        <v/>
      </c>
      <c r="LO12567" t="str">
        <v/>
      </c>
    </row>
    <row r="12568" spans="326:327">
      <c r="LN12568" t="str">
        <v/>
      </c>
      <c r="LO12568" t="str">
        <v/>
      </c>
    </row>
    <row r="12569" spans="326:327">
      <c r="LN12569" t="str">
        <v/>
      </c>
      <c r="LO12569" t="str">
        <v/>
      </c>
    </row>
    <row r="12570" spans="326:327">
      <c r="LN12570" t="str">
        <v/>
      </c>
      <c r="LO12570" t="str">
        <v/>
      </c>
    </row>
    <row r="12571" spans="326:327">
      <c r="LN12571" t="str">
        <v/>
      </c>
      <c r="LO12571" t="str">
        <v/>
      </c>
    </row>
    <row r="12572" spans="326:327">
      <c r="LN12572" t="str">
        <v/>
      </c>
      <c r="LO12572" t="str">
        <v/>
      </c>
    </row>
    <row r="12573" spans="326:327">
      <c r="LN12573" t="str">
        <v/>
      </c>
      <c r="LO12573" t="str">
        <v/>
      </c>
    </row>
    <row r="12574" spans="326:327">
      <c r="LN12574" t="str">
        <v/>
      </c>
      <c r="LO12574" t="str">
        <v/>
      </c>
    </row>
    <row r="12575" spans="326:327">
      <c r="LN12575" t="str">
        <v/>
      </c>
      <c r="LO12575" t="str">
        <v/>
      </c>
    </row>
    <row r="12576" spans="326:327">
      <c r="LN12576" t="str">
        <v/>
      </c>
      <c r="LO12576" t="str">
        <v/>
      </c>
    </row>
    <row r="12577" spans="326:327">
      <c r="LN12577" t="str">
        <v/>
      </c>
      <c r="LO12577" t="str">
        <v/>
      </c>
    </row>
    <row r="12578" spans="326:327">
      <c r="LN12578" t="str">
        <v/>
      </c>
      <c r="LO12578" t="str">
        <v/>
      </c>
    </row>
    <row r="12579" spans="326:327">
      <c r="LN12579" t="str">
        <v/>
      </c>
      <c r="LO12579" t="str">
        <v/>
      </c>
    </row>
    <row r="12580" spans="326:327">
      <c r="LN12580" t="str">
        <v/>
      </c>
      <c r="LO12580" t="str">
        <v/>
      </c>
    </row>
    <row r="12581" spans="326:327">
      <c r="LN12581" t="str">
        <v/>
      </c>
      <c r="LO12581" t="str">
        <v/>
      </c>
    </row>
    <row r="12582" spans="326:327">
      <c r="LN12582" t="str">
        <v/>
      </c>
      <c r="LO12582" t="str">
        <v/>
      </c>
    </row>
    <row r="12583" spans="326:327">
      <c r="LN12583" t="str">
        <v/>
      </c>
      <c r="LO12583" t="str">
        <v/>
      </c>
    </row>
    <row r="12584" spans="326:327">
      <c r="LN12584" t="str">
        <v/>
      </c>
      <c r="LO12584" t="str">
        <v/>
      </c>
    </row>
    <row r="12585" spans="326:327">
      <c r="LN12585" t="str">
        <v/>
      </c>
      <c r="LO12585" t="str">
        <v/>
      </c>
    </row>
    <row r="12586" spans="326:327">
      <c r="LN12586" t="str">
        <v/>
      </c>
      <c r="LO12586" t="str">
        <v/>
      </c>
    </row>
    <row r="12587" spans="326:327">
      <c r="LN12587" t="str">
        <v/>
      </c>
      <c r="LO12587" t="str">
        <v/>
      </c>
    </row>
    <row r="12588" spans="326:327">
      <c r="LN12588" t="str">
        <v/>
      </c>
      <c r="LO12588" t="str">
        <v/>
      </c>
    </row>
    <row r="12589" spans="326:327">
      <c r="LN12589" t="str">
        <v/>
      </c>
      <c r="LO12589" t="str">
        <v/>
      </c>
    </row>
    <row r="12590" spans="326:327">
      <c r="LN12590" t="str">
        <v/>
      </c>
      <c r="LO12590" t="str">
        <v/>
      </c>
    </row>
    <row r="12591" spans="326:327">
      <c r="LN12591" t="str">
        <v/>
      </c>
      <c r="LO12591" t="str">
        <v/>
      </c>
    </row>
    <row r="12592" spans="326:327">
      <c r="LN12592" t="str">
        <v/>
      </c>
      <c r="LO12592" t="str">
        <v/>
      </c>
    </row>
    <row r="12593" spans="326:327">
      <c r="LN12593" t="str">
        <v/>
      </c>
      <c r="LO12593" t="str">
        <v/>
      </c>
    </row>
    <row r="12594" spans="326:327">
      <c r="LN12594" t="str">
        <v/>
      </c>
      <c r="LO12594" t="str">
        <v/>
      </c>
    </row>
    <row r="12595" spans="326:327">
      <c r="LN12595" t="str">
        <v/>
      </c>
      <c r="LO12595" t="str">
        <v/>
      </c>
    </row>
    <row r="12596" spans="326:327">
      <c r="LN12596" t="str">
        <v/>
      </c>
      <c r="LO12596" t="str">
        <v/>
      </c>
    </row>
    <row r="12597" spans="326:327">
      <c r="LN12597" t="str">
        <v/>
      </c>
      <c r="LO12597" t="str">
        <v/>
      </c>
    </row>
    <row r="12598" spans="326:327">
      <c r="LN12598" t="str">
        <v/>
      </c>
      <c r="LO12598" t="str">
        <v/>
      </c>
    </row>
    <row r="12599" spans="326:327">
      <c r="LN12599" t="str">
        <v/>
      </c>
      <c r="LO12599" t="str">
        <v/>
      </c>
    </row>
    <row r="12600" spans="326:327">
      <c r="LN12600" t="str">
        <v/>
      </c>
      <c r="LO12600" t="str">
        <v/>
      </c>
    </row>
    <row r="12601" spans="326:327">
      <c r="LN12601" t="str">
        <v/>
      </c>
      <c r="LO12601" t="str">
        <v/>
      </c>
    </row>
    <row r="12602" spans="326:327">
      <c r="LN12602" t="str">
        <v/>
      </c>
      <c r="LO12602" t="str">
        <v/>
      </c>
    </row>
    <row r="12603" spans="326:327">
      <c r="LN12603" t="str">
        <v/>
      </c>
      <c r="LO12603" t="str">
        <v/>
      </c>
    </row>
    <row r="12604" spans="326:327">
      <c r="LN12604" t="str">
        <v/>
      </c>
      <c r="LO12604" t="str">
        <v/>
      </c>
    </row>
    <row r="12605" spans="326:327">
      <c r="LN12605" t="str">
        <v/>
      </c>
      <c r="LO12605" t="str">
        <v/>
      </c>
    </row>
    <row r="12606" spans="326:327">
      <c r="LN12606" t="str">
        <v/>
      </c>
      <c r="LO12606" t="str">
        <v/>
      </c>
    </row>
    <row r="12607" spans="326:327">
      <c r="LN12607" t="str">
        <v/>
      </c>
      <c r="LO12607" t="str">
        <v/>
      </c>
    </row>
    <row r="12608" spans="326:327">
      <c r="LN12608" t="str">
        <v/>
      </c>
      <c r="LO12608" t="str">
        <v/>
      </c>
    </row>
    <row r="12609" spans="326:327">
      <c r="LN12609" t="str">
        <v/>
      </c>
      <c r="LO12609" t="str">
        <v/>
      </c>
    </row>
    <row r="12610" spans="326:327">
      <c r="LN12610" t="str">
        <v/>
      </c>
      <c r="LO12610" t="str">
        <v/>
      </c>
    </row>
    <row r="12611" spans="326:327">
      <c r="LN12611" t="str">
        <v/>
      </c>
      <c r="LO12611" t="str">
        <v/>
      </c>
    </row>
    <row r="12612" spans="326:327">
      <c r="LN12612" t="str">
        <v/>
      </c>
      <c r="LO12612" t="str">
        <v/>
      </c>
    </row>
    <row r="12613" spans="326:327">
      <c r="LN12613" t="str">
        <v/>
      </c>
      <c r="LO12613" t="str">
        <v/>
      </c>
    </row>
    <row r="12614" spans="326:327">
      <c r="LN12614" t="str">
        <v/>
      </c>
      <c r="LO12614" t="str">
        <v/>
      </c>
    </row>
    <row r="12615" spans="326:327">
      <c r="LN12615" t="str">
        <v/>
      </c>
      <c r="LO12615" t="str">
        <v/>
      </c>
    </row>
    <row r="12616" spans="326:327">
      <c r="LN12616" t="str">
        <v/>
      </c>
      <c r="LO12616" t="str">
        <v/>
      </c>
    </row>
    <row r="12617" spans="326:327">
      <c r="LN12617" t="str">
        <v/>
      </c>
      <c r="LO12617" t="str">
        <v/>
      </c>
    </row>
    <row r="12618" spans="326:327">
      <c r="LN12618" t="str">
        <v/>
      </c>
      <c r="LO12618" t="str">
        <v/>
      </c>
    </row>
    <row r="12619" spans="326:327">
      <c r="LN12619" t="str">
        <v/>
      </c>
      <c r="LO12619" t="str">
        <v/>
      </c>
    </row>
    <row r="12620" spans="326:327">
      <c r="LN12620" t="str">
        <v/>
      </c>
      <c r="LO12620" t="str">
        <v/>
      </c>
    </row>
    <row r="12621" spans="326:327">
      <c r="LN12621" t="str">
        <v/>
      </c>
      <c r="LO12621" t="str">
        <v/>
      </c>
    </row>
    <row r="12622" spans="326:327">
      <c r="LN12622" t="str">
        <v/>
      </c>
      <c r="LO12622" t="str">
        <v/>
      </c>
    </row>
    <row r="12623" spans="326:327">
      <c r="LN12623" t="str">
        <v/>
      </c>
      <c r="LO12623" t="str">
        <v/>
      </c>
    </row>
    <row r="12624" spans="326:327">
      <c r="LN12624" t="str">
        <v/>
      </c>
      <c r="LO12624" t="str">
        <v/>
      </c>
    </row>
    <row r="12625" spans="326:327">
      <c r="LN12625" t="str">
        <v/>
      </c>
      <c r="LO12625" t="str">
        <v/>
      </c>
    </row>
    <row r="12626" spans="326:327">
      <c r="LN12626" t="str">
        <v/>
      </c>
      <c r="LO12626" t="str">
        <v/>
      </c>
    </row>
    <row r="12627" spans="326:327">
      <c r="LN12627" t="str">
        <v/>
      </c>
      <c r="LO12627" t="str">
        <v/>
      </c>
    </row>
    <row r="12628" spans="326:327">
      <c r="LN12628" t="str">
        <v/>
      </c>
      <c r="LO12628" t="str">
        <v/>
      </c>
    </row>
    <row r="12629" spans="326:327">
      <c r="LN12629" t="str">
        <v/>
      </c>
      <c r="LO12629" t="str">
        <v/>
      </c>
    </row>
    <row r="12630" spans="326:327">
      <c r="LN12630" t="str">
        <v/>
      </c>
      <c r="LO12630" t="str">
        <v/>
      </c>
    </row>
    <row r="12631" spans="326:327">
      <c r="LN12631" t="str">
        <v/>
      </c>
      <c r="LO12631" t="str">
        <v/>
      </c>
    </row>
    <row r="12632" spans="326:327">
      <c r="LN12632" t="str">
        <v/>
      </c>
      <c r="LO12632" t="str">
        <v/>
      </c>
    </row>
    <row r="12633" spans="326:327">
      <c r="LN12633" t="str">
        <v/>
      </c>
      <c r="LO12633" t="str">
        <v/>
      </c>
    </row>
    <row r="12634" spans="326:327">
      <c r="LN12634" t="str">
        <v/>
      </c>
      <c r="LO12634" t="str">
        <v/>
      </c>
    </row>
    <row r="12635" spans="326:327">
      <c r="LN12635" t="str">
        <v/>
      </c>
      <c r="LO12635" t="str">
        <v/>
      </c>
    </row>
    <row r="12636" spans="326:327">
      <c r="LN12636" t="str">
        <v/>
      </c>
      <c r="LO12636" t="str">
        <v/>
      </c>
    </row>
    <row r="12637" spans="326:327">
      <c r="LN12637" t="str">
        <v/>
      </c>
      <c r="LO12637" t="str">
        <v/>
      </c>
    </row>
    <row r="12638" spans="326:327">
      <c r="LN12638" t="str">
        <v/>
      </c>
      <c r="LO12638" t="str">
        <v/>
      </c>
    </row>
    <row r="12639" spans="326:327">
      <c r="LN12639" t="str">
        <v/>
      </c>
      <c r="LO12639" t="str">
        <v/>
      </c>
    </row>
    <row r="12640" spans="326:327">
      <c r="LN12640" t="str">
        <v/>
      </c>
      <c r="LO12640" t="str">
        <v/>
      </c>
    </row>
    <row r="12641" spans="326:327">
      <c r="LN12641" t="str">
        <v/>
      </c>
      <c r="LO12641" t="str">
        <v/>
      </c>
    </row>
    <row r="12642" spans="326:327">
      <c r="LN12642" t="str">
        <v/>
      </c>
      <c r="LO12642" t="str">
        <v/>
      </c>
    </row>
    <row r="12643" spans="326:327">
      <c r="LN12643" t="str">
        <v/>
      </c>
      <c r="LO12643" t="str">
        <v/>
      </c>
    </row>
    <row r="12644" spans="326:327">
      <c r="LN12644" t="str">
        <v/>
      </c>
      <c r="LO12644" t="str">
        <v/>
      </c>
    </row>
    <row r="12645" spans="326:327">
      <c r="LN12645" t="str">
        <v/>
      </c>
      <c r="LO12645" t="str">
        <v/>
      </c>
    </row>
    <row r="12646" spans="326:327">
      <c r="LN12646" t="str">
        <v/>
      </c>
      <c r="LO12646" t="str">
        <v/>
      </c>
    </row>
    <row r="12647" spans="326:327">
      <c r="LN12647" t="str">
        <v/>
      </c>
      <c r="LO12647" t="str">
        <v/>
      </c>
    </row>
    <row r="12648" spans="326:327">
      <c r="LN12648" t="str">
        <v/>
      </c>
      <c r="LO12648" t="str">
        <v/>
      </c>
    </row>
    <row r="12649" spans="326:327">
      <c r="LN12649" t="str">
        <v/>
      </c>
      <c r="LO12649" t="str">
        <v/>
      </c>
    </row>
    <row r="12650" spans="326:327">
      <c r="LN12650" t="str">
        <v/>
      </c>
      <c r="LO12650" t="str">
        <v/>
      </c>
    </row>
    <row r="12651" spans="326:327">
      <c r="LN12651" t="str">
        <v/>
      </c>
      <c r="LO12651" t="str">
        <v/>
      </c>
    </row>
    <row r="12652" spans="326:327">
      <c r="LN12652" t="str">
        <v/>
      </c>
      <c r="LO12652" t="str">
        <v/>
      </c>
    </row>
    <row r="12653" spans="326:327">
      <c r="LN12653" t="str">
        <v/>
      </c>
      <c r="LO12653" t="str">
        <v/>
      </c>
    </row>
    <row r="12654" spans="326:327">
      <c r="LN12654" t="str">
        <v/>
      </c>
      <c r="LO12654" t="str">
        <v/>
      </c>
    </row>
    <row r="12655" spans="326:327">
      <c r="LN12655" t="str">
        <v/>
      </c>
      <c r="LO12655" t="str">
        <v/>
      </c>
    </row>
    <row r="12656" spans="326:327">
      <c r="LN12656" t="str">
        <v/>
      </c>
      <c r="LO12656" t="str">
        <v/>
      </c>
    </row>
    <row r="12657" spans="326:327">
      <c r="LN12657" t="str">
        <v/>
      </c>
      <c r="LO12657" t="str">
        <v/>
      </c>
    </row>
    <row r="12658" spans="326:327">
      <c r="LN12658" t="str">
        <v/>
      </c>
      <c r="LO12658" t="str">
        <v/>
      </c>
    </row>
    <row r="12659" spans="326:327">
      <c r="LN12659" t="str">
        <v/>
      </c>
      <c r="LO12659" t="str">
        <v/>
      </c>
    </row>
    <row r="12660" spans="326:327">
      <c r="LN12660" t="str">
        <v/>
      </c>
      <c r="LO12660" t="str">
        <v/>
      </c>
    </row>
    <row r="12661" spans="326:327">
      <c r="LN12661" t="str">
        <v/>
      </c>
      <c r="LO12661" t="str">
        <v/>
      </c>
    </row>
    <row r="12662" spans="326:327">
      <c r="LN12662" t="str">
        <v/>
      </c>
      <c r="LO12662" t="str">
        <v/>
      </c>
    </row>
    <row r="12663" spans="326:327">
      <c r="LN12663" t="str">
        <v/>
      </c>
      <c r="LO12663" t="str">
        <v/>
      </c>
    </row>
    <row r="12664" spans="326:327">
      <c r="LN12664" t="str">
        <v/>
      </c>
      <c r="LO12664" t="str">
        <v/>
      </c>
    </row>
    <row r="12665" spans="326:327">
      <c r="LN12665" t="str">
        <v/>
      </c>
      <c r="LO12665" t="str">
        <v/>
      </c>
    </row>
    <row r="12666" spans="326:327">
      <c r="LN12666" t="str">
        <v/>
      </c>
      <c r="LO12666" t="str">
        <v/>
      </c>
    </row>
    <row r="12667" spans="326:327">
      <c r="LN12667" t="str">
        <v/>
      </c>
      <c r="LO12667" t="str">
        <v/>
      </c>
    </row>
    <row r="12668" spans="326:327">
      <c r="LN12668" t="str">
        <v/>
      </c>
      <c r="LO12668" t="str">
        <v/>
      </c>
    </row>
    <row r="12669" spans="326:327">
      <c r="LN12669" t="str">
        <v/>
      </c>
      <c r="LO12669" t="str">
        <v/>
      </c>
    </row>
    <row r="12670" spans="326:327">
      <c r="LN12670" t="str">
        <v/>
      </c>
      <c r="LO12670" t="str">
        <v/>
      </c>
    </row>
    <row r="12671" spans="326:327">
      <c r="LN12671" t="str">
        <v/>
      </c>
      <c r="LO12671" t="str">
        <v/>
      </c>
    </row>
    <row r="12672" spans="326:327">
      <c r="LN12672" t="str">
        <v/>
      </c>
      <c r="LO12672" t="str">
        <v/>
      </c>
    </row>
    <row r="12673" spans="326:327">
      <c r="LN12673" t="str">
        <v/>
      </c>
      <c r="LO12673" t="str">
        <v/>
      </c>
    </row>
    <row r="12674" spans="326:327">
      <c r="LN12674" t="str">
        <v/>
      </c>
      <c r="LO12674" t="str">
        <v/>
      </c>
    </row>
    <row r="12675" spans="326:327">
      <c r="LN12675" t="str">
        <v/>
      </c>
      <c r="LO12675" t="str">
        <v/>
      </c>
    </row>
    <row r="12676" spans="326:327">
      <c r="LN12676" t="str">
        <v/>
      </c>
      <c r="LO12676" t="str">
        <v/>
      </c>
    </row>
    <row r="12677" spans="326:327">
      <c r="LN12677" t="str">
        <v/>
      </c>
      <c r="LO12677" t="str">
        <v/>
      </c>
    </row>
    <row r="12678" spans="326:327">
      <c r="LN12678" t="str">
        <v/>
      </c>
      <c r="LO12678" t="str">
        <v/>
      </c>
    </row>
    <row r="12679" spans="326:327">
      <c r="LN12679" t="str">
        <v/>
      </c>
      <c r="LO12679" t="str">
        <v/>
      </c>
    </row>
    <row r="12680" spans="326:327">
      <c r="LN12680" t="str">
        <v/>
      </c>
      <c r="LO12680" t="str">
        <v/>
      </c>
    </row>
    <row r="12681" spans="326:327">
      <c r="LN12681" t="str">
        <v/>
      </c>
      <c r="LO12681" t="str">
        <v/>
      </c>
    </row>
    <row r="12682" spans="326:327">
      <c r="LN12682" t="str">
        <v/>
      </c>
      <c r="LO12682" t="str">
        <v/>
      </c>
    </row>
    <row r="12683" spans="326:327">
      <c r="LN12683" t="str">
        <v/>
      </c>
      <c r="LO12683" t="str">
        <v/>
      </c>
    </row>
    <row r="12684" spans="326:327">
      <c r="LN12684" t="str">
        <v/>
      </c>
      <c r="LO12684" t="str">
        <v/>
      </c>
    </row>
    <row r="12685" spans="326:327">
      <c r="LN12685" t="str">
        <v/>
      </c>
      <c r="LO12685" t="str">
        <v/>
      </c>
    </row>
    <row r="12686" spans="326:327">
      <c r="LN12686" t="str">
        <v/>
      </c>
      <c r="LO12686" t="str">
        <v/>
      </c>
    </row>
    <row r="12687" spans="326:327">
      <c r="LN12687" t="str">
        <v/>
      </c>
      <c r="LO12687" t="str">
        <v/>
      </c>
    </row>
    <row r="12688" spans="326:327">
      <c r="LN12688" t="str">
        <v/>
      </c>
      <c r="LO12688" t="str">
        <v/>
      </c>
    </row>
    <row r="12689" spans="326:327">
      <c r="LN12689" t="str">
        <v/>
      </c>
      <c r="LO12689" t="str">
        <v/>
      </c>
    </row>
    <row r="12690" spans="326:327">
      <c r="LN12690" t="str">
        <v/>
      </c>
      <c r="LO12690" t="str">
        <v/>
      </c>
    </row>
    <row r="12691" spans="326:327">
      <c r="LN12691" t="str">
        <v/>
      </c>
      <c r="LO12691" t="str">
        <v/>
      </c>
    </row>
    <row r="12692" spans="326:327">
      <c r="LN12692" t="str">
        <v/>
      </c>
      <c r="LO12692" t="str">
        <v/>
      </c>
    </row>
    <row r="12693" spans="326:327">
      <c r="LN12693" t="str">
        <v/>
      </c>
      <c r="LO12693" t="str">
        <v/>
      </c>
    </row>
    <row r="12694" spans="326:327">
      <c r="LN12694" t="str">
        <v/>
      </c>
      <c r="LO12694" t="str">
        <v/>
      </c>
    </row>
    <row r="12695" spans="326:327">
      <c r="LN12695" t="str">
        <v/>
      </c>
      <c r="LO12695" t="str">
        <v/>
      </c>
    </row>
    <row r="12696" spans="326:327">
      <c r="LN12696" t="str">
        <v/>
      </c>
      <c r="LO12696" t="str">
        <v/>
      </c>
    </row>
    <row r="12697" spans="326:327">
      <c r="LN12697" t="str">
        <v/>
      </c>
      <c r="LO12697" t="str">
        <v/>
      </c>
    </row>
    <row r="12698" spans="326:327">
      <c r="LN12698" t="str">
        <v/>
      </c>
      <c r="LO12698" t="str">
        <v/>
      </c>
    </row>
    <row r="12699" spans="326:327">
      <c r="LN12699" t="str">
        <v/>
      </c>
      <c r="LO12699" t="str">
        <v/>
      </c>
    </row>
    <row r="12700" spans="326:327">
      <c r="LN12700" t="str">
        <v/>
      </c>
      <c r="LO12700" t="str">
        <v/>
      </c>
    </row>
    <row r="12701" spans="326:327">
      <c r="LN12701" t="str">
        <v/>
      </c>
      <c r="LO12701" t="str">
        <v/>
      </c>
    </row>
    <row r="12702" spans="326:327">
      <c r="LN12702" t="str">
        <v/>
      </c>
      <c r="LO12702" t="str">
        <v/>
      </c>
    </row>
    <row r="12703" spans="326:327">
      <c r="LN12703" t="str">
        <v/>
      </c>
      <c r="LO12703" t="str">
        <v/>
      </c>
    </row>
    <row r="12704" spans="326:327">
      <c r="LN12704" t="str">
        <v/>
      </c>
      <c r="LO12704" t="str">
        <v/>
      </c>
    </row>
    <row r="12705" spans="326:327">
      <c r="LN12705" t="str">
        <v/>
      </c>
      <c r="LO12705" t="str">
        <v/>
      </c>
    </row>
    <row r="12706" spans="326:327">
      <c r="LN12706" t="str">
        <v/>
      </c>
      <c r="LO12706" t="str">
        <v/>
      </c>
    </row>
    <row r="12707" spans="326:327">
      <c r="LN12707" t="str">
        <v/>
      </c>
      <c r="LO12707" t="str">
        <v/>
      </c>
    </row>
    <row r="12708" spans="326:327">
      <c r="LN12708" t="str">
        <v/>
      </c>
      <c r="LO12708" t="str">
        <v/>
      </c>
    </row>
    <row r="12709" spans="326:327">
      <c r="LN12709" t="str">
        <v/>
      </c>
      <c r="LO12709" t="str">
        <v/>
      </c>
    </row>
    <row r="12710" spans="326:327">
      <c r="LN12710" t="str">
        <v/>
      </c>
      <c r="LO12710" t="str">
        <v/>
      </c>
    </row>
    <row r="12711" spans="326:327">
      <c r="LN12711" t="str">
        <v/>
      </c>
      <c r="LO12711" t="str">
        <v/>
      </c>
    </row>
    <row r="12712" spans="326:327">
      <c r="LN12712" t="str">
        <v/>
      </c>
      <c r="LO12712" t="str">
        <v/>
      </c>
    </row>
    <row r="12713" spans="326:327">
      <c r="LN12713" t="str">
        <v/>
      </c>
      <c r="LO12713" t="str">
        <v/>
      </c>
    </row>
    <row r="12714" spans="326:327">
      <c r="LN12714" t="str">
        <v/>
      </c>
      <c r="LO12714" t="str">
        <v/>
      </c>
    </row>
    <row r="12715" spans="326:327">
      <c r="LN12715" t="str">
        <v/>
      </c>
      <c r="LO12715" t="str">
        <v/>
      </c>
    </row>
    <row r="12716" spans="326:327">
      <c r="LN12716" t="str">
        <v/>
      </c>
      <c r="LO12716" t="str">
        <v/>
      </c>
    </row>
    <row r="12717" spans="326:327">
      <c r="LN12717" t="str">
        <v/>
      </c>
      <c r="LO12717" t="str">
        <v/>
      </c>
    </row>
    <row r="12718" spans="326:327">
      <c r="LN12718" t="str">
        <v/>
      </c>
      <c r="LO12718" t="str">
        <v/>
      </c>
    </row>
    <row r="12719" spans="326:327">
      <c r="LN12719" t="str">
        <v/>
      </c>
      <c r="LO12719" t="str">
        <v/>
      </c>
    </row>
    <row r="12720" spans="326:327">
      <c r="LN12720" t="str">
        <v/>
      </c>
      <c r="LO12720" t="str">
        <v/>
      </c>
    </row>
    <row r="12721" spans="326:327">
      <c r="LN12721" t="str">
        <v/>
      </c>
      <c r="LO12721" t="str">
        <v/>
      </c>
    </row>
    <row r="12722" spans="326:327">
      <c r="LN12722" t="str">
        <v/>
      </c>
      <c r="LO12722" t="str">
        <v/>
      </c>
    </row>
    <row r="12723" spans="326:327">
      <c r="LN12723" t="str">
        <v/>
      </c>
      <c r="LO12723" t="str">
        <v/>
      </c>
    </row>
    <row r="12724" spans="326:327">
      <c r="LN12724" t="str">
        <v/>
      </c>
      <c r="LO12724" t="str">
        <v/>
      </c>
    </row>
    <row r="12725" spans="326:327">
      <c r="LN12725" t="str">
        <v/>
      </c>
      <c r="LO12725" t="str">
        <v/>
      </c>
    </row>
    <row r="12726" spans="326:327">
      <c r="LN12726" t="str">
        <v/>
      </c>
      <c r="LO12726" t="str">
        <v/>
      </c>
    </row>
    <row r="12727" spans="326:327">
      <c r="LN12727" t="str">
        <v/>
      </c>
      <c r="LO12727" t="str">
        <v/>
      </c>
    </row>
    <row r="12728" spans="326:327">
      <c r="LN12728" t="str">
        <v/>
      </c>
      <c r="LO12728" t="str">
        <v/>
      </c>
    </row>
    <row r="12729" spans="326:327">
      <c r="LN12729" t="str">
        <v/>
      </c>
      <c r="LO12729" t="str">
        <v/>
      </c>
    </row>
    <row r="12730" spans="326:327">
      <c r="LN12730" t="str">
        <v/>
      </c>
      <c r="LO12730" t="str">
        <v/>
      </c>
    </row>
    <row r="12731" spans="326:327">
      <c r="LN12731" t="str">
        <v/>
      </c>
      <c r="LO12731" t="str">
        <v/>
      </c>
    </row>
    <row r="12732" spans="326:327">
      <c r="LN12732" t="str">
        <v/>
      </c>
      <c r="LO12732" t="str">
        <v/>
      </c>
    </row>
    <row r="12733" spans="326:327">
      <c r="LN12733" t="str">
        <v/>
      </c>
      <c r="LO12733" t="str">
        <v/>
      </c>
    </row>
    <row r="12734" spans="326:327">
      <c r="LN12734" t="str">
        <v/>
      </c>
      <c r="LO12734" t="str">
        <v/>
      </c>
    </row>
    <row r="12735" spans="326:327">
      <c r="LN12735" t="str">
        <v/>
      </c>
      <c r="LO12735" t="str">
        <v/>
      </c>
    </row>
    <row r="12736" spans="326:327">
      <c r="LN12736" t="str">
        <v/>
      </c>
      <c r="LO12736" t="str">
        <v/>
      </c>
    </row>
    <row r="12737" spans="326:327">
      <c r="LN12737" t="str">
        <v/>
      </c>
      <c r="LO12737" t="str">
        <v/>
      </c>
    </row>
    <row r="12738" spans="326:327">
      <c r="LN12738" t="str">
        <v/>
      </c>
      <c r="LO12738" t="str">
        <v/>
      </c>
    </row>
    <row r="12739" spans="326:327">
      <c r="LN12739" t="str">
        <v/>
      </c>
      <c r="LO12739" t="str">
        <v/>
      </c>
    </row>
    <row r="12740" spans="326:327">
      <c r="LN12740" t="str">
        <v/>
      </c>
      <c r="LO12740" t="str">
        <v/>
      </c>
    </row>
    <row r="12741" spans="326:327">
      <c r="LN12741" t="str">
        <v/>
      </c>
      <c r="LO12741" t="str">
        <v/>
      </c>
    </row>
    <row r="12742" spans="326:327">
      <c r="LN12742" t="str">
        <v/>
      </c>
      <c r="LO12742" t="str">
        <v/>
      </c>
    </row>
    <row r="12743" spans="326:327">
      <c r="LN12743" t="str">
        <v/>
      </c>
      <c r="LO12743" t="str">
        <v/>
      </c>
    </row>
    <row r="12744" spans="326:327">
      <c r="LN12744" t="str">
        <v/>
      </c>
      <c r="LO12744" t="str">
        <v/>
      </c>
    </row>
    <row r="12745" spans="326:327">
      <c r="LN12745" t="str">
        <v/>
      </c>
      <c r="LO12745" t="str">
        <v/>
      </c>
    </row>
    <row r="12746" spans="326:327">
      <c r="LN12746" t="str">
        <v/>
      </c>
      <c r="LO12746" t="str">
        <v/>
      </c>
    </row>
    <row r="12747" spans="326:327">
      <c r="LN12747" t="str">
        <v/>
      </c>
      <c r="LO12747" t="str">
        <v/>
      </c>
    </row>
    <row r="12748" spans="326:327">
      <c r="LN12748" t="str">
        <v/>
      </c>
      <c r="LO12748" t="str">
        <v/>
      </c>
    </row>
    <row r="12749" spans="326:327">
      <c r="LN12749" t="str">
        <v/>
      </c>
      <c r="LO12749" t="str">
        <v/>
      </c>
    </row>
    <row r="12750" spans="326:327">
      <c r="LN12750" t="str">
        <v/>
      </c>
      <c r="LO12750" t="str">
        <v/>
      </c>
    </row>
    <row r="12751" spans="326:327">
      <c r="LN12751" t="str">
        <v/>
      </c>
      <c r="LO12751" t="str">
        <v/>
      </c>
    </row>
    <row r="12752" spans="326:327">
      <c r="LN12752" t="str">
        <v/>
      </c>
      <c r="LO12752" t="str">
        <v/>
      </c>
    </row>
    <row r="12753" spans="326:327">
      <c r="LN12753" t="str">
        <v/>
      </c>
      <c r="LO12753" t="str">
        <v/>
      </c>
    </row>
    <row r="12754" spans="326:327">
      <c r="LN12754" t="str">
        <v/>
      </c>
      <c r="LO12754" t="str">
        <v/>
      </c>
    </row>
    <row r="12755" spans="326:327">
      <c r="LN12755" t="str">
        <v/>
      </c>
      <c r="LO12755" t="str">
        <v/>
      </c>
    </row>
    <row r="12756" spans="326:327">
      <c r="LN12756" t="str">
        <v/>
      </c>
      <c r="LO12756" t="str">
        <v/>
      </c>
    </row>
    <row r="12757" spans="326:327">
      <c r="LN12757" t="str">
        <v/>
      </c>
      <c r="LO12757" t="str">
        <v/>
      </c>
    </row>
    <row r="12758" spans="326:327">
      <c r="LN12758" t="str">
        <v/>
      </c>
      <c r="LO12758" t="str">
        <v/>
      </c>
    </row>
    <row r="12759" spans="326:327">
      <c r="LN12759" t="str">
        <v/>
      </c>
      <c r="LO12759" t="str">
        <v/>
      </c>
    </row>
    <row r="12760" spans="326:327">
      <c r="LN12760" t="str">
        <v/>
      </c>
      <c r="LO12760" t="str">
        <v/>
      </c>
    </row>
    <row r="12761" spans="326:327">
      <c r="LN12761" t="str">
        <v/>
      </c>
      <c r="LO12761" t="str">
        <v/>
      </c>
    </row>
    <row r="12762" spans="326:327">
      <c r="LN12762" t="str">
        <v/>
      </c>
      <c r="LO12762" t="str">
        <v/>
      </c>
    </row>
    <row r="12763" spans="326:327">
      <c r="LN12763" t="str">
        <v/>
      </c>
      <c r="LO12763" t="str">
        <v/>
      </c>
    </row>
    <row r="12764" spans="326:327">
      <c r="LN12764" t="str">
        <v/>
      </c>
      <c r="LO12764" t="str">
        <v/>
      </c>
    </row>
    <row r="12765" spans="326:327">
      <c r="LN12765" t="str">
        <v/>
      </c>
      <c r="LO12765" t="str">
        <v/>
      </c>
    </row>
    <row r="12766" spans="326:327">
      <c r="LN12766" t="str">
        <v/>
      </c>
      <c r="LO12766" t="str">
        <v/>
      </c>
    </row>
    <row r="12767" spans="326:327">
      <c r="LN12767" t="str">
        <v/>
      </c>
      <c r="LO12767" t="str">
        <v/>
      </c>
    </row>
    <row r="12768" spans="326:327">
      <c r="LN12768" t="str">
        <v/>
      </c>
      <c r="LO12768" t="str">
        <v/>
      </c>
    </row>
    <row r="12769" spans="326:327">
      <c r="LN12769" t="str">
        <v/>
      </c>
      <c r="LO12769" t="str">
        <v/>
      </c>
    </row>
    <row r="12770" spans="326:327">
      <c r="LN12770" t="str">
        <v/>
      </c>
      <c r="LO12770" t="str">
        <v/>
      </c>
    </row>
    <row r="12771" spans="326:327">
      <c r="LN12771" t="str">
        <v/>
      </c>
      <c r="LO12771" t="str">
        <v/>
      </c>
    </row>
    <row r="12772" spans="326:327">
      <c r="LN12772" t="str">
        <v/>
      </c>
      <c r="LO12772" t="str">
        <v/>
      </c>
    </row>
    <row r="12773" spans="326:327">
      <c r="LN12773" t="str">
        <v/>
      </c>
      <c r="LO12773" t="str">
        <v/>
      </c>
    </row>
    <row r="12774" spans="326:327">
      <c r="LN12774" t="str">
        <v/>
      </c>
      <c r="LO12774" t="str">
        <v/>
      </c>
    </row>
    <row r="12775" spans="326:327">
      <c r="LN12775" t="str">
        <v/>
      </c>
      <c r="LO12775" t="str">
        <v/>
      </c>
    </row>
    <row r="12776" spans="326:327">
      <c r="LN12776" t="str">
        <v/>
      </c>
      <c r="LO12776" t="str">
        <v/>
      </c>
    </row>
    <row r="12777" spans="326:327">
      <c r="LN12777" t="str">
        <v/>
      </c>
      <c r="LO12777" t="str">
        <v/>
      </c>
    </row>
    <row r="12778" spans="326:327">
      <c r="LN12778" t="str">
        <v/>
      </c>
      <c r="LO12778" t="str">
        <v/>
      </c>
    </row>
    <row r="12779" spans="326:327">
      <c r="LN12779" t="str">
        <v/>
      </c>
      <c r="LO12779" t="str">
        <v/>
      </c>
    </row>
    <row r="12780" spans="326:327">
      <c r="LN12780" t="str">
        <v/>
      </c>
      <c r="LO12780" t="str">
        <v/>
      </c>
    </row>
    <row r="12781" spans="326:327">
      <c r="LN12781" t="str">
        <v/>
      </c>
      <c r="LO12781" t="str">
        <v/>
      </c>
    </row>
    <row r="12782" spans="326:327">
      <c r="LN12782" t="str">
        <v/>
      </c>
      <c r="LO12782" t="str">
        <v/>
      </c>
    </row>
    <row r="12783" spans="326:327">
      <c r="LN12783" t="str">
        <v/>
      </c>
      <c r="LO12783" t="str">
        <v/>
      </c>
    </row>
    <row r="12784" spans="326:327">
      <c r="LN12784" t="str">
        <v/>
      </c>
      <c r="LO12784" t="str">
        <v/>
      </c>
    </row>
    <row r="12785" spans="326:327">
      <c r="LN12785" t="str">
        <v/>
      </c>
      <c r="LO12785" t="str">
        <v/>
      </c>
    </row>
    <row r="12786" spans="326:327">
      <c r="LN12786" t="str">
        <v/>
      </c>
      <c r="LO12786" t="str">
        <v/>
      </c>
    </row>
    <row r="12787" spans="326:327">
      <c r="LN12787" t="str">
        <v/>
      </c>
      <c r="LO12787" t="str">
        <v/>
      </c>
    </row>
    <row r="12788" spans="326:327">
      <c r="LN12788" t="str">
        <v/>
      </c>
      <c r="LO12788" t="str">
        <v/>
      </c>
    </row>
    <row r="12789" spans="326:327">
      <c r="LN12789" t="str">
        <v/>
      </c>
      <c r="LO12789" t="str">
        <v/>
      </c>
    </row>
    <row r="12790" spans="326:327">
      <c r="LN12790" t="str">
        <v/>
      </c>
      <c r="LO12790" t="str">
        <v/>
      </c>
    </row>
    <row r="12791" spans="326:327">
      <c r="LN12791" t="str">
        <v/>
      </c>
      <c r="LO12791" t="str">
        <v/>
      </c>
    </row>
    <row r="12792" spans="326:327">
      <c r="LN12792" t="str">
        <v/>
      </c>
      <c r="LO12792" t="str">
        <v/>
      </c>
    </row>
    <row r="12793" spans="326:327">
      <c r="LN12793" t="str">
        <v/>
      </c>
      <c r="LO12793" t="str">
        <v/>
      </c>
    </row>
    <row r="12794" spans="326:327">
      <c r="LN12794" t="str">
        <v/>
      </c>
      <c r="LO12794" t="str">
        <v/>
      </c>
    </row>
    <row r="12795" spans="326:327">
      <c r="LN12795" t="str">
        <v/>
      </c>
      <c r="LO12795" t="str">
        <v/>
      </c>
    </row>
    <row r="12796" spans="326:327">
      <c r="LN12796" t="str">
        <v/>
      </c>
      <c r="LO12796" t="str">
        <v/>
      </c>
    </row>
    <row r="12797" spans="326:327">
      <c r="LN12797" t="str">
        <v/>
      </c>
      <c r="LO12797" t="str">
        <v/>
      </c>
    </row>
    <row r="12798" spans="326:327">
      <c r="LN12798" t="str">
        <v/>
      </c>
      <c r="LO12798" t="str">
        <v/>
      </c>
    </row>
    <row r="12799" spans="326:327">
      <c r="LN12799" t="str">
        <v/>
      </c>
      <c r="LO12799" t="str">
        <v/>
      </c>
    </row>
    <row r="12800" spans="326:327">
      <c r="LN12800" t="str">
        <v/>
      </c>
      <c r="LO12800" t="str">
        <v/>
      </c>
    </row>
    <row r="12801" spans="326:327">
      <c r="LN12801" t="str">
        <v/>
      </c>
      <c r="LO12801" t="str">
        <v/>
      </c>
    </row>
    <row r="12802" spans="326:327">
      <c r="LN12802" t="str">
        <v/>
      </c>
      <c r="LO12802" t="str">
        <v/>
      </c>
    </row>
    <row r="12803" spans="326:327">
      <c r="LN12803" t="str">
        <v/>
      </c>
      <c r="LO12803" t="str">
        <v/>
      </c>
    </row>
    <row r="12804" spans="326:327">
      <c r="LN12804" t="str">
        <v/>
      </c>
      <c r="LO12804" t="str">
        <v/>
      </c>
    </row>
    <row r="12805" spans="326:327">
      <c r="LN12805" t="str">
        <v/>
      </c>
      <c r="LO12805" t="str">
        <v/>
      </c>
    </row>
    <row r="12806" spans="326:327">
      <c r="LN12806" t="str">
        <v/>
      </c>
      <c r="LO12806" t="str">
        <v/>
      </c>
    </row>
    <row r="12807" spans="326:327">
      <c r="LN12807" t="str">
        <v/>
      </c>
      <c r="LO12807" t="str">
        <v/>
      </c>
    </row>
    <row r="12808" spans="326:327">
      <c r="LN12808" t="str">
        <v/>
      </c>
      <c r="LO12808" t="str">
        <v/>
      </c>
    </row>
    <row r="12809" spans="326:327">
      <c r="LN12809" t="str">
        <v/>
      </c>
      <c r="LO12809" t="str">
        <v/>
      </c>
    </row>
    <row r="12810" spans="326:327">
      <c r="LN12810" t="str">
        <v/>
      </c>
      <c r="LO12810" t="str">
        <v/>
      </c>
    </row>
    <row r="12811" spans="326:327">
      <c r="LN12811" t="str">
        <v/>
      </c>
      <c r="LO12811" t="str">
        <v/>
      </c>
    </row>
    <row r="12812" spans="326:327">
      <c r="LN12812" t="str">
        <v/>
      </c>
      <c r="LO12812" t="str">
        <v/>
      </c>
    </row>
    <row r="12813" spans="326:327">
      <c r="LN12813" t="str">
        <v/>
      </c>
      <c r="LO12813" t="str">
        <v/>
      </c>
    </row>
    <row r="12814" spans="326:327">
      <c r="LN12814" t="str">
        <v/>
      </c>
      <c r="LO12814" t="str">
        <v/>
      </c>
    </row>
    <row r="12815" spans="326:327">
      <c r="LN12815" t="str">
        <v/>
      </c>
      <c r="LO12815" t="str">
        <v/>
      </c>
    </row>
    <row r="12816" spans="326:327">
      <c r="LN12816" t="str">
        <v/>
      </c>
      <c r="LO12816" t="str">
        <v/>
      </c>
    </row>
    <row r="12817" spans="326:327">
      <c r="LN12817" t="str">
        <v/>
      </c>
      <c r="LO12817" t="str">
        <v/>
      </c>
    </row>
    <row r="12818" spans="326:327">
      <c r="LN12818" t="str">
        <v/>
      </c>
      <c r="LO12818" t="str">
        <v/>
      </c>
    </row>
    <row r="12819" spans="326:327">
      <c r="LN12819" t="str">
        <v/>
      </c>
      <c r="LO12819" t="str">
        <v/>
      </c>
    </row>
    <row r="12820" spans="326:327">
      <c r="LN12820" t="str">
        <v/>
      </c>
      <c r="LO12820" t="str">
        <v/>
      </c>
    </row>
    <row r="12821" spans="326:327">
      <c r="LN12821" t="str">
        <v/>
      </c>
      <c r="LO12821" t="str">
        <v/>
      </c>
    </row>
    <row r="12822" spans="326:327">
      <c r="LN12822" t="str">
        <v/>
      </c>
      <c r="LO12822" t="str">
        <v/>
      </c>
    </row>
    <row r="12823" spans="326:327">
      <c r="LN12823" t="str">
        <v/>
      </c>
      <c r="LO12823" t="str">
        <v/>
      </c>
    </row>
    <row r="12824" spans="326:327">
      <c r="LN12824" t="str">
        <v/>
      </c>
      <c r="LO12824" t="str">
        <v/>
      </c>
    </row>
    <row r="12825" spans="326:327">
      <c r="LN12825" t="str">
        <v/>
      </c>
      <c r="LO12825" t="str">
        <v/>
      </c>
    </row>
    <row r="12826" spans="326:327">
      <c r="LN12826" t="str">
        <v/>
      </c>
      <c r="LO12826" t="str">
        <v/>
      </c>
    </row>
    <row r="12827" spans="326:327">
      <c r="LN12827" t="str">
        <v/>
      </c>
      <c r="LO12827" t="str">
        <v/>
      </c>
    </row>
    <row r="12828" spans="326:327">
      <c r="LN12828" t="str">
        <v/>
      </c>
      <c r="LO12828" t="str">
        <v/>
      </c>
    </row>
    <row r="12829" spans="326:327">
      <c r="LN12829" t="str">
        <v/>
      </c>
      <c r="LO12829" t="str">
        <v/>
      </c>
    </row>
    <row r="12830" spans="326:327">
      <c r="LN12830" t="str">
        <v/>
      </c>
      <c r="LO12830" t="str">
        <v/>
      </c>
    </row>
    <row r="12831" spans="326:327">
      <c r="LN12831" t="str">
        <v/>
      </c>
      <c r="LO12831" t="str">
        <v/>
      </c>
    </row>
    <row r="12832" spans="326:327">
      <c r="LN12832" t="str">
        <v/>
      </c>
      <c r="LO12832" t="str">
        <v/>
      </c>
    </row>
    <row r="12833" spans="326:327">
      <c r="LN12833" t="str">
        <v/>
      </c>
      <c r="LO12833" t="str">
        <v/>
      </c>
    </row>
    <row r="12834" spans="326:327">
      <c r="LN12834" t="str">
        <v/>
      </c>
      <c r="LO12834" t="str">
        <v/>
      </c>
    </row>
    <row r="12835" spans="326:327">
      <c r="LN12835" t="str">
        <v/>
      </c>
      <c r="LO12835" t="str">
        <v/>
      </c>
    </row>
    <row r="12836" spans="326:327">
      <c r="LN12836" t="str">
        <v/>
      </c>
      <c r="LO12836" t="str">
        <v/>
      </c>
    </row>
    <row r="12837" spans="326:327">
      <c r="LN12837" t="str">
        <v/>
      </c>
      <c r="LO12837" t="str">
        <v/>
      </c>
    </row>
    <row r="12838" spans="326:327">
      <c r="LN12838" t="str">
        <v/>
      </c>
      <c r="LO12838" t="str">
        <v/>
      </c>
    </row>
    <row r="12839" spans="326:327">
      <c r="LN12839" t="str">
        <v/>
      </c>
      <c r="LO12839" t="str">
        <v/>
      </c>
    </row>
    <row r="12840" spans="326:327">
      <c r="LN12840" t="str">
        <v/>
      </c>
      <c r="LO12840" t="str">
        <v/>
      </c>
    </row>
    <row r="12841" spans="326:327">
      <c r="LN12841" t="str">
        <v/>
      </c>
      <c r="LO12841" t="str">
        <v/>
      </c>
    </row>
    <row r="12842" spans="326:327">
      <c r="LN12842" t="str">
        <v/>
      </c>
      <c r="LO12842" t="str">
        <v/>
      </c>
    </row>
    <row r="12843" spans="326:327">
      <c r="LN12843" t="str">
        <v/>
      </c>
      <c r="LO12843" t="str">
        <v/>
      </c>
    </row>
    <row r="12844" spans="326:327">
      <c r="LN12844" t="str">
        <v/>
      </c>
      <c r="LO12844" t="str">
        <v/>
      </c>
    </row>
    <row r="12845" spans="326:327">
      <c r="LN12845" t="str">
        <v/>
      </c>
      <c r="LO12845" t="str">
        <v/>
      </c>
    </row>
    <row r="12846" spans="326:327">
      <c r="LN12846" t="str">
        <v/>
      </c>
      <c r="LO12846" t="str">
        <v/>
      </c>
    </row>
    <row r="12847" spans="326:327">
      <c r="LN12847" t="str">
        <v/>
      </c>
      <c r="LO12847" t="str">
        <v/>
      </c>
    </row>
    <row r="12848" spans="326:327">
      <c r="LN12848" t="str">
        <v/>
      </c>
      <c r="LO12848" t="str">
        <v/>
      </c>
    </row>
    <row r="12849" spans="326:327">
      <c r="LN12849" t="str">
        <v/>
      </c>
      <c r="LO12849" t="str">
        <v/>
      </c>
    </row>
    <row r="12850" spans="326:327">
      <c r="LN12850" t="str">
        <v/>
      </c>
      <c r="LO12850" t="str">
        <v/>
      </c>
    </row>
    <row r="12851" spans="326:327">
      <c r="LN12851" t="str">
        <v/>
      </c>
      <c r="LO12851" t="str">
        <v/>
      </c>
    </row>
    <row r="12852" spans="326:327">
      <c r="LN12852" t="str">
        <v/>
      </c>
      <c r="LO12852" t="str">
        <v/>
      </c>
    </row>
    <row r="12853" spans="326:327">
      <c r="LN12853" t="str">
        <v/>
      </c>
      <c r="LO12853" t="str">
        <v/>
      </c>
    </row>
    <row r="12854" spans="326:327">
      <c r="LN12854" t="str">
        <v/>
      </c>
      <c r="LO12854" t="str">
        <v/>
      </c>
    </row>
    <row r="12855" spans="326:327">
      <c r="LN12855" t="str">
        <v/>
      </c>
      <c r="LO12855" t="str">
        <v/>
      </c>
    </row>
    <row r="12856" spans="326:327">
      <c r="LN12856" t="str">
        <v/>
      </c>
      <c r="LO12856" t="str">
        <v/>
      </c>
    </row>
    <row r="12857" spans="326:327">
      <c r="LN12857" t="str">
        <v/>
      </c>
      <c r="LO12857" t="str">
        <v/>
      </c>
    </row>
    <row r="12858" spans="326:327">
      <c r="LN12858" t="str">
        <v/>
      </c>
      <c r="LO12858" t="str">
        <v/>
      </c>
    </row>
    <row r="12859" spans="326:327">
      <c r="LN12859" t="str">
        <v/>
      </c>
      <c r="LO12859" t="str">
        <v/>
      </c>
    </row>
    <row r="12860" spans="326:327">
      <c r="LN12860" t="str">
        <v/>
      </c>
      <c r="LO12860" t="str">
        <v/>
      </c>
    </row>
    <row r="12861" spans="326:327">
      <c r="LN12861" t="str">
        <v/>
      </c>
      <c r="LO12861" t="str">
        <v/>
      </c>
    </row>
    <row r="12862" spans="326:327">
      <c r="LN12862" t="str">
        <v/>
      </c>
      <c r="LO12862" t="str">
        <v/>
      </c>
    </row>
    <row r="12863" spans="326:327">
      <c r="LN12863" t="str">
        <v/>
      </c>
      <c r="LO12863" t="str">
        <v/>
      </c>
    </row>
    <row r="12864" spans="326:327">
      <c r="LN12864" t="str">
        <v/>
      </c>
      <c r="LO12864" t="str">
        <v/>
      </c>
    </row>
    <row r="12865" spans="326:327">
      <c r="LN12865" t="str">
        <v/>
      </c>
      <c r="LO12865" t="str">
        <v/>
      </c>
    </row>
    <row r="12866" spans="326:327">
      <c r="LN12866" t="str">
        <v/>
      </c>
      <c r="LO12866" t="str">
        <v/>
      </c>
    </row>
    <row r="12867" spans="326:327">
      <c r="LN12867" t="str">
        <v/>
      </c>
      <c r="LO12867" t="str">
        <v/>
      </c>
    </row>
    <row r="12868" spans="326:327">
      <c r="LN12868" t="str">
        <v/>
      </c>
      <c r="LO12868" t="str">
        <v/>
      </c>
    </row>
    <row r="12869" spans="326:327">
      <c r="LN12869" t="str">
        <v/>
      </c>
      <c r="LO12869" t="str">
        <v/>
      </c>
    </row>
    <row r="12870" spans="326:327">
      <c r="LN12870" t="str">
        <v/>
      </c>
      <c r="LO12870" t="str">
        <v/>
      </c>
    </row>
    <row r="12871" spans="326:327">
      <c r="LN12871" t="str">
        <v/>
      </c>
      <c r="LO12871" t="str">
        <v/>
      </c>
    </row>
    <row r="12872" spans="326:327">
      <c r="LN12872" t="str">
        <v/>
      </c>
      <c r="LO12872" t="str">
        <v/>
      </c>
    </row>
    <row r="12873" spans="326:327">
      <c r="LN12873" t="str">
        <v/>
      </c>
      <c r="LO12873" t="str">
        <v/>
      </c>
    </row>
    <row r="12874" spans="326:327">
      <c r="LN12874" t="str">
        <v/>
      </c>
      <c r="LO12874" t="str">
        <v/>
      </c>
    </row>
    <row r="12875" spans="326:327">
      <c r="LN12875" t="str">
        <v/>
      </c>
      <c r="LO12875" t="str">
        <v/>
      </c>
    </row>
    <row r="12876" spans="326:327">
      <c r="LN12876" t="str">
        <v/>
      </c>
      <c r="LO12876" t="str">
        <v/>
      </c>
    </row>
    <row r="12877" spans="326:327">
      <c r="LN12877" t="str">
        <v/>
      </c>
      <c r="LO12877" t="str">
        <v/>
      </c>
    </row>
    <row r="12878" spans="326:327">
      <c r="LN12878" t="str">
        <v/>
      </c>
      <c r="LO12878" t="str">
        <v/>
      </c>
    </row>
    <row r="12879" spans="326:327">
      <c r="LN12879" t="str">
        <v/>
      </c>
      <c r="LO12879" t="str">
        <v/>
      </c>
    </row>
    <row r="12880" spans="326:327">
      <c r="LN12880" t="str">
        <v/>
      </c>
      <c r="LO12880" t="str">
        <v/>
      </c>
    </row>
    <row r="12881" spans="326:327">
      <c r="LN12881" t="str">
        <v/>
      </c>
      <c r="LO12881" t="str">
        <v/>
      </c>
    </row>
    <row r="12882" spans="326:327">
      <c r="LN12882" t="str">
        <v/>
      </c>
      <c r="LO12882" t="str">
        <v/>
      </c>
    </row>
    <row r="12883" spans="326:327">
      <c r="LN12883" t="str">
        <v/>
      </c>
      <c r="LO12883" t="str">
        <v/>
      </c>
    </row>
    <row r="12884" spans="326:327">
      <c r="LN12884" t="str">
        <v/>
      </c>
      <c r="LO12884" t="str">
        <v/>
      </c>
    </row>
    <row r="12885" spans="326:327">
      <c r="LN12885" t="str">
        <v/>
      </c>
      <c r="LO12885" t="str">
        <v/>
      </c>
    </row>
    <row r="12886" spans="326:327">
      <c r="LN12886" t="str">
        <v/>
      </c>
      <c r="LO12886" t="str">
        <v/>
      </c>
    </row>
    <row r="12887" spans="326:327">
      <c r="LN12887" t="str">
        <v/>
      </c>
      <c r="LO12887" t="str">
        <v/>
      </c>
    </row>
    <row r="12888" spans="326:327">
      <c r="LN12888" t="str">
        <v/>
      </c>
      <c r="LO12888" t="str">
        <v/>
      </c>
    </row>
    <row r="12889" spans="326:327">
      <c r="LN12889" t="str">
        <v/>
      </c>
      <c r="LO12889" t="str">
        <v/>
      </c>
    </row>
    <row r="12890" spans="326:327">
      <c r="LN12890" t="str">
        <v/>
      </c>
      <c r="LO12890" t="str">
        <v/>
      </c>
    </row>
    <row r="12891" spans="326:327">
      <c r="LN12891" t="str">
        <v/>
      </c>
      <c r="LO12891" t="str">
        <v/>
      </c>
    </row>
    <row r="12892" spans="326:327">
      <c r="LN12892" t="str">
        <v/>
      </c>
      <c r="LO12892" t="str">
        <v/>
      </c>
    </row>
    <row r="12893" spans="326:327">
      <c r="LN12893" t="str">
        <v/>
      </c>
      <c r="LO12893" t="str">
        <v/>
      </c>
    </row>
    <row r="12894" spans="326:327">
      <c r="LN12894" t="str">
        <v/>
      </c>
      <c r="LO12894" t="str">
        <v/>
      </c>
    </row>
    <row r="12895" spans="326:327">
      <c r="LN12895" t="str">
        <v/>
      </c>
      <c r="LO12895" t="str">
        <v/>
      </c>
    </row>
    <row r="12896" spans="326:327">
      <c r="LN12896" t="str">
        <v/>
      </c>
      <c r="LO12896" t="str">
        <v/>
      </c>
    </row>
    <row r="12897" spans="326:327">
      <c r="LN12897" t="str">
        <v/>
      </c>
      <c r="LO12897" t="str">
        <v/>
      </c>
    </row>
    <row r="12898" spans="326:327">
      <c r="LN12898" t="str">
        <v/>
      </c>
      <c r="LO12898" t="str">
        <v/>
      </c>
    </row>
    <row r="12899" spans="326:327">
      <c r="LN12899" t="str">
        <v/>
      </c>
      <c r="LO12899" t="str">
        <v/>
      </c>
    </row>
    <row r="12900" spans="326:327">
      <c r="LN12900" t="str">
        <v/>
      </c>
      <c r="LO12900" t="str">
        <v/>
      </c>
    </row>
    <row r="12901" spans="326:327">
      <c r="LN12901" t="str">
        <v/>
      </c>
      <c r="LO12901" t="str">
        <v/>
      </c>
    </row>
    <row r="12902" spans="326:327">
      <c r="LN12902" t="str">
        <v/>
      </c>
      <c r="LO12902" t="str">
        <v/>
      </c>
    </row>
    <row r="12903" spans="326:327">
      <c r="LN12903" t="str">
        <v/>
      </c>
      <c r="LO12903" t="str">
        <v/>
      </c>
    </row>
    <row r="12904" spans="326:327">
      <c r="LN12904" t="str">
        <v/>
      </c>
      <c r="LO12904" t="str">
        <v/>
      </c>
    </row>
    <row r="12905" spans="326:327">
      <c r="LN12905" t="str">
        <v/>
      </c>
      <c r="LO12905" t="str">
        <v/>
      </c>
    </row>
    <row r="12906" spans="326:327">
      <c r="LN12906" t="str">
        <v/>
      </c>
      <c r="LO12906" t="str">
        <v/>
      </c>
    </row>
    <row r="12907" spans="326:327">
      <c r="LN12907" t="str">
        <v/>
      </c>
      <c r="LO12907" t="str">
        <v/>
      </c>
    </row>
    <row r="12908" spans="326:327">
      <c r="LN12908" t="str">
        <v/>
      </c>
      <c r="LO12908" t="str">
        <v/>
      </c>
    </row>
    <row r="12909" spans="326:327">
      <c r="LN12909" t="str">
        <v/>
      </c>
      <c r="LO12909" t="str">
        <v/>
      </c>
    </row>
    <row r="12910" spans="326:327">
      <c r="LN12910" t="str">
        <v/>
      </c>
      <c r="LO12910" t="str">
        <v/>
      </c>
    </row>
    <row r="12911" spans="326:327">
      <c r="LN12911" t="str">
        <v/>
      </c>
      <c r="LO12911" t="str">
        <v/>
      </c>
    </row>
    <row r="12912" spans="326:327">
      <c r="LN12912" t="str">
        <v/>
      </c>
      <c r="LO12912" t="str">
        <v/>
      </c>
    </row>
    <row r="12913" spans="326:327">
      <c r="LN12913" t="str">
        <v/>
      </c>
      <c r="LO12913" t="str">
        <v/>
      </c>
    </row>
    <row r="12914" spans="326:327">
      <c r="LN12914" t="str">
        <v/>
      </c>
      <c r="LO12914" t="str">
        <v/>
      </c>
    </row>
    <row r="12915" spans="326:327">
      <c r="LN12915" t="str">
        <v/>
      </c>
      <c r="LO12915" t="str">
        <v/>
      </c>
    </row>
    <row r="12916" spans="326:327">
      <c r="LN12916" t="str">
        <v/>
      </c>
      <c r="LO12916" t="str">
        <v/>
      </c>
    </row>
    <row r="12917" spans="326:327">
      <c r="LN12917" t="str">
        <v/>
      </c>
      <c r="LO12917" t="str">
        <v/>
      </c>
    </row>
    <row r="12918" spans="326:327">
      <c r="LN12918" t="str">
        <v/>
      </c>
      <c r="LO12918" t="str">
        <v/>
      </c>
    </row>
    <row r="12919" spans="326:327">
      <c r="LN12919" t="str">
        <v/>
      </c>
      <c r="LO12919" t="str">
        <v/>
      </c>
    </row>
    <row r="12920" spans="326:327">
      <c r="LN12920" t="str">
        <v/>
      </c>
      <c r="LO12920" t="str">
        <v/>
      </c>
    </row>
    <row r="12921" spans="326:327">
      <c r="LN12921" t="str">
        <v/>
      </c>
      <c r="LO12921" t="str">
        <v/>
      </c>
    </row>
    <row r="12922" spans="326:327">
      <c r="LN12922" t="str">
        <v/>
      </c>
      <c r="LO12922" t="str">
        <v/>
      </c>
    </row>
    <row r="12923" spans="326:327">
      <c r="LN12923" t="str">
        <v/>
      </c>
      <c r="LO12923" t="str">
        <v/>
      </c>
    </row>
    <row r="12924" spans="326:327">
      <c r="LN12924" t="str">
        <v/>
      </c>
      <c r="LO12924" t="str">
        <v/>
      </c>
    </row>
    <row r="12925" spans="326:327">
      <c r="LN12925" t="str">
        <v/>
      </c>
      <c r="LO12925" t="str">
        <v/>
      </c>
    </row>
    <row r="12926" spans="326:327">
      <c r="LN12926" t="str">
        <v/>
      </c>
      <c r="LO12926" t="str">
        <v/>
      </c>
    </row>
    <row r="12927" spans="326:327">
      <c r="LN12927" t="str">
        <v/>
      </c>
      <c r="LO12927" t="str">
        <v/>
      </c>
    </row>
    <row r="12928" spans="326:327">
      <c r="LN12928" t="str">
        <v/>
      </c>
      <c r="LO12928" t="str">
        <v/>
      </c>
    </row>
    <row r="12929" spans="326:327">
      <c r="LN12929" t="str">
        <v/>
      </c>
      <c r="LO12929" t="str">
        <v/>
      </c>
    </row>
    <row r="12930" spans="326:327">
      <c r="LN12930" t="str">
        <v/>
      </c>
      <c r="LO12930" t="str">
        <v/>
      </c>
    </row>
    <row r="12931" spans="326:327">
      <c r="LN12931" t="str">
        <v/>
      </c>
      <c r="LO12931" t="str">
        <v/>
      </c>
    </row>
    <row r="12932" spans="326:327">
      <c r="LN12932" t="str">
        <v/>
      </c>
      <c r="LO12932" t="str">
        <v/>
      </c>
    </row>
    <row r="12933" spans="326:327">
      <c r="LN12933" t="str">
        <v/>
      </c>
      <c r="LO12933" t="str">
        <v/>
      </c>
    </row>
    <row r="12934" spans="326:327">
      <c r="LN12934" t="str">
        <v/>
      </c>
      <c r="LO12934" t="str">
        <v/>
      </c>
    </row>
    <row r="12935" spans="326:327">
      <c r="LN12935" t="str">
        <v/>
      </c>
      <c r="LO12935" t="str">
        <v/>
      </c>
    </row>
    <row r="12936" spans="326:327">
      <c r="LN12936" t="str">
        <v/>
      </c>
      <c r="LO12936" t="str">
        <v/>
      </c>
    </row>
    <row r="12937" spans="326:327">
      <c r="LN12937" t="str">
        <v/>
      </c>
      <c r="LO12937" t="str">
        <v/>
      </c>
    </row>
    <row r="12938" spans="326:327">
      <c r="LN12938" t="str">
        <v/>
      </c>
      <c r="LO12938" t="str">
        <v/>
      </c>
    </row>
    <row r="12939" spans="326:327">
      <c r="LN12939" t="str">
        <v/>
      </c>
      <c r="LO12939" t="str">
        <v/>
      </c>
    </row>
    <row r="12940" spans="326:327">
      <c r="LN12940" t="str">
        <v/>
      </c>
      <c r="LO12940" t="str">
        <v/>
      </c>
    </row>
    <row r="12941" spans="326:327">
      <c r="LN12941" t="str">
        <v/>
      </c>
      <c r="LO12941" t="str">
        <v/>
      </c>
    </row>
    <row r="12942" spans="326:327">
      <c r="LN12942" t="str">
        <v/>
      </c>
      <c r="LO12942" t="str">
        <v/>
      </c>
    </row>
    <row r="12943" spans="326:327">
      <c r="LN12943" t="str">
        <v/>
      </c>
      <c r="LO12943" t="str">
        <v/>
      </c>
    </row>
    <row r="12944" spans="326:327">
      <c r="LN12944" t="str">
        <v/>
      </c>
      <c r="LO12944" t="str">
        <v/>
      </c>
    </row>
    <row r="12945" spans="326:327">
      <c r="LN12945" t="str">
        <v/>
      </c>
      <c r="LO12945" t="str">
        <v/>
      </c>
    </row>
    <row r="12946" spans="326:327">
      <c r="LN12946" t="str">
        <v/>
      </c>
      <c r="LO12946" t="str">
        <v/>
      </c>
    </row>
    <row r="12947" spans="326:327">
      <c r="LN12947" t="str">
        <v/>
      </c>
      <c r="LO12947" t="str">
        <v/>
      </c>
    </row>
    <row r="12948" spans="326:327">
      <c r="LN12948" t="str">
        <v/>
      </c>
      <c r="LO12948" t="str">
        <v/>
      </c>
    </row>
    <row r="12949" spans="326:327">
      <c r="LN12949" t="str">
        <v/>
      </c>
      <c r="LO12949" t="str">
        <v/>
      </c>
    </row>
    <row r="12950" spans="326:327">
      <c r="LN12950" t="str">
        <v/>
      </c>
      <c r="LO12950" t="str">
        <v/>
      </c>
    </row>
    <row r="12951" spans="326:327">
      <c r="LN12951" t="str">
        <v/>
      </c>
      <c r="LO12951" t="str">
        <v/>
      </c>
    </row>
    <row r="12952" spans="326:327">
      <c r="LN12952" t="str">
        <v/>
      </c>
      <c r="LO12952" t="str">
        <v/>
      </c>
    </row>
    <row r="12953" spans="326:327">
      <c r="LN12953" t="str">
        <v/>
      </c>
      <c r="LO12953" t="str">
        <v/>
      </c>
    </row>
    <row r="12954" spans="326:327">
      <c r="LN12954" t="str">
        <v/>
      </c>
      <c r="LO12954" t="str">
        <v/>
      </c>
    </row>
    <row r="12955" spans="326:327">
      <c r="LN12955" t="str">
        <v/>
      </c>
      <c r="LO12955" t="str">
        <v/>
      </c>
    </row>
    <row r="12956" spans="326:327">
      <c r="LN12956" t="str">
        <v/>
      </c>
      <c r="LO12956" t="str">
        <v/>
      </c>
    </row>
    <row r="12957" spans="326:327">
      <c r="LN12957" t="str">
        <v/>
      </c>
      <c r="LO12957" t="str">
        <v/>
      </c>
    </row>
    <row r="12958" spans="326:327">
      <c r="LN12958" t="str">
        <v/>
      </c>
      <c r="LO12958" t="str">
        <v/>
      </c>
    </row>
    <row r="12959" spans="326:327">
      <c r="LN12959" t="str">
        <v/>
      </c>
      <c r="LO12959" t="str">
        <v/>
      </c>
    </row>
    <row r="12960" spans="326:327">
      <c r="LN12960" t="str">
        <v/>
      </c>
      <c r="LO12960" t="str">
        <v/>
      </c>
    </row>
    <row r="12961" spans="326:327">
      <c r="LN12961" t="str">
        <v/>
      </c>
      <c r="LO12961" t="str">
        <v/>
      </c>
    </row>
    <row r="12962" spans="326:327">
      <c r="LN12962" t="str">
        <v/>
      </c>
      <c r="LO12962" t="str">
        <v/>
      </c>
    </row>
    <row r="12963" spans="326:327">
      <c r="LN12963" t="str">
        <v/>
      </c>
      <c r="LO12963" t="str">
        <v/>
      </c>
    </row>
    <row r="12964" spans="326:327">
      <c r="LN12964" t="str">
        <v/>
      </c>
      <c r="LO12964" t="str">
        <v/>
      </c>
    </row>
    <row r="12965" spans="326:327">
      <c r="LN12965" t="str">
        <v/>
      </c>
      <c r="LO12965" t="str">
        <v/>
      </c>
    </row>
    <row r="12966" spans="326:327">
      <c r="LN12966" t="str">
        <v/>
      </c>
      <c r="LO12966" t="str">
        <v/>
      </c>
    </row>
    <row r="12967" spans="326:327">
      <c r="LN12967" t="str">
        <v/>
      </c>
      <c r="LO12967" t="str">
        <v/>
      </c>
    </row>
    <row r="12968" spans="326:327">
      <c r="LN12968" t="str">
        <v/>
      </c>
      <c r="LO12968" t="str">
        <v/>
      </c>
    </row>
    <row r="12969" spans="326:327">
      <c r="LN12969" t="str">
        <v/>
      </c>
      <c r="LO12969" t="str">
        <v/>
      </c>
    </row>
    <row r="12970" spans="326:327">
      <c r="LN12970" t="str">
        <v/>
      </c>
      <c r="LO12970" t="str">
        <v/>
      </c>
    </row>
    <row r="12971" spans="326:327">
      <c r="LN12971" t="str">
        <v/>
      </c>
      <c r="LO12971" t="str">
        <v/>
      </c>
    </row>
    <row r="12972" spans="326:327">
      <c r="LN12972" t="str">
        <v/>
      </c>
      <c r="LO12972" t="str">
        <v/>
      </c>
    </row>
    <row r="12973" spans="326:327">
      <c r="LN12973" t="str">
        <v/>
      </c>
      <c r="LO12973" t="str">
        <v/>
      </c>
    </row>
    <row r="12974" spans="326:327">
      <c r="LN12974" t="str">
        <v/>
      </c>
      <c r="LO12974" t="str">
        <v/>
      </c>
    </row>
    <row r="12975" spans="326:327">
      <c r="LN12975" t="str">
        <v/>
      </c>
      <c r="LO12975" t="str">
        <v/>
      </c>
    </row>
    <row r="12976" spans="326:327">
      <c r="LN12976" t="str">
        <v/>
      </c>
      <c r="LO12976" t="str">
        <v/>
      </c>
    </row>
    <row r="12977" spans="326:327">
      <c r="LN12977" t="str">
        <v/>
      </c>
      <c r="LO12977" t="str">
        <v/>
      </c>
    </row>
    <row r="12978" spans="326:327">
      <c r="LN12978" t="str">
        <v/>
      </c>
      <c r="LO12978" t="str">
        <v/>
      </c>
    </row>
    <row r="12979" spans="326:327">
      <c r="LN12979" t="str">
        <v/>
      </c>
      <c r="LO12979" t="str">
        <v/>
      </c>
    </row>
    <row r="12980" spans="326:327">
      <c r="LN12980" t="str">
        <v/>
      </c>
      <c r="LO12980" t="str">
        <v/>
      </c>
    </row>
    <row r="12981" spans="326:327">
      <c r="LN12981" t="str">
        <v/>
      </c>
      <c r="LO12981" t="str">
        <v/>
      </c>
    </row>
    <row r="12982" spans="326:327">
      <c r="LN12982" t="str">
        <v/>
      </c>
      <c r="LO12982" t="str">
        <v/>
      </c>
    </row>
    <row r="12983" spans="326:327">
      <c r="LN12983" t="str">
        <v/>
      </c>
      <c r="LO12983" t="str">
        <v/>
      </c>
    </row>
    <row r="12984" spans="326:327">
      <c r="LN12984" t="str">
        <v/>
      </c>
      <c r="LO12984" t="str">
        <v/>
      </c>
    </row>
    <row r="12985" spans="326:327">
      <c r="LN12985" t="str">
        <v/>
      </c>
      <c r="LO12985" t="str">
        <v/>
      </c>
    </row>
    <row r="12986" spans="326:327">
      <c r="LN12986" t="str">
        <v/>
      </c>
      <c r="LO12986" t="str">
        <v/>
      </c>
    </row>
    <row r="12987" spans="326:327">
      <c r="LN12987" t="str">
        <v/>
      </c>
      <c r="LO12987" t="str">
        <v/>
      </c>
    </row>
    <row r="12988" spans="326:327">
      <c r="LN12988" t="str">
        <v/>
      </c>
      <c r="LO12988" t="str">
        <v/>
      </c>
    </row>
    <row r="12989" spans="326:327">
      <c r="LN12989" t="str">
        <v/>
      </c>
      <c r="LO12989" t="str">
        <v/>
      </c>
    </row>
    <row r="12990" spans="326:327">
      <c r="LN12990" t="str">
        <v/>
      </c>
      <c r="LO12990" t="str">
        <v/>
      </c>
    </row>
    <row r="12991" spans="326:327">
      <c r="LN12991" t="str">
        <v/>
      </c>
      <c r="LO12991" t="str">
        <v/>
      </c>
    </row>
    <row r="12992" spans="326:327">
      <c r="LN12992" t="str">
        <v/>
      </c>
      <c r="LO12992" t="str">
        <v/>
      </c>
    </row>
    <row r="12993" spans="326:327">
      <c r="LN12993" t="str">
        <v/>
      </c>
      <c r="LO12993" t="str">
        <v/>
      </c>
    </row>
    <row r="12994" spans="326:327">
      <c r="LN12994" t="str">
        <v/>
      </c>
      <c r="LO12994" t="str">
        <v/>
      </c>
    </row>
    <row r="12995" spans="326:327">
      <c r="LN12995" t="str">
        <v/>
      </c>
      <c r="LO12995" t="str">
        <v/>
      </c>
    </row>
    <row r="12996" spans="326:327">
      <c r="LN12996" t="str">
        <v/>
      </c>
      <c r="LO12996" t="str">
        <v/>
      </c>
    </row>
    <row r="12997" spans="326:327">
      <c r="LN12997" t="str">
        <v/>
      </c>
      <c r="LO12997" t="str">
        <v/>
      </c>
    </row>
    <row r="12998" spans="326:327">
      <c r="LN12998" t="str">
        <v/>
      </c>
      <c r="LO12998" t="str">
        <v/>
      </c>
    </row>
    <row r="12999" spans="326:327">
      <c r="LN12999" t="str">
        <v/>
      </c>
      <c r="LO12999" t="str">
        <v/>
      </c>
    </row>
    <row r="13000" spans="326:327">
      <c r="LN13000" t="str">
        <v/>
      </c>
      <c r="LO13000" t="str">
        <v/>
      </c>
    </row>
    <row r="13001" spans="326:327">
      <c r="LN13001" t="str">
        <v/>
      </c>
      <c r="LO13001" t="str">
        <v/>
      </c>
    </row>
    <row r="13002" spans="326:327">
      <c r="LN13002" t="str">
        <v/>
      </c>
      <c r="LO13002" t="str">
        <v/>
      </c>
    </row>
    <row r="13003" spans="326:327">
      <c r="LN13003" t="str">
        <v/>
      </c>
      <c r="LO13003" t="str">
        <v/>
      </c>
    </row>
    <row r="13004" spans="326:327">
      <c r="LN13004" t="str">
        <v/>
      </c>
      <c r="LO13004" t="str">
        <v/>
      </c>
    </row>
    <row r="13005" spans="326:327">
      <c r="LN13005" t="str">
        <v/>
      </c>
      <c r="LO13005" t="str">
        <v/>
      </c>
    </row>
    <row r="13006" spans="326:327">
      <c r="LN13006" t="str">
        <v/>
      </c>
      <c r="LO13006" t="str">
        <v/>
      </c>
    </row>
    <row r="13007" spans="326:327">
      <c r="LN13007" t="str">
        <v/>
      </c>
      <c r="LO13007" t="str">
        <v/>
      </c>
    </row>
    <row r="13008" spans="326:327">
      <c r="LN13008" t="str">
        <v/>
      </c>
      <c r="LO13008" t="str">
        <v/>
      </c>
    </row>
    <row r="13009" spans="326:327">
      <c r="LN13009" t="str">
        <v/>
      </c>
      <c r="LO13009" t="str">
        <v/>
      </c>
    </row>
    <row r="13010" spans="326:327">
      <c r="LN13010" t="str">
        <v/>
      </c>
      <c r="LO13010" t="str">
        <v/>
      </c>
    </row>
    <row r="13011" spans="326:327">
      <c r="LN13011" t="str">
        <v/>
      </c>
      <c r="LO13011" t="str">
        <v/>
      </c>
    </row>
    <row r="13012" spans="326:327">
      <c r="LN13012" t="str">
        <v/>
      </c>
      <c r="LO13012" t="str">
        <v/>
      </c>
    </row>
    <row r="13013" spans="326:327">
      <c r="LN13013" t="str">
        <v/>
      </c>
      <c r="LO13013" t="str">
        <v/>
      </c>
    </row>
    <row r="13014" spans="326:327">
      <c r="LN13014" t="str">
        <v/>
      </c>
      <c r="LO13014" t="str">
        <v/>
      </c>
    </row>
    <row r="13015" spans="326:327">
      <c r="LN13015" t="str">
        <v/>
      </c>
      <c r="LO13015" t="str">
        <v/>
      </c>
    </row>
    <row r="13016" spans="326:327">
      <c r="LN13016" t="str">
        <v/>
      </c>
      <c r="LO13016" t="str">
        <v/>
      </c>
    </row>
    <row r="13017" spans="326:327">
      <c r="LN13017" t="str">
        <v/>
      </c>
      <c r="LO13017" t="str">
        <v/>
      </c>
    </row>
    <row r="13018" spans="326:327">
      <c r="LN13018" t="str">
        <v/>
      </c>
      <c r="LO13018" t="str">
        <v/>
      </c>
    </row>
    <row r="13019" spans="326:327">
      <c r="LN13019" t="str">
        <v/>
      </c>
      <c r="LO13019" t="str">
        <v/>
      </c>
    </row>
    <row r="13020" spans="326:327">
      <c r="LN13020" t="str">
        <v/>
      </c>
      <c r="LO13020" t="str">
        <v/>
      </c>
    </row>
    <row r="13021" spans="326:327">
      <c r="LN13021" t="str">
        <v/>
      </c>
      <c r="LO13021" t="str">
        <v/>
      </c>
    </row>
    <row r="13022" spans="326:327">
      <c r="LN13022" t="str">
        <v/>
      </c>
      <c r="LO13022" t="str">
        <v/>
      </c>
    </row>
    <row r="13023" spans="326:327">
      <c r="LN13023" t="str">
        <v/>
      </c>
      <c r="LO13023" t="str">
        <v/>
      </c>
    </row>
    <row r="13024" spans="326:327">
      <c r="LN13024" t="str">
        <v/>
      </c>
      <c r="LO13024" t="str">
        <v/>
      </c>
    </row>
    <row r="13025" spans="326:327">
      <c r="LN13025" t="str">
        <v/>
      </c>
      <c r="LO13025" t="str">
        <v/>
      </c>
    </row>
    <row r="13026" spans="326:327">
      <c r="LN13026" t="str">
        <v/>
      </c>
      <c r="LO13026" t="str">
        <v/>
      </c>
    </row>
    <row r="13027" spans="326:327">
      <c r="LN13027" t="str">
        <v/>
      </c>
      <c r="LO13027" t="str">
        <v/>
      </c>
    </row>
    <row r="13028" spans="326:327">
      <c r="LN13028" t="str">
        <v/>
      </c>
      <c r="LO13028" t="str">
        <v/>
      </c>
    </row>
    <row r="13029" spans="326:327">
      <c r="LN13029" t="str">
        <v/>
      </c>
      <c r="LO13029" t="str">
        <v/>
      </c>
    </row>
    <row r="13030" spans="326:327">
      <c r="LN13030" t="str">
        <v/>
      </c>
      <c r="LO13030" t="str">
        <v/>
      </c>
    </row>
    <row r="13031" spans="326:327">
      <c r="LN13031" t="str">
        <v/>
      </c>
      <c r="LO13031" t="str">
        <v/>
      </c>
    </row>
    <row r="13032" spans="326:327">
      <c r="LN13032" t="str">
        <v/>
      </c>
      <c r="LO13032" t="str">
        <v/>
      </c>
    </row>
    <row r="13033" spans="326:327">
      <c r="LN13033" t="str">
        <v/>
      </c>
      <c r="LO13033" t="str">
        <v/>
      </c>
    </row>
    <row r="13034" spans="326:327">
      <c r="LN13034" t="str">
        <v/>
      </c>
      <c r="LO13034" t="str">
        <v/>
      </c>
    </row>
    <row r="13035" spans="326:327">
      <c r="LN13035" t="str">
        <v/>
      </c>
      <c r="LO13035" t="str">
        <v/>
      </c>
    </row>
    <row r="13036" spans="326:327">
      <c r="LN13036" t="str">
        <v/>
      </c>
      <c r="LO13036" t="str">
        <v/>
      </c>
    </row>
    <row r="13037" spans="326:327">
      <c r="LN13037" t="str">
        <v/>
      </c>
      <c r="LO13037" t="str">
        <v/>
      </c>
    </row>
    <row r="13038" spans="326:327">
      <c r="LN13038" t="str">
        <v/>
      </c>
      <c r="LO13038" t="str">
        <v/>
      </c>
    </row>
    <row r="13039" spans="326:327">
      <c r="LN13039" t="str">
        <v/>
      </c>
      <c r="LO13039" t="str">
        <v/>
      </c>
    </row>
    <row r="13040" spans="326:327">
      <c r="LN13040" t="str">
        <v/>
      </c>
      <c r="LO13040" t="str">
        <v/>
      </c>
    </row>
    <row r="13041" spans="326:327">
      <c r="LN13041" t="str">
        <v/>
      </c>
      <c r="LO13041" t="str">
        <v/>
      </c>
    </row>
    <row r="13042" spans="326:327">
      <c r="LN13042" t="str">
        <v/>
      </c>
      <c r="LO13042" t="str">
        <v/>
      </c>
    </row>
    <row r="13043" spans="326:327">
      <c r="LN13043" t="str">
        <v/>
      </c>
      <c r="LO13043" t="str">
        <v/>
      </c>
    </row>
    <row r="13044" spans="326:327">
      <c r="LN13044" t="str">
        <v/>
      </c>
      <c r="LO13044" t="str">
        <v/>
      </c>
    </row>
    <row r="13045" spans="326:327">
      <c r="LN13045" t="str">
        <v/>
      </c>
      <c r="LO13045" t="str">
        <v/>
      </c>
    </row>
    <row r="13046" spans="326:327">
      <c r="LN13046" t="str">
        <v/>
      </c>
      <c r="LO13046" t="str">
        <v/>
      </c>
    </row>
    <row r="13047" spans="326:327">
      <c r="LN13047" t="str">
        <v/>
      </c>
      <c r="LO13047" t="str">
        <v/>
      </c>
    </row>
    <row r="13048" spans="326:327">
      <c r="LN13048" t="str">
        <v/>
      </c>
      <c r="LO13048" t="str">
        <v/>
      </c>
    </row>
    <row r="13049" spans="326:327">
      <c r="LN13049" t="str">
        <v/>
      </c>
      <c r="LO13049" t="str">
        <v/>
      </c>
    </row>
    <row r="13050" spans="326:327">
      <c r="LN13050" t="str">
        <v/>
      </c>
      <c r="LO13050" t="str">
        <v/>
      </c>
    </row>
    <row r="13051" spans="326:327">
      <c r="LN13051" t="str">
        <v/>
      </c>
      <c r="LO13051" t="str">
        <v/>
      </c>
    </row>
    <row r="13052" spans="326:327">
      <c r="LN13052" t="str">
        <v/>
      </c>
      <c r="LO13052" t="str">
        <v/>
      </c>
    </row>
    <row r="13053" spans="326:327">
      <c r="LN13053" t="str">
        <v/>
      </c>
      <c r="LO13053" t="str">
        <v/>
      </c>
    </row>
    <row r="13054" spans="326:327">
      <c r="LN13054" t="str">
        <v/>
      </c>
      <c r="LO13054" t="str">
        <v/>
      </c>
    </row>
    <row r="13055" spans="326:327">
      <c r="LN13055" t="str">
        <v/>
      </c>
      <c r="LO13055" t="str">
        <v/>
      </c>
    </row>
    <row r="13056" spans="326:327">
      <c r="LN13056" t="str">
        <v/>
      </c>
      <c r="LO13056" t="str">
        <v/>
      </c>
    </row>
    <row r="13057" spans="326:327">
      <c r="LN13057" t="str">
        <v/>
      </c>
      <c r="LO13057" t="str">
        <v/>
      </c>
    </row>
    <row r="13058" spans="326:327">
      <c r="LN13058" t="str">
        <v/>
      </c>
      <c r="LO13058" t="str">
        <v/>
      </c>
    </row>
    <row r="13059" spans="326:327">
      <c r="LN13059" t="str">
        <v/>
      </c>
      <c r="LO13059" t="str">
        <v/>
      </c>
    </row>
    <row r="13060" spans="326:327">
      <c r="LN13060" t="str">
        <v/>
      </c>
      <c r="LO13060" t="str">
        <v/>
      </c>
    </row>
    <row r="13061" spans="326:327">
      <c r="LN13061" t="str">
        <v/>
      </c>
      <c r="LO13061" t="str">
        <v/>
      </c>
    </row>
    <row r="13062" spans="326:327">
      <c r="LN13062" t="str">
        <v/>
      </c>
      <c r="LO13062" t="str">
        <v/>
      </c>
    </row>
    <row r="13063" spans="326:327">
      <c r="LN13063" t="str">
        <v/>
      </c>
      <c r="LO13063" t="str">
        <v/>
      </c>
    </row>
    <row r="13064" spans="326:327">
      <c r="LN13064" t="str">
        <v/>
      </c>
      <c r="LO13064" t="str">
        <v/>
      </c>
    </row>
    <row r="13065" spans="326:327">
      <c r="LN13065" t="str">
        <v/>
      </c>
      <c r="LO13065" t="str">
        <v/>
      </c>
    </row>
    <row r="13066" spans="326:327">
      <c r="LN13066" t="str">
        <v/>
      </c>
      <c r="LO13066" t="str">
        <v/>
      </c>
    </row>
    <row r="13067" spans="326:327">
      <c r="LN13067" t="str">
        <v/>
      </c>
      <c r="LO13067" t="str">
        <v/>
      </c>
    </row>
    <row r="13068" spans="326:327">
      <c r="LN13068" t="str">
        <v/>
      </c>
      <c r="LO13068" t="str">
        <v/>
      </c>
    </row>
    <row r="13069" spans="326:327">
      <c r="LN13069" t="str">
        <v/>
      </c>
      <c r="LO13069" t="str">
        <v/>
      </c>
    </row>
    <row r="13070" spans="326:327">
      <c r="LN13070" t="str">
        <v/>
      </c>
      <c r="LO13070" t="str">
        <v/>
      </c>
    </row>
    <row r="13071" spans="326:327">
      <c r="LN13071" t="str">
        <v/>
      </c>
      <c r="LO13071" t="str">
        <v/>
      </c>
    </row>
    <row r="13072" spans="326:327">
      <c r="LN13072" t="str">
        <v/>
      </c>
      <c r="LO13072" t="str">
        <v/>
      </c>
    </row>
    <row r="13073" spans="326:327">
      <c r="LN13073" t="str">
        <v/>
      </c>
      <c r="LO13073" t="str">
        <v/>
      </c>
    </row>
    <row r="13074" spans="326:327">
      <c r="LN13074" t="str">
        <v/>
      </c>
      <c r="LO13074" t="str">
        <v/>
      </c>
    </row>
    <row r="13075" spans="326:327">
      <c r="LN13075" t="str">
        <v/>
      </c>
      <c r="LO13075" t="str">
        <v/>
      </c>
    </row>
    <row r="13076" spans="326:327">
      <c r="LN13076" t="str">
        <v/>
      </c>
      <c r="LO13076" t="str">
        <v/>
      </c>
    </row>
    <row r="13077" spans="326:327">
      <c r="LN13077" t="str">
        <v/>
      </c>
      <c r="LO13077" t="str">
        <v/>
      </c>
    </row>
    <row r="13078" spans="326:327">
      <c r="LN13078" t="str">
        <v/>
      </c>
      <c r="LO13078" t="str">
        <v/>
      </c>
    </row>
    <row r="13079" spans="326:327">
      <c r="LN13079" t="str">
        <v/>
      </c>
      <c r="LO13079" t="str">
        <v/>
      </c>
    </row>
    <row r="13080" spans="326:327">
      <c r="LN13080" t="str">
        <v/>
      </c>
      <c r="LO13080" t="str">
        <v/>
      </c>
    </row>
    <row r="13081" spans="326:327">
      <c r="LN13081" t="str">
        <v/>
      </c>
      <c r="LO13081" t="str">
        <v/>
      </c>
    </row>
    <row r="13082" spans="326:327">
      <c r="LN13082" t="str">
        <v/>
      </c>
      <c r="LO13082" t="str">
        <v/>
      </c>
    </row>
    <row r="13083" spans="326:327">
      <c r="LN13083" t="str">
        <v/>
      </c>
      <c r="LO13083" t="str">
        <v/>
      </c>
    </row>
    <row r="13084" spans="326:327">
      <c r="LN13084" t="str">
        <v/>
      </c>
      <c r="LO13084" t="str">
        <v/>
      </c>
    </row>
    <row r="13085" spans="326:327">
      <c r="LN13085" t="str">
        <v/>
      </c>
      <c r="LO13085" t="str">
        <v/>
      </c>
    </row>
    <row r="13086" spans="326:327">
      <c r="LN13086" t="str">
        <v/>
      </c>
      <c r="LO13086" t="str">
        <v/>
      </c>
    </row>
    <row r="13087" spans="326:327">
      <c r="LN13087" t="str">
        <v/>
      </c>
      <c r="LO13087" t="str">
        <v/>
      </c>
    </row>
    <row r="13088" spans="326:327">
      <c r="LN13088" t="str">
        <v/>
      </c>
      <c r="LO13088" t="str">
        <v/>
      </c>
    </row>
    <row r="13089" spans="326:327">
      <c r="LN13089" t="str">
        <v/>
      </c>
      <c r="LO13089" t="str">
        <v/>
      </c>
    </row>
    <row r="13090" spans="326:327">
      <c r="LN13090" t="str">
        <v/>
      </c>
      <c r="LO13090" t="str">
        <v/>
      </c>
    </row>
    <row r="13091" spans="326:327">
      <c r="LN13091" t="str">
        <v/>
      </c>
      <c r="LO13091" t="str">
        <v/>
      </c>
    </row>
    <row r="13092" spans="326:327">
      <c r="LN13092" t="str">
        <v/>
      </c>
      <c r="LO13092" t="str">
        <v/>
      </c>
    </row>
    <row r="13093" spans="326:327">
      <c r="LN13093" t="str">
        <v/>
      </c>
      <c r="LO13093" t="str">
        <v/>
      </c>
    </row>
    <row r="13094" spans="326:327">
      <c r="LN13094" t="str">
        <v/>
      </c>
      <c r="LO13094" t="str">
        <v/>
      </c>
    </row>
    <row r="13095" spans="326:327">
      <c r="LN13095" t="str">
        <v/>
      </c>
      <c r="LO13095" t="str">
        <v/>
      </c>
    </row>
    <row r="13096" spans="326:327">
      <c r="LN13096" t="str">
        <v/>
      </c>
      <c r="LO13096" t="str">
        <v/>
      </c>
    </row>
    <row r="13097" spans="326:327">
      <c r="LN13097" t="str">
        <v/>
      </c>
      <c r="LO13097" t="str">
        <v/>
      </c>
    </row>
    <row r="13098" spans="326:327">
      <c r="LN13098" t="str">
        <v/>
      </c>
      <c r="LO13098" t="str">
        <v/>
      </c>
    </row>
    <row r="13099" spans="326:327">
      <c r="LN13099" t="str">
        <v/>
      </c>
      <c r="LO13099" t="str">
        <v/>
      </c>
    </row>
    <row r="13100" spans="326:327">
      <c r="LN13100" t="str">
        <v/>
      </c>
      <c r="LO13100" t="str">
        <v/>
      </c>
    </row>
    <row r="13101" spans="326:327">
      <c r="LN13101" t="str">
        <v/>
      </c>
      <c r="LO13101" t="str">
        <v/>
      </c>
    </row>
    <row r="13102" spans="326:327">
      <c r="LN13102" t="str">
        <v/>
      </c>
      <c r="LO13102" t="str">
        <v/>
      </c>
    </row>
    <row r="13103" spans="326:327">
      <c r="LN13103" t="str">
        <v/>
      </c>
      <c r="LO13103" t="str">
        <v/>
      </c>
    </row>
    <row r="13104" spans="326:327">
      <c r="LN13104" t="str">
        <v/>
      </c>
      <c r="LO13104" t="str">
        <v/>
      </c>
    </row>
    <row r="13105" spans="326:327">
      <c r="LN13105" t="str">
        <v/>
      </c>
      <c r="LO13105" t="str">
        <v/>
      </c>
    </row>
    <row r="13106" spans="326:327">
      <c r="LN13106" t="str">
        <v/>
      </c>
      <c r="LO13106" t="str">
        <v/>
      </c>
    </row>
    <row r="13107" spans="326:327">
      <c r="LN13107" t="str">
        <v/>
      </c>
      <c r="LO13107" t="str">
        <v/>
      </c>
    </row>
    <row r="13108" spans="326:327">
      <c r="LN13108" t="str">
        <v/>
      </c>
      <c r="LO13108" t="str">
        <v/>
      </c>
    </row>
    <row r="13109" spans="326:327">
      <c r="LN13109" t="str">
        <v/>
      </c>
      <c r="LO13109" t="str">
        <v/>
      </c>
    </row>
    <row r="13110" spans="326:327">
      <c r="LN13110" t="str">
        <v/>
      </c>
      <c r="LO13110" t="str">
        <v/>
      </c>
    </row>
    <row r="13111" spans="326:327">
      <c r="LN13111" t="str">
        <v/>
      </c>
      <c r="LO13111" t="str">
        <v/>
      </c>
    </row>
    <row r="13112" spans="326:327">
      <c r="LN13112" t="str">
        <v/>
      </c>
      <c r="LO13112" t="str">
        <v/>
      </c>
    </row>
    <row r="13113" spans="326:327">
      <c r="LN13113" t="str">
        <v/>
      </c>
      <c r="LO13113" t="str">
        <v/>
      </c>
    </row>
    <row r="13114" spans="326:327">
      <c r="LN13114" t="str">
        <v/>
      </c>
      <c r="LO13114" t="str">
        <v/>
      </c>
    </row>
    <row r="13115" spans="326:327">
      <c r="LN13115" t="str">
        <v/>
      </c>
      <c r="LO13115" t="str">
        <v/>
      </c>
    </row>
    <row r="13116" spans="326:327">
      <c r="LN13116" t="str">
        <v/>
      </c>
      <c r="LO13116" t="str">
        <v/>
      </c>
    </row>
    <row r="13117" spans="326:327">
      <c r="LN13117" t="str">
        <v/>
      </c>
      <c r="LO13117" t="str">
        <v/>
      </c>
    </row>
    <row r="13118" spans="326:327">
      <c r="LN13118" t="str">
        <v/>
      </c>
      <c r="LO13118" t="str">
        <v/>
      </c>
    </row>
    <row r="13119" spans="326:327">
      <c r="LN13119" t="str">
        <v/>
      </c>
      <c r="LO13119" t="str">
        <v/>
      </c>
    </row>
    <row r="13120" spans="326:327">
      <c r="LN13120" t="str">
        <v/>
      </c>
      <c r="LO13120" t="str">
        <v/>
      </c>
    </row>
    <row r="13121" spans="326:327">
      <c r="LN13121" t="str">
        <v/>
      </c>
      <c r="LO13121" t="str">
        <v/>
      </c>
    </row>
    <row r="13122" spans="326:327">
      <c r="LN13122" t="str">
        <v/>
      </c>
      <c r="LO13122" t="str">
        <v/>
      </c>
    </row>
    <row r="13123" spans="326:327">
      <c r="LN13123" t="str">
        <v/>
      </c>
      <c r="LO13123" t="str">
        <v/>
      </c>
    </row>
    <row r="13124" spans="326:327">
      <c r="LN13124" t="str">
        <v/>
      </c>
      <c r="LO13124" t="str">
        <v/>
      </c>
    </row>
    <row r="13125" spans="326:327">
      <c r="LN13125" t="str">
        <v/>
      </c>
      <c r="LO13125" t="str">
        <v/>
      </c>
    </row>
    <row r="13126" spans="326:327">
      <c r="LN13126" t="str">
        <v/>
      </c>
      <c r="LO13126" t="str">
        <v/>
      </c>
    </row>
    <row r="13127" spans="326:327">
      <c r="LN13127" t="str">
        <v/>
      </c>
      <c r="LO13127" t="str">
        <v/>
      </c>
    </row>
    <row r="13128" spans="326:327">
      <c r="LN13128" t="str">
        <v/>
      </c>
      <c r="LO13128" t="str">
        <v/>
      </c>
    </row>
    <row r="13129" spans="326:327">
      <c r="LN13129" t="str">
        <v/>
      </c>
      <c r="LO13129" t="str">
        <v/>
      </c>
    </row>
    <row r="13130" spans="326:327">
      <c r="LN13130" t="str">
        <v/>
      </c>
      <c r="LO13130" t="str">
        <v/>
      </c>
    </row>
    <row r="13131" spans="326:327">
      <c r="LN13131" t="str">
        <v/>
      </c>
      <c r="LO13131" t="str">
        <v/>
      </c>
    </row>
    <row r="13132" spans="326:327">
      <c r="LN13132" t="str">
        <v/>
      </c>
      <c r="LO13132" t="str">
        <v/>
      </c>
    </row>
    <row r="13133" spans="326:327">
      <c r="LN13133" t="str">
        <v/>
      </c>
      <c r="LO13133" t="str">
        <v/>
      </c>
    </row>
    <row r="13134" spans="326:327">
      <c r="LN13134" t="str">
        <v/>
      </c>
      <c r="LO13134" t="str">
        <v/>
      </c>
    </row>
    <row r="13135" spans="326:327">
      <c r="LN13135" t="str">
        <v/>
      </c>
      <c r="LO13135" t="str">
        <v/>
      </c>
    </row>
    <row r="13136" spans="326:327">
      <c r="LN13136" t="str">
        <v/>
      </c>
      <c r="LO13136" t="str">
        <v/>
      </c>
    </row>
    <row r="13137" spans="326:327">
      <c r="LN13137" t="str">
        <v/>
      </c>
      <c r="LO13137" t="str">
        <v/>
      </c>
    </row>
    <row r="13138" spans="326:327">
      <c r="LN13138" t="str">
        <v/>
      </c>
      <c r="LO13138" t="str">
        <v/>
      </c>
    </row>
    <row r="13139" spans="326:327">
      <c r="LN13139" t="str">
        <v/>
      </c>
      <c r="LO13139" t="str">
        <v/>
      </c>
    </row>
    <row r="13140" spans="326:327">
      <c r="LN13140" t="str">
        <v/>
      </c>
      <c r="LO13140" t="str">
        <v/>
      </c>
    </row>
    <row r="13141" spans="326:327">
      <c r="LN13141" t="str">
        <v/>
      </c>
      <c r="LO13141" t="str">
        <v/>
      </c>
    </row>
    <row r="13142" spans="326:327">
      <c r="LN13142" t="str">
        <v/>
      </c>
      <c r="LO13142" t="str">
        <v/>
      </c>
    </row>
    <row r="13143" spans="326:327">
      <c r="LN13143" t="str">
        <v/>
      </c>
      <c r="LO13143" t="str">
        <v/>
      </c>
    </row>
    <row r="13144" spans="326:327">
      <c r="LN13144" t="str">
        <v/>
      </c>
      <c r="LO13144" t="str">
        <v/>
      </c>
    </row>
    <row r="13145" spans="326:327">
      <c r="LN13145" t="str">
        <v/>
      </c>
      <c r="LO13145" t="str">
        <v/>
      </c>
    </row>
    <row r="13146" spans="326:327">
      <c r="LN13146" t="str">
        <v/>
      </c>
      <c r="LO13146" t="str">
        <v/>
      </c>
    </row>
    <row r="13147" spans="326:327">
      <c r="LN13147" t="str">
        <v/>
      </c>
      <c r="LO13147" t="str">
        <v/>
      </c>
    </row>
    <row r="13148" spans="326:327">
      <c r="LN13148" t="str">
        <v/>
      </c>
      <c r="LO13148" t="str">
        <v/>
      </c>
    </row>
    <row r="13149" spans="326:327">
      <c r="LN13149" t="str">
        <v/>
      </c>
      <c r="LO13149" t="str">
        <v/>
      </c>
    </row>
    <row r="13150" spans="326:327">
      <c r="LN13150" t="str">
        <v/>
      </c>
      <c r="LO13150" t="str">
        <v/>
      </c>
    </row>
    <row r="13151" spans="326:327">
      <c r="LN13151" t="str">
        <v/>
      </c>
      <c r="LO13151" t="str">
        <v/>
      </c>
    </row>
    <row r="13152" spans="326:327">
      <c r="LN13152" t="str">
        <v/>
      </c>
      <c r="LO13152" t="str">
        <v/>
      </c>
    </row>
    <row r="13153" spans="326:327">
      <c r="LN13153" t="str">
        <v/>
      </c>
      <c r="LO13153" t="str">
        <v/>
      </c>
    </row>
    <row r="13154" spans="326:327">
      <c r="LN13154" t="str">
        <v/>
      </c>
      <c r="LO13154" t="str">
        <v/>
      </c>
    </row>
    <row r="13155" spans="326:327">
      <c r="LN13155" t="str">
        <v/>
      </c>
      <c r="LO13155" t="str">
        <v/>
      </c>
    </row>
    <row r="13156" spans="326:327">
      <c r="LN13156" t="str">
        <v/>
      </c>
      <c r="LO13156" t="str">
        <v/>
      </c>
    </row>
    <row r="13157" spans="326:327">
      <c r="LN13157" t="str">
        <v/>
      </c>
      <c r="LO13157" t="str">
        <v/>
      </c>
    </row>
    <row r="13158" spans="326:327">
      <c r="LN13158" t="str">
        <v/>
      </c>
      <c r="LO13158" t="str">
        <v/>
      </c>
    </row>
    <row r="13159" spans="326:327">
      <c r="LN13159" t="str">
        <v/>
      </c>
      <c r="LO13159" t="str">
        <v/>
      </c>
    </row>
    <row r="13160" spans="326:327">
      <c r="LN13160" t="str">
        <v/>
      </c>
      <c r="LO13160" t="str">
        <v/>
      </c>
    </row>
    <row r="13161" spans="326:327">
      <c r="LN13161" t="str">
        <v/>
      </c>
      <c r="LO13161" t="str">
        <v/>
      </c>
    </row>
    <row r="13162" spans="326:327">
      <c r="LN13162" t="str">
        <v/>
      </c>
      <c r="LO13162" t="str">
        <v/>
      </c>
    </row>
    <row r="13163" spans="326:327">
      <c r="LN13163" t="str">
        <v/>
      </c>
      <c r="LO13163" t="str">
        <v/>
      </c>
    </row>
    <row r="13164" spans="326:327">
      <c r="LN13164" t="str">
        <v/>
      </c>
      <c r="LO13164" t="str">
        <v/>
      </c>
    </row>
    <row r="13165" spans="326:327">
      <c r="LN13165" t="str">
        <v/>
      </c>
      <c r="LO13165" t="str">
        <v/>
      </c>
    </row>
    <row r="13166" spans="326:327">
      <c r="LN13166" t="str">
        <v/>
      </c>
      <c r="LO13166" t="str">
        <v/>
      </c>
    </row>
    <row r="13167" spans="326:327">
      <c r="LN13167" t="str">
        <v/>
      </c>
      <c r="LO13167" t="str">
        <v/>
      </c>
    </row>
    <row r="13168" spans="326:327">
      <c r="LN13168" t="str">
        <v/>
      </c>
      <c r="LO13168" t="str">
        <v/>
      </c>
    </row>
    <row r="13169" spans="326:327">
      <c r="LN13169" t="str">
        <v/>
      </c>
      <c r="LO13169" t="str">
        <v/>
      </c>
    </row>
    <row r="13170" spans="326:327">
      <c r="LN13170" t="str">
        <v/>
      </c>
      <c r="LO13170" t="str">
        <v/>
      </c>
    </row>
    <row r="13171" spans="326:327">
      <c r="LN13171" t="str">
        <v/>
      </c>
      <c r="LO13171" t="str">
        <v/>
      </c>
    </row>
    <row r="13172" spans="326:327">
      <c r="LN13172" t="str">
        <v/>
      </c>
      <c r="LO13172" t="str">
        <v/>
      </c>
    </row>
    <row r="13173" spans="326:327">
      <c r="LN13173" t="str">
        <v/>
      </c>
      <c r="LO13173" t="str">
        <v/>
      </c>
    </row>
    <row r="13174" spans="326:327">
      <c r="LN13174" t="str">
        <v/>
      </c>
      <c r="LO13174" t="str">
        <v/>
      </c>
    </row>
    <row r="13175" spans="326:327">
      <c r="LN13175" t="str">
        <v/>
      </c>
      <c r="LO13175" t="str">
        <v/>
      </c>
    </row>
    <row r="13176" spans="326:327">
      <c r="LN13176" t="str">
        <v/>
      </c>
      <c r="LO13176" t="str">
        <v/>
      </c>
    </row>
    <row r="13177" spans="326:327">
      <c r="LN13177" t="str">
        <v/>
      </c>
      <c r="LO13177" t="str">
        <v/>
      </c>
    </row>
    <row r="13178" spans="326:327">
      <c r="LN13178" t="str">
        <v/>
      </c>
      <c r="LO13178" t="str">
        <v/>
      </c>
    </row>
    <row r="13179" spans="326:327">
      <c r="LN13179" t="str">
        <v/>
      </c>
      <c r="LO13179" t="str">
        <v/>
      </c>
    </row>
    <row r="13180" spans="326:327">
      <c r="LN13180" t="str">
        <v/>
      </c>
      <c r="LO13180" t="str">
        <v/>
      </c>
    </row>
    <row r="13181" spans="326:327">
      <c r="LN13181" t="str">
        <v/>
      </c>
      <c r="LO13181" t="str">
        <v/>
      </c>
    </row>
    <row r="13182" spans="326:327">
      <c r="LN13182" t="str">
        <v/>
      </c>
      <c r="LO13182" t="str">
        <v/>
      </c>
    </row>
    <row r="13183" spans="326:327">
      <c r="LN13183" t="str">
        <v/>
      </c>
      <c r="LO13183" t="str">
        <v/>
      </c>
    </row>
    <row r="13184" spans="326:327">
      <c r="LN13184" t="str">
        <v/>
      </c>
      <c r="LO13184" t="str">
        <v/>
      </c>
    </row>
    <row r="13185" spans="326:327">
      <c r="LN13185" t="str">
        <v/>
      </c>
      <c r="LO13185" t="str">
        <v/>
      </c>
    </row>
    <row r="13186" spans="326:327">
      <c r="LN13186" t="str">
        <v/>
      </c>
      <c r="LO13186" t="str">
        <v/>
      </c>
    </row>
    <row r="13187" spans="326:327">
      <c r="LN13187" t="str">
        <v/>
      </c>
      <c r="LO13187" t="str">
        <v/>
      </c>
    </row>
    <row r="13188" spans="326:327">
      <c r="LN13188" t="str">
        <v/>
      </c>
      <c r="LO13188" t="str">
        <v/>
      </c>
    </row>
    <row r="13189" spans="326:327">
      <c r="LN13189" t="str">
        <v/>
      </c>
      <c r="LO13189" t="str">
        <v/>
      </c>
    </row>
    <row r="13190" spans="326:327">
      <c r="LN13190" t="str">
        <v/>
      </c>
      <c r="LO13190" t="str">
        <v/>
      </c>
    </row>
    <row r="13191" spans="326:327">
      <c r="LN13191" t="str">
        <v/>
      </c>
      <c r="LO13191" t="str">
        <v/>
      </c>
    </row>
    <row r="13192" spans="326:327">
      <c r="LN13192" t="str">
        <v/>
      </c>
      <c r="LO13192" t="str">
        <v/>
      </c>
    </row>
    <row r="13193" spans="326:327">
      <c r="LN13193" t="str">
        <v/>
      </c>
      <c r="LO13193" t="str">
        <v/>
      </c>
    </row>
    <row r="13194" spans="326:327">
      <c r="LN13194" t="str">
        <v/>
      </c>
      <c r="LO13194" t="str">
        <v/>
      </c>
    </row>
    <row r="13195" spans="326:327">
      <c r="LN13195" t="str">
        <v/>
      </c>
      <c r="LO13195" t="str">
        <v/>
      </c>
    </row>
    <row r="13196" spans="326:327">
      <c r="LN13196" t="str">
        <v/>
      </c>
      <c r="LO13196" t="str">
        <v/>
      </c>
    </row>
    <row r="13197" spans="326:327">
      <c r="LN13197" t="str">
        <v/>
      </c>
      <c r="LO13197" t="str">
        <v/>
      </c>
    </row>
    <row r="13198" spans="326:327">
      <c r="LN13198" t="str">
        <v/>
      </c>
      <c r="LO13198" t="str">
        <v/>
      </c>
    </row>
    <row r="13199" spans="326:327">
      <c r="LN13199" t="str">
        <v/>
      </c>
      <c r="LO13199" t="str">
        <v/>
      </c>
    </row>
    <row r="13200" spans="326:327">
      <c r="LN13200" t="str">
        <v/>
      </c>
      <c r="LO13200" t="str">
        <v/>
      </c>
    </row>
    <row r="13201" spans="326:327">
      <c r="LN13201" t="str">
        <v/>
      </c>
      <c r="LO13201" t="str">
        <v/>
      </c>
    </row>
    <row r="13202" spans="326:327">
      <c r="LN13202" t="str">
        <v/>
      </c>
      <c r="LO13202" t="str">
        <v/>
      </c>
    </row>
    <row r="13203" spans="326:327">
      <c r="LN13203" t="str">
        <v/>
      </c>
      <c r="LO13203" t="str">
        <v/>
      </c>
    </row>
    <row r="13204" spans="326:327">
      <c r="LN13204" t="str">
        <v/>
      </c>
      <c r="LO13204" t="str">
        <v/>
      </c>
    </row>
    <row r="13205" spans="326:327">
      <c r="LN13205" t="str">
        <v/>
      </c>
      <c r="LO13205" t="str">
        <v/>
      </c>
    </row>
    <row r="13206" spans="326:327">
      <c r="LN13206" t="str">
        <v/>
      </c>
      <c r="LO13206" t="str">
        <v/>
      </c>
    </row>
    <row r="13207" spans="326:327">
      <c r="LN13207" t="str">
        <v/>
      </c>
      <c r="LO13207" t="str">
        <v/>
      </c>
    </row>
    <row r="13208" spans="326:327">
      <c r="LN13208" t="str">
        <v/>
      </c>
      <c r="LO13208" t="str">
        <v/>
      </c>
    </row>
    <row r="13209" spans="326:327">
      <c r="LN13209" t="str">
        <v/>
      </c>
      <c r="LO13209" t="str">
        <v/>
      </c>
    </row>
    <row r="13210" spans="326:327">
      <c r="LN13210" t="str">
        <v/>
      </c>
      <c r="LO13210" t="str">
        <v/>
      </c>
    </row>
    <row r="13211" spans="326:327">
      <c r="LN13211" t="str">
        <v/>
      </c>
      <c r="LO13211" t="str">
        <v/>
      </c>
    </row>
    <row r="13212" spans="326:327">
      <c r="LN13212" t="str">
        <v/>
      </c>
      <c r="LO13212" t="str">
        <v/>
      </c>
    </row>
    <row r="13213" spans="326:327">
      <c r="LN13213" t="str">
        <v/>
      </c>
      <c r="LO13213" t="str">
        <v/>
      </c>
    </row>
    <row r="13214" spans="326:327">
      <c r="LN13214" t="str">
        <v/>
      </c>
      <c r="LO13214" t="str">
        <v/>
      </c>
    </row>
    <row r="13215" spans="326:327">
      <c r="LN13215" t="str">
        <v/>
      </c>
      <c r="LO13215" t="str">
        <v/>
      </c>
    </row>
    <row r="13216" spans="326:327">
      <c r="LN13216" t="str">
        <v/>
      </c>
      <c r="LO13216" t="str">
        <v/>
      </c>
    </row>
    <row r="13217" spans="326:327">
      <c r="LN13217" t="str">
        <v/>
      </c>
      <c r="LO13217" t="str">
        <v/>
      </c>
    </row>
    <row r="13218" spans="326:327">
      <c r="LN13218" t="str">
        <v/>
      </c>
      <c r="LO13218" t="str">
        <v/>
      </c>
    </row>
    <row r="13219" spans="326:327">
      <c r="LN13219" t="str">
        <v/>
      </c>
      <c r="LO13219" t="str">
        <v/>
      </c>
    </row>
    <row r="13220" spans="326:327">
      <c r="LN13220" t="str">
        <v/>
      </c>
      <c r="LO13220" t="str">
        <v/>
      </c>
    </row>
    <row r="13221" spans="326:327">
      <c r="LN13221" t="str">
        <v/>
      </c>
      <c r="LO13221" t="str">
        <v/>
      </c>
    </row>
    <row r="13222" spans="326:327">
      <c r="LN13222" t="str">
        <v/>
      </c>
      <c r="LO13222" t="str">
        <v/>
      </c>
    </row>
    <row r="13223" spans="326:327">
      <c r="LN13223" t="str">
        <v/>
      </c>
      <c r="LO13223" t="str">
        <v/>
      </c>
    </row>
    <row r="13224" spans="326:327">
      <c r="LN13224" t="str">
        <v/>
      </c>
      <c r="LO13224" t="str">
        <v/>
      </c>
    </row>
    <row r="13225" spans="326:327">
      <c r="LN13225" t="str">
        <v/>
      </c>
      <c r="LO13225" t="str">
        <v/>
      </c>
    </row>
    <row r="13226" spans="326:327">
      <c r="LN13226" t="str">
        <v/>
      </c>
      <c r="LO13226" t="str">
        <v/>
      </c>
    </row>
    <row r="13227" spans="326:327">
      <c r="LN13227" t="str">
        <v/>
      </c>
      <c r="LO13227" t="str">
        <v/>
      </c>
    </row>
    <row r="13228" spans="326:327">
      <c r="LN13228" t="str">
        <v/>
      </c>
      <c r="LO13228" t="str">
        <v/>
      </c>
    </row>
    <row r="13229" spans="326:327">
      <c r="LN13229" t="str">
        <v/>
      </c>
      <c r="LO13229" t="str">
        <v/>
      </c>
    </row>
    <row r="13230" spans="326:327">
      <c r="LN13230" t="str">
        <v/>
      </c>
      <c r="LO13230" t="str">
        <v/>
      </c>
    </row>
    <row r="13231" spans="326:327">
      <c r="LN13231" t="str">
        <v/>
      </c>
      <c r="LO13231" t="str">
        <v/>
      </c>
    </row>
    <row r="13232" spans="326:327">
      <c r="LN13232" t="str">
        <v/>
      </c>
      <c r="LO13232" t="str">
        <v/>
      </c>
    </row>
    <row r="13233" spans="326:327">
      <c r="LN13233" t="str">
        <v/>
      </c>
      <c r="LO13233" t="str">
        <v/>
      </c>
    </row>
    <row r="13234" spans="326:327">
      <c r="LN13234" t="str">
        <v/>
      </c>
      <c r="LO13234" t="str">
        <v/>
      </c>
    </row>
    <row r="13235" spans="326:327">
      <c r="LN13235" t="str">
        <v/>
      </c>
      <c r="LO13235" t="str">
        <v/>
      </c>
    </row>
    <row r="13236" spans="326:327">
      <c r="LN13236" t="str">
        <v/>
      </c>
      <c r="LO13236" t="str">
        <v/>
      </c>
    </row>
    <row r="13237" spans="326:327">
      <c r="LN13237" t="str">
        <v/>
      </c>
      <c r="LO13237" t="str">
        <v/>
      </c>
    </row>
    <row r="13238" spans="326:327">
      <c r="LN13238" t="str">
        <v/>
      </c>
      <c r="LO13238" t="str">
        <v/>
      </c>
    </row>
    <row r="13239" spans="326:327">
      <c r="LN13239" t="str">
        <v/>
      </c>
      <c r="LO13239" t="str">
        <v/>
      </c>
    </row>
    <row r="13240" spans="326:327">
      <c r="LN13240" t="str">
        <v/>
      </c>
      <c r="LO13240" t="str">
        <v/>
      </c>
    </row>
    <row r="13241" spans="326:327">
      <c r="LN13241" t="str">
        <v/>
      </c>
      <c r="LO13241" t="str">
        <v/>
      </c>
    </row>
    <row r="13242" spans="326:327">
      <c r="LN13242" t="str">
        <v/>
      </c>
      <c r="LO13242" t="str">
        <v/>
      </c>
    </row>
    <row r="13243" spans="326:327">
      <c r="LN13243" t="str">
        <v/>
      </c>
      <c r="LO13243" t="str">
        <v/>
      </c>
    </row>
    <row r="13244" spans="326:327">
      <c r="LN13244" t="str">
        <v/>
      </c>
      <c r="LO13244" t="str">
        <v/>
      </c>
    </row>
    <row r="13245" spans="326:327">
      <c r="LN13245" t="str">
        <v/>
      </c>
      <c r="LO13245" t="str">
        <v/>
      </c>
    </row>
    <row r="13246" spans="326:327">
      <c r="LN13246" t="str">
        <v/>
      </c>
      <c r="LO13246" t="str">
        <v/>
      </c>
    </row>
    <row r="13247" spans="326:327">
      <c r="LN13247" t="str">
        <v/>
      </c>
      <c r="LO13247" t="str">
        <v/>
      </c>
    </row>
    <row r="13248" spans="326:327">
      <c r="LN13248" t="str">
        <v/>
      </c>
      <c r="LO13248" t="str">
        <v/>
      </c>
    </row>
    <row r="13249" spans="326:327">
      <c r="LN13249" t="str">
        <v/>
      </c>
      <c r="LO13249" t="str">
        <v/>
      </c>
    </row>
    <row r="13250" spans="326:327">
      <c r="LN13250" t="str">
        <v/>
      </c>
      <c r="LO13250" t="str">
        <v/>
      </c>
    </row>
    <row r="13251" spans="326:327">
      <c r="LN13251" t="str">
        <v/>
      </c>
      <c r="LO13251" t="str">
        <v/>
      </c>
    </row>
    <row r="13252" spans="326:327">
      <c r="LN13252" t="str">
        <v/>
      </c>
      <c r="LO13252" t="str">
        <v/>
      </c>
    </row>
    <row r="13253" spans="326:327">
      <c r="LN13253" t="str">
        <v/>
      </c>
      <c r="LO13253" t="str">
        <v/>
      </c>
    </row>
    <row r="13254" spans="326:327">
      <c r="LN13254" t="str">
        <v/>
      </c>
      <c r="LO13254" t="str">
        <v/>
      </c>
    </row>
    <row r="13255" spans="326:327">
      <c r="LN13255" t="str">
        <v/>
      </c>
      <c r="LO13255" t="str">
        <v/>
      </c>
    </row>
    <row r="13256" spans="326:327">
      <c r="LN13256" t="str">
        <v/>
      </c>
      <c r="LO13256" t="str">
        <v/>
      </c>
    </row>
    <row r="13257" spans="326:327">
      <c r="LN13257" t="str">
        <v/>
      </c>
      <c r="LO13257" t="str">
        <v/>
      </c>
    </row>
    <row r="13258" spans="326:327">
      <c r="LN13258" t="str">
        <v/>
      </c>
      <c r="LO13258" t="str">
        <v/>
      </c>
    </row>
    <row r="13259" spans="326:327">
      <c r="LN13259" t="str">
        <v/>
      </c>
      <c r="LO13259" t="str">
        <v/>
      </c>
    </row>
    <row r="13260" spans="326:327">
      <c r="LN13260" t="str">
        <v/>
      </c>
      <c r="LO13260" t="str">
        <v/>
      </c>
    </row>
    <row r="13261" spans="326:327">
      <c r="LN13261" t="str">
        <v/>
      </c>
      <c r="LO13261" t="str">
        <v/>
      </c>
    </row>
    <row r="13262" spans="326:327">
      <c r="LN13262" t="str">
        <v/>
      </c>
      <c r="LO13262" t="str">
        <v/>
      </c>
    </row>
    <row r="13263" spans="326:327">
      <c r="LN13263" t="str">
        <v/>
      </c>
      <c r="LO13263" t="str">
        <v/>
      </c>
    </row>
    <row r="13264" spans="326:327">
      <c r="LN13264" t="str">
        <v/>
      </c>
      <c r="LO13264" t="str">
        <v/>
      </c>
    </row>
    <row r="13265" spans="326:327">
      <c r="LN13265" t="str">
        <v/>
      </c>
      <c r="LO13265" t="str">
        <v/>
      </c>
    </row>
    <row r="13266" spans="326:327">
      <c r="LN13266" t="str">
        <v/>
      </c>
      <c r="LO13266" t="str">
        <v/>
      </c>
    </row>
    <row r="13267" spans="326:327">
      <c r="LN13267" t="str">
        <v/>
      </c>
      <c r="LO13267" t="str">
        <v/>
      </c>
    </row>
    <row r="13268" spans="326:327">
      <c r="LN13268" t="str">
        <v/>
      </c>
      <c r="LO13268" t="str">
        <v/>
      </c>
    </row>
    <row r="13269" spans="326:327">
      <c r="LN13269" t="str">
        <v/>
      </c>
      <c r="LO13269" t="str">
        <v/>
      </c>
    </row>
    <row r="13270" spans="326:327">
      <c r="LN13270" t="str">
        <v/>
      </c>
      <c r="LO13270" t="str">
        <v/>
      </c>
    </row>
    <row r="13271" spans="326:327">
      <c r="LN13271" t="str">
        <v/>
      </c>
      <c r="LO13271" t="str">
        <v/>
      </c>
    </row>
    <row r="13272" spans="326:327">
      <c r="LN13272" t="str">
        <v/>
      </c>
      <c r="LO13272" t="str">
        <v/>
      </c>
    </row>
    <row r="13273" spans="326:327">
      <c r="LN13273" t="str">
        <v/>
      </c>
      <c r="LO13273" t="str">
        <v/>
      </c>
    </row>
    <row r="13274" spans="326:327">
      <c r="LN13274" t="str">
        <v/>
      </c>
      <c r="LO13274" t="str">
        <v/>
      </c>
    </row>
    <row r="13275" spans="326:327">
      <c r="LN13275" t="str">
        <v/>
      </c>
      <c r="LO13275" t="str">
        <v/>
      </c>
    </row>
    <row r="13276" spans="326:327">
      <c r="LN13276" t="str">
        <v/>
      </c>
      <c r="LO13276" t="str">
        <v/>
      </c>
    </row>
    <row r="13277" spans="326:327">
      <c r="LN13277" t="str">
        <v/>
      </c>
      <c r="LO13277" t="str">
        <v/>
      </c>
    </row>
    <row r="13278" spans="326:327">
      <c r="LN13278" t="str">
        <v/>
      </c>
      <c r="LO13278" t="str">
        <v/>
      </c>
    </row>
    <row r="13279" spans="326:327">
      <c r="LN13279" t="str">
        <v/>
      </c>
      <c r="LO13279" t="str">
        <v/>
      </c>
    </row>
    <row r="13280" spans="326:327">
      <c r="LN13280" t="str">
        <v/>
      </c>
      <c r="LO13280" t="str">
        <v/>
      </c>
    </row>
    <row r="13281" spans="326:327">
      <c r="LN13281" t="str">
        <v/>
      </c>
      <c r="LO13281" t="str">
        <v/>
      </c>
    </row>
    <row r="13282" spans="326:327">
      <c r="LN13282" t="str">
        <v/>
      </c>
      <c r="LO13282" t="str">
        <v/>
      </c>
    </row>
    <row r="13283" spans="326:327">
      <c r="LN13283" t="str">
        <v/>
      </c>
      <c r="LO13283" t="str">
        <v/>
      </c>
    </row>
    <row r="13284" spans="326:327">
      <c r="LN13284" t="str">
        <v/>
      </c>
      <c r="LO13284" t="str">
        <v/>
      </c>
    </row>
    <row r="13285" spans="326:327">
      <c r="LN13285" t="str">
        <v/>
      </c>
      <c r="LO13285" t="str">
        <v/>
      </c>
    </row>
    <row r="13286" spans="326:327">
      <c r="LN13286" t="str">
        <v/>
      </c>
      <c r="LO13286" t="str">
        <v/>
      </c>
    </row>
    <row r="13287" spans="326:327">
      <c r="LN13287" t="str">
        <v/>
      </c>
      <c r="LO13287" t="str">
        <v/>
      </c>
    </row>
    <row r="13288" spans="326:327">
      <c r="LN13288" t="str">
        <v/>
      </c>
      <c r="LO13288" t="str">
        <v/>
      </c>
    </row>
    <row r="13289" spans="326:327">
      <c r="LN13289" t="str">
        <v/>
      </c>
      <c r="LO13289" t="str">
        <v/>
      </c>
    </row>
    <row r="13290" spans="326:327">
      <c r="LN13290" t="str">
        <v/>
      </c>
      <c r="LO13290" t="str">
        <v/>
      </c>
    </row>
    <row r="13291" spans="326:327">
      <c r="LN13291" t="str">
        <v/>
      </c>
      <c r="LO13291" t="str">
        <v/>
      </c>
    </row>
    <row r="13292" spans="326:327">
      <c r="LN13292" t="str">
        <v/>
      </c>
      <c r="LO13292" t="str">
        <v/>
      </c>
    </row>
    <row r="13293" spans="326:327">
      <c r="LN13293" t="str">
        <v/>
      </c>
      <c r="LO13293" t="str">
        <v/>
      </c>
    </row>
    <row r="13294" spans="326:327">
      <c r="LN13294" t="str">
        <v/>
      </c>
      <c r="LO13294" t="str">
        <v/>
      </c>
    </row>
    <row r="13295" spans="326:327">
      <c r="LN13295" t="str">
        <v/>
      </c>
      <c r="LO13295" t="str">
        <v/>
      </c>
    </row>
    <row r="13296" spans="326:327">
      <c r="LN13296" t="str">
        <v/>
      </c>
      <c r="LO13296" t="str">
        <v/>
      </c>
    </row>
    <row r="13297" spans="326:327">
      <c r="LN13297" t="str">
        <v/>
      </c>
      <c r="LO13297" t="str">
        <v/>
      </c>
    </row>
    <row r="13298" spans="326:327">
      <c r="LN13298" t="str">
        <v/>
      </c>
      <c r="LO13298" t="str">
        <v/>
      </c>
    </row>
    <row r="13299" spans="326:327">
      <c r="LN13299" t="str">
        <v/>
      </c>
      <c r="LO13299" t="str">
        <v/>
      </c>
    </row>
    <row r="13300" spans="326:327">
      <c r="LN13300" t="str">
        <v/>
      </c>
      <c r="LO13300" t="str">
        <v/>
      </c>
    </row>
    <row r="13301" spans="326:327">
      <c r="LN13301" t="str">
        <v/>
      </c>
      <c r="LO13301" t="str">
        <v/>
      </c>
    </row>
    <row r="13302" spans="326:327">
      <c r="LN13302" t="str">
        <v/>
      </c>
      <c r="LO13302" t="str">
        <v/>
      </c>
    </row>
    <row r="13303" spans="326:327">
      <c r="LN13303" t="str">
        <v/>
      </c>
      <c r="LO13303" t="str">
        <v/>
      </c>
    </row>
    <row r="13304" spans="326:327">
      <c r="LN13304" t="str">
        <v/>
      </c>
      <c r="LO13304" t="str">
        <v/>
      </c>
    </row>
    <row r="13305" spans="326:327">
      <c r="LN13305" t="str">
        <v/>
      </c>
      <c r="LO13305" t="str">
        <v/>
      </c>
    </row>
    <row r="13306" spans="326:327">
      <c r="LN13306" t="str">
        <v/>
      </c>
      <c r="LO13306" t="str">
        <v/>
      </c>
    </row>
    <row r="13307" spans="326:327">
      <c r="LN13307" t="str">
        <v/>
      </c>
      <c r="LO13307" t="str">
        <v/>
      </c>
    </row>
    <row r="13308" spans="326:327">
      <c r="LN13308" t="str">
        <v/>
      </c>
      <c r="LO13308" t="str">
        <v/>
      </c>
    </row>
    <row r="13309" spans="326:327">
      <c r="LN13309" t="str">
        <v/>
      </c>
      <c r="LO13309" t="str">
        <v/>
      </c>
    </row>
    <row r="13310" spans="326:327">
      <c r="LN13310" t="str">
        <v/>
      </c>
      <c r="LO13310" t="str">
        <v/>
      </c>
    </row>
    <row r="13311" spans="326:327">
      <c r="LN13311" t="str">
        <v/>
      </c>
      <c r="LO13311" t="str">
        <v/>
      </c>
    </row>
    <row r="13312" spans="326:327">
      <c r="LN13312" t="str">
        <v/>
      </c>
      <c r="LO13312" t="str">
        <v/>
      </c>
    </row>
    <row r="13313" spans="326:327">
      <c r="LN13313" t="str">
        <v/>
      </c>
      <c r="LO13313" t="str">
        <v/>
      </c>
    </row>
    <row r="13314" spans="326:327">
      <c r="LN13314" t="str">
        <v/>
      </c>
      <c r="LO13314" t="str">
        <v/>
      </c>
    </row>
    <row r="13315" spans="326:327">
      <c r="LN13315" t="str">
        <v/>
      </c>
      <c r="LO13315" t="str">
        <v/>
      </c>
    </row>
    <row r="13316" spans="326:327">
      <c r="LN13316" t="str">
        <v/>
      </c>
      <c r="LO13316" t="str">
        <v/>
      </c>
    </row>
    <row r="13317" spans="326:327">
      <c r="LN13317" t="str">
        <v/>
      </c>
      <c r="LO13317" t="str">
        <v/>
      </c>
    </row>
    <row r="13318" spans="326:327">
      <c r="LN13318" t="str">
        <v/>
      </c>
      <c r="LO13318" t="str">
        <v/>
      </c>
    </row>
    <row r="13319" spans="326:327">
      <c r="LN13319" t="str">
        <v/>
      </c>
      <c r="LO13319" t="str">
        <v/>
      </c>
    </row>
    <row r="13320" spans="326:327">
      <c r="LN13320" t="str">
        <v/>
      </c>
      <c r="LO13320" t="str">
        <v/>
      </c>
    </row>
    <row r="13321" spans="326:327">
      <c r="LN13321" t="str">
        <v/>
      </c>
      <c r="LO13321" t="str">
        <v/>
      </c>
    </row>
    <row r="13322" spans="326:327">
      <c r="LN13322" t="str">
        <v/>
      </c>
      <c r="LO13322" t="str">
        <v/>
      </c>
    </row>
    <row r="13323" spans="326:327">
      <c r="LN13323" t="str">
        <v/>
      </c>
      <c r="LO13323" t="str">
        <v/>
      </c>
    </row>
    <row r="13324" spans="326:327">
      <c r="LN13324" t="str">
        <v/>
      </c>
      <c r="LO13324" t="str">
        <v/>
      </c>
    </row>
    <row r="13325" spans="326:327">
      <c r="LN13325" t="str">
        <v/>
      </c>
      <c r="LO13325" t="str">
        <v/>
      </c>
    </row>
    <row r="13326" spans="326:327">
      <c r="LN13326" t="str">
        <v/>
      </c>
      <c r="LO13326" t="str">
        <v/>
      </c>
    </row>
    <row r="13327" spans="326:327">
      <c r="LN13327" t="str">
        <v/>
      </c>
      <c r="LO13327" t="str">
        <v/>
      </c>
    </row>
    <row r="13328" spans="326:327">
      <c r="LN13328" t="str">
        <v/>
      </c>
      <c r="LO13328" t="str">
        <v/>
      </c>
    </row>
    <row r="13329" spans="326:327">
      <c r="LN13329" t="str">
        <v/>
      </c>
      <c r="LO13329" t="str">
        <v/>
      </c>
    </row>
    <row r="13330" spans="326:327">
      <c r="LN13330" t="str">
        <v/>
      </c>
      <c r="LO13330" t="str">
        <v/>
      </c>
    </row>
    <row r="13331" spans="326:327">
      <c r="LN13331" t="str">
        <v/>
      </c>
      <c r="LO13331" t="str">
        <v/>
      </c>
    </row>
    <row r="13332" spans="326:327">
      <c r="LN13332" t="str">
        <v/>
      </c>
      <c r="LO13332" t="str">
        <v/>
      </c>
    </row>
    <row r="13333" spans="326:327">
      <c r="LN13333" t="str">
        <v/>
      </c>
      <c r="LO13333" t="str">
        <v/>
      </c>
    </row>
    <row r="13334" spans="326:327">
      <c r="LN13334" t="str">
        <v/>
      </c>
      <c r="LO13334" t="str">
        <v/>
      </c>
    </row>
    <row r="13335" spans="326:327">
      <c r="LN13335" t="str">
        <v/>
      </c>
      <c r="LO13335" t="str">
        <v/>
      </c>
    </row>
    <row r="13336" spans="326:327">
      <c r="LN13336" t="str">
        <v/>
      </c>
      <c r="LO13336" t="str">
        <v/>
      </c>
    </row>
    <row r="13337" spans="326:327">
      <c r="LN13337" t="str">
        <v/>
      </c>
      <c r="LO13337" t="str">
        <v/>
      </c>
    </row>
    <row r="13338" spans="326:327">
      <c r="LN13338" t="str">
        <v/>
      </c>
      <c r="LO13338" t="str">
        <v/>
      </c>
    </row>
    <row r="13339" spans="326:327">
      <c r="LN13339" t="str">
        <v/>
      </c>
      <c r="LO13339" t="str">
        <v/>
      </c>
    </row>
    <row r="13340" spans="326:327">
      <c r="LN13340" t="str">
        <v/>
      </c>
      <c r="LO13340" t="str">
        <v/>
      </c>
    </row>
    <row r="13341" spans="326:327">
      <c r="LN13341" t="str">
        <v/>
      </c>
      <c r="LO13341" t="str">
        <v/>
      </c>
    </row>
    <row r="13342" spans="326:327">
      <c r="LN13342" t="str">
        <v/>
      </c>
      <c r="LO13342" t="str">
        <v/>
      </c>
    </row>
    <row r="13343" spans="326:327">
      <c r="LN13343" t="str">
        <v/>
      </c>
      <c r="LO13343" t="str">
        <v/>
      </c>
    </row>
    <row r="13344" spans="326:327">
      <c r="LN13344" t="str">
        <v/>
      </c>
      <c r="LO13344" t="str">
        <v/>
      </c>
    </row>
    <row r="13345" spans="326:327">
      <c r="LN13345" t="str">
        <v/>
      </c>
      <c r="LO13345" t="str">
        <v/>
      </c>
    </row>
    <row r="13346" spans="326:327">
      <c r="LN13346" t="str">
        <v/>
      </c>
      <c r="LO13346" t="str">
        <v/>
      </c>
    </row>
    <row r="13347" spans="326:327">
      <c r="LN13347" t="str">
        <v/>
      </c>
      <c r="LO13347" t="str">
        <v/>
      </c>
    </row>
    <row r="13348" spans="326:327">
      <c r="LN13348" t="str">
        <v/>
      </c>
      <c r="LO13348" t="str">
        <v/>
      </c>
    </row>
    <row r="13349" spans="326:327">
      <c r="LN13349" t="str">
        <v/>
      </c>
      <c r="LO13349" t="str">
        <v/>
      </c>
    </row>
    <row r="13350" spans="326:327">
      <c r="LN13350" t="str">
        <v/>
      </c>
      <c r="LO13350" t="str">
        <v/>
      </c>
    </row>
    <row r="13351" spans="326:327">
      <c r="LN13351" t="str">
        <v/>
      </c>
      <c r="LO13351" t="str">
        <v/>
      </c>
    </row>
    <row r="13352" spans="326:327">
      <c r="LN13352" t="str">
        <v/>
      </c>
      <c r="LO13352" t="str">
        <v/>
      </c>
    </row>
    <row r="13353" spans="326:327">
      <c r="LN13353" t="str">
        <v/>
      </c>
      <c r="LO13353" t="str">
        <v/>
      </c>
    </row>
    <row r="13354" spans="326:327">
      <c r="LN13354" t="str">
        <v/>
      </c>
      <c r="LO13354" t="str">
        <v/>
      </c>
    </row>
    <row r="13355" spans="326:327">
      <c r="LN13355" t="str">
        <v/>
      </c>
      <c r="LO13355" t="str">
        <v/>
      </c>
    </row>
    <row r="13356" spans="326:327">
      <c r="LN13356" t="str">
        <v/>
      </c>
      <c r="LO13356" t="str">
        <v/>
      </c>
    </row>
    <row r="13357" spans="326:327">
      <c r="LN13357" t="str">
        <v/>
      </c>
      <c r="LO13357" t="str">
        <v/>
      </c>
    </row>
    <row r="13358" spans="326:327">
      <c r="LN13358" t="str">
        <v/>
      </c>
      <c r="LO13358" t="str">
        <v/>
      </c>
    </row>
    <row r="13359" spans="326:327">
      <c r="LN13359" t="str">
        <v/>
      </c>
      <c r="LO13359" t="str">
        <v/>
      </c>
    </row>
    <row r="13360" spans="326:327">
      <c r="LN13360" t="str">
        <v/>
      </c>
      <c r="LO13360" t="str">
        <v/>
      </c>
    </row>
    <row r="13361" spans="326:327">
      <c r="LN13361" t="str">
        <v/>
      </c>
      <c r="LO13361" t="str">
        <v/>
      </c>
    </row>
    <row r="13362" spans="326:327">
      <c r="LN13362" t="str">
        <v/>
      </c>
      <c r="LO13362" t="str">
        <v/>
      </c>
    </row>
    <row r="13363" spans="326:327">
      <c r="LN13363" t="str">
        <v/>
      </c>
      <c r="LO13363" t="str">
        <v/>
      </c>
    </row>
    <row r="13364" spans="326:327">
      <c r="LN13364" t="str">
        <v/>
      </c>
      <c r="LO13364" t="str">
        <v/>
      </c>
    </row>
    <row r="13365" spans="326:327">
      <c r="LN13365" t="str">
        <v/>
      </c>
      <c r="LO13365" t="str">
        <v/>
      </c>
    </row>
    <row r="13366" spans="326:327">
      <c r="LN13366" t="str">
        <v/>
      </c>
      <c r="LO13366" t="str">
        <v/>
      </c>
    </row>
    <row r="13367" spans="326:327">
      <c r="LN13367" t="str">
        <v/>
      </c>
      <c r="LO13367" t="str">
        <v/>
      </c>
    </row>
    <row r="13368" spans="326:327">
      <c r="LN13368" t="str">
        <v/>
      </c>
      <c r="LO13368" t="str">
        <v/>
      </c>
    </row>
    <row r="13369" spans="326:327">
      <c r="LN13369" t="str">
        <v/>
      </c>
      <c r="LO13369" t="str">
        <v/>
      </c>
    </row>
    <row r="13370" spans="326:327">
      <c r="LN13370" t="str">
        <v/>
      </c>
      <c r="LO13370" t="str">
        <v/>
      </c>
    </row>
    <row r="13371" spans="326:327">
      <c r="LN13371" t="str">
        <v/>
      </c>
      <c r="LO13371" t="str">
        <v/>
      </c>
    </row>
    <row r="13372" spans="326:327">
      <c r="LN13372" t="str">
        <v/>
      </c>
      <c r="LO13372" t="str">
        <v/>
      </c>
    </row>
    <row r="13373" spans="326:327">
      <c r="LN13373" t="str">
        <v/>
      </c>
      <c r="LO13373" t="str">
        <v/>
      </c>
    </row>
    <row r="13374" spans="326:327">
      <c r="LN13374" t="str">
        <v/>
      </c>
      <c r="LO13374" t="str">
        <v/>
      </c>
    </row>
    <row r="13375" spans="326:327">
      <c r="LN13375" t="str">
        <v/>
      </c>
      <c r="LO13375" t="str">
        <v/>
      </c>
    </row>
    <row r="13376" spans="326:327">
      <c r="LN13376" t="str">
        <v/>
      </c>
      <c r="LO13376" t="str">
        <v/>
      </c>
    </row>
    <row r="13377" spans="326:327">
      <c r="LN13377" t="str">
        <v/>
      </c>
      <c r="LO13377" t="str">
        <v/>
      </c>
    </row>
    <row r="13378" spans="326:327">
      <c r="LN13378" t="str">
        <v/>
      </c>
      <c r="LO13378" t="str">
        <v/>
      </c>
    </row>
    <row r="13379" spans="326:327">
      <c r="LN13379" t="str">
        <v/>
      </c>
      <c r="LO13379" t="str">
        <v/>
      </c>
    </row>
    <row r="13380" spans="326:327">
      <c r="LN13380" t="str">
        <v/>
      </c>
      <c r="LO13380" t="str">
        <v/>
      </c>
    </row>
    <row r="13381" spans="326:327">
      <c r="LN13381" t="str">
        <v/>
      </c>
      <c r="LO13381" t="str">
        <v/>
      </c>
    </row>
    <row r="13382" spans="326:327">
      <c r="LN13382" t="str">
        <v/>
      </c>
      <c r="LO13382" t="str">
        <v/>
      </c>
    </row>
    <row r="13383" spans="326:327">
      <c r="LN13383" t="str">
        <v/>
      </c>
      <c r="LO13383" t="str">
        <v/>
      </c>
    </row>
    <row r="13384" spans="326:327">
      <c r="LN13384" t="str">
        <v/>
      </c>
      <c r="LO13384" t="str">
        <v/>
      </c>
    </row>
    <row r="13385" spans="326:327">
      <c r="LN13385" t="str">
        <v/>
      </c>
      <c r="LO13385" t="str">
        <v/>
      </c>
    </row>
    <row r="13386" spans="326:327">
      <c r="LN13386" t="str">
        <v/>
      </c>
      <c r="LO13386" t="str">
        <v/>
      </c>
    </row>
    <row r="13387" spans="326:327">
      <c r="LN13387" t="str">
        <v/>
      </c>
      <c r="LO13387" t="str">
        <v/>
      </c>
    </row>
    <row r="13388" spans="326:327">
      <c r="LN13388" t="str">
        <v/>
      </c>
      <c r="LO13388" t="str">
        <v/>
      </c>
    </row>
    <row r="13389" spans="326:327">
      <c r="LN13389" t="str">
        <v/>
      </c>
      <c r="LO13389" t="str">
        <v/>
      </c>
    </row>
    <row r="13390" spans="326:327">
      <c r="LN13390" t="str">
        <v/>
      </c>
      <c r="LO13390" t="str">
        <v/>
      </c>
    </row>
    <row r="13391" spans="326:327">
      <c r="LN13391" t="str">
        <v/>
      </c>
      <c r="LO13391" t="str">
        <v/>
      </c>
    </row>
    <row r="13392" spans="326:327">
      <c r="LN13392" t="str">
        <v/>
      </c>
      <c r="LO13392" t="str">
        <v/>
      </c>
    </row>
    <row r="13393" spans="326:327">
      <c r="LN13393" t="str">
        <v/>
      </c>
      <c r="LO13393" t="str">
        <v/>
      </c>
    </row>
    <row r="13394" spans="326:327">
      <c r="LN13394" t="str">
        <v/>
      </c>
      <c r="LO13394" t="str">
        <v/>
      </c>
    </row>
    <row r="13395" spans="326:327">
      <c r="LN13395" t="str">
        <v/>
      </c>
      <c r="LO13395" t="str">
        <v/>
      </c>
    </row>
    <row r="13396" spans="326:327">
      <c r="LN13396" t="str">
        <v/>
      </c>
      <c r="LO13396" t="str">
        <v/>
      </c>
    </row>
    <row r="13397" spans="326:327">
      <c r="LN13397" t="str">
        <v/>
      </c>
      <c r="LO13397" t="str">
        <v/>
      </c>
    </row>
    <row r="13398" spans="326:327">
      <c r="LN13398" t="str">
        <v/>
      </c>
      <c r="LO13398" t="str">
        <v/>
      </c>
    </row>
    <row r="13399" spans="326:327">
      <c r="LN13399" t="str">
        <v/>
      </c>
      <c r="LO13399" t="str">
        <v/>
      </c>
    </row>
    <row r="13400" spans="326:327">
      <c r="LN13400" t="str">
        <v/>
      </c>
      <c r="LO13400" t="str">
        <v/>
      </c>
    </row>
    <row r="13401" spans="326:327">
      <c r="LN13401" t="str">
        <v/>
      </c>
      <c r="LO13401" t="str">
        <v/>
      </c>
    </row>
    <row r="13402" spans="326:327">
      <c r="LN13402" t="str">
        <v/>
      </c>
      <c r="LO13402" t="str">
        <v/>
      </c>
    </row>
    <row r="13403" spans="326:327">
      <c r="LN13403" t="str">
        <v/>
      </c>
      <c r="LO13403" t="str">
        <v/>
      </c>
    </row>
    <row r="13404" spans="326:327">
      <c r="LN13404" t="str">
        <v/>
      </c>
      <c r="LO13404" t="str">
        <v/>
      </c>
    </row>
    <row r="13405" spans="326:327">
      <c r="LN13405" t="str">
        <v/>
      </c>
      <c r="LO13405" t="str">
        <v/>
      </c>
    </row>
    <row r="13406" spans="326:327">
      <c r="LN13406" t="str">
        <v/>
      </c>
      <c r="LO13406" t="str">
        <v/>
      </c>
    </row>
    <row r="13407" spans="326:327">
      <c r="LN13407" t="str">
        <v/>
      </c>
      <c r="LO13407" t="str">
        <v/>
      </c>
    </row>
    <row r="13408" spans="326:327">
      <c r="LN13408" t="str">
        <v/>
      </c>
      <c r="LO13408" t="str">
        <v/>
      </c>
    </row>
    <row r="13409" spans="326:327">
      <c r="LN13409" t="str">
        <v/>
      </c>
      <c r="LO13409" t="str">
        <v/>
      </c>
    </row>
    <row r="13410" spans="326:327">
      <c r="LN13410" t="str">
        <v/>
      </c>
      <c r="LO13410" t="str">
        <v/>
      </c>
    </row>
    <row r="13411" spans="326:327">
      <c r="LN13411" t="str">
        <v/>
      </c>
      <c r="LO13411" t="str">
        <v/>
      </c>
    </row>
    <row r="13412" spans="326:327">
      <c r="LN13412" t="str">
        <v/>
      </c>
      <c r="LO13412" t="str">
        <v/>
      </c>
    </row>
    <row r="13413" spans="326:327">
      <c r="LN13413" t="str">
        <v/>
      </c>
      <c r="LO13413" t="str">
        <v/>
      </c>
    </row>
    <row r="13414" spans="326:327">
      <c r="LN13414" t="str">
        <v/>
      </c>
      <c r="LO13414" t="str">
        <v/>
      </c>
    </row>
    <row r="13415" spans="326:327">
      <c r="LN13415" t="str">
        <v/>
      </c>
      <c r="LO13415" t="str">
        <v/>
      </c>
    </row>
    <row r="13416" spans="326:327">
      <c r="LN13416" t="str">
        <v/>
      </c>
      <c r="LO13416" t="str">
        <v/>
      </c>
    </row>
    <row r="13417" spans="326:327">
      <c r="LN13417" t="str">
        <v/>
      </c>
      <c r="LO13417" t="str">
        <v/>
      </c>
    </row>
    <row r="13418" spans="326:327">
      <c r="LN13418" t="str">
        <v/>
      </c>
      <c r="LO13418" t="str">
        <v/>
      </c>
    </row>
    <row r="13419" spans="326:327">
      <c r="LN13419" t="str">
        <v/>
      </c>
      <c r="LO13419" t="str">
        <v/>
      </c>
    </row>
    <row r="13420" spans="326:327">
      <c r="LN13420" t="str">
        <v/>
      </c>
      <c r="LO13420" t="str">
        <v/>
      </c>
    </row>
    <row r="13421" spans="326:327">
      <c r="LN13421" t="str">
        <v/>
      </c>
      <c r="LO13421" t="str">
        <v/>
      </c>
    </row>
    <row r="13422" spans="326:327">
      <c r="LN13422" t="str">
        <v/>
      </c>
      <c r="LO13422" t="str">
        <v/>
      </c>
    </row>
    <row r="13423" spans="326:327">
      <c r="LN13423" t="str">
        <v/>
      </c>
      <c r="LO13423" t="str">
        <v/>
      </c>
    </row>
    <row r="13424" spans="326:327">
      <c r="LN13424" t="str">
        <v/>
      </c>
      <c r="LO13424" t="str">
        <v/>
      </c>
    </row>
    <row r="13425" spans="326:327">
      <c r="LN13425" t="str">
        <v/>
      </c>
      <c r="LO13425" t="str">
        <v/>
      </c>
    </row>
    <row r="13426" spans="326:327">
      <c r="LN13426" t="str">
        <v/>
      </c>
      <c r="LO13426" t="str">
        <v/>
      </c>
    </row>
    <row r="13427" spans="326:327">
      <c r="LN13427" t="str">
        <v/>
      </c>
      <c r="LO13427" t="str">
        <v/>
      </c>
    </row>
    <row r="13428" spans="326:327">
      <c r="LN13428" t="str">
        <v/>
      </c>
      <c r="LO13428" t="str">
        <v/>
      </c>
    </row>
    <row r="13429" spans="326:327">
      <c r="LN13429" t="str">
        <v/>
      </c>
      <c r="LO13429" t="str">
        <v/>
      </c>
    </row>
    <row r="13430" spans="326:327">
      <c r="LN13430" t="str">
        <v/>
      </c>
      <c r="LO13430" t="str">
        <v/>
      </c>
    </row>
    <row r="13431" spans="326:327">
      <c r="LN13431" t="str">
        <v/>
      </c>
      <c r="LO13431" t="str">
        <v/>
      </c>
    </row>
    <row r="13432" spans="326:327">
      <c r="LN13432" t="str">
        <v/>
      </c>
      <c r="LO13432" t="str">
        <v/>
      </c>
    </row>
    <row r="13433" spans="326:327">
      <c r="LN13433" t="str">
        <v/>
      </c>
      <c r="LO13433" t="str">
        <v/>
      </c>
    </row>
    <row r="13434" spans="326:327">
      <c r="LN13434" t="str">
        <v/>
      </c>
      <c r="LO13434" t="str">
        <v/>
      </c>
    </row>
    <row r="13435" spans="326:327">
      <c r="LN13435" t="str">
        <v/>
      </c>
      <c r="LO13435" t="str">
        <v/>
      </c>
    </row>
    <row r="13436" spans="326:327">
      <c r="LN13436" t="str">
        <v/>
      </c>
      <c r="LO13436" t="str">
        <v/>
      </c>
    </row>
    <row r="13437" spans="326:327">
      <c r="LN13437" t="str">
        <v/>
      </c>
      <c r="LO13437" t="str">
        <v/>
      </c>
    </row>
    <row r="13438" spans="326:327">
      <c r="LN13438" t="str">
        <v/>
      </c>
      <c r="LO13438" t="str">
        <v/>
      </c>
    </row>
    <row r="13439" spans="326:327">
      <c r="LN13439" t="str">
        <v/>
      </c>
      <c r="LO13439" t="str">
        <v/>
      </c>
    </row>
    <row r="13440" spans="326:327">
      <c r="LN13440" t="str">
        <v/>
      </c>
      <c r="LO13440" t="str">
        <v/>
      </c>
    </row>
    <row r="13441" spans="326:327">
      <c r="LN13441" t="str">
        <v/>
      </c>
      <c r="LO13441" t="str">
        <v/>
      </c>
    </row>
    <row r="13442" spans="326:327">
      <c r="LN13442" t="str">
        <v/>
      </c>
      <c r="LO13442" t="str">
        <v/>
      </c>
    </row>
    <row r="13443" spans="326:327">
      <c r="LN13443" t="str">
        <v/>
      </c>
      <c r="LO13443" t="str">
        <v/>
      </c>
    </row>
    <row r="13444" spans="326:327">
      <c r="LN13444" t="str">
        <v/>
      </c>
      <c r="LO13444" t="str">
        <v/>
      </c>
    </row>
    <row r="13445" spans="326:327">
      <c r="LN13445" t="str">
        <v/>
      </c>
      <c r="LO13445" t="str">
        <v/>
      </c>
    </row>
    <row r="13446" spans="326:327">
      <c r="LN13446" t="str">
        <v/>
      </c>
      <c r="LO13446" t="str">
        <v/>
      </c>
    </row>
    <row r="13447" spans="326:327">
      <c r="LN13447" t="str">
        <v/>
      </c>
      <c r="LO13447" t="str">
        <v/>
      </c>
    </row>
    <row r="13448" spans="326:327">
      <c r="LN13448" t="str">
        <v/>
      </c>
      <c r="LO13448" t="str">
        <v/>
      </c>
    </row>
    <row r="13449" spans="326:327">
      <c r="LN13449" t="str">
        <v/>
      </c>
      <c r="LO13449" t="str">
        <v/>
      </c>
    </row>
    <row r="13450" spans="326:327">
      <c r="LN13450" t="str">
        <v/>
      </c>
      <c r="LO13450" t="str">
        <v/>
      </c>
    </row>
    <row r="13451" spans="326:327">
      <c r="LN13451" t="str">
        <v/>
      </c>
      <c r="LO13451" t="str">
        <v/>
      </c>
    </row>
    <row r="13452" spans="326:327">
      <c r="LN13452" t="str">
        <v/>
      </c>
      <c r="LO13452" t="str">
        <v/>
      </c>
    </row>
    <row r="13453" spans="326:327">
      <c r="LN13453" t="str">
        <v/>
      </c>
      <c r="LO13453" t="str">
        <v/>
      </c>
    </row>
    <row r="13454" spans="326:327">
      <c r="LN13454" t="str">
        <v/>
      </c>
      <c r="LO13454" t="str">
        <v/>
      </c>
    </row>
    <row r="13455" spans="326:327">
      <c r="LN13455" t="str">
        <v/>
      </c>
      <c r="LO13455" t="str">
        <v/>
      </c>
    </row>
    <row r="13456" spans="326:327">
      <c r="LN13456" t="str">
        <v/>
      </c>
      <c r="LO13456" t="str">
        <v/>
      </c>
    </row>
    <row r="13457" spans="326:327">
      <c r="LN13457" t="str">
        <v/>
      </c>
      <c r="LO13457" t="str">
        <v/>
      </c>
    </row>
    <row r="13458" spans="326:327">
      <c r="LN13458" t="str">
        <v/>
      </c>
      <c r="LO13458" t="str">
        <v/>
      </c>
    </row>
    <row r="13459" spans="326:327">
      <c r="LN13459" t="str">
        <v/>
      </c>
      <c r="LO13459" t="str">
        <v/>
      </c>
    </row>
    <row r="13460" spans="326:327">
      <c r="LN13460" t="str">
        <v/>
      </c>
      <c r="LO13460" t="str">
        <v/>
      </c>
    </row>
    <row r="13461" spans="326:327">
      <c r="LN13461" t="str">
        <v/>
      </c>
      <c r="LO13461" t="str">
        <v/>
      </c>
    </row>
    <row r="13462" spans="326:327">
      <c r="LN13462" t="str">
        <v/>
      </c>
      <c r="LO13462" t="str">
        <v/>
      </c>
    </row>
    <row r="13463" spans="326:327">
      <c r="LN13463" t="str">
        <v/>
      </c>
      <c r="LO13463" t="str">
        <v/>
      </c>
    </row>
    <row r="13464" spans="326:327">
      <c r="LN13464" t="str">
        <v/>
      </c>
      <c r="LO13464" t="str">
        <v/>
      </c>
    </row>
    <row r="13465" spans="326:327">
      <c r="LN13465" t="str">
        <v/>
      </c>
      <c r="LO13465" t="str">
        <v/>
      </c>
    </row>
    <row r="13466" spans="326:327">
      <c r="LN13466" t="str">
        <v/>
      </c>
      <c r="LO13466" t="str">
        <v/>
      </c>
    </row>
    <row r="13467" spans="326:327">
      <c r="LN13467" t="str">
        <v/>
      </c>
      <c r="LO13467" t="str">
        <v/>
      </c>
    </row>
    <row r="13468" spans="326:327">
      <c r="LN13468" t="str">
        <v/>
      </c>
      <c r="LO13468" t="str">
        <v/>
      </c>
    </row>
    <row r="13469" spans="326:327">
      <c r="LN13469" t="str">
        <v/>
      </c>
      <c r="LO13469" t="str">
        <v/>
      </c>
    </row>
    <row r="13470" spans="326:327">
      <c r="LN13470" t="str">
        <v/>
      </c>
      <c r="LO13470" t="str">
        <v/>
      </c>
    </row>
    <row r="13471" spans="326:327">
      <c r="LN13471" t="str">
        <v/>
      </c>
      <c r="LO13471" t="str">
        <v/>
      </c>
    </row>
    <row r="13472" spans="326:327">
      <c r="LN13472" t="str">
        <v/>
      </c>
      <c r="LO13472" t="str">
        <v/>
      </c>
    </row>
    <row r="13473" spans="326:327">
      <c r="LN13473" t="str">
        <v/>
      </c>
      <c r="LO13473" t="str">
        <v/>
      </c>
    </row>
    <row r="13474" spans="326:327">
      <c r="LN13474" t="str">
        <v/>
      </c>
      <c r="LO13474" t="str">
        <v/>
      </c>
    </row>
    <row r="13475" spans="326:327">
      <c r="LN13475" t="str">
        <v/>
      </c>
      <c r="LO13475" t="str">
        <v/>
      </c>
    </row>
    <row r="13476" spans="326:327">
      <c r="LN13476" t="str">
        <v/>
      </c>
      <c r="LO13476" t="str">
        <v/>
      </c>
    </row>
    <row r="13477" spans="326:327">
      <c r="LN13477" t="str">
        <v/>
      </c>
      <c r="LO13477" t="str">
        <v/>
      </c>
    </row>
    <row r="13478" spans="326:327">
      <c r="LN13478" t="str">
        <v/>
      </c>
      <c r="LO13478" t="str">
        <v/>
      </c>
    </row>
    <row r="13479" spans="326:327">
      <c r="LN13479" t="str">
        <v/>
      </c>
      <c r="LO13479" t="str">
        <v/>
      </c>
    </row>
    <row r="13480" spans="326:327">
      <c r="LN13480" t="str">
        <v/>
      </c>
      <c r="LO13480" t="str">
        <v/>
      </c>
    </row>
    <row r="13481" spans="326:327">
      <c r="LN13481" t="str">
        <v/>
      </c>
      <c r="LO13481" t="str">
        <v/>
      </c>
    </row>
    <row r="13482" spans="326:327">
      <c r="LN13482" t="str">
        <v/>
      </c>
      <c r="LO13482" t="str">
        <v/>
      </c>
    </row>
    <row r="13483" spans="326:327">
      <c r="LN13483" t="str">
        <v/>
      </c>
      <c r="LO13483" t="str">
        <v/>
      </c>
    </row>
    <row r="13484" spans="326:327">
      <c r="LN13484" t="str">
        <v/>
      </c>
      <c r="LO13484" t="str">
        <v/>
      </c>
    </row>
    <row r="13485" spans="326:327">
      <c r="LN13485" t="str">
        <v/>
      </c>
      <c r="LO13485" t="str">
        <v/>
      </c>
    </row>
    <row r="13486" spans="326:327">
      <c r="LN13486" t="str">
        <v/>
      </c>
      <c r="LO13486" t="str">
        <v/>
      </c>
    </row>
    <row r="13487" spans="326:327">
      <c r="LN13487" t="str">
        <v/>
      </c>
      <c r="LO13487" t="str">
        <v/>
      </c>
    </row>
    <row r="13488" spans="326:327">
      <c r="LN13488" t="str">
        <v/>
      </c>
      <c r="LO13488" t="str">
        <v/>
      </c>
    </row>
    <row r="13489" spans="326:327">
      <c r="LN13489" t="str">
        <v/>
      </c>
      <c r="LO13489" t="str">
        <v/>
      </c>
    </row>
    <row r="13490" spans="326:327">
      <c r="LN13490" t="str">
        <v/>
      </c>
      <c r="LO13490" t="str">
        <v/>
      </c>
    </row>
    <row r="13491" spans="326:327">
      <c r="LN13491" t="str">
        <v/>
      </c>
      <c r="LO13491" t="str">
        <v/>
      </c>
    </row>
    <row r="13492" spans="326:327">
      <c r="LN13492" t="str">
        <v/>
      </c>
      <c r="LO13492" t="str">
        <v/>
      </c>
    </row>
    <row r="13493" spans="326:327">
      <c r="LN13493" t="str">
        <v/>
      </c>
      <c r="LO13493" t="str">
        <v/>
      </c>
    </row>
    <row r="13494" spans="326:327">
      <c r="LN13494" t="str">
        <v/>
      </c>
      <c r="LO13494" t="str">
        <v/>
      </c>
    </row>
    <row r="13495" spans="326:327">
      <c r="LN13495" t="str">
        <v/>
      </c>
      <c r="LO13495" t="str">
        <v/>
      </c>
    </row>
    <row r="13496" spans="326:327">
      <c r="LN13496" t="str">
        <v/>
      </c>
      <c r="LO13496" t="str">
        <v/>
      </c>
    </row>
    <row r="13497" spans="326:327">
      <c r="LN13497" t="str">
        <v/>
      </c>
      <c r="LO13497" t="str">
        <v/>
      </c>
    </row>
    <row r="13498" spans="326:327">
      <c r="LN13498" t="str">
        <v/>
      </c>
      <c r="LO13498" t="str">
        <v/>
      </c>
    </row>
    <row r="13499" spans="326:327">
      <c r="LN13499" t="str">
        <v/>
      </c>
      <c r="LO13499" t="str">
        <v/>
      </c>
    </row>
    <row r="13500" spans="326:327">
      <c r="LN13500" t="str">
        <v/>
      </c>
      <c r="LO13500" t="str">
        <v/>
      </c>
    </row>
    <row r="13501" spans="326:327">
      <c r="LN13501" t="str">
        <v/>
      </c>
      <c r="LO13501" t="str">
        <v/>
      </c>
    </row>
    <row r="13502" spans="326:327">
      <c r="LN13502" t="str">
        <v/>
      </c>
      <c r="LO13502" t="str">
        <v/>
      </c>
    </row>
    <row r="13503" spans="326:327">
      <c r="LN13503" t="str">
        <v/>
      </c>
      <c r="LO13503" t="str">
        <v/>
      </c>
    </row>
    <row r="13504" spans="326:327">
      <c r="LN13504" t="str">
        <v/>
      </c>
      <c r="LO13504" t="str">
        <v/>
      </c>
    </row>
    <row r="13505" spans="326:327">
      <c r="LN13505" t="str">
        <v/>
      </c>
      <c r="LO13505" t="str">
        <v/>
      </c>
    </row>
    <row r="13506" spans="326:327">
      <c r="LN13506" t="str">
        <v/>
      </c>
      <c r="LO13506" t="str">
        <v/>
      </c>
    </row>
    <row r="13507" spans="326:327">
      <c r="LN13507" t="str">
        <v/>
      </c>
      <c r="LO13507" t="str">
        <v/>
      </c>
    </row>
    <row r="13508" spans="326:327">
      <c r="LN13508" t="str">
        <v/>
      </c>
      <c r="LO13508" t="str">
        <v/>
      </c>
    </row>
    <row r="13509" spans="326:327">
      <c r="LN13509" t="str">
        <v/>
      </c>
      <c r="LO13509" t="str">
        <v/>
      </c>
    </row>
    <row r="13510" spans="326:327">
      <c r="LN13510" t="str">
        <v/>
      </c>
      <c r="LO13510" t="str">
        <v/>
      </c>
    </row>
    <row r="13511" spans="326:327">
      <c r="LN13511" t="str">
        <v/>
      </c>
      <c r="LO13511" t="str">
        <v/>
      </c>
    </row>
    <row r="13512" spans="326:327">
      <c r="LN13512" t="str">
        <v/>
      </c>
      <c r="LO13512" t="str">
        <v/>
      </c>
    </row>
    <row r="13513" spans="326:327">
      <c r="LN13513" t="str">
        <v/>
      </c>
      <c r="LO13513" t="str">
        <v/>
      </c>
    </row>
    <row r="13514" spans="326:327">
      <c r="LN13514" t="str">
        <v/>
      </c>
      <c r="LO13514" t="str">
        <v/>
      </c>
    </row>
    <row r="13515" spans="326:327">
      <c r="LN13515" t="str">
        <v/>
      </c>
      <c r="LO13515" t="str">
        <v/>
      </c>
    </row>
    <row r="13516" spans="326:327">
      <c r="LN13516" t="str">
        <v/>
      </c>
      <c r="LO13516" t="str">
        <v/>
      </c>
    </row>
    <row r="13517" spans="326:327">
      <c r="LN13517" t="str">
        <v/>
      </c>
      <c r="LO13517" t="str">
        <v/>
      </c>
    </row>
    <row r="13518" spans="326:327">
      <c r="LN13518" t="str">
        <v/>
      </c>
      <c r="LO13518" t="str">
        <v/>
      </c>
    </row>
    <row r="13519" spans="326:327">
      <c r="LN13519" t="str">
        <v/>
      </c>
      <c r="LO13519" t="str">
        <v/>
      </c>
    </row>
    <row r="13520" spans="326:327">
      <c r="LN13520" t="str">
        <v/>
      </c>
      <c r="LO13520" t="str">
        <v/>
      </c>
    </row>
    <row r="13521" spans="326:327">
      <c r="LN13521" t="str">
        <v/>
      </c>
      <c r="LO13521" t="str">
        <v/>
      </c>
    </row>
    <row r="13522" spans="326:327">
      <c r="LN13522" t="str">
        <v/>
      </c>
      <c r="LO13522" t="str">
        <v/>
      </c>
    </row>
    <row r="13523" spans="326:327">
      <c r="LN13523" t="str">
        <v/>
      </c>
      <c r="LO13523" t="str">
        <v/>
      </c>
    </row>
    <row r="13524" spans="326:327">
      <c r="LN13524" t="str">
        <v/>
      </c>
      <c r="LO13524" t="str">
        <v/>
      </c>
    </row>
    <row r="13525" spans="326:327">
      <c r="LN13525" t="str">
        <v/>
      </c>
      <c r="LO13525" t="str">
        <v/>
      </c>
    </row>
    <row r="13526" spans="326:327">
      <c r="LN13526" t="str">
        <v/>
      </c>
      <c r="LO13526" t="str">
        <v/>
      </c>
    </row>
    <row r="13527" spans="326:327">
      <c r="LN13527" t="str">
        <v/>
      </c>
      <c r="LO13527" t="str">
        <v/>
      </c>
    </row>
    <row r="13528" spans="326:327">
      <c r="LN13528" t="str">
        <v/>
      </c>
      <c r="LO13528" t="str">
        <v/>
      </c>
    </row>
    <row r="13529" spans="326:327">
      <c r="LN13529" t="str">
        <v/>
      </c>
      <c r="LO13529" t="str">
        <v/>
      </c>
    </row>
    <row r="13530" spans="326:327">
      <c r="LN13530" t="str">
        <v/>
      </c>
      <c r="LO13530" t="str">
        <v/>
      </c>
    </row>
    <row r="13531" spans="326:327">
      <c r="LN13531" t="str">
        <v/>
      </c>
      <c r="LO13531" t="str">
        <v/>
      </c>
    </row>
    <row r="13532" spans="326:327">
      <c r="LN13532" t="str">
        <v/>
      </c>
      <c r="LO13532" t="str">
        <v/>
      </c>
    </row>
    <row r="13533" spans="326:327">
      <c r="LN13533" t="str">
        <v/>
      </c>
      <c r="LO13533" t="str">
        <v/>
      </c>
    </row>
    <row r="13534" spans="326:327">
      <c r="LN13534" t="str">
        <v/>
      </c>
      <c r="LO13534" t="str">
        <v/>
      </c>
    </row>
    <row r="13535" spans="326:327">
      <c r="LN13535" t="str">
        <v/>
      </c>
      <c r="LO13535" t="str">
        <v/>
      </c>
    </row>
    <row r="13536" spans="326:327">
      <c r="LN13536" t="str">
        <v/>
      </c>
      <c r="LO13536" t="str">
        <v/>
      </c>
    </row>
    <row r="13537" spans="326:327">
      <c r="LN13537" t="str">
        <v/>
      </c>
      <c r="LO13537" t="str">
        <v/>
      </c>
    </row>
    <row r="13538" spans="326:327">
      <c r="LN13538" t="str">
        <v/>
      </c>
      <c r="LO13538" t="str">
        <v/>
      </c>
    </row>
    <row r="13539" spans="326:327">
      <c r="LN13539" t="str">
        <v/>
      </c>
      <c r="LO13539" t="str">
        <v/>
      </c>
    </row>
    <row r="13540" spans="326:327">
      <c r="LN13540" t="str">
        <v/>
      </c>
      <c r="LO13540" t="str">
        <v/>
      </c>
    </row>
    <row r="13541" spans="326:327">
      <c r="LN13541" t="str">
        <v/>
      </c>
      <c r="LO13541" t="str">
        <v/>
      </c>
    </row>
    <row r="13542" spans="326:327">
      <c r="LN13542" t="str">
        <v/>
      </c>
      <c r="LO13542" t="str">
        <v/>
      </c>
    </row>
    <row r="13543" spans="326:327">
      <c r="LN13543" t="str">
        <v/>
      </c>
      <c r="LO13543" t="str">
        <v/>
      </c>
    </row>
    <row r="13544" spans="326:327">
      <c r="LN13544" t="str">
        <v/>
      </c>
      <c r="LO13544" t="str">
        <v/>
      </c>
    </row>
    <row r="13545" spans="326:327">
      <c r="LN13545" t="str">
        <v/>
      </c>
      <c r="LO13545" t="str">
        <v/>
      </c>
    </row>
    <row r="13546" spans="326:327">
      <c r="LN13546" t="str">
        <v/>
      </c>
      <c r="LO13546" t="str">
        <v/>
      </c>
    </row>
    <row r="13547" spans="326:327">
      <c r="LN13547" t="str">
        <v/>
      </c>
      <c r="LO13547" t="str">
        <v/>
      </c>
    </row>
    <row r="13548" spans="326:327">
      <c r="LN13548" t="str">
        <v/>
      </c>
      <c r="LO13548" t="str">
        <v/>
      </c>
    </row>
    <row r="13549" spans="326:327">
      <c r="LN13549" t="str">
        <v/>
      </c>
      <c r="LO13549" t="str">
        <v/>
      </c>
    </row>
    <row r="13550" spans="326:327">
      <c r="LN13550" t="str">
        <v/>
      </c>
      <c r="LO13550" t="str">
        <v/>
      </c>
    </row>
    <row r="13551" spans="326:327">
      <c r="LN13551" t="str">
        <v/>
      </c>
      <c r="LO13551" t="str">
        <v/>
      </c>
    </row>
    <row r="13552" spans="326:327">
      <c r="LN13552" t="str">
        <v/>
      </c>
      <c r="LO13552" t="str">
        <v/>
      </c>
    </row>
    <row r="13553" spans="326:327">
      <c r="LN13553" t="str">
        <v/>
      </c>
      <c r="LO13553" t="str">
        <v/>
      </c>
    </row>
    <row r="13554" spans="326:327">
      <c r="LN13554" t="str">
        <v/>
      </c>
      <c r="LO13554" t="str">
        <v/>
      </c>
    </row>
    <row r="13555" spans="326:327">
      <c r="LN13555" t="str">
        <v/>
      </c>
      <c r="LO13555" t="str">
        <v/>
      </c>
    </row>
    <row r="13556" spans="326:327">
      <c r="LN13556" t="str">
        <v/>
      </c>
      <c r="LO13556" t="str">
        <v/>
      </c>
    </row>
    <row r="13557" spans="326:327">
      <c r="LN13557" t="str">
        <v/>
      </c>
      <c r="LO13557" t="str">
        <v/>
      </c>
    </row>
    <row r="13558" spans="326:327">
      <c r="LN13558" t="str">
        <v/>
      </c>
      <c r="LO13558" t="str">
        <v/>
      </c>
    </row>
    <row r="13559" spans="326:327">
      <c r="LN13559" t="str">
        <v/>
      </c>
      <c r="LO13559" t="str">
        <v/>
      </c>
    </row>
    <row r="13560" spans="326:327">
      <c r="LN13560" t="str">
        <v/>
      </c>
      <c r="LO13560" t="str">
        <v/>
      </c>
    </row>
    <row r="13561" spans="326:327">
      <c r="LN13561" t="str">
        <v/>
      </c>
      <c r="LO13561" t="str">
        <v/>
      </c>
    </row>
    <row r="13562" spans="326:327">
      <c r="LN13562" t="str">
        <v/>
      </c>
      <c r="LO13562" t="str">
        <v/>
      </c>
    </row>
    <row r="13563" spans="326:327">
      <c r="LN13563" t="str">
        <v/>
      </c>
      <c r="LO13563" t="str">
        <v/>
      </c>
    </row>
    <row r="13564" spans="326:327">
      <c r="LN13564" t="str">
        <v/>
      </c>
      <c r="LO13564" t="str">
        <v/>
      </c>
    </row>
    <row r="13565" spans="326:327">
      <c r="LN13565" t="str">
        <v/>
      </c>
      <c r="LO13565" t="str">
        <v/>
      </c>
    </row>
    <row r="13566" spans="326:327">
      <c r="LN13566" t="str">
        <v/>
      </c>
      <c r="LO13566" t="str">
        <v/>
      </c>
    </row>
    <row r="13567" spans="326:327">
      <c r="LN13567" t="str">
        <v/>
      </c>
      <c r="LO13567" t="str">
        <v/>
      </c>
    </row>
    <row r="13568" spans="326:327">
      <c r="LN13568" t="str">
        <v/>
      </c>
      <c r="LO13568" t="str">
        <v/>
      </c>
    </row>
    <row r="13569" spans="326:327">
      <c r="LN13569" t="str">
        <v/>
      </c>
      <c r="LO13569" t="str">
        <v/>
      </c>
    </row>
    <row r="13570" spans="326:327">
      <c r="LN13570" t="str">
        <v/>
      </c>
      <c r="LO13570" t="str">
        <v/>
      </c>
    </row>
    <row r="13571" spans="326:327">
      <c r="LN13571" t="str">
        <v/>
      </c>
      <c r="LO13571" t="str">
        <v/>
      </c>
    </row>
    <row r="13572" spans="326:327">
      <c r="LN13572" t="str">
        <v/>
      </c>
      <c r="LO13572" t="str">
        <v/>
      </c>
    </row>
    <row r="13573" spans="326:327">
      <c r="LN13573" t="str">
        <v/>
      </c>
      <c r="LO13573" t="str">
        <v/>
      </c>
    </row>
    <row r="13574" spans="326:327">
      <c r="LN13574" t="str">
        <v/>
      </c>
      <c r="LO13574" t="str">
        <v/>
      </c>
    </row>
    <row r="13575" spans="326:327">
      <c r="LN13575" t="str">
        <v/>
      </c>
      <c r="LO13575" t="str">
        <v/>
      </c>
    </row>
    <row r="13576" spans="326:327">
      <c r="LN13576" t="str">
        <v/>
      </c>
      <c r="LO13576" t="str">
        <v/>
      </c>
    </row>
    <row r="13577" spans="326:327">
      <c r="LN13577" t="str">
        <v/>
      </c>
      <c r="LO13577" t="str">
        <v/>
      </c>
    </row>
    <row r="13578" spans="326:327">
      <c r="LN13578" t="str">
        <v/>
      </c>
      <c r="LO13578" t="str">
        <v/>
      </c>
    </row>
    <row r="13579" spans="326:327">
      <c r="LN13579" t="str">
        <v/>
      </c>
      <c r="LO13579" t="str">
        <v/>
      </c>
    </row>
    <row r="13580" spans="326:327">
      <c r="LN13580" t="str">
        <v/>
      </c>
      <c r="LO13580" t="str">
        <v/>
      </c>
    </row>
    <row r="13581" spans="326:327">
      <c r="LN13581" t="str">
        <v/>
      </c>
      <c r="LO13581" t="str">
        <v/>
      </c>
    </row>
    <row r="13582" spans="326:327">
      <c r="LN13582" t="str">
        <v/>
      </c>
      <c r="LO13582" t="str">
        <v/>
      </c>
    </row>
    <row r="13583" spans="326:327">
      <c r="LN13583" t="str">
        <v/>
      </c>
      <c r="LO13583" t="str">
        <v/>
      </c>
    </row>
    <row r="13584" spans="326:327">
      <c r="LN13584" t="str">
        <v/>
      </c>
      <c r="LO13584" t="str">
        <v/>
      </c>
    </row>
    <row r="13585" spans="326:327">
      <c r="LN13585" t="str">
        <v/>
      </c>
      <c r="LO13585" t="str">
        <v/>
      </c>
    </row>
    <row r="13586" spans="326:327">
      <c r="LN13586" t="str">
        <v/>
      </c>
      <c r="LO13586" t="str">
        <v/>
      </c>
    </row>
    <row r="13587" spans="326:327">
      <c r="LN13587" t="str">
        <v/>
      </c>
      <c r="LO13587" t="str">
        <v/>
      </c>
    </row>
    <row r="13588" spans="326:327">
      <c r="LN13588" t="str">
        <v/>
      </c>
      <c r="LO13588" t="str">
        <v/>
      </c>
    </row>
    <row r="13589" spans="326:327">
      <c r="LN13589" t="str">
        <v/>
      </c>
      <c r="LO13589" t="str">
        <v/>
      </c>
    </row>
    <row r="13590" spans="326:327">
      <c r="LN13590" t="str">
        <v/>
      </c>
      <c r="LO13590" t="str">
        <v/>
      </c>
    </row>
    <row r="13591" spans="326:327">
      <c r="LN13591" t="str">
        <v/>
      </c>
      <c r="LO13591" t="str">
        <v/>
      </c>
    </row>
    <row r="13592" spans="326:327">
      <c r="LN13592" t="str">
        <v/>
      </c>
      <c r="LO13592" t="str">
        <v/>
      </c>
    </row>
    <row r="13593" spans="326:327">
      <c r="LN13593" t="str">
        <v/>
      </c>
      <c r="LO13593" t="str">
        <v/>
      </c>
    </row>
    <row r="13594" spans="326:327">
      <c r="LN13594" t="str">
        <v/>
      </c>
      <c r="LO13594" t="str">
        <v/>
      </c>
    </row>
    <row r="13595" spans="326:327">
      <c r="LN13595" t="str">
        <v/>
      </c>
      <c r="LO13595" t="str">
        <v/>
      </c>
    </row>
    <row r="13596" spans="326:327">
      <c r="LN13596" t="str">
        <v/>
      </c>
      <c r="LO13596" t="str">
        <v/>
      </c>
    </row>
    <row r="13597" spans="326:327">
      <c r="LN13597" t="str">
        <v/>
      </c>
      <c r="LO13597" t="str">
        <v/>
      </c>
    </row>
    <row r="13598" spans="326:327">
      <c r="LN13598" t="str">
        <v/>
      </c>
      <c r="LO13598" t="str">
        <v/>
      </c>
    </row>
    <row r="13599" spans="326:327">
      <c r="LN13599" t="str">
        <v/>
      </c>
      <c r="LO13599" t="str">
        <v/>
      </c>
    </row>
    <row r="13600" spans="326:327">
      <c r="LN13600" t="str">
        <v/>
      </c>
      <c r="LO13600" t="str">
        <v/>
      </c>
    </row>
    <row r="13601" spans="326:327">
      <c r="LN13601" t="str">
        <v/>
      </c>
      <c r="LO13601" t="str">
        <v/>
      </c>
    </row>
    <row r="13602" spans="326:327">
      <c r="LN13602" t="str">
        <v/>
      </c>
      <c r="LO13602" t="str">
        <v/>
      </c>
    </row>
    <row r="13603" spans="326:327">
      <c r="LN13603" t="str">
        <v/>
      </c>
      <c r="LO13603" t="str">
        <v/>
      </c>
    </row>
    <row r="13604" spans="326:327">
      <c r="LN13604" t="str">
        <v/>
      </c>
      <c r="LO13604" t="str">
        <v/>
      </c>
    </row>
    <row r="13605" spans="326:327">
      <c r="LN13605" t="str">
        <v/>
      </c>
      <c r="LO13605" t="str">
        <v/>
      </c>
    </row>
    <row r="13606" spans="326:327">
      <c r="LN13606" t="str">
        <v/>
      </c>
      <c r="LO13606" t="str">
        <v/>
      </c>
    </row>
    <row r="13607" spans="326:327">
      <c r="LN13607" t="str">
        <v/>
      </c>
      <c r="LO13607" t="str">
        <v/>
      </c>
    </row>
    <row r="13608" spans="326:327">
      <c r="LN13608" t="str">
        <v/>
      </c>
      <c r="LO13608" t="str">
        <v/>
      </c>
    </row>
    <row r="13609" spans="326:327">
      <c r="LN13609" t="str">
        <v/>
      </c>
      <c r="LO13609" t="str">
        <v/>
      </c>
    </row>
    <row r="13610" spans="326:327">
      <c r="LN13610" t="str">
        <v/>
      </c>
      <c r="LO13610" t="str">
        <v/>
      </c>
    </row>
    <row r="13611" spans="326:327">
      <c r="LN13611" t="str">
        <v/>
      </c>
      <c r="LO13611" t="str">
        <v/>
      </c>
    </row>
    <row r="13612" spans="326:327">
      <c r="LN13612" t="str">
        <v/>
      </c>
      <c r="LO13612" t="str">
        <v/>
      </c>
    </row>
    <row r="13613" spans="326:327">
      <c r="LN13613" t="str">
        <v/>
      </c>
      <c r="LO13613" t="str">
        <v/>
      </c>
    </row>
    <row r="13614" spans="326:327">
      <c r="LN13614" t="str">
        <v/>
      </c>
      <c r="LO13614" t="str">
        <v/>
      </c>
    </row>
    <row r="13615" spans="326:327">
      <c r="LN13615" t="str">
        <v/>
      </c>
      <c r="LO13615" t="str">
        <v/>
      </c>
    </row>
    <row r="13616" spans="326:327">
      <c r="LN13616" t="str">
        <v/>
      </c>
      <c r="LO13616" t="str">
        <v/>
      </c>
    </row>
    <row r="13617" spans="326:327">
      <c r="LN13617" t="str">
        <v/>
      </c>
      <c r="LO13617" t="str">
        <v/>
      </c>
    </row>
    <row r="13618" spans="326:327">
      <c r="LN13618" t="str">
        <v/>
      </c>
      <c r="LO13618" t="str">
        <v/>
      </c>
    </row>
    <row r="13619" spans="326:327">
      <c r="LN13619" t="str">
        <v/>
      </c>
      <c r="LO13619" t="str">
        <v/>
      </c>
    </row>
    <row r="13620" spans="326:327">
      <c r="LN13620" t="str">
        <v/>
      </c>
      <c r="LO13620" t="str">
        <v/>
      </c>
    </row>
    <row r="13621" spans="326:327">
      <c r="LN13621" t="str">
        <v/>
      </c>
      <c r="LO13621" t="str">
        <v/>
      </c>
    </row>
    <row r="13622" spans="326:327">
      <c r="LN13622" t="str">
        <v/>
      </c>
      <c r="LO13622" t="str">
        <v/>
      </c>
    </row>
    <row r="13623" spans="326:327">
      <c r="LN13623" t="str">
        <v/>
      </c>
      <c r="LO13623" t="str">
        <v/>
      </c>
    </row>
    <row r="13624" spans="326:327">
      <c r="LN13624" t="str">
        <v/>
      </c>
      <c r="LO13624" t="str">
        <v/>
      </c>
    </row>
    <row r="13625" spans="326:327">
      <c r="LN13625" t="str">
        <v/>
      </c>
      <c r="LO13625" t="str">
        <v/>
      </c>
    </row>
    <row r="13626" spans="326:327">
      <c r="LN13626" t="str">
        <v/>
      </c>
      <c r="LO13626" t="str">
        <v/>
      </c>
    </row>
    <row r="13627" spans="326:327">
      <c r="LN13627" t="str">
        <v/>
      </c>
      <c r="LO13627" t="str">
        <v/>
      </c>
    </row>
    <row r="13628" spans="326:327">
      <c r="LN13628" t="str">
        <v/>
      </c>
      <c r="LO13628" t="str">
        <v/>
      </c>
    </row>
    <row r="13629" spans="326:327">
      <c r="LN13629" t="str">
        <v/>
      </c>
      <c r="LO13629" t="str">
        <v/>
      </c>
    </row>
    <row r="13630" spans="326:327">
      <c r="LN13630" t="str">
        <v/>
      </c>
      <c r="LO13630" t="str">
        <v/>
      </c>
    </row>
    <row r="13631" spans="326:327">
      <c r="LN13631" t="str">
        <v/>
      </c>
      <c r="LO13631" t="str">
        <v/>
      </c>
    </row>
    <row r="13632" spans="326:327">
      <c r="LN13632" t="str">
        <v/>
      </c>
      <c r="LO13632" t="str">
        <v/>
      </c>
    </row>
    <row r="13633" spans="326:327">
      <c r="LN13633" t="str">
        <v/>
      </c>
      <c r="LO13633" t="str">
        <v/>
      </c>
    </row>
    <row r="13634" spans="326:327">
      <c r="LN13634" t="str">
        <v/>
      </c>
      <c r="LO13634" t="str">
        <v/>
      </c>
    </row>
    <row r="13635" spans="326:327">
      <c r="LN13635" t="str">
        <v/>
      </c>
      <c r="LO13635" t="str">
        <v/>
      </c>
    </row>
    <row r="13636" spans="326:327">
      <c r="LN13636" t="str">
        <v/>
      </c>
      <c r="LO13636" t="str">
        <v/>
      </c>
    </row>
    <row r="13637" spans="326:327">
      <c r="LN13637" t="str">
        <v/>
      </c>
      <c r="LO13637" t="str">
        <v/>
      </c>
    </row>
    <row r="13638" spans="326:327">
      <c r="LN13638" t="str">
        <v/>
      </c>
      <c r="LO13638" t="str">
        <v/>
      </c>
    </row>
    <row r="13639" spans="326:327">
      <c r="LN13639" t="str">
        <v/>
      </c>
      <c r="LO13639" t="str">
        <v/>
      </c>
    </row>
    <row r="13640" spans="326:327">
      <c r="LN13640" t="str">
        <v/>
      </c>
      <c r="LO13640" t="str">
        <v/>
      </c>
    </row>
    <row r="13641" spans="326:327">
      <c r="LN13641" t="str">
        <v/>
      </c>
      <c r="LO13641" t="str">
        <v/>
      </c>
    </row>
    <row r="13642" spans="326:327">
      <c r="LN13642" t="str">
        <v/>
      </c>
      <c r="LO13642" t="str">
        <v/>
      </c>
    </row>
    <row r="13643" spans="326:327">
      <c r="LN13643" t="str">
        <v/>
      </c>
      <c r="LO13643" t="str">
        <v/>
      </c>
    </row>
    <row r="13644" spans="326:327">
      <c r="LN13644" t="str">
        <v/>
      </c>
      <c r="LO13644" t="str">
        <v/>
      </c>
    </row>
    <row r="13645" spans="326:327">
      <c r="LN13645" t="str">
        <v/>
      </c>
      <c r="LO13645" t="str">
        <v/>
      </c>
    </row>
    <row r="13646" spans="326:327">
      <c r="LN13646" t="str">
        <v/>
      </c>
      <c r="LO13646" t="str">
        <v/>
      </c>
    </row>
    <row r="13647" spans="326:327">
      <c r="LN13647" t="str">
        <v/>
      </c>
      <c r="LO13647" t="str">
        <v/>
      </c>
    </row>
    <row r="13648" spans="326:327">
      <c r="LN13648" t="str">
        <v/>
      </c>
      <c r="LO13648" t="str">
        <v/>
      </c>
    </row>
    <row r="13649" spans="326:327">
      <c r="LN13649" t="str">
        <v/>
      </c>
      <c r="LO13649" t="str">
        <v/>
      </c>
    </row>
    <row r="13650" spans="326:327">
      <c r="LN13650" t="str">
        <v/>
      </c>
      <c r="LO13650" t="str">
        <v/>
      </c>
    </row>
    <row r="13651" spans="326:327">
      <c r="LN13651" t="str">
        <v/>
      </c>
      <c r="LO13651" t="str">
        <v/>
      </c>
    </row>
    <row r="13652" spans="326:327">
      <c r="LN13652" t="str">
        <v/>
      </c>
      <c r="LO13652" t="str">
        <v/>
      </c>
    </row>
    <row r="13653" spans="326:327">
      <c r="LN13653" t="str">
        <v/>
      </c>
      <c r="LO13653" t="str">
        <v/>
      </c>
    </row>
    <row r="13654" spans="326:327">
      <c r="LN13654" t="str">
        <v/>
      </c>
      <c r="LO13654" t="str">
        <v/>
      </c>
    </row>
    <row r="13655" spans="326:327">
      <c r="LN13655" t="str">
        <v/>
      </c>
      <c r="LO13655" t="str">
        <v/>
      </c>
    </row>
    <row r="13656" spans="326:327">
      <c r="LN13656" t="str">
        <v/>
      </c>
      <c r="LO13656" t="str">
        <v/>
      </c>
    </row>
    <row r="13657" spans="326:327">
      <c r="LN13657" t="str">
        <v/>
      </c>
      <c r="LO13657" t="str">
        <v/>
      </c>
    </row>
    <row r="13658" spans="326:327">
      <c r="LN13658" t="str">
        <v/>
      </c>
      <c r="LO13658" t="str">
        <v/>
      </c>
    </row>
    <row r="13659" spans="326:327">
      <c r="LN13659" t="str">
        <v/>
      </c>
      <c r="LO13659" t="str">
        <v/>
      </c>
    </row>
    <row r="13660" spans="326:327">
      <c r="LN13660" t="str">
        <v/>
      </c>
      <c r="LO13660" t="str">
        <v/>
      </c>
    </row>
    <row r="13661" spans="326:327">
      <c r="LN13661" t="str">
        <v/>
      </c>
      <c r="LO13661" t="str">
        <v/>
      </c>
    </row>
    <row r="13662" spans="326:327">
      <c r="LN13662" t="str">
        <v/>
      </c>
      <c r="LO13662" t="str">
        <v/>
      </c>
    </row>
    <row r="13663" spans="326:327">
      <c r="LN13663" t="str">
        <v/>
      </c>
      <c r="LO13663" t="str">
        <v/>
      </c>
    </row>
    <row r="13664" spans="326:327">
      <c r="LN13664" t="str">
        <v/>
      </c>
      <c r="LO13664" t="str">
        <v/>
      </c>
    </row>
    <row r="13665" spans="326:327">
      <c r="LN13665" t="str">
        <v/>
      </c>
      <c r="LO13665" t="str">
        <v/>
      </c>
    </row>
    <row r="13666" spans="326:327">
      <c r="LN13666" t="str">
        <v/>
      </c>
      <c r="LO13666" t="str">
        <v/>
      </c>
    </row>
    <row r="13667" spans="326:327">
      <c r="LN13667" t="str">
        <v/>
      </c>
      <c r="LO13667" t="str">
        <v/>
      </c>
    </row>
    <row r="13668" spans="326:327">
      <c r="LN13668" t="str">
        <v/>
      </c>
      <c r="LO13668" t="str">
        <v/>
      </c>
    </row>
    <row r="13669" spans="326:327">
      <c r="LN13669" t="str">
        <v/>
      </c>
      <c r="LO13669" t="str">
        <v/>
      </c>
    </row>
    <row r="13670" spans="326:327">
      <c r="LN13670" t="str">
        <v/>
      </c>
      <c r="LO13670" t="str">
        <v/>
      </c>
    </row>
    <row r="13671" spans="326:327">
      <c r="LN13671" t="str">
        <v/>
      </c>
      <c r="LO13671" t="str">
        <v/>
      </c>
    </row>
    <row r="13672" spans="326:327">
      <c r="LN13672" t="str">
        <v/>
      </c>
      <c r="LO13672" t="str">
        <v/>
      </c>
    </row>
    <row r="13673" spans="326:327">
      <c r="LN13673" t="str">
        <v/>
      </c>
      <c r="LO13673" t="str">
        <v/>
      </c>
    </row>
    <row r="13674" spans="326:327">
      <c r="LN13674" t="str">
        <v/>
      </c>
      <c r="LO13674" t="str">
        <v/>
      </c>
    </row>
    <row r="13675" spans="326:327">
      <c r="LN13675" t="str">
        <v/>
      </c>
      <c r="LO13675" t="str">
        <v/>
      </c>
    </row>
    <row r="13676" spans="326:327">
      <c r="LN13676" t="str">
        <v/>
      </c>
      <c r="LO13676" t="str">
        <v/>
      </c>
    </row>
    <row r="13677" spans="326:327">
      <c r="LN13677" t="str">
        <v/>
      </c>
      <c r="LO13677" t="str">
        <v/>
      </c>
    </row>
    <row r="13678" spans="326:327">
      <c r="LN13678" t="str">
        <v/>
      </c>
      <c r="LO13678" t="str">
        <v/>
      </c>
    </row>
    <row r="13679" spans="326:327">
      <c r="LN13679" t="str">
        <v/>
      </c>
      <c r="LO13679" t="str">
        <v/>
      </c>
    </row>
    <row r="13680" spans="326:327">
      <c r="LN13680" t="str">
        <v/>
      </c>
      <c r="LO13680" t="str">
        <v/>
      </c>
    </row>
    <row r="13681" spans="326:327">
      <c r="LN13681" t="str">
        <v/>
      </c>
      <c r="LO13681" t="str">
        <v/>
      </c>
    </row>
    <row r="13682" spans="326:327">
      <c r="LN13682" t="str">
        <v/>
      </c>
      <c r="LO13682" t="str">
        <v/>
      </c>
    </row>
    <row r="13683" spans="326:327">
      <c r="LN13683" t="str">
        <v/>
      </c>
      <c r="LO13683" t="str">
        <v/>
      </c>
    </row>
    <row r="13684" spans="326:327">
      <c r="LN13684" t="str">
        <v/>
      </c>
      <c r="LO13684" t="str">
        <v/>
      </c>
    </row>
    <row r="13685" spans="326:327">
      <c r="LN13685" t="str">
        <v/>
      </c>
      <c r="LO13685" t="str">
        <v/>
      </c>
    </row>
    <row r="13686" spans="326:327">
      <c r="LN13686" t="str">
        <v/>
      </c>
      <c r="LO13686" t="str">
        <v/>
      </c>
    </row>
    <row r="13687" spans="326:327">
      <c r="LN13687" t="str">
        <v/>
      </c>
      <c r="LO13687" t="str">
        <v/>
      </c>
    </row>
    <row r="13688" spans="326:327">
      <c r="LN13688" t="str">
        <v/>
      </c>
      <c r="LO13688" t="str">
        <v/>
      </c>
    </row>
    <row r="13689" spans="326:327">
      <c r="LN13689" t="str">
        <v/>
      </c>
      <c r="LO13689" t="str">
        <v/>
      </c>
    </row>
    <row r="13690" spans="326:327">
      <c r="LN13690" t="str">
        <v/>
      </c>
      <c r="LO13690" t="str">
        <v/>
      </c>
    </row>
    <row r="13691" spans="326:327">
      <c r="LN13691" t="str">
        <v/>
      </c>
      <c r="LO13691" t="str">
        <v/>
      </c>
    </row>
    <row r="13692" spans="326:327">
      <c r="LN13692" t="str">
        <v/>
      </c>
      <c r="LO13692" t="str">
        <v/>
      </c>
    </row>
    <row r="13693" spans="326:327">
      <c r="LN13693" t="str">
        <v/>
      </c>
      <c r="LO13693" t="str">
        <v/>
      </c>
    </row>
    <row r="13694" spans="326:327">
      <c r="LN13694" t="str">
        <v/>
      </c>
      <c r="LO13694" t="str">
        <v/>
      </c>
    </row>
    <row r="13695" spans="326:327">
      <c r="LN13695" t="str">
        <v/>
      </c>
      <c r="LO13695" t="str">
        <v/>
      </c>
    </row>
    <row r="13696" spans="326:327">
      <c r="LN13696" t="str">
        <v/>
      </c>
      <c r="LO13696" t="str">
        <v/>
      </c>
    </row>
    <row r="13697" spans="326:327">
      <c r="LN13697" t="str">
        <v/>
      </c>
      <c r="LO13697" t="str">
        <v/>
      </c>
    </row>
    <row r="13698" spans="326:327">
      <c r="LN13698" t="str">
        <v/>
      </c>
      <c r="LO13698" t="str">
        <v/>
      </c>
    </row>
    <row r="13699" spans="326:327">
      <c r="LN13699" t="str">
        <v/>
      </c>
      <c r="LO13699" t="str">
        <v/>
      </c>
    </row>
    <row r="13700" spans="326:327">
      <c r="LN13700" t="str">
        <v/>
      </c>
      <c r="LO13700" t="str">
        <v/>
      </c>
    </row>
    <row r="13701" spans="326:327">
      <c r="LN13701" t="str">
        <v/>
      </c>
      <c r="LO13701" t="str">
        <v/>
      </c>
    </row>
    <row r="13702" spans="326:327">
      <c r="LN13702" t="str">
        <v/>
      </c>
      <c r="LO13702" t="str">
        <v/>
      </c>
    </row>
    <row r="13703" spans="326:327">
      <c r="LN13703" t="str">
        <v/>
      </c>
      <c r="LO13703" t="str">
        <v/>
      </c>
    </row>
    <row r="13704" spans="326:327">
      <c r="LN13704" t="str">
        <v/>
      </c>
      <c r="LO13704" t="str">
        <v/>
      </c>
    </row>
    <row r="13705" spans="326:327">
      <c r="LN13705" t="str">
        <v/>
      </c>
      <c r="LO13705" t="str">
        <v/>
      </c>
    </row>
    <row r="13706" spans="326:327">
      <c r="LN13706" t="str">
        <v/>
      </c>
      <c r="LO13706" t="str">
        <v/>
      </c>
    </row>
    <row r="13707" spans="326:327">
      <c r="LN13707" t="str">
        <v/>
      </c>
      <c r="LO13707" t="str">
        <v/>
      </c>
    </row>
    <row r="13708" spans="326:327">
      <c r="LN13708" t="str">
        <v/>
      </c>
      <c r="LO13708" t="str">
        <v/>
      </c>
    </row>
    <row r="13709" spans="326:327">
      <c r="LN13709" t="str">
        <v/>
      </c>
      <c r="LO13709" t="str">
        <v/>
      </c>
    </row>
    <row r="13710" spans="326:327">
      <c r="LN13710" t="str">
        <v/>
      </c>
      <c r="LO13710" t="str">
        <v/>
      </c>
    </row>
    <row r="13711" spans="326:327">
      <c r="LN13711" t="str">
        <v/>
      </c>
      <c r="LO13711" t="str">
        <v/>
      </c>
    </row>
    <row r="13712" spans="326:327">
      <c r="LN13712" t="str">
        <v/>
      </c>
      <c r="LO13712" t="str">
        <v/>
      </c>
    </row>
    <row r="13713" spans="326:327">
      <c r="LN13713" t="str">
        <v/>
      </c>
      <c r="LO13713" t="str">
        <v/>
      </c>
    </row>
    <row r="13714" spans="326:327">
      <c r="LN13714" t="str">
        <v/>
      </c>
      <c r="LO13714" t="str">
        <v/>
      </c>
    </row>
    <row r="13715" spans="326:327">
      <c r="LN13715" t="str">
        <v/>
      </c>
      <c r="LO13715" t="str">
        <v/>
      </c>
    </row>
    <row r="13716" spans="326:327">
      <c r="LN13716" t="str">
        <v/>
      </c>
      <c r="LO13716" t="str">
        <v/>
      </c>
    </row>
    <row r="13717" spans="326:327">
      <c r="LN13717" t="str">
        <v/>
      </c>
      <c r="LO13717" t="str">
        <v/>
      </c>
    </row>
    <row r="13718" spans="326:327">
      <c r="LN13718" t="str">
        <v/>
      </c>
      <c r="LO13718" t="str">
        <v/>
      </c>
    </row>
    <row r="13719" spans="326:327">
      <c r="LN13719" t="str">
        <v/>
      </c>
      <c r="LO13719" t="str">
        <v/>
      </c>
    </row>
    <row r="13720" spans="326:327">
      <c r="LN13720" t="str">
        <v/>
      </c>
      <c r="LO13720" t="str">
        <v/>
      </c>
    </row>
    <row r="13721" spans="326:327">
      <c r="LN13721" t="str">
        <v/>
      </c>
      <c r="LO13721" t="str">
        <v/>
      </c>
    </row>
    <row r="13722" spans="326:327">
      <c r="LN13722" t="str">
        <v/>
      </c>
      <c r="LO13722" t="str">
        <v/>
      </c>
    </row>
    <row r="13723" spans="326:327">
      <c r="LN13723" t="str">
        <v/>
      </c>
      <c r="LO13723" t="str">
        <v/>
      </c>
    </row>
    <row r="13724" spans="326:327">
      <c r="LN13724" t="str">
        <v/>
      </c>
      <c r="LO13724" t="str">
        <v/>
      </c>
    </row>
    <row r="13725" spans="326:327">
      <c r="LN13725" t="str">
        <v/>
      </c>
      <c r="LO13725" t="str">
        <v/>
      </c>
    </row>
    <row r="13726" spans="326:327">
      <c r="LN13726" t="str">
        <v/>
      </c>
      <c r="LO13726" t="str">
        <v/>
      </c>
    </row>
    <row r="13727" spans="326:327">
      <c r="LN13727" t="str">
        <v/>
      </c>
      <c r="LO13727" t="str">
        <v/>
      </c>
    </row>
    <row r="13728" spans="326:327">
      <c r="LN13728" t="str">
        <v/>
      </c>
      <c r="LO13728" t="str">
        <v/>
      </c>
    </row>
    <row r="13729" spans="326:327">
      <c r="LN13729" t="str">
        <v/>
      </c>
      <c r="LO13729" t="str">
        <v/>
      </c>
    </row>
    <row r="13730" spans="326:327">
      <c r="LN13730" t="str">
        <v/>
      </c>
      <c r="LO13730" t="str">
        <v/>
      </c>
    </row>
    <row r="13731" spans="326:327">
      <c r="LN13731" t="str">
        <v/>
      </c>
      <c r="LO13731" t="str">
        <v/>
      </c>
    </row>
    <row r="13732" spans="326:327">
      <c r="LN13732" t="str">
        <v/>
      </c>
      <c r="LO13732" t="str">
        <v/>
      </c>
    </row>
    <row r="13733" spans="326:327">
      <c r="LN13733" t="str">
        <v/>
      </c>
      <c r="LO13733" t="str">
        <v/>
      </c>
    </row>
    <row r="13734" spans="326:327">
      <c r="LN13734" t="str">
        <v/>
      </c>
      <c r="LO13734" t="str">
        <v/>
      </c>
    </row>
    <row r="13735" spans="326:327">
      <c r="LN13735" t="str">
        <v/>
      </c>
      <c r="LO13735" t="str">
        <v/>
      </c>
    </row>
    <row r="13736" spans="326:327">
      <c r="LN13736" t="str">
        <v/>
      </c>
      <c r="LO13736" t="str">
        <v/>
      </c>
    </row>
    <row r="13737" spans="326:327">
      <c r="LN13737" t="str">
        <v/>
      </c>
      <c r="LO13737" t="str">
        <v/>
      </c>
    </row>
    <row r="13738" spans="326:327">
      <c r="LN13738" t="str">
        <v/>
      </c>
      <c r="LO13738" t="str">
        <v/>
      </c>
    </row>
    <row r="13739" spans="326:327">
      <c r="LN13739" t="str">
        <v/>
      </c>
      <c r="LO13739" t="str">
        <v/>
      </c>
    </row>
    <row r="13740" spans="326:327">
      <c r="LN13740" t="str">
        <v/>
      </c>
      <c r="LO13740" t="str">
        <v/>
      </c>
    </row>
    <row r="13741" spans="326:327">
      <c r="LN13741" t="str">
        <v/>
      </c>
      <c r="LO13741" t="str">
        <v/>
      </c>
    </row>
    <row r="13742" spans="326:327">
      <c r="LN13742" t="str">
        <v/>
      </c>
      <c r="LO13742" t="str">
        <v/>
      </c>
    </row>
    <row r="13743" spans="326:327">
      <c r="LN13743" t="str">
        <v/>
      </c>
      <c r="LO13743" t="str">
        <v/>
      </c>
    </row>
    <row r="13744" spans="326:327">
      <c r="LN13744" t="str">
        <v/>
      </c>
      <c r="LO13744" t="str">
        <v/>
      </c>
    </row>
    <row r="13745" spans="326:327">
      <c r="LN13745" t="str">
        <v/>
      </c>
      <c r="LO13745" t="str">
        <v/>
      </c>
    </row>
    <row r="13746" spans="326:327">
      <c r="LN13746" t="str">
        <v/>
      </c>
      <c r="LO13746" t="str">
        <v/>
      </c>
    </row>
    <row r="13747" spans="326:327">
      <c r="LN13747" t="str">
        <v/>
      </c>
      <c r="LO13747" t="str">
        <v/>
      </c>
    </row>
    <row r="13748" spans="326:327">
      <c r="LN13748" t="str">
        <v/>
      </c>
      <c r="LO13748" t="str">
        <v/>
      </c>
    </row>
    <row r="13749" spans="326:327">
      <c r="LN13749" t="str">
        <v/>
      </c>
      <c r="LO13749" t="str">
        <v/>
      </c>
    </row>
    <row r="13750" spans="326:327">
      <c r="LN13750" t="str">
        <v/>
      </c>
      <c r="LO13750" t="str">
        <v/>
      </c>
    </row>
    <row r="13751" spans="326:327">
      <c r="LN13751" t="str">
        <v/>
      </c>
      <c r="LO13751" t="str">
        <v/>
      </c>
    </row>
    <row r="13752" spans="326:327">
      <c r="LN13752" t="str">
        <v/>
      </c>
      <c r="LO13752" t="str">
        <v/>
      </c>
    </row>
    <row r="13753" spans="326:327">
      <c r="LN13753" t="str">
        <v/>
      </c>
      <c r="LO13753" t="str">
        <v/>
      </c>
    </row>
    <row r="13754" spans="326:327">
      <c r="LN13754" t="str">
        <v/>
      </c>
      <c r="LO13754" t="str">
        <v/>
      </c>
    </row>
    <row r="13755" spans="326:327">
      <c r="LN13755" t="str">
        <v/>
      </c>
      <c r="LO13755" t="str">
        <v/>
      </c>
    </row>
    <row r="13756" spans="326:327">
      <c r="LN13756" t="str">
        <v/>
      </c>
      <c r="LO13756" t="str">
        <v/>
      </c>
    </row>
    <row r="13757" spans="326:327">
      <c r="LN13757" t="str">
        <v/>
      </c>
      <c r="LO13757" t="str">
        <v/>
      </c>
    </row>
    <row r="13758" spans="326:327">
      <c r="LN13758" t="str">
        <v/>
      </c>
      <c r="LO13758" t="str">
        <v/>
      </c>
    </row>
    <row r="13759" spans="326:327">
      <c r="LN13759" t="str">
        <v/>
      </c>
      <c r="LO13759" t="str">
        <v/>
      </c>
    </row>
    <row r="13760" spans="326:327">
      <c r="LN13760" t="str">
        <v/>
      </c>
      <c r="LO13760" t="str">
        <v/>
      </c>
    </row>
    <row r="13761" spans="326:327">
      <c r="LN13761" t="str">
        <v/>
      </c>
      <c r="LO13761" t="str">
        <v/>
      </c>
    </row>
    <row r="13762" spans="326:327">
      <c r="LN13762" t="str">
        <v/>
      </c>
      <c r="LO13762" t="str">
        <v/>
      </c>
    </row>
    <row r="13763" spans="326:327">
      <c r="LN13763" t="str">
        <v/>
      </c>
      <c r="LO13763" t="str">
        <v/>
      </c>
    </row>
    <row r="13764" spans="326:327">
      <c r="LN13764" t="str">
        <v/>
      </c>
      <c r="LO13764" t="str">
        <v/>
      </c>
    </row>
    <row r="13765" spans="326:327">
      <c r="LN13765" t="str">
        <v/>
      </c>
      <c r="LO13765" t="str">
        <v/>
      </c>
    </row>
    <row r="13766" spans="326:327">
      <c r="LN13766" t="str">
        <v/>
      </c>
      <c r="LO13766" t="str">
        <v/>
      </c>
    </row>
    <row r="13767" spans="326:327">
      <c r="LN13767" t="str">
        <v/>
      </c>
      <c r="LO13767" t="str">
        <v/>
      </c>
    </row>
    <row r="13768" spans="326:327">
      <c r="LN13768" t="str">
        <v/>
      </c>
      <c r="LO13768" t="str">
        <v/>
      </c>
    </row>
    <row r="13769" spans="326:327">
      <c r="LN13769" t="str">
        <v/>
      </c>
      <c r="LO13769" t="str">
        <v/>
      </c>
    </row>
    <row r="13770" spans="326:327">
      <c r="LN13770" t="str">
        <v/>
      </c>
      <c r="LO13770" t="str">
        <v/>
      </c>
    </row>
    <row r="13771" spans="326:327">
      <c r="LN13771" t="str">
        <v/>
      </c>
      <c r="LO13771" t="str">
        <v/>
      </c>
    </row>
    <row r="13772" spans="326:327">
      <c r="LN13772" t="str">
        <v/>
      </c>
      <c r="LO13772" t="str">
        <v/>
      </c>
    </row>
    <row r="13773" spans="326:327">
      <c r="LN13773" t="str">
        <v/>
      </c>
      <c r="LO13773" t="str">
        <v/>
      </c>
    </row>
    <row r="13774" spans="326:327">
      <c r="LN13774" t="str">
        <v/>
      </c>
      <c r="LO13774" t="str">
        <v/>
      </c>
    </row>
    <row r="13775" spans="326:327">
      <c r="LN13775" t="str">
        <v/>
      </c>
      <c r="LO13775" t="str">
        <v/>
      </c>
    </row>
    <row r="13776" spans="326:327">
      <c r="LN13776" t="str">
        <v/>
      </c>
      <c r="LO13776" t="str">
        <v/>
      </c>
    </row>
    <row r="13777" spans="326:327">
      <c r="LN13777" t="str">
        <v/>
      </c>
      <c r="LO13777" t="str">
        <v/>
      </c>
    </row>
    <row r="13778" spans="326:327">
      <c r="LN13778" t="str">
        <v/>
      </c>
      <c r="LO13778" t="str">
        <v/>
      </c>
    </row>
    <row r="13779" spans="326:327">
      <c r="LN13779" t="str">
        <v/>
      </c>
      <c r="LO13779" t="str">
        <v/>
      </c>
    </row>
    <row r="13780" spans="326:327">
      <c r="LN13780" t="str">
        <v/>
      </c>
      <c r="LO13780" t="str">
        <v/>
      </c>
    </row>
    <row r="13781" spans="326:327">
      <c r="LN13781" t="str">
        <v/>
      </c>
      <c r="LO13781" t="str">
        <v/>
      </c>
    </row>
    <row r="13782" spans="326:327">
      <c r="LN13782" t="str">
        <v/>
      </c>
      <c r="LO13782" t="str">
        <v/>
      </c>
    </row>
    <row r="13783" spans="326:327">
      <c r="LN13783" t="str">
        <v/>
      </c>
      <c r="LO13783" t="str">
        <v/>
      </c>
    </row>
    <row r="13784" spans="326:327">
      <c r="LN13784" t="str">
        <v/>
      </c>
      <c r="LO13784" t="str">
        <v/>
      </c>
    </row>
    <row r="13785" spans="326:327">
      <c r="LN13785" t="str">
        <v/>
      </c>
      <c r="LO13785" t="str">
        <v/>
      </c>
    </row>
    <row r="13786" spans="326:327">
      <c r="LN13786" t="str">
        <v/>
      </c>
      <c r="LO13786" t="str">
        <v/>
      </c>
    </row>
    <row r="13787" spans="326:327">
      <c r="LN13787" t="str">
        <v/>
      </c>
      <c r="LO13787" t="str">
        <v/>
      </c>
    </row>
    <row r="13788" spans="326:327">
      <c r="LN13788" t="str">
        <v/>
      </c>
      <c r="LO13788" t="str">
        <v/>
      </c>
    </row>
    <row r="13789" spans="326:327">
      <c r="LN13789" t="str">
        <v/>
      </c>
      <c r="LO13789" t="str">
        <v/>
      </c>
    </row>
    <row r="13790" spans="326:327">
      <c r="LN13790" t="str">
        <v/>
      </c>
      <c r="LO13790" t="str">
        <v/>
      </c>
    </row>
    <row r="13791" spans="326:327">
      <c r="LN13791" t="str">
        <v/>
      </c>
      <c r="LO13791" t="str">
        <v/>
      </c>
    </row>
    <row r="13792" spans="326:327">
      <c r="LN13792" t="str">
        <v/>
      </c>
      <c r="LO13792" t="str">
        <v/>
      </c>
    </row>
    <row r="13793" spans="326:327">
      <c r="LN13793" t="str">
        <v/>
      </c>
      <c r="LO13793" t="str">
        <v/>
      </c>
    </row>
    <row r="13794" spans="326:327">
      <c r="LN13794" t="str">
        <v/>
      </c>
      <c r="LO13794" t="str">
        <v/>
      </c>
    </row>
    <row r="13795" spans="326:327">
      <c r="LN13795" t="str">
        <v/>
      </c>
      <c r="LO13795" t="str">
        <v/>
      </c>
    </row>
    <row r="13796" spans="326:327">
      <c r="LN13796" t="str">
        <v/>
      </c>
      <c r="LO13796" t="str">
        <v/>
      </c>
    </row>
    <row r="13797" spans="326:327">
      <c r="LN13797" t="str">
        <v/>
      </c>
      <c r="LO13797" t="str">
        <v/>
      </c>
    </row>
    <row r="13798" spans="326:327">
      <c r="LN13798" t="str">
        <v/>
      </c>
      <c r="LO13798" t="str">
        <v/>
      </c>
    </row>
    <row r="13799" spans="326:327">
      <c r="LN13799" t="str">
        <v/>
      </c>
      <c r="LO13799" t="str">
        <v/>
      </c>
    </row>
    <row r="13800" spans="326:327">
      <c r="LN13800" t="str">
        <v/>
      </c>
      <c r="LO13800" t="str">
        <v/>
      </c>
    </row>
    <row r="13801" spans="326:327">
      <c r="LN13801" t="str">
        <v/>
      </c>
      <c r="LO13801" t="str">
        <v/>
      </c>
    </row>
    <row r="13802" spans="326:327">
      <c r="LN13802" t="str">
        <v/>
      </c>
      <c r="LO13802" t="str">
        <v/>
      </c>
    </row>
    <row r="13803" spans="326:327">
      <c r="LN13803" t="str">
        <v/>
      </c>
      <c r="LO13803" t="str">
        <v/>
      </c>
    </row>
    <row r="13804" spans="326:327">
      <c r="LN13804" t="str">
        <v/>
      </c>
      <c r="LO13804" t="str">
        <v/>
      </c>
    </row>
    <row r="13805" spans="326:327">
      <c r="LN13805" t="str">
        <v/>
      </c>
      <c r="LO13805" t="str">
        <v/>
      </c>
    </row>
    <row r="13806" spans="326:327">
      <c r="LN13806" t="str">
        <v/>
      </c>
      <c r="LO13806" t="str">
        <v/>
      </c>
    </row>
    <row r="13807" spans="326:327">
      <c r="LN13807" t="str">
        <v/>
      </c>
      <c r="LO13807" t="str">
        <v/>
      </c>
    </row>
    <row r="13808" spans="326:327">
      <c r="LN13808" t="str">
        <v/>
      </c>
      <c r="LO13808" t="str">
        <v/>
      </c>
    </row>
    <row r="13809" spans="326:327">
      <c r="LN13809" t="str">
        <v/>
      </c>
      <c r="LO13809" t="str">
        <v/>
      </c>
    </row>
    <row r="13810" spans="326:327">
      <c r="LN13810" t="str">
        <v/>
      </c>
      <c r="LO13810" t="str">
        <v/>
      </c>
    </row>
    <row r="13811" spans="326:327">
      <c r="LN13811" t="str">
        <v/>
      </c>
      <c r="LO13811" t="str">
        <v/>
      </c>
    </row>
    <row r="13812" spans="326:327">
      <c r="LN13812" t="str">
        <v/>
      </c>
      <c r="LO13812" t="str">
        <v/>
      </c>
    </row>
    <row r="13813" spans="326:327">
      <c r="LN13813" t="str">
        <v/>
      </c>
      <c r="LO13813" t="str">
        <v/>
      </c>
    </row>
    <row r="13814" spans="326:327">
      <c r="LN13814" t="str">
        <v/>
      </c>
      <c r="LO13814" t="str">
        <v/>
      </c>
    </row>
    <row r="13815" spans="326:327">
      <c r="LN13815" t="str">
        <v/>
      </c>
      <c r="LO13815" t="str">
        <v/>
      </c>
    </row>
    <row r="13816" spans="326:327">
      <c r="LN13816" t="str">
        <v/>
      </c>
      <c r="LO13816" t="str">
        <v/>
      </c>
    </row>
    <row r="13817" spans="326:327">
      <c r="LN13817" t="str">
        <v/>
      </c>
      <c r="LO13817" t="str">
        <v/>
      </c>
    </row>
    <row r="13818" spans="326:327">
      <c r="LN13818" t="str">
        <v/>
      </c>
      <c r="LO13818" t="str">
        <v/>
      </c>
    </row>
    <row r="13819" spans="326:327">
      <c r="LN13819" t="str">
        <v/>
      </c>
      <c r="LO13819" t="str">
        <v/>
      </c>
    </row>
    <row r="13820" spans="326:327">
      <c r="LN13820" t="str">
        <v/>
      </c>
      <c r="LO13820" t="str">
        <v/>
      </c>
    </row>
    <row r="13821" spans="326:327">
      <c r="LN13821" t="str">
        <v/>
      </c>
      <c r="LO13821" t="str">
        <v/>
      </c>
    </row>
    <row r="13822" spans="326:327">
      <c r="LN13822" t="str">
        <v/>
      </c>
      <c r="LO13822" t="str">
        <v/>
      </c>
    </row>
    <row r="13823" spans="326:327">
      <c r="LN13823" t="str">
        <v/>
      </c>
      <c r="LO13823" t="str">
        <v/>
      </c>
    </row>
    <row r="13824" spans="326:327">
      <c r="LN13824" t="str">
        <v/>
      </c>
      <c r="LO13824" t="str">
        <v/>
      </c>
    </row>
    <row r="13825" spans="326:327">
      <c r="LN13825" t="str">
        <v/>
      </c>
      <c r="LO13825" t="str">
        <v/>
      </c>
    </row>
    <row r="13826" spans="326:327">
      <c r="LN13826" t="str">
        <v/>
      </c>
      <c r="LO13826" t="str">
        <v/>
      </c>
    </row>
    <row r="13827" spans="326:327">
      <c r="LN13827" t="str">
        <v/>
      </c>
      <c r="LO13827" t="str">
        <v/>
      </c>
    </row>
    <row r="13828" spans="326:327">
      <c r="LN13828" t="str">
        <v/>
      </c>
      <c r="LO13828" t="str">
        <v/>
      </c>
    </row>
    <row r="13829" spans="326:327">
      <c r="LN13829" t="str">
        <v/>
      </c>
      <c r="LO13829" t="str">
        <v/>
      </c>
    </row>
    <row r="13830" spans="326:327">
      <c r="LN13830" t="str">
        <v/>
      </c>
      <c r="LO13830" t="str">
        <v/>
      </c>
    </row>
    <row r="13831" spans="326:327">
      <c r="LN13831" t="str">
        <v/>
      </c>
      <c r="LO13831" t="str">
        <v/>
      </c>
    </row>
    <row r="13832" spans="326:327">
      <c r="LN13832" t="str">
        <v/>
      </c>
      <c r="LO13832" t="str">
        <v/>
      </c>
    </row>
    <row r="13833" spans="326:327">
      <c r="LN13833" t="str">
        <v/>
      </c>
      <c r="LO13833" t="str">
        <v/>
      </c>
    </row>
    <row r="13834" spans="326:327">
      <c r="LN13834" t="str">
        <v/>
      </c>
      <c r="LO13834" t="str">
        <v/>
      </c>
    </row>
    <row r="13835" spans="326:327">
      <c r="LN13835" t="str">
        <v/>
      </c>
      <c r="LO13835" t="str">
        <v/>
      </c>
    </row>
    <row r="13836" spans="326:327">
      <c r="LN13836" t="str">
        <v/>
      </c>
      <c r="LO13836" t="str">
        <v/>
      </c>
    </row>
    <row r="13837" spans="326:327">
      <c r="LN13837" t="str">
        <v/>
      </c>
      <c r="LO13837" t="str">
        <v/>
      </c>
    </row>
    <row r="13838" spans="326:327">
      <c r="LN13838" t="str">
        <v/>
      </c>
      <c r="LO13838" t="str">
        <v/>
      </c>
    </row>
    <row r="13839" spans="326:327">
      <c r="LN13839" t="str">
        <v/>
      </c>
      <c r="LO13839" t="str">
        <v/>
      </c>
    </row>
    <row r="13840" spans="326:327">
      <c r="LN13840" t="str">
        <v/>
      </c>
      <c r="LO13840" t="str">
        <v/>
      </c>
    </row>
    <row r="13841" spans="326:327">
      <c r="LN13841" t="str">
        <v/>
      </c>
      <c r="LO13841" t="str">
        <v/>
      </c>
    </row>
    <row r="13842" spans="326:327">
      <c r="LN13842" t="str">
        <v/>
      </c>
      <c r="LO13842" t="str">
        <v/>
      </c>
    </row>
    <row r="13843" spans="326:327">
      <c r="LN13843" t="str">
        <v/>
      </c>
      <c r="LO13843" t="str">
        <v/>
      </c>
    </row>
    <row r="13844" spans="326:327">
      <c r="LN13844" t="str">
        <v/>
      </c>
      <c r="LO13844" t="str">
        <v/>
      </c>
    </row>
    <row r="13845" spans="326:327">
      <c r="LN13845" t="str">
        <v/>
      </c>
      <c r="LO13845" t="str">
        <v/>
      </c>
    </row>
    <row r="13846" spans="326:327">
      <c r="LN13846" t="str">
        <v/>
      </c>
      <c r="LO13846" t="str">
        <v/>
      </c>
    </row>
    <row r="13847" spans="326:327">
      <c r="LN13847" t="str">
        <v/>
      </c>
      <c r="LO13847" t="str">
        <v/>
      </c>
    </row>
    <row r="13848" spans="326:327">
      <c r="LN13848" t="str">
        <v/>
      </c>
      <c r="LO13848" t="str">
        <v/>
      </c>
    </row>
    <row r="13849" spans="326:327">
      <c r="LN13849" t="str">
        <v/>
      </c>
      <c r="LO13849" t="str">
        <v/>
      </c>
    </row>
    <row r="13850" spans="326:327">
      <c r="LN13850" t="str">
        <v/>
      </c>
      <c r="LO13850" t="str">
        <v/>
      </c>
    </row>
    <row r="13851" spans="326:327">
      <c r="LN13851" t="str">
        <v/>
      </c>
      <c r="LO13851" t="str">
        <v/>
      </c>
    </row>
    <row r="13852" spans="326:327">
      <c r="LN13852" t="str">
        <v/>
      </c>
      <c r="LO13852" t="str">
        <v/>
      </c>
    </row>
    <row r="13853" spans="326:327">
      <c r="LN13853" t="str">
        <v/>
      </c>
      <c r="LO13853" t="str">
        <v/>
      </c>
    </row>
    <row r="13854" spans="326:327">
      <c r="LN13854" t="str">
        <v/>
      </c>
      <c r="LO13854" t="str">
        <v/>
      </c>
    </row>
    <row r="13855" spans="326:327">
      <c r="LN13855" t="str">
        <v/>
      </c>
      <c r="LO13855" t="str">
        <v/>
      </c>
    </row>
    <row r="13856" spans="326:327">
      <c r="LN13856" t="str">
        <v/>
      </c>
      <c r="LO13856" t="str">
        <v/>
      </c>
    </row>
    <row r="13857" spans="326:327">
      <c r="LN13857" t="str">
        <v/>
      </c>
      <c r="LO13857" t="str">
        <v/>
      </c>
    </row>
    <row r="13858" spans="326:327">
      <c r="LN13858" t="str">
        <v/>
      </c>
      <c r="LO13858" t="str">
        <v/>
      </c>
    </row>
    <row r="13859" spans="326:327">
      <c r="LN13859" t="str">
        <v/>
      </c>
      <c r="LO13859" t="str">
        <v/>
      </c>
    </row>
    <row r="13860" spans="326:327">
      <c r="LN13860" t="str">
        <v/>
      </c>
      <c r="LO13860" t="str">
        <v/>
      </c>
    </row>
    <row r="13861" spans="326:327">
      <c r="LN13861" t="str">
        <v/>
      </c>
      <c r="LO13861" t="str">
        <v/>
      </c>
    </row>
    <row r="13862" spans="326:327">
      <c r="LN13862" t="str">
        <v/>
      </c>
      <c r="LO13862" t="str">
        <v/>
      </c>
    </row>
    <row r="13863" spans="326:327">
      <c r="LN13863" t="str">
        <v/>
      </c>
      <c r="LO13863" t="str">
        <v/>
      </c>
    </row>
    <row r="13864" spans="326:327">
      <c r="LN13864" t="str">
        <v/>
      </c>
      <c r="LO13864" t="str">
        <v/>
      </c>
    </row>
    <row r="13865" spans="326:327">
      <c r="LN13865" t="str">
        <v/>
      </c>
      <c r="LO13865" t="str">
        <v/>
      </c>
    </row>
    <row r="13866" spans="326:327">
      <c r="LN13866" t="str">
        <v/>
      </c>
      <c r="LO13866" t="str">
        <v/>
      </c>
    </row>
    <row r="13867" spans="326:327">
      <c r="LN13867" t="str">
        <v/>
      </c>
      <c r="LO13867" t="str">
        <v/>
      </c>
    </row>
    <row r="13868" spans="326:327">
      <c r="LN13868" t="str">
        <v/>
      </c>
      <c r="LO13868" t="str">
        <v/>
      </c>
    </row>
    <row r="13869" spans="326:327">
      <c r="LN13869" t="str">
        <v/>
      </c>
      <c r="LO13869" t="str">
        <v/>
      </c>
    </row>
    <row r="13870" spans="326:327">
      <c r="LN13870" t="str">
        <v/>
      </c>
      <c r="LO13870" t="str">
        <v/>
      </c>
    </row>
    <row r="13871" spans="326:327">
      <c r="LN13871" t="str">
        <v/>
      </c>
      <c r="LO13871" t="str">
        <v/>
      </c>
    </row>
    <row r="13872" spans="326:327">
      <c r="LN13872" t="str">
        <v/>
      </c>
      <c r="LO13872" t="str">
        <v/>
      </c>
    </row>
    <row r="13873" spans="326:327">
      <c r="LN13873" t="str">
        <v/>
      </c>
      <c r="LO13873" t="str">
        <v/>
      </c>
    </row>
    <row r="13874" spans="326:327">
      <c r="LN13874" t="str">
        <v/>
      </c>
      <c r="LO13874" t="str">
        <v/>
      </c>
    </row>
    <row r="13875" spans="326:327">
      <c r="LN13875" t="str">
        <v/>
      </c>
      <c r="LO13875" t="str">
        <v/>
      </c>
    </row>
    <row r="13876" spans="326:327">
      <c r="LN13876" t="str">
        <v/>
      </c>
      <c r="LO13876" t="str">
        <v/>
      </c>
    </row>
    <row r="13877" spans="326:327">
      <c r="LN13877" t="str">
        <v/>
      </c>
      <c r="LO13877" t="str">
        <v/>
      </c>
    </row>
    <row r="13878" spans="326:327">
      <c r="LN13878" t="str">
        <v/>
      </c>
      <c r="LO13878" t="str">
        <v/>
      </c>
    </row>
    <row r="13879" spans="326:327">
      <c r="LN13879" t="str">
        <v/>
      </c>
      <c r="LO13879" t="str">
        <v/>
      </c>
    </row>
    <row r="13880" spans="326:327">
      <c r="LN13880" t="str">
        <v/>
      </c>
      <c r="LO13880" t="str">
        <v/>
      </c>
    </row>
    <row r="13881" spans="326:327">
      <c r="LN13881" t="str">
        <v/>
      </c>
      <c r="LO13881" t="str">
        <v/>
      </c>
    </row>
    <row r="13882" spans="326:327">
      <c r="LN13882" t="str">
        <v/>
      </c>
      <c r="LO13882" t="str">
        <v/>
      </c>
    </row>
    <row r="13883" spans="326:327">
      <c r="LN13883" t="str">
        <v/>
      </c>
      <c r="LO13883" t="str">
        <v/>
      </c>
    </row>
    <row r="13884" spans="326:327">
      <c r="LN13884" t="str">
        <v/>
      </c>
      <c r="LO13884" t="str">
        <v/>
      </c>
    </row>
    <row r="13885" spans="326:327">
      <c r="LN13885" t="str">
        <v/>
      </c>
      <c r="LO13885" t="str">
        <v/>
      </c>
    </row>
    <row r="13886" spans="326:327">
      <c r="LN13886" t="str">
        <v/>
      </c>
      <c r="LO13886" t="str">
        <v/>
      </c>
    </row>
    <row r="13887" spans="326:327">
      <c r="LN13887" t="str">
        <v/>
      </c>
      <c r="LO13887" t="str">
        <v/>
      </c>
    </row>
    <row r="13888" spans="326:327">
      <c r="LN13888" t="str">
        <v/>
      </c>
      <c r="LO13888" t="str">
        <v/>
      </c>
    </row>
    <row r="13889" spans="326:327">
      <c r="LN13889" t="str">
        <v/>
      </c>
      <c r="LO13889" t="str">
        <v/>
      </c>
    </row>
    <row r="13890" spans="326:327">
      <c r="LN13890" t="str">
        <v/>
      </c>
      <c r="LO13890" t="str">
        <v/>
      </c>
    </row>
    <row r="13891" spans="326:327">
      <c r="LN13891" t="str">
        <v/>
      </c>
      <c r="LO13891" t="str">
        <v/>
      </c>
    </row>
    <row r="13892" spans="326:327">
      <c r="LN13892" t="str">
        <v/>
      </c>
      <c r="LO13892" t="str">
        <v/>
      </c>
    </row>
    <row r="13893" spans="326:327">
      <c r="LN13893" t="str">
        <v/>
      </c>
      <c r="LO13893" t="str">
        <v/>
      </c>
    </row>
    <row r="13894" spans="326:327">
      <c r="LN13894" t="str">
        <v/>
      </c>
      <c r="LO13894" t="str">
        <v/>
      </c>
    </row>
    <row r="13895" spans="326:327">
      <c r="LN13895" t="str">
        <v/>
      </c>
      <c r="LO13895" t="str">
        <v/>
      </c>
    </row>
    <row r="13896" spans="326:327">
      <c r="LN13896" t="str">
        <v/>
      </c>
      <c r="LO13896" t="str">
        <v/>
      </c>
    </row>
    <row r="13897" spans="326:327">
      <c r="LN13897" t="str">
        <v/>
      </c>
      <c r="LO13897" t="str">
        <v/>
      </c>
    </row>
    <row r="13898" spans="326:327">
      <c r="LN13898" t="str">
        <v/>
      </c>
      <c r="LO13898" t="str">
        <v/>
      </c>
    </row>
    <row r="13899" spans="326:327">
      <c r="LN13899" t="str">
        <v/>
      </c>
      <c r="LO13899" t="str">
        <v/>
      </c>
    </row>
    <row r="13900" spans="326:327">
      <c r="LN13900" t="str">
        <v/>
      </c>
      <c r="LO13900" t="str">
        <v/>
      </c>
    </row>
    <row r="13901" spans="326:327">
      <c r="LN13901" t="str">
        <v/>
      </c>
      <c r="LO13901" t="str">
        <v/>
      </c>
    </row>
    <row r="13902" spans="326:327">
      <c r="LN13902" t="str">
        <v/>
      </c>
      <c r="LO13902" t="str">
        <v/>
      </c>
    </row>
    <row r="13903" spans="326:327">
      <c r="LN13903" t="str">
        <v/>
      </c>
      <c r="LO13903" t="str">
        <v/>
      </c>
    </row>
    <row r="13904" spans="326:327">
      <c r="LN13904" t="str">
        <v/>
      </c>
      <c r="LO13904" t="str">
        <v/>
      </c>
    </row>
    <row r="13905" spans="326:327">
      <c r="LN13905" t="str">
        <v/>
      </c>
      <c r="LO13905" t="str">
        <v/>
      </c>
    </row>
    <row r="13906" spans="326:327">
      <c r="LN13906" t="str">
        <v/>
      </c>
      <c r="LO13906" t="str">
        <v/>
      </c>
    </row>
    <row r="13907" spans="326:327">
      <c r="LN13907" t="str">
        <v/>
      </c>
      <c r="LO13907" t="str">
        <v/>
      </c>
    </row>
    <row r="13908" spans="326:327">
      <c r="LN13908" t="str">
        <v/>
      </c>
      <c r="LO13908" t="str">
        <v/>
      </c>
    </row>
    <row r="13909" spans="326:327">
      <c r="LN13909" t="str">
        <v/>
      </c>
      <c r="LO13909" t="str">
        <v/>
      </c>
    </row>
    <row r="13910" spans="326:327">
      <c r="LN13910" t="str">
        <v/>
      </c>
      <c r="LO13910" t="str">
        <v/>
      </c>
    </row>
    <row r="13911" spans="326:327">
      <c r="LN13911" t="str">
        <v/>
      </c>
      <c r="LO13911" t="str">
        <v/>
      </c>
    </row>
    <row r="13912" spans="326:327">
      <c r="LN13912" t="str">
        <v/>
      </c>
      <c r="LO13912" t="str">
        <v/>
      </c>
    </row>
    <row r="13913" spans="326:327">
      <c r="LN13913" t="str">
        <v/>
      </c>
      <c r="LO13913" t="str">
        <v/>
      </c>
    </row>
    <row r="13914" spans="326:327">
      <c r="LN13914" t="str">
        <v/>
      </c>
      <c r="LO13914" t="str">
        <v/>
      </c>
    </row>
    <row r="13915" spans="326:327">
      <c r="LN13915" t="str">
        <v/>
      </c>
      <c r="LO13915" t="str">
        <v/>
      </c>
    </row>
    <row r="13916" spans="326:327">
      <c r="LN13916" t="str">
        <v/>
      </c>
      <c r="LO13916" t="str">
        <v/>
      </c>
    </row>
    <row r="13917" spans="326:327">
      <c r="LN13917" t="str">
        <v/>
      </c>
      <c r="LO13917" t="str">
        <v/>
      </c>
    </row>
    <row r="13918" spans="326:327">
      <c r="LN13918" t="str">
        <v/>
      </c>
      <c r="LO13918" t="str">
        <v/>
      </c>
    </row>
    <row r="13919" spans="326:327">
      <c r="LN13919" t="str">
        <v/>
      </c>
      <c r="LO13919" t="str">
        <v/>
      </c>
    </row>
    <row r="13920" spans="326:327">
      <c r="LN13920" t="str">
        <v/>
      </c>
      <c r="LO13920" t="str">
        <v/>
      </c>
    </row>
    <row r="13921" spans="326:327">
      <c r="LN13921" t="str">
        <v/>
      </c>
      <c r="LO13921" t="str">
        <v/>
      </c>
    </row>
    <row r="13922" spans="326:327">
      <c r="LN13922" t="str">
        <v/>
      </c>
      <c r="LO13922" t="str">
        <v/>
      </c>
    </row>
    <row r="13923" spans="326:327">
      <c r="LN13923" t="str">
        <v/>
      </c>
      <c r="LO13923" t="str">
        <v/>
      </c>
    </row>
    <row r="13924" spans="326:327">
      <c r="LN13924" t="str">
        <v/>
      </c>
      <c r="LO13924" t="str">
        <v/>
      </c>
    </row>
    <row r="13925" spans="326:327">
      <c r="LN13925" t="str">
        <v/>
      </c>
      <c r="LO13925" t="str">
        <v/>
      </c>
    </row>
    <row r="13926" spans="326:327">
      <c r="LN13926" t="str">
        <v/>
      </c>
      <c r="LO13926" t="str">
        <v/>
      </c>
    </row>
    <row r="13927" spans="326:327">
      <c r="LN13927" t="str">
        <v/>
      </c>
      <c r="LO13927" t="str">
        <v/>
      </c>
    </row>
    <row r="13928" spans="326:327">
      <c r="LN13928" t="str">
        <v/>
      </c>
      <c r="LO13928" t="str">
        <v/>
      </c>
    </row>
    <row r="13929" spans="326:327">
      <c r="LN13929" t="str">
        <v/>
      </c>
      <c r="LO13929" t="str">
        <v/>
      </c>
    </row>
    <row r="13930" spans="326:327">
      <c r="LN13930" t="str">
        <v/>
      </c>
      <c r="LO13930" t="str">
        <v/>
      </c>
    </row>
    <row r="13931" spans="326:327">
      <c r="LN13931" t="str">
        <v/>
      </c>
      <c r="LO13931" t="str">
        <v/>
      </c>
    </row>
    <row r="13932" spans="326:327">
      <c r="LN13932" t="str">
        <v/>
      </c>
      <c r="LO13932" t="str">
        <v/>
      </c>
    </row>
    <row r="13933" spans="326:327">
      <c r="LN13933" t="str">
        <v/>
      </c>
      <c r="LO13933" t="str">
        <v/>
      </c>
    </row>
    <row r="13934" spans="326:327">
      <c r="LN13934" t="str">
        <v/>
      </c>
      <c r="LO13934" t="str">
        <v/>
      </c>
    </row>
    <row r="13935" spans="326:327">
      <c r="LN13935" t="str">
        <v/>
      </c>
      <c r="LO13935" t="str">
        <v/>
      </c>
    </row>
    <row r="13936" spans="326:327">
      <c r="LN13936" t="str">
        <v/>
      </c>
      <c r="LO13936" t="str">
        <v/>
      </c>
    </row>
    <row r="13937" spans="326:327">
      <c r="LN13937" t="str">
        <v/>
      </c>
      <c r="LO13937" t="str">
        <v/>
      </c>
    </row>
    <row r="13938" spans="326:327">
      <c r="LN13938" t="str">
        <v/>
      </c>
      <c r="LO13938" t="str">
        <v/>
      </c>
    </row>
    <row r="13939" spans="326:327">
      <c r="LN13939" t="str">
        <v/>
      </c>
      <c r="LO13939" t="str">
        <v/>
      </c>
    </row>
    <row r="13940" spans="326:327">
      <c r="LN13940" t="str">
        <v/>
      </c>
      <c r="LO13940" t="str">
        <v/>
      </c>
    </row>
    <row r="13941" spans="326:327">
      <c r="LN13941" t="str">
        <v/>
      </c>
      <c r="LO13941" t="str">
        <v/>
      </c>
    </row>
    <row r="13942" spans="326:327">
      <c r="LN13942" t="str">
        <v/>
      </c>
      <c r="LO13942" t="str">
        <v/>
      </c>
    </row>
    <row r="13943" spans="326:327">
      <c r="LN13943" t="str">
        <v/>
      </c>
      <c r="LO13943" t="str">
        <v/>
      </c>
    </row>
    <row r="13944" spans="326:327">
      <c r="LN13944" t="str">
        <v/>
      </c>
      <c r="LO13944" t="str">
        <v/>
      </c>
    </row>
    <row r="13945" spans="326:327">
      <c r="LN13945" t="str">
        <v/>
      </c>
      <c r="LO13945" t="str">
        <v/>
      </c>
    </row>
    <row r="13946" spans="326:327">
      <c r="LN13946" t="str">
        <v/>
      </c>
      <c r="LO13946" t="str">
        <v/>
      </c>
    </row>
    <row r="13947" spans="326:327">
      <c r="LN13947" t="str">
        <v/>
      </c>
      <c r="LO13947" t="str">
        <v/>
      </c>
    </row>
    <row r="13948" spans="326:327">
      <c r="LN13948" t="str">
        <v/>
      </c>
      <c r="LO13948" t="str">
        <v/>
      </c>
    </row>
    <row r="13949" spans="326:327">
      <c r="LN13949" t="str">
        <v/>
      </c>
      <c r="LO13949" t="str">
        <v/>
      </c>
    </row>
    <row r="13950" spans="326:327">
      <c r="LN13950" t="str">
        <v/>
      </c>
      <c r="LO13950" t="str">
        <v/>
      </c>
    </row>
    <row r="13951" spans="326:327">
      <c r="LN13951" t="str">
        <v/>
      </c>
      <c r="LO13951" t="str">
        <v/>
      </c>
    </row>
    <row r="13952" spans="326:327">
      <c r="LN13952" t="str">
        <v/>
      </c>
      <c r="LO13952" t="str">
        <v/>
      </c>
    </row>
    <row r="13953" spans="326:327">
      <c r="LN13953" t="str">
        <v/>
      </c>
      <c r="LO13953" t="str">
        <v/>
      </c>
    </row>
    <row r="13954" spans="326:327">
      <c r="LN13954" t="str">
        <v/>
      </c>
      <c r="LO13954" t="str">
        <v/>
      </c>
    </row>
    <row r="13955" spans="326:327">
      <c r="LN13955" t="str">
        <v/>
      </c>
      <c r="LO13955" t="str">
        <v/>
      </c>
    </row>
    <row r="13956" spans="326:327">
      <c r="LN13956" t="str">
        <v/>
      </c>
      <c r="LO13956" t="str">
        <v/>
      </c>
    </row>
    <row r="13957" spans="326:327">
      <c r="LN13957" t="str">
        <v/>
      </c>
      <c r="LO13957" t="str">
        <v/>
      </c>
    </row>
    <row r="13958" spans="326:327">
      <c r="LN13958" t="str">
        <v/>
      </c>
      <c r="LO13958" t="str">
        <v/>
      </c>
    </row>
    <row r="13959" spans="326:327">
      <c r="LN13959" t="str">
        <v/>
      </c>
      <c r="LO13959" t="str">
        <v/>
      </c>
    </row>
    <row r="13960" spans="326:327">
      <c r="LN13960" t="str">
        <v/>
      </c>
      <c r="LO13960" t="str">
        <v/>
      </c>
    </row>
    <row r="13961" spans="326:327">
      <c r="LN13961" t="str">
        <v/>
      </c>
      <c r="LO13961" t="str">
        <v/>
      </c>
    </row>
    <row r="13962" spans="326:327">
      <c r="LN13962" t="str">
        <v/>
      </c>
      <c r="LO13962" t="str">
        <v/>
      </c>
    </row>
    <row r="13963" spans="326:327">
      <c r="LN13963" t="str">
        <v/>
      </c>
      <c r="LO13963" t="str">
        <v/>
      </c>
    </row>
    <row r="13964" spans="326:327">
      <c r="LN13964" t="str">
        <v/>
      </c>
      <c r="LO13964" t="str">
        <v/>
      </c>
    </row>
    <row r="13965" spans="326:327">
      <c r="LN13965" t="str">
        <v/>
      </c>
      <c r="LO13965" t="str">
        <v/>
      </c>
    </row>
    <row r="13966" spans="326:327">
      <c r="LN13966" t="str">
        <v/>
      </c>
      <c r="LO13966" t="str">
        <v/>
      </c>
    </row>
    <row r="13967" spans="326:327">
      <c r="LN13967" t="str">
        <v/>
      </c>
      <c r="LO13967" t="str">
        <v/>
      </c>
    </row>
    <row r="13968" spans="326:327">
      <c r="LN13968" t="str">
        <v/>
      </c>
      <c r="LO13968" t="str">
        <v/>
      </c>
    </row>
    <row r="13969" spans="326:327">
      <c r="LN13969" t="str">
        <v/>
      </c>
      <c r="LO13969" t="str">
        <v/>
      </c>
    </row>
    <row r="13970" spans="326:327">
      <c r="LN13970" t="str">
        <v/>
      </c>
      <c r="LO13970" t="str">
        <v/>
      </c>
    </row>
    <row r="13971" spans="326:327">
      <c r="LN13971" t="str">
        <v/>
      </c>
      <c r="LO13971" t="str">
        <v/>
      </c>
    </row>
    <row r="13972" spans="326:327">
      <c r="LN13972" t="str">
        <v/>
      </c>
      <c r="LO13972" t="str">
        <v/>
      </c>
    </row>
    <row r="13973" spans="326:327">
      <c r="LN13973" t="str">
        <v/>
      </c>
      <c r="LO13973" t="str">
        <v/>
      </c>
    </row>
    <row r="13974" spans="326:327">
      <c r="LN13974" t="str">
        <v/>
      </c>
      <c r="LO13974" t="str">
        <v/>
      </c>
    </row>
    <row r="13975" spans="326:327">
      <c r="LN13975" t="str">
        <v/>
      </c>
      <c r="LO13975" t="str">
        <v/>
      </c>
    </row>
    <row r="13976" spans="326:327">
      <c r="LN13976" t="str">
        <v/>
      </c>
      <c r="LO13976" t="str">
        <v/>
      </c>
    </row>
    <row r="13977" spans="326:327">
      <c r="LN13977" t="str">
        <v/>
      </c>
      <c r="LO13977" t="str">
        <v/>
      </c>
    </row>
    <row r="13978" spans="326:327">
      <c r="LN13978" t="str">
        <v/>
      </c>
      <c r="LO13978" t="str">
        <v/>
      </c>
    </row>
    <row r="13979" spans="326:327">
      <c r="LN13979" t="str">
        <v/>
      </c>
      <c r="LO13979" t="str">
        <v/>
      </c>
    </row>
    <row r="13980" spans="326:327">
      <c r="LN13980" t="str">
        <v/>
      </c>
      <c r="LO13980" t="str">
        <v/>
      </c>
    </row>
    <row r="13981" spans="326:327">
      <c r="LN13981" t="str">
        <v/>
      </c>
      <c r="LO13981" t="str">
        <v/>
      </c>
    </row>
    <row r="13982" spans="326:327">
      <c r="LN13982" t="str">
        <v/>
      </c>
      <c r="LO13982" t="str">
        <v/>
      </c>
    </row>
    <row r="13983" spans="326:327">
      <c r="LN13983" t="str">
        <v/>
      </c>
      <c r="LO13983" t="str">
        <v/>
      </c>
    </row>
    <row r="13984" spans="326:327">
      <c r="LN13984" t="str">
        <v/>
      </c>
      <c r="LO13984" t="str">
        <v/>
      </c>
    </row>
    <row r="13985" spans="326:327">
      <c r="LN13985" t="str">
        <v/>
      </c>
      <c r="LO13985" t="str">
        <v/>
      </c>
    </row>
    <row r="13986" spans="326:327">
      <c r="LN13986" t="str">
        <v/>
      </c>
      <c r="LO13986" t="str">
        <v/>
      </c>
    </row>
    <row r="13987" spans="326:327">
      <c r="LN13987" t="str">
        <v/>
      </c>
      <c r="LO13987" t="str">
        <v/>
      </c>
    </row>
    <row r="13988" spans="326:327">
      <c r="LN13988" t="str">
        <v/>
      </c>
      <c r="LO13988" t="str">
        <v/>
      </c>
    </row>
    <row r="13989" spans="326:327">
      <c r="LN13989" t="str">
        <v/>
      </c>
      <c r="LO13989" t="str">
        <v/>
      </c>
    </row>
    <row r="13990" spans="326:327">
      <c r="LN13990" t="str">
        <v/>
      </c>
      <c r="LO13990" t="str">
        <v/>
      </c>
    </row>
    <row r="13991" spans="326:327">
      <c r="LN13991" t="str">
        <v/>
      </c>
      <c r="LO13991" t="str">
        <v/>
      </c>
    </row>
    <row r="13992" spans="326:327">
      <c r="LN13992" t="str">
        <v/>
      </c>
      <c r="LO13992" t="str">
        <v/>
      </c>
    </row>
    <row r="13993" spans="326:327">
      <c r="LN13993" t="str">
        <v/>
      </c>
      <c r="LO13993" t="str">
        <v/>
      </c>
    </row>
    <row r="13994" spans="326:327">
      <c r="LN13994" t="str">
        <v/>
      </c>
      <c r="LO13994" t="str">
        <v/>
      </c>
    </row>
    <row r="13995" spans="326:327">
      <c r="LN13995" t="str">
        <v/>
      </c>
      <c r="LO13995" t="str">
        <v/>
      </c>
    </row>
    <row r="13996" spans="326:327">
      <c r="LN13996" t="str">
        <v/>
      </c>
      <c r="LO13996" t="str">
        <v/>
      </c>
    </row>
    <row r="13997" spans="326:327">
      <c r="LN13997" t="str">
        <v/>
      </c>
      <c r="LO13997" t="str">
        <v/>
      </c>
    </row>
    <row r="13998" spans="326:327">
      <c r="LN13998" t="str">
        <v/>
      </c>
      <c r="LO13998" t="str">
        <v/>
      </c>
    </row>
    <row r="13999" spans="326:327">
      <c r="LN13999" t="str">
        <v/>
      </c>
      <c r="LO13999" t="str">
        <v/>
      </c>
    </row>
    <row r="14000" spans="326:327">
      <c r="LN14000" t="str">
        <v/>
      </c>
      <c r="LO14000" t="str">
        <v/>
      </c>
    </row>
    <row r="14001" spans="326:327">
      <c r="LN14001" t="str">
        <v/>
      </c>
      <c r="LO14001" t="str">
        <v/>
      </c>
    </row>
    <row r="14002" spans="326:327">
      <c r="LN14002" t="str">
        <v/>
      </c>
      <c r="LO14002" t="str">
        <v/>
      </c>
    </row>
    <row r="14003" spans="326:327">
      <c r="LN14003" t="str">
        <v/>
      </c>
      <c r="LO14003" t="str">
        <v/>
      </c>
    </row>
    <row r="14004" spans="326:327">
      <c r="LN14004" t="str">
        <v/>
      </c>
      <c r="LO14004" t="str">
        <v/>
      </c>
    </row>
    <row r="14005" spans="326:327">
      <c r="LN14005" t="str">
        <v/>
      </c>
      <c r="LO14005" t="str">
        <v/>
      </c>
    </row>
    <row r="14006" spans="326:327">
      <c r="LN14006" t="str">
        <v/>
      </c>
      <c r="LO14006" t="str">
        <v/>
      </c>
    </row>
    <row r="14007" spans="326:327">
      <c r="LN14007" t="str">
        <v/>
      </c>
      <c r="LO14007" t="str">
        <v/>
      </c>
    </row>
    <row r="14008" spans="326:327">
      <c r="LN14008" t="str">
        <v/>
      </c>
      <c r="LO14008" t="str">
        <v/>
      </c>
    </row>
    <row r="14009" spans="326:327">
      <c r="LN14009" t="str">
        <v/>
      </c>
      <c r="LO14009" t="str">
        <v/>
      </c>
    </row>
    <row r="14010" spans="326:327">
      <c r="LN14010" t="str">
        <v/>
      </c>
      <c r="LO14010" t="str">
        <v/>
      </c>
    </row>
    <row r="14011" spans="326:327">
      <c r="LN14011" t="str">
        <v/>
      </c>
      <c r="LO14011" t="str">
        <v/>
      </c>
    </row>
    <row r="14012" spans="326:327">
      <c r="LN14012" t="str">
        <v/>
      </c>
      <c r="LO14012" t="str">
        <v/>
      </c>
    </row>
    <row r="14013" spans="326:327">
      <c r="LN14013" t="str">
        <v/>
      </c>
      <c r="LO14013" t="str">
        <v/>
      </c>
    </row>
    <row r="14014" spans="326:327">
      <c r="LN14014" t="str">
        <v/>
      </c>
      <c r="LO14014" t="str">
        <v/>
      </c>
    </row>
    <row r="14015" spans="326:327">
      <c r="LN14015" t="str">
        <v/>
      </c>
      <c r="LO14015" t="str">
        <v/>
      </c>
    </row>
    <row r="14016" spans="326:327">
      <c r="LN14016" t="str">
        <v/>
      </c>
      <c r="LO14016" t="str">
        <v/>
      </c>
    </row>
    <row r="14017" spans="326:327">
      <c r="LN14017" t="str">
        <v/>
      </c>
      <c r="LO14017" t="str">
        <v/>
      </c>
    </row>
    <row r="14018" spans="326:327">
      <c r="LN14018" t="str">
        <v/>
      </c>
      <c r="LO14018" t="str">
        <v/>
      </c>
    </row>
    <row r="14019" spans="326:327">
      <c r="LN14019" t="str">
        <v/>
      </c>
      <c r="LO14019" t="str">
        <v/>
      </c>
    </row>
    <row r="14020" spans="326:327">
      <c r="LN14020" t="str">
        <v/>
      </c>
      <c r="LO14020" t="str">
        <v/>
      </c>
    </row>
    <row r="14021" spans="326:327">
      <c r="LN14021" t="str">
        <v/>
      </c>
      <c r="LO14021" t="str">
        <v/>
      </c>
    </row>
    <row r="14022" spans="326:327">
      <c r="LN14022" t="str">
        <v/>
      </c>
      <c r="LO14022" t="str">
        <v/>
      </c>
    </row>
    <row r="14023" spans="326:327">
      <c r="LN14023" t="str">
        <v/>
      </c>
      <c r="LO14023" t="str">
        <v/>
      </c>
    </row>
    <row r="14024" spans="326:327">
      <c r="LN14024" t="str">
        <v/>
      </c>
      <c r="LO14024" t="str">
        <v/>
      </c>
    </row>
    <row r="14025" spans="326:327">
      <c r="LN14025" t="str">
        <v/>
      </c>
      <c r="LO14025" t="str">
        <v/>
      </c>
    </row>
    <row r="14026" spans="326:327">
      <c r="LN14026" t="str">
        <v/>
      </c>
      <c r="LO14026" t="str">
        <v/>
      </c>
    </row>
    <row r="14027" spans="326:327">
      <c r="LN14027" t="str">
        <v/>
      </c>
      <c r="LO14027" t="str">
        <v/>
      </c>
    </row>
    <row r="14028" spans="326:327">
      <c r="LN14028" t="str">
        <v/>
      </c>
      <c r="LO14028" t="str">
        <v/>
      </c>
    </row>
    <row r="14029" spans="326:327">
      <c r="LN14029" t="str">
        <v/>
      </c>
      <c r="LO14029" t="str">
        <v/>
      </c>
    </row>
    <row r="14030" spans="326:327">
      <c r="LN14030" t="str">
        <v/>
      </c>
      <c r="LO14030" t="str">
        <v/>
      </c>
    </row>
    <row r="14031" spans="326:327">
      <c r="LN14031" t="str">
        <v/>
      </c>
      <c r="LO14031" t="str">
        <v/>
      </c>
    </row>
    <row r="14032" spans="326:327">
      <c r="LN14032" t="str">
        <v/>
      </c>
      <c r="LO14032" t="str">
        <v/>
      </c>
    </row>
    <row r="14033" spans="326:327">
      <c r="LN14033" t="str">
        <v/>
      </c>
      <c r="LO14033" t="str">
        <v/>
      </c>
    </row>
    <row r="14034" spans="326:327">
      <c r="LN14034" t="str">
        <v/>
      </c>
      <c r="LO14034" t="str">
        <v/>
      </c>
    </row>
    <row r="14035" spans="326:327">
      <c r="LN14035" t="str">
        <v/>
      </c>
      <c r="LO14035" t="str">
        <v/>
      </c>
    </row>
    <row r="14036" spans="326:327">
      <c r="LN14036" t="str">
        <v/>
      </c>
      <c r="LO14036" t="str">
        <v/>
      </c>
    </row>
    <row r="14037" spans="326:327">
      <c r="LN14037" t="str">
        <v/>
      </c>
      <c r="LO14037" t="str">
        <v/>
      </c>
    </row>
    <row r="14038" spans="326:327">
      <c r="LN14038" t="str">
        <v/>
      </c>
      <c r="LO14038" t="str">
        <v/>
      </c>
    </row>
    <row r="14039" spans="326:327">
      <c r="LN14039" t="str">
        <v/>
      </c>
      <c r="LO14039" t="str">
        <v/>
      </c>
    </row>
    <row r="14040" spans="326:327">
      <c r="LN14040" t="str">
        <v/>
      </c>
      <c r="LO14040" t="str">
        <v/>
      </c>
    </row>
    <row r="14041" spans="326:327">
      <c r="LN14041" t="str">
        <v/>
      </c>
      <c r="LO14041" t="str">
        <v/>
      </c>
    </row>
    <row r="14042" spans="326:327">
      <c r="LN14042" t="str">
        <v/>
      </c>
      <c r="LO14042" t="str">
        <v/>
      </c>
    </row>
    <row r="14043" spans="326:327">
      <c r="LN14043" t="str">
        <v/>
      </c>
      <c r="LO14043" t="str">
        <v/>
      </c>
    </row>
    <row r="14044" spans="326:327">
      <c r="LN14044" t="str">
        <v/>
      </c>
      <c r="LO14044" t="str">
        <v/>
      </c>
    </row>
    <row r="14045" spans="326:327">
      <c r="LN14045" t="str">
        <v/>
      </c>
      <c r="LO14045" t="str">
        <v/>
      </c>
    </row>
    <row r="14046" spans="326:327">
      <c r="LN14046" t="str">
        <v/>
      </c>
      <c r="LO14046" t="str">
        <v/>
      </c>
    </row>
    <row r="14047" spans="326:327">
      <c r="LN14047" t="str">
        <v/>
      </c>
      <c r="LO14047" t="str">
        <v/>
      </c>
    </row>
    <row r="14048" spans="326:327">
      <c r="LN14048" t="str">
        <v/>
      </c>
      <c r="LO14048" t="str">
        <v/>
      </c>
    </row>
    <row r="14049" spans="326:327">
      <c r="LN14049" t="str">
        <v/>
      </c>
      <c r="LO14049" t="str">
        <v/>
      </c>
    </row>
    <row r="14050" spans="326:327">
      <c r="LN14050" t="str">
        <v/>
      </c>
      <c r="LO14050" t="str">
        <v/>
      </c>
    </row>
    <row r="14051" spans="326:327">
      <c r="LN14051" t="str">
        <v/>
      </c>
      <c r="LO14051" t="str">
        <v/>
      </c>
    </row>
    <row r="14052" spans="326:327">
      <c r="LN14052" t="str">
        <v/>
      </c>
      <c r="LO14052" t="str">
        <v/>
      </c>
    </row>
    <row r="14053" spans="326:327">
      <c r="LN14053" t="str">
        <v/>
      </c>
      <c r="LO14053" t="str">
        <v/>
      </c>
    </row>
    <row r="14054" spans="326:327">
      <c r="LN14054" t="str">
        <v/>
      </c>
      <c r="LO14054" t="str">
        <v/>
      </c>
    </row>
    <row r="14055" spans="326:327">
      <c r="LN14055" t="str">
        <v/>
      </c>
      <c r="LO14055" t="str">
        <v/>
      </c>
    </row>
    <row r="14056" spans="326:327">
      <c r="LN14056" t="str">
        <v/>
      </c>
      <c r="LO14056" t="str">
        <v/>
      </c>
    </row>
    <row r="14057" spans="326:327">
      <c r="LN14057" t="str">
        <v/>
      </c>
      <c r="LO14057" t="str">
        <v/>
      </c>
    </row>
    <row r="14058" spans="326:327">
      <c r="LN14058" t="str">
        <v/>
      </c>
      <c r="LO14058" t="str">
        <v/>
      </c>
    </row>
    <row r="14059" spans="326:327">
      <c r="LN14059" t="str">
        <v/>
      </c>
      <c r="LO14059" t="str">
        <v/>
      </c>
    </row>
    <row r="14060" spans="326:327">
      <c r="LN14060" t="str">
        <v/>
      </c>
      <c r="LO14060" t="str">
        <v/>
      </c>
    </row>
    <row r="14061" spans="326:327">
      <c r="LN14061" t="str">
        <v/>
      </c>
      <c r="LO14061" t="str">
        <v/>
      </c>
    </row>
    <row r="14062" spans="326:327">
      <c r="LN14062" t="str">
        <v/>
      </c>
      <c r="LO14062" t="str">
        <v/>
      </c>
    </row>
    <row r="14063" spans="326:327">
      <c r="LN14063" t="str">
        <v/>
      </c>
      <c r="LO14063" t="str">
        <v/>
      </c>
    </row>
    <row r="14064" spans="326:327">
      <c r="LN14064" t="str">
        <v/>
      </c>
      <c r="LO14064" t="str">
        <v/>
      </c>
    </row>
    <row r="14065" spans="326:327">
      <c r="LN14065" t="str">
        <v/>
      </c>
      <c r="LO14065" t="str">
        <v/>
      </c>
    </row>
    <row r="14066" spans="326:327">
      <c r="LN14066" t="str">
        <v/>
      </c>
      <c r="LO14066" t="str">
        <v/>
      </c>
    </row>
    <row r="14067" spans="326:327">
      <c r="LN14067" t="str">
        <v/>
      </c>
      <c r="LO14067" t="str">
        <v/>
      </c>
    </row>
    <row r="14068" spans="326:327">
      <c r="LN14068" t="str">
        <v/>
      </c>
      <c r="LO14068" t="str">
        <v/>
      </c>
    </row>
    <row r="14069" spans="326:327">
      <c r="LN14069" t="str">
        <v/>
      </c>
      <c r="LO14069" t="str">
        <v/>
      </c>
    </row>
    <row r="14070" spans="326:327">
      <c r="LN14070" t="str">
        <v/>
      </c>
      <c r="LO14070" t="str">
        <v/>
      </c>
    </row>
    <row r="14071" spans="326:327">
      <c r="LN14071" t="str">
        <v/>
      </c>
      <c r="LO14071" t="str">
        <v/>
      </c>
    </row>
    <row r="14072" spans="326:327">
      <c r="LN14072" t="str">
        <v/>
      </c>
      <c r="LO14072" t="str">
        <v/>
      </c>
    </row>
    <row r="14073" spans="326:327">
      <c r="LN14073" t="str">
        <v/>
      </c>
      <c r="LO14073" t="str">
        <v/>
      </c>
    </row>
    <row r="14074" spans="326:327">
      <c r="LN14074" t="str">
        <v/>
      </c>
      <c r="LO14074" t="str">
        <v/>
      </c>
    </row>
    <row r="14075" spans="326:327">
      <c r="LN14075" t="str">
        <v/>
      </c>
      <c r="LO14075" t="str">
        <v/>
      </c>
    </row>
    <row r="14076" spans="326:327">
      <c r="LN14076" t="str">
        <v/>
      </c>
      <c r="LO14076" t="str">
        <v/>
      </c>
    </row>
    <row r="14077" spans="326:327">
      <c r="LN14077" t="str">
        <v/>
      </c>
      <c r="LO14077" t="str">
        <v/>
      </c>
    </row>
    <row r="14078" spans="326:327">
      <c r="LN14078" t="str">
        <v/>
      </c>
      <c r="LO14078" t="str">
        <v/>
      </c>
    </row>
    <row r="14079" spans="326:327">
      <c r="LN14079" t="str">
        <v/>
      </c>
      <c r="LO14079" t="str">
        <v/>
      </c>
    </row>
    <row r="14080" spans="326:327">
      <c r="LN14080" t="str">
        <v/>
      </c>
      <c r="LO14080" t="str">
        <v/>
      </c>
    </row>
    <row r="14081" spans="326:327">
      <c r="LN14081" t="str">
        <v/>
      </c>
      <c r="LO14081" t="str">
        <v/>
      </c>
    </row>
    <row r="14082" spans="326:327">
      <c r="LN14082" t="str">
        <v/>
      </c>
      <c r="LO14082" t="str">
        <v/>
      </c>
    </row>
    <row r="14083" spans="326:327">
      <c r="LN14083" t="str">
        <v/>
      </c>
      <c r="LO14083" t="str">
        <v/>
      </c>
    </row>
    <row r="14084" spans="326:327">
      <c r="LN14084" t="str">
        <v/>
      </c>
      <c r="LO14084" t="str">
        <v/>
      </c>
    </row>
    <row r="14085" spans="326:327">
      <c r="LN14085" t="str">
        <v/>
      </c>
      <c r="LO14085" t="str">
        <v/>
      </c>
    </row>
    <row r="14086" spans="326:327">
      <c r="LN14086" t="str">
        <v/>
      </c>
      <c r="LO14086" t="str">
        <v/>
      </c>
    </row>
    <row r="14087" spans="326:327">
      <c r="LN14087" t="str">
        <v/>
      </c>
      <c r="LO14087" t="str">
        <v/>
      </c>
    </row>
    <row r="14088" spans="326:327">
      <c r="LN14088" t="str">
        <v/>
      </c>
      <c r="LO14088" t="str">
        <v/>
      </c>
    </row>
    <row r="14089" spans="326:327">
      <c r="LN14089" t="str">
        <v/>
      </c>
      <c r="LO14089" t="str">
        <v/>
      </c>
    </row>
    <row r="14090" spans="326:327">
      <c r="LN14090" t="str">
        <v/>
      </c>
      <c r="LO14090" t="str">
        <v/>
      </c>
    </row>
    <row r="14091" spans="326:327">
      <c r="LN14091" t="str">
        <v/>
      </c>
      <c r="LO14091" t="str">
        <v/>
      </c>
    </row>
    <row r="14092" spans="326:327">
      <c r="LN14092" t="str">
        <v/>
      </c>
      <c r="LO14092" t="str">
        <v/>
      </c>
    </row>
    <row r="14093" spans="326:327">
      <c r="LN14093" t="str">
        <v/>
      </c>
      <c r="LO14093" t="str">
        <v/>
      </c>
    </row>
    <row r="14094" spans="326:327">
      <c r="LN14094" t="str">
        <v/>
      </c>
      <c r="LO14094" t="str">
        <v/>
      </c>
    </row>
    <row r="14095" spans="326:327">
      <c r="LN14095" t="str">
        <v/>
      </c>
      <c r="LO14095" t="str">
        <v/>
      </c>
    </row>
    <row r="14096" spans="326:327">
      <c r="LN14096" t="str">
        <v/>
      </c>
      <c r="LO14096" t="str">
        <v/>
      </c>
    </row>
    <row r="14097" spans="326:327">
      <c r="LN14097" t="str">
        <v/>
      </c>
      <c r="LO14097" t="str">
        <v/>
      </c>
    </row>
    <row r="14098" spans="326:327">
      <c r="LN14098" t="str">
        <v/>
      </c>
      <c r="LO14098" t="str">
        <v/>
      </c>
    </row>
    <row r="14099" spans="326:327">
      <c r="LN14099" t="str">
        <v/>
      </c>
      <c r="LO14099" t="str">
        <v/>
      </c>
    </row>
    <row r="14100" spans="326:327">
      <c r="LN14100" t="str">
        <v/>
      </c>
      <c r="LO14100" t="str">
        <v/>
      </c>
    </row>
    <row r="14101" spans="326:327">
      <c r="LN14101" t="str">
        <v/>
      </c>
      <c r="LO14101" t="str">
        <v/>
      </c>
    </row>
    <row r="14102" spans="326:327">
      <c r="LN14102" t="str">
        <v/>
      </c>
      <c r="LO14102" t="str">
        <v/>
      </c>
    </row>
    <row r="14103" spans="326:327">
      <c r="LN14103" t="str">
        <v/>
      </c>
      <c r="LO14103" t="str">
        <v/>
      </c>
    </row>
    <row r="14104" spans="326:327">
      <c r="LN14104" t="str">
        <v/>
      </c>
      <c r="LO14104" t="str">
        <v/>
      </c>
    </row>
    <row r="14105" spans="326:327">
      <c r="LN14105" t="str">
        <v/>
      </c>
      <c r="LO14105" t="str">
        <v/>
      </c>
    </row>
    <row r="14106" spans="326:327">
      <c r="LN14106" t="str">
        <v/>
      </c>
      <c r="LO14106" t="str">
        <v/>
      </c>
    </row>
    <row r="14107" spans="326:327">
      <c r="LN14107" t="str">
        <v/>
      </c>
      <c r="LO14107" t="str">
        <v/>
      </c>
    </row>
    <row r="14108" spans="326:327">
      <c r="LN14108" t="str">
        <v/>
      </c>
      <c r="LO14108" t="str">
        <v/>
      </c>
    </row>
    <row r="14109" spans="326:327">
      <c r="LN14109" t="str">
        <v/>
      </c>
      <c r="LO14109" t="str">
        <v/>
      </c>
    </row>
    <row r="14110" spans="326:327">
      <c r="LN14110" t="str">
        <v/>
      </c>
      <c r="LO14110" t="str">
        <v/>
      </c>
    </row>
    <row r="14111" spans="326:327">
      <c r="LN14111" t="str">
        <v/>
      </c>
      <c r="LO14111" t="str">
        <v/>
      </c>
    </row>
    <row r="14112" spans="326:327">
      <c r="LN14112" t="str">
        <v/>
      </c>
      <c r="LO14112" t="str">
        <v/>
      </c>
    </row>
    <row r="14113" spans="326:327">
      <c r="LN14113" t="str">
        <v/>
      </c>
      <c r="LO14113" t="str">
        <v/>
      </c>
    </row>
    <row r="14114" spans="326:327">
      <c r="LN14114" t="str">
        <v/>
      </c>
      <c r="LO14114" t="str">
        <v/>
      </c>
    </row>
    <row r="14115" spans="326:327">
      <c r="LN14115" t="str">
        <v/>
      </c>
      <c r="LO14115" t="str">
        <v/>
      </c>
    </row>
    <row r="14116" spans="326:327">
      <c r="LN14116" t="str">
        <v/>
      </c>
      <c r="LO14116" t="str">
        <v/>
      </c>
    </row>
    <row r="14117" spans="326:327">
      <c r="LN14117" t="str">
        <v/>
      </c>
      <c r="LO14117" t="str">
        <v/>
      </c>
    </row>
    <row r="14118" spans="326:327">
      <c r="LN14118" t="str">
        <v/>
      </c>
      <c r="LO14118" t="str">
        <v/>
      </c>
    </row>
    <row r="14119" spans="326:327">
      <c r="LN14119" t="str">
        <v/>
      </c>
      <c r="LO14119" t="str">
        <v/>
      </c>
    </row>
    <row r="14120" spans="326:327">
      <c r="LN14120" t="str">
        <v/>
      </c>
      <c r="LO14120" t="str">
        <v/>
      </c>
    </row>
    <row r="14121" spans="326:327">
      <c r="LN14121" t="str">
        <v/>
      </c>
      <c r="LO14121" t="str">
        <v/>
      </c>
    </row>
    <row r="14122" spans="326:327">
      <c r="LN14122" t="str">
        <v/>
      </c>
      <c r="LO14122" t="str">
        <v/>
      </c>
    </row>
    <row r="14123" spans="326:327">
      <c r="LN14123" t="str">
        <v/>
      </c>
      <c r="LO14123" t="str">
        <v/>
      </c>
    </row>
    <row r="14124" spans="326:327">
      <c r="LN14124" t="str">
        <v/>
      </c>
      <c r="LO14124" t="str">
        <v/>
      </c>
    </row>
    <row r="14125" spans="326:327">
      <c r="LN14125" t="str">
        <v/>
      </c>
      <c r="LO14125" t="str">
        <v/>
      </c>
    </row>
    <row r="14126" spans="326:327">
      <c r="LN14126" t="str">
        <v/>
      </c>
      <c r="LO14126" t="str">
        <v/>
      </c>
    </row>
    <row r="14127" spans="326:327">
      <c r="LN14127" t="str">
        <v/>
      </c>
      <c r="LO14127" t="str">
        <v/>
      </c>
    </row>
    <row r="14128" spans="326:327">
      <c r="LN14128" t="str">
        <v/>
      </c>
      <c r="LO14128" t="str">
        <v/>
      </c>
    </row>
    <row r="14129" spans="326:327">
      <c r="LN14129" t="str">
        <v/>
      </c>
      <c r="LO14129" t="str">
        <v/>
      </c>
    </row>
    <row r="14130" spans="326:327">
      <c r="LN14130" t="str">
        <v/>
      </c>
      <c r="LO14130" t="str">
        <v/>
      </c>
    </row>
    <row r="14131" spans="326:327">
      <c r="LN14131" t="str">
        <v/>
      </c>
      <c r="LO14131" t="str">
        <v/>
      </c>
    </row>
    <row r="14132" spans="326:327">
      <c r="LN14132" t="str">
        <v/>
      </c>
      <c r="LO14132" t="str">
        <v/>
      </c>
    </row>
    <row r="14133" spans="326:327">
      <c r="LN14133" t="str">
        <v/>
      </c>
      <c r="LO14133" t="str">
        <v/>
      </c>
    </row>
    <row r="14134" spans="326:327">
      <c r="LN14134" t="str">
        <v/>
      </c>
      <c r="LO14134" t="str">
        <v/>
      </c>
    </row>
    <row r="14135" spans="326:327">
      <c r="LN14135" t="str">
        <v/>
      </c>
      <c r="LO14135" t="str">
        <v/>
      </c>
    </row>
    <row r="14136" spans="326:327">
      <c r="LN14136" t="str">
        <v/>
      </c>
      <c r="LO14136" t="str">
        <v/>
      </c>
    </row>
    <row r="14137" spans="326:327">
      <c r="LN14137" t="str">
        <v/>
      </c>
      <c r="LO14137" t="str">
        <v/>
      </c>
    </row>
    <row r="14138" spans="326:327">
      <c r="LN14138" t="str">
        <v/>
      </c>
      <c r="LO14138" t="str">
        <v/>
      </c>
    </row>
    <row r="14139" spans="326:327">
      <c r="LN14139" t="str">
        <v/>
      </c>
      <c r="LO14139" t="str">
        <v/>
      </c>
    </row>
    <row r="14140" spans="326:327">
      <c r="LN14140" t="str">
        <v/>
      </c>
      <c r="LO14140" t="str">
        <v/>
      </c>
    </row>
    <row r="14141" spans="326:327">
      <c r="LN14141" t="str">
        <v/>
      </c>
      <c r="LO14141" t="str">
        <v/>
      </c>
    </row>
    <row r="14142" spans="326:327">
      <c r="LN14142" t="str">
        <v/>
      </c>
      <c r="LO14142" t="str">
        <v/>
      </c>
    </row>
    <row r="14143" spans="326:327">
      <c r="LN14143" t="str">
        <v/>
      </c>
      <c r="LO14143" t="str">
        <v/>
      </c>
    </row>
    <row r="14144" spans="326:327">
      <c r="LN14144" t="str">
        <v/>
      </c>
      <c r="LO14144" t="str">
        <v/>
      </c>
    </row>
    <row r="14145" spans="326:327">
      <c r="LN14145" t="str">
        <v/>
      </c>
      <c r="LO14145" t="str">
        <v/>
      </c>
    </row>
    <row r="14146" spans="326:327">
      <c r="LN14146" t="str">
        <v/>
      </c>
      <c r="LO14146" t="str">
        <v/>
      </c>
    </row>
    <row r="14147" spans="326:327">
      <c r="LN14147" t="str">
        <v/>
      </c>
      <c r="LO14147" t="str">
        <v/>
      </c>
    </row>
    <row r="14148" spans="326:327">
      <c r="LN14148" t="str">
        <v/>
      </c>
      <c r="LO14148" t="str">
        <v/>
      </c>
    </row>
    <row r="14149" spans="326:327">
      <c r="LN14149" t="str">
        <v/>
      </c>
      <c r="LO14149" t="str">
        <v/>
      </c>
    </row>
    <row r="14150" spans="326:327">
      <c r="LN14150" t="str">
        <v/>
      </c>
      <c r="LO14150" t="str">
        <v/>
      </c>
    </row>
    <row r="14151" spans="326:327">
      <c r="LN14151" t="str">
        <v/>
      </c>
      <c r="LO14151" t="str">
        <v/>
      </c>
    </row>
    <row r="14152" spans="326:327">
      <c r="LN14152" t="str">
        <v/>
      </c>
      <c r="LO14152" t="str">
        <v/>
      </c>
    </row>
    <row r="14153" spans="326:327">
      <c r="LN14153" t="str">
        <v/>
      </c>
      <c r="LO14153" t="str">
        <v/>
      </c>
    </row>
    <row r="14154" spans="326:327">
      <c r="LN14154" t="str">
        <v/>
      </c>
      <c r="LO14154" t="str">
        <v/>
      </c>
    </row>
    <row r="14155" spans="326:327">
      <c r="LN14155" t="str">
        <v/>
      </c>
      <c r="LO14155" t="str">
        <v/>
      </c>
    </row>
    <row r="14156" spans="326:327">
      <c r="LN14156" t="str">
        <v/>
      </c>
      <c r="LO14156" t="str">
        <v/>
      </c>
    </row>
    <row r="14157" spans="326:327">
      <c r="LN14157" t="str">
        <v/>
      </c>
      <c r="LO14157" t="str">
        <v/>
      </c>
    </row>
    <row r="14158" spans="326:327">
      <c r="LN14158" t="str">
        <v/>
      </c>
      <c r="LO14158" t="str">
        <v/>
      </c>
    </row>
    <row r="14159" spans="326:327">
      <c r="LN14159" t="str">
        <v/>
      </c>
      <c r="LO14159" t="str">
        <v/>
      </c>
    </row>
    <row r="14160" spans="326:327">
      <c r="LN14160" t="str">
        <v/>
      </c>
      <c r="LO14160" t="str">
        <v/>
      </c>
    </row>
    <row r="14161" spans="326:327">
      <c r="LN14161" t="str">
        <v/>
      </c>
      <c r="LO14161" t="str">
        <v/>
      </c>
    </row>
    <row r="14162" spans="326:327">
      <c r="LN14162" t="str">
        <v/>
      </c>
      <c r="LO14162" t="str">
        <v/>
      </c>
    </row>
    <row r="14163" spans="326:327">
      <c r="LN14163" t="str">
        <v/>
      </c>
      <c r="LO14163" t="str">
        <v/>
      </c>
    </row>
    <row r="14164" spans="326:327">
      <c r="LN14164" t="str">
        <v/>
      </c>
      <c r="LO14164" t="str">
        <v/>
      </c>
    </row>
    <row r="14165" spans="326:327">
      <c r="LN14165" t="str">
        <v/>
      </c>
      <c r="LO14165" t="str">
        <v/>
      </c>
    </row>
    <row r="14166" spans="326:327">
      <c r="LN14166" t="str">
        <v/>
      </c>
      <c r="LO14166" t="str">
        <v/>
      </c>
    </row>
    <row r="14167" spans="326:327">
      <c r="LN14167" t="str">
        <v/>
      </c>
      <c r="LO14167" t="str">
        <v/>
      </c>
    </row>
    <row r="14168" spans="326:327">
      <c r="LN14168" t="str">
        <v/>
      </c>
      <c r="LO14168" t="str">
        <v/>
      </c>
    </row>
    <row r="14169" spans="326:327">
      <c r="LN14169" t="str">
        <v/>
      </c>
      <c r="LO14169" t="str">
        <v/>
      </c>
    </row>
    <row r="14170" spans="326:327">
      <c r="LN14170" t="str">
        <v/>
      </c>
      <c r="LO14170" t="str">
        <v/>
      </c>
    </row>
    <row r="14171" spans="326:327">
      <c r="LN14171" t="str">
        <v/>
      </c>
      <c r="LO14171" t="str">
        <v/>
      </c>
    </row>
    <row r="14172" spans="326:327">
      <c r="LN14172" t="str">
        <v/>
      </c>
      <c r="LO14172" t="str">
        <v/>
      </c>
    </row>
    <row r="14173" spans="326:327">
      <c r="LN14173" t="str">
        <v/>
      </c>
      <c r="LO14173" t="str">
        <v/>
      </c>
    </row>
    <row r="14174" spans="326:327">
      <c r="LN14174" t="str">
        <v/>
      </c>
      <c r="LO14174" t="str">
        <v/>
      </c>
    </row>
    <row r="14175" spans="326:327">
      <c r="LN14175" t="str">
        <v/>
      </c>
      <c r="LO14175" t="str">
        <v/>
      </c>
    </row>
    <row r="14176" spans="326:327">
      <c r="LN14176" t="str">
        <v/>
      </c>
      <c r="LO14176" t="str">
        <v/>
      </c>
    </row>
    <row r="14177" spans="326:327">
      <c r="LN14177" t="str">
        <v/>
      </c>
      <c r="LO14177" t="str">
        <v/>
      </c>
    </row>
    <row r="14178" spans="326:327">
      <c r="LN14178" t="str">
        <v/>
      </c>
      <c r="LO14178" t="str">
        <v/>
      </c>
    </row>
    <row r="14179" spans="326:327">
      <c r="LN14179" t="str">
        <v/>
      </c>
      <c r="LO14179" t="str">
        <v/>
      </c>
    </row>
    <row r="14180" spans="326:327">
      <c r="LN14180" t="str">
        <v/>
      </c>
      <c r="LO14180" t="str">
        <v/>
      </c>
    </row>
    <row r="14181" spans="326:327">
      <c r="LN14181" t="str">
        <v/>
      </c>
      <c r="LO14181" t="str">
        <v/>
      </c>
    </row>
    <row r="14182" spans="326:327">
      <c r="LN14182" t="str">
        <v/>
      </c>
      <c r="LO14182" t="str">
        <v/>
      </c>
    </row>
    <row r="14183" spans="326:327">
      <c r="LN14183" t="str">
        <v/>
      </c>
      <c r="LO14183" t="str">
        <v/>
      </c>
    </row>
    <row r="14184" spans="326:327">
      <c r="LN14184" t="str">
        <v/>
      </c>
      <c r="LO14184" t="str">
        <v/>
      </c>
    </row>
    <row r="14185" spans="326:327">
      <c r="LN14185" t="str">
        <v/>
      </c>
      <c r="LO14185" t="str">
        <v/>
      </c>
    </row>
    <row r="14186" spans="326:327">
      <c r="LN14186" t="str">
        <v/>
      </c>
      <c r="LO14186" t="str">
        <v/>
      </c>
    </row>
    <row r="14187" spans="326:327">
      <c r="LN14187" t="str">
        <v/>
      </c>
      <c r="LO14187" t="str">
        <v/>
      </c>
    </row>
    <row r="14188" spans="326:327">
      <c r="LN14188" t="str">
        <v/>
      </c>
      <c r="LO14188" t="str">
        <v/>
      </c>
    </row>
    <row r="14189" spans="326:327">
      <c r="LN14189" t="str">
        <v/>
      </c>
      <c r="LO14189" t="str">
        <v/>
      </c>
    </row>
    <row r="14190" spans="326:327">
      <c r="LN14190" t="str">
        <v/>
      </c>
      <c r="LO14190" t="str">
        <v/>
      </c>
    </row>
    <row r="14191" spans="326:327">
      <c r="LN14191" t="str">
        <v/>
      </c>
      <c r="LO14191" t="str">
        <v/>
      </c>
    </row>
    <row r="14192" spans="326:327">
      <c r="LN14192" t="str">
        <v/>
      </c>
      <c r="LO14192" t="str">
        <v/>
      </c>
    </row>
    <row r="14193" spans="326:327">
      <c r="LN14193" t="str">
        <v/>
      </c>
      <c r="LO14193" t="str">
        <v/>
      </c>
    </row>
    <row r="14194" spans="326:327">
      <c r="LN14194" t="str">
        <v/>
      </c>
      <c r="LO14194" t="str">
        <v/>
      </c>
    </row>
    <row r="14195" spans="326:327">
      <c r="LN14195" t="str">
        <v/>
      </c>
      <c r="LO14195" t="str">
        <v/>
      </c>
    </row>
    <row r="14196" spans="326:327">
      <c r="LN14196" t="str">
        <v/>
      </c>
      <c r="LO14196" t="str">
        <v/>
      </c>
    </row>
    <row r="14197" spans="326:327">
      <c r="LN14197" t="str">
        <v/>
      </c>
      <c r="LO14197" t="str">
        <v/>
      </c>
    </row>
    <row r="14198" spans="326:327">
      <c r="LN14198" t="str">
        <v/>
      </c>
      <c r="LO14198" t="str">
        <v/>
      </c>
    </row>
    <row r="14199" spans="326:327">
      <c r="LN14199" t="str">
        <v/>
      </c>
      <c r="LO14199" t="str">
        <v/>
      </c>
    </row>
    <row r="14200" spans="326:327">
      <c r="LN14200" t="str">
        <v/>
      </c>
      <c r="LO14200" t="str">
        <v/>
      </c>
    </row>
    <row r="14201" spans="326:327">
      <c r="LN14201" t="str">
        <v/>
      </c>
      <c r="LO14201" t="str">
        <v/>
      </c>
    </row>
    <row r="14202" spans="326:327">
      <c r="LN14202" t="str">
        <v/>
      </c>
      <c r="LO14202" t="str">
        <v/>
      </c>
    </row>
    <row r="14203" spans="326:327">
      <c r="LN14203" t="str">
        <v/>
      </c>
      <c r="LO14203" t="str">
        <v/>
      </c>
    </row>
    <row r="14204" spans="326:327">
      <c r="LN14204" t="str">
        <v/>
      </c>
      <c r="LO14204" t="str">
        <v/>
      </c>
    </row>
    <row r="14205" spans="326:327">
      <c r="LN14205" t="str">
        <v/>
      </c>
      <c r="LO14205" t="str">
        <v/>
      </c>
    </row>
    <row r="14206" spans="326:327">
      <c r="LN14206" t="str">
        <v/>
      </c>
      <c r="LO14206" t="str">
        <v/>
      </c>
    </row>
    <row r="14207" spans="326:327">
      <c r="LN14207" t="str">
        <v/>
      </c>
      <c r="LO14207" t="str">
        <v/>
      </c>
    </row>
    <row r="14208" spans="326:327">
      <c r="LN14208" t="str">
        <v/>
      </c>
      <c r="LO14208" t="str">
        <v/>
      </c>
    </row>
    <row r="14209" spans="326:327">
      <c r="LN14209" t="str">
        <v/>
      </c>
      <c r="LO14209" t="str">
        <v/>
      </c>
    </row>
    <row r="14210" spans="326:327">
      <c r="LN14210" t="str">
        <v/>
      </c>
      <c r="LO14210" t="str">
        <v/>
      </c>
    </row>
    <row r="14211" spans="326:327">
      <c r="LN14211" t="str">
        <v/>
      </c>
      <c r="LO14211" t="str">
        <v/>
      </c>
    </row>
    <row r="14212" spans="326:327">
      <c r="LN14212" t="str">
        <v/>
      </c>
      <c r="LO14212" t="str">
        <v/>
      </c>
    </row>
    <row r="14213" spans="326:327">
      <c r="LN14213" t="str">
        <v/>
      </c>
      <c r="LO14213" t="str">
        <v/>
      </c>
    </row>
    <row r="14214" spans="326:327">
      <c r="LN14214" t="str">
        <v/>
      </c>
      <c r="LO14214" t="str">
        <v/>
      </c>
    </row>
    <row r="14215" spans="326:327">
      <c r="LN14215" t="str">
        <v/>
      </c>
      <c r="LO14215" t="str">
        <v/>
      </c>
    </row>
    <row r="14216" spans="326:327">
      <c r="LN14216" t="str">
        <v/>
      </c>
      <c r="LO14216" t="str">
        <v/>
      </c>
    </row>
    <row r="14217" spans="326:327">
      <c r="LN14217" t="str">
        <v/>
      </c>
      <c r="LO14217" t="str">
        <v/>
      </c>
    </row>
    <row r="14218" spans="326:327">
      <c r="LN14218" t="str">
        <v/>
      </c>
      <c r="LO14218" t="str">
        <v/>
      </c>
    </row>
    <row r="14219" spans="326:327">
      <c r="LN14219" t="str">
        <v/>
      </c>
      <c r="LO14219" t="str">
        <v/>
      </c>
    </row>
    <row r="14220" spans="326:327">
      <c r="LN14220" t="str">
        <v/>
      </c>
      <c r="LO14220" t="str">
        <v/>
      </c>
    </row>
    <row r="14221" spans="326:327">
      <c r="LN14221" t="str">
        <v/>
      </c>
      <c r="LO14221" t="str">
        <v/>
      </c>
    </row>
    <row r="14222" spans="326:327">
      <c r="LN14222" t="str">
        <v/>
      </c>
      <c r="LO14222" t="str">
        <v/>
      </c>
    </row>
    <row r="14223" spans="326:327">
      <c r="LN14223" t="str">
        <v/>
      </c>
      <c r="LO14223" t="str">
        <v/>
      </c>
    </row>
    <row r="14224" spans="326:327">
      <c r="LN14224" t="str">
        <v/>
      </c>
      <c r="LO14224" t="str">
        <v/>
      </c>
    </row>
    <row r="14225" spans="326:327">
      <c r="LN14225" t="str">
        <v/>
      </c>
      <c r="LO14225" t="str">
        <v/>
      </c>
    </row>
    <row r="14226" spans="326:327">
      <c r="LN14226" t="str">
        <v/>
      </c>
      <c r="LO14226" t="str">
        <v/>
      </c>
    </row>
    <row r="14227" spans="326:327">
      <c r="LN14227" t="str">
        <v/>
      </c>
      <c r="LO14227" t="str">
        <v/>
      </c>
    </row>
    <row r="14228" spans="326:327">
      <c r="LN14228" t="str">
        <v/>
      </c>
      <c r="LO14228" t="str">
        <v/>
      </c>
    </row>
    <row r="14229" spans="326:327">
      <c r="LN14229" t="str">
        <v/>
      </c>
      <c r="LO14229" t="str">
        <v/>
      </c>
    </row>
    <row r="14230" spans="326:327">
      <c r="LN14230" t="str">
        <v/>
      </c>
      <c r="LO14230" t="str">
        <v/>
      </c>
    </row>
    <row r="14231" spans="326:327">
      <c r="LN14231" t="str">
        <v/>
      </c>
      <c r="LO14231" t="str">
        <v/>
      </c>
    </row>
    <row r="14232" spans="326:327">
      <c r="LN14232" t="str">
        <v/>
      </c>
      <c r="LO14232" t="str">
        <v/>
      </c>
    </row>
    <row r="14233" spans="326:327">
      <c r="LN14233" t="str">
        <v/>
      </c>
      <c r="LO14233" t="str">
        <v/>
      </c>
    </row>
    <row r="14234" spans="326:327">
      <c r="LN14234" t="str">
        <v/>
      </c>
      <c r="LO14234" t="str">
        <v/>
      </c>
    </row>
    <row r="14235" spans="326:327">
      <c r="LN14235" t="str">
        <v/>
      </c>
      <c r="LO14235" t="str">
        <v/>
      </c>
    </row>
    <row r="14236" spans="326:327">
      <c r="LN14236" t="str">
        <v/>
      </c>
      <c r="LO14236" t="str">
        <v/>
      </c>
    </row>
    <row r="14237" spans="326:327">
      <c r="LN14237" t="str">
        <v/>
      </c>
      <c r="LO14237" t="str">
        <v/>
      </c>
    </row>
    <row r="14238" spans="326:327">
      <c r="LN14238" t="str">
        <v/>
      </c>
      <c r="LO14238" t="str">
        <v/>
      </c>
    </row>
    <row r="14239" spans="326:327">
      <c r="LN14239" t="str">
        <v/>
      </c>
      <c r="LO14239" t="str">
        <v/>
      </c>
    </row>
    <row r="14240" spans="326:327">
      <c r="LN14240" t="str">
        <v/>
      </c>
      <c r="LO14240" t="str">
        <v/>
      </c>
    </row>
    <row r="14241" spans="326:327">
      <c r="LN14241" t="str">
        <v/>
      </c>
      <c r="LO14241" t="str">
        <v/>
      </c>
    </row>
    <row r="14242" spans="326:327">
      <c r="LN14242" t="str">
        <v/>
      </c>
      <c r="LO14242" t="str">
        <v/>
      </c>
    </row>
    <row r="14243" spans="326:327">
      <c r="LN14243" t="str">
        <v/>
      </c>
      <c r="LO14243" t="str">
        <v/>
      </c>
    </row>
    <row r="14244" spans="326:327">
      <c r="LN14244" t="str">
        <v/>
      </c>
      <c r="LO14244" t="str">
        <v/>
      </c>
    </row>
    <row r="14245" spans="326:327">
      <c r="LN14245" t="str">
        <v/>
      </c>
      <c r="LO14245" t="str">
        <v/>
      </c>
    </row>
    <row r="14246" spans="326:327">
      <c r="LN14246" t="str">
        <v/>
      </c>
      <c r="LO14246" t="str">
        <v/>
      </c>
    </row>
    <row r="14247" spans="326:327">
      <c r="LN14247" t="str">
        <v/>
      </c>
      <c r="LO14247" t="str">
        <v/>
      </c>
    </row>
    <row r="14248" spans="326:327">
      <c r="LN14248" t="str">
        <v/>
      </c>
      <c r="LO14248" t="str">
        <v/>
      </c>
    </row>
    <row r="14249" spans="326:327">
      <c r="LN14249" t="str">
        <v/>
      </c>
      <c r="LO14249" t="str">
        <v/>
      </c>
    </row>
    <row r="14250" spans="326:327">
      <c r="LN14250" t="str">
        <v/>
      </c>
      <c r="LO14250" t="str">
        <v/>
      </c>
    </row>
    <row r="14251" spans="326:327">
      <c r="LN14251" t="str">
        <v/>
      </c>
      <c r="LO14251" t="str">
        <v/>
      </c>
    </row>
    <row r="14252" spans="326:327">
      <c r="LN14252" t="str">
        <v/>
      </c>
      <c r="LO14252" t="str">
        <v/>
      </c>
    </row>
    <row r="14253" spans="326:327">
      <c r="LN14253" t="str">
        <v/>
      </c>
      <c r="LO14253" t="str">
        <v/>
      </c>
    </row>
    <row r="14254" spans="326:327">
      <c r="LN14254" t="str">
        <v/>
      </c>
      <c r="LO14254" t="str">
        <v/>
      </c>
    </row>
    <row r="14255" spans="326:327">
      <c r="LN14255" t="str">
        <v/>
      </c>
      <c r="LO14255" t="str">
        <v/>
      </c>
    </row>
    <row r="14256" spans="326:327">
      <c r="LN14256" t="str">
        <v/>
      </c>
      <c r="LO14256" t="str">
        <v/>
      </c>
    </row>
    <row r="14257" spans="326:327">
      <c r="LN14257" t="str">
        <v/>
      </c>
      <c r="LO14257" t="str">
        <v/>
      </c>
    </row>
    <row r="14258" spans="326:327">
      <c r="LN14258" t="str">
        <v/>
      </c>
      <c r="LO14258" t="str">
        <v/>
      </c>
    </row>
    <row r="14259" spans="326:327">
      <c r="LN14259" t="str">
        <v/>
      </c>
      <c r="LO14259" t="str">
        <v/>
      </c>
    </row>
    <row r="14260" spans="326:327">
      <c r="LN14260" t="str">
        <v/>
      </c>
      <c r="LO14260" t="str">
        <v/>
      </c>
    </row>
    <row r="14261" spans="326:327">
      <c r="LN14261" t="str">
        <v/>
      </c>
      <c r="LO14261" t="str">
        <v/>
      </c>
    </row>
    <row r="14262" spans="326:327">
      <c r="LN14262" t="str">
        <v/>
      </c>
      <c r="LO14262" t="str">
        <v/>
      </c>
    </row>
    <row r="14263" spans="326:327">
      <c r="LN14263" t="str">
        <v/>
      </c>
      <c r="LO14263" t="str">
        <v/>
      </c>
    </row>
    <row r="14264" spans="326:327">
      <c r="LN14264" t="str">
        <v/>
      </c>
      <c r="LO14264" t="str">
        <v/>
      </c>
    </row>
    <row r="14265" spans="326:327">
      <c r="LN14265" t="str">
        <v/>
      </c>
      <c r="LO14265" t="str">
        <v/>
      </c>
    </row>
    <row r="14266" spans="326:327">
      <c r="LN14266" t="str">
        <v/>
      </c>
      <c r="LO14266" t="str">
        <v/>
      </c>
    </row>
    <row r="14267" spans="326:327">
      <c r="LN14267" t="str">
        <v/>
      </c>
      <c r="LO14267" t="str">
        <v/>
      </c>
    </row>
    <row r="14268" spans="326:327">
      <c r="LN14268" t="str">
        <v/>
      </c>
      <c r="LO14268" t="str">
        <v/>
      </c>
    </row>
    <row r="14269" spans="326:327">
      <c r="LN14269" t="str">
        <v/>
      </c>
      <c r="LO14269" t="str">
        <v/>
      </c>
    </row>
    <row r="14270" spans="326:327">
      <c r="LN14270" t="str">
        <v/>
      </c>
      <c r="LO14270" t="str">
        <v/>
      </c>
    </row>
    <row r="14271" spans="326:327">
      <c r="LN14271" t="str">
        <v/>
      </c>
      <c r="LO14271" t="str">
        <v/>
      </c>
    </row>
    <row r="14272" spans="326:327">
      <c r="LN14272" t="str">
        <v/>
      </c>
      <c r="LO14272" t="str">
        <v/>
      </c>
    </row>
    <row r="14273" spans="326:327">
      <c r="LN14273" t="str">
        <v/>
      </c>
      <c r="LO14273" t="str">
        <v/>
      </c>
    </row>
    <row r="14274" spans="326:327">
      <c r="LN14274" t="str">
        <v/>
      </c>
      <c r="LO14274" t="str">
        <v/>
      </c>
    </row>
    <row r="14275" spans="326:327">
      <c r="LN14275" t="str">
        <v/>
      </c>
      <c r="LO14275" t="str">
        <v/>
      </c>
    </row>
    <row r="14276" spans="326:327">
      <c r="LN14276" t="str">
        <v/>
      </c>
      <c r="LO14276" t="str">
        <v/>
      </c>
    </row>
    <row r="14277" spans="326:327">
      <c r="LN14277" t="str">
        <v/>
      </c>
      <c r="LO14277" t="str">
        <v/>
      </c>
    </row>
    <row r="14278" spans="326:327">
      <c r="LN14278" t="str">
        <v/>
      </c>
      <c r="LO14278" t="str">
        <v/>
      </c>
    </row>
    <row r="14279" spans="326:327">
      <c r="LN14279" t="str">
        <v/>
      </c>
      <c r="LO14279" t="str">
        <v/>
      </c>
    </row>
    <row r="14280" spans="326:327">
      <c r="LN14280" t="str">
        <v/>
      </c>
      <c r="LO14280" t="str">
        <v/>
      </c>
    </row>
    <row r="14281" spans="326:327">
      <c r="LN14281" t="str">
        <v/>
      </c>
      <c r="LO14281" t="str">
        <v/>
      </c>
    </row>
    <row r="14282" spans="326:327">
      <c r="LN14282" t="str">
        <v/>
      </c>
      <c r="LO14282" t="str">
        <v/>
      </c>
    </row>
    <row r="14283" spans="326:327">
      <c r="LN14283" t="str">
        <v/>
      </c>
      <c r="LO14283" t="str">
        <v/>
      </c>
    </row>
    <row r="14284" spans="326:327">
      <c r="LN14284" t="str">
        <v/>
      </c>
      <c r="LO14284" t="str">
        <v/>
      </c>
    </row>
    <row r="14285" spans="326:327">
      <c r="LN14285" t="str">
        <v/>
      </c>
      <c r="LO14285" t="str">
        <v/>
      </c>
    </row>
    <row r="14286" spans="326:327">
      <c r="LN14286" t="str">
        <v/>
      </c>
      <c r="LO14286" t="str">
        <v/>
      </c>
    </row>
    <row r="14287" spans="326:327">
      <c r="LN14287" t="str">
        <v/>
      </c>
      <c r="LO14287" t="str">
        <v/>
      </c>
    </row>
    <row r="14288" spans="326:327">
      <c r="LN14288" t="str">
        <v/>
      </c>
      <c r="LO14288" t="str">
        <v/>
      </c>
    </row>
    <row r="14289" spans="326:327">
      <c r="LN14289" t="str">
        <v/>
      </c>
      <c r="LO14289" t="str">
        <v/>
      </c>
    </row>
    <row r="14290" spans="326:327">
      <c r="LN14290" t="str">
        <v/>
      </c>
      <c r="LO14290" t="str">
        <v/>
      </c>
    </row>
    <row r="14291" spans="326:327">
      <c r="LN14291" t="str">
        <v/>
      </c>
      <c r="LO14291" t="str">
        <v/>
      </c>
    </row>
    <row r="14292" spans="326:327">
      <c r="LN14292" t="str">
        <v/>
      </c>
      <c r="LO14292" t="str">
        <v/>
      </c>
    </row>
    <row r="14293" spans="326:327">
      <c r="LN14293" t="str">
        <v/>
      </c>
      <c r="LO14293" t="str">
        <v/>
      </c>
    </row>
    <row r="14294" spans="326:327">
      <c r="LN14294" t="str">
        <v/>
      </c>
      <c r="LO14294" t="str">
        <v/>
      </c>
    </row>
    <row r="14295" spans="326:327">
      <c r="LN14295" t="str">
        <v/>
      </c>
      <c r="LO14295" t="str">
        <v/>
      </c>
    </row>
    <row r="14296" spans="326:327">
      <c r="LN14296" t="str">
        <v/>
      </c>
      <c r="LO14296" t="str">
        <v/>
      </c>
    </row>
    <row r="14297" spans="326:327">
      <c r="LN14297" t="str">
        <v/>
      </c>
      <c r="LO14297" t="str">
        <v/>
      </c>
    </row>
    <row r="14298" spans="326:327">
      <c r="LN14298" t="str">
        <v/>
      </c>
      <c r="LO14298" t="str">
        <v/>
      </c>
    </row>
    <row r="14299" spans="326:327">
      <c r="LN14299" t="str">
        <v/>
      </c>
      <c r="LO14299" t="str">
        <v/>
      </c>
    </row>
    <row r="14300" spans="326:327">
      <c r="LN14300" t="str">
        <v/>
      </c>
      <c r="LO14300" t="str">
        <v/>
      </c>
    </row>
    <row r="14301" spans="326:327">
      <c r="LN14301" t="str">
        <v/>
      </c>
      <c r="LO14301" t="str">
        <v/>
      </c>
    </row>
    <row r="14302" spans="326:327">
      <c r="LN14302" t="str">
        <v/>
      </c>
      <c r="LO14302" t="str">
        <v/>
      </c>
    </row>
    <row r="14303" spans="326:327">
      <c r="LN14303" t="str">
        <v/>
      </c>
      <c r="LO14303" t="str">
        <v/>
      </c>
    </row>
    <row r="14304" spans="326:327">
      <c r="LN14304" t="str">
        <v/>
      </c>
      <c r="LO14304" t="str">
        <v/>
      </c>
    </row>
    <row r="14305" spans="326:327">
      <c r="LN14305" t="str">
        <v/>
      </c>
      <c r="LO14305" t="str">
        <v/>
      </c>
    </row>
    <row r="14306" spans="326:327">
      <c r="LN14306" t="str">
        <v/>
      </c>
      <c r="LO14306" t="str">
        <v/>
      </c>
    </row>
    <row r="14307" spans="326:327">
      <c r="LN14307" t="str">
        <v/>
      </c>
      <c r="LO14307" t="str">
        <v/>
      </c>
    </row>
    <row r="14308" spans="326:327">
      <c r="LN14308" t="str">
        <v/>
      </c>
      <c r="LO14308" t="str">
        <v/>
      </c>
    </row>
    <row r="14309" spans="326:327">
      <c r="LN14309" t="str">
        <v/>
      </c>
      <c r="LO14309" t="str">
        <v/>
      </c>
    </row>
    <row r="14310" spans="326:327">
      <c r="LN14310" t="str">
        <v/>
      </c>
      <c r="LO14310" t="str">
        <v/>
      </c>
    </row>
    <row r="14311" spans="326:327">
      <c r="LN14311" t="str">
        <v/>
      </c>
      <c r="LO14311" t="str">
        <v/>
      </c>
    </row>
    <row r="14312" spans="326:327">
      <c r="LN14312" t="str">
        <v/>
      </c>
      <c r="LO14312" t="str">
        <v/>
      </c>
    </row>
    <row r="14313" spans="326:327">
      <c r="LN14313" t="str">
        <v/>
      </c>
      <c r="LO14313" t="str">
        <v/>
      </c>
    </row>
    <row r="14314" spans="326:327">
      <c r="LN14314" t="str">
        <v/>
      </c>
      <c r="LO14314" t="str">
        <v/>
      </c>
    </row>
    <row r="14315" spans="326:327">
      <c r="LN14315" t="str">
        <v/>
      </c>
      <c r="LO14315" t="str">
        <v/>
      </c>
    </row>
    <row r="14316" spans="326:327">
      <c r="LN14316" t="str">
        <v/>
      </c>
      <c r="LO14316" t="str">
        <v/>
      </c>
    </row>
    <row r="14317" spans="326:327">
      <c r="LN14317" t="str">
        <v/>
      </c>
      <c r="LO14317" t="str">
        <v/>
      </c>
    </row>
    <row r="14318" spans="326:327">
      <c r="LN14318" t="str">
        <v/>
      </c>
      <c r="LO14318" t="str">
        <v/>
      </c>
    </row>
    <row r="14319" spans="326:327">
      <c r="LN14319" t="str">
        <v/>
      </c>
      <c r="LO14319" t="str">
        <v/>
      </c>
    </row>
    <row r="14320" spans="326:327">
      <c r="LN14320" t="str">
        <v/>
      </c>
      <c r="LO14320" t="str">
        <v/>
      </c>
    </row>
    <row r="14321" spans="326:327">
      <c r="LN14321" t="str">
        <v/>
      </c>
      <c r="LO14321" t="str">
        <v/>
      </c>
    </row>
    <row r="14322" spans="326:327">
      <c r="LN14322" t="str">
        <v/>
      </c>
      <c r="LO14322" t="str">
        <v/>
      </c>
    </row>
    <row r="14323" spans="326:327">
      <c r="LN14323" t="str">
        <v/>
      </c>
      <c r="LO14323" t="str">
        <v/>
      </c>
    </row>
    <row r="14324" spans="326:327">
      <c r="LN14324" t="str">
        <v/>
      </c>
      <c r="LO14324" t="str">
        <v/>
      </c>
    </row>
    <row r="14325" spans="326:327">
      <c r="LN14325" t="str">
        <v/>
      </c>
      <c r="LO14325" t="str">
        <v/>
      </c>
    </row>
    <row r="14326" spans="326:327">
      <c r="LN14326" t="str">
        <v/>
      </c>
      <c r="LO14326" t="str">
        <v/>
      </c>
    </row>
    <row r="14327" spans="326:327">
      <c r="LN14327" t="str">
        <v/>
      </c>
      <c r="LO14327" t="str">
        <v/>
      </c>
    </row>
    <row r="14328" spans="326:327">
      <c r="LN14328" t="str">
        <v/>
      </c>
      <c r="LO14328" t="str">
        <v/>
      </c>
    </row>
    <row r="14329" spans="326:327">
      <c r="LN14329" t="str">
        <v/>
      </c>
      <c r="LO14329" t="str">
        <v/>
      </c>
    </row>
    <row r="14330" spans="326:327">
      <c r="LN14330" t="str">
        <v/>
      </c>
      <c r="LO14330" t="str">
        <v/>
      </c>
    </row>
    <row r="14331" spans="326:327">
      <c r="LN14331" t="str">
        <v/>
      </c>
      <c r="LO14331" t="str">
        <v/>
      </c>
    </row>
    <row r="14332" spans="326:327">
      <c r="LN14332" t="str">
        <v/>
      </c>
      <c r="LO14332" t="str">
        <v/>
      </c>
    </row>
    <row r="14333" spans="326:327">
      <c r="LN14333" t="str">
        <v/>
      </c>
      <c r="LO14333" t="str">
        <v/>
      </c>
    </row>
    <row r="14334" spans="326:327">
      <c r="LN14334" t="str">
        <v/>
      </c>
      <c r="LO14334" t="str">
        <v/>
      </c>
    </row>
    <row r="14335" spans="326:327">
      <c r="LN14335" t="str">
        <v/>
      </c>
      <c r="LO14335" t="str">
        <v/>
      </c>
    </row>
    <row r="14336" spans="326:327">
      <c r="LN14336" t="str">
        <v/>
      </c>
      <c r="LO14336" t="str">
        <v/>
      </c>
    </row>
    <row r="14337" spans="326:327">
      <c r="LN14337" t="str">
        <v/>
      </c>
      <c r="LO14337" t="str">
        <v/>
      </c>
    </row>
    <row r="14338" spans="326:327">
      <c r="LN14338" t="str">
        <v/>
      </c>
      <c r="LO14338" t="str">
        <v/>
      </c>
    </row>
    <row r="14339" spans="326:327">
      <c r="LN14339" t="str">
        <v/>
      </c>
      <c r="LO14339" t="str">
        <v/>
      </c>
    </row>
    <row r="14340" spans="326:327">
      <c r="LN14340" t="str">
        <v/>
      </c>
      <c r="LO14340" t="str">
        <v/>
      </c>
    </row>
    <row r="14341" spans="326:327">
      <c r="LN14341" t="str">
        <v/>
      </c>
      <c r="LO14341" t="str">
        <v/>
      </c>
    </row>
    <row r="14342" spans="326:327">
      <c r="LN14342" t="str">
        <v/>
      </c>
      <c r="LO14342" t="str">
        <v/>
      </c>
    </row>
    <row r="14343" spans="326:327">
      <c r="LN14343" t="str">
        <v/>
      </c>
      <c r="LO14343" t="str">
        <v/>
      </c>
    </row>
    <row r="14344" spans="326:327">
      <c r="LN14344" t="str">
        <v/>
      </c>
      <c r="LO14344" t="str">
        <v/>
      </c>
    </row>
    <row r="14345" spans="326:327">
      <c r="LN14345" t="str">
        <v/>
      </c>
      <c r="LO14345" t="str">
        <v/>
      </c>
    </row>
    <row r="14346" spans="326:327">
      <c r="LN14346" t="str">
        <v/>
      </c>
      <c r="LO14346" t="str">
        <v/>
      </c>
    </row>
    <row r="14347" spans="326:327">
      <c r="LN14347" t="str">
        <v/>
      </c>
      <c r="LO14347" t="str">
        <v/>
      </c>
    </row>
    <row r="14348" spans="326:327">
      <c r="LN14348" t="str">
        <v/>
      </c>
      <c r="LO14348" t="str">
        <v/>
      </c>
    </row>
    <row r="14349" spans="326:327">
      <c r="LN14349" t="str">
        <v/>
      </c>
      <c r="LO14349" t="str">
        <v/>
      </c>
    </row>
    <row r="14350" spans="326:327">
      <c r="LN14350" t="str">
        <v/>
      </c>
      <c r="LO14350" t="str">
        <v/>
      </c>
    </row>
    <row r="14351" spans="326:327">
      <c r="LN14351" t="str">
        <v/>
      </c>
      <c r="LO14351" t="str">
        <v/>
      </c>
    </row>
    <row r="14352" spans="326:327">
      <c r="LN14352" t="str">
        <v/>
      </c>
      <c r="LO14352" t="str">
        <v/>
      </c>
    </row>
    <row r="14353" spans="326:327">
      <c r="LN14353" t="str">
        <v/>
      </c>
      <c r="LO14353" t="str">
        <v/>
      </c>
    </row>
    <row r="14354" spans="326:327">
      <c r="LN14354" t="str">
        <v/>
      </c>
      <c r="LO14354" t="str">
        <v/>
      </c>
    </row>
    <row r="14355" spans="326:327">
      <c r="LN14355" t="str">
        <v/>
      </c>
      <c r="LO14355" t="str">
        <v/>
      </c>
    </row>
    <row r="14356" spans="326:327">
      <c r="LN14356" t="str">
        <v/>
      </c>
      <c r="LO14356" t="str">
        <v/>
      </c>
    </row>
    <row r="14357" spans="326:327">
      <c r="LN14357" t="str">
        <v/>
      </c>
      <c r="LO14357" t="str">
        <v/>
      </c>
    </row>
    <row r="14358" spans="326:327">
      <c r="LN14358" t="str">
        <v/>
      </c>
      <c r="LO14358" t="str">
        <v/>
      </c>
    </row>
    <row r="14359" spans="326:327">
      <c r="LN14359" t="str">
        <v/>
      </c>
      <c r="LO14359" t="str">
        <v/>
      </c>
    </row>
    <row r="14360" spans="326:327">
      <c r="LN14360" t="str">
        <v/>
      </c>
      <c r="LO14360" t="str">
        <v/>
      </c>
    </row>
    <row r="14361" spans="326:327">
      <c r="LN14361" t="str">
        <v/>
      </c>
      <c r="LO14361" t="str">
        <v/>
      </c>
    </row>
    <row r="14362" spans="326:327">
      <c r="LN14362" t="str">
        <v/>
      </c>
      <c r="LO14362" t="str">
        <v/>
      </c>
    </row>
    <row r="14363" spans="326:327">
      <c r="LN14363" t="str">
        <v/>
      </c>
      <c r="LO14363" t="str">
        <v/>
      </c>
    </row>
    <row r="14364" spans="326:327">
      <c r="LN14364" t="str">
        <v/>
      </c>
      <c r="LO14364" t="str">
        <v/>
      </c>
    </row>
    <row r="14365" spans="326:327">
      <c r="LN14365" t="str">
        <v/>
      </c>
      <c r="LO14365" t="str">
        <v/>
      </c>
    </row>
    <row r="14366" spans="326:327">
      <c r="LN14366" t="str">
        <v/>
      </c>
      <c r="LO14366" t="str">
        <v/>
      </c>
    </row>
    <row r="14367" spans="326:327">
      <c r="LN14367" t="str">
        <v/>
      </c>
      <c r="LO14367" t="str">
        <v/>
      </c>
    </row>
    <row r="14368" spans="326:327">
      <c r="LN14368" t="str">
        <v/>
      </c>
      <c r="LO14368" t="str">
        <v/>
      </c>
    </row>
    <row r="14369" spans="326:327">
      <c r="LN14369" t="str">
        <v/>
      </c>
      <c r="LO14369" t="str">
        <v/>
      </c>
    </row>
    <row r="14370" spans="326:327">
      <c r="LN14370" t="str">
        <v/>
      </c>
      <c r="LO14370" t="str">
        <v/>
      </c>
    </row>
    <row r="14371" spans="326:327">
      <c r="LN14371" t="str">
        <v/>
      </c>
      <c r="LO14371" t="str">
        <v/>
      </c>
    </row>
    <row r="14372" spans="326:327">
      <c r="LN14372" t="str">
        <v/>
      </c>
      <c r="LO14372" t="str">
        <v/>
      </c>
    </row>
    <row r="14373" spans="326:327">
      <c r="LN14373" t="str">
        <v/>
      </c>
      <c r="LO14373" t="str">
        <v/>
      </c>
    </row>
    <row r="14374" spans="326:327">
      <c r="LN14374" t="str">
        <v/>
      </c>
      <c r="LO14374" t="str">
        <v/>
      </c>
    </row>
    <row r="14375" spans="326:327">
      <c r="LN14375" t="str">
        <v/>
      </c>
      <c r="LO14375" t="str">
        <v/>
      </c>
    </row>
    <row r="14376" spans="326:327">
      <c r="LN14376" t="str">
        <v/>
      </c>
      <c r="LO14376" t="str">
        <v/>
      </c>
    </row>
    <row r="14377" spans="326:327">
      <c r="LN14377" t="str">
        <v/>
      </c>
      <c r="LO14377" t="str">
        <v/>
      </c>
    </row>
    <row r="14378" spans="326:327">
      <c r="LN14378" t="str">
        <v/>
      </c>
      <c r="LO14378" t="str">
        <v/>
      </c>
    </row>
    <row r="14379" spans="326:327">
      <c r="LN14379" t="str">
        <v/>
      </c>
      <c r="LO14379" t="str">
        <v/>
      </c>
    </row>
    <row r="14380" spans="326:327">
      <c r="LN14380" t="str">
        <v/>
      </c>
      <c r="LO14380" t="str">
        <v/>
      </c>
    </row>
    <row r="14381" spans="326:327">
      <c r="LN14381" t="str">
        <v/>
      </c>
      <c r="LO14381" t="str">
        <v/>
      </c>
    </row>
    <row r="14382" spans="326:327">
      <c r="LN14382" t="str">
        <v/>
      </c>
      <c r="LO14382" t="str">
        <v/>
      </c>
    </row>
    <row r="14383" spans="326:327">
      <c r="LN14383" t="str">
        <v/>
      </c>
      <c r="LO14383" t="str">
        <v/>
      </c>
    </row>
    <row r="14384" spans="326:327">
      <c r="LN14384" t="str">
        <v/>
      </c>
      <c r="LO14384" t="str">
        <v/>
      </c>
    </row>
    <row r="14385" spans="326:327">
      <c r="LN14385" t="str">
        <v/>
      </c>
      <c r="LO14385" t="str">
        <v/>
      </c>
    </row>
    <row r="14386" spans="326:327">
      <c r="LN14386" t="str">
        <v/>
      </c>
      <c r="LO14386" t="str">
        <v/>
      </c>
    </row>
    <row r="14387" spans="326:327">
      <c r="LN14387" t="str">
        <v/>
      </c>
      <c r="LO14387" t="str">
        <v/>
      </c>
    </row>
    <row r="14388" spans="326:327">
      <c r="LN14388" t="str">
        <v/>
      </c>
      <c r="LO14388" t="str">
        <v/>
      </c>
    </row>
    <row r="14389" spans="326:327">
      <c r="LN14389" t="str">
        <v/>
      </c>
      <c r="LO14389" t="str">
        <v/>
      </c>
    </row>
    <row r="14390" spans="326:327">
      <c r="LN14390" t="str">
        <v/>
      </c>
      <c r="LO14390" t="str">
        <v/>
      </c>
    </row>
    <row r="14391" spans="326:327">
      <c r="LN14391" t="str">
        <v/>
      </c>
      <c r="LO14391" t="str">
        <v/>
      </c>
    </row>
    <row r="14392" spans="326:327">
      <c r="LN14392" t="str">
        <v/>
      </c>
      <c r="LO14392" t="str">
        <v/>
      </c>
    </row>
    <row r="14393" spans="326:327">
      <c r="LN14393" t="str">
        <v/>
      </c>
      <c r="LO14393" t="str">
        <v/>
      </c>
    </row>
    <row r="14394" spans="326:327">
      <c r="LN14394" t="str">
        <v/>
      </c>
      <c r="LO14394" t="str">
        <v/>
      </c>
    </row>
    <row r="14395" spans="326:327">
      <c r="LN14395" t="str">
        <v/>
      </c>
      <c r="LO14395" t="str">
        <v/>
      </c>
    </row>
    <row r="14396" spans="326:327">
      <c r="LN14396" t="str">
        <v/>
      </c>
      <c r="LO14396" t="str">
        <v/>
      </c>
    </row>
    <row r="14397" spans="326:327">
      <c r="LN14397" t="str">
        <v/>
      </c>
      <c r="LO14397" t="str">
        <v/>
      </c>
    </row>
    <row r="14398" spans="326:327">
      <c r="LN14398" t="str">
        <v/>
      </c>
      <c r="LO14398" t="str">
        <v/>
      </c>
    </row>
    <row r="14399" spans="326:327">
      <c r="LN14399" t="str">
        <v/>
      </c>
      <c r="LO14399" t="str">
        <v/>
      </c>
    </row>
    <row r="14400" spans="326:327">
      <c r="LN14400" t="str">
        <v/>
      </c>
      <c r="LO14400" t="str">
        <v/>
      </c>
    </row>
    <row r="14401" spans="326:327">
      <c r="LN14401" t="str">
        <v/>
      </c>
      <c r="LO14401" t="str">
        <v/>
      </c>
    </row>
    <row r="14402" spans="326:327">
      <c r="LN14402" t="str">
        <v/>
      </c>
      <c r="LO14402" t="str">
        <v/>
      </c>
    </row>
    <row r="14403" spans="326:327">
      <c r="LN14403" t="str">
        <v/>
      </c>
      <c r="LO14403" t="str">
        <v/>
      </c>
    </row>
    <row r="14404" spans="326:327">
      <c r="LN14404" t="str">
        <v/>
      </c>
      <c r="LO14404" t="str">
        <v/>
      </c>
    </row>
    <row r="14405" spans="326:327">
      <c r="LN14405" t="str">
        <v/>
      </c>
      <c r="LO14405" t="str">
        <v/>
      </c>
    </row>
    <row r="14406" spans="326:327">
      <c r="LN14406" t="str">
        <v/>
      </c>
      <c r="LO14406" t="str">
        <v/>
      </c>
    </row>
    <row r="14407" spans="326:327">
      <c r="LN14407" t="str">
        <v/>
      </c>
      <c r="LO14407" t="str">
        <v/>
      </c>
    </row>
    <row r="14408" spans="326:327">
      <c r="LN14408" t="str">
        <v/>
      </c>
      <c r="LO14408" t="str">
        <v/>
      </c>
    </row>
    <row r="14409" spans="326:327">
      <c r="LN14409" t="str">
        <v/>
      </c>
      <c r="LO14409" t="str">
        <v/>
      </c>
    </row>
    <row r="14410" spans="326:327">
      <c r="LN14410" t="str">
        <v/>
      </c>
      <c r="LO14410" t="str">
        <v/>
      </c>
    </row>
    <row r="14411" spans="326:327">
      <c r="LN14411" t="str">
        <v/>
      </c>
      <c r="LO14411" t="str">
        <v/>
      </c>
    </row>
    <row r="14412" spans="326:327">
      <c r="LN14412" t="str">
        <v/>
      </c>
      <c r="LO14412" t="str">
        <v/>
      </c>
    </row>
    <row r="14413" spans="326:327">
      <c r="LN14413" t="str">
        <v/>
      </c>
      <c r="LO14413" t="str">
        <v/>
      </c>
    </row>
    <row r="14414" spans="326:327">
      <c r="LN14414" t="str">
        <v/>
      </c>
      <c r="LO14414" t="str">
        <v/>
      </c>
    </row>
    <row r="14415" spans="326:327">
      <c r="LN14415" t="str">
        <v/>
      </c>
      <c r="LO14415" t="str">
        <v/>
      </c>
    </row>
    <row r="14416" spans="326:327">
      <c r="LN14416" t="str">
        <v/>
      </c>
      <c r="LO14416" t="str">
        <v/>
      </c>
    </row>
    <row r="14417" spans="326:327">
      <c r="LN14417" t="str">
        <v/>
      </c>
      <c r="LO14417" t="str">
        <v/>
      </c>
    </row>
    <row r="14418" spans="326:327">
      <c r="LN14418" t="str">
        <v/>
      </c>
      <c r="LO14418" t="str">
        <v/>
      </c>
    </row>
    <row r="14419" spans="326:327">
      <c r="LN14419" t="str">
        <v/>
      </c>
      <c r="LO14419" t="str">
        <v/>
      </c>
    </row>
    <row r="14420" spans="326:327">
      <c r="LN14420" t="str">
        <v/>
      </c>
      <c r="LO14420" t="str">
        <v/>
      </c>
    </row>
    <row r="14421" spans="326:327">
      <c r="LN14421" t="str">
        <v/>
      </c>
      <c r="LO14421" t="str">
        <v/>
      </c>
    </row>
    <row r="14422" spans="326:327">
      <c r="LN14422" t="str">
        <v/>
      </c>
      <c r="LO14422" t="str">
        <v/>
      </c>
    </row>
    <row r="14423" spans="326:327">
      <c r="LN14423" t="str">
        <v/>
      </c>
      <c r="LO14423" t="str">
        <v/>
      </c>
    </row>
    <row r="14424" spans="326:327">
      <c r="LN14424" t="str">
        <v/>
      </c>
      <c r="LO14424" t="str">
        <v/>
      </c>
    </row>
    <row r="14425" spans="326:327">
      <c r="LN14425" t="str">
        <v/>
      </c>
      <c r="LO14425" t="str">
        <v/>
      </c>
    </row>
    <row r="14426" spans="326:327">
      <c r="LN14426" t="str">
        <v/>
      </c>
      <c r="LO14426" t="str">
        <v/>
      </c>
    </row>
    <row r="14427" spans="326:327">
      <c r="LN14427" t="str">
        <v/>
      </c>
      <c r="LO14427" t="str">
        <v/>
      </c>
    </row>
    <row r="14428" spans="326:327">
      <c r="LN14428" t="str">
        <v/>
      </c>
      <c r="LO14428" t="str">
        <v/>
      </c>
    </row>
    <row r="14429" spans="326:327">
      <c r="LN14429" t="str">
        <v/>
      </c>
      <c r="LO14429" t="str">
        <v/>
      </c>
    </row>
    <row r="14430" spans="326:327">
      <c r="LN14430" t="str">
        <v/>
      </c>
      <c r="LO14430" t="str">
        <v/>
      </c>
    </row>
    <row r="14431" spans="326:327">
      <c r="LN14431" t="str">
        <v/>
      </c>
      <c r="LO14431" t="str">
        <v/>
      </c>
    </row>
    <row r="14432" spans="326:327">
      <c r="LN14432" t="str">
        <v/>
      </c>
      <c r="LO14432" t="str">
        <v/>
      </c>
    </row>
    <row r="14433" spans="326:327">
      <c r="LN14433" t="str">
        <v/>
      </c>
      <c r="LO14433" t="str">
        <v/>
      </c>
    </row>
    <row r="14434" spans="326:327">
      <c r="LN14434" t="str">
        <v/>
      </c>
      <c r="LO14434" t="str">
        <v/>
      </c>
    </row>
    <row r="14435" spans="326:327">
      <c r="LN14435" t="str">
        <v/>
      </c>
      <c r="LO14435" t="str">
        <v/>
      </c>
    </row>
    <row r="14436" spans="326:327">
      <c r="LN14436" t="str">
        <v/>
      </c>
      <c r="LO14436" t="str">
        <v/>
      </c>
    </row>
    <row r="14437" spans="326:327">
      <c r="LN14437" t="str">
        <v/>
      </c>
      <c r="LO14437" t="str">
        <v/>
      </c>
    </row>
    <row r="14438" spans="326:327">
      <c r="LN14438" t="str">
        <v/>
      </c>
      <c r="LO14438" t="str">
        <v/>
      </c>
    </row>
    <row r="14439" spans="326:327">
      <c r="LN14439" t="str">
        <v/>
      </c>
      <c r="LO14439" t="str">
        <v/>
      </c>
    </row>
    <row r="14440" spans="326:327">
      <c r="LN14440" t="str">
        <v/>
      </c>
      <c r="LO14440" t="str">
        <v/>
      </c>
    </row>
    <row r="14441" spans="326:327">
      <c r="LN14441" t="str">
        <v/>
      </c>
      <c r="LO14441" t="str">
        <v/>
      </c>
    </row>
    <row r="14442" spans="326:327">
      <c r="LN14442" t="str">
        <v/>
      </c>
      <c r="LO14442" t="str">
        <v/>
      </c>
    </row>
    <row r="14443" spans="326:327">
      <c r="LN14443" t="str">
        <v/>
      </c>
      <c r="LO14443" t="str">
        <v/>
      </c>
    </row>
    <row r="14444" spans="326:327">
      <c r="LN14444" t="str">
        <v/>
      </c>
      <c r="LO14444" t="str">
        <v/>
      </c>
    </row>
    <row r="14445" spans="326:327">
      <c r="LN14445" t="str">
        <v/>
      </c>
      <c r="LO14445" t="str">
        <v/>
      </c>
    </row>
    <row r="14446" spans="326:327">
      <c r="LN14446" t="str">
        <v/>
      </c>
      <c r="LO14446" t="str">
        <v/>
      </c>
    </row>
    <row r="14447" spans="326:327">
      <c r="LN14447" t="str">
        <v/>
      </c>
      <c r="LO14447" t="str">
        <v/>
      </c>
    </row>
    <row r="14448" spans="326:327">
      <c r="LN14448" t="str">
        <v/>
      </c>
      <c r="LO14448" t="str">
        <v/>
      </c>
    </row>
    <row r="14449" spans="326:327">
      <c r="LN14449" t="str">
        <v/>
      </c>
      <c r="LO14449" t="str">
        <v/>
      </c>
    </row>
    <row r="14450" spans="326:327">
      <c r="LN14450" t="str">
        <v/>
      </c>
      <c r="LO14450" t="str">
        <v/>
      </c>
    </row>
    <row r="14451" spans="326:327">
      <c r="LN14451" t="str">
        <v/>
      </c>
      <c r="LO14451" t="str">
        <v/>
      </c>
    </row>
    <row r="14452" spans="326:327">
      <c r="LN14452" t="str">
        <v/>
      </c>
      <c r="LO14452" t="str">
        <v/>
      </c>
    </row>
    <row r="14453" spans="326:327">
      <c r="LN14453" t="str">
        <v/>
      </c>
      <c r="LO14453" t="str">
        <v/>
      </c>
    </row>
    <row r="14454" spans="326:327">
      <c r="LN14454" t="str">
        <v/>
      </c>
      <c r="LO14454" t="str">
        <v/>
      </c>
    </row>
    <row r="14455" spans="326:327">
      <c r="LN14455" t="str">
        <v/>
      </c>
      <c r="LO14455" t="str">
        <v/>
      </c>
    </row>
    <row r="14456" spans="326:327">
      <c r="LN14456" t="str">
        <v/>
      </c>
      <c r="LO14456" t="str">
        <v/>
      </c>
    </row>
    <row r="14457" spans="326:327">
      <c r="LN14457" t="str">
        <v/>
      </c>
      <c r="LO14457" t="str">
        <v/>
      </c>
    </row>
    <row r="14458" spans="326:327">
      <c r="LN14458" t="str">
        <v/>
      </c>
      <c r="LO14458" t="str">
        <v/>
      </c>
    </row>
    <row r="14459" spans="326:327">
      <c r="LN14459" t="str">
        <v/>
      </c>
      <c r="LO14459" t="str">
        <v/>
      </c>
    </row>
    <row r="14460" spans="326:327">
      <c r="LN14460" t="str">
        <v/>
      </c>
      <c r="LO14460" t="str">
        <v/>
      </c>
    </row>
    <row r="14461" spans="326:327">
      <c r="LN14461" t="str">
        <v/>
      </c>
      <c r="LO14461" t="str">
        <v/>
      </c>
    </row>
    <row r="14462" spans="326:327">
      <c r="LN14462" t="str">
        <v/>
      </c>
      <c r="LO14462" t="str">
        <v/>
      </c>
    </row>
    <row r="14463" spans="326:327">
      <c r="LN14463" t="str">
        <v/>
      </c>
      <c r="LO14463" t="str">
        <v/>
      </c>
    </row>
    <row r="14464" spans="326:327">
      <c r="LN14464" t="str">
        <v/>
      </c>
      <c r="LO14464" t="str">
        <v/>
      </c>
    </row>
    <row r="14465" spans="326:327">
      <c r="LN14465" t="str">
        <v/>
      </c>
      <c r="LO14465" t="str">
        <v/>
      </c>
    </row>
    <row r="14466" spans="326:327">
      <c r="LN14466" t="str">
        <v/>
      </c>
      <c r="LO14466" t="str">
        <v/>
      </c>
    </row>
    <row r="14467" spans="326:327">
      <c r="LN14467" t="str">
        <v/>
      </c>
      <c r="LO14467" t="str">
        <v/>
      </c>
    </row>
    <row r="14468" spans="326:327">
      <c r="LN14468" t="str">
        <v/>
      </c>
      <c r="LO14468" t="str">
        <v/>
      </c>
    </row>
    <row r="14469" spans="326:327">
      <c r="LN14469" t="str">
        <v/>
      </c>
      <c r="LO14469" t="str">
        <v/>
      </c>
    </row>
    <row r="14470" spans="326:327">
      <c r="LN14470" t="str">
        <v/>
      </c>
      <c r="LO14470" t="str">
        <v/>
      </c>
    </row>
    <row r="14471" spans="326:327">
      <c r="LN14471" t="str">
        <v/>
      </c>
      <c r="LO14471" t="str">
        <v/>
      </c>
    </row>
    <row r="14472" spans="326:327">
      <c r="LN14472" t="str">
        <v/>
      </c>
      <c r="LO14472" t="str">
        <v/>
      </c>
    </row>
    <row r="14473" spans="326:327">
      <c r="LN14473" t="str">
        <v/>
      </c>
      <c r="LO14473" t="str">
        <v/>
      </c>
    </row>
    <row r="14474" spans="326:327">
      <c r="LN14474" t="str">
        <v/>
      </c>
      <c r="LO14474" t="str">
        <v/>
      </c>
    </row>
    <row r="14475" spans="326:327">
      <c r="LN14475" t="str">
        <v/>
      </c>
      <c r="LO14475" t="str">
        <v/>
      </c>
    </row>
    <row r="14476" spans="326:327">
      <c r="LN14476" t="str">
        <v/>
      </c>
      <c r="LO14476" t="str">
        <v/>
      </c>
    </row>
    <row r="14477" spans="326:327">
      <c r="LN14477" t="str">
        <v/>
      </c>
      <c r="LO14477" t="str">
        <v/>
      </c>
    </row>
    <row r="14478" spans="326:327">
      <c r="LN14478" t="str">
        <v/>
      </c>
      <c r="LO14478" t="str">
        <v/>
      </c>
    </row>
    <row r="14479" spans="326:327">
      <c r="LN14479" t="str">
        <v/>
      </c>
      <c r="LO14479" t="str">
        <v/>
      </c>
    </row>
    <row r="14480" spans="326:327">
      <c r="LN14480" t="str">
        <v/>
      </c>
      <c r="LO14480" t="str">
        <v/>
      </c>
    </row>
    <row r="14481" spans="326:327">
      <c r="LN14481" t="str">
        <v/>
      </c>
      <c r="LO14481" t="str">
        <v/>
      </c>
    </row>
    <row r="14482" spans="326:327">
      <c r="LN14482" t="str">
        <v/>
      </c>
      <c r="LO14482" t="str">
        <v/>
      </c>
    </row>
    <row r="14483" spans="326:327">
      <c r="LN14483" t="str">
        <v/>
      </c>
      <c r="LO14483" t="str">
        <v/>
      </c>
    </row>
    <row r="14484" spans="326:327">
      <c r="LN14484" t="str">
        <v/>
      </c>
      <c r="LO14484" t="str">
        <v/>
      </c>
    </row>
    <row r="14485" spans="326:327">
      <c r="LN14485" t="str">
        <v/>
      </c>
      <c r="LO14485" t="str">
        <v/>
      </c>
    </row>
    <row r="14486" spans="326:327">
      <c r="LN14486" t="str">
        <v/>
      </c>
      <c r="LO14486" t="str">
        <v/>
      </c>
    </row>
    <row r="14487" spans="326:327">
      <c r="LN14487" t="str">
        <v/>
      </c>
      <c r="LO14487" t="str">
        <v/>
      </c>
    </row>
    <row r="14488" spans="326:327">
      <c r="LN14488" t="str">
        <v/>
      </c>
      <c r="LO14488" t="str">
        <v/>
      </c>
    </row>
    <row r="14489" spans="326:327">
      <c r="LN14489" t="str">
        <v/>
      </c>
      <c r="LO14489" t="str">
        <v/>
      </c>
    </row>
    <row r="14490" spans="326:327">
      <c r="LN14490" t="str">
        <v/>
      </c>
      <c r="LO14490" t="str">
        <v/>
      </c>
    </row>
    <row r="14491" spans="326:327">
      <c r="LN14491" t="str">
        <v/>
      </c>
      <c r="LO14491" t="str">
        <v/>
      </c>
    </row>
    <row r="14492" spans="326:327">
      <c r="LN14492" t="str">
        <v/>
      </c>
      <c r="LO14492" t="str">
        <v/>
      </c>
    </row>
    <row r="14493" spans="326:327">
      <c r="LN14493" t="str">
        <v/>
      </c>
      <c r="LO14493" t="str">
        <v/>
      </c>
    </row>
    <row r="14494" spans="326:327">
      <c r="LN14494" t="str">
        <v/>
      </c>
      <c r="LO14494" t="str">
        <v/>
      </c>
    </row>
    <row r="14495" spans="326:327">
      <c r="LN14495" t="str">
        <v/>
      </c>
      <c r="LO14495" t="str">
        <v/>
      </c>
    </row>
    <row r="14496" spans="326:327">
      <c r="LN14496" t="str">
        <v/>
      </c>
      <c r="LO14496" t="str">
        <v/>
      </c>
    </row>
    <row r="14497" spans="326:327">
      <c r="LN14497" t="str">
        <v/>
      </c>
      <c r="LO14497" t="str">
        <v/>
      </c>
    </row>
    <row r="14498" spans="326:327">
      <c r="LN14498" t="str">
        <v/>
      </c>
      <c r="LO14498" t="str">
        <v/>
      </c>
    </row>
    <row r="14499" spans="326:327">
      <c r="LN14499" t="str">
        <v/>
      </c>
      <c r="LO14499" t="str">
        <v/>
      </c>
    </row>
    <row r="14500" spans="326:327">
      <c r="LN14500" t="str">
        <v/>
      </c>
      <c r="LO14500" t="str">
        <v/>
      </c>
    </row>
    <row r="14501" spans="326:327">
      <c r="LN14501" t="str">
        <v/>
      </c>
      <c r="LO14501" t="str">
        <v/>
      </c>
    </row>
    <row r="14502" spans="326:327">
      <c r="LN14502" t="str">
        <v/>
      </c>
      <c r="LO14502" t="str">
        <v/>
      </c>
    </row>
    <row r="14503" spans="326:327">
      <c r="LN14503" t="str">
        <v/>
      </c>
      <c r="LO14503" t="str">
        <v/>
      </c>
    </row>
    <row r="14504" spans="326:327">
      <c r="LN14504" t="str">
        <v/>
      </c>
      <c r="LO14504" t="str">
        <v/>
      </c>
    </row>
    <row r="14505" spans="326:327">
      <c r="LN14505" t="str">
        <v/>
      </c>
      <c r="LO14505" t="str">
        <v/>
      </c>
    </row>
    <row r="14506" spans="326:327">
      <c r="LN14506" t="str">
        <v/>
      </c>
      <c r="LO14506" t="str">
        <v/>
      </c>
    </row>
    <row r="14507" spans="326:327">
      <c r="LN14507" t="str">
        <v/>
      </c>
      <c r="LO14507" t="str">
        <v/>
      </c>
    </row>
    <row r="14508" spans="326:327">
      <c r="LN14508" t="str">
        <v/>
      </c>
      <c r="LO14508" t="str">
        <v/>
      </c>
    </row>
    <row r="14509" spans="326:327">
      <c r="LN14509" t="str">
        <v/>
      </c>
      <c r="LO14509" t="str">
        <v/>
      </c>
    </row>
    <row r="14510" spans="326:327">
      <c r="LN14510" t="str">
        <v/>
      </c>
      <c r="LO14510" t="str">
        <v/>
      </c>
    </row>
    <row r="14511" spans="326:327">
      <c r="LN14511" t="str">
        <v/>
      </c>
      <c r="LO14511" t="str">
        <v/>
      </c>
    </row>
    <row r="14512" spans="326:327">
      <c r="LN14512" t="str">
        <v/>
      </c>
      <c r="LO14512" t="str">
        <v/>
      </c>
    </row>
    <row r="14513" spans="326:327">
      <c r="LN14513" t="str">
        <v/>
      </c>
      <c r="LO14513" t="str">
        <v/>
      </c>
    </row>
    <row r="14514" spans="326:327">
      <c r="LN14514" t="str">
        <v/>
      </c>
      <c r="LO14514" t="str">
        <v/>
      </c>
    </row>
    <row r="14515" spans="326:327">
      <c r="LN14515" t="str">
        <v/>
      </c>
      <c r="LO14515" t="str">
        <v/>
      </c>
    </row>
    <row r="14516" spans="326:327">
      <c r="LN14516" t="str">
        <v/>
      </c>
      <c r="LO14516" t="str">
        <v/>
      </c>
    </row>
    <row r="14517" spans="326:327">
      <c r="LN14517" t="str">
        <v/>
      </c>
      <c r="LO14517" t="str">
        <v/>
      </c>
    </row>
    <row r="14518" spans="326:327">
      <c r="LN14518" t="str">
        <v/>
      </c>
      <c r="LO14518" t="str">
        <v/>
      </c>
    </row>
    <row r="14519" spans="326:327">
      <c r="LN14519" t="str">
        <v/>
      </c>
      <c r="LO14519" t="str">
        <v/>
      </c>
    </row>
    <row r="14520" spans="326:327">
      <c r="LN14520" t="str">
        <v/>
      </c>
      <c r="LO14520" t="str">
        <v/>
      </c>
    </row>
    <row r="14521" spans="326:327">
      <c r="LN14521" t="str">
        <v/>
      </c>
      <c r="LO14521" t="str">
        <v/>
      </c>
    </row>
    <row r="14522" spans="326:327">
      <c r="LN14522" t="str">
        <v/>
      </c>
      <c r="LO14522" t="str">
        <v/>
      </c>
    </row>
    <row r="14523" spans="326:327">
      <c r="LN14523" t="str">
        <v/>
      </c>
      <c r="LO14523" t="str">
        <v/>
      </c>
    </row>
    <row r="14524" spans="326:327">
      <c r="LN14524" t="str">
        <v/>
      </c>
      <c r="LO14524" t="str">
        <v/>
      </c>
    </row>
    <row r="14525" spans="326:327">
      <c r="LN14525" t="str">
        <v/>
      </c>
      <c r="LO14525" t="str">
        <v/>
      </c>
    </row>
    <row r="14526" spans="326:327">
      <c r="LN14526" t="str">
        <v/>
      </c>
      <c r="LO14526" t="str">
        <v/>
      </c>
    </row>
    <row r="14527" spans="326:327">
      <c r="LN14527" t="str">
        <v/>
      </c>
      <c r="LO14527" t="str">
        <v/>
      </c>
    </row>
    <row r="14528" spans="326:327">
      <c r="LN14528" t="str">
        <v/>
      </c>
      <c r="LO14528" t="str">
        <v/>
      </c>
    </row>
    <row r="14529" spans="326:327">
      <c r="LN14529" t="str">
        <v/>
      </c>
      <c r="LO14529" t="str">
        <v/>
      </c>
    </row>
    <row r="14530" spans="326:327">
      <c r="LN14530" t="str">
        <v/>
      </c>
      <c r="LO14530" t="str">
        <v/>
      </c>
    </row>
    <row r="14531" spans="326:327">
      <c r="LN14531" t="str">
        <v/>
      </c>
      <c r="LO14531" t="str">
        <v/>
      </c>
    </row>
    <row r="14532" spans="326:327">
      <c r="LN14532" t="str">
        <v/>
      </c>
      <c r="LO14532" t="str">
        <v/>
      </c>
    </row>
    <row r="14533" spans="326:327">
      <c r="LN14533" t="str">
        <v/>
      </c>
      <c r="LO14533" t="str">
        <v/>
      </c>
    </row>
    <row r="14534" spans="326:327">
      <c r="LN14534" t="str">
        <v/>
      </c>
      <c r="LO14534" t="str">
        <v/>
      </c>
    </row>
    <row r="14535" spans="326:327">
      <c r="LN14535" t="str">
        <v/>
      </c>
      <c r="LO14535" t="str">
        <v/>
      </c>
    </row>
    <row r="14536" spans="326:327">
      <c r="LN14536" t="str">
        <v/>
      </c>
      <c r="LO14536" t="str">
        <v/>
      </c>
    </row>
    <row r="14537" spans="326:327">
      <c r="LN14537" t="str">
        <v/>
      </c>
      <c r="LO14537" t="str">
        <v/>
      </c>
    </row>
    <row r="14538" spans="326:327">
      <c r="LN14538" t="str">
        <v/>
      </c>
      <c r="LO14538" t="str">
        <v/>
      </c>
    </row>
    <row r="14539" spans="326:327">
      <c r="LN14539" t="str">
        <v/>
      </c>
      <c r="LO14539" t="str">
        <v/>
      </c>
    </row>
    <row r="14540" spans="326:327">
      <c r="LN14540" t="str">
        <v/>
      </c>
      <c r="LO14540" t="str">
        <v/>
      </c>
    </row>
    <row r="14541" spans="326:327">
      <c r="LN14541" t="str">
        <v/>
      </c>
      <c r="LO14541" t="str">
        <v/>
      </c>
    </row>
    <row r="14542" spans="326:327">
      <c r="LN14542" t="str">
        <v/>
      </c>
      <c r="LO14542" t="str">
        <v/>
      </c>
    </row>
    <row r="14543" spans="326:327">
      <c r="LN14543" t="str">
        <v/>
      </c>
      <c r="LO14543" t="str">
        <v/>
      </c>
    </row>
    <row r="14544" spans="326:327">
      <c r="LN14544" t="str">
        <v/>
      </c>
      <c r="LO14544" t="str">
        <v/>
      </c>
    </row>
    <row r="14545" spans="326:327">
      <c r="LN14545" t="str">
        <v/>
      </c>
      <c r="LO14545" t="str">
        <v/>
      </c>
    </row>
    <row r="14546" spans="326:327">
      <c r="LN14546" t="str">
        <v/>
      </c>
      <c r="LO14546" t="str">
        <v/>
      </c>
    </row>
    <row r="14547" spans="326:327">
      <c r="LN14547" t="str">
        <v/>
      </c>
      <c r="LO14547" t="str">
        <v/>
      </c>
    </row>
    <row r="14548" spans="326:327">
      <c r="LN14548" t="str">
        <v/>
      </c>
      <c r="LO14548" t="str">
        <v/>
      </c>
    </row>
    <row r="14549" spans="326:327">
      <c r="LN14549" t="str">
        <v/>
      </c>
      <c r="LO14549" t="str">
        <v/>
      </c>
    </row>
    <row r="14550" spans="326:327">
      <c r="LN14550" t="str">
        <v/>
      </c>
      <c r="LO14550" t="str">
        <v/>
      </c>
    </row>
    <row r="14551" spans="326:327">
      <c r="LN14551" t="str">
        <v/>
      </c>
      <c r="LO14551" t="str">
        <v/>
      </c>
    </row>
    <row r="14552" spans="326:327">
      <c r="LN14552" t="str">
        <v/>
      </c>
      <c r="LO14552" t="str">
        <v/>
      </c>
    </row>
    <row r="14553" spans="326:327">
      <c r="LN14553" t="str">
        <v/>
      </c>
      <c r="LO14553" t="str">
        <v/>
      </c>
    </row>
    <row r="14554" spans="326:327">
      <c r="LN14554" t="str">
        <v/>
      </c>
      <c r="LO14554" t="str">
        <v/>
      </c>
    </row>
    <row r="14555" spans="326:327">
      <c r="LN14555" t="str">
        <v/>
      </c>
      <c r="LO14555" t="str">
        <v/>
      </c>
    </row>
    <row r="14556" spans="326:327">
      <c r="LN14556" t="str">
        <v/>
      </c>
      <c r="LO14556" t="str">
        <v/>
      </c>
    </row>
    <row r="14557" spans="326:327">
      <c r="LN14557" t="str">
        <v/>
      </c>
      <c r="LO14557" t="str">
        <v/>
      </c>
    </row>
    <row r="14558" spans="326:327">
      <c r="LN14558" t="str">
        <v/>
      </c>
      <c r="LO14558" t="str">
        <v/>
      </c>
    </row>
    <row r="14559" spans="326:327">
      <c r="LN14559" t="str">
        <v/>
      </c>
      <c r="LO14559" t="str">
        <v/>
      </c>
    </row>
    <row r="14560" spans="326:327">
      <c r="LN14560" t="str">
        <v/>
      </c>
      <c r="LO14560" t="str">
        <v/>
      </c>
    </row>
    <row r="14561" spans="326:327">
      <c r="LN14561" t="str">
        <v/>
      </c>
      <c r="LO14561" t="str">
        <v/>
      </c>
    </row>
    <row r="14562" spans="326:327">
      <c r="LN14562" t="str">
        <v/>
      </c>
      <c r="LO14562" t="str">
        <v/>
      </c>
    </row>
    <row r="14563" spans="326:327">
      <c r="LN14563" t="str">
        <v/>
      </c>
      <c r="LO14563" t="str">
        <v/>
      </c>
    </row>
    <row r="14564" spans="326:327">
      <c r="LN14564" t="str">
        <v/>
      </c>
      <c r="LO14564" t="str">
        <v/>
      </c>
    </row>
    <row r="14565" spans="326:327">
      <c r="LN14565" t="str">
        <v/>
      </c>
      <c r="LO14565" t="str">
        <v/>
      </c>
    </row>
    <row r="14566" spans="326:327">
      <c r="LN14566" t="str">
        <v/>
      </c>
      <c r="LO14566" t="str">
        <v/>
      </c>
    </row>
    <row r="14567" spans="326:327">
      <c r="LN14567" t="str">
        <v/>
      </c>
      <c r="LO14567" t="str">
        <v/>
      </c>
    </row>
    <row r="14568" spans="326:327">
      <c r="LN14568" t="str">
        <v/>
      </c>
      <c r="LO14568" t="str">
        <v/>
      </c>
    </row>
    <row r="14569" spans="326:327">
      <c r="LN14569" t="str">
        <v/>
      </c>
      <c r="LO14569" t="str">
        <v/>
      </c>
    </row>
    <row r="14570" spans="326:327">
      <c r="LN14570" t="str">
        <v/>
      </c>
      <c r="LO14570" t="str">
        <v/>
      </c>
    </row>
    <row r="14571" spans="326:327">
      <c r="LN14571" t="str">
        <v/>
      </c>
      <c r="LO14571" t="str">
        <v/>
      </c>
    </row>
    <row r="14572" spans="326:327">
      <c r="LN14572" t="str">
        <v/>
      </c>
      <c r="LO14572" t="str">
        <v/>
      </c>
    </row>
    <row r="14573" spans="326:327">
      <c r="LN14573" t="str">
        <v/>
      </c>
      <c r="LO14573" t="str">
        <v/>
      </c>
    </row>
    <row r="14574" spans="326:327">
      <c r="LN14574" t="str">
        <v/>
      </c>
      <c r="LO14574" t="str">
        <v/>
      </c>
    </row>
    <row r="14575" spans="326:327">
      <c r="LN14575" t="str">
        <v/>
      </c>
      <c r="LO14575" t="str">
        <v/>
      </c>
    </row>
    <row r="14576" spans="326:327">
      <c r="LN14576" t="str">
        <v/>
      </c>
      <c r="LO14576" t="str">
        <v/>
      </c>
    </row>
    <row r="14577" spans="326:327">
      <c r="LN14577" t="str">
        <v/>
      </c>
      <c r="LO14577" t="str">
        <v/>
      </c>
    </row>
    <row r="14578" spans="326:327">
      <c r="LN14578" t="str">
        <v/>
      </c>
      <c r="LO14578" t="str">
        <v/>
      </c>
    </row>
    <row r="14579" spans="326:327">
      <c r="LN14579" t="str">
        <v/>
      </c>
      <c r="LO14579" t="str">
        <v/>
      </c>
    </row>
    <row r="14580" spans="326:327">
      <c r="LN14580" t="str">
        <v/>
      </c>
      <c r="LO14580" t="str">
        <v/>
      </c>
    </row>
    <row r="14581" spans="326:327">
      <c r="LN14581" t="str">
        <v/>
      </c>
      <c r="LO14581" t="str">
        <v/>
      </c>
    </row>
    <row r="14582" spans="326:327">
      <c r="LN14582" t="str">
        <v/>
      </c>
      <c r="LO14582" t="str">
        <v/>
      </c>
    </row>
    <row r="14583" spans="326:327">
      <c r="LN14583" t="str">
        <v/>
      </c>
      <c r="LO14583" t="str">
        <v/>
      </c>
    </row>
    <row r="14584" spans="326:327">
      <c r="LN14584" t="str">
        <v/>
      </c>
      <c r="LO14584" t="str">
        <v/>
      </c>
    </row>
    <row r="14585" spans="326:327">
      <c r="LN14585" t="str">
        <v/>
      </c>
      <c r="LO14585" t="str">
        <v/>
      </c>
    </row>
    <row r="14586" spans="326:327">
      <c r="LN14586" t="str">
        <v/>
      </c>
      <c r="LO14586" t="str">
        <v/>
      </c>
    </row>
    <row r="14587" spans="326:327">
      <c r="LN14587" t="str">
        <v/>
      </c>
      <c r="LO14587" t="str">
        <v/>
      </c>
    </row>
    <row r="14588" spans="326:327">
      <c r="LN14588" t="str">
        <v/>
      </c>
      <c r="LO14588" t="str">
        <v/>
      </c>
    </row>
    <row r="14589" spans="326:327">
      <c r="LN14589" t="str">
        <v/>
      </c>
      <c r="LO14589" t="str">
        <v/>
      </c>
    </row>
    <row r="14590" spans="326:327">
      <c r="LN14590" t="str">
        <v/>
      </c>
      <c r="LO14590" t="str">
        <v/>
      </c>
    </row>
    <row r="14591" spans="326:327">
      <c r="LN14591" t="str">
        <v/>
      </c>
      <c r="LO14591" t="str">
        <v/>
      </c>
    </row>
    <row r="14592" spans="326:327">
      <c r="LN14592" t="str">
        <v/>
      </c>
      <c r="LO14592" t="str">
        <v/>
      </c>
    </row>
    <row r="14593" spans="326:327">
      <c r="LN14593" t="str">
        <v/>
      </c>
      <c r="LO14593" t="str">
        <v/>
      </c>
    </row>
    <row r="14594" spans="326:327">
      <c r="LN14594" t="str">
        <v/>
      </c>
      <c r="LO14594" t="str">
        <v/>
      </c>
    </row>
    <row r="14595" spans="326:327">
      <c r="LN14595" t="str">
        <v/>
      </c>
      <c r="LO14595" t="str">
        <v/>
      </c>
    </row>
    <row r="14596" spans="326:327">
      <c r="LN14596" t="str">
        <v/>
      </c>
      <c r="LO14596" t="str">
        <v/>
      </c>
    </row>
    <row r="14597" spans="326:327">
      <c r="LN14597" t="str">
        <v/>
      </c>
      <c r="LO14597" t="str">
        <v/>
      </c>
    </row>
    <row r="14598" spans="326:327">
      <c r="LN14598" t="str">
        <v/>
      </c>
      <c r="LO14598" t="str">
        <v/>
      </c>
    </row>
    <row r="14599" spans="326:327">
      <c r="LN14599" t="str">
        <v/>
      </c>
      <c r="LO14599" t="str">
        <v/>
      </c>
    </row>
    <row r="14600" spans="326:327">
      <c r="LN14600" t="str">
        <v/>
      </c>
      <c r="LO14600" t="str">
        <v/>
      </c>
    </row>
    <row r="14601" spans="326:327">
      <c r="LN14601" t="str">
        <v/>
      </c>
      <c r="LO14601" t="str">
        <v/>
      </c>
    </row>
    <row r="14602" spans="326:327">
      <c r="LN14602" t="str">
        <v/>
      </c>
      <c r="LO14602" t="str">
        <v/>
      </c>
    </row>
    <row r="14603" spans="326:327">
      <c r="LN14603" t="str">
        <v/>
      </c>
      <c r="LO14603" t="str">
        <v/>
      </c>
    </row>
    <row r="14604" spans="326:327">
      <c r="LN14604" t="str">
        <v/>
      </c>
      <c r="LO14604" t="str">
        <v/>
      </c>
    </row>
    <row r="14605" spans="326:327">
      <c r="LN14605" t="str">
        <v/>
      </c>
      <c r="LO14605" t="str">
        <v/>
      </c>
    </row>
    <row r="14606" spans="326:327">
      <c r="LN14606" t="str">
        <v/>
      </c>
      <c r="LO14606" t="str">
        <v/>
      </c>
    </row>
    <row r="14607" spans="326:327">
      <c r="LN14607" t="str">
        <v/>
      </c>
      <c r="LO14607" t="str">
        <v/>
      </c>
    </row>
    <row r="14608" spans="326:327">
      <c r="LN14608" t="str">
        <v/>
      </c>
      <c r="LO14608" t="str">
        <v/>
      </c>
    </row>
    <row r="14609" spans="326:327">
      <c r="LN14609" t="str">
        <v/>
      </c>
      <c r="LO14609" t="str">
        <v/>
      </c>
    </row>
    <row r="14610" spans="326:327">
      <c r="LN14610" t="str">
        <v/>
      </c>
      <c r="LO14610" t="str">
        <v/>
      </c>
    </row>
    <row r="14611" spans="326:327">
      <c r="LN14611" t="str">
        <v/>
      </c>
      <c r="LO14611" t="str">
        <v/>
      </c>
    </row>
    <row r="14612" spans="326:327">
      <c r="LN14612" t="str">
        <v/>
      </c>
      <c r="LO14612" t="str">
        <v/>
      </c>
    </row>
    <row r="14613" spans="326:327">
      <c r="LN14613" t="str">
        <v/>
      </c>
      <c r="LO14613" t="str">
        <v/>
      </c>
    </row>
    <row r="14614" spans="326:327">
      <c r="LN14614" t="str">
        <v/>
      </c>
      <c r="LO14614" t="str">
        <v/>
      </c>
    </row>
    <row r="14615" spans="326:327">
      <c r="LN14615" t="str">
        <v/>
      </c>
      <c r="LO14615" t="str">
        <v/>
      </c>
    </row>
    <row r="14616" spans="326:327">
      <c r="LN14616" t="str">
        <v/>
      </c>
      <c r="LO14616" t="str">
        <v/>
      </c>
    </row>
    <row r="14617" spans="326:327">
      <c r="LN14617" t="str">
        <v/>
      </c>
      <c r="LO14617" t="str">
        <v/>
      </c>
    </row>
    <row r="14618" spans="326:327">
      <c r="LN14618" t="str">
        <v/>
      </c>
      <c r="LO14618" t="str">
        <v/>
      </c>
    </row>
    <row r="14619" spans="326:327">
      <c r="LN14619" t="str">
        <v/>
      </c>
      <c r="LO14619" t="str">
        <v/>
      </c>
    </row>
    <row r="14620" spans="326:327">
      <c r="LN14620" t="str">
        <v/>
      </c>
      <c r="LO14620" t="str">
        <v/>
      </c>
    </row>
    <row r="14621" spans="326:327">
      <c r="LN14621" t="str">
        <v/>
      </c>
      <c r="LO14621" t="str">
        <v/>
      </c>
    </row>
    <row r="14622" spans="326:327">
      <c r="LN14622" t="str">
        <v/>
      </c>
      <c r="LO14622" t="str">
        <v/>
      </c>
    </row>
    <row r="14623" spans="326:327">
      <c r="LN14623" t="str">
        <v/>
      </c>
      <c r="LO14623" t="str">
        <v/>
      </c>
    </row>
    <row r="14624" spans="326:327">
      <c r="LN14624" t="str">
        <v/>
      </c>
      <c r="LO14624" t="str">
        <v/>
      </c>
    </row>
    <row r="14625" spans="326:327">
      <c r="LN14625" t="str">
        <v/>
      </c>
      <c r="LO14625" t="str">
        <v/>
      </c>
    </row>
    <row r="14626" spans="326:327">
      <c r="LN14626" t="str">
        <v/>
      </c>
      <c r="LO14626" t="str">
        <v/>
      </c>
    </row>
    <row r="14627" spans="326:327">
      <c r="LN14627" t="str">
        <v/>
      </c>
      <c r="LO14627" t="str">
        <v/>
      </c>
    </row>
    <row r="14628" spans="326:327">
      <c r="LN14628" t="str">
        <v/>
      </c>
      <c r="LO14628" t="str">
        <v/>
      </c>
    </row>
    <row r="14629" spans="326:327">
      <c r="LN14629" t="str">
        <v/>
      </c>
      <c r="LO14629" t="str">
        <v/>
      </c>
    </row>
    <row r="14630" spans="326:327">
      <c r="LN14630" t="str">
        <v/>
      </c>
      <c r="LO14630" t="str">
        <v/>
      </c>
    </row>
    <row r="14631" spans="326:327">
      <c r="LN14631" t="str">
        <v/>
      </c>
      <c r="LO14631" t="str">
        <v/>
      </c>
    </row>
    <row r="14632" spans="326:327">
      <c r="LN14632" t="str">
        <v/>
      </c>
      <c r="LO14632" t="str">
        <v/>
      </c>
    </row>
    <row r="14633" spans="326:327">
      <c r="LN14633" t="str">
        <v/>
      </c>
      <c r="LO14633" t="str">
        <v/>
      </c>
    </row>
    <row r="14634" spans="326:327">
      <c r="LN14634" t="str">
        <v/>
      </c>
      <c r="LO14634" t="str">
        <v/>
      </c>
    </row>
    <row r="14635" spans="326:327">
      <c r="LN14635" t="str">
        <v/>
      </c>
      <c r="LO14635" t="str">
        <v/>
      </c>
    </row>
    <row r="14636" spans="326:327">
      <c r="LN14636" t="str">
        <v/>
      </c>
      <c r="LO14636" t="str">
        <v/>
      </c>
    </row>
    <row r="14637" spans="326:327">
      <c r="LN14637" t="str">
        <v/>
      </c>
      <c r="LO14637" t="str">
        <v/>
      </c>
    </row>
    <row r="14638" spans="326:327">
      <c r="LN14638" t="str">
        <v/>
      </c>
      <c r="LO14638" t="str">
        <v/>
      </c>
    </row>
    <row r="14639" spans="326:327">
      <c r="LN14639" t="str">
        <v/>
      </c>
      <c r="LO14639" t="str">
        <v/>
      </c>
    </row>
    <row r="14640" spans="326:327">
      <c r="LN14640" t="str">
        <v/>
      </c>
      <c r="LO14640" t="str">
        <v/>
      </c>
    </row>
    <row r="14641" spans="326:327">
      <c r="LN14641" t="str">
        <v/>
      </c>
      <c r="LO14641" t="str">
        <v/>
      </c>
    </row>
    <row r="14642" spans="326:327">
      <c r="LN14642" t="str">
        <v/>
      </c>
      <c r="LO14642" t="str">
        <v/>
      </c>
    </row>
    <row r="14643" spans="326:327">
      <c r="LN14643" t="str">
        <v/>
      </c>
      <c r="LO14643" t="str">
        <v/>
      </c>
    </row>
    <row r="14644" spans="326:327">
      <c r="LN14644" t="str">
        <v/>
      </c>
      <c r="LO14644" t="str">
        <v/>
      </c>
    </row>
    <row r="14645" spans="326:327">
      <c r="LN14645" t="str">
        <v/>
      </c>
      <c r="LO14645" t="str">
        <v/>
      </c>
    </row>
    <row r="14646" spans="326:327">
      <c r="LN14646" t="str">
        <v/>
      </c>
      <c r="LO14646" t="str">
        <v/>
      </c>
    </row>
    <row r="14647" spans="326:327">
      <c r="LN14647" t="str">
        <v/>
      </c>
      <c r="LO14647" t="str">
        <v/>
      </c>
    </row>
    <row r="14648" spans="326:327">
      <c r="LN14648" t="str">
        <v/>
      </c>
      <c r="LO14648" t="str">
        <v/>
      </c>
    </row>
    <row r="14649" spans="326:327">
      <c r="LN14649" t="str">
        <v/>
      </c>
      <c r="LO14649" t="str">
        <v/>
      </c>
    </row>
    <row r="14650" spans="326:327">
      <c r="LN14650" t="str">
        <v/>
      </c>
      <c r="LO14650" t="str">
        <v/>
      </c>
    </row>
    <row r="14651" spans="326:327">
      <c r="LN14651" t="str">
        <v/>
      </c>
      <c r="LO14651" t="str">
        <v/>
      </c>
    </row>
    <row r="14652" spans="326:327">
      <c r="LN14652" t="str">
        <v/>
      </c>
      <c r="LO14652" t="str">
        <v/>
      </c>
    </row>
    <row r="14653" spans="326:327">
      <c r="LN14653" t="str">
        <v/>
      </c>
      <c r="LO14653" t="str">
        <v/>
      </c>
    </row>
    <row r="14654" spans="326:327">
      <c r="LN14654" t="str">
        <v/>
      </c>
      <c r="LO14654" t="str">
        <v/>
      </c>
    </row>
    <row r="14655" spans="326:327">
      <c r="LN14655" t="str">
        <v/>
      </c>
      <c r="LO14655" t="str">
        <v/>
      </c>
    </row>
    <row r="14656" spans="326:327">
      <c r="LN14656" t="str">
        <v/>
      </c>
      <c r="LO14656" t="str">
        <v/>
      </c>
    </row>
    <row r="14657" spans="326:327">
      <c r="LN14657" t="str">
        <v/>
      </c>
      <c r="LO14657" t="str">
        <v/>
      </c>
    </row>
    <row r="14658" spans="326:327">
      <c r="LN14658" t="str">
        <v/>
      </c>
      <c r="LO14658" t="str">
        <v/>
      </c>
    </row>
    <row r="14659" spans="326:327">
      <c r="LN14659" t="str">
        <v/>
      </c>
      <c r="LO14659" t="str">
        <v/>
      </c>
    </row>
    <row r="14660" spans="326:327">
      <c r="LN14660" t="str">
        <v/>
      </c>
      <c r="LO14660" t="str">
        <v/>
      </c>
    </row>
    <row r="14661" spans="326:327">
      <c r="LN14661" t="str">
        <v/>
      </c>
      <c r="LO14661" t="str">
        <v/>
      </c>
    </row>
    <row r="14662" spans="326:327">
      <c r="LN14662" t="str">
        <v/>
      </c>
      <c r="LO14662" t="str">
        <v/>
      </c>
    </row>
    <row r="14663" spans="326:327">
      <c r="LN14663" t="str">
        <v/>
      </c>
      <c r="LO14663" t="str">
        <v/>
      </c>
    </row>
    <row r="14664" spans="326:327">
      <c r="LN14664" t="str">
        <v/>
      </c>
      <c r="LO14664" t="str">
        <v/>
      </c>
    </row>
    <row r="14665" spans="326:327">
      <c r="LN14665" t="str">
        <v/>
      </c>
      <c r="LO14665" t="str">
        <v/>
      </c>
    </row>
    <row r="14666" spans="326:327">
      <c r="LN14666" t="str">
        <v/>
      </c>
      <c r="LO14666" t="str">
        <v/>
      </c>
    </row>
    <row r="14667" spans="326:327">
      <c r="LN14667" t="str">
        <v/>
      </c>
      <c r="LO14667" t="str">
        <v/>
      </c>
    </row>
    <row r="14668" spans="326:327">
      <c r="LN14668" t="str">
        <v/>
      </c>
      <c r="LO14668" t="str">
        <v/>
      </c>
    </row>
    <row r="14669" spans="326:327">
      <c r="LN14669" t="str">
        <v/>
      </c>
      <c r="LO14669" t="str">
        <v/>
      </c>
    </row>
    <row r="14670" spans="326:327">
      <c r="LN14670" t="str">
        <v/>
      </c>
      <c r="LO14670" t="str">
        <v/>
      </c>
    </row>
    <row r="14671" spans="326:327">
      <c r="LN14671" t="str">
        <v/>
      </c>
      <c r="LO14671" t="str">
        <v/>
      </c>
    </row>
    <row r="14672" spans="326:327">
      <c r="LN14672" t="str">
        <v/>
      </c>
      <c r="LO14672" t="str">
        <v/>
      </c>
    </row>
    <row r="14673" spans="326:327">
      <c r="LN14673" t="str">
        <v/>
      </c>
      <c r="LO14673" t="str">
        <v/>
      </c>
    </row>
    <row r="14674" spans="326:327">
      <c r="LN14674" t="str">
        <v/>
      </c>
      <c r="LO14674" t="str">
        <v/>
      </c>
    </row>
    <row r="14675" spans="326:327">
      <c r="LN14675" t="str">
        <v/>
      </c>
      <c r="LO14675" t="str">
        <v/>
      </c>
    </row>
    <row r="14676" spans="326:327">
      <c r="LN14676" t="str">
        <v/>
      </c>
      <c r="LO14676" t="str">
        <v/>
      </c>
    </row>
    <row r="14677" spans="326:327">
      <c r="LN14677" t="str">
        <v/>
      </c>
      <c r="LO14677" t="str">
        <v/>
      </c>
    </row>
    <row r="14678" spans="326:327">
      <c r="LN14678" t="str">
        <v/>
      </c>
      <c r="LO14678" t="str">
        <v/>
      </c>
    </row>
    <row r="14679" spans="326:327">
      <c r="LN14679" t="str">
        <v/>
      </c>
      <c r="LO14679" t="str">
        <v/>
      </c>
    </row>
    <row r="14680" spans="326:327">
      <c r="LN14680" t="str">
        <v/>
      </c>
      <c r="LO14680" t="str">
        <v/>
      </c>
    </row>
    <row r="14681" spans="326:327">
      <c r="LN14681" t="str">
        <v/>
      </c>
      <c r="LO14681" t="str">
        <v/>
      </c>
    </row>
    <row r="14682" spans="326:327">
      <c r="LN14682" t="str">
        <v/>
      </c>
      <c r="LO14682" t="str">
        <v/>
      </c>
    </row>
    <row r="14683" spans="326:327">
      <c r="LN14683" t="str">
        <v/>
      </c>
      <c r="LO14683" t="str">
        <v/>
      </c>
    </row>
    <row r="14684" spans="326:327">
      <c r="LN14684" t="str">
        <v/>
      </c>
      <c r="LO14684" t="str">
        <v/>
      </c>
    </row>
    <row r="14685" spans="326:327">
      <c r="LN14685" t="str">
        <v/>
      </c>
      <c r="LO14685" t="str">
        <v/>
      </c>
    </row>
    <row r="14686" spans="326:327">
      <c r="LN14686" t="str">
        <v/>
      </c>
      <c r="LO14686" t="str">
        <v/>
      </c>
    </row>
    <row r="14687" spans="326:327">
      <c r="LN14687" t="str">
        <v/>
      </c>
      <c r="LO14687" t="str">
        <v/>
      </c>
    </row>
    <row r="14688" spans="326:327">
      <c r="LN14688" t="str">
        <v/>
      </c>
      <c r="LO14688" t="str">
        <v/>
      </c>
    </row>
    <row r="14689" spans="326:327">
      <c r="LN14689" t="str">
        <v/>
      </c>
      <c r="LO14689" t="str">
        <v/>
      </c>
    </row>
    <row r="14690" spans="326:327">
      <c r="LN14690" t="str">
        <v/>
      </c>
      <c r="LO14690" t="str">
        <v/>
      </c>
    </row>
    <row r="14691" spans="326:327">
      <c r="LN14691" t="str">
        <v/>
      </c>
      <c r="LO14691" t="str">
        <v/>
      </c>
    </row>
    <row r="14692" spans="326:327">
      <c r="LN14692" t="str">
        <v/>
      </c>
      <c r="LO14692" t="str">
        <v/>
      </c>
    </row>
    <row r="14693" spans="326:327">
      <c r="LN14693" t="str">
        <v/>
      </c>
      <c r="LO14693" t="str">
        <v/>
      </c>
    </row>
    <row r="14694" spans="326:327">
      <c r="LN14694" t="str">
        <v/>
      </c>
      <c r="LO14694" t="str">
        <v/>
      </c>
    </row>
    <row r="14695" spans="326:327">
      <c r="LN14695" t="str">
        <v/>
      </c>
      <c r="LO14695" t="str">
        <v/>
      </c>
    </row>
    <row r="14696" spans="326:327">
      <c r="LN14696" t="str">
        <v/>
      </c>
      <c r="LO14696" t="str">
        <v/>
      </c>
    </row>
    <row r="14697" spans="326:327">
      <c r="LN14697" t="str">
        <v/>
      </c>
      <c r="LO14697" t="str">
        <v/>
      </c>
    </row>
    <row r="14698" spans="326:327">
      <c r="LN14698" t="str">
        <v/>
      </c>
      <c r="LO14698" t="str">
        <v/>
      </c>
    </row>
    <row r="14699" spans="326:327">
      <c r="LN14699" t="str">
        <v/>
      </c>
      <c r="LO14699" t="str">
        <v/>
      </c>
    </row>
    <row r="14700" spans="326:327">
      <c r="LN14700" t="str">
        <v/>
      </c>
      <c r="LO14700" t="str">
        <v/>
      </c>
    </row>
    <row r="14701" spans="326:327">
      <c r="LN14701" t="str">
        <v/>
      </c>
      <c r="LO14701" t="str">
        <v/>
      </c>
    </row>
    <row r="14702" spans="326:327">
      <c r="LN14702" t="str">
        <v/>
      </c>
      <c r="LO14702" t="str">
        <v/>
      </c>
    </row>
    <row r="14703" spans="326:327">
      <c r="LN14703" t="str">
        <v/>
      </c>
      <c r="LO14703" t="str">
        <v/>
      </c>
    </row>
    <row r="14704" spans="326:327">
      <c r="LN14704" t="str">
        <v/>
      </c>
      <c r="LO14704" t="str">
        <v/>
      </c>
    </row>
    <row r="14705" spans="326:327">
      <c r="LN14705" t="str">
        <v/>
      </c>
      <c r="LO14705" t="str">
        <v/>
      </c>
    </row>
    <row r="14706" spans="326:327">
      <c r="LN14706" t="str">
        <v/>
      </c>
      <c r="LO14706" t="str">
        <v/>
      </c>
    </row>
    <row r="14707" spans="326:327">
      <c r="LN14707" t="str">
        <v/>
      </c>
      <c r="LO14707" t="str">
        <v/>
      </c>
    </row>
    <row r="14708" spans="326:327">
      <c r="LN14708" t="str">
        <v/>
      </c>
      <c r="LO14708" t="str">
        <v/>
      </c>
    </row>
    <row r="14709" spans="326:327">
      <c r="LN14709" t="str">
        <v/>
      </c>
      <c r="LO14709" t="str">
        <v/>
      </c>
    </row>
    <row r="14710" spans="326:327">
      <c r="LN14710" t="str">
        <v/>
      </c>
      <c r="LO14710" t="str">
        <v/>
      </c>
    </row>
    <row r="14711" spans="326:327">
      <c r="LN14711" t="str">
        <v/>
      </c>
      <c r="LO14711" t="str">
        <v/>
      </c>
    </row>
    <row r="14712" spans="326:327">
      <c r="LN14712" t="str">
        <v/>
      </c>
      <c r="LO14712" t="str">
        <v/>
      </c>
    </row>
    <row r="14713" spans="326:327">
      <c r="LN14713" t="str">
        <v/>
      </c>
      <c r="LO14713" t="str">
        <v/>
      </c>
    </row>
    <row r="14714" spans="326:327">
      <c r="LN14714" t="str">
        <v/>
      </c>
      <c r="LO14714" t="str">
        <v/>
      </c>
    </row>
    <row r="14715" spans="326:327">
      <c r="LN14715" t="str">
        <v/>
      </c>
      <c r="LO14715" t="str">
        <v/>
      </c>
    </row>
    <row r="14716" spans="326:327">
      <c r="LN14716" t="str">
        <v/>
      </c>
      <c r="LO14716" t="str">
        <v/>
      </c>
    </row>
    <row r="14717" spans="326:327">
      <c r="LN14717" t="str">
        <v/>
      </c>
      <c r="LO14717" t="str">
        <v/>
      </c>
    </row>
    <row r="14718" spans="326:327">
      <c r="LN14718" t="str">
        <v/>
      </c>
      <c r="LO14718" t="str">
        <v/>
      </c>
    </row>
    <row r="14719" spans="326:327">
      <c r="LN14719" t="str">
        <v/>
      </c>
      <c r="LO14719" t="str">
        <v/>
      </c>
    </row>
    <row r="14720" spans="326:327">
      <c r="LN14720" t="str">
        <v/>
      </c>
      <c r="LO14720" t="str">
        <v/>
      </c>
    </row>
    <row r="14721" spans="326:327">
      <c r="LN14721" t="str">
        <v/>
      </c>
      <c r="LO14721" t="str">
        <v/>
      </c>
    </row>
    <row r="14722" spans="326:327">
      <c r="LN14722" t="str">
        <v/>
      </c>
      <c r="LO14722" t="str">
        <v/>
      </c>
    </row>
    <row r="14723" spans="326:327">
      <c r="LN14723" t="str">
        <v/>
      </c>
      <c r="LO14723" t="str">
        <v/>
      </c>
    </row>
    <row r="14724" spans="326:327">
      <c r="LN14724" t="str">
        <v/>
      </c>
      <c r="LO14724" t="str">
        <v/>
      </c>
    </row>
    <row r="14725" spans="326:327">
      <c r="LN14725" t="str">
        <v/>
      </c>
      <c r="LO14725" t="str">
        <v/>
      </c>
    </row>
    <row r="14726" spans="326:327">
      <c r="LN14726" t="str">
        <v/>
      </c>
      <c r="LO14726" t="str">
        <v/>
      </c>
    </row>
    <row r="14727" spans="326:327">
      <c r="LN14727" t="str">
        <v/>
      </c>
      <c r="LO14727" t="str">
        <v/>
      </c>
    </row>
    <row r="14728" spans="326:327">
      <c r="LN14728" t="str">
        <v/>
      </c>
      <c r="LO14728" t="str">
        <v/>
      </c>
    </row>
    <row r="14729" spans="326:327">
      <c r="LN14729" t="str">
        <v/>
      </c>
      <c r="LO14729" t="str">
        <v/>
      </c>
    </row>
    <row r="14730" spans="326:327">
      <c r="LN14730" t="str">
        <v/>
      </c>
      <c r="LO14730" t="str">
        <v/>
      </c>
    </row>
    <row r="14731" spans="326:327">
      <c r="LN14731" t="str">
        <v/>
      </c>
      <c r="LO14731" t="str">
        <v/>
      </c>
    </row>
    <row r="14732" spans="326:327">
      <c r="LN14732" t="str">
        <v/>
      </c>
      <c r="LO14732" t="str">
        <v/>
      </c>
    </row>
    <row r="14733" spans="326:327">
      <c r="LN14733" t="str">
        <v/>
      </c>
      <c r="LO14733" t="str">
        <v/>
      </c>
    </row>
    <row r="14734" spans="326:327">
      <c r="LN14734" t="str">
        <v/>
      </c>
      <c r="LO14734" t="str">
        <v/>
      </c>
    </row>
    <row r="14735" spans="326:327">
      <c r="LN14735" t="str">
        <v/>
      </c>
      <c r="LO14735" t="str">
        <v/>
      </c>
    </row>
    <row r="14736" spans="326:327">
      <c r="LN14736" t="str">
        <v/>
      </c>
      <c r="LO14736" t="str">
        <v/>
      </c>
    </row>
    <row r="14737" spans="326:327">
      <c r="LN14737" t="str">
        <v/>
      </c>
      <c r="LO14737" t="str">
        <v/>
      </c>
    </row>
    <row r="14738" spans="326:327">
      <c r="LN14738" t="str">
        <v/>
      </c>
      <c r="LO14738" t="str">
        <v/>
      </c>
    </row>
    <row r="14739" spans="326:327">
      <c r="LN14739" t="str">
        <v/>
      </c>
      <c r="LO14739" t="str">
        <v/>
      </c>
    </row>
    <row r="14740" spans="326:327">
      <c r="LN14740" t="str">
        <v/>
      </c>
      <c r="LO14740" t="str">
        <v/>
      </c>
    </row>
    <row r="14741" spans="326:327">
      <c r="LN14741" t="str">
        <v/>
      </c>
      <c r="LO14741" t="str">
        <v/>
      </c>
    </row>
    <row r="14742" spans="326:327">
      <c r="LN14742" t="str">
        <v/>
      </c>
      <c r="LO14742" t="str">
        <v/>
      </c>
    </row>
    <row r="14743" spans="326:327">
      <c r="LN14743" t="str">
        <v/>
      </c>
      <c r="LO14743" t="str">
        <v/>
      </c>
    </row>
    <row r="14744" spans="326:327">
      <c r="LN14744" t="str">
        <v/>
      </c>
      <c r="LO14744" t="str">
        <v/>
      </c>
    </row>
    <row r="14745" spans="326:327">
      <c r="LN14745" t="str">
        <v/>
      </c>
      <c r="LO14745" t="str">
        <v/>
      </c>
    </row>
    <row r="14746" spans="326:327">
      <c r="LN14746" t="str">
        <v/>
      </c>
      <c r="LO14746" t="str">
        <v/>
      </c>
    </row>
    <row r="14747" spans="326:327">
      <c r="LN14747" t="str">
        <v/>
      </c>
      <c r="LO14747" t="str">
        <v/>
      </c>
    </row>
    <row r="14748" spans="326:327">
      <c r="LN14748" t="str">
        <v/>
      </c>
      <c r="LO14748" t="str">
        <v/>
      </c>
    </row>
    <row r="14749" spans="326:327">
      <c r="LN14749" t="str">
        <v/>
      </c>
      <c r="LO14749" t="str">
        <v/>
      </c>
    </row>
    <row r="14750" spans="326:327">
      <c r="LN14750" t="str">
        <v/>
      </c>
      <c r="LO14750" t="str">
        <v/>
      </c>
    </row>
    <row r="14751" spans="326:327">
      <c r="LN14751" t="str">
        <v/>
      </c>
      <c r="LO14751" t="str">
        <v/>
      </c>
    </row>
    <row r="14752" spans="326:327">
      <c r="LN14752" t="str">
        <v/>
      </c>
      <c r="LO14752" t="str">
        <v/>
      </c>
    </row>
    <row r="14753" spans="326:327">
      <c r="LN14753" t="str">
        <v/>
      </c>
      <c r="LO14753" t="str">
        <v/>
      </c>
    </row>
    <row r="14754" spans="326:327">
      <c r="LN14754" t="str">
        <v/>
      </c>
      <c r="LO14754" t="str">
        <v/>
      </c>
    </row>
    <row r="14755" spans="326:327">
      <c r="LN14755" t="str">
        <v/>
      </c>
      <c r="LO14755" t="str">
        <v/>
      </c>
    </row>
    <row r="14756" spans="326:327">
      <c r="LN14756" t="str">
        <v/>
      </c>
      <c r="LO14756" t="str">
        <v/>
      </c>
    </row>
    <row r="14757" spans="326:327">
      <c r="LN14757" t="str">
        <v/>
      </c>
      <c r="LO14757" t="str">
        <v/>
      </c>
    </row>
    <row r="14758" spans="326:327">
      <c r="LN14758" t="str">
        <v/>
      </c>
      <c r="LO14758" t="str">
        <v/>
      </c>
    </row>
    <row r="14759" spans="326:327">
      <c r="LN14759" t="str">
        <v/>
      </c>
      <c r="LO14759" t="str">
        <v/>
      </c>
    </row>
    <row r="14760" spans="326:327">
      <c r="LN14760" t="str">
        <v/>
      </c>
      <c r="LO14760" t="str">
        <v/>
      </c>
    </row>
    <row r="14761" spans="326:327">
      <c r="LN14761" t="str">
        <v/>
      </c>
      <c r="LO14761" t="str">
        <v/>
      </c>
    </row>
    <row r="14762" spans="326:327">
      <c r="LN14762" t="str">
        <v/>
      </c>
      <c r="LO14762" t="str">
        <v/>
      </c>
    </row>
    <row r="14763" spans="326:327">
      <c r="LN14763" t="str">
        <v/>
      </c>
      <c r="LO14763" t="str">
        <v/>
      </c>
    </row>
    <row r="14764" spans="326:327">
      <c r="LN14764" t="str">
        <v/>
      </c>
      <c r="LO14764" t="str">
        <v/>
      </c>
    </row>
    <row r="14765" spans="326:327">
      <c r="LN14765" t="str">
        <v/>
      </c>
      <c r="LO14765" t="str">
        <v/>
      </c>
    </row>
    <row r="14766" spans="326:327">
      <c r="LN14766" t="str">
        <v/>
      </c>
      <c r="LO14766" t="str">
        <v/>
      </c>
    </row>
    <row r="14767" spans="326:327">
      <c r="LN14767" t="str">
        <v/>
      </c>
      <c r="LO14767" t="str">
        <v/>
      </c>
    </row>
    <row r="14768" spans="326:327">
      <c r="LN14768" t="str">
        <v/>
      </c>
      <c r="LO14768" t="str">
        <v/>
      </c>
    </row>
    <row r="14769" spans="326:327">
      <c r="LN14769" t="str">
        <v/>
      </c>
      <c r="LO14769" t="str">
        <v/>
      </c>
    </row>
    <row r="14770" spans="326:327">
      <c r="LN14770" t="str">
        <v/>
      </c>
      <c r="LO14770" t="str">
        <v/>
      </c>
    </row>
    <row r="14771" spans="326:327">
      <c r="LN14771" t="str">
        <v/>
      </c>
      <c r="LO14771" t="str">
        <v/>
      </c>
    </row>
    <row r="14772" spans="326:327">
      <c r="LN14772" t="str">
        <v/>
      </c>
      <c r="LO14772" t="str">
        <v/>
      </c>
    </row>
    <row r="14773" spans="326:327">
      <c r="LN14773" t="str">
        <v/>
      </c>
      <c r="LO14773" t="str">
        <v/>
      </c>
    </row>
    <row r="14774" spans="326:327">
      <c r="LN14774" t="str">
        <v/>
      </c>
      <c r="LO14774" t="str">
        <v/>
      </c>
    </row>
    <row r="14775" spans="326:327">
      <c r="LN14775" t="str">
        <v/>
      </c>
      <c r="LO14775" t="str">
        <v/>
      </c>
    </row>
    <row r="14776" spans="326:327">
      <c r="LN14776" t="str">
        <v/>
      </c>
      <c r="LO14776" t="str">
        <v/>
      </c>
    </row>
    <row r="14777" spans="326:327">
      <c r="LN14777" t="str">
        <v/>
      </c>
      <c r="LO14777" t="str">
        <v/>
      </c>
    </row>
    <row r="14778" spans="326:327">
      <c r="LN14778" t="str">
        <v/>
      </c>
      <c r="LO14778" t="str">
        <v/>
      </c>
    </row>
    <row r="14779" spans="326:327">
      <c r="LN14779" t="str">
        <v/>
      </c>
      <c r="LO14779" t="str">
        <v/>
      </c>
    </row>
    <row r="14780" spans="326:327">
      <c r="LN14780" t="str">
        <v/>
      </c>
      <c r="LO14780" t="str">
        <v/>
      </c>
    </row>
    <row r="14781" spans="326:327">
      <c r="LN14781" t="str">
        <v/>
      </c>
      <c r="LO14781" t="str">
        <v/>
      </c>
    </row>
    <row r="14782" spans="326:327">
      <c r="LN14782" t="str">
        <v/>
      </c>
      <c r="LO14782" t="str">
        <v/>
      </c>
    </row>
    <row r="14783" spans="326:327">
      <c r="LN14783" t="str">
        <v/>
      </c>
      <c r="LO14783" t="str">
        <v/>
      </c>
    </row>
    <row r="14784" spans="326:327">
      <c r="LN14784" t="str">
        <v/>
      </c>
      <c r="LO14784" t="str">
        <v/>
      </c>
    </row>
    <row r="14785" spans="326:327">
      <c r="LN14785" t="str">
        <v/>
      </c>
      <c r="LO14785" t="str">
        <v/>
      </c>
    </row>
    <row r="14786" spans="326:327">
      <c r="LN14786" t="str">
        <v/>
      </c>
      <c r="LO14786" t="str">
        <v/>
      </c>
    </row>
    <row r="14787" spans="326:327">
      <c r="LN14787" t="str">
        <v/>
      </c>
      <c r="LO14787" t="str">
        <v/>
      </c>
    </row>
    <row r="14788" spans="326:327">
      <c r="LN14788" t="str">
        <v/>
      </c>
      <c r="LO14788" t="str">
        <v/>
      </c>
    </row>
    <row r="14789" spans="326:327">
      <c r="LN14789" t="str">
        <v/>
      </c>
      <c r="LO14789" t="str">
        <v/>
      </c>
    </row>
    <row r="14790" spans="326:327">
      <c r="LN14790" t="str">
        <v/>
      </c>
      <c r="LO14790" t="str">
        <v/>
      </c>
    </row>
    <row r="14791" spans="326:327">
      <c r="LN14791" t="str">
        <v/>
      </c>
      <c r="LO14791" t="str">
        <v/>
      </c>
    </row>
    <row r="14792" spans="326:327">
      <c r="LN14792" t="str">
        <v/>
      </c>
      <c r="LO14792" t="str">
        <v/>
      </c>
    </row>
    <row r="14793" spans="326:327">
      <c r="LN14793" t="str">
        <v/>
      </c>
      <c r="LO14793" t="str">
        <v/>
      </c>
    </row>
    <row r="14794" spans="326:327">
      <c r="LN14794" t="str">
        <v/>
      </c>
      <c r="LO14794" t="str">
        <v/>
      </c>
    </row>
    <row r="14795" spans="326:327">
      <c r="LN14795" t="str">
        <v/>
      </c>
      <c r="LO14795" t="str">
        <v/>
      </c>
    </row>
    <row r="14796" spans="326:327">
      <c r="LN14796" t="str">
        <v/>
      </c>
      <c r="LO14796" t="str">
        <v/>
      </c>
    </row>
    <row r="14797" spans="326:327">
      <c r="LN14797" t="str">
        <v/>
      </c>
      <c r="LO14797" t="str">
        <v/>
      </c>
    </row>
    <row r="14798" spans="326:327">
      <c r="LN14798" t="str">
        <v/>
      </c>
      <c r="LO14798" t="str">
        <v/>
      </c>
    </row>
    <row r="14799" spans="326:327">
      <c r="LN14799" t="str">
        <v/>
      </c>
      <c r="LO14799" t="str">
        <v/>
      </c>
    </row>
    <row r="14800" spans="326:327">
      <c r="LN14800" t="str">
        <v/>
      </c>
      <c r="LO14800" t="str">
        <v/>
      </c>
    </row>
    <row r="14801" spans="326:327">
      <c r="LN14801" t="str">
        <v/>
      </c>
      <c r="LO14801" t="str">
        <v/>
      </c>
    </row>
    <row r="14802" spans="326:327">
      <c r="LN14802" t="str">
        <v/>
      </c>
      <c r="LO14802" t="str">
        <v/>
      </c>
    </row>
    <row r="14803" spans="326:327">
      <c r="LN14803" t="str">
        <v/>
      </c>
      <c r="LO14803" t="str">
        <v/>
      </c>
    </row>
    <row r="14804" spans="326:327">
      <c r="LN14804" t="str">
        <v/>
      </c>
      <c r="LO14804" t="str">
        <v/>
      </c>
    </row>
    <row r="14805" spans="326:327">
      <c r="LN14805" t="str">
        <v/>
      </c>
      <c r="LO14805" t="str">
        <v/>
      </c>
    </row>
    <row r="14806" spans="326:327">
      <c r="LN14806" t="str">
        <v/>
      </c>
      <c r="LO14806" t="str">
        <v/>
      </c>
    </row>
    <row r="14807" spans="326:327">
      <c r="LN14807" t="str">
        <v/>
      </c>
      <c r="LO14807" t="str">
        <v/>
      </c>
    </row>
    <row r="14808" spans="326:327">
      <c r="LN14808" t="str">
        <v/>
      </c>
      <c r="LO14808" t="str">
        <v/>
      </c>
    </row>
    <row r="14809" spans="326:327">
      <c r="LN14809" t="str">
        <v/>
      </c>
      <c r="LO14809" t="str">
        <v/>
      </c>
    </row>
    <row r="14810" spans="326:327">
      <c r="LN14810" t="str">
        <v/>
      </c>
      <c r="LO14810" t="str">
        <v/>
      </c>
    </row>
    <row r="14811" spans="326:327">
      <c r="LN14811" t="str">
        <v/>
      </c>
      <c r="LO14811" t="str">
        <v/>
      </c>
    </row>
    <row r="14812" spans="326:327">
      <c r="LN14812" t="str">
        <v/>
      </c>
      <c r="LO14812" t="str">
        <v/>
      </c>
    </row>
    <row r="14813" spans="326:327">
      <c r="LN14813" t="str">
        <v/>
      </c>
      <c r="LO14813" t="str">
        <v/>
      </c>
    </row>
    <row r="14814" spans="326:327">
      <c r="LN14814" t="str">
        <v/>
      </c>
      <c r="LO14814" t="str">
        <v/>
      </c>
    </row>
    <row r="14815" spans="326:327">
      <c r="LN14815" t="str">
        <v/>
      </c>
      <c r="LO14815" t="str">
        <v/>
      </c>
    </row>
    <row r="14816" spans="326:327">
      <c r="LN14816" t="str">
        <v/>
      </c>
      <c r="LO14816" t="str">
        <v/>
      </c>
    </row>
    <row r="14817" spans="326:327">
      <c r="LN14817" t="str">
        <v/>
      </c>
      <c r="LO14817" t="str">
        <v/>
      </c>
    </row>
    <row r="14818" spans="326:327">
      <c r="LN14818" t="str">
        <v/>
      </c>
      <c r="LO14818" t="str">
        <v/>
      </c>
    </row>
    <row r="14819" spans="326:327">
      <c r="LN14819" t="str">
        <v/>
      </c>
      <c r="LO14819" t="str">
        <v/>
      </c>
    </row>
    <row r="14820" spans="326:327">
      <c r="LN14820" t="str">
        <v/>
      </c>
      <c r="LO14820" t="str">
        <v/>
      </c>
    </row>
    <row r="14821" spans="326:327">
      <c r="LN14821" t="str">
        <v/>
      </c>
      <c r="LO14821" t="str">
        <v/>
      </c>
    </row>
    <row r="14822" spans="326:327">
      <c r="LN14822" t="str">
        <v/>
      </c>
      <c r="LO14822" t="str">
        <v/>
      </c>
    </row>
    <row r="14823" spans="326:327">
      <c r="LN14823" t="str">
        <v/>
      </c>
      <c r="LO14823" t="str">
        <v/>
      </c>
    </row>
    <row r="14824" spans="326:327">
      <c r="LN14824" t="str">
        <v/>
      </c>
      <c r="LO14824" t="str">
        <v/>
      </c>
    </row>
    <row r="14825" spans="326:327">
      <c r="LN14825" t="str">
        <v/>
      </c>
      <c r="LO14825" t="str">
        <v/>
      </c>
    </row>
    <row r="14826" spans="326:327">
      <c r="LN14826" t="str">
        <v/>
      </c>
      <c r="LO14826" t="str">
        <v/>
      </c>
    </row>
    <row r="14827" spans="326:327">
      <c r="LN14827" t="str">
        <v/>
      </c>
      <c r="LO14827" t="str">
        <v/>
      </c>
    </row>
    <row r="14828" spans="326:327">
      <c r="LN14828" t="str">
        <v/>
      </c>
      <c r="LO14828" t="str">
        <v/>
      </c>
    </row>
    <row r="14829" spans="326:327">
      <c r="LN14829" t="str">
        <v/>
      </c>
      <c r="LO14829" t="str">
        <v/>
      </c>
    </row>
    <row r="14830" spans="326:327">
      <c r="LN14830" t="str">
        <v/>
      </c>
      <c r="LO14830" t="str">
        <v/>
      </c>
    </row>
    <row r="14831" spans="326:327">
      <c r="LN14831" t="str">
        <v/>
      </c>
      <c r="LO14831" t="str">
        <v/>
      </c>
    </row>
    <row r="14832" spans="326:327">
      <c r="LN14832" t="str">
        <v/>
      </c>
      <c r="LO14832" t="str">
        <v/>
      </c>
    </row>
    <row r="14833" spans="326:327">
      <c r="LN14833" t="str">
        <v/>
      </c>
      <c r="LO14833" t="str">
        <v/>
      </c>
    </row>
    <row r="14834" spans="326:327">
      <c r="LN14834" t="str">
        <v/>
      </c>
      <c r="LO14834" t="str">
        <v/>
      </c>
    </row>
    <row r="14835" spans="326:327">
      <c r="LN14835" t="str">
        <v/>
      </c>
      <c r="LO14835" t="str">
        <v/>
      </c>
    </row>
    <row r="14836" spans="326:327">
      <c r="LN14836" t="str">
        <v/>
      </c>
      <c r="LO14836" t="str">
        <v/>
      </c>
    </row>
    <row r="14837" spans="326:327">
      <c r="LN14837" t="str">
        <v/>
      </c>
      <c r="LO14837" t="str">
        <v/>
      </c>
    </row>
    <row r="14838" spans="326:327">
      <c r="LN14838" t="str">
        <v/>
      </c>
      <c r="LO14838" t="str">
        <v/>
      </c>
    </row>
    <row r="14839" spans="326:327">
      <c r="LN14839" t="str">
        <v/>
      </c>
      <c r="LO14839" t="str">
        <v/>
      </c>
    </row>
    <row r="14840" spans="326:327">
      <c r="LN14840" t="str">
        <v/>
      </c>
      <c r="LO14840" t="str">
        <v/>
      </c>
    </row>
    <row r="14841" spans="326:327">
      <c r="LN14841" t="str">
        <v/>
      </c>
      <c r="LO14841" t="str">
        <v/>
      </c>
    </row>
    <row r="14842" spans="326:327">
      <c r="LN14842" t="str">
        <v/>
      </c>
      <c r="LO14842" t="str">
        <v/>
      </c>
    </row>
    <row r="14843" spans="326:327">
      <c r="LN14843" t="str">
        <v/>
      </c>
      <c r="LO14843" t="str">
        <v/>
      </c>
    </row>
    <row r="14844" spans="326:327">
      <c r="LN14844" t="str">
        <v/>
      </c>
      <c r="LO14844" t="str">
        <v/>
      </c>
    </row>
    <row r="14845" spans="326:327">
      <c r="LN14845" t="str">
        <v/>
      </c>
      <c r="LO14845" t="str">
        <v/>
      </c>
    </row>
    <row r="14846" spans="326:327">
      <c r="LN14846" t="str">
        <v/>
      </c>
      <c r="LO14846" t="str">
        <v/>
      </c>
    </row>
    <row r="14847" spans="326:327">
      <c r="LN14847" t="str">
        <v/>
      </c>
      <c r="LO14847" t="str">
        <v/>
      </c>
    </row>
    <row r="14848" spans="326:327">
      <c r="LN14848" t="str">
        <v/>
      </c>
      <c r="LO14848" t="str">
        <v/>
      </c>
    </row>
    <row r="14849" spans="326:327">
      <c r="LN14849" t="str">
        <v/>
      </c>
      <c r="LO14849" t="str">
        <v/>
      </c>
    </row>
    <row r="14850" spans="326:327">
      <c r="LN14850" t="str">
        <v/>
      </c>
      <c r="LO14850" t="str">
        <v/>
      </c>
    </row>
    <row r="14851" spans="326:327">
      <c r="LN14851" t="str">
        <v/>
      </c>
      <c r="LO14851" t="str">
        <v/>
      </c>
    </row>
    <row r="14852" spans="326:327">
      <c r="LN14852" t="str">
        <v/>
      </c>
      <c r="LO14852" t="str">
        <v/>
      </c>
    </row>
    <row r="14853" spans="326:327">
      <c r="LN14853" t="str">
        <v/>
      </c>
      <c r="LO14853" t="str">
        <v/>
      </c>
    </row>
    <row r="14854" spans="326:327">
      <c r="LN14854" t="str">
        <v/>
      </c>
      <c r="LO14854" t="str">
        <v/>
      </c>
    </row>
    <row r="14855" spans="326:327">
      <c r="LN14855" t="str">
        <v/>
      </c>
      <c r="LO14855" t="str">
        <v/>
      </c>
    </row>
    <row r="14856" spans="326:327">
      <c r="LN14856" t="str">
        <v/>
      </c>
      <c r="LO14856" t="str">
        <v/>
      </c>
    </row>
    <row r="14857" spans="326:327">
      <c r="LN14857" t="str">
        <v/>
      </c>
      <c r="LO14857" t="str">
        <v/>
      </c>
    </row>
    <row r="14858" spans="326:327">
      <c r="LN14858" t="str">
        <v/>
      </c>
      <c r="LO14858" t="str">
        <v/>
      </c>
    </row>
    <row r="14859" spans="326:327">
      <c r="LN14859" t="str">
        <v/>
      </c>
      <c r="LO14859" t="str">
        <v/>
      </c>
    </row>
    <row r="14860" spans="326:327">
      <c r="LN14860" t="str">
        <v/>
      </c>
      <c r="LO14860" t="str">
        <v/>
      </c>
    </row>
    <row r="14861" spans="326:327">
      <c r="LN14861" t="str">
        <v/>
      </c>
      <c r="LO14861" t="str">
        <v/>
      </c>
    </row>
    <row r="14862" spans="326:327">
      <c r="LN14862" t="str">
        <v/>
      </c>
      <c r="LO14862" t="str">
        <v/>
      </c>
    </row>
    <row r="14863" spans="326:327">
      <c r="LN14863" t="str">
        <v/>
      </c>
      <c r="LO14863" t="str">
        <v/>
      </c>
    </row>
    <row r="14864" spans="326:327">
      <c r="LN14864" t="str">
        <v/>
      </c>
      <c r="LO14864" t="str">
        <v/>
      </c>
    </row>
    <row r="14865" spans="326:327">
      <c r="LN14865" t="str">
        <v/>
      </c>
      <c r="LO14865" t="str">
        <v/>
      </c>
    </row>
    <row r="14866" spans="326:327">
      <c r="LN14866" t="str">
        <v/>
      </c>
      <c r="LO14866" t="str">
        <v/>
      </c>
    </row>
    <row r="14867" spans="326:327">
      <c r="LN14867" t="str">
        <v/>
      </c>
      <c r="LO14867" t="str">
        <v/>
      </c>
    </row>
    <row r="14868" spans="326:327">
      <c r="LN14868" t="str">
        <v/>
      </c>
      <c r="LO14868" t="str">
        <v/>
      </c>
    </row>
    <row r="14869" spans="326:327">
      <c r="LN14869" t="str">
        <v/>
      </c>
      <c r="LO14869" t="str">
        <v/>
      </c>
    </row>
    <row r="14870" spans="326:327">
      <c r="LN14870" t="str">
        <v/>
      </c>
      <c r="LO14870" t="str">
        <v/>
      </c>
    </row>
    <row r="14871" spans="326:327">
      <c r="LN14871" t="str">
        <v/>
      </c>
      <c r="LO14871" t="str">
        <v/>
      </c>
    </row>
    <row r="14872" spans="326:327">
      <c r="LN14872" t="str">
        <v/>
      </c>
      <c r="LO14872" t="str">
        <v/>
      </c>
    </row>
    <row r="14873" spans="326:327">
      <c r="LN14873" t="str">
        <v/>
      </c>
      <c r="LO14873" t="str">
        <v/>
      </c>
    </row>
    <row r="14874" spans="326:327">
      <c r="LN14874" t="str">
        <v/>
      </c>
      <c r="LO14874" t="str">
        <v/>
      </c>
    </row>
    <row r="14875" spans="326:327">
      <c r="LN14875" t="str">
        <v/>
      </c>
      <c r="LO14875" t="str">
        <v/>
      </c>
    </row>
    <row r="14876" spans="326:327">
      <c r="LN14876" t="str">
        <v/>
      </c>
      <c r="LO14876" t="str">
        <v/>
      </c>
    </row>
    <row r="14877" spans="326:327">
      <c r="LN14877" t="str">
        <v/>
      </c>
      <c r="LO14877" t="str">
        <v/>
      </c>
    </row>
    <row r="14878" spans="326:327">
      <c r="LN14878" t="str">
        <v/>
      </c>
      <c r="LO14878" t="str">
        <v/>
      </c>
    </row>
    <row r="14879" spans="326:327">
      <c r="LN14879" t="str">
        <v/>
      </c>
      <c r="LO14879" t="str">
        <v/>
      </c>
    </row>
    <row r="14880" spans="326:327">
      <c r="LN14880" t="str">
        <v/>
      </c>
      <c r="LO14880" t="str">
        <v/>
      </c>
    </row>
    <row r="14881" spans="326:327">
      <c r="LN14881" t="str">
        <v/>
      </c>
      <c r="LO14881" t="str">
        <v/>
      </c>
    </row>
    <row r="14882" spans="326:327">
      <c r="LN14882" t="str">
        <v/>
      </c>
      <c r="LO14882" t="str">
        <v/>
      </c>
    </row>
    <row r="14883" spans="326:327">
      <c r="LN14883" t="str">
        <v/>
      </c>
      <c r="LO14883" t="str">
        <v/>
      </c>
    </row>
    <row r="14884" spans="326:327">
      <c r="LN14884" t="str">
        <v/>
      </c>
      <c r="LO14884" t="str">
        <v/>
      </c>
    </row>
    <row r="14885" spans="326:327">
      <c r="LN14885" t="str">
        <v/>
      </c>
      <c r="LO14885" t="str">
        <v/>
      </c>
    </row>
    <row r="14886" spans="326:327">
      <c r="LN14886" t="str">
        <v/>
      </c>
      <c r="LO14886" t="str">
        <v/>
      </c>
    </row>
    <row r="14887" spans="326:327">
      <c r="LN14887" t="str">
        <v/>
      </c>
      <c r="LO14887" t="str">
        <v/>
      </c>
    </row>
    <row r="14888" spans="326:327">
      <c r="LN14888" t="str">
        <v/>
      </c>
      <c r="LO14888" t="str">
        <v/>
      </c>
    </row>
    <row r="14889" spans="326:327">
      <c r="LN14889" t="str">
        <v/>
      </c>
      <c r="LO14889" t="str">
        <v/>
      </c>
    </row>
    <row r="14890" spans="326:327">
      <c r="LN14890" t="str">
        <v/>
      </c>
      <c r="LO14890" t="str">
        <v/>
      </c>
    </row>
    <row r="14891" spans="326:327">
      <c r="LN14891" t="str">
        <v/>
      </c>
      <c r="LO14891" t="str">
        <v/>
      </c>
    </row>
    <row r="14892" spans="326:327">
      <c r="LN14892" t="str">
        <v/>
      </c>
      <c r="LO14892" t="str">
        <v/>
      </c>
    </row>
    <row r="14893" spans="326:327">
      <c r="LN14893" t="str">
        <v/>
      </c>
      <c r="LO14893" t="str">
        <v/>
      </c>
    </row>
    <row r="14894" spans="326:327">
      <c r="LN14894" t="str">
        <v/>
      </c>
      <c r="LO14894" t="str">
        <v/>
      </c>
    </row>
    <row r="14895" spans="326:327">
      <c r="LN14895" t="str">
        <v/>
      </c>
      <c r="LO14895" t="str">
        <v/>
      </c>
    </row>
    <row r="14896" spans="326:327">
      <c r="LN14896" t="str">
        <v/>
      </c>
      <c r="LO14896" t="str">
        <v/>
      </c>
    </row>
    <row r="14897" spans="326:327">
      <c r="LN14897" t="str">
        <v/>
      </c>
      <c r="LO14897" t="str">
        <v/>
      </c>
    </row>
    <row r="14898" spans="326:327">
      <c r="LN14898" t="str">
        <v/>
      </c>
      <c r="LO14898" t="str">
        <v/>
      </c>
    </row>
    <row r="14899" spans="326:327">
      <c r="LN14899" t="str">
        <v/>
      </c>
      <c r="LO14899" t="str">
        <v/>
      </c>
    </row>
    <row r="14900" spans="326:327">
      <c r="LN14900" t="str">
        <v/>
      </c>
      <c r="LO14900" t="str">
        <v/>
      </c>
    </row>
    <row r="14901" spans="326:327">
      <c r="LN14901" t="str">
        <v/>
      </c>
      <c r="LO14901" t="str">
        <v/>
      </c>
    </row>
    <row r="14902" spans="326:327">
      <c r="LN14902" t="str">
        <v/>
      </c>
      <c r="LO14902" t="str">
        <v/>
      </c>
    </row>
    <row r="14903" spans="326:327">
      <c r="LN14903" t="str">
        <v/>
      </c>
      <c r="LO14903" t="str">
        <v/>
      </c>
    </row>
    <row r="14904" spans="326:327">
      <c r="LN14904" t="str">
        <v/>
      </c>
      <c r="LO14904" t="str">
        <v/>
      </c>
    </row>
    <row r="14905" spans="326:327">
      <c r="LN14905" t="str">
        <v/>
      </c>
      <c r="LO14905" t="str">
        <v/>
      </c>
    </row>
    <row r="14906" spans="326:327">
      <c r="LN14906" t="str">
        <v/>
      </c>
      <c r="LO14906" t="str">
        <v/>
      </c>
    </row>
    <row r="14907" spans="326:327">
      <c r="LN14907" t="str">
        <v/>
      </c>
      <c r="LO14907" t="str">
        <v/>
      </c>
    </row>
    <row r="14908" spans="326:327">
      <c r="LN14908" t="str">
        <v/>
      </c>
      <c r="LO14908" t="str">
        <v/>
      </c>
    </row>
    <row r="14909" spans="326:327">
      <c r="LN14909" t="str">
        <v/>
      </c>
      <c r="LO14909" t="str">
        <v/>
      </c>
    </row>
    <row r="14910" spans="326:327">
      <c r="LN14910" t="str">
        <v/>
      </c>
      <c r="LO14910" t="str">
        <v/>
      </c>
    </row>
    <row r="14911" spans="326:327">
      <c r="LN14911" t="str">
        <v/>
      </c>
      <c r="LO14911" t="str">
        <v/>
      </c>
    </row>
    <row r="14912" spans="326:327">
      <c r="LN14912" t="str">
        <v/>
      </c>
      <c r="LO14912" t="str">
        <v/>
      </c>
    </row>
    <row r="14913" spans="326:327">
      <c r="LN14913" t="str">
        <v/>
      </c>
      <c r="LO14913" t="str">
        <v/>
      </c>
    </row>
    <row r="14914" spans="326:327">
      <c r="LN14914" t="str">
        <v/>
      </c>
      <c r="LO14914" t="str">
        <v/>
      </c>
    </row>
    <row r="14915" spans="326:327">
      <c r="LN14915" t="str">
        <v/>
      </c>
      <c r="LO14915" t="str">
        <v/>
      </c>
    </row>
    <row r="14916" spans="326:327">
      <c r="LN14916" t="str">
        <v/>
      </c>
      <c r="LO14916" t="str">
        <v/>
      </c>
    </row>
    <row r="14917" spans="326:327">
      <c r="LN14917" t="str">
        <v/>
      </c>
      <c r="LO14917" t="str">
        <v/>
      </c>
    </row>
    <row r="14918" spans="326:327">
      <c r="LN14918" t="str">
        <v/>
      </c>
      <c r="LO14918" t="str">
        <v/>
      </c>
    </row>
    <row r="14919" spans="326:327">
      <c r="LN14919" t="str">
        <v/>
      </c>
      <c r="LO14919" t="str">
        <v/>
      </c>
    </row>
    <row r="14920" spans="326:327">
      <c r="LN14920" t="str">
        <v/>
      </c>
      <c r="LO14920" t="str">
        <v/>
      </c>
    </row>
    <row r="14921" spans="326:327">
      <c r="LN14921" t="str">
        <v/>
      </c>
      <c r="LO14921" t="str">
        <v/>
      </c>
    </row>
    <row r="14922" spans="326:327">
      <c r="LN14922" t="str">
        <v/>
      </c>
      <c r="LO14922" t="str">
        <v/>
      </c>
    </row>
    <row r="14923" spans="326:327">
      <c r="LN14923" t="str">
        <v/>
      </c>
      <c r="LO14923" t="str">
        <v/>
      </c>
    </row>
    <row r="14924" spans="326:327">
      <c r="LN14924" t="str">
        <v/>
      </c>
      <c r="LO14924" t="str">
        <v/>
      </c>
    </row>
    <row r="14925" spans="326:327">
      <c r="LN14925" t="str">
        <v/>
      </c>
      <c r="LO14925" t="str">
        <v/>
      </c>
    </row>
    <row r="14926" spans="326:327">
      <c r="LN14926" t="str">
        <v/>
      </c>
      <c r="LO14926" t="str">
        <v/>
      </c>
    </row>
    <row r="14927" spans="326:327">
      <c r="LN14927" t="str">
        <v/>
      </c>
      <c r="LO14927" t="str">
        <v/>
      </c>
    </row>
    <row r="14928" spans="326:327">
      <c r="LN14928" t="str">
        <v/>
      </c>
      <c r="LO14928" t="str">
        <v/>
      </c>
    </row>
    <row r="14929" spans="326:327">
      <c r="LN14929" t="str">
        <v/>
      </c>
      <c r="LO14929" t="str">
        <v/>
      </c>
    </row>
    <row r="14930" spans="326:327">
      <c r="LN14930" t="str">
        <v/>
      </c>
      <c r="LO14930" t="str">
        <v/>
      </c>
    </row>
    <row r="14931" spans="326:327">
      <c r="LN14931" t="str">
        <v/>
      </c>
      <c r="LO14931" t="str">
        <v/>
      </c>
    </row>
    <row r="14932" spans="326:327">
      <c r="LN14932" t="str">
        <v/>
      </c>
      <c r="LO14932" t="str">
        <v/>
      </c>
    </row>
    <row r="14933" spans="326:327">
      <c r="LN14933" t="str">
        <v/>
      </c>
      <c r="LO14933" t="str">
        <v/>
      </c>
    </row>
    <row r="14934" spans="326:327">
      <c r="LN14934" t="str">
        <v/>
      </c>
      <c r="LO14934" t="str">
        <v/>
      </c>
    </row>
    <row r="14935" spans="326:327">
      <c r="LN14935" t="str">
        <v/>
      </c>
      <c r="LO14935" t="str">
        <v/>
      </c>
    </row>
    <row r="14936" spans="326:327">
      <c r="LN14936" t="str">
        <v/>
      </c>
      <c r="LO14936" t="str">
        <v/>
      </c>
    </row>
    <row r="14937" spans="326:327">
      <c r="LN14937" t="str">
        <v/>
      </c>
      <c r="LO14937" t="str">
        <v/>
      </c>
    </row>
    <row r="14938" spans="326:327">
      <c r="LN14938" t="str">
        <v/>
      </c>
      <c r="LO14938" t="str">
        <v/>
      </c>
    </row>
    <row r="14939" spans="326:327">
      <c r="LN14939" t="str">
        <v/>
      </c>
      <c r="LO14939" t="str">
        <v/>
      </c>
    </row>
    <row r="14940" spans="326:327">
      <c r="LN14940" t="str">
        <v/>
      </c>
      <c r="LO14940" t="str">
        <v/>
      </c>
    </row>
    <row r="14941" spans="326:327">
      <c r="LN14941" t="str">
        <v/>
      </c>
      <c r="LO14941" t="str">
        <v/>
      </c>
    </row>
    <row r="14942" spans="326:327">
      <c r="LN14942" t="str">
        <v/>
      </c>
      <c r="LO14942" t="str">
        <v/>
      </c>
    </row>
    <row r="14943" spans="326:327">
      <c r="LN14943" t="str">
        <v/>
      </c>
      <c r="LO14943" t="str">
        <v/>
      </c>
    </row>
    <row r="14944" spans="326:327">
      <c r="LN14944" t="str">
        <v/>
      </c>
      <c r="LO14944" t="str">
        <v/>
      </c>
    </row>
    <row r="14945" spans="326:327">
      <c r="LN14945" t="str">
        <v/>
      </c>
      <c r="LO14945" t="str">
        <v/>
      </c>
    </row>
    <row r="14946" spans="326:327">
      <c r="LN14946" t="str">
        <v/>
      </c>
      <c r="LO14946" t="str">
        <v/>
      </c>
    </row>
    <row r="14947" spans="326:327">
      <c r="LN14947" t="str">
        <v/>
      </c>
      <c r="LO14947" t="str">
        <v/>
      </c>
    </row>
    <row r="14948" spans="326:327">
      <c r="LN14948" t="str">
        <v/>
      </c>
      <c r="LO14948" t="str">
        <v/>
      </c>
    </row>
    <row r="14949" spans="326:327">
      <c r="LN14949" t="str">
        <v/>
      </c>
      <c r="LO14949" t="str">
        <v/>
      </c>
    </row>
    <row r="14950" spans="326:327">
      <c r="LN14950" t="str">
        <v/>
      </c>
      <c r="LO14950" t="str">
        <v/>
      </c>
    </row>
    <row r="14951" spans="326:327">
      <c r="LN14951" t="str">
        <v/>
      </c>
      <c r="LO14951" t="str">
        <v/>
      </c>
    </row>
    <row r="14952" spans="326:327">
      <c r="LN14952" t="str">
        <v/>
      </c>
      <c r="LO14952" t="str">
        <v/>
      </c>
    </row>
    <row r="14953" spans="326:327">
      <c r="LN14953" t="str">
        <v/>
      </c>
      <c r="LO14953" t="str">
        <v/>
      </c>
    </row>
    <row r="14954" spans="326:327">
      <c r="LN14954" t="str">
        <v/>
      </c>
      <c r="LO14954" t="str">
        <v/>
      </c>
    </row>
    <row r="14955" spans="326:327">
      <c r="LN14955" t="str">
        <v/>
      </c>
      <c r="LO14955" t="str">
        <v/>
      </c>
    </row>
    <row r="14956" spans="326:327">
      <c r="LN14956" t="str">
        <v/>
      </c>
      <c r="LO14956" t="str">
        <v/>
      </c>
    </row>
    <row r="14957" spans="326:327">
      <c r="LN14957" t="str">
        <v/>
      </c>
      <c r="LO14957" t="str">
        <v/>
      </c>
    </row>
    <row r="14958" spans="326:327">
      <c r="LN14958" t="str">
        <v/>
      </c>
      <c r="LO14958" t="str">
        <v/>
      </c>
    </row>
    <row r="14959" spans="326:327">
      <c r="LN14959" t="str">
        <v/>
      </c>
      <c r="LO14959" t="str">
        <v/>
      </c>
    </row>
    <row r="14960" spans="326:327">
      <c r="LN14960" t="str">
        <v/>
      </c>
      <c r="LO14960" t="str">
        <v/>
      </c>
    </row>
    <row r="14961" spans="326:327">
      <c r="LN14961" t="str">
        <v/>
      </c>
      <c r="LO14961" t="str">
        <v/>
      </c>
    </row>
    <row r="14962" spans="326:327">
      <c r="LN14962" t="str">
        <v/>
      </c>
      <c r="LO14962" t="str">
        <v/>
      </c>
    </row>
    <row r="14963" spans="326:327">
      <c r="LN14963" t="str">
        <v/>
      </c>
      <c r="LO14963" t="str">
        <v/>
      </c>
    </row>
    <row r="14964" spans="326:327">
      <c r="LN14964" t="str">
        <v/>
      </c>
      <c r="LO14964" t="str">
        <v/>
      </c>
    </row>
    <row r="14965" spans="326:327">
      <c r="LN14965" t="str">
        <v/>
      </c>
      <c r="LO14965" t="str">
        <v/>
      </c>
    </row>
    <row r="14966" spans="326:327">
      <c r="LN14966" t="str">
        <v/>
      </c>
      <c r="LO14966" t="str">
        <v/>
      </c>
    </row>
    <row r="14967" spans="326:327">
      <c r="LN14967" t="str">
        <v/>
      </c>
      <c r="LO14967" t="str">
        <v/>
      </c>
    </row>
    <row r="14968" spans="326:327">
      <c r="LN14968" t="str">
        <v/>
      </c>
      <c r="LO14968" t="str">
        <v/>
      </c>
    </row>
    <row r="14969" spans="326:327">
      <c r="LN14969" t="str">
        <v/>
      </c>
      <c r="LO14969" t="str">
        <v/>
      </c>
    </row>
    <row r="14970" spans="326:327">
      <c r="LN14970" t="str">
        <v/>
      </c>
      <c r="LO14970" t="str">
        <v/>
      </c>
    </row>
    <row r="14971" spans="326:327">
      <c r="LN14971" t="str">
        <v/>
      </c>
      <c r="LO14971" t="str">
        <v/>
      </c>
    </row>
    <row r="14972" spans="326:327">
      <c r="LN14972" t="str">
        <v/>
      </c>
      <c r="LO14972" t="str">
        <v/>
      </c>
    </row>
    <row r="14973" spans="326:327">
      <c r="LN14973" t="str">
        <v/>
      </c>
      <c r="LO14973" t="str">
        <v/>
      </c>
    </row>
    <row r="14974" spans="326:327">
      <c r="LN14974" t="str">
        <v/>
      </c>
      <c r="LO14974" t="str">
        <v/>
      </c>
    </row>
    <row r="14975" spans="326:327">
      <c r="LN14975" t="str">
        <v/>
      </c>
      <c r="LO14975" t="str">
        <v/>
      </c>
    </row>
    <row r="14976" spans="326:327">
      <c r="LN14976" t="str">
        <v/>
      </c>
      <c r="LO14976" t="str">
        <v/>
      </c>
    </row>
    <row r="14977" spans="326:327">
      <c r="LN14977" t="str">
        <v/>
      </c>
      <c r="LO14977" t="str">
        <v/>
      </c>
    </row>
    <row r="14978" spans="326:327">
      <c r="LN14978" t="str">
        <v/>
      </c>
      <c r="LO14978" t="str">
        <v/>
      </c>
    </row>
    <row r="14979" spans="326:327">
      <c r="LN14979" t="str">
        <v/>
      </c>
      <c r="LO14979" t="str">
        <v/>
      </c>
    </row>
    <row r="14980" spans="326:327">
      <c r="LN14980" t="str">
        <v/>
      </c>
      <c r="LO14980" t="str">
        <v/>
      </c>
    </row>
    <row r="14981" spans="326:327">
      <c r="LN14981" t="str">
        <v/>
      </c>
      <c r="LO14981" t="str">
        <v/>
      </c>
    </row>
    <row r="14982" spans="326:327">
      <c r="LN14982" t="str">
        <v/>
      </c>
      <c r="LO14982" t="str">
        <v/>
      </c>
    </row>
    <row r="14983" spans="326:327">
      <c r="LN14983" t="str">
        <v/>
      </c>
      <c r="LO14983" t="str">
        <v/>
      </c>
    </row>
    <row r="14984" spans="326:327">
      <c r="LN14984" t="str">
        <v/>
      </c>
      <c r="LO14984" t="str">
        <v/>
      </c>
    </row>
    <row r="14985" spans="326:327">
      <c r="LN14985" t="str">
        <v/>
      </c>
      <c r="LO14985" t="str">
        <v/>
      </c>
    </row>
    <row r="14986" spans="326:327">
      <c r="LN14986" t="str">
        <v/>
      </c>
      <c r="LO14986" t="str">
        <v/>
      </c>
    </row>
    <row r="14987" spans="326:327">
      <c r="LN14987" t="str">
        <v/>
      </c>
      <c r="LO14987" t="str">
        <v/>
      </c>
    </row>
    <row r="14988" spans="326:327">
      <c r="LN14988" t="str">
        <v/>
      </c>
      <c r="LO14988" t="str">
        <v/>
      </c>
    </row>
    <row r="14989" spans="326:327">
      <c r="LN14989" t="str">
        <v/>
      </c>
      <c r="LO14989" t="str">
        <v/>
      </c>
    </row>
    <row r="14990" spans="326:327">
      <c r="LN14990" t="str">
        <v/>
      </c>
      <c r="LO14990" t="str">
        <v/>
      </c>
    </row>
    <row r="14991" spans="326:327">
      <c r="LN14991" t="str">
        <v/>
      </c>
      <c r="LO14991" t="str">
        <v/>
      </c>
    </row>
    <row r="14992" spans="326:327">
      <c r="LN14992" t="str">
        <v/>
      </c>
      <c r="LO14992" t="str">
        <v/>
      </c>
    </row>
    <row r="14993" spans="326:327">
      <c r="LN14993" t="str">
        <v/>
      </c>
      <c r="LO14993" t="str">
        <v/>
      </c>
    </row>
    <row r="14994" spans="326:327">
      <c r="LN14994" t="str">
        <v/>
      </c>
      <c r="LO14994" t="str">
        <v/>
      </c>
    </row>
    <row r="14995" spans="326:327">
      <c r="LN14995" t="str">
        <v/>
      </c>
      <c r="LO14995" t="str">
        <v/>
      </c>
    </row>
    <row r="14996" spans="326:327">
      <c r="LN14996" t="str">
        <v/>
      </c>
      <c r="LO14996" t="str">
        <v/>
      </c>
    </row>
    <row r="14997" spans="326:327">
      <c r="LN14997" t="str">
        <v/>
      </c>
      <c r="LO14997" t="str">
        <v/>
      </c>
    </row>
    <row r="14998" spans="326:327">
      <c r="LN14998" t="str">
        <v/>
      </c>
      <c r="LO14998" t="str">
        <v/>
      </c>
    </row>
    <row r="14999" spans="326:327">
      <c r="LN14999" t="str">
        <v/>
      </c>
      <c r="LO14999" t="str">
        <v/>
      </c>
    </row>
    <row r="15000" spans="326:327">
      <c r="LN15000" t="str">
        <v/>
      </c>
      <c r="LO15000" t="str">
        <v/>
      </c>
    </row>
    <row r="15001" spans="326:327">
      <c r="LN15001" t="str">
        <v/>
      </c>
      <c r="LO15001" t="str">
        <v/>
      </c>
    </row>
    <row r="15002" spans="326:327">
      <c r="LN15002" t="str">
        <v/>
      </c>
      <c r="LO15002" t="str">
        <v/>
      </c>
    </row>
    <row r="15003" spans="326:327">
      <c r="LN15003" t="str">
        <v/>
      </c>
      <c r="LO15003" t="str">
        <v/>
      </c>
    </row>
    <row r="15004" spans="326:327">
      <c r="LN15004" t="str">
        <v/>
      </c>
      <c r="LO15004" t="str">
        <v/>
      </c>
    </row>
    <row r="15005" spans="326:327">
      <c r="LN15005" t="str">
        <v/>
      </c>
      <c r="LO15005" t="str">
        <v/>
      </c>
    </row>
    <row r="15006" spans="326:327">
      <c r="LN15006" t="str">
        <v/>
      </c>
    </row>
    <row r="15007" spans="326:327">
      <c r="LN15007" t="str">
        <v/>
      </c>
    </row>
    <row r="15008" spans="326:327">
      <c r="LN15008" t="str">
        <v/>
      </c>
    </row>
    <row r="15009" spans="326:326">
      <c r="LN15009" t="str">
        <v/>
      </c>
    </row>
    <row r="15010" spans="326:326">
      <c r="LN15010" t="str">
        <v/>
      </c>
    </row>
    <row r="15011" spans="326:326">
      <c r="LN15011" t="str">
        <v/>
      </c>
    </row>
    <row r="15012" spans="326:326">
      <c r="LN15012" t="str">
        <v/>
      </c>
    </row>
    <row r="15013" spans="326:326">
      <c r="LN15013" t="str">
        <v/>
      </c>
    </row>
    <row r="15014" spans="326:326">
      <c r="LN15014" t="str">
        <v/>
      </c>
    </row>
    <row r="15015" spans="326:326">
      <c r="LN15015" t="str">
        <v/>
      </c>
    </row>
    <row r="15016" spans="326:326">
      <c r="LN15016" t="str">
        <v/>
      </c>
    </row>
    <row r="15017" spans="326:326">
      <c r="LN15017" t="str">
        <v/>
      </c>
    </row>
    <row r="15018" spans="326:326">
      <c r="LN15018" t="str">
        <v/>
      </c>
    </row>
    <row r="15019" spans="326:326">
      <c r="LN15019" t="str">
        <v/>
      </c>
    </row>
    <row r="15020" spans="326:326">
      <c r="LN15020" t="str">
        <v/>
      </c>
    </row>
    <row r="15021" spans="326:326">
      <c r="LN15021" t="str">
        <v/>
      </c>
    </row>
    <row r="15022" spans="326:326">
      <c r="LN15022" t="str">
        <v/>
      </c>
    </row>
    <row r="15023" spans="326:326">
      <c r="LN15023" t="str">
        <v/>
      </c>
    </row>
    <row r="15024" spans="326:326">
      <c r="LN15024" t="str">
        <v/>
      </c>
    </row>
    <row r="15025" spans="326:326">
      <c r="LN15025" t="str">
        <v/>
      </c>
    </row>
    <row r="15026" spans="326:326">
      <c r="LN15026" t="str">
        <v/>
      </c>
    </row>
    <row r="15027" spans="326:326">
      <c r="LN15027" t="str">
        <v/>
      </c>
    </row>
    <row r="15028" spans="326:326">
      <c r="LN15028" t="str">
        <v/>
      </c>
    </row>
    <row r="15029" spans="326:326">
      <c r="LN15029" t="str">
        <v/>
      </c>
    </row>
    <row r="15030" spans="326:326">
      <c r="LN15030" t="str">
        <v/>
      </c>
    </row>
    <row r="15031" spans="326:326">
      <c r="LN15031" t="str">
        <v/>
      </c>
    </row>
    <row r="15032" spans="326:326">
      <c r="LN15032" t="str">
        <v/>
      </c>
    </row>
    <row r="15033" spans="326:326">
      <c r="LN15033" t="str">
        <v/>
      </c>
    </row>
    <row r="15034" spans="326:326">
      <c r="LN15034" t="str">
        <v/>
      </c>
    </row>
    <row r="15035" spans="326:326">
      <c r="LN15035" t="str">
        <v/>
      </c>
    </row>
    <row r="15036" spans="326:326">
      <c r="LN15036" t="str">
        <v/>
      </c>
    </row>
    <row r="15037" spans="326:326">
      <c r="LN15037" t="str">
        <v/>
      </c>
    </row>
    <row r="15038" spans="326:326">
      <c r="LN15038" t="str">
        <v/>
      </c>
    </row>
    <row r="15039" spans="326:326">
      <c r="LN15039" t="str">
        <v/>
      </c>
    </row>
    <row r="15040" spans="326:326">
      <c r="LN15040" t="str">
        <v/>
      </c>
    </row>
    <row r="15041" spans="326:326">
      <c r="LN15041" t="str">
        <v/>
      </c>
    </row>
    <row r="15042" spans="326:326">
      <c r="LN15042" t="str">
        <v/>
      </c>
    </row>
    <row r="15043" spans="326:326">
      <c r="LN15043" t="str">
        <v/>
      </c>
    </row>
    <row r="15044" spans="326:326">
      <c r="LN15044" t="str">
        <v/>
      </c>
    </row>
    <row r="15045" spans="326:326">
      <c r="LN15045" t="str">
        <v/>
      </c>
    </row>
    <row r="15046" spans="326:326">
      <c r="LN15046" t="str">
        <v/>
      </c>
    </row>
    <row r="15047" spans="326:326">
      <c r="LN15047" t="str">
        <v/>
      </c>
    </row>
    <row r="15048" spans="326:326">
      <c r="LN15048" t="str">
        <v/>
      </c>
    </row>
    <row r="15049" spans="326:326">
      <c r="LN15049" t="str">
        <v/>
      </c>
    </row>
    <row r="15050" spans="326:326">
      <c r="LN15050" t="str">
        <v/>
      </c>
    </row>
    <row r="15051" spans="326:326">
      <c r="LN15051" t="str">
        <v/>
      </c>
    </row>
    <row r="15052" spans="326:326">
      <c r="LN15052" t="str">
        <v/>
      </c>
    </row>
    <row r="15053" spans="326:326">
      <c r="LN15053" t="str">
        <v/>
      </c>
    </row>
    <row r="15054" spans="326:326">
      <c r="LN15054" t="str">
        <v/>
      </c>
    </row>
    <row r="15055" spans="326:326">
      <c r="LN15055" t="str">
        <v/>
      </c>
    </row>
    <row r="15056" spans="326:326">
      <c r="LN15056" t="str">
        <v/>
      </c>
    </row>
    <row r="15057" spans="326:326">
      <c r="LN15057" t="str">
        <v/>
      </c>
    </row>
    <row r="15058" spans="326:326">
      <c r="LN15058" t="str">
        <v/>
      </c>
    </row>
    <row r="15059" spans="326:326">
      <c r="LN15059" t="str">
        <v/>
      </c>
    </row>
    <row r="15060" spans="326:326">
      <c r="LN15060" t="str">
        <v/>
      </c>
    </row>
    <row r="15061" spans="326:326">
      <c r="LN15061" t="str">
        <v/>
      </c>
    </row>
    <row r="15062" spans="326:326">
      <c r="LN15062" t="str">
        <v/>
      </c>
    </row>
    <row r="15063" spans="326:326">
      <c r="LN15063" t="str">
        <v/>
      </c>
    </row>
    <row r="15064" spans="326:326">
      <c r="LN15064" t="str">
        <v/>
      </c>
    </row>
    <row r="15065" spans="326:326">
      <c r="LN15065" t="str">
        <v/>
      </c>
    </row>
    <row r="15066" spans="326:326">
      <c r="LN15066" t="str">
        <v/>
      </c>
    </row>
    <row r="15067" spans="326:326">
      <c r="LN15067" t="str">
        <v/>
      </c>
    </row>
    <row r="15068" spans="326:326">
      <c r="LN15068" t="str">
        <v/>
      </c>
    </row>
    <row r="15069" spans="326:326">
      <c r="LN15069" t="str">
        <v/>
      </c>
    </row>
    <row r="15070" spans="326:326">
      <c r="LN15070" t="str">
        <v/>
      </c>
    </row>
    <row r="15071" spans="326:326">
      <c r="LN15071" t="str">
        <v/>
      </c>
    </row>
    <row r="15072" spans="326:326">
      <c r="LN15072" t="str">
        <v/>
      </c>
    </row>
    <row r="15073" spans="326:326">
      <c r="LN15073" t="str">
        <v/>
      </c>
    </row>
    <row r="15074" spans="326:326">
      <c r="LN15074" t="str">
        <v/>
      </c>
    </row>
    <row r="15075" spans="326:326">
      <c r="LN15075" t="str">
        <v/>
      </c>
    </row>
    <row r="15076" spans="326:326">
      <c r="LN15076" t="str">
        <v/>
      </c>
    </row>
    <row r="15077" spans="326:326">
      <c r="LN15077" t="str">
        <v/>
      </c>
    </row>
    <row r="15078" spans="326:326">
      <c r="LN15078" t="str">
        <v/>
      </c>
    </row>
    <row r="15079" spans="326:326">
      <c r="LN15079" t="str">
        <v/>
      </c>
    </row>
    <row r="15080" spans="326:326">
      <c r="LN15080" t="str">
        <v/>
      </c>
    </row>
    <row r="15081" spans="326:326">
      <c r="LN15081" t="str">
        <v/>
      </c>
    </row>
    <row r="15082" spans="326:326">
      <c r="LN15082" t="str">
        <v/>
      </c>
    </row>
    <row r="15083" spans="326:326">
      <c r="LN15083" t="str">
        <v/>
      </c>
    </row>
    <row r="15084" spans="326:326">
      <c r="LN15084" t="str">
        <v/>
      </c>
    </row>
    <row r="15085" spans="326:326">
      <c r="LN15085" t="str">
        <v/>
      </c>
    </row>
    <row r="15086" spans="326:326">
      <c r="LN15086" t="str">
        <v/>
      </c>
    </row>
    <row r="15087" spans="326:326">
      <c r="LN15087" t="str">
        <v/>
      </c>
    </row>
    <row r="15088" spans="326:326">
      <c r="LN15088" t="str">
        <v/>
      </c>
    </row>
    <row r="15089" spans="326:326">
      <c r="LN15089" t="str">
        <v/>
      </c>
    </row>
    <row r="15090" spans="326:326">
      <c r="LN15090" t="str">
        <v/>
      </c>
    </row>
    <row r="15091" spans="326:326">
      <c r="LN15091" t="str">
        <v/>
      </c>
    </row>
    <row r="15092" spans="326:326">
      <c r="LN15092" t="str">
        <v/>
      </c>
    </row>
    <row r="15093" spans="326:326">
      <c r="LN15093" t="str">
        <v/>
      </c>
    </row>
    <row r="15094" spans="326:326">
      <c r="LN15094" t="str">
        <v/>
      </c>
    </row>
    <row r="15095" spans="326:326">
      <c r="LN15095" t="str">
        <v/>
      </c>
    </row>
    <row r="15096" spans="326:326">
      <c r="LN15096" t="str">
        <v/>
      </c>
    </row>
    <row r="15097" spans="326:326">
      <c r="LN15097" t="str">
        <v/>
      </c>
    </row>
    <row r="15098" spans="326:326">
      <c r="LN15098" t="str">
        <v/>
      </c>
    </row>
    <row r="15099" spans="326:326">
      <c r="LN15099" t="str">
        <v/>
      </c>
    </row>
    <row r="15100" spans="326:326">
      <c r="LN15100" t="str">
        <v/>
      </c>
    </row>
    <row r="15101" spans="326:326">
      <c r="LN15101" t="str">
        <v/>
      </c>
    </row>
    <row r="15102" spans="326:326">
      <c r="LN15102" t="str">
        <v/>
      </c>
    </row>
    <row r="15103" spans="326:326">
      <c r="LN15103" t="str">
        <v/>
      </c>
    </row>
    <row r="15104" spans="326:326">
      <c r="LN15104" t="str">
        <v/>
      </c>
    </row>
    <row r="15105" spans="326:326">
      <c r="LN15105" t="str">
        <v/>
      </c>
    </row>
    <row r="15106" spans="326:326">
      <c r="LN15106" t="str">
        <v/>
      </c>
    </row>
    <row r="15107" spans="326:326">
      <c r="LN15107" t="str">
        <v/>
      </c>
    </row>
    <row r="15108" spans="326:326">
      <c r="LN15108" t="str">
        <v/>
      </c>
    </row>
    <row r="15109" spans="326:326">
      <c r="LN15109" t="str">
        <v/>
      </c>
    </row>
    <row r="15110" spans="326:326">
      <c r="LN15110" t="str">
        <v/>
      </c>
    </row>
    <row r="15111" spans="326:326">
      <c r="LN15111" t="str">
        <v/>
      </c>
    </row>
    <row r="15112" spans="326:326">
      <c r="LN15112" t="str">
        <v/>
      </c>
    </row>
    <row r="15113" spans="326:326">
      <c r="LN15113" t="str">
        <v/>
      </c>
    </row>
    <row r="15114" spans="326:326">
      <c r="LN15114" t="str">
        <v/>
      </c>
    </row>
    <row r="15115" spans="326:326">
      <c r="LN15115" t="str">
        <v/>
      </c>
    </row>
    <row r="15116" spans="326:326">
      <c r="LN15116" t="str">
        <v/>
      </c>
    </row>
    <row r="15117" spans="326:326">
      <c r="LN15117" t="str">
        <v/>
      </c>
    </row>
    <row r="15118" spans="326:326">
      <c r="LN15118" t="str">
        <v/>
      </c>
    </row>
    <row r="15119" spans="326:326">
      <c r="LN15119" t="str">
        <v/>
      </c>
    </row>
    <row r="15120" spans="326:326">
      <c r="LN15120" t="str">
        <v/>
      </c>
    </row>
    <row r="15121" spans="326:326">
      <c r="LN15121" t="str">
        <v/>
      </c>
    </row>
    <row r="15122" spans="326:326">
      <c r="LN15122" t="str">
        <v/>
      </c>
    </row>
    <row r="15123" spans="326:326">
      <c r="LN15123" t="str">
        <v/>
      </c>
    </row>
    <row r="15124" spans="326:326">
      <c r="LN15124" t="str">
        <v/>
      </c>
    </row>
    <row r="15125" spans="326:326">
      <c r="LN15125" t="str">
        <v/>
      </c>
    </row>
    <row r="15126" spans="326:326">
      <c r="LN15126" t="str">
        <v/>
      </c>
    </row>
    <row r="15127" spans="326:326">
      <c r="LN15127" t="str">
        <v/>
      </c>
    </row>
    <row r="15128" spans="326:326">
      <c r="LN15128" t="str">
        <v/>
      </c>
    </row>
    <row r="15129" spans="326:326">
      <c r="LN15129" t="str">
        <v/>
      </c>
    </row>
    <row r="15130" spans="326:326">
      <c r="LN15130" t="str">
        <v/>
      </c>
    </row>
    <row r="15131" spans="326:326">
      <c r="LN15131" t="str">
        <v/>
      </c>
    </row>
    <row r="15132" spans="326:326">
      <c r="LN15132" t="str">
        <v/>
      </c>
    </row>
    <row r="15133" spans="326:326">
      <c r="LN15133" t="str">
        <v/>
      </c>
    </row>
    <row r="15134" spans="326:326">
      <c r="LN15134" t="str">
        <v/>
      </c>
    </row>
    <row r="15135" spans="326:326">
      <c r="LN15135" t="str">
        <v/>
      </c>
    </row>
    <row r="15136" spans="326:326">
      <c r="LN15136" t="str">
        <v/>
      </c>
    </row>
    <row r="15137" spans="326:326">
      <c r="LN15137" t="str">
        <v/>
      </c>
    </row>
    <row r="15138" spans="326:326">
      <c r="LN15138" t="str">
        <v/>
      </c>
    </row>
    <row r="15139" spans="326:326">
      <c r="LN15139" t="str">
        <v/>
      </c>
    </row>
    <row r="15140" spans="326:326">
      <c r="LN15140" t="str">
        <v/>
      </c>
    </row>
    <row r="15141" spans="326:326">
      <c r="LN15141" t="str">
        <v/>
      </c>
    </row>
    <row r="15142" spans="326:326">
      <c r="LN15142" t="str">
        <v/>
      </c>
    </row>
    <row r="15143" spans="326:326">
      <c r="LN15143" t="str">
        <v/>
      </c>
    </row>
    <row r="15144" spans="326:326">
      <c r="LN15144" t="str">
        <v/>
      </c>
    </row>
    <row r="15145" spans="326:326">
      <c r="LN15145" t="str">
        <v/>
      </c>
    </row>
    <row r="15146" spans="326:326">
      <c r="LN15146" t="str">
        <v/>
      </c>
    </row>
    <row r="15147" spans="326:326">
      <c r="LN15147" t="str">
        <v/>
      </c>
    </row>
    <row r="15148" spans="326:326">
      <c r="LN15148" t="str">
        <v/>
      </c>
    </row>
    <row r="15149" spans="326:326">
      <c r="LN15149" t="str">
        <v/>
      </c>
    </row>
    <row r="15150" spans="326:326">
      <c r="LN15150" t="str">
        <v/>
      </c>
    </row>
    <row r="15151" spans="326:326">
      <c r="LN15151" t="str">
        <v/>
      </c>
    </row>
    <row r="15152" spans="326:326">
      <c r="LN15152" t="str">
        <v/>
      </c>
    </row>
    <row r="15153" spans="326:326">
      <c r="LN15153" t="str">
        <v/>
      </c>
    </row>
    <row r="15154" spans="326:326">
      <c r="LN15154" t="str">
        <v/>
      </c>
    </row>
    <row r="15155" spans="326:326">
      <c r="LN15155" t="str">
        <v/>
      </c>
    </row>
    <row r="15156" spans="326:326">
      <c r="LN15156" t="str">
        <v/>
      </c>
    </row>
    <row r="15157" spans="326:326">
      <c r="LN15157" t="str">
        <v/>
      </c>
    </row>
    <row r="15158" spans="326:326">
      <c r="LN15158" t="str">
        <v/>
      </c>
    </row>
    <row r="15159" spans="326:326">
      <c r="LN15159" t="str">
        <v/>
      </c>
    </row>
    <row r="15160" spans="326:326">
      <c r="LN15160" t="str">
        <v/>
      </c>
    </row>
    <row r="15161" spans="326:326">
      <c r="LN15161" t="str">
        <v/>
      </c>
    </row>
    <row r="15162" spans="326:326">
      <c r="LN15162" t="str">
        <v/>
      </c>
    </row>
    <row r="15163" spans="326:326">
      <c r="LN15163" t="str">
        <v/>
      </c>
    </row>
    <row r="15164" spans="326:326">
      <c r="LN15164" t="str">
        <v/>
      </c>
    </row>
    <row r="15165" spans="326:326">
      <c r="LN15165" t="str">
        <v/>
      </c>
    </row>
    <row r="15166" spans="326:326">
      <c r="LN15166" t="str">
        <v/>
      </c>
    </row>
    <row r="15167" spans="326:326">
      <c r="LN15167" t="str">
        <v/>
      </c>
    </row>
    <row r="15168" spans="326:326">
      <c r="LN15168" t="str">
        <v/>
      </c>
    </row>
    <row r="15169" spans="326:326">
      <c r="LN15169" t="str">
        <v/>
      </c>
    </row>
    <row r="15170" spans="326:326">
      <c r="LN15170" t="str">
        <v/>
      </c>
    </row>
    <row r="15171" spans="326:326">
      <c r="LN15171" t="str">
        <v/>
      </c>
    </row>
    <row r="15172" spans="326:326">
      <c r="LN15172" t="str">
        <v/>
      </c>
    </row>
    <row r="15173" spans="326:326">
      <c r="LN15173" t="str">
        <v/>
      </c>
    </row>
    <row r="15174" spans="326:326">
      <c r="LN15174" t="str">
        <v/>
      </c>
    </row>
    <row r="15175" spans="326:326">
      <c r="LN15175" t="str">
        <v/>
      </c>
    </row>
    <row r="15176" spans="326:326">
      <c r="LN15176" t="str">
        <v/>
      </c>
    </row>
    <row r="15177" spans="326:326">
      <c r="LN15177" t="str">
        <v/>
      </c>
    </row>
    <row r="15178" spans="326:326">
      <c r="LN15178" t="str">
        <v/>
      </c>
    </row>
    <row r="15179" spans="326:326">
      <c r="LN15179" t="str">
        <v/>
      </c>
    </row>
    <row r="15180" spans="326:326">
      <c r="LN15180" t="str">
        <v/>
      </c>
    </row>
    <row r="15181" spans="326:326">
      <c r="LN15181" t="str">
        <v/>
      </c>
    </row>
    <row r="15182" spans="326:326">
      <c r="LN15182" t="str">
        <v/>
      </c>
    </row>
    <row r="15183" spans="326:326">
      <c r="LN15183" t="str">
        <v/>
      </c>
    </row>
    <row r="15184" spans="326:326">
      <c r="LN15184" t="str">
        <v/>
      </c>
    </row>
    <row r="15185" spans="326:326">
      <c r="LN15185" t="str">
        <v/>
      </c>
    </row>
    <row r="15186" spans="326:326">
      <c r="LN15186" t="str">
        <v/>
      </c>
    </row>
    <row r="15187" spans="326:326">
      <c r="LN15187" t="str">
        <v/>
      </c>
    </row>
    <row r="15188" spans="326:326">
      <c r="LN15188" t="str">
        <v/>
      </c>
    </row>
    <row r="15189" spans="326:326">
      <c r="LN15189" t="str">
        <v/>
      </c>
    </row>
    <row r="15190" spans="326:326">
      <c r="LN15190" t="str">
        <v/>
      </c>
    </row>
    <row r="15191" spans="326:326">
      <c r="LN15191" t="str">
        <v/>
      </c>
    </row>
    <row r="15192" spans="326:326">
      <c r="LN15192" t="str">
        <v/>
      </c>
    </row>
    <row r="15193" spans="326:326">
      <c r="LN15193" t="str">
        <v/>
      </c>
    </row>
    <row r="15194" spans="326:326">
      <c r="LN15194" t="str">
        <v/>
      </c>
    </row>
    <row r="15195" spans="326:326">
      <c r="LN15195" t="str">
        <v/>
      </c>
    </row>
    <row r="15196" spans="326:326">
      <c r="LN15196" t="str">
        <v/>
      </c>
    </row>
    <row r="15197" spans="326:326">
      <c r="LN15197" t="str">
        <v/>
      </c>
    </row>
    <row r="15198" spans="326:326">
      <c r="LN15198" t="str">
        <v/>
      </c>
    </row>
    <row r="15199" spans="326:326">
      <c r="LN15199" t="str">
        <v/>
      </c>
    </row>
    <row r="15200" spans="326:326">
      <c r="LN15200" t="str">
        <v/>
      </c>
    </row>
    <row r="15201" spans="326:326">
      <c r="LN15201" t="str">
        <v/>
      </c>
    </row>
    <row r="15202" spans="326:326">
      <c r="LN15202" t="str">
        <v/>
      </c>
    </row>
    <row r="15203" spans="326:326">
      <c r="LN15203" t="str">
        <v/>
      </c>
    </row>
    <row r="15204" spans="326:326">
      <c r="LN15204" t="str">
        <v/>
      </c>
    </row>
    <row r="15205" spans="326:326">
      <c r="LN15205" t="str">
        <v/>
      </c>
    </row>
    <row r="15206" spans="326:326">
      <c r="LN15206" t="str">
        <v/>
      </c>
    </row>
    <row r="15207" spans="326:326">
      <c r="LN15207" t="str">
        <v/>
      </c>
    </row>
    <row r="15208" spans="326:326">
      <c r="LN15208" t="str">
        <v/>
      </c>
    </row>
    <row r="15209" spans="326:326">
      <c r="LN15209" t="str">
        <v/>
      </c>
    </row>
    <row r="15210" spans="326:326">
      <c r="LN15210" t="str">
        <v/>
      </c>
    </row>
    <row r="15211" spans="326:326">
      <c r="LN15211" t="str">
        <v/>
      </c>
    </row>
    <row r="15212" spans="326:326">
      <c r="LN15212" t="str">
        <v/>
      </c>
    </row>
    <row r="15213" spans="326:326">
      <c r="LN15213" t="str">
        <v/>
      </c>
    </row>
    <row r="15214" spans="326:326">
      <c r="LN15214" t="str">
        <v/>
      </c>
    </row>
    <row r="15215" spans="326:326">
      <c r="LN15215" t="str">
        <v/>
      </c>
    </row>
    <row r="15216" spans="326:326">
      <c r="LN15216" t="str">
        <v/>
      </c>
    </row>
    <row r="15217" spans="326:326">
      <c r="LN15217" t="str">
        <v/>
      </c>
    </row>
    <row r="15218" spans="326:326">
      <c r="LN15218" t="str">
        <v/>
      </c>
    </row>
    <row r="15219" spans="326:326">
      <c r="LN15219" t="str">
        <v/>
      </c>
    </row>
    <row r="15220" spans="326:326">
      <c r="LN15220" t="str">
        <v/>
      </c>
    </row>
    <row r="15221" spans="326:326">
      <c r="LN15221" t="str">
        <v/>
      </c>
    </row>
    <row r="15222" spans="326:326">
      <c r="LN15222" t="str">
        <v/>
      </c>
    </row>
    <row r="15223" spans="326:326">
      <c r="LN15223" t="str">
        <v/>
      </c>
    </row>
    <row r="15224" spans="326:326">
      <c r="LN15224" t="str">
        <v/>
      </c>
    </row>
    <row r="15225" spans="326:326">
      <c r="LN15225" t="str">
        <v/>
      </c>
    </row>
    <row r="15226" spans="326:326">
      <c r="LN15226" t="str">
        <v/>
      </c>
    </row>
    <row r="15227" spans="326:326">
      <c r="LN15227" t="str">
        <v/>
      </c>
    </row>
    <row r="15228" spans="326:326">
      <c r="LN15228" t="str">
        <v/>
      </c>
    </row>
    <row r="15229" spans="326:326">
      <c r="LN15229" t="str">
        <v/>
      </c>
    </row>
    <row r="15230" spans="326:326">
      <c r="LN15230" t="str">
        <v/>
      </c>
    </row>
    <row r="15231" spans="326:326">
      <c r="LN15231" t="str">
        <v/>
      </c>
    </row>
    <row r="15232" spans="326:326">
      <c r="LN15232" t="str">
        <v/>
      </c>
    </row>
    <row r="15233" spans="326:326">
      <c r="LN15233" t="str">
        <v/>
      </c>
    </row>
    <row r="15234" spans="326:326">
      <c r="LN15234" t="str">
        <v/>
      </c>
    </row>
    <row r="15235" spans="326:326">
      <c r="LN15235" t="str">
        <v/>
      </c>
    </row>
    <row r="15236" spans="326:326">
      <c r="LN15236" t="str">
        <v/>
      </c>
    </row>
    <row r="15237" spans="326:326">
      <c r="LN15237" t="str">
        <v/>
      </c>
    </row>
    <row r="15238" spans="326:326">
      <c r="LN15238" t="str">
        <v/>
      </c>
    </row>
    <row r="15239" spans="326:326">
      <c r="LN15239" t="str">
        <v/>
      </c>
    </row>
    <row r="15240" spans="326:326">
      <c r="LN15240" t="str">
        <v/>
      </c>
    </row>
    <row r="15241" spans="326:326">
      <c r="LN15241" t="str">
        <v/>
      </c>
    </row>
    <row r="15242" spans="326:326">
      <c r="LN15242" t="str">
        <v/>
      </c>
    </row>
    <row r="15243" spans="326:326">
      <c r="LN15243" t="str">
        <v/>
      </c>
    </row>
    <row r="15244" spans="326:326">
      <c r="LN15244" t="str">
        <v/>
      </c>
    </row>
    <row r="15245" spans="326:326">
      <c r="LN15245" t="str">
        <v/>
      </c>
    </row>
    <row r="15246" spans="326:326">
      <c r="LN15246" t="str">
        <v/>
      </c>
    </row>
    <row r="15247" spans="326:326">
      <c r="LN15247" t="str">
        <v/>
      </c>
    </row>
    <row r="15248" spans="326:326">
      <c r="LN15248" t="str">
        <v/>
      </c>
    </row>
    <row r="15249" spans="326:326">
      <c r="LN15249" t="str">
        <v/>
      </c>
    </row>
    <row r="15250" spans="326:326">
      <c r="LN15250" t="str">
        <v/>
      </c>
    </row>
    <row r="15251" spans="326:326">
      <c r="LN15251" t="str">
        <v/>
      </c>
    </row>
    <row r="15252" spans="326:326">
      <c r="LN15252" t="str">
        <v/>
      </c>
    </row>
    <row r="15253" spans="326:326">
      <c r="LN15253" t="str">
        <v/>
      </c>
    </row>
    <row r="15254" spans="326:326">
      <c r="LN15254" t="str">
        <v/>
      </c>
    </row>
    <row r="15255" spans="326:326">
      <c r="LN15255" t="str">
        <v/>
      </c>
    </row>
    <row r="15256" spans="326:326">
      <c r="LN15256" t="str">
        <v/>
      </c>
    </row>
    <row r="15257" spans="326:326">
      <c r="LN15257" t="str">
        <v/>
      </c>
    </row>
    <row r="15258" spans="326:326">
      <c r="LN15258" t="str">
        <v/>
      </c>
    </row>
    <row r="15259" spans="326:326">
      <c r="LN15259" t="str">
        <v/>
      </c>
    </row>
    <row r="15260" spans="326:326">
      <c r="LN15260" t="str">
        <v/>
      </c>
    </row>
    <row r="15261" spans="326:326">
      <c r="LN15261" t="str">
        <v/>
      </c>
    </row>
    <row r="15262" spans="326:326">
      <c r="LN15262" t="str">
        <v/>
      </c>
    </row>
    <row r="15263" spans="326:326">
      <c r="LN15263" t="str">
        <v/>
      </c>
    </row>
    <row r="15264" spans="326:326">
      <c r="LN15264" t="str">
        <v/>
      </c>
    </row>
    <row r="15265" spans="326:326">
      <c r="LN15265" t="str">
        <v/>
      </c>
    </row>
    <row r="15266" spans="326:326">
      <c r="LN15266" t="str">
        <v/>
      </c>
    </row>
    <row r="15267" spans="326:326">
      <c r="LN15267" t="str">
        <v/>
      </c>
    </row>
    <row r="15268" spans="326:326">
      <c r="LN15268" t="str">
        <v/>
      </c>
    </row>
    <row r="15269" spans="326:326">
      <c r="LN15269" t="str">
        <v/>
      </c>
    </row>
    <row r="15270" spans="326:326">
      <c r="LN15270" t="str">
        <v/>
      </c>
    </row>
    <row r="15271" spans="326:326">
      <c r="LN15271" t="str">
        <v/>
      </c>
    </row>
    <row r="15272" spans="326:326">
      <c r="LN15272" t="str">
        <v/>
      </c>
    </row>
    <row r="15273" spans="326:326">
      <c r="LN15273" t="str">
        <v/>
      </c>
    </row>
    <row r="15274" spans="326:326">
      <c r="LN15274" t="str">
        <v/>
      </c>
    </row>
    <row r="15275" spans="326:326">
      <c r="LN15275" t="str">
        <v/>
      </c>
    </row>
    <row r="15276" spans="326:326">
      <c r="LN15276" t="str">
        <v/>
      </c>
    </row>
    <row r="15277" spans="326:326">
      <c r="LN15277" t="str">
        <v/>
      </c>
    </row>
    <row r="15278" spans="326:326">
      <c r="LN15278" t="str">
        <v/>
      </c>
    </row>
    <row r="15279" spans="326:326">
      <c r="LN15279" t="str">
        <v/>
      </c>
    </row>
    <row r="15280" spans="326:326">
      <c r="LN15280" t="str">
        <v/>
      </c>
    </row>
    <row r="15281" spans="326:326">
      <c r="LN15281" t="str">
        <v/>
      </c>
    </row>
    <row r="15282" spans="326:326">
      <c r="LN15282" t="str">
        <v/>
      </c>
    </row>
    <row r="15283" spans="326:326">
      <c r="LN15283" t="str">
        <v/>
      </c>
    </row>
    <row r="15284" spans="326:326">
      <c r="LN15284" t="str">
        <v/>
      </c>
    </row>
    <row r="15285" spans="326:326">
      <c r="LN15285" t="str">
        <v/>
      </c>
    </row>
    <row r="15286" spans="326:326">
      <c r="LN15286" t="str">
        <v/>
      </c>
    </row>
    <row r="15287" spans="326:326">
      <c r="LN15287" t="str">
        <v/>
      </c>
    </row>
    <row r="15288" spans="326:326">
      <c r="LN15288" t="str">
        <v/>
      </c>
    </row>
    <row r="15289" spans="326:326">
      <c r="LN15289" t="str">
        <v/>
      </c>
    </row>
    <row r="15290" spans="326:326">
      <c r="LN15290" t="str">
        <v/>
      </c>
    </row>
    <row r="15291" spans="326:326">
      <c r="LN15291" t="str">
        <v/>
      </c>
    </row>
    <row r="15292" spans="326:326">
      <c r="LN15292" t="str">
        <v/>
      </c>
    </row>
    <row r="15293" spans="326:326">
      <c r="LN15293" t="str">
        <v/>
      </c>
    </row>
    <row r="15294" spans="326:326">
      <c r="LN15294" t="str">
        <v/>
      </c>
    </row>
    <row r="15295" spans="326:326">
      <c r="LN15295" t="str">
        <v/>
      </c>
    </row>
    <row r="15296" spans="326:326">
      <c r="LN15296" t="str">
        <v/>
      </c>
    </row>
    <row r="15297" spans="326:326">
      <c r="LN15297" t="str">
        <v/>
      </c>
    </row>
    <row r="15298" spans="326:326">
      <c r="LN15298" t="str">
        <v/>
      </c>
    </row>
    <row r="15299" spans="326:326">
      <c r="LN15299" t="str">
        <v/>
      </c>
    </row>
    <row r="15300" spans="326:326">
      <c r="LN15300" t="str">
        <v/>
      </c>
    </row>
    <row r="15301" spans="326:326">
      <c r="LN15301" t="str">
        <v/>
      </c>
    </row>
    <row r="15302" spans="326:326">
      <c r="LN15302" t="str">
        <v/>
      </c>
    </row>
    <row r="15303" spans="326:326">
      <c r="LN15303" t="str">
        <v/>
      </c>
    </row>
    <row r="15304" spans="326:326">
      <c r="LN15304" t="str">
        <v/>
      </c>
    </row>
    <row r="15305" spans="326:326">
      <c r="LN15305" t="str">
        <v/>
      </c>
    </row>
    <row r="15306" spans="326:326">
      <c r="LN15306" t="str">
        <v/>
      </c>
    </row>
    <row r="15307" spans="326:326">
      <c r="LN15307" t="str">
        <v/>
      </c>
    </row>
    <row r="15308" spans="326:326">
      <c r="LN15308" t="str">
        <v/>
      </c>
    </row>
    <row r="15309" spans="326:326">
      <c r="LN15309" t="str">
        <v/>
      </c>
    </row>
    <row r="15310" spans="326:326">
      <c r="LN15310" t="str">
        <v/>
      </c>
    </row>
    <row r="15311" spans="326:326">
      <c r="LN15311" t="str">
        <v/>
      </c>
    </row>
    <row r="15312" spans="326:326">
      <c r="LN15312" t="str">
        <v/>
      </c>
    </row>
    <row r="15313" spans="326:326">
      <c r="LN15313" t="str">
        <v/>
      </c>
    </row>
    <row r="15314" spans="326:326">
      <c r="LN15314" t="str">
        <v/>
      </c>
    </row>
    <row r="15315" spans="326:326">
      <c r="LN15315" t="str">
        <v/>
      </c>
    </row>
    <row r="15316" spans="326:326">
      <c r="LN15316" t="str">
        <v/>
      </c>
    </row>
    <row r="15317" spans="326:326">
      <c r="LN15317" t="str">
        <v/>
      </c>
    </row>
    <row r="15318" spans="326:326">
      <c r="LN15318" t="str">
        <v/>
      </c>
    </row>
    <row r="15319" spans="326:326">
      <c r="LN15319" t="str">
        <v/>
      </c>
    </row>
    <row r="15320" spans="326:326">
      <c r="LN15320" t="str">
        <v/>
      </c>
    </row>
    <row r="15321" spans="326:326">
      <c r="LN15321" t="str">
        <v/>
      </c>
    </row>
    <row r="15322" spans="326:326">
      <c r="LN15322" t="str">
        <v/>
      </c>
    </row>
    <row r="15323" spans="326:326">
      <c r="LN15323" t="str">
        <v/>
      </c>
    </row>
    <row r="15324" spans="326:326">
      <c r="LN15324" t="str">
        <v/>
      </c>
    </row>
    <row r="15325" spans="326:326">
      <c r="LN15325" t="str">
        <v/>
      </c>
    </row>
    <row r="15326" spans="326:326">
      <c r="LN15326" t="str">
        <v/>
      </c>
    </row>
    <row r="15327" spans="326:326">
      <c r="LN15327" t="str">
        <v/>
      </c>
    </row>
    <row r="15328" spans="326:326">
      <c r="LN15328" t="str">
        <v/>
      </c>
    </row>
    <row r="15329" spans="326:326">
      <c r="LN15329" t="str">
        <v/>
      </c>
    </row>
    <row r="15330" spans="326:326">
      <c r="LN15330" t="str">
        <v/>
      </c>
    </row>
    <row r="15331" spans="326:326">
      <c r="LN15331" t="str">
        <v/>
      </c>
    </row>
    <row r="15332" spans="326:326">
      <c r="LN15332" t="str">
        <v/>
      </c>
    </row>
    <row r="15333" spans="326:326">
      <c r="LN15333" t="str">
        <v/>
      </c>
    </row>
    <row r="15334" spans="326:326">
      <c r="LN15334" t="str">
        <v/>
      </c>
    </row>
    <row r="15335" spans="326:326">
      <c r="LN15335" t="str">
        <v/>
      </c>
    </row>
    <row r="15336" spans="326:326">
      <c r="LN15336" t="str">
        <v/>
      </c>
    </row>
    <row r="15337" spans="326:326">
      <c r="LN15337" t="str">
        <v/>
      </c>
    </row>
    <row r="15338" spans="326:326">
      <c r="LN15338" t="str">
        <v/>
      </c>
    </row>
    <row r="15339" spans="326:326">
      <c r="LN15339" t="str">
        <v/>
      </c>
    </row>
    <row r="15340" spans="326:326">
      <c r="LN15340" t="str">
        <v/>
      </c>
    </row>
    <row r="15341" spans="326:326">
      <c r="LN15341" t="str">
        <v/>
      </c>
    </row>
    <row r="15342" spans="326:326">
      <c r="LN15342" t="str">
        <v/>
      </c>
    </row>
    <row r="15343" spans="326:326">
      <c r="LN15343" t="str">
        <v/>
      </c>
    </row>
    <row r="15344" spans="326:326">
      <c r="LN15344" t="str">
        <v/>
      </c>
    </row>
    <row r="15345" spans="326:326">
      <c r="LN15345" t="str">
        <v/>
      </c>
    </row>
    <row r="15346" spans="326:326">
      <c r="LN15346" t="str">
        <v/>
      </c>
    </row>
    <row r="15347" spans="326:326">
      <c r="LN15347" t="str">
        <v/>
      </c>
    </row>
    <row r="15348" spans="326:326">
      <c r="LN15348" t="str">
        <v/>
      </c>
    </row>
    <row r="15349" spans="326:326">
      <c r="LN15349" t="str">
        <v/>
      </c>
    </row>
    <row r="15350" spans="326:326">
      <c r="LN15350" t="str">
        <v/>
      </c>
    </row>
    <row r="15351" spans="326:326">
      <c r="LN15351" t="str">
        <v/>
      </c>
    </row>
    <row r="15352" spans="326:326">
      <c r="LN15352" t="str">
        <v/>
      </c>
    </row>
    <row r="15353" spans="326:326">
      <c r="LN15353" t="str">
        <v/>
      </c>
    </row>
    <row r="15354" spans="326:326">
      <c r="LN15354" t="str">
        <v/>
      </c>
    </row>
    <row r="15355" spans="326:326">
      <c r="LN15355" t="str">
        <v/>
      </c>
    </row>
    <row r="15356" spans="326:326">
      <c r="LN15356" t="str">
        <v/>
      </c>
    </row>
    <row r="15357" spans="326:326">
      <c r="LN15357" t="str">
        <v/>
      </c>
    </row>
    <row r="15358" spans="326:326">
      <c r="LN15358" t="str">
        <v/>
      </c>
    </row>
    <row r="15359" spans="326:326">
      <c r="LN15359" t="str">
        <v/>
      </c>
    </row>
    <row r="15360" spans="326:326">
      <c r="LN15360" t="str">
        <v/>
      </c>
    </row>
    <row r="15361" spans="326:326">
      <c r="LN15361" t="str">
        <v/>
      </c>
    </row>
    <row r="15362" spans="326:326">
      <c r="LN15362" t="str">
        <v/>
      </c>
    </row>
    <row r="15363" spans="326:326">
      <c r="LN15363" t="str">
        <v/>
      </c>
    </row>
    <row r="15364" spans="326:326">
      <c r="LN15364" t="str">
        <v/>
      </c>
    </row>
    <row r="15365" spans="326:326">
      <c r="LN15365" t="str">
        <v/>
      </c>
    </row>
    <row r="15366" spans="326:326">
      <c r="LN15366" t="str">
        <v/>
      </c>
    </row>
    <row r="15367" spans="326:326">
      <c r="LN15367" t="str">
        <v/>
      </c>
    </row>
    <row r="15368" spans="326:326">
      <c r="LN15368" t="str">
        <v/>
      </c>
    </row>
    <row r="15369" spans="326:326">
      <c r="LN15369" t="str">
        <v/>
      </c>
    </row>
    <row r="15370" spans="326:326">
      <c r="LN15370" t="str">
        <v/>
      </c>
    </row>
    <row r="15371" spans="326:326">
      <c r="LN15371" t="str">
        <v/>
      </c>
    </row>
    <row r="15372" spans="326:326">
      <c r="LN15372" t="str">
        <v/>
      </c>
    </row>
    <row r="15373" spans="326:326">
      <c r="LN15373" t="str">
        <v/>
      </c>
    </row>
    <row r="15374" spans="326:326">
      <c r="LN15374" t="str">
        <v/>
      </c>
    </row>
    <row r="15375" spans="326:326">
      <c r="LN15375" t="str">
        <v/>
      </c>
    </row>
    <row r="15376" spans="326:326">
      <c r="LN15376" t="str">
        <v/>
      </c>
    </row>
    <row r="15377" spans="326:326">
      <c r="LN15377" t="str">
        <v/>
      </c>
    </row>
    <row r="15378" spans="326:326">
      <c r="LN15378" t="str">
        <v/>
      </c>
    </row>
    <row r="15379" spans="326:326">
      <c r="LN15379" t="str">
        <v/>
      </c>
    </row>
    <row r="15380" spans="326:326">
      <c r="LN15380" t="str">
        <v/>
      </c>
    </row>
    <row r="15381" spans="326:326">
      <c r="LN15381" t="str">
        <v/>
      </c>
    </row>
    <row r="15382" spans="326:326">
      <c r="LN15382" t="str">
        <v/>
      </c>
    </row>
    <row r="15383" spans="326:326">
      <c r="LN15383" t="str">
        <v/>
      </c>
    </row>
    <row r="15384" spans="326:326">
      <c r="LN15384" t="str">
        <v/>
      </c>
    </row>
    <row r="15385" spans="326:326">
      <c r="LN15385" t="str">
        <v/>
      </c>
    </row>
    <row r="15386" spans="326:326">
      <c r="LN15386" t="str">
        <v/>
      </c>
    </row>
    <row r="15387" spans="326:326">
      <c r="LN15387" t="str">
        <v/>
      </c>
    </row>
    <row r="15388" spans="326:326">
      <c r="LN15388" t="str">
        <v/>
      </c>
    </row>
    <row r="15389" spans="326:326">
      <c r="LN15389" t="str">
        <v/>
      </c>
    </row>
    <row r="15390" spans="326:326">
      <c r="LN15390" t="str">
        <v/>
      </c>
    </row>
    <row r="15391" spans="326:326">
      <c r="LN15391" t="str">
        <v/>
      </c>
    </row>
    <row r="15392" spans="326:326">
      <c r="LN15392" t="str">
        <v/>
      </c>
    </row>
    <row r="15393" spans="326:326">
      <c r="LN15393" t="str">
        <v/>
      </c>
    </row>
    <row r="15394" spans="326:326">
      <c r="LN15394" t="str">
        <v/>
      </c>
    </row>
    <row r="15395" spans="326:326">
      <c r="LN15395" t="str">
        <v/>
      </c>
    </row>
    <row r="15396" spans="326:326">
      <c r="LN15396" t="str">
        <v/>
      </c>
    </row>
    <row r="15397" spans="326:326">
      <c r="LN15397" t="str">
        <v/>
      </c>
    </row>
    <row r="15398" spans="326:326">
      <c r="LN15398" t="str">
        <v/>
      </c>
    </row>
    <row r="15399" spans="326:326">
      <c r="LN15399" t="str">
        <v/>
      </c>
    </row>
    <row r="15400" spans="326:326">
      <c r="LN15400" t="str">
        <v/>
      </c>
    </row>
    <row r="15401" spans="326:326">
      <c r="LN15401" t="str">
        <v/>
      </c>
    </row>
    <row r="15402" spans="326:326">
      <c r="LN15402" t="str">
        <v/>
      </c>
    </row>
    <row r="15403" spans="326:326">
      <c r="LN15403" t="str">
        <v/>
      </c>
    </row>
    <row r="15404" spans="326:326">
      <c r="LN15404" t="str">
        <v/>
      </c>
    </row>
    <row r="15405" spans="326:326">
      <c r="LN15405" t="str">
        <v/>
      </c>
    </row>
    <row r="15406" spans="326:326">
      <c r="LN15406" t="str">
        <v/>
      </c>
    </row>
    <row r="15407" spans="326:326">
      <c r="LN15407" t="str">
        <v/>
      </c>
    </row>
    <row r="15408" spans="326:326">
      <c r="LN15408" t="str">
        <v/>
      </c>
    </row>
    <row r="15409" spans="326:326">
      <c r="LN15409" t="str">
        <v/>
      </c>
    </row>
    <row r="15410" spans="326:326">
      <c r="LN15410" t="str">
        <v/>
      </c>
    </row>
    <row r="15411" spans="326:326">
      <c r="LN15411" t="str">
        <v/>
      </c>
    </row>
    <row r="15412" spans="326:326">
      <c r="LN15412" t="str">
        <v/>
      </c>
    </row>
    <row r="15413" spans="326:326">
      <c r="LN15413" t="str">
        <v/>
      </c>
    </row>
    <row r="15414" spans="326:326">
      <c r="LN15414" t="str">
        <v/>
      </c>
    </row>
    <row r="15415" spans="326:326">
      <c r="LN15415" t="str">
        <v/>
      </c>
    </row>
    <row r="15416" spans="326:326">
      <c r="LN15416" t="str">
        <v/>
      </c>
    </row>
    <row r="15417" spans="326:326">
      <c r="LN15417" t="str">
        <v/>
      </c>
    </row>
    <row r="15418" spans="326:326">
      <c r="LN15418" t="str">
        <v/>
      </c>
    </row>
    <row r="15419" spans="326:326">
      <c r="LN15419" t="str">
        <v/>
      </c>
    </row>
    <row r="15420" spans="326:326">
      <c r="LN15420" t="str">
        <v/>
      </c>
    </row>
    <row r="15421" spans="326:326">
      <c r="LN15421" t="str">
        <v/>
      </c>
    </row>
    <row r="15422" spans="326:326">
      <c r="LN15422" t="str">
        <v/>
      </c>
    </row>
    <row r="15423" spans="326:326">
      <c r="LN15423" t="str">
        <v/>
      </c>
    </row>
    <row r="15424" spans="326:326">
      <c r="LN15424" t="str">
        <v/>
      </c>
    </row>
    <row r="15425" spans="326:326">
      <c r="LN15425" t="str">
        <v/>
      </c>
    </row>
    <row r="15426" spans="326:326">
      <c r="LN15426" t="str">
        <v/>
      </c>
    </row>
    <row r="15427" spans="326:326">
      <c r="LN15427" t="str">
        <v/>
      </c>
    </row>
    <row r="15428" spans="326:326">
      <c r="LN15428" t="str">
        <v/>
      </c>
    </row>
    <row r="15429" spans="326:326">
      <c r="LN15429" t="str">
        <v/>
      </c>
    </row>
    <row r="15430" spans="326:326">
      <c r="LN15430" t="str">
        <v/>
      </c>
    </row>
    <row r="15431" spans="326:326">
      <c r="LN15431" t="str">
        <v/>
      </c>
    </row>
    <row r="15432" spans="326:326">
      <c r="LN15432" t="str">
        <v/>
      </c>
    </row>
    <row r="15433" spans="326:326">
      <c r="LN15433" t="str">
        <v/>
      </c>
    </row>
    <row r="15434" spans="326:326">
      <c r="LN15434" t="str">
        <v/>
      </c>
    </row>
    <row r="15435" spans="326:326">
      <c r="LN15435" t="str">
        <v/>
      </c>
    </row>
    <row r="15436" spans="326:326">
      <c r="LN15436" t="str">
        <v/>
      </c>
    </row>
    <row r="15437" spans="326:326">
      <c r="LN15437" t="str">
        <v/>
      </c>
    </row>
    <row r="15438" spans="326:326">
      <c r="LN15438" t="str">
        <v/>
      </c>
    </row>
    <row r="15439" spans="326:326">
      <c r="LN15439" t="str">
        <v/>
      </c>
    </row>
    <row r="15440" spans="326:326">
      <c r="LN15440" t="str">
        <v/>
      </c>
    </row>
    <row r="15441" spans="326:326">
      <c r="LN15441" t="str">
        <v/>
      </c>
    </row>
    <row r="15442" spans="326:326">
      <c r="LN15442" t="str">
        <v/>
      </c>
    </row>
    <row r="15443" spans="326:326">
      <c r="LN15443" t="str">
        <v/>
      </c>
    </row>
    <row r="15444" spans="326:326">
      <c r="LN15444" t="str">
        <v/>
      </c>
    </row>
    <row r="15445" spans="326:326">
      <c r="LN15445" t="str">
        <v/>
      </c>
    </row>
    <row r="15446" spans="326:326">
      <c r="LN15446" t="str">
        <v/>
      </c>
    </row>
    <row r="15447" spans="326:326">
      <c r="LN15447" t="str">
        <v/>
      </c>
    </row>
    <row r="15448" spans="326:326">
      <c r="LN15448" t="str">
        <v/>
      </c>
    </row>
    <row r="15449" spans="326:326">
      <c r="LN15449" t="str">
        <v/>
      </c>
    </row>
    <row r="15450" spans="326:326">
      <c r="LN15450" t="str">
        <v/>
      </c>
    </row>
    <row r="15451" spans="326:326">
      <c r="LN15451" t="str">
        <v/>
      </c>
    </row>
    <row r="15452" spans="326:326">
      <c r="LN15452" t="str">
        <v/>
      </c>
    </row>
    <row r="15453" spans="326:326">
      <c r="LN15453" t="str">
        <v/>
      </c>
    </row>
    <row r="15454" spans="326:326">
      <c r="LN15454" t="str">
        <v/>
      </c>
    </row>
    <row r="15455" spans="326:326">
      <c r="LN15455" t="str">
        <v/>
      </c>
    </row>
    <row r="15456" spans="326:326">
      <c r="LN15456" t="str">
        <v/>
      </c>
    </row>
    <row r="15457" spans="326:326">
      <c r="LN15457" t="str">
        <v/>
      </c>
    </row>
    <row r="15458" spans="326:326">
      <c r="LN15458" t="str">
        <v/>
      </c>
    </row>
    <row r="15459" spans="326:326">
      <c r="LN15459" t="str">
        <v/>
      </c>
    </row>
    <row r="15460" spans="326:326">
      <c r="LN15460" t="str">
        <v/>
      </c>
    </row>
    <row r="15461" spans="326:326">
      <c r="LN15461" t="str">
        <v/>
      </c>
    </row>
    <row r="15462" spans="326:326">
      <c r="LN15462" t="str">
        <v/>
      </c>
    </row>
    <row r="15463" spans="326:326">
      <c r="LN15463" t="str">
        <v/>
      </c>
    </row>
    <row r="15464" spans="326:326">
      <c r="LN15464" t="str">
        <v/>
      </c>
    </row>
    <row r="15465" spans="326:326">
      <c r="LN15465" t="str">
        <v/>
      </c>
    </row>
    <row r="15466" spans="326:326">
      <c r="LN15466" t="str">
        <v/>
      </c>
    </row>
    <row r="15467" spans="326:326">
      <c r="LN15467" t="str">
        <v/>
      </c>
    </row>
    <row r="15468" spans="326:326">
      <c r="LN15468" t="str">
        <v/>
      </c>
    </row>
    <row r="15469" spans="326:326">
      <c r="LN15469" t="str">
        <v/>
      </c>
    </row>
    <row r="15470" spans="326:326">
      <c r="LN15470" t="str">
        <v/>
      </c>
    </row>
    <row r="15471" spans="326:326">
      <c r="LN15471" t="str">
        <v/>
      </c>
    </row>
    <row r="15472" spans="326:326">
      <c r="LN15472" t="str">
        <v/>
      </c>
    </row>
    <row r="15473" spans="326:326">
      <c r="LN15473" t="str">
        <v/>
      </c>
    </row>
    <row r="15474" spans="326:326">
      <c r="LN15474" t="str">
        <v/>
      </c>
    </row>
    <row r="15475" spans="326:326">
      <c r="LN15475" t="str">
        <v/>
      </c>
    </row>
    <row r="15476" spans="326:326">
      <c r="LN15476" t="str">
        <v/>
      </c>
    </row>
    <row r="15477" spans="326:326">
      <c r="LN15477" t="str">
        <v/>
      </c>
    </row>
    <row r="15478" spans="326:326">
      <c r="LN15478" t="str">
        <v/>
      </c>
    </row>
    <row r="15479" spans="326:326">
      <c r="LN15479" t="str">
        <v/>
      </c>
    </row>
    <row r="15480" spans="326:326">
      <c r="LN15480" t="str">
        <v/>
      </c>
    </row>
    <row r="15481" spans="326:326">
      <c r="LN15481" t="str">
        <v/>
      </c>
    </row>
    <row r="15482" spans="326:326">
      <c r="LN15482" t="str">
        <v/>
      </c>
    </row>
    <row r="15483" spans="326:326">
      <c r="LN15483" t="str">
        <v/>
      </c>
    </row>
    <row r="15484" spans="326:326">
      <c r="LN15484" t="str">
        <v/>
      </c>
    </row>
    <row r="15485" spans="326:326">
      <c r="LN15485" t="str">
        <v/>
      </c>
    </row>
    <row r="15486" spans="326:326">
      <c r="LN15486" t="str">
        <v/>
      </c>
    </row>
    <row r="15487" spans="326:326">
      <c r="LN15487" t="str">
        <v/>
      </c>
    </row>
    <row r="15488" spans="326:326">
      <c r="LN15488" t="str">
        <v/>
      </c>
    </row>
    <row r="15489" spans="326:326">
      <c r="LN15489" t="str">
        <v/>
      </c>
    </row>
    <row r="15490" spans="326:326">
      <c r="LN15490" t="str">
        <v/>
      </c>
    </row>
    <row r="15491" spans="326:326">
      <c r="LN15491" t="str">
        <v/>
      </c>
    </row>
    <row r="15492" spans="326:326">
      <c r="LN15492" t="str">
        <v/>
      </c>
    </row>
    <row r="15493" spans="326:326">
      <c r="LN15493" t="str">
        <v/>
      </c>
    </row>
    <row r="15494" spans="326:326">
      <c r="LN15494" t="str">
        <v/>
      </c>
    </row>
    <row r="15495" spans="326:326">
      <c r="LN15495" t="str">
        <v/>
      </c>
    </row>
    <row r="15496" spans="326:326">
      <c r="LN15496" t="str">
        <v/>
      </c>
    </row>
    <row r="15497" spans="326:326">
      <c r="LN15497" t="str">
        <v/>
      </c>
    </row>
    <row r="15498" spans="326:326">
      <c r="LN15498" t="str">
        <v/>
      </c>
    </row>
    <row r="15499" spans="326:326">
      <c r="LN15499" t="str">
        <v/>
      </c>
    </row>
    <row r="15500" spans="326:326">
      <c r="LN15500" t="str">
        <v/>
      </c>
    </row>
    <row r="15501" spans="326:326">
      <c r="LN15501" t="str">
        <v/>
      </c>
    </row>
    <row r="15502" spans="326:326">
      <c r="LN15502" t="str">
        <v/>
      </c>
    </row>
    <row r="15503" spans="326:326">
      <c r="LN15503" t="str">
        <v/>
      </c>
    </row>
    <row r="15504" spans="326:326">
      <c r="LN15504" t="str">
        <v/>
      </c>
    </row>
    <row r="15505" spans="326:326">
      <c r="LN15505" t="str">
        <v/>
      </c>
    </row>
    <row r="15506" spans="326:326">
      <c r="LN15506" t="str">
        <v/>
      </c>
    </row>
    <row r="15507" spans="326:326">
      <c r="LN15507" t="str">
        <v/>
      </c>
    </row>
    <row r="15508" spans="326:326">
      <c r="LN15508" t="str">
        <v/>
      </c>
    </row>
    <row r="15509" spans="326:326">
      <c r="LN15509" t="str">
        <v/>
      </c>
    </row>
    <row r="15510" spans="326:326">
      <c r="LN15510" t="str">
        <v/>
      </c>
    </row>
    <row r="15511" spans="326:326">
      <c r="LN15511" t="str">
        <v/>
      </c>
    </row>
    <row r="15512" spans="326:326">
      <c r="LN15512" t="str">
        <v/>
      </c>
    </row>
    <row r="15513" spans="326:326">
      <c r="LN15513" t="str">
        <v/>
      </c>
    </row>
    <row r="15514" spans="326:326">
      <c r="LN15514" t="str">
        <v/>
      </c>
    </row>
    <row r="15515" spans="326:326">
      <c r="LN15515" t="str">
        <v/>
      </c>
    </row>
    <row r="15516" spans="326:326">
      <c r="LN15516" t="str">
        <v/>
      </c>
    </row>
    <row r="15517" spans="326:326">
      <c r="LN15517" t="str">
        <v/>
      </c>
    </row>
    <row r="15518" spans="326:326">
      <c r="LN15518" t="str">
        <v/>
      </c>
    </row>
    <row r="15519" spans="326:326">
      <c r="LN15519" t="str">
        <v/>
      </c>
    </row>
    <row r="15520" spans="326:326">
      <c r="LN15520" t="str">
        <v/>
      </c>
    </row>
    <row r="15521" spans="326:326">
      <c r="LN15521" t="str">
        <v/>
      </c>
    </row>
    <row r="15522" spans="326:326">
      <c r="LN15522" t="str">
        <v/>
      </c>
    </row>
    <row r="15523" spans="326:326">
      <c r="LN15523" t="str">
        <v/>
      </c>
    </row>
    <row r="15524" spans="326:326">
      <c r="LN15524" t="str">
        <v/>
      </c>
    </row>
    <row r="15525" spans="326:326">
      <c r="LN15525" t="str">
        <v/>
      </c>
    </row>
    <row r="15526" spans="326:326">
      <c r="LN15526" t="str">
        <v/>
      </c>
    </row>
    <row r="15527" spans="326:326">
      <c r="LN15527" t="str">
        <v/>
      </c>
    </row>
    <row r="15528" spans="326:326">
      <c r="LN15528" t="str">
        <v/>
      </c>
    </row>
    <row r="15529" spans="326:326">
      <c r="LN15529" t="str">
        <v/>
      </c>
    </row>
    <row r="15530" spans="326:326">
      <c r="LN15530" t="str">
        <v/>
      </c>
    </row>
    <row r="15531" spans="326:326">
      <c r="LN15531" t="str">
        <v/>
      </c>
    </row>
    <row r="15532" spans="326:326">
      <c r="LN15532" t="str">
        <v/>
      </c>
    </row>
    <row r="15533" spans="326:326">
      <c r="LN15533" t="str">
        <v/>
      </c>
    </row>
    <row r="15534" spans="326:326">
      <c r="LN15534" t="str">
        <v/>
      </c>
    </row>
    <row r="15535" spans="326:326">
      <c r="LN15535" t="str">
        <v/>
      </c>
    </row>
    <row r="15536" spans="326:326">
      <c r="LN15536" t="str">
        <v/>
      </c>
    </row>
    <row r="15537" spans="326:326">
      <c r="LN15537" t="str">
        <v/>
      </c>
    </row>
    <row r="15538" spans="326:326">
      <c r="LN15538" t="str">
        <v/>
      </c>
    </row>
    <row r="15539" spans="326:326">
      <c r="LN15539" t="str">
        <v/>
      </c>
    </row>
    <row r="15540" spans="326:326">
      <c r="LN15540" t="str">
        <v/>
      </c>
    </row>
    <row r="15541" spans="326:326">
      <c r="LN15541" t="str">
        <v/>
      </c>
    </row>
    <row r="15542" spans="326:326">
      <c r="LN15542" t="str">
        <v/>
      </c>
    </row>
    <row r="15543" spans="326:326">
      <c r="LN15543" t="str">
        <v/>
      </c>
    </row>
    <row r="15544" spans="326:326">
      <c r="LN15544" t="str">
        <v/>
      </c>
    </row>
    <row r="15545" spans="326:326">
      <c r="LN15545" t="str">
        <v/>
      </c>
    </row>
    <row r="15546" spans="326:326">
      <c r="LN15546" t="str">
        <v/>
      </c>
    </row>
    <row r="15547" spans="326:326">
      <c r="LN15547" t="str">
        <v/>
      </c>
    </row>
    <row r="15548" spans="326:326">
      <c r="LN15548" t="str">
        <v/>
      </c>
    </row>
    <row r="15549" spans="326:326">
      <c r="LN15549" t="str">
        <v/>
      </c>
    </row>
    <row r="15550" spans="326:326">
      <c r="LN15550" t="str">
        <v/>
      </c>
    </row>
    <row r="15551" spans="326:326">
      <c r="LN15551" t="str">
        <v/>
      </c>
    </row>
    <row r="15552" spans="326:326">
      <c r="LN15552" t="str">
        <v/>
      </c>
    </row>
    <row r="15553" spans="326:326">
      <c r="LN15553" t="str">
        <v/>
      </c>
    </row>
    <row r="15554" spans="326:326">
      <c r="LN15554" t="str">
        <v/>
      </c>
    </row>
    <row r="15555" spans="326:326">
      <c r="LN15555" t="str">
        <v/>
      </c>
    </row>
    <row r="15556" spans="326:326">
      <c r="LN15556" t="str">
        <v/>
      </c>
    </row>
    <row r="15557" spans="326:326">
      <c r="LN15557" t="str">
        <v/>
      </c>
    </row>
    <row r="15558" spans="326:326">
      <c r="LN15558" t="str">
        <v/>
      </c>
    </row>
    <row r="15559" spans="326:326">
      <c r="LN15559" t="str">
        <v/>
      </c>
    </row>
    <row r="15560" spans="326:326">
      <c r="LN15560" t="str">
        <v/>
      </c>
    </row>
    <row r="15561" spans="326:326">
      <c r="LN15561" t="str">
        <v/>
      </c>
    </row>
    <row r="15562" spans="326:326">
      <c r="LN15562" t="str">
        <v/>
      </c>
    </row>
    <row r="15563" spans="326:326">
      <c r="LN15563" t="str">
        <v/>
      </c>
    </row>
    <row r="15564" spans="326:326">
      <c r="LN15564" t="str">
        <v/>
      </c>
    </row>
    <row r="15565" spans="326:326">
      <c r="LN15565" t="str">
        <v/>
      </c>
    </row>
    <row r="15566" spans="326:326">
      <c r="LN15566" t="str">
        <v/>
      </c>
    </row>
    <row r="15567" spans="326:326">
      <c r="LN15567" t="str">
        <v/>
      </c>
    </row>
    <row r="15568" spans="326:326">
      <c r="LN15568" t="str">
        <v/>
      </c>
    </row>
    <row r="15569" spans="326:326">
      <c r="LN15569" t="str">
        <v/>
      </c>
    </row>
    <row r="15570" spans="326:326">
      <c r="LN15570" t="str">
        <v/>
      </c>
    </row>
    <row r="15571" spans="326:326">
      <c r="LN15571" t="str">
        <v/>
      </c>
    </row>
    <row r="15572" spans="326:326">
      <c r="LN15572" t="str">
        <v/>
      </c>
    </row>
    <row r="15573" spans="326:326">
      <c r="LN15573" t="str">
        <v/>
      </c>
    </row>
    <row r="15574" spans="326:326">
      <c r="LN15574" t="str">
        <v/>
      </c>
    </row>
    <row r="15575" spans="326:326">
      <c r="LN15575" t="str">
        <v/>
      </c>
    </row>
    <row r="15576" spans="326:326">
      <c r="LN15576" t="str">
        <v/>
      </c>
    </row>
    <row r="15577" spans="326:326">
      <c r="LN15577" t="str">
        <v/>
      </c>
    </row>
    <row r="15578" spans="326:326">
      <c r="LN15578" t="str">
        <v/>
      </c>
    </row>
    <row r="15579" spans="326:326">
      <c r="LN15579" t="str">
        <v/>
      </c>
    </row>
    <row r="15580" spans="326:326">
      <c r="LN15580" t="str">
        <v/>
      </c>
    </row>
    <row r="15581" spans="326:326">
      <c r="LN15581" t="str">
        <v/>
      </c>
    </row>
    <row r="15582" spans="326:326">
      <c r="LN15582" t="str">
        <v/>
      </c>
    </row>
    <row r="15583" spans="326:326">
      <c r="LN15583" t="str">
        <v/>
      </c>
    </row>
    <row r="15584" spans="326:326">
      <c r="LN15584" t="str">
        <v/>
      </c>
    </row>
    <row r="15585" spans="326:326">
      <c r="LN15585" t="str">
        <v/>
      </c>
    </row>
    <row r="15586" spans="326:326">
      <c r="LN15586" t="str">
        <v/>
      </c>
    </row>
    <row r="15587" spans="326:326">
      <c r="LN15587" t="str">
        <v/>
      </c>
    </row>
    <row r="15588" spans="326:326">
      <c r="LN15588" t="str">
        <v/>
      </c>
    </row>
    <row r="15589" spans="326:326">
      <c r="LN15589" t="str">
        <v/>
      </c>
    </row>
    <row r="15590" spans="326:326">
      <c r="LN15590" t="str">
        <v/>
      </c>
    </row>
    <row r="15591" spans="326:326">
      <c r="LN15591" t="str">
        <v/>
      </c>
    </row>
    <row r="15592" spans="326:326">
      <c r="LN15592" t="str">
        <v/>
      </c>
    </row>
    <row r="15593" spans="326:326">
      <c r="LN15593" t="str">
        <v/>
      </c>
    </row>
    <row r="15594" spans="326:326">
      <c r="LN15594" t="str">
        <v/>
      </c>
    </row>
    <row r="15595" spans="326:326">
      <c r="LN15595" t="str">
        <v/>
      </c>
    </row>
    <row r="15596" spans="326:326">
      <c r="LN15596" t="str">
        <v/>
      </c>
    </row>
    <row r="15597" spans="326:326">
      <c r="LN15597" t="str">
        <v/>
      </c>
    </row>
    <row r="15598" spans="326:326">
      <c r="LN15598" t="str">
        <v/>
      </c>
    </row>
    <row r="15599" spans="326:326">
      <c r="LN15599" t="str">
        <v/>
      </c>
    </row>
    <row r="15600" spans="326:326">
      <c r="LN15600" t="str">
        <v/>
      </c>
    </row>
    <row r="15601" spans="326:326">
      <c r="LN15601" t="str">
        <v/>
      </c>
    </row>
    <row r="15602" spans="326:326">
      <c r="LN15602" t="str">
        <v/>
      </c>
    </row>
    <row r="15603" spans="326:326">
      <c r="LN15603" t="str">
        <v/>
      </c>
    </row>
    <row r="15604" spans="326:326">
      <c r="LN15604" t="str">
        <v/>
      </c>
    </row>
    <row r="15605" spans="326:326">
      <c r="LN15605" t="str">
        <v/>
      </c>
    </row>
    <row r="15606" spans="326:326">
      <c r="LN15606" t="str">
        <v/>
      </c>
    </row>
    <row r="15607" spans="326:326">
      <c r="LN15607" t="str">
        <v/>
      </c>
    </row>
    <row r="15608" spans="326:326">
      <c r="LN15608" t="str">
        <v/>
      </c>
    </row>
    <row r="15609" spans="326:326">
      <c r="LN15609" t="str">
        <v/>
      </c>
    </row>
    <row r="15610" spans="326:326">
      <c r="LN15610" t="str">
        <v/>
      </c>
    </row>
    <row r="15611" spans="326:326">
      <c r="LN15611" t="str">
        <v/>
      </c>
    </row>
    <row r="15612" spans="326:326">
      <c r="LN15612" t="str">
        <v/>
      </c>
    </row>
    <row r="15613" spans="326:326">
      <c r="LN15613" t="str">
        <v/>
      </c>
    </row>
    <row r="15614" spans="326:326">
      <c r="LN15614" t="str">
        <v/>
      </c>
    </row>
    <row r="15615" spans="326:326">
      <c r="LN15615" t="str">
        <v/>
      </c>
    </row>
    <row r="15616" spans="326:326">
      <c r="LN15616" t="str">
        <v/>
      </c>
    </row>
    <row r="15617" spans="326:326">
      <c r="LN15617" t="str">
        <v/>
      </c>
    </row>
    <row r="15618" spans="326:326">
      <c r="LN15618" t="str">
        <v/>
      </c>
    </row>
    <row r="15619" spans="326:326">
      <c r="LN15619" t="str">
        <v/>
      </c>
    </row>
    <row r="15620" spans="326:326">
      <c r="LN15620" t="str">
        <v/>
      </c>
    </row>
    <row r="15621" spans="326:326">
      <c r="LN15621" t="str">
        <v/>
      </c>
    </row>
    <row r="15622" spans="326:326">
      <c r="LN15622" t="str">
        <v/>
      </c>
    </row>
    <row r="15623" spans="326:326">
      <c r="LN15623" t="str">
        <v/>
      </c>
    </row>
    <row r="15624" spans="326:326">
      <c r="LN15624" t="str">
        <v/>
      </c>
    </row>
    <row r="15625" spans="326:326">
      <c r="LN15625" t="str">
        <v/>
      </c>
    </row>
    <row r="15626" spans="326:326">
      <c r="LN15626" t="str">
        <v/>
      </c>
    </row>
    <row r="15627" spans="326:326">
      <c r="LN15627" t="str">
        <v/>
      </c>
    </row>
    <row r="15628" spans="326:326">
      <c r="LN15628" t="str">
        <v/>
      </c>
    </row>
    <row r="15629" spans="326:326">
      <c r="LN15629" t="str">
        <v/>
      </c>
    </row>
    <row r="15630" spans="326:326">
      <c r="LN15630" t="str">
        <v/>
      </c>
    </row>
    <row r="15631" spans="326:326">
      <c r="LN15631" t="str">
        <v/>
      </c>
    </row>
    <row r="15632" spans="326:326">
      <c r="LN15632" t="str">
        <v/>
      </c>
    </row>
    <row r="15633" spans="326:326">
      <c r="LN15633" t="str">
        <v/>
      </c>
    </row>
    <row r="15634" spans="326:326">
      <c r="LN15634" t="str">
        <v/>
      </c>
    </row>
    <row r="15635" spans="326:326">
      <c r="LN15635" t="str">
        <v/>
      </c>
    </row>
    <row r="15636" spans="326:326">
      <c r="LN15636" t="str">
        <v/>
      </c>
    </row>
    <row r="15637" spans="326:326">
      <c r="LN15637" t="str">
        <v/>
      </c>
    </row>
    <row r="15638" spans="326:326">
      <c r="LN15638" t="str">
        <v/>
      </c>
    </row>
    <row r="15639" spans="326:326">
      <c r="LN15639" t="str">
        <v/>
      </c>
    </row>
    <row r="15640" spans="326:326">
      <c r="LN15640" t="str">
        <v/>
      </c>
    </row>
    <row r="15641" spans="326:326">
      <c r="LN15641" t="str">
        <v/>
      </c>
    </row>
    <row r="15642" spans="326:326">
      <c r="LN15642" t="str">
        <v/>
      </c>
    </row>
    <row r="15643" spans="326:326">
      <c r="LN15643" t="str">
        <v/>
      </c>
    </row>
    <row r="15644" spans="326:326">
      <c r="LN15644" t="str">
        <v/>
      </c>
    </row>
    <row r="15645" spans="326:326">
      <c r="LN15645" t="str">
        <v/>
      </c>
    </row>
    <row r="15646" spans="326:326">
      <c r="LN15646" t="str">
        <v/>
      </c>
    </row>
    <row r="15647" spans="326:326">
      <c r="LN15647" t="str">
        <v/>
      </c>
    </row>
    <row r="15648" spans="326:326">
      <c r="LN15648" t="str">
        <v/>
      </c>
    </row>
    <row r="15649" spans="326:326">
      <c r="LN15649" t="str">
        <v/>
      </c>
    </row>
    <row r="15650" spans="326:326">
      <c r="LN15650" t="str">
        <v/>
      </c>
    </row>
    <row r="15651" spans="326:326">
      <c r="LN15651" t="str">
        <v/>
      </c>
    </row>
    <row r="15652" spans="326:326">
      <c r="LN15652" t="str">
        <v/>
      </c>
    </row>
    <row r="15653" spans="326:326">
      <c r="LN15653" t="str">
        <v/>
      </c>
    </row>
    <row r="15654" spans="326:326">
      <c r="LN15654" t="str">
        <v/>
      </c>
    </row>
    <row r="15655" spans="326:326">
      <c r="LN15655" t="str">
        <v/>
      </c>
    </row>
    <row r="15656" spans="326:326">
      <c r="LN15656" t="str">
        <v/>
      </c>
    </row>
    <row r="15657" spans="326:326">
      <c r="LN15657" t="str">
        <v/>
      </c>
    </row>
    <row r="15658" spans="326:326">
      <c r="LN15658" t="str">
        <v/>
      </c>
    </row>
    <row r="15659" spans="326:326">
      <c r="LN15659" t="str">
        <v/>
      </c>
    </row>
    <row r="15660" spans="326:326">
      <c r="LN15660" t="str">
        <v/>
      </c>
    </row>
    <row r="15661" spans="326:326">
      <c r="LN15661" t="str">
        <v/>
      </c>
    </row>
    <row r="15662" spans="326:326">
      <c r="LN15662" t="str">
        <v/>
      </c>
    </row>
    <row r="15663" spans="326:326">
      <c r="LN15663" t="str">
        <v/>
      </c>
    </row>
    <row r="15664" spans="326:326">
      <c r="LN15664" t="str">
        <v/>
      </c>
    </row>
    <row r="15665" spans="326:326">
      <c r="LN15665" t="str">
        <v/>
      </c>
    </row>
    <row r="15666" spans="326:326">
      <c r="LN15666" t="str">
        <v/>
      </c>
    </row>
    <row r="15667" spans="326:326">
      <c r="LN15667" t="str">
        <v/>
      </c>
    </row>
    <row r="15668" spans="326:326">
      <c r="LN15668" t="str">
        <v/>
      </c>
    </row>
    <row r="15669" spans="326:326">
      <c r="LN15669" t="str">
        <v/>
      </c>
    </row>
    <row r="15670" spans="326:326">
      <c r="LN15670" t="str">
        <v/>
      </c>
    </row>
    <row r="15671" spans="326:326">
      <c r="LN15671" t="str">
        <v/>
      </c>
    </row>
    <row r="15672" spans="326:326">
      <c r="LN15672" t="str">
        <v/>
      </c>
    </row>
    <row r="15673" spans="326:326">
      <c r="LN15673" t="str">
        <v/>
      </c>
    </row>
    <row r="15674" spans="326:326">
      <c r="LN15674" t="str">
        <v/>
      </c>
    </row>
    <row r="15675" spans="326:326">
      <c r="LN15675" t="str">
        <v/>
      </c>
    </row>
    <row r="15676" spans="326:326">
      <c r="LN15676" t="str">
        <v/>
      </c>
    </row>
    <row r="15677" spans="326:326">
      <c r="LN15677" t="str">
        <v/>
      </c>
    </row>
    <row r="15678" spans="326:326">
      <c r="LN15678" t="str">
        <v/>
      </c>
    </row>
    <row r="15679" spans="326:326">
      <c r="LN15679" t="str">
        <v/>
      </c>
    </row>
    <row r="15680" spans="326:326">
      <c r="LN15680" t="str">
        <v/>
      </c>
    </row>
    <row r="15681" spans="326:326">
      <c r="LN15681" t="str">
        <v/>
      </c>
    </row>
    <row r="15682" spans="326:326">
      <c r="LN15682" t="str">
        <v/>
      </c>
    </row>
    <row r="15683" spans="326:326">
      <c r="LN15683" t="str">
        <v/>
      </c>
    </row>
    <row r="15684" spans="326:326">
      <c r="LN15684" t="str">
        <v/>
      </c>
    </row>
    <row r="15685" spans="326:326">
      <c r="LN15685" t="str">
        <v/>
      </c>
    </row>
    <row r="15686" spans="326:326">
      <c r="LN15686" t="str">
        <v/>
      </c>
    </row>
    <row r="15687" spans="326:326">
      <c r="LN15687" t="str">
        <v/>
      </c>
    </row>
    <row r="15688" spans="326:326">
      <c r="LN15688" t="str">
        <v/>
      </c>
    </row>
    <row r="15689" spans="326:326">
      <c r="LN15689" t="str">
        <v/>
      </c>
    </row>
    <row r="15690" spans="326:326">
      <c r="LN15690" t="str">
        <v/>
      </c>
    </row>
    <row r="15691" spans="326:326">
      <c r="LN15691" t="str">
        <v/>
      </c>
    </row>
    <row r="15692" spans="326:326">
      <c r="LN15692" t="str">
        <v/>
      </c>
    </row>
    <row r="15693" spans="326:326">
      <c r="LN15693" t="str">
        <v/>
      </c>
    </row>
    <row r="15694" spans="326:326">
      <c r="LN15694" t="str">
        <v/>
      </c>
    </row>
    <row r="15695" spans="326:326">
      <c r="LN15695" t="str">
        <v/>
      </c>
    </row>
    <row r="15696" spans="326:326">
      <c r="LN15696" t="str">
        <v/>
      </c>
    </row>
    <row r="15697" spans="326:326">
      <c r="LN15697" t="str">
        <v/>
      </c>
    </row>
    <row r="15698" spans="326:326">
      <c r="LN15698" t="str">
        <v/>
      </c>
    </row>
    <row r="15699" spans="326:326">
      <c r="LN15699" t="str">
        <v/>
      </c>
    </row>
    <row r="15700" spans="326:326">
      <c r="LN15700" t="str">
        <v/>
      </c>
    </row>
    <row r="15701" spans="326:326">
      <c r="LN15701" t="str">
        <v/>
      </c>
    </row>
    <row r="15702" spans="326:326">
      <c r="LN15702" t="str">
        <v/>
      </c>
    </row>
    <row r="15703" spans="326:326">
      <c r="LN15703" t="str">
        <v/>
      </c>
    </row>
    <row r="15704" spans="326:326">
      <c r="LN15704" t="str">
        <v/>
      </c>
    </row>
    <row r="15705" spans="326:326">
      <c r="LN15705" t="str">
        <v/>
      </c>
    </row>
    <row r="15706" spans="326:326">
      <c r="LN15706" t="str">
        <v/>
      </c>
    </row>
    <row r="15707" spans="326:326">
      <c r="LN15707" t="str">
        <v/>
      </c>
    </row>
    <row r="15708" spans="326:326">
      <c r="LN15708" t="str">
        <v/>
      </c>
    </row>
    <row r="15709" spans="326:326">
      <c r="LN15709" t="str">
        <v/>
      </c>
    </row>
    <row r="15710" spans="326:326">
      <c r="LN15710" t="str">
        <v/>
      </c>
    </row>
    <row r="15711" spans="326:326">
      <c r="LN15711" t="str">
        <v/>
      </c>
    </row>
    <row r="15712" spans="326:326">
      <c r="LN15712" t="str">
        <v/>
      </c>
    </row>
    <row r="15713" spans="326:326">
      <c r="LN15713" t="str">
        <v/>
      </c>
    </row>
    <row r="15714" spans="326:326">
      <c r="LN15714" t="str">
        <v/>
      </c>
    </row>
    <row r="15715" spans="326:326">
      <c r="LN15715" t="str">
        <v/>
      </c>
    </row>
    <row r="15716" spans="326:326">
      <c r="LN15716" t="str">
        <v/>
      </c>
    </row>
    <row r="15717" spans="326:326">
      <c r="LN15717" t="str">
        <v/>
      </c>
    </row>
    <row r="15718" spans="326:326">
      <c r="LN15718" t="str">
        <v/>
      </c>
    </row>
    <row r="15719" spans="326:326">
      <c r="LN15719" t="str">
        <v/>
      </c>
    </row>
    <row r="15720" spans="326:326">
      <c r="LN15720" t="str">
        <v/>
      </c>
    </row>
    <row r="15721" spans="326:326">
      <c r="LN15721" t="str">
        <v/>
      </c>
    </row>
    <row r="15722" spans="326:326">
      <c r="LN15722" t="str">
        <v/>
      </c>
    </row>
    <row r="15723" spans="326:326">
      <c r="LN15723" t="str">
        <v/>
      </c>
    </row>
    <row r="15724" spans="326:326">
      <c r="LN15724" t="str">
        <v/>
      </c>
    </row>
    <row r="15725" spans="326:326">
      <c r="LN15725" t="str">
        <v/>
      </c>
    </row>
    <row r="15726" spans="326:326">
      <c r="LN15726" t="str">
        <v/>
      </c>
    </row>
    <row r="15727" spans="326:326">
      <c r="LN15727" t="str">
        <v/>
      </c>
    </row>
    <row r="15728" spans="326:326">
      <c r="LN15728" t="str">
        <v/>
      </c>
    </row>
    <row r="15729" spans="326:326">
      <c r="LN15729" t="str">
        <v/>
      </c>
    </row>
    <row r="15730" spans="326:326">
      <c r="LN15730" t="str">
        <v/>
      </c>
    </row>
    <row r="15731" spans="326:326">
      <c r="LN15731" t="str">
        <v/>
      </c>
    </row>
    <row r="15732" spans="326:326">
      <c r="LN15732" t="str">
        <v/>
      </c>
    </row>
    <row r="15733" spans="326:326">
      <c r="LN15733" t="str">
        <v/>
      </c>
    </row>
    <row r="15734" spans="326:326">
      <c r="LN15734" t="str">
        <v/>
      </c>
    </row>
    <row r="15735" spans="326:326">
      <c r="LN15735" t="str">
        <v/>
      </c>
    </row>
    <row r="15736" spans="326:326">
      <c r="LN15736" t="str">
        <v/>
      </c>
    </row>
    <row r="15737" spans="326:326">
      <c r="LN15737" t="str">
        <v/>
      </c>
    </row>
    <row r="15738" spans="326:326">
      <c r="LN15738" t="str">
        <v/>
      </c>
    </row>
    <row r="15739" spans="326:326">
      <c r="LN15739" t="str">
        <v/>
      </c>
    </row>
    <row r="15740" spans="326:326">
      <c r="LN15740" t="str">
        <v/>
      </c>
    </row>
    <row r="15741" spans="326:326">
      <c r="LN15741" t="str">
        <v/>
      </c>
    </row>
    <row r="15742" spans="326:326">
      <c r="LN15742" t="str">
        <v/>
      </c>
    </row>
    <row r="15743" spans="326:326">
      <c r="LN15743" t="str">
        <v/>
      </c>
    </row>
    <row r="15744" spans="326:326">
      <c r="LN15744" t="str">
        <v/>
      </c>
    </row>
    <row r="15745" spans="326:326">
      <c r="LN15745" t="str">
        <v/>
      </c>
    </row>
    <row r="15746" spans="326:326">
      <c r="LN15746" t="str">
        <v/>
      </c>
    </row>
    <row r="15747" spans="326:326">
      <c r="LN15747" t="str">
        <v/>
      </c>
    </row>
    <row r="15748" spans="326:326">
      <c r="LN15748" t="str">
        <v/>
      </c>
    </row>
    <row r="15749" spans="326:326">
      <c r="LN15749" t="str">
        <v/>
      </c>
    </row>
    <row r="15750" spans="326:326">
      <c r="LN15750" t="str">
        <v/>
      </c>
    </row>
    <row r="15751" spans="326:326">
      <c r="LN15751" t="str">
        <v/>
      </c>
    </row>
    <row r="15752" spans="326:326">
      <c r="LN15752" t="str">
        <v/>
      </c>
    </row>
    <row r="15753" spans="326:326">
      <c r="LN15753" t="str">
        <v/>
      </c>
    </row>
    <row r="15754" spans="326:326">
      <c r="LN15754" t="str">
        <v/>
      </c>
    </row>
    <row r="15755" spans="326:326">
      <c r="LN15755" t="str">
        <v/>
      </c>
    </row>
    <row r="15756" spans="326:326">
      <c r="LN15756" t="str">
        <v/>
      </c>
    </row>
    <row r="15757" spans="326:326">
      <c r="LN15757" t="str">
        <v/>
      </c>
    </row>
    <row r="15758" spans="326:326">
      <c r="LN15758" t="str">
        <v/>
      </c>
    </row>
    <row r="15759" spans="326:326">
      <c r="LN15759" t="str">
        <v/>
      </c>
    </row>
    <row r="15760" spans="326:326">
      <c r="LN15760" t="str">
        <v/>
      </c>
    </row>
    <row r="15761" spans="326:326">
      <c r="LN15761" t="str">
        <v/>
      </c>
    </row>
    <row r="15762" spans="326:326">
      <c r="LN15762" t="str">
        <v/>
      </c>
    </row>
    <row r="15763" spans="326:326">
      <c r="LN15763" t="str">
        <v/>
      </c>
    </row>
    <row r="15764" spans="326:326">
      <c r="LN15764" t="str">
        <v/>
      </c>
    </row>
    <row r="15765" spans="326:326">
      <c r="LN15765" t="str">
        <v/>
      </c>
    </row>
    <row r="15766" spans="326:326">
      <c r="LN15766" t="str">
        <v/>
      </c>
    </row>
    <row r="15767" spans="326:326">
      <c r="LN15767" t="str">
        <v/>
      </c>
    </row>
    <row r="15768" spans="326:326">
      <c r="LN15768" t="str">
        <v/>
      </c>
    </row>
    <row r="15769" spans="326:326">
      <c r="LN15769" t="str">
        <v/>
      </c>
    </row>
    <row r="15770" spans="326:326">
      <c r="LN15770" t="str">
        <v/>
      </c>
    </row>
    <row r="15771" spans="326:326">
      <c r="LN15771" t="str">
        <v/>
      </c>
    </row>
    <row r="15772" spans="326:326">
      <c r="LN15772" t="str">
        <v/>
      </c>
    </row>
    <row r="15773" spans="326:326">
      <c r="LN15773" t="str">
        <v/>
      </c>
    </row>
    <row r="15774" spans="326:326">
      <c r="LN15774" t="str">
        <v/>
      </c>
    </row>
    <row r="15775" spans="326:326">
      <c r="LN15775" t="str">
        <v/>
      </c>
    </row>
    <row r="15776" spans="326:326">
      <c r="LN15776" t="str">
        <v/>
      </c>
    </row>
    <row r="15777" spans="326:326">
      <c r="LN15777" t="str">
        <v/>
      </c>
    </row>
    <row r="15778" spans="326:326">
      <c r="LN15778" t="str">
        <v/>
      </c>
    </row>
    <row r="15779" spans="326:326">
      <c r="LN15779" t="str">
        <v/>
      </c>
    </row>
    <row r="15780" spans="326:326">
      <c r="LN15780" t="str">
        <v/>
      </c>
    </row>
    <row r="15781" spans="326:326">
      <c r="LN15781" t="str">
        <v/>
      </c>
    </row>
    <row r="15782" spans="326:326">
      <c r="LN15782" t="str">
        <v/>
      </c>
    </row>
    <row r="15783" spans="326:326">
      <c r="LN15783" t="str">
        <v/>
      </c>
    </row>
    <row r="15784" spans="326:326">
      <c r="LN15784" t="str">
        <v/>
      </c>
    </row>
    <row r="15785" spans="326:326">
      <c r="LN15785" t="str">
        <v/>
      </c>
    </row>
    <row r="15786" spans="326:326">
      <c r="LN15786" t="str">
        <v/>
      </c>
    </row>
    <row r="15787" spans="326:326">
      <c r="LN15787" t="str">
        <v/>
      </c>
    </row>
    <row r="15788" spans="326:326">
      <c r="LN15788" t="str">
        <v/>
      </c>
    </row>
    <row r="15789" spans="326:326">
      <c r="LN15789" t="str">
        <v/>
      </c>
    </row>
    <row r="15790" spans="326:326">
      <c r="LN15790" t="str">
        <v/>
      </c>
    </row>
    <row r="15791" spans="326:326">
      <c r="LN15791" t="str">
        <v/>
      </c>
    </row>
    <row r="15792" spans="326:326">
      <c r="LN15792" t="str">
        <v/>
      </c>
    </row>
    <row r="15793" spans="326:326">
      <c r="LN15793" t="str">
        <v/>
      </c>
    </row>
    <row r="15794" spans="326:326">
      <c r="LN15794" t="str">
        <v/>
      </c>
    </row>
    <row r="15795" spans="326:326">
      <c r="LN15795" t="str">
        <v/>
      </c>
    </row>
    <row r="15796" spans="326:326">
      <c r="LN15796" t="str">
        <v/>
      </c>
    </row>
    <row r="15797" spans="326:326">
      <c r="LN15797" t="str">
        <v/>
      </c>
    </row>
    <row r="15798" spans="326:326">
      <c r="LN15798" t="str">
        <v/>
      </c>
    </row>
    <row r="15799" spans="326:326">
      <c r="LN15799" t="str">
        <v/>
      </c>
    </row>
    <row r="15800" spans="326:326">
      <c r="LN15800" t="str">
        <v/>
      </c>
    </row>
    <row r="15801" spans="326:326">
      <c r="LN15801" t="str">
        <v/>
      </c>
    </row>
    <row r="15802" spans="326:326">
      <c r="LN15802" t="str">
        <v/>
      </c>
    </row>
    <row r="15803" spans="326:326">
      <c r="LN15803" t="str">
        <v/>
      </c>
    </row>
    <row r="15804" spans="326:326">
      <c r="LN15804" t="str">
        <v/>
      </c>
    </row>
    <row r="15805" spans="326:326">
      <c r="LN15805" t="str">
        <v/>
      </c>
    </row>
    <row r="15806" spans="326:326">
      <c r="LN15806" t="str">
        <v/>
      </c>
    </row>
    <row r="15807" spans="326:326">
      <c r="LN15807" t="str">
        <v/>
      </c>
    </row>
    <row r="15808" spans="326:326">
      <c r="LN15808" t="str">
        <v/>
      </c>
    </row>
    <row r="15809" spans="326:326">
      <c r="LN15809" t="str">
        <v/>
      </c>
    </row>
    <row r="15810" spans="326:326">
      <c r="LN15810" t="str">
        <v/>
      </c>
    </row>
    <row r="15811" spans="326:326">
      <c r="LN15811" t="str">
        <v/>
      </c>
    </row>
    <row r="15812" spans="326:326">
      <c r="LN15812" t="str">
        <v/>
      </c>
    </row>
    <row r="15813" spans="326:326">
      <c r="LN15813" t="str">
        <v/>
      </c>
    </row>
    <row r="15814" spans="326:326">
      <c r="LN15814" t="str">
        <v/>
      </c>
    </row>
    <row r="15815" spans="326:326">
      <c r="LN15815" t="str">
        <v/>
      </c>
    </row>
    <row r="15816" spans="326:326">
      <c r="LN15816" t="str">
        <v/>
      </c>
    </row>
    <row r="15817" spans="326:326">
      <c r="LN15817" t="str">
        <v/>
      </c>
    </row>
    <row r="15818" spans="326:326">
      <c r="LN15818" t="str">
        <v/>
      </c>
    </row>
    <row r="15819" spans="326:326">
      <c r="LN15819" t="str">
        <v/>
      </c>
    </row>
    <row r="15820" spans="326:326">
      <c r="LN15820" t="str">
        <v/>
      </c>
    </row>
    <row r="15821" spans="326:326">
      <c r="LN15821" t="str">
        <v/>
      </c>
    </row>
    <row r="15822" spans="326:326">
      <c r="LN15822" t="str">
        <v/>
      </c>
    </row>
    <row r="15823" spans="326:326">
      <c r="LN15823" t="str">
        <v/>
      </c>
    </row>
    <row r="15824" spans="326:326">
      <c r="LN15824" t="str">
        <v/>
      </c>
    </row>
    <row r="15825" spans="326:326">
      <c r="LN15825" t="str">
        <v/>
      </c>
    </row>
    <row r="15826" spans="326:326">
      <c r="LN15826" t="str">
        <v/>
      </c>
    </row>
    <row r="15827" spans="326:326">
      <c r="LN15827" t="str">
        <v/>
      </c>
    </row>
    <row r="15828" spans="326:326">
      <c r="LN15828" t="str">
        <v/>
      </c>
    </row>
    <row r="15829" spans="326:326">
      <c r="LN15829" t="str">
        <v/>
      </c>
    </row>
    <row r="15830" spans="326:326">
      <c r="LN15830" t="str">
        <v/>
      </c>
    </row>
    <row r="15831" spans="326:326">
      <c r="LN15831" t="str">
        <v/>
      </c>
    </row>
    <row r="15832" spans="326:326">
      <c r="LN15832" t="str">
        <v/>
      </c>
    </row>
    <row r="15833" spans="326:326">
      <c r="LN15833" t="str">
        <v/>
      </c>
    </row>
    <row r="15834" spans="326:326">
      <c r="LN15834" t="str">
        <v/>
      </c>
    </row>
    <row r="15835" spans="326:326">
      <c r="LN15835" t="str">
        <v/>
      </c>
    </row>
    <row r="15836" spans="326:326">
      <c r="LN15836" t="str">
        <v/>
      </c>
    </row>
    <row r="15837" spans="326:326">
      <c r="LN15837" t="str">
        <v/>
      </c>
    </row>
    <row r="15838" spans="326:326">
      <c r="LN15838" t="str">
        <v/>
      </c>
    </row>
    <row r="15839" spans="326:326">
      <c r="LN15839" t="str">
        <v/>
      </c>
    </row>
    <row r="15840" spans="326:326">
      <c r="LN15840" t="str">
        <v/>
      </c>
    </row>
    <row r="15841" spans="326:326">
      <c r="LN15841" t="str">
        <v/>
      </c>
    </row>
    <row r="15842" spans="326:326">
      <c r="LN15842" t="str">
        <v/>
      </c>
    </row>
    <row r="15843" spans="326:326">
      <c r="LN15843" t="str">
        <v/>
      </c>
    </row>
    <row r="15844" spans="326:326">
      <c r="LN15844" t="str">
        <v/>
      </c>
    </row>
    <row r="15845" spans="326:326">
      <c r="LN15845" t="str">
        <v/>
      </c>
    </row>
    <row r="15846" spans="326:326">
      <c r="LN15846" t="str">
        <v/>
      </c>
    </row>
    <row r="15847" spans="326:326">
      <c r="LN15847" t="str">
        <v/>
      </c>
    </row>
    <row r="15848" spans="326:326">
      <c r="LN15848" t="str">
        <v/>
      </c>
    </row>
    <row r="15849" spans="326:326">
      <c r="LN15849" t="str">
        <v/>
      </c>
    </row>
    <row r="15850" spans="326:326">
      <c r="LN15850" t="str">
        <v/>
      </c>
    </row>
    <row r="15851" spans="326:326">
      <c r="LN15851" t="str">
        <v/>
      </c>
    </row>
    <row r="15852" spans="326:326">
      <c r="LN15852" t="str">
        <v/>
      </c>
    </row>
    <row r="15853" spans="326:326">
      <c r="LN15853" t="str">
        <v/>
      </c>
    </row>
    <row r="15854" spans="326:326">
      <c r="LN15854" t="str">
        <v/>
      </c>
    </row>
    <row r="15855" spans="326:326">
      <c r="LN15855" t="str">
        <v/>
      </c>
    </row>
    <row r="15856" spans="326:326">
      <c r="LN15856" t="str">
        <v/>
      </c>
    </row>
    <row r="15857" spans="326:326">
      <c r="LN15857" t="str">
        <v/>
      </c>
    </row>
    <row r="15858" spans="326:326">
      <c r="LN15858" t="str">
        <v/>
      </c>
    </row>
    <row r="15859" spans="326:326">
      <c r="LN15859" t="str">
        <v/>
      </c>
    </row>
    <row r="15860" spans="326:326">
      <c r="LN15860" t="str">
        <v/>
      </c>
    </row>
    <row r="15861" spans="326:326">
      <c r="LN15861" t="str">
        <v/>
      </c>
    </row>
    <row r="15862" spans="326:326">
      <c r="LN15862" t="str">
        <v/>
      </c>
    </row>
    <row r="15863" spans="326:326">
      <c r="LN15863" t="str">
        <v/>
      </c>
    </row>
    <row r="15864" spans="326:326">
      <c r="LN15864" t="str">
        <v/>
      </c>
    </row>
    <row r="15865" spans="326:326">
      <c r="LN15865" t="str">
        <v/>
      </c>
    </row>
    <row r="15866" spans="326:326">
      <c r="LN15866" t="str">
        <v/>
      </c>
    </row>
    <row r="15867" spans="326:326">
      <c r="LN15867" t="str">
        <v/>
      </c>
    </row>
    <row r="15868" spans="326:326">
      <c r="LN15868" t="str">
        <v/>
      </c>
    </row>
    <row r="15869" spans="326:326">
      <c r="LN15869" t="str">
        <v/>
      </c>
    </row>
    <row r="15870" spans="326:326">
      <c r="LN15870" t="str">
        <v/>
      </c>
    </row>
    <row r="15871" spans="326:326">
      <c r="LN15871" t="str">
        <v/>
      </c>
    </row>
    <row r="15872" spans="326:326">
      <c r="LN15872" t="str">
        <v/>
      </c>
    </row>
    <row r="15873" spans="326:326">
      <c r="LN15873" t="str">
        <v/>
      </c>
    </row>
    <row r="15874" spans="326:326">
      <c r="LN15874" t="str">
        <v/>
      </c>
    </row>
    <row r="15875" spans="326:326">
      <c r="LN15875" t="str">
        <v/>
      </c>
    </row>
    <row r="15876" spans="326:326">
      <c r="LN15876" t="str">
        <v/>
      </c>
    </row>
    <row r="15877" spans="326:326">
      <c r="LN15877" t="str">
        <v/>
      </c>
    </row>
    <row r="15878" spans="326:326">
      <c r="LN15878" t="str">
        <v/>
      </c>
    </row>
    <row r="15879" spans="326:326">
      <c r="LN15879" t="str">
        <v/>
      </c>
    </row>
    <row r="15880" spans="326:326">
      <c r="LN15880" t="str">
        <v/>
      </c>
    </row>
    <row r="15881" spans="326:326">
      <c r="LN15881" t="str">
        <v/>
      </c>
    </row>
    <row r="15882" spans="326:326">
      <c r="LN15882" t="str">
        <v/>
      </c>
    </row>
    <row r="15883" spans="326:326">
      <c r="LN15883" t="str">
        <v/>
      </c>
    </row>
    <row r="15884" spans="326:326">
      <c r="LN15884" t="str">
        <v/>
      </c>
    </row>
    <row r="15885" spans="326:326">
      <c r="LN15885" t="str">
        <v/>
      </c>
    </row>
    <row r="15886" spans="326:326">
      <c r="LN15886" t="str">
        <v/>
      </c>
    </row>
    <row r="15887" spans="326:326">
      <c r="LN15887" t="str">
        <v/>
      </c>
    </row>
    <row r="15888" spans="326:326">
      <c r="LN15888" t="str">
        <v/>
      </c>
    </row>
    <row r="15889" spans="326:326">
      <c r="LN15889" t="str">
        <v/>
      </c>
    </row>
    <row r="15890" spans="326:326">
      <c r="LN15890" t="str">
        <v/>
      </c>
    </row>
    <row r="15891" spans="326:326">
      <c r="LN15891" t="str">
        <v/>
      </c>
    </row>
    <row r="15892" spans="326:326">
      <c r="LN15892" t="str">
        <v/>
      </c>
    </row>
    <row r="15893" spans="326:326">
      <c r="LN15893" t="str">
        <v/>
      </c>
    </row>
    <row r="15894" spans="326:326">
      <c r="LN15894" t="str">
        <v/>
      </c>
    </row>
    <row r="15895" spans="326:326">
      <c r="LN15895" t="str">
        <v/>
      </c>
    </row>
    <row r="15896" spans="326:326">
      <c r="LN15896" t="str">
        <v/>
      </c>
    </row>
    <row r="15897" spans="326:326">
      <c r="LN15897" t="str">
        <v/>
      </c>
    </row>
    <row r="15898" spans="326:326">
      <c r="LN15898" t="str">
        <v/>
      </c>
    </row>
    <row r="15899" spans="326:326">
      <c r="LN15899" t="str">
        <v/>
      </c>
    </row>
    <row r="15900" spans="326:326">
      <c r="LN15900" t="str">
        <v/>
      </c>
    </row>
    <row r="15901" spans="326:326">
      <c r="LN15901" t="str">
        <v/>
      </c>
    </row>
    <row r="15902" spans="326:326">
      <c r="LN15902" t="str">
        <v/>
      </c>
    </row>
    <row r="15903" spans="326:326">
      <c r="LN15903" t="str">
        <v/>
      </c>
    </row>
    <row r="15904" spans="326:326">
      <c r="LN15904" t="str">
        <v/>
      </c>
    </row>
    <row r="15905" spans="326:326">
      <c r="LN15905" t="str">
        <v/>
      </c>
    </row>
    <row r="15906" spans="326:326">
      <c r="LN15906" t="str">
        <v/>
      </c>
    </row>
    <row r="15907" spans="326:326">
      <c r="LN15907" t="str">
        <v/>
      </c>
    </row>
    <row r="15908" spans="326:326">
      <c r="LN15908" t="str">
        <v/>
      </c>
    </row>
    <row r="15909" spans="326:326">
      <c r="LN15909" t="str">
        <v/>
      </c>
    </row>
    <row r="15910" spans="326:326">
      <c r="LN15910" t="str">
        <v/>
      </c>
    </row>
    <row r="15911" spans="326:326">
      <c r="LN15911" t="str">
        <v/>
      </c>
    </row>
    <row r="15912" spans="326:326">
      <c r="LN15912" t="str">
        <v/>
      </c>
    </row>
    <row r="15913" spans="326:326">
      <c r="LN15913" t="str">
        <v/>
      </c>
    </row>
    <row r="15914" spans="326:326">
      <c r="LN15914" t="str">
        <v/>
      </c>
    </row>
    <row r="15915" spans="326:326">
      <c r="LN15915" t="str">
        <v/>
      </c>
    </row>
    <row r="15916" spans="326:326">
      <c r="LN15916" t="str">
        <v/>
      </c>
    </row>
    <row r="15917" spans="326:326">
      <c r="LN15917" t="str">
        <v/>
      </c>
    </row>
    <row r="15918" spans="326:326">
      <c r="LN15918" t="str">
        <v/>
      </c>
    </row>
    <row r="15919" spans="326:326">
      <c r="LN15919" t="str">
        <v/>
      </c>
    </row>
    <row r="15920" spans="326:326">
      <c r="LN15920" t="str">
        <v/>
      </c>
    </row>
    <row r="15921" spans="326:326">
      <c r="LN15921" t="str">
        <v/>
      </c>
    </row>
    <row r="15922" spans="326:326">
      <c r="LN15922" t="str">
        <v/>
      </c>
    </row>
    <row r="15923" spans="326:326">
      <c r="LN15923" t="str">
        <v/>
      </c>
    </row>
    <row r="15924" spans="326:326">
      <c r="LN15924" t="str">
        <v/>
      </c>
    </row>
    <row r="15925" spans="326:326">
      <c r="LN15925" t="str">
        <v/>
      </c>
    </row>
    <row r="15926" spans="326:326">
      <c r="LN15926" t="str">
        <v/>
      </c>
    </row>
    <row r="15927" spans="326:326">
      <c r="LN15927" t="str">
        <v/>
      </c>
    </row>
    <row r="15928" spans="326:326">
      <c r="LN15928" t="str">
        <v/>
      </c>
    </row>
    <row r="15929" spans="326:326">
      <c r="LN15929" t="str">
        <v/>
      </c>
    </row>
    <row r="15930" spans="326:326">
      <c r="LN15930" t="str">
        <v/>
      </c>
    </row>
    <row r="15931" spans="326:326">
      <c r="LN15931" t="str">
        <v/>
      </c>
    </row>
    <row r="15932" spans="326:326">
      <c r="LN15932" t="str">
        <v/>
      </c>
    </row>
    <row r="15933" spans="326:326">
      <c r="LN15933" t="str">
        <v/>
      </c>
    </row>
    <row r="15934" spans="326:326">
      <c r="LN15934" t="str">
        <v/>
      </c>
    </row>
    <row r="15935" spans="326:326">
      <c r="LN15935" t="str">
        <v/>
      </c>
    </row>
    <row r="15936" spans="326:326">
      <c r="LN15936" t="str">
        <v/>
      </c>
    </row>
    <row r="15937" spans="326:326">
      <c r="LN15937" t="str">
        <v/>
      </c>
    </row>
    <row r="15938" spans="326:326">
      <c r="LN15938" t="str">
        <v/>
      </c>
    </row>
    <row r="15939" spans="326:326">
      <c r="LN15939" t="str">
        <v/>
      </c>
    </row>
    <row r="15940" spans="326:326">
      <c r="LN15940" t="str">
        <v/>
      </c>
    </row>
    <row r="15941" spans="326:326">
      <c r="LN15941" t="str">
        <v/>
      </c>
    </row>
    <row r="15942" spans="326:326">
      <c r="LN15942" t="str">
        <v/>
      </c>
    </row>
    <row r="15943" spans="326:326">
      <c r="LN15943" t="str">
        <v/>
      </c>
    </row>
    <row r="15944" spans="326:326">
      <c r="LN15944" t="str">
        <v/>
      </c>
    </row>
    <row r="15945" spans="326:326">
      <c r="LN15945" t="str">
        <v/>
      </c>
    </row>
    <row r="15946" spans="326:326">
      <c r="LN15946" t="str">
        <v/>
      </c>
    </row>
    <row r="15947" spans="326:326">
      <c r="LN15947" t="str">
        <v/>
      </c>
    </row>
    <row r="15948" spans="326:326">
      <c r="LN15948" t="str">
        <v/>
      </c>
    </row>
    <row r="15949" spans="326:326">
      <c r="LN15949" t="str">
        <v/>
      </c>
    </row>
    <row r="15950" spans="326:326">
      <c r="LN15950" t="str">
        <v/>
      </c>
    </row>
    <row r="15951" spans="326:326">
      <c r="LN15951" t="str">
        <v/>
      </c>
    </row>
    <row r="15952" spans="326:326">
      <c r="LN15952" t="str">
        <v/>
      </c>
    </row>
    <row r="15953" spans="326:326">
      <c r="LN15953" t="str">
        <v/>
      </c>
    </row>
    <row r="15954" spans="326:326">
      <c r="LN15954" t="str">
        <v/>
      </c>
    </row>
    <row r="15955" spans="326:326">
      <c r="LN15955" t="str">
        <v/>
      </c>
    </row>
    <row r="15956" spans="326:326">
      <c r="LN15956" t="str">
        <v/>
      </c>
    </row>
    <row r="15957" spans="326:326">
      <c r="LN15957" t="str">
        <v/>
      </c>
    </row>
    <row r="15958" spans="326:326">
      <c r="LN15958" t="str">
        <v/>
      </c>
    </row>
    <row r="15959" spans="326:326">
      <c r="LN15959" t="str">
        <v/>
      </c>
    </row>
    <row r="15960" spans="326:326">
      <c r="LN15960" t="str">
        <v/>
      </c>
    </row>
    <row r="15961" spans="326:326">
      <c r="LN15961" t="str">
        <v/>
      </c>
    </row>
    <row r="15962" spans="326:326">
      <c r="LN15962" t="str">
        <v/>
      </c>
    </row>
    <row r="15963" spans="326:326">
      <c r="LN15963" t="str">
        <v/>
      </c>
    </row>
    <row r="15964" spans="326:326">
      <c r="LN15964" t="str">
        <v/>
      </c>
    </row>
    <row r="15965" spans="326:326">
      <c r="LN15965" t="str">
        <v/>
      </c>
    </row>
    <row r="15966" spans="326:326">
      <c r="LN15966" t="str">
        <v/>
      </c>
    </row>
    <row r="15967" spans="326:326">
      <c r="LN15967" t="str">
        <v/>
      </c>
    </row>
    <row r="15968" spans="326:326">
      <c r="LN15968" t="str">
        <v/>
      </c>
    </row>
    <row r="15969" spans="326:326">
      <c r="LN15969" t="str">
        <v/>
      </c>
    </row>
    <row r="15970" spans="326:326">
      <c r="LN15970" t="str">
        <v/>
      </c>
    </row>
    <row r="15971" spans="326:326">
      <c r="LN15971" t="str">
        <v/>
      </c>
    </row>
    <row r="15972" spans="326:326">
      <c r="LN15972" t="str">
        <v/>
      </c>
    </row>
    <row r="15973" spans="326:326">
      <c r="LN15973" t="str">
        <v/>
      </c>
    </row>
    <row r="15974" spans="326:326">
      <c r="LN15974" t="str">
        <v/>
      </c>
    </row>
    <row r="15975" spans="326:326">
      <c r="LN15975" t="str">
        <v/>
      </c>
    </row>
    <row r="15976" spans="326:326">
      <c r="LN15976" t="str">
        <v/>
      </c>
    </row>
    <row r="15977" spans="326:326">
      <c r="LN15977" t="str">
        <v/>
      </c>
    </row>
    <row r="15978" spans="326:326">
      <c r="LN15978" t="str">
        <v/>
      </c>
    </row>
    <row r="15979" spans="326:326">
      <c r="LN15979" t="str">
        <v/>
      </c>
    </row>
    <row r="15980" spans="326:326">
      <c r="LN15980" t="str">
        <v/>
      </c>
    </row>
    <row r="15981" spans="326:326">
      <c r="LN15981" t="str">
        <v/>
      </c>
    </row>
    <row r="15982" spans="326:326">
      <c r="LN15982" t="str">
        <v/>
      </c>
    </row>
    <row r="15983" spans="326:326">
      <c r="LN15983" t="str">
        <v/>
      </c>
    </row>
    <row r="15984" spans="326:326">
      <c r="LN15984" t="str">
        <v/>
      </c>
    </row>
    <row r="15985" spans="326:326">
      <c r="LN15985" t="str">
        <v/>
      </c>
    </row>
    <row r="15986" spans="326:326">
      <c r="LN15986" t="str">
        <v/>
      </c>
    </row>
    <row r="15987" spans="326:326">
      <c r="LN15987" t="str">
        <v/>
      </c>
    </row>
    <row r="15988" spans="326:326">
      <c r="LN15988" t="str">
        <v/>
      </c>
    </row>
    <row r="15989" spans="326:326">
      <c r="LN15989" t="str">
        <v/>
      </c>
    </row>
    <row r="15990" spans="326:326">
      <c r="LN15990" t="str">
        <v/>
      </c>
    </row>
    <row r="15991" spans="326:326">
      <c r="LN15991" t="str">
        <v/>
      </c>
    </row>
    <row r="15992" spans="326:326">
      <c r="LN15992" t="str">
        <v/>
      </c>
    </row>
    <row r="15993" spans="326:326">
      <c r="LN15993" t="str">
        <v/>
      </c>
    </row>
    <row r="15994" spans="326:326">
      <c r="LN15994" t="str">
        <v/>
      </c>
    </row>
    <row r="15995" spans="326:326">
      <c r="LN15995" t="str">
        <v/>
      </c>
    </row>
    <row r="15996" spans="326:326">
      <c r="LN15996" t="str">
        <v/>
      </c>
    </row>
    <row r="15997" spans="326:326">
      <c r="LN15997" t="str">
        <v/>
      </c>
    </row>
    <row r="15998" spans="326:326">
      <c r="LN15998" t="str">
        <v/>
      </c>
    </row>
    <row r="15999" spans="326:326">
      <c r="LN15999" t="str">
        <v/>
      </c>
    </row>
    <row r="16000" spans="326:326">
      <c r="LN16000" t="str">
        <v/>
      </c>
    </row>
    <row r="16001" spans="326:326">
      <c r="LN16001" t="str">
        <v/>
      </c>
    </row>
    <row r="16002" spans="326:326">
      <c r="LN16002" t="str">
        <v/>
      </c>
    </row>
    <row r="16003" spans="326:326">
      <c r="LN16003" t="str">
        <v/>
      </c>
    </row>
    <row r="16004" spans="326:326">
      <c r="LN16004" t="str">
        <v/>
      </c>
    </row>
    <row r="16005" spans="326:326">
      <c r="LN16005" t="str">
        <v/>
      </c>
    </row>
    <row r="16006" spans="326:326">
      <c r="LN16006" t="str">
        <v/>
      </c>
    </row>
    <row r="16007" spans="326:326">
      <c r="LN16007" t="str">
        <v/>
      </c>
    </row>
    <row r="16008" spans="326:326">
      <c r="LN16008" t="str">
        <v/>
      </c>
    </row>
    <row r="16009" spans="326:326">
      <c r="LN16009" t="str">
        <v/>
      </c>
    </row>
    <row r="16010" spans="326:326">
      <c r="LN16010" t="str">
        <v/>
      </c>
    </row>
    <row r="16011" spans="326:326">
      <c r="LN16011" t="str">
        <v/>
      </c>
    </row>
    <row r="16012" spans="326:326">
      <c r="LN16012" t="str">
        <v/>
      </c>
    </row>
    <row r="16013" spans="326:326">
      <c r="LN16013" t="str">
        <v/>
      </c>
    </row>
    <row r="16014" spans="326:326">
      <c r="LN16014" t="str">
        <v/>
      </c>
    </row>
    <row r="16015" spans="326:326">
      <c r="LN16015" t="str">
        <v/>
      </c>
    </row>
    <row r="16016" spans="326:326">
      <c r="LN16016" t="str">
        <v/>
      </c>
    </row>
    <row r="16017" spans="326:326">
      <c r="LN16017" t="str">
        <v/>
      </c>
    </row>
    <row r="16018" spans="326:326">
      <c r="LN16018" t="str">
        <v/>
      </c>
    </row>
    <row r="16019" spans="326:326">
      <c r="LN16019" t="str">
        <v/>
      </c>
    </row>
    <row r="16020" spans="326:326">
      <c r="LN16020" t="str">
        <v/>
      </c>
    </row>
    <row r="16021" spans="326:326">
      <c r="LN16021" t="str">
        <v/>
      </c>
    </row>
    <row r="16022" spans="326:326">
      <c r="LN16022" t="str">
        <v/>
      </c>
    </row>
    <row r="16023" spans="326:326">
      <c r="LN16023" t="str">
        <v/>
      </c>
    </row>
    <row r="16024" spans="326:326">
      <c r="LN16024" t="str">
        <v/>
      </c>
    </row>
    <row r="16025" spans="326:326">
      <c r="LN16025" t="str">
        <v/>
      </c>
    </row>
    <row r="16026" spans="326:326">
      <c r="LN16026" t="str">
        <v/>
      </c>
    </row>
    <row r="16027" spans="326:326">
      <c r="LN16027" t="str">
        <v/>
      </c>
    </row>
    <row r="16028" spans="326:326">
      <c r="LN16028" t="str">
        <v/>
      </c>
    </row>
    <row r="16029" spans="326:326">
      <c r="LN16029" t="str">
        <v/>
      </c>
    </row>
    <row r="16030" spans="326:326">
      <c r="LN16030" t="str">
        <v/>
      </c>
    </row>
    <row r="16031" spans="326:326">
      <c r="LN16031" t="str">
        <v/>
      </c>
    </row>
    <row r="16032" spans="326:326">
      <c r="LN16032" t="str">
        <v/>
      </c>
    </row>
    <row r="16033" spans="326:326">
      <c r="LN16033" t="str">
        <v/>
      </c>
    </row>
    <row r="16034" spans="326:326">
      <c r="LN16034" t="str">
        <v/>
      </c>
    </row>
    <row r="16035" spans="326:326">
      <c r="LN16035" t="str">
        <v/>
      </c>
    </row>
    <row r="16036" spans="326:326">
      <c r="LN16036" t="str">
        <v/>
      </c>
    </row>
    <row r="16037" spans="326:326">
      <c r="LN16037" t="str">
        <v/>
      </c>
    </row>
    <row r="16038" spans="326:326">
      <c r="LN16038" t="str">
        <v/>
      </c>
    </row>
    <row r="16039" spans="326:326">
      <c r="LN16039" t="str">
        <v/>
      </c>
    </row>
    <row r="16040" spans="326:326">
      <c r="LN16040" t="str">
        <v/>
      </c>
    </row>
    <row r="16041" spans="326:326">
      <c r="LN16041" t="str">
        <v/>
      </c>
    </row>
    <row r="16042" spans="326:326">
      <c r="LN16042" t="str">
        <v/>
      </c>
    </row>
    <row r="16043" spans="326:326">
      <c r="LN16043" t="str">
        <v/>
      </c>
    </row>
    <row r="16044" spans="326:326">
      <c r="LN16044" t="str">
        <v/>
      </c>
    </row>
    <row r="16045" spans="326:326">
      <c r="LN16045" t="str">
        <v/>
      </c>
    </row>
    <row r="16046" spans="326:326">
      <c r="LN16046" t="str">
        <v/>
      </c>
    </row>
    <row r="16047" spans="326:326">
      <c r="LN16047" t="str">
        <v/>
      </c>
    </row>
    <row r="16048" spans="326:326">
      <c r="LN16048" t="str">
        <v/>
      </c>
    </row>
    <row r="16049" spans="326:326">
      <c r="LN16049" t="str">
        <v/>
      </c>
    </row>
    <row r="16050" spans="326:326">
      <c r="LN16050" t="str">
        <v/>
      </c>
    </row>
    <row r="16051" spans="326:326">
      <c r="LN16051" t="str">
        <v/>
      </c>
    </row>
    <row r="16052" spans="326:326">
      <c r="LN16052" t="str">
        <v/>
      </c>
    </row>
    <row r="16053" spans="326:326">
      <c r="LN16053" t="str">
        <v/>
      </c>
    </row>
    <row r="16054" spans="326:326">
      <c r="LN16054" t="str">
        <v/>
      </c>
    </row>
    <row r="16055" spans="326:326">
      <c r="LN16055" t="str">
        <v/>
      </c>
    </row>
    <row r="16056" spans="326:326">
      <c r="LN16056" t="str">
        <v/>
      </c>
    </row>
    <row r="16057" spans="326:326">
      <c r="LN16057" t="str">
        <v/>
      </c>
    </row>
    <row r="16058" spans="326:326">
      <c r="LN16058" t="str">
        <v/>
      </c>
    </row>
    <row r="16059" spans="326:326">
      <c r="LN16059" t="str">
        <v/>
      </c>
    </row>
    <row r="16060" spans="326:326">
      <c r="LN16060" t="str">
        <v/>
      </c>
    </row>
    <row r="16061" spans="326:326">
      <c r="LN16061" t="str">
        <v/>
      </c>
    </row>
    <row r="16062" spans="326:326">
      <c r="LN16062" t="str">
        <v/>
      </c>
    </row>
    <row r="16063" spans="326:326">
      <c r="LN16063" t="str">
        <v/>
      </c>
    </row>
    <row r="16064" spans="326:326">
      <c r="LN16064" t="str">
        <v/>
      </c>
    </row>
    <row r="16065" spans="326:326">
      <c r="LN16065" t="str">
        <v/>
      </c>
    </row>
    <row r="16066" spans="326:326">
      <c r="LN16066" t="str">
        <v/>
      </c>
    </row>
    <row r="16067" spans="326:326">
      <c r="LN16067" t="str">
        <v/>
      </c>
    </row>
    <row r="16068" spans="326:326">
      <c r="LN16068" t="str">
        <v/>
      </c>
    </row>
    <row r="16069" spans="326:326">
      <c r="LN16069" t="str">
        <v/>
      </c>
    </row>
    <row r="16070" spans="326:326">
      <c r="LN16070" t="str">
        <v/>
      </c>
    </row>
    <row r="16071" spans="326:326">
      <c r="LN16071" t="str">
        <v/>
      </c>
    </row>
    <row r="16072" spans="326:326">
      <c r="LN16072" t="str">
        <v/>
      </c>
    </row>
    <row r="16073" spans="326:326">
      <c r="LN16073" t="str">
        <v/>
      </c>
    </row>
    <row r="16074" spans="326:326">
      <c r="LN16074" t="str">
        <v/>
      </c>
    </row>
    <row r="16075" spans="326:326">
      <c r="LN16075" t="str">
        <v/>
      </c>
    </row>
    <row r="16076" spans="326:326">
      <c r="LN16076" t="str">
        <v/>
      </c>
    </row>
    <row r="16077" spans="326:326">
      <c r="LN16077" t="str">
        <v/>
      </c>
    </row>
    <row r="16078" spans="326:326">
      <c r="LN16078" t="str">
        <v/>
      </c>
    </row>
    <row r="16079" spans="326:326">
      <c r="LN16079" t="str">
        <v/>
      </c>
    </row>
    <row r="16080" spans="326:326">
      <c r="LN16080" t="str">
        <v/>
      </c>
    </row>
    <row r="16081" spans="326:326">
      <c r="LN16081" t="str">
        <v/>
      </c>
    </row>
    <row r="16082" spans="326:326">
      <c r="LN16082" t="str">
        <v/>
      </c>
    </row>
    <row r="16083" spans="326:326">
      <c r="LN16083" t="str">
        <v/>
      </c>
    </row>
    <row r="16084" spans="326:326">
      <c r="LN16084" t="str">
        <v/>
      </c>
    </row>
    <row r="16085" spans="326:326">
      <c r="LN16085" t="str">
        <v/>
      </c>
    </row>
    <row r="16086" spans="326:326">
      <c r="LN16086" t="str">
        <v/>
      </c>
    </row>
    <row r="16087" spans="326:326">
      <c r="LN16087" t="str">
        <v/>
      </c>
    </row>
    <row r="16088" spans="326:326">
      <c r="LN16088" t="str">
        <v/>
      </c>
    </row>
    <row r="16089" spans="326:326">
      <c r="LN16089" t="str">
        <v/>
      </c>
    </row>
    <row r="16090" spans="326:326">
      <c r="LN16090" t="str">
        <v/>
      </c>
    </row>
    <row r="16091" spans="326:326">
      <c r="LN16091" t="str">
        <v/>
      </c>
    </row>
    <row r="16092" spans="326:326">
      <c r="LN16092" t="str">
        <v/>
      </c>
    </row>
    <row r="16093" spans="326:326">
      <c r="LN16093" t="str">
        <v/>
      </c>
    </row>
    <row r="16094" spans="326:326">
      <c r="LN16094" t="str">
        <v/>
      </c>
    </row>
    <row r="16095" spans="326:326">
      <c r="LN16095" t="str">
        <v/>
      </c>
    </row>
    <row r="16096" spans="326:326">
      <c r="LN16096" t="str">
        <v/>
      </c>
    </row>
    <row r="16097" spans="326:326">
      <c r="LN16097" t="str">
        <v/>
      </c>
    </row>
    <row r="16098" spans="326:326">
      <c r="LN16098" t="str">
        <v/>
      </c>
    </row>
    <row r="16099" spans="326:326">
      <c r="LN16099" t="str">
        <v/>
      </c>
    </row>
    <row r="16100" spans="326:326">
      <c r="LN16100" t="str">
        <v/>
      </c>
    </row>
    <row r="16101" spans="326:326">
      <c r="LN16101" t="str">
        <v/>
      </c>
    </row>
    <row r="16102" spans="326:326">
      <c r="LN16102" t="str">
        <v/>
      </c>
    </row>
    <row r="16103" spans="326:326">
      <c r="LN16103" t="str">
        <v/>
      </c>
    </row>
    <row r="16104" spans="326:326">
      <c r="LN16104" t="str">
        <v/>
      </c>
    </row>
    <row r="16105" spans="326:326">
      <c r="LN16105" t="str">
        <v/>
      </c>
    </row>
    <row r="16106" spans="326:326">
      <c r="LN16106" t="str">
        <v/>
      </c>
    </row>
    <row r="16107" spans="326:326">
      <c r="LN16107" t="str">
        <v/>
      </c>
    </row>
    <row r="16108" spans="326:326">
      <c r="LN16108" t="str">
        <v/>
      </c>
    </row>
    <row r="16109" spans="326:326">
      <c r="LN16109" t="str">
        <v/>
      </c>
    </row>
    <row r="16110" spans="326:326">
      <c r="LN16110" t="str">
        <v/>
      </c>
    </row>
    <row r="16111" spans="326:326">
      <c r="LN16111" t="str">
        <v/>
      </c>
    </row>
    <row r="16112" spans="326:326">
      <c r="LN16112" t="str">
        <v/>
      </c>
    </row>
    <row r="16113" spans="326:326">
      <c r="LN16113" t="str">
        <v/>
      </c>
    </row>
    <row r="16114" spans="326:326">
      <c r="LN16114" t="str">
        <v/>
      </c>
    </row>
    <row r="16115" spans="326:326">
      <c r="LN16115" t="str">
        <v/>
      </c>
    </row>
    <row r="16116" spans="326:326">
      <c r="LN16116" t="str">
        <v/>
      </c>
    </row>
    <row r="16117" spans="326:326">
      <c r="LN16117" t="str">
        <v/>
      </c>
    </row>
    <row r="16118" spans="326:326">
      <c r="LN16118" t="str">
        <v/>
      </c>
    </row>
    <row r="16119" spans="326:326">
      <c r="LN16119" t="str">
        <v/>
      </c>
    </row>
    <row r="16120" spans="326:326">
      <c r="LN16120" t="str">
        <v/>
      </c>
    </row>
    <row r="16121" spans="326:326">
      <c r="LN16121" t="str">
        <v/>
      </c>
    </row>
    <row r="16122" spans="326:326">
      <c r="LN16122" t="str">
        <v/>
      </c>
    </row>
    <row r="16123" spans="326:326">
      <c r="LN16123" t="str">
        <v/>
      </c>
    </row>
    <row r="16124" spans="326:326">
      <c r="LN16124" t="str">
        <v/>
      </c>
    </row>
    <row r="16125" spans="326:326">
      <c r="LN16125" t="str">
        <v/>
      </c>
    </row>
    <row r="16126" spans="326:326">
      <c r="LN16126" t="str">
        <v/>
      </c>
    </row>
    <row r="16127" spans="326:326">
      <c r="LN16127" t="str">
        <v/>
      </c>
    </row>
    <row r="16128" spans="326:326">
      <c r="LN16128" t="str">
        <v/>
      </c>
    </row>
    <row r="16129" spans="326:326">
      <c r="LN16129" t="str">
        <v/>
      </c>
    </row>
    <row r="16130" spans="326:326">
      <c r="LN16130" t="str">
        <v/>
      </c>
    </row>
    <row r="16131" spans="326:326">
      <c r="LN16131" t="str">
        <v/>
      </c>
    </row>
    <row r="16132" spans="326:326">
      <c r="LN16132" t="str">
        <v/>
      </c>
    </row>
    <row r="16133" spans="326:326">
      <c r="LN16133" t="str">
        <v/>
      </c>
    </row>
    <row r="16134" spans="326:326">
      <c r="LN16134" t="str">
        <v/>
      </c>
    </row>
    <row r="16135" spans="326:326">
      <c r="LN16135" t="str">
        <v/>
      </c>
    </row>
    <row r="16136" spans="326:326">
      <c r="LN16136" t="str">
        <v/>
      </c>
    </row>
    <row r="16137" spans="326:326">
      <c r="LN16137" t="str">
        <v/>
      </c>
    </row>
    <row r="16138" spans="326:326">
      <c r="LN16138" t="str">
        <v/>
      </c>
    </row>
    <row r="16139" spans="326:326">
      <c r="LN16139" t="str">
        <v/>
      </c>
    </row>
    <row r="16140" spans="326:326">
      <c r="LN16140" t="str">
        <v/>
      </c>
    </row>
    <row r="16141" spans="326:326">
      <c r="LN16141" t="str">
        <v/>
      </c>
    </row>
    <row r="16142" spans="326:326">
      <c r="LN16142" t="str">
        <v/>
      </c>
    </row>
    <row r="16143" spans="326:326">
      <c r="LN16143" t="str">
        <v/>
      </c>
    </row>
    <row r="16144" spans="326:326">
      <c r="LN16144" t="str">
        <v/>
      </c>
    </row>
    <row r="16145" spans="326:326">
      <c r="LN16145" t="str">
        <v/>
      </c>
    </row>
    <row r="16146" spans="326:326">
      <c r="LN16146" t="str">
        <v/>
      </c>
    </row>
    <row r="16147" spans="326:326">
      <c r="LN16147" t="str">
        <v/>
      </c>
    </row>
    <row r="16148" spans="326:326">
      <c r="LN16148" t="str">
        <v/>
      </c>
    </row>
    <row r="16149" spans="326:326">
      <c r="LN16149" t="str">
        <v/>
      </c>
    </row>
    <row r="16150" spans="326:326">
      <c r="LN16150" t="str">
        <v/>
      </c>
    </row>
    <row r="16151" spans="326:326">
      <c r="LN16151" t="str">
        <v/>
      </c>
    </row>
    <row r="16152" spans="326:326">
      <c r="LN16152" t="str">
        <v/>
      </c>
    </row>
    <row r="16153" spans="326:326">
      <c r="LN16153" t="str">
        <v/>
      </c>
    </row>
    <row r="16154" spans="326:326">
      <c r="LN16154" t="str">
        <v/>
      </c>
    </row>
    <row r="16155" spans="326:326">
      <c r="LN16155" t="str">
        <v/>
      </c>
    </row>
    <row r="16156" spans="326:326">
      <c r="LN16156" t="str">
        <v/>
      </c>
    </row>
    <row r="16157" spans="326:326">
      <c r="LN16157" t="str">
        <v/>
      </c>
    </row>
    <row r="16158" spans="326:326">
      <c r="LN16158" t="str">
        <v/>
      </c>
    </row>
    <row r="16159" spans="326:326">
      <c r="LN16159" t="str">
        <v/>
      </c>
    </row>
    <row r="16160" spans="326:326">
      <c r="LN16160" t="str">
        <v/>
      </c>
    </row>
    <row r="16161" spans="326:326">
      <c r="LN16161" t="str">
        <v/>
      </c>
    </row>
    <row r="16162" spans="326:326">
      <c r="LN16162" t="str">
        <v/>
      </c>
    </row>
    <row r="16163" spans="326:326">
      <c r="LN16163" t="str">
        <v/>
      </c>
    </row>
    <row r="16164" spans="326:326">
      <c r="LN16164" t="str">
        <v/>
      </c>
    </row>
    <row r="16165" spans="326:326">
      <c r="LN16165" t="str">
        <v/>
      </c>
    </row>
    <row r="16166" spans="326:326">
      <c r="LN16166" t="str">
        <v/>
      </c>
    </row>
    <row r="16167" spans="326:326">
      <c r="LN16167" t="str">
        <v/>
      </c>
    </row>
    <row r="16168" spans="326:326">
      <c r="LN16168" t="str">
        <v/>
      </c>
    </row>
    <row r="16169" spans="326:326">
      <c r="LN16169" t="str">
        <v/>
      </c>
    </row>
    <row r="16170" spans="326:326">
      <c r="LN16170" t="str">
        <v/>
      </c>
    </row>
    <row r="16171" spans="326:326">
      <c r="LN16171" t="str">
        <v/>
      </c>
    </row>
    <row r="16172" spans="326:326">
      <c r="LN16172" t="str">
        <v/>
      </c>
    </row>
    <row r="16173" spans="326:326">
      <c r="LN16173" t="str">
        <v/>
      </c>
    </row>
    <row r="16174" spans="326:326">
      <c r="LN16174" t="str">
        <v/>
      </c>
    </row>
    <row r="16175" spans="326:326">
      <c r="LN16175" t="str">
        <v/>
      </c>
    </row>
    <row r="16176" spans="326:326">
      <c r="LN16176" t="str">
        <v/>
      </c>
    </row>
    <row r="16177" spans="326:326">
      <c r="LN16177" t="str">
        <v/>
      </c>
    </row>
    <row r="16178" spans="326:326">
      <c r="LN16178" t="str">
        <v/>
      </c>
    </row>
    <row r="16179" spans="326:326">
      <c r="LN16179" t="str">
        <v/>
      </c>
    </row>
    <row r="16180" spans="326:326">
      <c r="LN16180" t="str">
        <v/>
      </c>
    </row>
    <row r="16181" spans="326:326">
      <c r="LN16181" t="str">
        <v/>
      </c>
    </row>
    <row r="16182" spans="326:326">
      <c r="LN16182" t="str">
        <v/>
      </c>
    </row>
    <row r="16183" spans="326:326">
      <c r="LN16183" t="str">
        <v/>
      </c>
    </row>
    <row r="16184" spans="326:326">
      <c r="LN16184" t="str">
        <v/>
      </c>
    </row>
    <row r="16185" spans="326:326">
      <c r="LN16185" t="str">
        <v/>
      </c>
    </row>
    <row r="16186" spans="326:326">
      <c r="LN16186" t="str">
        <v/>
      </c>
    </row>
    <row r="16187" spans="326:326">
      <c r="LN16187" t="str">
        <v/>
      </c>
    </row>
    <row r="16188" spans="326:326">
      <c r="LN16188" t="str">
        <v/>
      </c>
    </row>
    <row r="16189" spans="326:326">
      <c r="LN16189" t="str">
        <v/>
      </c>
    </row>
    <row r="16190" spans="326:326">
      <c r="LN16190" t="str">
        <v/>
      </c>
    </row>
    <row r="16191" spans="326:326">
      <c r="LN16191" t="str">
        <v/>
      </c>
    </row>
    <row r="16192" spans="326:326">
      <c r="LN16192" t="str">
        <v/>
      </c>
    </row>
    <row r="16193" spans="326:326">
      <c r="LN16193" t="str">
        <v/>
      </c>
    </row>
    <row r="16194" spans="326:326">
      <c r="LN16194" t="str">
        <v/>
      </c>
    </row>
    <row r="16195" spans="326:326">
      <c r="LN16195" t="str">
        <v/>
      </c>
    </row>
    <row r="16196" spans="326:326">
      <c r="LN16196" t="str">
        <v/>
      </c>
    </row>
    <row r="16197" spans="326:326">
      <c r="LN16197" t="str">
        <v/>
      </c>
    </row>
    <row r="16198" spans="326:326">
      <c r="LN16198" t="str">
        <v/>
      </c>
    </row>
    <row r="16199" spans="326:326">
      <c r="LN16199" t="str">
        <v/>
      </c>
    </row>
    <row r="16200" spans="326:326">
      <c r="LN16200" t="str">
        <v/>
      </c>
    </row>
    <row r="16201" spans="326:326">
      <c r="LN16201" t="str">
        <v/>
      </c>
    </row>
    <row r="16202" spans="326:326">
      <c r="LN16202" t="str">
        <v/>
      </c>
    </row>
    <row r="16203" spans="326:326">
      <c r="LN16203" t="str">
        <v/>
      </c>
    </row>
    <row r="16204" spans="326:326">
      <c r="LN16204" t="str">
        <v/>
      </c>
    </row>
    <row r="16205" spans="326:326">
      <c r="LN16205" t="str">
        <v/>
      </c>
    </row>
    <row r="16206" spans="326:326">
      <c r="LN16206" t="str">
        <v/>
      </c>
    </row>
    <row r="16207" spans="326:326">
      <c r="LN16207" t="str">
        <v/>
      </c>
    </row>
    <row r="16208" spans="326:326">
      <c r="LN16208" t="str">
        <v/>
      </c>
    </row>
    <row r="16209" spans="326:326">
      <c r="LN16209" t="str">
        <v/>
      </c>
    </row>
    <row r="16210" spans="326:326">
      <c r="LN16210" t="str">
        <v/>
      </c>
    </row>
    <row r="16211" spans="326:326">
      <c r="LN16211" t="str">
        <v/>
      </c>
    </row>
    <row r="16212" spans="326:326">
      <c r="LN16212" t="str">
        <v/>
      </c>
    </row>
    <row r="16213" spans="326:326">
      <c r="LN16213" t="str">
        <v/>
      </c>
    </row>
    <row r="16214" spans="326:326">
      <c r="LN16214" t="str">
        <v/>
      </c>
    </row>
    <row r="16215" spans="326:326">
      <c r="LN16215" t="str">
        <v/>
      </c>
    </row>
    <row r="16216" spans="326:326">
      <c r="LN16216" t="str">
        <v/>
      </c>
    </row>
    <row r="16217" spans="326:326">
      <c r="LN16217" t="str">
        <v/>
      </c>
    </row>
    <row r="16218" spans="326:326">
      <c r="LN16218" t="str">
        <v/>
      </c>
    </row>
    <row r="16219" spans="326:326">
      <c r="LN16219" t="str">
        <v/>
      </c>
    </row>
    <row r="16220" spans="326:326">
      <c r="LN16220" t="str">
        <v/>
      </c>
    </row>
    <row r="16221" spans="326:326">
      <c r="LN16221" t="str">
        <v/>
      </c>
    </row>
    <row r="16222" spans="326:326">
      <c r="LN16222" t="str">
        <v/>
      </c>
    </row>
    <row r="16223" spans="326:326">
      <c r="LN16223" t="str">
        <v/>
      </c>
    </row>
    <row r="16224" spans="326:326">
      <c r="LN16224" t="str">
        <v/>
      </c>
    </row>
    <row r="16225" spans="326:326">
      <c r="LN16225" t="str">
        <v/>
      </c>
    </row>
    <row r="16226" spans="326:326">
      <c r="LN16226" t="str">
        <v/>
      </c>
    </row>
    <row r="16227" spans="326:326">
      <c r="LN16227" t="str">
        <v/>
      </c>
    </row>
    <row r="16228" spans="326:326">
      <c r="LN16228" t="str">
        <v/>
      </c>
    </row>
    <row r="16229" spans="326:326">
      <c r="LN16229" t="str">
        <v/>
      </c>
    </row>
    <row r="16230" spans="326:326">
      <c r="LN16230" t="str">
        <v/>
      </c>
    </row>
    <row r="16231" spans="326:326">
      <c r="LN16231" t="str">
        <v/>
      </c>
    </row>
    <row r="16232" spans="326:326">
      <c r="LN16232" t="str">
        <v/>
      </c>
    </row>
    <row r="16233" spans="326:326">
      <c r="LN16233" t="str">
        <v/>
      </c>
    </row>
    <row r="16234" spans="326:326">
      <c r="LN16234" t="str">
        <v/>
      </c>
    </row>
    <row r="16235" spans="326:326">
      <c r="LN16235" t="str">
        <v/>
      </c>
    </row>
    <row r="16236" spans="326:326">
      <c r="LN16236" t="str">
        <v/>
      </c>
    </row>
    <row r="16237" spans="326:326">
      <c r="LN16237" t="str">
        <v/>
      </c>
    </row>
    <row r="16238" spans="326:326">
      <c r="LN16238" t="str">
        <v/>
      </c>
    </row>
    <row r="16239" spans="326:326">
      <c r="LN16239" t="str">
        <v/>
      </c>
    </row>
    <row r="16240" spans="326:326">
      <c r="LN16240" t="str">
        <v/>
      </c>
    </row>
    <row r="16241" spans="326:326">
      <c r="LN16241" t="str">
        <v/>
      </c>
    </row>
    <row r="16242" spans="326:326">
      <c r="LN16242" t="str">
        <v/>
      </c>
    </row>
    <row r="16243" spans="326:326">
      <c r="LN16243" t="str">
        <v/>
      </c>
    </row>
    <row r="16244" spans="326:326">
      <c r="LN16244" t="str">
        <v/>
      </c>
    </row>
    <row r="16245" spans="326:326">
      <c r="LN16245" t="str">
        <v/>
      </c>
    </row>
    <row r="16246" spans="326:326">
      <c r="LN16246" t="str">
        <v/>
      </c>
    </row>
    <row r="16247" spans="326:326">
      <c r="LN16247" t="str">
        <v/>
      </c>
    </row>
    <row r="16248" spans="326:326">
      <c r="LN16248" t="str">
        <v/>
      </c>
    </row>
    <row r="16249" spans="326:326">
      <c r="LN16249" t="str">
        <v/>
      </c>
    </row>
    <row r="16250" spans="326:326">
      <c r="LN16250" t="str">
        <v/>
      </c>
    </row>
    <row r="16251" spans="326:326">
      <c r="LN16251" t="str">
        <v/>
      </c>
    </row>
    <row r="16252" spans="326:326">
      <c r="LN16252" t="str">
        <v/>
      </c>
    </row>
    <row r="16253" spans="326:326">
      <c r="LN16253" t="str">
        <v/>
      </c>
    </row>
    <row r="16254" spans="326:326">
      <c r="LN16254" t="str">
        <v/>
      </c>
    </row>
    <row r="16255" spans="326:326">
      <c r="LN16255" t="str">
        <v/>
      </c>
    </row>
    <row r="16256" spans="326:326">
      <c r="LN16256" t="str">
        <v/>
      </c>
    </row>
    <row r="16257" spans="326:326">
      <c r="LN16257" t="str">
        <v/>
      </c>
    </row>
    <row r="16258" spans="326:326">
      <c r="LN16258" t="str">
        <v/>
      </c>
    </row>
    <row r="16259" spans="326:326">
      <c r="LN16259" t="str">
        <v/>
      </c>
    </row>
    <row r="16260" spans="326:326">
      <c r="LN16260" t="str">
        <v/>
      </c>
    </row>
    <row r="16261" spans="326:326">
      <c r="LN16261" t="str">
        <v/>
      </c>
    </row>
    <row r="16262" spans="326:326">
      <c r="LN16262" t="str">
        <v/>
      </c>
    </row>
    <row r="16263" spans="326:326">
      <c r="LN16263" t="str">
        <v/>
      </c>
    </row>
    <row r="16264" spans="326:326">
      <c r="LN16264" t="str">
        <v/>
      </c>
    </row>
    <row r="16265" spans="326:326">
      <c r="LN16265" t="str">
        <v/>
      </c>
    </row>
    <row r="16266" spans="326:326">
      <c r="LN16266" t="str">
        <v/>
      </c>
    </row>
    <row r="16267" spans="326:326">
      <c r="LN16267" t="str">
        <v/>
      </c>
    </row>
    <row r="16268" spans="326:326">
      <c r="LN16268" t="str">
        <v/>
      </c>
    </row>
    <row r="16269" spans="326:326">
      <c r="LN16269" t="str">
        <v/>
      </c>
    </row>
    <row r="16270" spans="326:326">
      <c r="LN16270" t="str">
        <v/>
      </c>
    </row>
    <row r="16271" spans="326:326">
      <c r="LN16271" t="str">
        <v/>
      </c>
    </row>
    <row r="16272" spans="326:326">
      <c r="LN16272" t="str">
        <v/>
      </c>
    </row>
    <row r="16273" spans="326:326">
      <c r="LN16273" t="str">
        <v/>
      </c>
    </row>
    <row r="16274" spans="326:326">
      <c r="LN16274" t="str">
        <v/>
      </c>
    </row>
    <row r="16275" spans="326:326">
      <c r="LN16275" t="str">
        <v/>
      </c>
    </row>
    <row r="16276" spans="326:326">
      <c r="LN16276" t="str">
        <v/>
      </c>
    </row>
    <row r="16277" spans="326:326">
      <c r="LN16277" t="str">
        <v/>
      </c>
    </row>
    <row r="16278" spans="326:326">
      <c r="LN16278" t="str">
        <v/>
      </c>
    </row>
    <row r="16279" spans="326:326">
      <c r="LN16279" t="str">
        <v/>
      </c>
    </row>
    <row r="16280" spans="326:326">
      <c r="LN16280" t="str">
        <v/>
      </c>
    </row>
    <row r="16281" spans="326:326">
      <c r="LN16281" t="str">
        <v/>
      </c>
    </row>
    <row r="16282" spans="326:326">
      <c r="LN16282" t="str">
        <v/>
      </c>
    </row>
    <row r="16283" spans="326:326">
      <c r="LN16283" t="str">
        <v/>
      </c>
    </row>
    <row r="16284" spans="326:326">
      <c r="LN16284" t="str">
        <v/>
      </c>
    </row>
    <row r="16285" spans="326:326">
      <c r="LN16285" t="str">
        <v/>
      </c>
    </row>
    <row r="16286" spans="326:326">
      <c r="LN16286" t="str">
        <v/>
      </c>
    </row>
    <row r="16287" spans="326:326">
      <c r="LN16287" t="str">
        <v/>
      </c>
    </row>
    <row r="16288" spans="326:326">
      <c r="LN16288" t="str">
        <v/>
      </c>
    </row>
    <row r="16289" spans="326:326">
      <c r="LN16289" t="str">
        <v/>
      </c>
    </row>
    <row r="16290" spans="326:326">
      <c r="LN16290" t="str">
        <v/>
      </c>
    </row>
    <row r="16291" spans="326:326">
      <c r="LN16291" t="str">
        <v/>
      </c>
    </row>
    <row r="16292" spans="326:326">
      <c r="LN16292" t="str">
        <v/>
      </c>
    </row>
    <row r="16293" spans="326:326">
      <c r="LN16293" t="str">
        <v/>
      </c>
    </row>
    <row r="16294" spans="326:326">
      <c r="LN16294" t="str">
        <v/>
      </c>
    </row>
    <row r="16295" spans="326:326">
      <c r="LN16295" t="str">
        <v/>
      </c>
    </row>
    <row r="16296" spans="326:326">
      <c r="LN16296" t="str">
        <v/>
      </c>
    </row>
    <row r="16297" spans="326:326">
      <c r="LN16297" t="str">
        <v/>
      </c>
    </row>
    <row r="16298" spans="326:326">
      <c r="LN16298" t="str">
        <v/>
      </c>
    </row>
    <row r="16299" spans="326:326">
      <c r="LN16299" t="str">
        <v/>
      </c>
    </row>
    <row r="16300" spans="326:326">
      <c r="LN16300" t="str">
        <v/>
      </c>
    </row>
    <row r="16301" spans="326:326">
      <c r="LN16301" t="str">
        <v/>
      </c>
    </row>
    <row r="16302" spans="326:326">
      <c r="LN16302" t="str">
        <v/>
      </c>
    </row>
    <row r="16303" spans="326:326">
      <c r="LN16303" t="str">
        <v/>
      </c>
    </row>
    <row r="16304" spans="326:326">
      <c r="LN16304" t="str">
        <v/>
      </c>
    </row>
    <row r="16305" spans="326:326">
      <c r="LN16305" t="str">
        <v/>
      </c>
    </row>
    <row r="16306" spans="326:326">
      <c r="LN16306" t="str">
        <v/>
      </c>
    </row>
    <row r="16307" spans="326:326">
      <c r="LN16307" t="str">
        <v/>
      </c>
    </row>
    <row r="16308" spans="326:326">
      <c r="LN16308" t="str">
        <v/>
      </c>
    </row>
    <row r="16309" spans="326:326">
      <c r="LN16309" t="str">
        <v/>
      </c>
    </row>
    <row r="16310" spans="326:326">
      <c r="LN16310" t="str">
        <v/>
      </c>
    </row>
    <row r="16311" spans="326:326">
      <c r="LN16311" t="str">
        <v/>
      </c>
    </row>
    <row r="16312" spans="326:326">
      <c r="LN16312" t="str">
        <v/>
      </c>
    </row>
    <row r="16313" spans="326:326">
      <c r="LN16313" t="str">
        <v/>
      </c>
    </row>
    <row r="16314" spans="326:326">
      <c r="LN16314" t="str">
        <v/>
      </c>
    </row>
    <row r="16315" spans="326:326">
      <c r="LN16315" t="str">
        <v/>
      </c>
    </row>
    <row r="16316" spans="326:326">
      <c r="LN16316" t="str">
        <v/>
      </c>
    </row>
    <row r="16317" spans="326:326">
      <c r="LN16317" t="str">
        <v/>
      </c>
    </row>
    <row r="16318" spans="326:326">
      <c r="LN16318" t="str">
        <v/>
      </c>
    </row>
    <row r="16319" spans="326:326">
      <c r="LN16319" t="str">
        <v/>
      </c>
    </row>
    <row r="16320" spans="326:326">
      <c r="LN16320" t="str">
        <v/>
      </c>
    </row>
    <row r="16321" spans="326:326">
      <c r="LN16321" t="str">
        <v/>
      </c>
    </row>
    <row r="16322" spans="326:326">
      <c r="LN16322" t="str">
        <v/>
      </c>
    </row>
    <row r="16323" spans="326:326">
      <c r="LN16323" t="str">
        <v/>
      </c>
    </row>
    <row r="16324" spans="326:326">
      <c r="LN16324" t="str">
        <v/>
      </c>
    </row>
    <row r="16325" spans="326:326">
      <c r="LN16325" t="str">
        <v/>
      </c>
    </row>
    <row r="16326" spans="326:326">
      <c r="LN16326" t="str">
        <v/>
      </c>
    </row>
    <row r="16327" spans="326:326">
      <c r="LN16327" t="str">
        <v/>
      </c>
    </row>
    <row r="16328" spans="326:326">
      <c r="LN16328" t="str">
        <v/>
      </c>
    </row>
    <row r="16329" spans="326:326">
      <c r="LN16329" t="str">
        <v/>
      </c>
    </row>
    <row r="16330" spans="326:326">
      <c r="LN16330" t="str">
        <v/>
      </c>
    </row>
    <row r="16331" spans="326:326">
      <c r="LN16331" t="str">
        <v/>
      </c>
    </row>
    <row r="16332" spans="326:326">
      <c r="LN16332" t="str">
        <v/>
      </c>
    </row>
    <row r="16333" spans="326:326">
      <c r="LN16333" t="str">
        <v/>
      </c>
    </row>
    <row r="16334" spans="326:326">
      <c r="LN16334" t="str">
        <v/>
      </c>
    </row>
    <row r="16335" spans="326:326">
      <c r="LN16335" t="str">
        <v/>
      </c>
    </row>
    <row r="16336" spans="326:326">
      <c r="LN16336" t="str">
        <v/>
      </c>
    </row>
    <row r="16337" spans="326:326">
      <c r="LN16337" t="str">
        <v/>
      </c>
    </row>
    <row r="16338" spans="326:326">
      <c r="LN16338" t="str">
        <v/>
      </c>
    </row>
    <row r="16339" spans="326:326">
      <c r="LN16339" t="str">
        <v/>
      </c>
    </row>
    <row r="16340" spans="326:326">
      <c r="LN16340" t="str">
        <v/>
      </c>
    </row>
    <row r="16341" spans="326:326">
      <c r="LN16341" t="str">
        <v/>
      </c>
    </row>
    <row r="16342" spans="326:326">
      <c r="LN16342" t="str">
        <v/>
      </c>
    </row>
    <row r="16343" spans="326:326">
      <c r="LN16343" t="str">
        <v/>
      </c>
    </row>
    <row r="16344" spans="326:326">
      <c r="LN16344" t="str">
        <v/>
      </c>
    </row>
    <row r="16345" spans="326:326">
      <c r="LN16345" t="str">
        <v/>
      </c>
    </row>
    <row r="16346" spans="326:326">
      <c r="LN16346" t="str">
        <v/>
      </c>
    </row>
    <row r="16347" spans="326:326">
      <c r="LN16347" t="str">
        <v/>
      </c>
    </row>
    <row r="16348" spans="326:326">
      <c r="LN16348" t="str">
        <v/>
      </c>
    </row>
    <row r="16349" spans="326:326">
      <c r="LN16349" t="str">
        <v/>
      </c>
    </row>
    <row r="16350" spans="326:326">
      <c r="LN16350" t="str">
        <v/>
      </c>
    </row>
    <row r="16351" spans="326:326">
      <c r="LN16351" t="str">
        <v/>
      </c>
    </row>
    <row r="16352" spans="326:326">
      <c r="LN16352" t="str">
        <v/>
      </c>
    </row>
    <row r="16353" spans="326:326">
      <c r="LN16353" t="str">
        <v/>
      </c>
    </row>
    <row r="16354" spans="326:326">
      <c r="LN16354" t="str">
        <v/>
      </c>
    </row>
    <row r="16355" spans="326:326">
      <c r="LN16355" t="str">
        <v/>
      </c>
    </row>
    <row r="16356" spans="326:326">
      <c r="LN16356" t="str">
        <v/>
      </c>
    </row>
    <row r="16357" spans="326:326">
      <c r="LN16357" t="str">
        <v/>
      </c>
    </row>
    <row r="16358" spans="326:326">
      <c r="LN16358" t="str">
        <v/>
      </c>
    </row>
    <row r="16359" spans="326:326">
      <c r="LN16359" t="str">
        <v/>
      </c>
    </row>
    <row r="16360" spans="326:326">
      <c r="LN16360" t="str">
        <v/>
      </c>
    </row>
    <row r="16361" spans="326:326">
      <c r="LN16361" t="str">
        <v/>
      </c>
    </row>
    <row r="16362" spans="326:326">
      <c r="LN16362" t="str">
        <v/>
      </c>
    </row>
    <row r="16363" spans="326:326">
      <c r="LN16363" t="str">
        <v/>
      </c>
    </row>
    <row r="16364" spans="326:326">
      <c r="LN16364" t="str">
        <v/>
      </c>
    </row>
    <row r="16365" spans="326:326">
      <c r="LN16365" t="str">
        <v/>
      </c>
    </row>
    <row r="16366" spans="326:326">
      <c r="LN16366" t="str">
        <v/>
      </c>
    </row>
    <row r="16367" spans="326:326">
      <c r="LN16367" t="str">
        <v/>
      </c>
    </row>
    <row r="16368" spans="326:326">
      <c r="LN16368" t="str">
        <v/>
      </c>
    </row>
    <row r="16369" spans="326:326">
      <c r="LN16369" t="str">
        <v/>
      </c>
    </row>
    <row r="16370" spans="326:326">
      <c r="LN16370" t="str">
        <v/>
      </c>
    </row>
    <row r="16371" spans="326:326">
      <c r="LN16371" t="str">
        <v/>
      </c>
    </row>
    <row r="16372" spans="326:326">
      <c r="LN16372" t="str">
        <v/>
      </c>
    </row>
    <row r="16373" spans="326:326">
      <c r="LN16373" t="str">
        <v/>
      </c>
    </row>
    <row r="16374" spans="326:326">
      <c r="LN16374" t="str">
        <v/>
      </c>
    </row>
    <row r="16375" spans="326:326">
      <c r="LN16375" t="str">
        <v/>
      </c>
    </row>
    <row r="16376" spans="326:326">
      <c r="LN16376" t="str">
        <v/>
      </c>
    </row>
    <row r="16377" spans="326:326">
      <c r="LN16377" t="str">
        <v/>
      </c>
    </row>
    <row r="16378" spans="326:326">
      <c r="LN16378" t="str">
        <v/>
      </c>
    </row>
    <row r="16379" spans="326:326">
      <c r="LN16379" t="str">
        <v/>
      </c>
    </row>
    <row r="16380" spans="326:326">
      <c r="LN16380" t="str">
        <v/>
      </c>
    </row>
    <row r="16381" spans="326:326">
      <c r="LN16381" t="str">
        <v/>
      </c>
    </row>
    <row r="16382" spans="326:326">
      <c r="LN16382" t="str">
        <v/>
      </c>
    </row>
    <row r="16383" spans="326:326">
      <c r="LN16383" t="str">
        <v/>
      </c>
    </row>
    <row r="16384" spans="326:326">
      <c r="LN16384" t="str">
        <v/>
      </c>
    </row>
    <row r="16385" spans="326:326">
      <c r="LN16385" t="str">
        <v/>
      </c>
    </row>
    <row r="16386" spans="326:326">
      <c r="LN16386" t="str">
        <v/>
      </c>
    </row>
    <row r="16387" spans="326:326">
      <c r="LN16387" t="str">
        <v/>
      </c>
    </row>
    <row r="16388" spans="326:326">
      <c r="LN16388" t="str">
        <v/>
      </c>
    </row>
    <row r="16389" spans="326:326">
      <c r="LN16389" t="str">
        <v/>
      </c>
    </row>
    <row r="16390" spans="326:326">
      <c r="LN16390" t="str">
        <v/>
      </c>
    </row>
    <row r="16391" spans="326:326">
      <c r="LN16391" t="str">
        <v/>
      </c>
    </row>
    <row r="16392" spans="326:326">
      <c r="LN16392" t="str">
        <v/>
      </c>
    </row>
    <row r="16393" spans="326:326">
      <c r="LN16393" t="str">
        <v/>
      </c>
    </row>
    <row r="16394" spans="326:326">
      <c r="LN16394" t="str">
        <v/>
      </c>
    </row>
    <row r="16395" spans="326:326">
      <c r="LN16395" t="str">
        <v/>
      </c>
    </row>
    <row r="16396" spans="326:326">
      <c r="LN16396" t="str">
        <v/>
      </c>
    </row>
    <row r="16397" spans="326:326">
      <c r="LN16397" t="str">
        <v/>
      </c>
    </row>
    <row r="16398" spans="326:326">
      <c r="LN16398" t="str">
        <v/>
      </c>
    </row>
    <row r="16399" spans="326:326">
      <c r="LN16399" t="str">
        <v/>
      </c>
    </row>
    <row r="16400" spans="326:326">
      <c r="LN16400" t="str">
        <v/>
      </c>
    </row>
    <row r="16401" spans="326:326">
      <c r="LN16401" t="str">
        <v/>
      </c>
    </row>
    <row r="16402" spans="326:326">
      <c r="LN16402" t="str">
        <v/>
      </c>
    </row>
    <row r="16403" spans="326:326">
      <c r="LN16403" t="str">
        <v/>
      </c>
    </row>
    <row r="16404" spans="326:326">
      <c r="LN16404" t="str">
        <v/>
      </c>
    </row>
    <row r="16405" spans="326:326">
      <c r="LN16405" t="str">
        <v/>
      </c>
    </row>
    <row r="16406" spans="326:326">
      <c r="LN16406" t="str">
        <v/>
      </c>
    </row>
    <row r="16407" spans="326:326">
      <c r="LN16407" t="str">
        <v/>
      </c>
    </row>
    <row r="16408" spans="326:326">
      <c r="LN16408" t="str">
        <v/>
      </c>
    </row>
    <row r="16409" spans="326:326">
      <c r="LN16409" t="str">
        <v/>
      </c>
    </row>
    <row r="16410" spans="326:326">
      <c r="LN16410" t="str">
        <v/>
      </c>
    </row>
    <row r="16411" spans="326:326">
      <c r="LN16411" t="str">
        <v/>
      </c>
    </row>
    <row r="16412" spans="326:326">
      <c r="LN16412" t="str">
        <v/>
      </c>
    </row>
    <row r="16413" spans="326:326">
      <c r="LN16413" t="str">
        <v/>
      </c>
    </row>
    <row r="16414" spans="326:326">
      <c r="LN16414" t="str">
        <v/>
      </c>
    </row>
    <row r="16415" spans="326:326">
      <c r="LN16415" t="str">
        <v/>
      </c>
    </row>
    <row r="16416" spans="326:326">
      <c r="LN16416" t="str">
        <v/>
      </c>
    </row>
    <row r="16417" spans="326:326">
      <c r="LN16417" t="str">
        <v/>
      </c>
    </row>
    <row r="16418" spans="326:326">
      <c r="LN16418" t="str">
        <v/>
      </c>
    </row>
    <row r="16419" spans="326:326">
      <c r="LN16419" t="str">
        <v/>
      </c>
    </row>
    <row r="16420" spans="326:326">
      <c r="LN16420" t="str">
        <v/>
      </c>
    </row>
    <row r="16421" spans="326:326">
      <c r="LN16421" t="str">
        <v/>
      </c>
    </row>
    <row r="16422" spans="326:326">
      <c r="LN16422" t="str">
        <v/>
      </c>
    </row>
    <row r="16423" spans="326:326">
      <c r="LN16423" t="str">
        <v/>
      </c>
    </row>
    <row r="16424" spans="326:326">
      <c r="LN16424" t="str">
        <v/>
      </c>
    </row>
    <row r="16425" spans="326:326">
      <c r="LN16425" t="str">
        <v/>
      </c>
    </row>
    <row r="16426" spans="326:326">
      <c r="LN16426" t="str">
        <v/>
      </c>
    </row>
    <row r="16427" spans="326:326">
      <c r="LN16427" t="str">
        <v/>
      </c>
    </row>
    <row r="16428" spans="326:326">
      <c r="LN16428" t="str">
        <v/>
      </c>
    </row>
    <row r="16429" spans="326:326">
      <c r="LN16429" t="str">
        <v/>
      </c>
    </row>
    <row r="16430" spans="326:326">
      <c r="LN16430" t="str">
        <v/>
      </c>
    </row>
    <row r="16431" spans="326:326">
      <c r="LN16431" t="str">
        <v/>
      </c>
    </row>
    <row r="16432" spans="326:326">
      <c r="LN16432" t="str">
        <v/>
      </c>
    </row>
    <row r="16433" spans="326:326">
      <c r="LN16433" t="str">
        <v/>
      </c>
    </row>
    <row r="16434" spans="326:326">
      <c r="LN16434" t="str">
        <v/>
      </c>
    </row>
    <row r="16435" spans="326:326">
      <c r="LN16435" t="str">
        <v/>
      </c>
    </row>
    <row r="16436" spans="326:326">
      <c r="LN16436" t="str">
        <v/>
      </c>
    </row>
    <row r="16437" spans="326:326">
      <c r="LN16437" t="str">
        <v/>
      </c>
    </row>
    <row r="16438" spans="326:326">
      <c r="LN16438" t="str">
        <v/>
      </c>
    </row>
    <row r="16439" spans="326:326">
      <c r="LN16439" t="str">
        <v/>
      </c>
    </row>
    <row r="16440" spans="326:326">
      <c r="LN16440" t="str">
        <v/>
      </c>
    </row>
    <row r="16441" spans="326:326">
      <c r="LN16441" t="str">
        <v/>
      </c>
    </row>
    <row r="16442" spans="326:326">
      <c r="LN16442" t="str">
        <v/>
      </c>
    </row>
    <row r="16443" spans="326:326">
      <c r="LN16443" t="str">
        <v/>
      </c>
    </row>
    <row r="16444" spans="326:326">
      <c r="LN16444" t="str">
        <v/>
      </c>
    </row>
    <row r="16445" spans="326:326">
      <c r="LN16445" t="str">
        <v/>
      </c>
    </row>
    <row r="16446" spans="326:326">
      <c r="LN16446" t="str">
        <v/>
      </c>
    </row>
    <row r="16447" spans="326:326">
      <c r="LN16447" t="str">
        <v/>
      </c>
    </row>
    <row r="16448" spans="326:326">
      <c r="LN16448" t="str">
        <v/>
      </c>
    </row>
    <row r="16449" spans="326:326">
      <c r="LN16449" t="str">
        <v/>
      </c>
    </row>
    <row r="16450" spans="326:326">
      <c r="LN16450" t="str">
        <v/>
      </c>
    </row>
    <row r="16451" spans="326:326">
      <c r="LN16451" t="str">
        <v/>
      </c>
    </row>
    <row r="16452" spans="326:326">
      <c r="LN16452" t="str">
        <v/>
      </c>
    </row>
    <row r="16453" spans="326:326">
      <c r="LN16453" t="str">
        <v/>
      </c>
    </row>
    <row r="16454" spans="326:326">
      <c r="LN16454" t="str">
        <v/>
      </c>
    </row>
    <row r="16455" spans="326:326">
      <c r="LN16455" t="str">
        <v/>
      </c>
    </row>
    <row r="16456" spans="326:326">
      <c r="LN16456" t="str">
        <v/>
      </c>
    </row>
    <row r="16457" spans="326:326">
      <c r="LN16457" t="str">
        <v/>
      </c>
    </row>
    <row r="16458" spans="326:326">
      <c r="LN16458" t="str">
        <v/>
      </c>
    </row>
    <row r="16459" spans="326:326">
      <c r="LN16459" t="str">
        <v/>
      </c>
    </row>
    <row r="16460" spans="326:326">
      <c r="LN16460" t="str">
        <v/>
      </c>
    </row>
    <row r="16461" spans="326:326">
      <c r="LN16461" t="str">
        <v/>
      </c>
    </row>
    <row r="16462" spans="326:326">
      <c r="LN16462" t="str">
        <v/>
      </c>
    </row>
    <row r="16463" spans="326:326">
      <c r="LN16463" t="str">
        <v/>
      </c>
    </row>
    <row r="16464" spans="326:326">
      <c r="LN16464" t="str">
        <v/>
      </c>
    </row>
    <row r="16465" spans="326:326">
      <c r="LN16465" t="str">
        <v/>
      </c>
    </row>
    <row r="16466" spans="326:326">
      <c r="LN16466" t="str">
        <v/>
      </c>
    </row>
    <row r="16467" spans="326:326">
      <c r="LN16467" t="str">
        <v/>
      </c>
    </row>
    <row r="16468" spans="326:326">
      <c r="LN16468" t="str">
        <v/>
      </c>
    </row>
    <row r="16469" spans="326:326">
      <c r="LN16469" t="str">
        <v/>
      </c>
    </row>
    <row r="16470" spans="326:326">
      <c r="LN16470" t="str">
        <v/>
      </c>
    </row>
    <row r="16471" spans="326:326">
      <c r="LN16471" t="str">
        <v/>
      </c>
    </row>
    <row r="16472" spans="326:326">
      <c r="LN16472" t="str">
        <v/>
      </c>
    </row>
    <row r="16473" spans="326:326">
      <c r="LN16473" t="str">
        <v/>
      </c>
    </row>
    <row r="16474" spans="326:326">
      <c r="LN16474" t="str">
        <v/>
      </c>
    </row>
    <row r="16475" spans="326:326">
      <c r="LN16475" t="str">
        <v/>
      </c>
    </row>
    <row r="16476" spans="326:326">
      <c r="LN16476" t="str">
        <v/>
      </c>
    </row>
    <row r="16477" spans="326:326">
      <c r="LN16477" t="str">
        <v/>
      </c>
    </row>
    <row r="16478" spans="326:326">
      <c r="LN16478" t="str">
        <v/>
      </c>
    </row>
    <row r="16479" spans="326:326">
      <c r="LN16479" t="str">
        <v/>
      </c>
    </row>
    <row r="16480" spans="326:326">
      <c r="LN16480" t="str">
        <v/>
      </c>
    </row>
    <row r="16481" spans="326:326">
      <c r="LN16481" t="str">
        <v/>
      </c>
    </row>
    <row r="16482" spans="326:326">
      <c r="LN16482" t="str">
        <v/>
      </c>
    </row>
    <row r="16483" spans="326:326">
      <c r="LN16483" t="str">
        <v/>
      </c>
    </row>
    <row r="16484" spans="326:326">
      <c r="LN16484" t="str">
        <v/>
      </c>
    </row>
    <row r="16485" spans="326:326">
      <c r="LN16485" t="str">
        <v/>
      </c>
    </row>
    <row r="16486" spans="326:326">
      <c r="LN16486" t="str">
        <v/>
      </c>
    </row>
    <row r="16487" spans="326:326">
      <c r="LN16487" t="str">
        <v/>
      </c>
    </row>
    <row r="16488" spans="326:326">
      <c r="LN16488" t="str">
        <v/>
      </c>
    </row>
    <row r="16489" spans="326:326">
      <c r="LN16489" t="str">
        <v/>
      </c>
    </row>
    <row r="16490" spans="326:326">
      <c r="LN16490" t="str">
        <v/>
      </c>
    </row>
    <row r="16491" spans="326:326">
      <c r="LN16491" t="str">
        <v/>
      </c>
    </row>
    <row r="16492" spans="326:326">
      <c r="LN16492" t="str">
        <v/>
      </c>
    </row>
    <row r="16493" spans="326:326">
      <c r="LN16493" t="str">
        <v/>
      </c>
    </row>
    <row r="16494" spans="326:326">
      <c r="LN16494" t="str">
        <v/>
      </c>
    </row>
    <row r="16495" spans="326:326">
      <c r="LN16495" t="str">
        <v/>
      </c>
    </row>
    <row r="16496" spans="326:326">
      <c r="LN16496" t="str">
        <v/>
      </c>
    </row>
    <row r="16497" spans="326:326">
      <c r="LN16497" t="str">
        <v/>
      </c>
    </row>
    <row r="16498" spans="326:326">
      <c r="LN16498" t="str">
        <v/>
      </c>
    </row>
    <row r="16499" spans="326:326">
      <c r="LN16499" t="str">
        <v/>
      </c>
    </row>
    <row r="16500" spans="326:326">
      <c r="LN16500" t="str">
        <v/>
      </c>
    </row>
    <row r="16501" spans="326:326">
      <c r="LN16501" t="str">
        <v/>
      </c>
    </row>
    <row r="16502" spans="326:326">
      <c r="LN16502" t="str">
        <v/>
      </c>
    </row>
    <row r="16503" spans="326:326">
      <c r="LN16503" t="str">
        <v/>
      </c>
    </row>
    <row r="16504" spans="326:326">
      <c r="LN16504" t="str">
        <v/>
      </c>
    </row>
    <row r="16505" spans="326:326">
      <c r="LN16505" t="str">
        <v/>
      </c>
    </row>
    <row r="16506" spans="326:326">
      <c r="LN16506" t="str">
        <v/>
      </c>
    </row>
    <row r="16507" spans="326:326">
      <c r="LN16507" t="str">
        <v/>
      </c>
    </row>
    <row r="16508" spans="326:326">
      <c r="LN16508" t="str">
        <v/>
      </c>
    </row>
    <row r="16509" spans="326:326">
      <c r="LN16509" t="str">
        <v/>
      </c>
    </row>
    <row r="16510" spans="326:326">
      <c r="LN16510" t="str">
        <v/>
      </c>
    </row>
    <row r="16511" spans="326:326">
      <c r="LN16511" t="str">
        <v/>
      </c>
    </row>
    <row r="16512" spans="326:326">
      <c r="LN16512" t="str">
        <v/>
      </c>
    </row>
    <row r="16513" spans="326:326">
      <c r="LN16513" t="str">
        <v/>
      </c>
    </row>
    <row r="16514" spans="326:326">
      <c r="LN16514" t="str">
        <v/>
      </c>
    </row>
    <row r="16515" spans="326:326">
      <c r="LN16515" t="str">
        <v/>
      </c>
    </row>
    <row r="16516" spans="326:326">
      <c r="LN16516" t="str">
        <v/>
      </c>
    </row>
    <row r="16517" spans="326:326">
      <c r="LN16517" t="str">
        <v/>
      </c>
    </row>
    <row r="16518" spans="326:326">
      <c r="LN16518" t="str">
        <v/>
      </c>
    </row>
    <row r="16519" spans="326:326">
      <c r="LN16519" t="str">
        <v/>
      </c>
    </row>
    <row r="16520" spans="326:326">
      <c r="LN16520" t="str">
        <v/>
      </c>
    </row>
    <row r="16521" spans="326:326">
      <c r="LN16521" t="str">
        <v/>
      </c>
    </row>
    <row r="16522" spans="326:326">
      <c r="LN16522" t="str">
        <v/>
      </c>
    </row>
    <row r="16523" spans="326:326">
      <c r="LN16523" t="str">
        <v/>
      </c>
    </row>
    <row r="16524" spans="326:326">
      <c r="LN16524" t="str">
        <v/>
      </c>
    </row>
    <row r="16525" spans="326:326">
      <c r="LN16525" t="str">
        <v/>
      </c>
    </row>
    <row r="16526" spans="326:326">
      <c r="LN16526" t="str">
        <v/>
      </c>
    </row>
    <row r="16527" spans="326:326">
      <c r="LN16527" t="str">
        <v/>
      </c>
    </row>
    <row r="16528" spans="326:326">
      <c r="LN16528" t="str">
        <v/>
      </c>
    </row>
    <row r="16529" spans="326:326">
      <c r="LN16529" t="str">
        <v/>
      </c>
    </row>
    <row r="16530" spans="326:326">
      <c r="LN16530" t="str">
        <v/>
      </c>
    </row>
    <row r="16531" spans="326:326">
      <c r="LN16531" t="str">
        <v/>
      </c>
    </row>
    <row r="16532" spans="326:326">
      <c r="LN16532" t="str">
        <v/>
      </c>
    </row>
    <row r="16533" spans="326:326">
      <c r="LN16533" t="str">
        <v/>
      </c>
    </row>
    <row r="16534" spans="326:326">
      <c r="LN16534" t="str">
        <v/>
      </c>
    </row>
    <row r="16535" spans="326:326">
      <c r="LN16535" t="str">
        <v/>
      </c>
    </row>
    <row r="16536" spans="326:326">
      <c r="LN16536" t="str">
        <v/>
      </c>
    </row>
    <row r="16537" spans="326:326">
      <c r="LN16537" t="str">
        <v/>
      </c>
    </row>
    <row r="16538" spans="326:326">
      <c r="LN16538" t="str">
        <v/>
      </c>
    </row>
    <row r="16539" spans="326:326">
      <c r="LN16539" t="str">
        <v/>
      </c>
    </row>
    <row r="16540" spans="326:326">
      <c r="LN16540" t="str">
        <v/>
      </c>
    </row>
    <row r="16541" spans="326:326">
      <c r="LN16541" t="str">
        <v/>
      </c>
    </row>
    <row r="16542" spans="326:326">
      <c r="LN16542" t="str">
        <v/>
      </c>
    </row>
    <row r="16543" spans="326:326">
      <c r="LN16543" t="str">
        <v/>
      </c>
    </row>
    <row r="16544" spans="326:326">
      <c r="LN16544" t="str">
        <v/>
      </c>
    </row>
    <row r="16545" spans="326:326">
      <c r="LN16545" t="str">
        <v/>
      </c>
    </row>
    <row r="16546" spans="326:326">
      <c r="LN16546" t="str">
        <v/>
      </c>
    </row>
    <row r="16547" spans="326:326">
      <c r="LN16547" t="str">
        <v/>
      </c>
    </row>
    <row r="16548" spans="326:326">
      <c r="LN16548" t="str">
        <v/>
      </c>
    </row>
    <row r="16549" spans="326:326">
      <c r="LN16549" t="str">
        <v/>
      </c>
    </row>
    <row r="16550" spans="326:326">
      <c r="LN16550" t="str">
        <v/>
      </c>
    </row>
    <row r="16551" spans="326:326">
      <c r="LN16551" t="str">
        <v/>
      </c>
    </row>
    <row r="16552" spans="326:326">
      <c r="LN16552" t="str">
        <v/>
      </c>
    </row>
    <row r="16553" spans="326:326">
      <c r="LN16553" t="str">
        <v/>
      </c>
    </row>
    <row r="16554" spans="326:326">
      <c r="LN16554" t="str">
        <v/>
      </c>
    </row>
    <row r="16555" spans="326:326">
      <c r="LN16555" t="str">
        <v/>
      </c>
    </row>
    <row r="16556" spans="326:326">
      <c r="LN16556" t="str">
        <v/>
      </c>
    </row>
    <row r="16557" spans="326:326">
      <c r="LN16557" t="str">
        <v/>
      </c>
    </row>
    <row r="16558" spans="326:326">
      <c r="LN16558" t="str">
        <v/>
      </c>
    </row>
    <row r="16559" spans="326:326">
      <c r="LN16559" t="str">
        <v/>
      </c>
    </row>
    <row r="16560" spans="326:326">
      <c r="LN16560" t="str">
        <v/>
      </c>
    </row>
    <row r="16561" spans="326:326">
      <c r="LN16561" t="str">
        <v/>
      </c>
    </row>
    <row r="16562" spans="326:326">
      <c r="LN16562" t="str">
        <v/>
      </c>
    </row>
    <row r="16563" spans="326:326">
      <c r="LN16563" t="str">
        <v/>
      </c>
    </row>
    <row r="16564" spans="326:326">
      <c r="LN16564" t="str">
        <v/>
      </c>
    </row>
    <row r="16565" spans="326:326">
      <c r="LN16565" t="str">
        <v/>
      </c>
    </row>
    <row r="16566" spans="326:326">
      <c r="LN16566" t="str">
        <v/>
      </c>
    </row>
    <row r="16567" spans="326:326">
      <c r="LN16567" t="str">
        <v/>
      </c>
    </row>
    <row r="16568" spans="326:326">
      <c r="LN16568" t="str">
        <v/>
      </c>
    </row>
    <row r="16569" spans="326:326">
      <c r="LN16569" t="str">
        <v/>
      </c>
    </row>
    <row r="16570" spans="326:326">
      <c r="LN16570" t="str">
        <v/>
      </c>
    </row>
    <row r="16571" spans="326:326">
      <c r="LN16571" t="str">
        <v/>
      </c>
    </row>
    <row r="16572" spans="326:326">
      <c r="LN16572" t="str">
        <v/>
      </c>
    </row>
    <row r="16573" spans="326:326">
      <c r="LN16573" t="str">
        <v/>
      </c>
    </row>
    <row r="16574" spans="326:326">
      <c r="LN16574" t="str">
        <v/>
      </c>
    </row>
    <row r="16575" spans="326:326">
      <c r="LN16575" t="str">
        <v/>
      </c>
    </row>
    <row r="16576" spans="326:326">
      <c r="LN16576" t="str">
        <v/>
      </c>
    </row>
    <row r="16577" spans="326:326">
      <c r="LN16577" t="str">
        <v/>
      </c>
    </row>
    <row r="16578" spans="326:326">
      <c r="LN16578" t="str">
        <v/>
      </c>
    </row>
    <row r="16579" spans="326:326">
      <c r="LN16579" t="str">
        <v/>
      </c>
    </row>
    <row r="16580" spans="326:326">
      <c r="LN16580" t="str">
        <v/>
      </c>
    </row>
    <row r="16581" spans="326:326">
      <c r="LN16581" t="str">
        <v/>
      </c>
    </row>
    <row r="16582" spans="326:326">
      <c r="LN16582" t="str">
        <v/>
      </c>
    </row>
    <row r="16583" spans="326:326">
      <c r="LN16583" t="str">
        <v/>
      </c>
    </row>
    <row r="16584" spans="326:326">
      <c r="LN16584" t="str">
        <v/>
      </c>
    </row>
    <row r="16585" spans="326:326">
      <c r="LN16585" t="str">
        <v/>
      </c>
    </row>
    <row r="16586" spans="326:326">
      <c r="LN16586" t="str">
        <v/>
      </c>
    </row>
    <row r="16587" spans="326:326">
      <c r="LN16587" t="str">
        <v/>
      </c>
    </row>
    <row r="16588" spans="326:326">
      <c r="LN16588" t="str">
        <v/>
      </c>
    </row>
    <row r="16589" spans="326:326">
      <c r="LN16589" t="str">
        <v/>
      </c>
    </row>
    <row r="16590" spans="326:326">
      <c r="LN16590" t="str">
        <v/>
      </c>
    </row>
    <row r="16591" spans="326:326">
      <c r="LN16591" t="str">
        <v/>
      </c>
    </row>
    <row r="16592" spans="326:326">
      <c r="LN16592" t="str">
        <v/>
      </c>
    </row>
    <row r="16593" spans="326:326">
      <c r="LN16593" t="str">
        <v/>
      </c>
    </row>
    <row r="16594" spans="326:326">
      <c r="LN16594" t="str">
        <v/>
      </c>
    </row>
    <row r="16595" spans="326:326">
      <c r="LN16595" t="str">
        <v/>
      </c>
    </row>
    <row r="16596" spans="326:326">
      <c r="LN16596" t="str">
        <v/>
      </c>
    </row>
    <row r="16597" spans="326:326">
      <c r="LN16597" t="str">
        <v/>
      </c>
    </row>
    <row r="16598" spans="326:326">
      <c r="LN16598" t="str">
        <v/>
      </c>
    </row>
    <row r="16599" spans="326:326">
      <c r="LN16599" t="str">
        <v/>
      </c>
    </row>
    <row r="16600" spans="326:326">
      <c r="LN16600" t="str">
        <v/>
      </c>
    </row>
    <row r="16601" spans="326:326">
      <c r="LN16601" t="str">
        <v/>
      </c>
    </row>
    <row r="16602" spans="326:326">
      <c r="LN16602" t="str">
        <v/>
      </c>
    </row>
    <row r="16603" spans="326:326">
      <c r="LN16603" t="str">
        <v/>
      </c>
    </row>
    <row r="16604" spans="326:326">
      <c r="LN16604" t="str">
        <v/>
      </c>
    </row>
    <row r="16605" spans="326:326">
      <c r="LN16605" t="str">
        <v/>
      </c>
    </row>
    <row r="16606" spans="326:326">
      <c r="LN16606" t="str">
        <v/>
      </c>
    </row>
    <row r="16607" spans="326:326">
      <c r="LN16607" t="str">
        <v/>
      </c>
    </row>
    <row r="16608" spans="326:326">
      <c r="LN16608" t="str">
        <v/>
      </c>
    </row>
    <row r="16609" spans="326:326">
      <c r="LN16609" t="str">
        <v/>
      </c>
    </row>
    <row r="16610" spans="326:326">
      <c r="LN16610" t="str">
        <v/>
      </c>
    </row>
    <row r="16611" spans="326:326">
      <c r="LN16611" t="str">
        <v/>
      </c>
    </row>
    <row r="16612" spans="326:326">
      <c r="LN16612" t="str">
        <v/>
      </c>
    </row>
    <row r="16613" spans="326:326">
      <c r="LN16613" t="str">
        <v/>
      </c>
    </row>
    <row r="16614" spans="326:326">
      <c r="LN16614" t="str">
        <v/>
      </c>
    </row>
    <row r="16615" spans="326:326">
      <c r="LN16615" t="str">
        <v/>
      </c>
    </row>
    <row r="16616" spans="326:326">
      <c r="LN16616" t="str">
        <v/>
      </c>
    </row>
    <row r="16617" spans="326:326">
      <c r="LN16617" t="str">
        <v/>
      </c>
    </row>
    <row r="16618" spans="326:326">
      <c r="LN16618" t="str">
        <v/>
      </c>
    </row>
    <row r="16619" spans="326:326">
      <c r="LN16619" t="str">
        <v/>
      </c>
    </row>
    <row r="16620" spans="326:326">
      <c r="LN16620" t="str">
        <v/>
      </c>
    </row>
    <row r="16621" spans="326:326">
      <c r="LN16621" t="str">
        <v/>
      </c>
    </row>
    <row r="16622" spans="326:326">
      <c r="LN16622" t="str">
        <v/>
      </c>
    </row>
    <row r="16623" spans="326:326">
      <c r="LN16623" t="str">
        <v/>
      </c>
    </row>
    <row r="16624" spans="326:326">
      <c r="LN16624" t="str">
        <v/>
      </c>
    </row>
    <row r="16625" spans="326:326">
      <c r="LN16625" t="str">
        <v/>
      </c>
    </row>
    <row r="16626" spans="326:326">
      <c r="LN16626" t="str">
        <v/>
      </c>
    </row>
    <row r="16627" spans="326:326">
      <c r="LN16627" t="str">
        <v/>
      </c>
    </row>
    <row r="16628" spans="326:326">
      <c r="LN16628" t="str">
        <v/>
      </c>
    </row>
    <row r="16629" spans="326:326">
      <c r="LN16629" t="str">
        <v/>
      </c>
    </row>
    <row r="16630" spans="326:326">
      <c r="LN16630" t="str">
        <v/>
      </c>
    </row>
    <row r="16631" spans="326:326">
      <c r="LN16631" t="str">
        <v/>
      </c>
    </row>
    <row r="16632" spans="326:326">
      <c r="LN16632" t="str">
        <v/>
      </c>
    </row>
    <row r="16633" spans="326:326">
      <c r="LN16633" t="str">
        <v/>
      </c>
    </row>
    <row r="16634" spans="326:326">
      <c r="LN16634" t="str">
        <v/>
      </c>
    </row>
    <row r="16635" spans="326:326">
      <c r="LN16635" t="str">
        <v/>
      </c>
    </row>
    <row r="16636" spans="326:326">
      <c r="LN16636" t="str">
        <v/>
      </c>
    </row>
    <row r="16637" spans="326:326">
      <c r="LN16637" t="str">
        <v/>
      </c>
    </row>
    <row r="16638" spans="326:326">
      <c r="LN16638" t="str">
        <v/>
      </c>
    </row>
    <row r="16639" spans="326:326">
      <c r="LN16639" t="str">
        <v/>
      </c>
    </row>
    <row r="16640" spans="326:326">
      <c r="LN16640" t="str">
        <v/>
      </c>
    </row>
    <row r="16641" spans="326:326">
      <c r="LN16641" t="str">
        <v/>
      </c>
    </row>
    <row r="16642" spans="326:326">
      <c r="LN16642" t="str">
        <v/>
      </c>
    </row>
    <row r="16643" spans="326:326">
      <c r="LN16643" t="str">
        <v/>
      </c>
    </row>
    <row r="16644" spans="326:326">
      <c r="LN16644" t="str">
        <v/>
      </c>
    </row>
    <row r="16645" spans="326:326">
      <c r="LN16645" t="str">
        <v/>
      </c>
    </row>
    <row r="16646" spans="326:326">
      <c r="LN16646" t="str">
        <v/>
      </c>
    </row>
    <row r="16647" spans="326:326">
      <c r="LN16647" t="str">
        <v/>
      </c>
    </row>
    <row r="16648" spans="326:326">
      <c r="LN16648" t="str">
        <v/>
      </c>
    </row>
    <row r="16649" spans="326:326">
      <c r="LN16649" t="str">
        <v/>
      </c>
    </row>
    <row r="16650" spans="326:326">
      <c r="LN16650" t="str">
        <v/>
      </c>
    </row>
    <row r="16651" spans="326:326">
      <c r="LN16651" t="str">
        <v/>
      </c>
    </row>
    <row r="16652" spans="326:326">
      <c r="LN16652" t="str">
        <v/>
      </c>
    </row>
    <row r="16653" spans="326:326">
      <c r="LN16653" t="str">
        <v/>
      </c>
    </row>
    <row r="16654" spans="326:326">
      <c r="LN16654" t="str">
        <v/>
      </c>
    </row>
    <row r="16655" spans="326:326">
      <c r="LN16655" t="str">
        <v/>
      </c>
    </row>
    <row r="16656" spans="326:326">
      <c r="LN16656" t="str">
        <v/>
      </c>
    </row>
    <row r="16657" spans="326:326">
      <c r="LN16657" t="str">
        <v/>
      </c>
    </row>
    <row r="16658" spans="326:326">
      <c r="LN16658" t="str">
        <v/>
      </c>
    </row>
    <row r="16659" spans="326:326">
      <c r="LN16659" t="str">
        <v/>
      </c>
    </row>
    <row r="16660" spans="326:326">
      <c r="LN16660" t="str">
        <v/>
      </c>
    </row>
    <row r="16661" spans="326:326">
      <c r="LN16661" t="str">
        <v/>
      </c>
    </row>
    <row r="16662" spans="326:326">
      <c r="LN16662" t="str">
        <v/>
      </c>
    </row>
    <row r="16663" spans="326:326">
      <c r="LN16663" t="str">
        <v/>
      </c>
    </row>
    <row r="16664" spans="326:326">
      <c r="LN16664" t="str">
        <v/>
      </c>
    </row>
    <row r="16665" spans="326:326">
      <c r="LN16665" t="str">
        <v/>
      </c>
    </row>
    <row r="16666" spans="326:326">
      <c r="LN16666" t="str">
        <v/>
      </c>
    </row>
    <row r="16667" spans="326:326">
      <c r="LN16667" t="str">
        <v/>
      </c>
    </row>
    <row r="16668" spans="326:326">
      <c r="LN16668" t="str">
        <v/>
      </c>
    </row>
    <row r="16669" spans="326:326">
      <c r="LN16669" t="str">
        <v/>
      </c>
    </row>
    <row r="16670" spans="326:326">
      <c r="LN16670" t="str">
        <v/>
      </c>
    </row>
    <row r="16671" spans="326:326">
      <c r="LN16671" t="str">
        <v/>
      </c>
    </row>
    <row r="16672" spans="326:326">
      <c r="LN16672" t="str">
        <v/>
      </c>
    </row>
    <row r="16673" spans="326:326">
      <c r="LN16673" t="str">
        <v/>
      </c>
    </row>
    <row r="16674" spans="326:326">
      <c r="LN16674" t="str">
        <v/>
      </c>
    </row>
    <row r="16675" spans="326:326">
      <c r="LN16675" t="str">
        <v/>
      </c>
    </row>
    <row r="16676" spans="326:326">
      <c r="LN16676" t="str">
        <v/>
      </c>
    </row>
    <row r="16677" spans="326:326">
      <c r="LN16677" t="str">
        <v/>
      </c>
    </row>
    <row r="16678" spans="326:326">
      <c r="LN16678" t="str">
        <v/>
      </c>
    </row>
    <row r="16679" spans="326:326">
      <c r="LN16679" t="str">
        <v/>
      </c>
    </row>
    <row r="16680" spans="326:326">
      <c r="LN16680" t="str">
        <v/>
      </c>
    </row>
    <row r="16681" spans="326:326">
      <c r="LN16681" t="str">
        <v/>
      </c>
    </row>
    <row r="16682" spans="326:326">
      <c r="LN16682" t="str">
        <v/>
      </c>
    </row>
    <row r="16683" spans="326:326">
      <c r="LN16683" t="str">
        <v/>
      </c>
    </row>
    <row r="16684" spans="326:326">
      <c r="LN16684" t="str">
        <v/>
      </c>
    </row>
    <row r="16685" spans="326:326">
      <c r="LN16685" t="str">
        <v/>
      </c>
    </row>
    <row r="16686" spans="326:326">
      <c r="LN16686" t="str">
        <v/>
      </c>
    </row>
    <row r="16687" spans="326:326">
      <c r="LN16687" t="str">
        <v/>
      </c>
    </row>
    <row r="16688" spans="326:326">
      <c r="LN16688" t="str">
        <v/>
      </c>
    </row>
    <row r="16689" spans="326:326">
      <c r="LN16689" t="str">
        <v/>
      </c>
    </row>
    <row r="16690" spans="326:326">
      <c r="LN16690" t="str">
        <v/>
      </c>
    </row>
    <row r="16691" spans="326:326">
      <c r="LN16691" t="str">
        <v/>
      </c>
    </row>
    <row r="16692" spans="326:326">
      <c r="LN16692" t="str">
        <v/>
      </c>
    </row>
    <row r="16693" spans="326:326">
      <c r="LN16693" t="str">
        <v/>
      </c>
    </row>
    <row r="16694" spans="326:326">
      <c r="LN16694" t="str">
        <v/>
      </c>
    </row>
    <row r="16695" spans="326:326">
      <c r="LN16695" t="str">
        <v/>
      </c>
    </row>
    <row r="16696" spans="326:326">
      <c r="LN16696" t="str">
        <v/>
      </c>
    </row>
    <row r="16697" spans="326:326">
      <c r="LN16697" t="str">
        <v/>
      </c>
    </row>
    <row r="16698" spans="326:326">
      <c r="LN16698" t="str">
        <v/>
      </c>
    </row>
    <row r="16699" spans="326:326">
      <c r="LN16699" t="str">
        <v/>
      </c>
    </row>
    <row r="16700" spans="326:326">
      <c r="LN16700" t="str">
        <v/>
      </c>
    </row>
    <row r="16701" spans="326:326">
      <c r="LN16701" t="str">
        <v/>
      </c>
    </row>
    <row r="16702" spans="326:326">
      <c r="LN16702" t="str">
        <v/>
      </c>
    </row>
    <row r="16703" spans="326:326">
      <c r="LN16703" t="str">
        <v/>
      </c>
    </row>
    <row r="16704" spans="326:326">
      <c r="LN16704" t="str">
        <v/>
      </c>
    </row>
    <row r="16705" spans="326:326">
      <c r="LN16705" t="str">
        <v/>
      </c>
    </row>
    <row r="16706" spans="326:326">
      <c r="LN16706" t="str">
        <v/>
      </c>
    </row>
    <row r="16707" spans="326:326">
      <c r="LN16707" t="str">
        <v/>
      </c>
    </row>
    <row r="16708" spans="326:326">
      <c r="LN16708" t="str">
        <v/>
      </c>
    </row>
    <row r="16709" spans="326:326">
      <c r="LN16709" t="str">
        <v/>
      </c>
    </row>
    <row r="16710" spans="326:326">
      <c r="LN16710" t="str">
        <v/>
      </c>
    </row>
    <row r="16711" spans="326:326">
      <c r="LN16711" t="str">
        <v/>
      </c>
    </row>
    <row r="16712" spans="326:326">
      <c r="LN16712" t="str">
        <v/>
      </c>
    </row>
    <row r="16713" spans="326:326">
      <c r="LN16713" t="str">
        <v/>
      </c>
    </row>
    <row r="16714" spans="326:326">
      <c r="LN16714" t="str">
        <v/>
      </c>
    </row>
    <row r="16715" spans="326:326">
      <c r="LN16715" t="str">
        <v/>
      </c>
    </row>
    <row r="16716" spans="326:326">
      <c r="LN16716" t="str">
        <v/>
      </c>
    </row>
    <row r="16717" spans="326:326">
      <c r="LN16717" t="str">
        <v/>
      </c>
    </row>
    <row r="16718" spans="326:326">
      <c r="LN16718" t="str">
        <v/>
      </c>
    </row>
    <row r="16719" spans="326:326">
      <c r="LN16719" t="str">
        <v/>
      </c>
    </row>
    <row r="16720" spans="326:326">
      <c r="LN16720" t="str">
        <v/>
      </c>
    </row>
    <row r="16721" spans="326:326">
      <c r="LN16721" t="str">
        <v/>
      </c>
    </row>
    <row r="16722" spans="326:326">
      <c r="LN16722" t="str">
        <v/>
      </c>
    </row>
    <row r="16723" spans="326:326">
      <c r="LN16723" t="str">
        <v/>
      </c>
    </row>
    <row r="16724" spans="326:326">
      <c r="LN16724" t="str">
        <v/>
      </c>
    </row>
    <row r="16725" spans="326:326">
      <c r="LN16725" t="str">
        <v/>
      </c>
    </row>
    <row r="16726" spans="326:326">
      <c r="LN16726" t="str">
        <v/>
      </c>
    </row>
    <row r="16727" spans="326:326">
      <c r="LN16727" t="str">
        <v/>
      </c>
    </row>
    <row r="16728" spans="326:326">
      <c r="LN16728" t="str">
        <v/>
      </c>
    </row>
    <row r="16729" spans="326:326">
      <c r="LN16729" t="str">
        <v/>
      </c>
    </row>
    <row r="16730" spans="326:326">
      <c r="LN16730" t="str">
        <v/>
      </c>
    </row>
    <row r="16731" spans="326:326">
      <c r="LN16731" t="str">
        <v/>
      </c>
    </row>
    <row r="16732" spans="326:326">
      <c r="LN16732" t="str">
        <v/>
      </c>
    </row>
    <row r="16733" spans="326:326">
      <c r="LN16733" t="str">
        <v/>
      </c>
    </row>
    <row r="16734" spans="326:326">
      <c r="LN16734" t="str">
        <v/>
      </c>
    </row>
    <row r="16735" spans="326:326">
      <c r="LN16735" t="str">
        <v/>
      </c>
    </row>
    <row r="16736" spans="326:326">
      <c r="LN16736" t="str">
        <v/>
      </c>
    </row>
    <row r="16737" spans="326:326">
      <c r="LN16737" t="str">
        <v/>
      </c>
    </row>
    <row r="16738" spans="326:326">
      <c r="LN16738" t="str">
        <v/>
      </c>
    </row>
    <row r="16739" spans="326:326">
      <c r="LN16739" t="str">
        <v/>
      </c>
    </row>
    <row r="16740" spans="326:326">
      <c r="LN16740" t="str">
        <v/>
      </c>
    </row>
    <row r="16741" spans="326:326">
      <c r="LN16741" t="str">
        <v/>
      </c>
    </row>
    <row r="16742" spans="326:326">
      <c r="LN16742" t="str">
        <v/>
      </c>
    </row>
    <row r="16743" spans="326:326">
      <c r="LN16743" t="str">
        <v/>
      </c>
    </row>
    <row r="16744" spans="326:326">
      <c r="LN16744" t="str">
        <v/>
      </c>
    </row>
    <row r="16745" spans="326:326">
      <c r="LN16745" t="str">
        <v/>
      </c>
    </row>
    <row r="16746" spans="326:326">
      <c r="LN16746" t="str">
        <v/>
      </c>
    </row>
    <row r="16747" spans="326:326">
      <c r="LN16747" t="str">
        <v/>
      </c>
    </row>
    <row r="16748" spans="326:326">
      <c r="LN16748" t="str">
        <v/>
      </c>
    </row>
    <row r="16749" spans="326:326">
      <c r="LN16749" t="str">
        <v/>
      </c>
    </row>
    <row r="16750" spans="326:326">
      <c r="LN16750" t="str">
        <v/>
      </c>
    </row>
    <row r="16751" spans="326:326">
      <c r="LN16751" t="str">
        <v/>
      </c>
    </row>
    <row r="16752" spans="326:326">
      <c r="LN16752" t="str">
        <v/>
      </c>
    </row>
    <row r="16753" spans="326:326">
      <c r="LN16753" t="str">
        <v/>
      </c>
    </row>
    <row r="16754" spans="326:326">
      <c r="LN16754" t="str">
        <v/>
      </c>
    </row>
    <row r="16755" spans="326:326">
      <c r="LN16755" t="str">
        <v/>
      </c>
    </row>
    <row r="16756" spans="326:326">
      <c r="LN16756" t="str">
        <v/>
      </c>
    </row>
    <row r="16757" spans="326:326">
      <c r="LN16757" t="str">
        <v/>
      </c>
    </row>
    <row r="16758" spans="326:326">
      <c r="LN16758" t="str">
        <v/>
      </c>
    </row>
    <row r="16759" spans="326:326">
      <c r="LN16759" t="str">
        <v/>
      </c>
    </row>
    <row r="16760" spans="326:326">
      <c r="LN16760" t="str">
        <v/>
      </c>
    </row>
    <row r="16761" spans="326:326">
      <c r="LN16761" t="str">
        <v/>
      </c>
    </row>
    <row r="16762" spans="326:326">
      <c r="LN16762" t="str">
        <v/>
      </c>
    </row>
    <row r="16763" spans="326:326">
      <c r="LN16763" t="str">
        <v/>
      </c>
    </row>
    <row r="16764" spans="326:326">
      <c r="LN16764" t="str">
        <v/>
      </c>
    </row>
    <row r="16765" spans="326:326">
      <c r="LN16765" t="str">
        <v/>
      </c>
    </row>
    <row r="16766" spans="326:326">
      <c r="LN16766" t="str">
        <v/>
      </c>
    </row>
    <row r="16767" spans="326:326">
      <c r="LN16767" t="str">
        <v/>
      </c>
    </row>
    <row r="16768" spans="326:326">
      <c r="LN16768" t="str">
        <v/>
      </c>
    </row>
    <row r="16769" spans="326:326">
      <c r="LN16769" t="str">
        <v/>
      </c>
    </row>
    <row r="16770" spans="326:326">
      <c r="LN16770" t="str">
        <v/>
      </c>
    </row>
    <row r="16771" spans="326:326">
      <c r="LN16771" t="str">
        <v/>
      </c>
    </row>
    <row r="16772" spans="326:326">
      <c r="LN16772" t="str">
        <v/>
      </c>
    </row>
    <row r="16773" spans="326:326">
      <c r="LN16773" t="str">
        <v/>
      </c>
    </row>
    <row r="16774" spans="326:326">
      <c r="LN16774" t="str">
        <v/>
      </c>
    </row>
    <row r="16775" spans="326:326">
      <c r="LN16775" t="str">
        <v/>
      </c>
    </row>
    <row r="16776" spans="326:326">
      <c r="LN16776" t="str">
        <v/>
      </c>
    </row>
    <row r="16777" spans="326:326">
      <c r="LN16777" t="str">
        <v/>
      </c>
    </row>
    <row r="16778" spans="326:326">
      <c r="LN16778" t="str">
        <v/>
      </c>
    </row>
    <row r="16779" spans="326:326">
      <c r="LN16779" t="str">
        <v/>
      </c>
    </row>
    <row r="16780" spans="326:326">
      <c r="LN16780" t="str">
        <v/>
      </c>
    </row>
    <row r="16781" spans="326:326">
      <c r="LN16781" t="str">
        <v/>
      </c>
    </row>
    <row r="16782" spans="326:326">
      <c r="LN16782" t="str">
        <v/>
      </c>
    </row>
    <row r="16783" spans="326:326">
      <c r="LN16783" t="str">
        <v/>
      </c>
    </row>
    <row r="16784" spans="326:326">
      <c r="LN16784" t="str">
        <v/>
      </c>
    </row>
    <row r="16785" spans="326:326">
      <c r="LN16785" t="str">
        <v/>
      </c>
    </row>
    <row r="16786" spans="326:326">
      <c r="LN16786" t="str">
        <v/>
      </c>
    </row>
    <row r="16787" spans="326:326">
      <c r="LN16787" t="str">
        <v/>
      </c>
    </row>
    <row r="16788" spans="326:326">
      <c r="LN16788" t="str">
        <v/>
      </c>
    </row>
    <row r="16789" spans="326:326">
      <c r="LN16789" t="str">
        <v/>
      </c>
    </row>
    <row r="16790" spans="326:326">
      <c r="LN16790" t="str">
        <v/>
      </c>
    </row>
    <row r="16791" spans="326:326">
      <c r="LN16791" t="str">
        <v/>
      </c>
    </row>
    <row r="16792" spans="326:326">
      <c r="LN16792" t="str">
        <v/>
      </c>
    </row>
    <row r="16793" spans="326:326">
      <c r="LN16793" t="str">
        <v/>
      </c>
    </row>
    <row r="16794" spans="326:326">
      <c r="LN16794" t="str">
        <v/>
      </c>
    </row>
    <row r="16795" spans="326:326">
      <c r="LN16795" t="str">
        <v/>
      </c>
    </row>
    <row r="16796" spans="326:326">
      <c r="LN16796" t="str">
        <v/>
      </c>
    </row>
    <row r="16797" spans="326:326">
      <c r="LN16797" t="str">
        <v/>
      </c>
    </row>
    <row r="16798" spans="326:326">
      <c r="LN16798" t="str">
        <v/>
      </c>
    </row>
    <row r="16799" spans="326:326">
      <c r="LN16799" t="str">
        <v/>
      </c>
    </row>
    <row r="16800" spans="326:326">
      <c r="LN16800" t="str">
        <v/>
      </c>
    </row>
    <row r="16801" spans="326:326">
      <c r="LN16801" t="str">
        <v/>
      </c>
    </row>
    <row r="16802" spans="326:326">
      <c r="LN16802" t="str">
        <v/>
      </c>
    </row>
    <row r="16803" spans="326:326">
      <c r="LN16803" t="str">
        <v/>
      </c>
    </row>
    <row r="16804" spans="326:326">
      <c r="LN16804" t="str">
        <v/>
      </c>
    </row>
    <row r="16805" spans="326:326">
      <c r="LN16805" t="str">
        <v/>
      </c>
    </row>
    <row r="16806" spans="326:326">
      <c r="LN16806" t="str">
        <v/>
      </c>
    </row>
    <row r="16807" spans="326:326">
      <c r="LN16807" t="str">
        <v/>
      </c>
    </row>
    <row r="16808" spans="326:326">
      <c r="LN16808" t="str">
        <v/>
      </c>
    </row>
    <row r="16809" spans="326:326">
      <c r="LN16809" t="str">
        <v/>
      </c>
    </row>
    <row r="16810" spans="326:326">
      <c r="LN16810" t="str">
        <v/>
      </c>
    </row>
    <row r="16811" spans="326:326">
      <c r="LN16811" t="str">
        <v/>
      </c>
    </row>
    <row r="16812" spans="326:326">
      <c r="LN16812" t="str">
        <v/>
      </c>
    </row>
    <row r="16813" spans="326:326">
      <c r="LN16813" t="str">
        <v/>
      </c>
    </row>
    <row r="16814" spans="326:326">
      <c r="LN16814" t="str">
        <v/>
      </c>
    </row>
    <row r="16815" spans="326:326">
      <c r="LN16815" t="str">
        <v/>
      </c>
    </row>
    <row r="16816" spans="326:326">
      <c r="LN16816" t="str">
        <v/>
      </c>
    </row>
    <row r="16817" spans="326:326">
      <c r="LN16817" t="str">
        <v/>
      </c>
    </row>
    <row r="16818" spans="326:326">
      <c r="LN16818" t="str">
        <v/>
      </c>
    </row>
    <row r="16819" spans="326:326">
      <c r="LN16819" t="str">
        <v/>
      </c>
    </row>
    <row r="16820" spans="326:326">
      <c r="LN16820" t="str">
        <v/>
      </c>
    </row>
    <row r="16821" spans="326:326">
      <c r="LN16821" t="str">
        <v/>
      </c>
    </row>
    <row r="16822" spans="326:326">
      <c r="LN16822" t="str">
        <v/>
      </c>
    </row>
    <row r="16823" spans="326:326">
      <c r="LN16823" t="str">
        <v/>
      </c>
    </row>
    <row r="16824" spans="326:326">
      <c r="LN16824" t="str">
        <v/>
      </c>
    </row>
    <row r="16825" spans="326:326">
      <c r="LN16825" t="str">
        <v/>
      </c>
    </row>
    <row r="16826" spans="326:326">
      <c r="LN16826" t="str">
        <v/>
      </c>
    </row>
    <row r="16827" spans="326:326">
      <c r="LN16827" t="str">
        <v/>
      </c>
    </row>
    <row r="16828" spans="326:326">
      <c r="LN16828" t="str">
        <v/>
      </c>
    </row>
    <row r="16829" spans="326:326">
      <c r="LN16829" t="str">
        <v/>
      </c>
    </row>
    <row r="16830" spans="326:326">
      <c r="LN16830" t="str">
        <v/>
      </c>
    </row>
    <row r="16831" spans="326:326">
      <c r="LN16831" t="str">
        <v/>
      </c>
    </row>
    <row r="16832" spans="326:326">
      <c r="LN16832" t="str">
        <v/>
      </c>
    </row>
    <row r="16833" spans="326:326">
      <c r="LN16833" t="str">
        <v/>
      </c>
    </row>
    <row r="16834" spans="326:326">
      <c r="LN16834" t="str">
        <v/>
      </c>
    </row>
    <row r="16835" spans="326:326">
      <c r="LN16835" t="str">
        <v/>
      </c>
    </row>
    <row r="16836" spans="326:326">
      <c r="LN16836" t="str">
        <v/>
      </c>
    </row>
    <row r="16837" spans="326:326">
      <c r="LN16837" t="str">
        <v/>
      </c>
    </row>
    <row r="16838" spans="326:326">
      <c r="LN16838" t="str">
        <v/>
      </c>
    </row>
    <row r="16839" spans="326:326">
      <c r="LN16839" t="str">
        <v/>
      </c>
    </row>
    <row r="16840" spans="326:326">
      <c r="LN16840" t="str">
        <v/>
      </c>
    </row>
    <row r="16841" spans="326:326">
      <c r="LN16841" t="str">
        <v/>
      </c>
    </row>
    <row r="16842" spans="326:326">
      <c r="LN16842" t="str">
        <v/>
      </c>
    </row>
    <row r="16843" spans="326:326">
      <c r="LN16843" t="str">
        <v/>
      </c>
    </row>
    <row r="16844" spans="326:326">
      <c r="LN16844" t="str">
        <v/>
      </c>
    </row>
    <row r="16845" spans="326:326">
      <c r="LN16845" t="str">
        <v/>
      </c>
    </row>
    <row r="16846" spans="326:326">
      <c r="LN16846" t="str">
        <v/>
      </c>
    </row>
    <row r="16847" spans="326:326">
      <c r="LN16847" t="str">
        <v/>
      </c>
    </row>
    <row r="16848" spans="326:326">
      <c r="LN16848" t="str">
        <v/>
      </c>
    </row>
    <row r="16849" spans="326:326">
      <c r="LN16849" t="str">
        <v/>
      </c>
    </row>
    <row r="16850" spans="326:326">
      <c r="LN16850" t="str">
        <v/>
      </c>
    </row>
    <row r="16851" spans="326:326">
      <c r="LN16851" t="str">
        <v/>
      </c>
    </row>
    <row r="16852" spans="326:326">
      <c r="LN16852" t="str">
        <v/>
      </c>
    </row>
    <row r="16853" spans="326:326">
      <c r="LN16853" t="str">
        <v/>
      </c>
    </row>
    <row r="16854" spans="326:326">
      <c r="LN16854" t="str">
        <v/>
      </c>
    </row>
    <row r="16855" spans="326:326">
      <c r="LN16855" t="str">
        <v/>
      </c>
    </row>
    <row r="16856" spans="326:326">
      <c r="LN16856" t="str">
        <v/>
      </c>
    </row>
    <row r="16857" spans="326:326">
      <c r="LN16857" t="str">
        <v/>
      </c>
    </row>
    <row r="16858" spans="326:326">
      <c r="LN16858" t="str">
        <v/>
      </c>
    </row>
    <row r="16859" spans="326:326">
      <c r="LN16859" t="str">
        <v/>
      </c>
    </row>
    <row r="16860" spans="326:326">
      <c r="LN16860" t="str">
        <v/>
      </c>
    </row>
    <row r="16861" spans="326:326">
      <c r="LN16861" t="str">
        <v/>
      </c>
    </row>
    <row r="16862" spans="326:326">
      <c r="LN16862" t="str">
        <v/>
      </c>
    </row>
    <row r="16863" spans="326:326">
      <c r="LN16863" t="str">
        <v/>
      </c>
    </row>
    <row r="16864" spans="326:326">
      <c r="LN16864" t="str">
        <v/>
      </c>
    </row>
    <row r="16865" spans="326:326">
      <c r="LN16865" t="str">
        <v/>
      </c>
    </row>
    <row r="16866" spans="326:326">
      <c r="LN16866" t="str">
        <v/>
      </c>
    </row>
    <row r="16867" spans="326:326">
      <c r="LN16867" t="str">
        <v/>
      </c>
    </row>
    <row r="16868" spans="326:326">
      <c r="LN16868" t="str">
        <v/>
      </c>
    </row>
    <row r="16869" spans="326:326">
      <c r="LN16869" t="str">
        <v/>
      </c>
    </row>
    <row r="16870" spans="326:326">
      <c r="LN16870" t="str">
        <v/>
      </c>
    </row>
    <row r="16871" spans="326:326">
      <c r="LN16871" t="str">
        <v/>
      </c>
    </row>
    <row r="16872" spans="326:326">
      <c r="LN16872" t="str">
        <v/>
      </c>
    </row>
    <row r="16873" spans="326:326">
      <c r="LN16873" t="str">
        <v/>
      </c>
    </row>
    <row r="16874" spans="326:326">
      <c r="LN16874" t="str">
        <v/>
      </c>
    </row>
    <row r="16875" spans="326:326">
      <c r="LN16875" t="str">
        <v/>
      </c>
    </row>
    <row r="16876" spans="326:326">
      <c r="LN16876" t="str">
        <v/>
      </c>
    </row>
    <row r="16877" spans="326:326">
      <c r="LN16877" t="str">
        <v/>
      </c>
    </row>
    <row r="16878" spans="326:326">
      <c r="LN16878" t="str">
        <v/>
      </c>
    </row>
    <row r="16879" spans="326:326">
      <c r="LN16879" t="str">
        <v/>
      </c>
    </row>
    <row r="16880" spans="326:326">
      <c r="LN16880" t="str">
        <v/>
      </c>
    </row>
    <row r="16881" spans="326:326">
      <c r="LN16881" t="str">
        <v/>
      </c>
    </row>
    <row r="16882" spans="326:326">
      <c r="LN16882" t="str">
        <v/>
      </c>
    </row>
    <row r="16883" spans="326:326">
      <c r="LN16883" t="str">
        <v/>
      </c>
    </row>
    <row r="16884" spans="326:326">
      <c r="LN16884" t="str">
        <v/>
      </c>
    </row>
    <row r="16885" spans="326:326">
      <c r="LN16885" t="str">
        <v/>
      </c>
    </row>
    <row r="16886" spans="326:326">
      <c r="LN16886" t="str">
        <v/>
      </c>
    </row>
    <row r="16887" spans="326:326">
      <c r="LN16887" t="str">
        <v/>
      </c>
    </row>
    <row r="16888" spans="326:326">
      <c r="LN16888" t="str">
        <v/>
      </c>
    </row>
    <row r="16889" spans="326:326">
      <c r="LN16889" t="str">
        <v/>
      </c>
    </row>
    <row r="16890" spans="326:326">
      <c r="LN16890" t="str">
        <v/>
      </c>
    </row>
    <row r="16891" spans="326:326">
      <c r="LN16891" t="str">
        <v/>
      </c>
    </row>
    <row r="16892" spans="326:326">
      <c r="LN16892" t="str">
        <v/>
      </c>
    </row>
    <row r="16893" spans="326:326">
      <c r="LN16893" t="str">
        <v/>
      </c>
    </row>
    <row r="16894" spans="326:326">
      <c r="LN16894" t="str">
        <v/>
      </c>
    </row>
    <row r="16895" spans="326:326">
      <c r="LN16895" t="str">
        <v/>
      </c>
    </row>
    <row r="16896" spans="326:326">
      <c r="LN16896" t="str">
        <v/>
      </c>
    </row>
    <row r="16897" spans="326:326">
      <c r="LN16897" t="str">
        <v/>
      </c>
    </row>
    <row r="16898" spans="326:326">
      <c r="LN16898" t="str">
        <v/>
      </c>
    </row>
    <row r="16899" spans="326:326">
      <c r="LN16899" t="str">
        <v/>
      </c>
    </row>
    <row r="16900" spans="326:326">
      <c r="LN16900" t="str">
        <v/>
      </c>
    </row>
    <row r="16901" spans="326:326">
      <c r="LN16901" t="str">
        <v/>
      </c>
    </row>
    <row r="16902" spans="326:326">
      <c r="LN16902" t="str">
        <v/>
      </c>
    </row>
    <row r="16903" spans="326:326">
      <c r="LN16903" t="str">
        <v/>
      </c>
    </row>
    <row r="16904" spans="326:326">
      <c r="LN16904" t="str">
        <v/>
      </c>
    </row>
    <row r="16905" spans="326:326">
      <c r="LN16905" t="str">
        <v/>
      </c>
    </row>
    <row r="16906" spans="326:326">
      <c r="LN16906" t="str">
        <v/>
      </c>
    </row>
    <row r="16907" spans="326:326">
      <c r="LN16907" t="str">
        <v/>
      </c>
    </row>
    <row r="16908" spans="326:326">
      <c r="LN16908" t="str">
        <v/>
      </c>
    </row>
    <row r="16909" spans="326:326">
      <c r="LN16909" t="str">
        <v/>
      </c>
    </row>
    <row r="16910" spans="326:326">
      <c r="LN16910" t="str">
        <v/>
      </c>
    </row>
    <row r="16911" spans="326:326">
      <c r="LN16911" t="str">
        <v/>
      </c>
    </row>
    <row r="16912" spans="326:326">
      <c r="LN16912" t="str">
        <v/>
      </c>
    </row>
    <row r="16913" spans="326:326">
      <c r="LN16913" t="str">
        <v/>
      </c>
    </row>
    <row r="16914" spans="326:326">
      <c r="LN16914" t="str">
        <v/>
      </c>
    </row>
    <row r="16915" spans="326:326">
      <c r="LN16915" t="str">
        <v/>
      </c>
    </row>
    <row r="16916" spans="326:326">
      <c r="LN16916" t="str">
        <v/>
      </c>
    </row>
    <row r="16917" spans="326:326">
      <c r="LN16917" t="str">
        <v/>
      </c>
    </row>
    <row r="16918" spans="326:326">
      <c r="LN16918" t="str">
        <v/>
      </c>
    </row>
    <row r="16919" spans="326:326">
      <c r="LN16919" t="str">
        <v/>
      </c>
    </row>
    <row r="16920" spans="326:326">
      <c r="LN16920" t="str">
        <v/>
      </c>
    </row>
    <row r="16921" spans="326:326">
      <c r="LN16921" t="str">
        <v/>
      </c>
    </row>
    <row r="16922" spans="326:326">
      <c r="LN16922" t="str">
        <v/>
      </c>
    </row>
    <row r="16923" spans="326:326">
      <c r="LN16923" t="str">
        <v/>
      </c>
    </row>
    <row r="16924" spans="326:326">
      <c r="LN16924" t="str">
        <v/>
      </c>
    </row>
    <row r="16925" spans="326:326">
      <c r="LN16925" t="str">
        <v/>
      </c>
    </row>
    <row r="16926" spans="326:326">
      <c r="LN16926" t="str">
        <v/>
      </c>
    </row>
    <row r="16927" spans="326:326">
      <c r="LN16927" t="str">
        <v/>
      </c>
    </row>
    <row r="16928" spans="326:326">
      <c r="LN16928" t="str">
        <v/>
      </c>
    </row>
    <row r="16929" spans="326:326">
      <c r="LN16929" t="str">
        <v/>
      </c>
    </row>
    <row r="16930" spans="326:326">
      <c r="LN16930" t="str">
        <v/>
      </c>
    </row>
    <row r="16931" spans="326:326">
      <c r="LN16931" t="str">
        <v/>
      </c>
    </row>
    <row r="16932" spans="326:326">
      <c r="LN16932" t="str">
        <v/>
      </c>
    </row>
    <row r="16933" spans="326:326">
      <c r="LN16933" t="str">
        <v/>
      </c>
    </row>
    <row r="16934" spans="326:326">
      <c r="LN16934" t="str">
        <v/>
      </c>
    </row>
    <row r="16935" spans="326:326">
      <c r="LN16935" t="str">
        <v/>
      </c>
    </row>
    <row r="16936" spans="326:326">
      <c r="LN16936" t="str">
        <v/>
      </c>
    </row>
    <row r="16937" spans="326:326">
      <c r="LN16937" t="str">
        <v/>
      </c>
    </row>
    <row r="16938" spans="326:326">
      <c r="LN16938" t="str">
        <v/>
      </c>
    </row>
    <row r="16939" spans="326:326">
      <c r="LN16939" t="str">
        <v/>
      </c>
    </row>
    <row r="16940" spans="326:326">
      <c r="LN16940" t="str">
        <v/>
      </c>
    </row>
    <row r="16941" spans="326:326">
      <c r="LN16941" t="str">
        <v/>
      </c>
    </row>
    <row r="16942" spans="326:326">
      <c r="LN16942" t="str">
        <v/>
      </c>
    </row>
    <row r="16943" spans="326:326">
      <c r="LN16943" t="str">
        <v/>
      </c>
    </row>
    <row r="16944" spans="326:326">
      <c r="LN16944" t="str">
        <v/>
      </c>
    </row>
    <row r="16945" spans="326:326">
      <c r="LN16945" t="str">
        <v/>
      </c>
    </row>
    <row r="16946" spans="326:326">
      <c r="LN16946" t="str">
        <v/>
      </c>
    </row>
    <row r="16947" spans="326:326">
      <c r="LN16947" t="str">
        <v/>
      </c>
    </row>
    <row r="16948" spans="326:326">
      <c r="LN16948" t="str">
        <v/>
      </c>
    </row>
    <row r="16949" spans="326:326">
      <c r="LN16949" t="str">
        <v/>
      </c>
    </row>
    <row r="16950" spans="326:326">
      <c r="LN16950" t="str">
        <v/>
      </c>
    </row>
    <row r="16951" spans="326:326">
      <c r="LN16951" t="str">
        <v/>
      </c>
    </row>
    <row r="16952" spans="326:326">
      <c r="LN16952" t="str">
        <v/>
      </c>
    </row>
    <row r="16953" spans="326:326">
      <c r="LN16953" t="str">
        <v/>
      </c>
    </row>
    <row r="16954" spans="326:326">
      <c r="LN16954" t="str">
        <v/>
      </c>
    </row>
    <row r="16955" spans="326:326">
      <c r="LN16955" t="str">
        <v/>
      </c>
    </row>
    <row r="16956" spans="326:326">
      <c r="LN16956" t="str">
        <v/>
      </c>
    </row>
    <row r="16957" spans="326:326">
      <c r="LN16957" t="str">
        <v/>
      </c>
    </row>
    <row r="16958" spans="326:326">
      <c r="LN16958" t="str">
        <v/>
      </c>
    </row>
    <row r="16959" spans="326:326">
      <c r="LN16959" t="str">
        <v/>
      </c>
    </row>
    <row r="16960" spans="326:326">
      <c r="LN16960" t="str">
        <v/>
      </c>
    </row>
    <row r="16961" spans="326:326">
      <c r="LN16961" t="str">
        <v/>
      </c>
    </row>
    <row r="16962" spans="326:326">
      <c r="LN16962" t="str">
        <v/>
      </c>
    </row>
    <row r="16963" spans="326:326">
      <c r="LN16963" t="str">
        <v/>
      </c>
    </row>
    <row r="16964" spans="326:326">
      <c r="LN16964" t="str">
        <v/>
      </c>
    </row>
    <row r="16965" spans="326:326">
      <c r="LN16965" t="str">
        <v/>
      </c>
    </row>
    <row r="16966" spans="326:326">
      <c r="LN16966" t="str">
        <v/>
      </c>
    </row>
    <row r="16967" spans="326:326">
      <c r="LN16967" t="str">
        <v/>
      </c>
    </row>
    <row r="16968" spans="326:326">
      <c r="LN16968" t="str">
        <v/>
      </c>
    </row>
    <row r="16969" spans="326:326">
      <c r="LN16969" t="str">
        <v/>
      </c>
    </row>
    <row r="16970" spans="326:326">
      <c r="LN16970" t="str">
        <v/>
      </c>
    </row>
    <row r="16971" spans="326:326">
      <c r="LN16971" t="str">
        <v/>
      </c>
    </row>
    <row r="16972" spans="326:326">
      <c r="LN16972" t="str">
        <v/>
      </c>
    </row>
    <row r="16973" spans="326:326">
      <c r="LN16973" t="str">
        <v/>
      </c>
    </row>
    <row r="16974" spans="326:326">
      <c r="LN16974" t="str">
        <v/>
      </c>
    </row>
    <row r="16975" spans="326:326">
      <c r="LN16975" t="str">
        <v/>
      </c>
    </row>
    <row r="16976" spans="326:326">
      <c r="LN16976" t="str">
        <v/>
      </c>
    </row>
    <row r="16977" spans="326:326">
      <c r="LN16977" t="str">
        <v/>
      </c>
    </row>
    <row r="16978" spans="326:326">
      <c r="LN16978" t="str">
        <v/>
      </c>
    </row>
    <row r="16979" spans="326:326">
      <c r="LN16979" t="str">
        <v/>
      </c>
    </row>
    <row r="16980" spans="326:326">
      <c r="LN16980" t="str">
        <v/>
      </c>
    </row>
    <row r="16981" spans="326:326">
      <c r="LN16981" t="str">
        <v/>
      </c>
    </row>
    <row r="16982" spans="326:326">
      <c r="LN16982" t="str">
        <v/>
      </c>
    </row>
    <row r="16983" spans="326:326">
      <c r="LN16983" t="str">
        <v/>
      </c>
    </row>
    <row r="16984" spans="326:326">
      <c r="LN16984" t="str">
        <v/>
      </c>
    </row>
    <row r="16985" spans="326:326">
      <c r="LN16985" t="str">
        <v/>
      </c>
    </row>
    <row r="16986" spans="326:326">
      <c r="LN16986" t="str">
        <v/>
      </c>
    </row>
    <row r="16987" spans="326:326">
      <c r="LN16987" t="str">
        <v/>
      </c>
    </row>
    <row r="16988" spans="326:326">
      <c r="LN16988" t="str">
        <v/>
      </c>
    </row>
    <row r="16989" spans="326:326">
      <c r="LN16989" t="str">
        <v/>
      </c>
    </row>
    <row r="16990" spans="326:326">
      <c r="LN16990" t="str">
        <v/>
      </c>
    </row>
    <row r="16991" spans="326:326">
      <c r="LN16991" t="str">
        <v/>
      </c>
    </row>
    <row r="16992" spans="326:326">
      <c r="LN16992" t="str">
        <v/>
      </c>
    </row>
    <row r="16993" spans="326:326">
      <c r="LN16993" t="str">
        <v/>
      </c>
    </row>
    <row r="16994" spans="326:326">
      <c r="LN16994" t="str">
        <v/>
      </c>
    </row>
    <row r="16995" spans="326:326">
      <c r="LN16995" t="str">
        <v/>
      </c>
    </row>
    <row r="16996" spans="326:326">
      <c r="LN16996" t="str">
        <v/>
      </c>
    </row>
    <row r="16997" spans="326:326">
      <c r="LN16997" t="str">
        <v/>
      </c>
    </row>
    <row r="16998" spans="326:326">
      <c r="LN16998" t="str">
        <v/>
      </c>
    </row>
    <row r="16999" spans="326:326">
      <c r="LN16999" t="str">
        <v/>
      </c>
    </row>
    <row r="17000" spans="326:326">
      <c r="LN17000" t="str">
        <v/>
      </c>
    </row>
    <row r="17001" spans="326:326">
      <c r="LN17001" t="str">
        <v/>
      </c>
    </row>
    <row r="17002" spans="326:326">
      <c r="LN17002" t="str">
        <v/>
      </c>
    </row>
    <row r="17003" spans="326:326">
      <c r="LN17003" t="str">
        <v/>
      </c>
    </row>
    <row r="17004" spans="326:326">
      <c r="LN17004" t="str">
        <v/>
      </c>
    </row>
    <row r="17005" spans="326:326">
      <c r="LN17005" t="str">
        <v/>
      </c>
    </row>
    <row r="17006" spans="326:326">
      <c r="LN17006" t="str">
        <v/>
      </c>
    </row>
    <row r="17007" spans="326:326">
      <c r="LN17007" t="str">
        <v/>
      </c>
    </row>
    <row r="17008" spans="326:326">
      <c r="LN17008" t="str">
        <v/>
      </c>
    </row>
    <row r="17009" spans="326:326">
      <c r="LN17009" t="str">
        <v/>
      </c>
    </row>
    <row r="17010" spans="326:326">
      <c r="LN17010" t="str">
        <v/>
      </c>
    </row>
    <row r="17011" spans="326:326">
      <c r="LN17011" t="str">
        <v/>
      </c>
    </row>
    <row r="17012" spans="326:326">
      <c r="LN17012" t="str">
        <v/>
      </c>
    </row>
    <row r="17013" spans="326:326">
      <c r="LN17013" t="str">
        <v/>
      </c>
    </row>
    <row r="17014" spans="326:326">
      <c r="LN17014" t="str">
        <v/>
      </c>
    </row>
    <row r="17015" spans="326:326">
      <c r="LN17015" t="str">
        <v/>
      </c>
    </row>
    <row r="17016" spans="326:326">
      <c r="LN17016" t="str">
        <v/>
      </c>
    </row>
    <row r="17017" spans="326:326">
      <c r="LN17017" t="str">
        <v/>
      </c>
    </row>
    <row r="17018" spans="326:326">
      <c r="LN17018" t="str">
        <v/>
      </c>
    </row>
    <row r="17019" spans="326:326">
      <c r="LN17019" t="str">
        <v/>
      </c>
    </row>
    <row r="17020" spans="326:326">
      <c r="LN17020" t="str">
        <v/>
      </c>
    </row>
    <row r="17021" spans="326:326">
      <c r="LN17021" t="str">
        <v/>
      </c>
    </row>
    <row r="17022" spans="326:326">
      <c r="LN17022" t="str">
        <v/>
      </c>
    </row>
    <row r="17023" spans="326:326">
      <c r="LN17023" t="str">
        <v/>
      </c>
    </row>
    <row r="17024" spans="326:326">
      <c r="LN17024" t="str">
        <v/>
      </c>
    </row>
    <row r="17025" spans="326:326">
      <c r="LN17025" t="str">
        <v/>
      </c>
    </row>
    <row r="17026" spans="326:326">
      <c r="LN17026" t="str">
        <v/>
      </c>
    </row>
    <row r="17027" spans="326:326">
      <c r="LN17027" t="str">
        <v/>
      </c>
    </row>
    <row r="17028" spans="326:326">
      <c r="LN17028" t="str">
        <v/>
      </c>
    </row>
    <row r="17029" spans="326:326">
      <c r="LN17029" t="str">
        <v/>
      </c>
    </row>
    <row r="17030" spans="326:326">
      <c r="LN17030" t="str">
        <v/>
      </c>
    </row>
    <row r="17031" spans="326:326">
      <c r="LN17031" t="str">
        <v/>
      </c>
    </row>
    <row r="17032" spans="326:326">
      <c r="LN17032" t="str">
        <v/>
      </c>
    </row>
    <row r="17033" spans="326:326">
      <c r="LN17033" t="str">
        <v/>
      </c>
    </row>
    <row r="17034" spans="326:326">
      <c r="LN17034" t="str">
        <v/>
      </c>
    </row>
    <row r="17035" spans="326:326">
      <c r="LN17035" t="str">
        <v/>
      </c>
    </row>
    <row r="17036" spans="326:326">
      <c r="LN17036" t="str">
        <v/>
      </c>
    </row>
    <row r="17037" spans="326:326">
      <c r="LN17037" t="str">
        <v/>
      </c>
    </row>
    <row r="17038" spans="326:326">
      <c r="LN17038" t="str">
        <v/>
      </c>
    </row>
    <row r="17039" spans="326:326">
      <c r="LN17039" t="str">
        <v/>
      </c>
    </row>
    <row r="17040" spans="326:326">
      <c r="LN17040" t="str">
        <v/>
      </c>
    </row>
    <row r="17041" spans="326:326">
      <c r="LN17041" t="str">
        <v/>
      </c>
    </row>
    <row r="17042" spans="326:326">
      <c r="LN17042" t="str">
        <v/>
      </c>
    </row>
    <row r="17043" spans="326:326">
      <c r="LN17043" t="str">
        <v/>
      </c>
    </row>
    <row r="17044" spans="326:326">
      <c r="LN17044" t="str">
        <v/>
      </c>
    </row>
    <row r="17045" spans="326:326">
      <c r="LN17045" t="str">
        <v/>
      </c>
    </row>
    <row r="17046" spans="326:326">
      <c r="LN17046" t="str">
        <v/>
      </c>
    </row>
    <row r="17047" spans="326:326">
      <c r="LN17047" t="str">
        <v/>
      </c>
    </row>
    <row r="17048" spans="326:326">
      <c r="LN17048" t="str">
        <v/>
      </c>
    </row>
    <row r="17049" spans="326:326">
      <c r="LN17049" t="str">
        <v/>
      </c>
    </row>
    <row r="17050" spans="326:326">
      <c r="LN17050" t="str">
        <v/>
      </c>
    </row>
    <row r="17051" spans="326:326">
      <c r="LN17051" t="str">
        <v/>
      </c>
    </row>
    <row r="17052" spans="326:326">
      <c r="LN17052" t="str">
        <v/>
      </c>
    </row>
    <row r="17053" spans="326:326">
      <c r="LN17053" t="str">
        <v/>
      </c>
    </row>
    <row r="17054" spans="326:326">
      <c r="LN17054" t="str">
        <v/>
      </c>
    </row>
    <row r="17055" spans="326:326">
      <c r="LN17055" t="str">
        <v/>
      </c>
    </row>
    <row r="17056" spans="326:326">
      <c r="LN17056" t="str">
        <v/>
      </c>
    </row>
    <row r="17057" spans="326:326">
      <c r="LN17057" t="str">
        <v/>
      </c>
    </row>
    <row r="17058" spans="326:326">
      <c r="LN17058" t="str">
        <v/>
      </c>
    </row>
    <row r="17059" spans="326:326">
      <c r="LN17059" t="str">
        <v/>
      </c>
    </row>
    <row r="17060" spans="326:326">
      <c r="LN17060" t="str">
        <v/>
      </c>
    </row>
    <row r="17061" spans="326:326">
      <c r="LN17061" t="str">
        <v/>
      </c>
    </row>
    <row r="17062" spans="326:326">
      <c r="LN17062" t="str">
        <v/>
      </c>
    </row>
    <row r="17063" spans="326:326">
      <c r="LN17063" t="str">
        <v/>
      </c>
    </row>
    <row r="17064" spans="326:326">
      <c r="LN17064" t="str">
        <v/>
      </c>
    </row>
    <row r="17065" spans="326:326">
      <c r="LN17065" t="str">
        <v/>
      </c>
    </row>
    <row r="17066" spans="326:326">
      <c r="LN17066" t="str">
        <v/>
      </c>
    </row>
    <row r="17067" spans="326:326">
      <c r="LN17067" t="str">
        <v/>
      </c>
    </row>
    <row r="17068" spans="326:326">
      <c r="LN17068" t="str">
        <v/>
      </c>
    </row>
    <row r="17069" spans="326:326">
      <c r="LN17069" t="str">
        <v/>
      </c>
    </row>
    <row r="17070" spans="326:326">
      <c r="LN17070" t="str">
        <v/>
      </c>
    </row>
    <row r="17071" spans="326:326">
      <c r="LN17071" t="str">
        <v/>
      </c>
    </row>
    <row r="17072" spans="326:326">
      <c r="LN17072" t="str">
        <v/>
      </c>
    </row>
    <row r="17073" spans="326:326">
      <c r="LN17073" t="str">
        <v/>
      </c>
    </row>
    <row r="17074" spans="326:326">
      <c r="LN17074" t="str">
        <v/>
      </c>
    </row>
    <row r="17075" spans="326:326">
      <c r="LN17075" t="str">
        <v/>
      </c>
    </row>
    <row r="17076" spans="326:326">
      <c r="LN17076" t="str">
        <v/>
      </c>
    </row>
    <row r="17077" spans="326:326">
      <c r="LN17077" t="str">
        <v/>
      </c>
    </row>
    <row r="17078" spans="326:326">
      <c r="LN17078" t="str">
        <v/>
      </c>
    </row>
    <row r="17079" spans="326:326">
      <c r="LN17079" t="str">
        <v/>
      </c>
    </row>
    <row r="17080" spans="326:326">
      <c r="LN17080" t="str">
        <v/>
      </c>
    </row>
    <row r="17081" spans="326:326">
      <c r="LN17081" t="str">
        <v/>
      </c>
    </row>
    <row r="17082" spans="326:326">
      <c r="LN17082" t="str">
        <v/>
      </c>
    </row>
    <row r="17083" spans="326:326">
      <c r="LN17083" t="str">
        <v/>
      </c>
    </row>
    <row r="17084" spans="326:326">
      <c r="LN17084" t="str">
        <v/>
      </c>
    </row>
    <row r="17085" spans="326:326">
      <c r="LN17085" t="str">
        <v/>
      </c>
    </row>
    <row r="17086" spans="326:326">
      <c r="LN17086" t="str">
        <v/>
      </c>
    </row>
    <row r="17087" spans="326:326">
      <c r="LN17087" t="str">
        <v/>
      </c>
    </row>
    <row r="17088" spans="326:326">
      <c r="LN17088" t="str">
        <v/>
      </c>
    </row>
    <row r="17089" spans="326:326">
      <c r="LN17089" t="str">
        <v/>
      </c>
    </row>
    <row r="17090" spans="326:326">
      <c r="LN17090" t="str">
        <v/>
      </c>
    </row>
    <row r="17091" spans="326:326">
      <c r="LN17091" t="str">
        <v/>
      </c>
    </row>
    <row r="17092" spans="326:326">
      <c r="LN17092" t="str">
        <v/>
      </c>
    </row>
    <row r="17093" spans="326:326">
      <c r="LN17093" t="str">
        <v/>
      </c>
    </row>
    <row r="17094" spans="326:326">
      <c r="LN17094" t="str">
        <v/>
      </c>
    </row>
    <row r="17095" spans="326:326">
      <c r="LN17095" t="str">
        <v/>
      </c>
    </row>
    <row r="17096" spans="326:326">
      <c r="LN17096" t="str">
        <v/>
      </c>
    </row>
    <row r="17097" spans="326:326">
      <c r="LN17097" t="str">
        <v/>
      </c>
    </row>
    <row r="17098" spans="326:326">
      <c r="LN17098" t="str">
        <v/>
      </c>
    </row>
    <row r="17099" spans="326:326">
      <c r="LN17099" t="str">
        <v/>
      </c>
    </row>
    <row r="17100" spans="326:326">
      <c r="LN17100" t="str">
        <v/>
      </c>
    </row>
    <row r="17101" spans="326:326">
      <c r="LN17101" t="str">
        <v/>
      </c>
    </row>
    <row r="17102" spans="326:326">
      <c r="LN17102" t="str">
        <v/>
      </c>
    </row>
    <row r="17103" spans="326:326">
      <c r="LN17103" t="str">
        <v/>
      </c>
    </row>
    <row r="17104" spans="326:326">
      <c r="LN17104" t="str">
        <v/>
      </c>
    </row>
    <row r="17105" spans="326:326">
      <c r="LN17105" t="str">
        <v/>
      </c>
    </row>
    <row r="17106" spans="326:326">
      <c r="LN17106" t="str">
        <v/>
      </c>
    </row>
    <row r="17107" spans="326:326">
      <c r="LN17107" t="str">
        <v/>
      </c>
    </row>
    <row r="17108" spans="326:326">
      <c r="LN17108" t="str">
        <v/>
      </c>
    </row>
    <row r="17109" spans="326:326">
      <c r="LN17109" t="str">
        <v/>
      </c>
    </row>
    <row r="17110" spans="326:326">
      <c r="LN17110" t="str">
        <v/>
      </c>
    </row>
    <row r="17111" spans="326:326">
      <c r="LN17111" t="str">
        <v/>
      </c>
    </row>
    <row r="17112" spans="326:326">
      <c r="LN17112" t="str">
        <v/>
      </c>
    </row>
    <row r="17113" spans="326:326">
      <c r="LN17113" t="str">
        <v/>
      </c>
    </row>
    <row r="17114" spans="326:326">
      <c r="LN17114" t="str">
        <v/>
      </c>
    </row>
    <row r="17115" spans="326:326">
      <c r="LN17115" t="str">
        <v/>
      </c>
    </row>
    <row r="17116" spans="326:326">
      <c r="LN17116" t="str">
        <v/>
      </c>
    </row>
    <row r="17117" spans="326:326">
      <c r="LN17117" t="str">
        <v/>
      </c>
    </row>
    <row r="17118" spans="326:326">
      <c r="LN17118" t="str">
        <v/>
      </c>
    </row>
    <row r="17119" spans="326:326">
      <c r="LN17119" t="str">
        <v/>
      </c>
    </row>
    <row r="17120" spans="326:326">
      <c r="LN17120" t="str">
        <v/>
      </c>
    </row>
    <row r="17121" spans="326:326">
      <c r="LN17121" t="str">
        <v/>
      </c>
    </row>
    <row r="17122" spans="326:326">
      <c r="LN17122" t="str">
        <v/>
      </c>
    </row>
    <row r="17123" spans="326:326">
      <c r="LN17123" t="str">
        <v/>
      </c>
    </row>
    <row r="17124" spans="326:326">
      <c r="LN17124" t="str">
        <v/>
      </c>
    </row>
    <row r="17125" spans="326:326">
      <c r="LN17125" t="str">
        <v/>
      </c>
    </row>
    <row r="17126" spans="326:326">
      <c r="LN17126" t="str">
        <v/>
      </c>
    </row>
    <row r="17127" spans="326:326">
      <c r="LN17127" t="str">
        <v/>
      </c>
    </row>
    <row r="17128" spans="326:326">
      <c r="LN17128" t="str">
        <v/>
      </c>
    </row>
    <row r="17129" spans="326:326">
      <c r="LN17129" t="str">
        <v/>
      </c>
    </row>
    <row r="17130" spans="326:326">
      <c r="LN17130" t="str">
        <v/>
      </c>
    </row>
    <row r="17131" spans="326:326">
      <c r="LN17131" t="str">
        <v/>
      </c>
    </row>
    <row r="17132" spans="326:326">
      <c r="LN17132" t="str">
        <v/>
      </c>
    </row>
    <row r="17133" spans="326:326">
      <c r="LN17133" t="str">
        <v/>
      </c>
    </row>
    <row r="17134" spans="326:326">
      <c r="LN17134" t="str">
        <v/>
      </c>
    </row>
    <row r="17135" spans="326:326">
      <c r="LN17135" t="str">
        <v/>
      </c>
    </row>
    <row r="17136" spans="326:326">
      <c r="LN17136" t="str">
        <v/>
      </c>
    </row>
    <row r="17137" spans="326:326">
      <c r="LN17137" t="str">
        <v/>
      </c>
    </row>
    <row r="17138" spans="326:326">
      <c r="LN17138" t="str">
        <v/>
      </c>
    </row>
    <row r="17139" spans="326:326">
      <c r="LN17139" t="str">
        <v/>
      </c>
    </row>
    <row r="17140" spans="326:326">
      <c r="LN17140" t="str">
        <v/>
      </c>
    </row>
    <row r="17141" spans="326:326">
      <c r="LN17141" t="str">
        <v/>
      </c>
    </row>
    <row r="17142" spans="326:326">
      <c r="LN17142" t="str">
        <v/>
      </c>
    </row>
    <row r="17143" spans="326:326">
      <c r="LN17143" t="str">
        <v/>
      </c>
    </row>
    <row r="17144" spans="326:326">
      <c r="LN17144" t="str">
        <v/>
      </c>
    </row>
    <row r="17145" spans="326:326">
      <c r="LN17145" t="str">
        <v/>
      </c>
    </row>
    <row r="17146" spans="326:326">
      <c r="LN17146" t="str">
        <v/>
      </c>
    </row>
    <row r="17147" spans="326:326">
      <c r="LN17147" t="str">
        <v/>
      </c>
    </row>
    <row r="17148" spans="326:326">
      <c r="LN17148" t="str">
        <v/>
      </c>
    </row>
    <row r="17149" spans="326:326">
      <c r="LN17149" t="str">
        <v/>
      </c>
    </row>
    <row r="17150" spans="326:326">
      <c r="LN17150" t="str">
        <v/>
      </c>
    </row>
    <row r="17151" spans="326:326">
      <c r="LN17151" t="str">
        <v/>
      </c>
    </row>
    <row r="17152" spans="326:326">
      <c r="LN17152" t="str">
        <v/>
      </c>
    </row>
    <row r="17153" spans="326:326">
      <c r="LN17153" t="str">
        <v/>
      </c>
    </row>
    <row r="17154" spans="326:326">
      <c r="LN17154" t="str">
        <v/>
      </c>
    </row>
    <row r="17155" spans="326:326">
      <c r="LN17155" t="str">
        <v/>
      </c>
    </row>
    <row r="17156" spans="326:326">
      <c r="LN17156" t="str">
        <v/>
      </c>
    </row>
    <row r="17157" spans="326:326">
      <c r="LN17157" t="str">
        <v/>
      </c>
    </row>
    <row r="17158" spans="326:326">
      <c r="LN17158" t="str">
        <v/>
      </c>
    </row>
    <row r="17159" spans="326:326">
      <c r="LN17159" t="str">
        <v/>
      </c>
    </row>
    <row r="17160" spans="326:326">
      <c r="LN17160" t="str">
        <v/>
      </c>
    </row>
    <row r="17161" spans="326:326">
      <c r="LN17161" t="str">
        <v/>
      </c>
    </row>
    <row r="17162" spans="326:326">
      <c r="LN17162" t="str">
        <v/>
      </c>
    </row>
    <row r="17163" spans="326:326">
      <c r="LN17163" t="str">
        <v/>
      </c>
    </row>
    <row r="17164" spans="326:326">
      <c r="LN17164" t="str">
        <v/>
      </c>
    </row>
    <row r="17165" spans="326:326">
      <c r="LN17165" t="str">
        <v/>
      </c>
    </row>
    <row r="17166" spans="326:326">
      <c r="LN17166" t="str">
        <v/>
      </c>
    </row>
    <row r="17167" spans="326:326">
      <c r="LN17167" t="str">
        <v/>
      </c>
    </row>
    <row r="17168" spans="326:326">
      <c r="LN17168" t="str">
        <v/>
      </c>
    </row>
    <row r="17169" spans="326:326">
      <c r="LN17169" t="str">
        <v/>
      </c>
    </row>
    <row r="17170" spans="326:326">
      <c r="LN17170" t="str">
        <v/>
      </c>
    </row>
    <row r="17171" spans="326:326">
      <c r="LN17171" t="str">
        <v/>
      </c>
    </row>
    <row r="17172" spans="326:326">
      <c r="LN17172" t="str">
        <v/>
      </c>
    </row>
    <row r="17173" spans="326:326">
      <c r="LN17173" t="str">
        <v/>
      </c>
    </row>
    <row r="17174" spans="326:326">
      <c r="LN17174" t="str">
        <v/>
      </c>
    </row>
    <row r="17175" spans="326:326">
      <c r="LN17175" t="str">
        <v/>
      </c>
    </row>
    <row r="17176" spans="326:326">
      <c r="LN17176" t="str">
        <v/>
      </c>
    </row>
    <row r="17177" spans="326:326">
      <c r="LN17177" t="str">
        <v/>
      </c>
    </row>
    <row r="17178" spans="326:326">
      <c r="LN17178" t="str">
        <v/>
      </c>
    </row>
    <row r="17179" spans="326:326">
      <c r="LN17179" t="str">
        <v/>
      </c>
    </row>
    <row r="17180" spans="326:326">
      <c r="LN17180" t="str">
        <v/>
      </c>
    </row>
    <row r="17181" spans="326:326">
      <c r="LN17181" t="str">
        <v/>
      </c>
    </row>
    <row r="17182" spans="326:326">
      <c r="LN17182" t="str">
        <v/>
      </c>
    </row>
    <row r="17183" spans="326:326">
      <c r="LN17183" t="str">
        <v/>
      </c>
    </row>
    <row r="17184" spans="326:326">
      <c r="LN17184" t="str">
        <v/>
      </c>
    </row>
    <row r="17185" spans="326:326">
      <c r="LN17185" t="str">
        <v/>
      </c>
    </row>
    <row r="17186" spans="326:326">
      <c r="LN17186" t="str">
        <v/>
      </c>
    </row>
    <row r="17187" spans="326:326">
      <c r="LN17187" t="str">
        <v/>
      </c>
    </row>
    <row r="17188" spans="326:326">
      <c r="LN17188" t="str">
        <v/>
      </c>
    </row>
    <row r="17189" spans="326:326">
      <c r="LN17189" t="str">
        <v/>
      </c>
    </row>
    <row r="17190" spans="326:326">
      <c r="LN17190" t="str">
        <v/>
      </c>
    </row>
    <row r="17191" spans="326:326">
      <c r="LN17191" t="str">
        <v/>
      </c>
    </row>
    <row r="17192" spans="326:326">
      <c r="LN17192" t="str">
        <v/>
      </c>
    </row>
    <row r="17193" spans="326:326">
      <c r="LN17193" t="str">
        <v/>
      </c>
    </row>
    <row r="17194" spans="326:326">
      <c r="LN17194" t="str">
        <v/>
      </c>
    </row>
    <row r="17195" spans="326:326">
      <c r="LN17195" t="str">
        <v/>
      </c>
    </row>
    <row r="17196" spans="326:326">
      <c r="LN17196" t="str">
        <v/>
      </c>
    </row>
    <row r="17197" spans="326:326">
      <c r="LN17197" t="str">
        <v/>
      </c>
    </row>
    <row r="17198" spans="326:326">
      <c r="LN17198" t="str">
        <v/>
      </c>
    </row>
    <row r="17199" spans="326:326">
      <c r="LN17199" t="str">
        <v/>
      </c>
    </row>
    <row r="17200" spans="326:326">
      <c r="LN17200" t="str">
        <v/>
      </c>
    </row>
    <row r="17201" spans="326:326">
      <c r="LN17201" t="str">
        <v/>
      </c>
    </row>
    <row r="17202" spans="326:326">
      <c r="LN17202" t="str">
        <v/>
      </c>
    </row>
    <row r="17203" spans="326:326">
      <c r="LN17203" t="str">
        <v/>
      </c>
    </row>
    <row r="17204" spans="326:326">
      <c r="LN17204" t="str">
        <v/>
      </c>
    </row>
    <row r="17205" spans="326:326">
      <c r="LN17205" t="str">
        <v/>
      </c>
    </row>
    <row r="17206" spans="326:326">
      <c r="LN17206" t="str">
        <v/>
      </c>
    </row>
    <row r="17207" spans="326:326">
      <c r="LN17207" t="str">
        <v/>
      </c>
    </row>
    <row r="17208" spans="326:326">
      <c r="LN17208" t="str">
        <v/>
      </c>
    </row>
    <row r="17209" spans="326:326">
      <c r="LN17209" t="str">
        <v/>
      </c>
    </row>
    <row r="17210" spans="326:326">
      <c r="LN17210" t="str">
        <v/>
      </c>
    </row>
    <row r="17211" spans="326:326">
      <c r="LN17211" t="str">
        <v/>
      </c>
    </row>
    <row r="17212" spans="326:326">
      <c r="LN17212" t="str">
        <v/>
      </c>
    </row>
    <row r="17213" spans="326:326">
      <c r="LN17213" t="str">
        <v/>
      </c>
    </row>
    <row r="17214" spans="326:326">
      <c r="LN17214" t="str">
        <v/>
      </c>
    </row>
    <row r="17215" spans="326:326">
      <c r="LN17215" t="str">
        <v/>
      </c>
    </row>
    <row r="17216" spans="326:326">
      <c r="LN17216" t="str">
        <v/>
      </c>
    </row>
    <row r="17217" spans="326:326">
      <c r="LN17217" t="str">
        <v/>
      </c>
    </row>
    <row r="17218" spans="326:326">
      <c r="LN17218" t="str">
        <v/>
      </c>
    </row>
    <row r="17219" spans="326:326">
      <c r="LN17219" t="str">
        <v/>
      </c>
    </row>
    <row r="17220" spans="326:326">
      <c r="LN17220" t="str">
        <v/>
      </c>
    </row>
    <row r="17221" spans="326:326">
      <c r="LN17221" t="str">
        <v/>
      </c>
    </row>
    <row r="17222" spans="326:326">
      <c r="LN17222" t="str">
        <v/>
      </c>
    </row>
    <row r="17223" spans="326:326">
      <c r="LN17223" t="str">
        <v/>
      </c>
    </row>
    <row r="17224" spans="326:326">
      <c r="LN17224" t="str">
        <v/>
      </c>
    </row>
    <row r="17225" spans="326:326">
      <c r="LN17225" t="str">
        <v/>
      </c>
    </row>
    <row r="17226" spans="326:326">
      <c r="LN17226" t="str">
        <v/>
      </c>
    </row>
    <row r="17227" spans="326:326">
      <c r="LN17227" t="str">
        <v/>
      </c>
    </row>
    <row r="17228" spans="326:326">
      <c r="LN17228" t="str">
        <v/>
      </c>
    </row>
    <row r="17229" spans="326:326">
      <c r="LN17229" t="str">
        <v/>
      </c>
    </row>
    <row r="17230" spans="326:326">
      <c r="LN17230" t="str">
        <v/>
      </c>
    </row>
    <row r="17231" spans="326:326">
      <c r="LN17231" t="str">
        <v/>
      </c>
    </row>
    <row r="17232" spans="326:326">
      <c r="LN17232" t="str">
        <v/>
      </c>
    </row>
    <row r="17233" spans="326:326">
      <c r="LN17233" t="str">
        <v/>
      </c>
    </row>
    <row r="17234" spans="326:326">
      <c r="LN17234" t="str">
        <v/>
      </c>
    </row>
    <row r="17235" spans="326:326">
      <c r="LN17235" t="str">
        <v/>
      </c>
    </row>
    <row r="17236" spans="326:326">
      <c r="LN17236" t="str">
        <v/>
      </c>
    </row>
    <row r="17237" spans="326:326">
      <c r="LN17237" t="str">
        <v/>
      </c>
    </row>
    <row r="17238" spans="326:326">
      <c r="LN17238" t="str">
        <v/>
      </c>
    </row>
    <row r="17239" spans="326:326">
      <c r="LN17239" t="str">
        <v/>
      </c>
    </row>
    <row r="17240" spans="326:326">
      <c r="LN17240" t="str">
        <v/>
      </c>
    </row>
    <row r="17241" spans="326:326">
      <c r="LN17241" t="str">
        <v/>
      </c>
    </row>
    <row r="17242" spans="326:326">
      <c r="LN17242" t="str">
        <v/>
      </c>
    </row>
    <row r="17243" spans="326:326">
      <c r="LN17243" t="str">
        <v/>
      </c>
    </row>
    <row r="17244" spans="326:326">
      <c r="LN17244" t="str">
        <v/>
      </c>
    </row>
    <row r="17245" spans="326:326">
      <c r="LN17245" t="str">
        <v/>
      </c>
    </row>
    <row r="17246" spans="326:326">
      <c r="LN17246" t="str">
        <v/>
      </c>
    </row>
    <row r="17247" spans="326:326">
      <c r="LN17247" t="str">
        <v/>
      </c>
    </row>
    <row r="17248" spans="326:326">
      <c r="LN17248" t="str">
        <v/>
      </c>
    </row>
    <row r="17249" spans="326:326">
      <c r="LN17249" t="str">
        <v/>
      </c>
    </row>
    <row r="17250" spans="326:326">
      <c r="LN17250" t="str">
        <v/>
      </c>
    </row>
    <row r="17251" spans="326:326">
      <c r="LN17251" t="str">
        <v/>
      </c>
    </row>
    <row r="17252" spans="326:326">
      <c r="LN17252" t="str">
        <v/>
      </c>
    </row>
    <row r="17253" spans="326:326">
      <c r="LN17253" t="str">
        <v/>
      </c>
    </row>
    <row r="17254" spans="326:326">
      <c r="LN17254" t="str">
        <v/>
      </c>
    </row>
    <row r="17255" spans="326:326">
      <c r="LN17255" t="str">
        <v/>
      </c>
    </row>
    <row r="17256" spans="326:326">
      <c r="LN17256" t="str">
        <v/>
      </c>
    </row>
    <row r="17257" spans="326:326">
      <c r="LN17257" t="str">
        <v/>
      </c>
    </row>
    <row r="17258" spans="326:326">
      <c r="LN17258" t="str">
        <v/>
      </c>
    </row>
    <row r="17259" spans="326:326">
      <c r="LN17259" t="str">
        <v/>
      </c>
    </row>
    <row r="17260" spans="326:326">
      <c r="LN17260" t="str">
        <v/>
      </c>
    </row>
    <row r="17261" spans="326:326">
      <c r="LN17261" t="str">
        <v/>
      </c>
    </row>
    <row r="17262" spans="326:326">
      <c r="LN17262" t="str">
        <v/>
      </c>
    </row>
    <row r="17263" spans="326:326">
      <c r="LN17263" t="str">
        <v/>
      </c>
    </row>
    <row r="17264" spans="326:326">
      <c r="LN17264" t="str">
        <v/>
      </c>
    </row>
    <row r="17265" spans="326:326">
      <c r="LN17265" t="str">
        <v/>
      </c>
    </row>
    <row r="17266" spans="326:326">
      <c r="LN17266" t="str">
        <v/>
      </c>
    </row>
    <row r="17267" spans="326:326">
      <c r="LN17267" t="str">
        <v/>
      </c>
    </row>
    <row r="17268" spans="326:326">
      <c r="LN17268" t="str">
        <v/>
      </c>
    </row>
    <row r="17269" spans="326:326">
      <c r="LN17269" t="str">
        <v/>
      </c>
    </row>
    <row r="17270" spans="326:326">
      <c r="LN17270" t="str">
        <v/>
      </c>
    </row>
    <row r="17271" spans="326:326">
      <c r="LN17271" t="str">
        <v/>
      </c>
    </row>
    <row r="17272" spans="326:326">
      <c r="LN17272" t="str">
        <v/>
      </c>
    </row>
    <row r="17273" spans="326:326">
      <c r="LN17273" t="str">
        <v/>
      </c>
    </row>
    <row r="17274" spans="326:326">
      <c r="LN17274" t="str">
        <v/>
      </c>
    </row>
    <row r="17275" spans="326:326">
      <c r="LN17275" t="str">
        <v/>
      </c>
    </row>
    <row r="17276" spans="326:326">
      <c r="LN17276" t="str">
        <v/>
      </c>
    </row>
    <row r="17277" spans="326:326">
      <c r="LN17277" t="str">
        <v/>
      </c>
    </row>
    <row r="17278" spans="326:326">
      <c r="LN17278" t="str">
        <v/>
      </c>
    </row>
    <row r="17279" spans="326:326">
      <c r="LN17279" t="str">
        <v/>
      </c>
    </row>
    <row r="17280" spans="326:326">
      <c r="LN17280" t="str">
        <v/>
      </c>
    </row>
    <row r="17281" spans="326:326">
      <c r="LN17281" t="str">
        <v/>
      </c>
    </row>
    <row r="17282" spans="326:326">
      <c r="LN17282" t="str">
        <v/>
      </c>
    </row>
    <row r="17283" spans="326:326">
      <c r="LN17283" t="str">
        <v/>
      </c>
    </row>
    <row r="17284" spans="326:326">
      <c r="LN17284" t="str">
        <v/>
      </c>
    </row>
    <row r="17285" spans="326:326">
      <c r="LN17285" t="str">
        <v/>
      </c>
    </row>
    <row r="17286" spans="326:326">
      <c r="LN17286" t="str">
        <v/>
      </c>
    </row>
    <row r="17287" spans="326:326">
      <c r="LN17287" t="str">
        <v/>
      </c>
    </row>
    <row r="17288" spans="326:326">
      <c r="LN17288" t="str">
        <v/>
      </c>
    </row>
    <row r="17289" spans="326:326">
      <c r="LN17289" t="str">
        <v/>
      </c>
    </row>
    <row r="17290" spans="326:326">
      <c r="LN17290" t="str">
        <v/>
      </c>
    </row>
    <row r="17291" spans="326:326">
      <c r="LN17291" t="str">
        <v/>
      </c>
    </row>
    <row r="17292" spans="326:326">
      <c r="LN17292" t="str">
        <v/>
      </c>
    </row>
    <row r="17293" spans="326:326">
      <c r="LN17293" t="str">
        <v/>
      </c>
    </row>
    <row r="17294" spans="326:326">
      <c r="LN17294" t="str">
        <v/>
      </c>
    </row>
    <row r="17295" spans="326:326">
      <c r="LN17295" t="str">
        <v/>
      </c>
    </row>
    <row r="17296" spans="326:326">
      <c r="LN17296" t="str">
        <v/>
      </c>
    </row>
    <row r="17297" spans="326:326">
      <c r="LN17297" t="str">
        <v/>
      </c>
    </row>
    <row r="17298" spans="326:326">
      <c r="LN17298" t="str">
        <v/>
      </c>
    </row>
    <row r="17299" spans="326:326">
      <c r="LN17299" t="str">
        <v/>
      </c>
    </row>
    <row r="17300" spans="326:326">
      <c r="LN17300" t="str">
        <v/>
      </c>
    </row>
    <row r="17301" spans="326:326">
      <c r="LN17301" t="str">
        <v/>
      </c>
    </row>
    <row r="17302" spans="326:326">
      <c r="LN17302" t="str">
        <v/>
      </c>
    </row>
    <row r="17303" spans="326:326">
      <c r="LN17303" t="str">
        <v/>
      </c>
    </row>
    <row r="17304" spans="326:326">
      <c r="LN17304" t="str">
        <v/>
      </c>
    </row>
    <row r="17305" spans="326:326">
      <c r="LN17305" t="str">
        <v/>
      </c>
    </row>
    <row r="17306" spans="326:326">
      <c r="LN17306" t="str">
        <v/>
      </c>
    </row>
    <row r="17307" spans="326:326">
      <c r="LN17307" t="str">
        <v/>
      </c>
    </row>
    <row r="17308" spans="326:326">
      <c r="LN17308" t="str">
        <v/>
      </c>
    </row>
    <row r="17309" spans="326:326">
      <c r="LN17309" t="str">
        <v/>
      </c>
    </row>
    <row r="17310" spans="326:326">
      <c r="LN17310" t="str">
        <v/>
      </c>
    </row>
    <row r="17311" spans="326:326">
      <c r="LN17311" t="str">
        <v/>
      </c>
    </row>
    <row r="17312" spans="326:326">
      <c r="LN17312" t="str">
        <v/>
      </c>
    </row>
    <row r="17313" spans="326:326">
      <c r="LN17313" t="str">
        <v/>
      </c>
    </row>
    <row r="17314" spans="326:326">
      <c r="LN17314" t="str">
        <v/>
      </c>
    </row>
    <row r="17315" spans="326:326">
      <c r="LN17315" t="str">
        <v/>
      </c>
    </row>
    <row r="17316" spans="326:326">
      <c r="LN17316" t="str">
        <v/>
      </c>
    </row>
    <row r="17317" spans="326:326">
      <c r="LN17317" t="str">
        <v/>
      </c>
    </row>
    <row r="17318" spans="326:326">
      <c r="LN17318" t="str">
        <v/>
      </c>
    </row>
    <row r="17319" spans="326:326">
      <c r="LN17319" t="str">
        <v/>
      </c>
    </row>
    <row r="17320" spans="326:326">
      <c r="LN17320" t="str">
        <v/>
      </c>
    </row>
    <row r="17321" spans="326:326">
      <c r="LN17321" t="str">
        <v/>
      </c>
    </row>
    <row r="17322" spans="326:326">
      <c r="LN17322" t="str">
        <v/>
      </c>
    </row>
    <row r="17323" spans="326:326">
      <c r="LN17323" t="str">
        <v/>
      </c>
    </row>
    <row r="17324" spans="326:326">
      <c r="LN17324" t="str">
        <v/>
      </c>
    </row>
    <row r="17325" spans="326:326">
      <c r="LN17325" t="str">
        <v/>
      </c>
    </row>
    <row r="17326" spans="326:326">
      <c r="LN17326" t="str">
        <v/>
      </c>
    </row>
    <row r="17327" spans="326:326">
      <c r="LN17327" t="str">
        <v/>
      </c>
    </row>
    <row r="17328" spans="326:326">
      <c r="LN17328" t="str">
        <v/>
      </c>
    </row>
    <row r="17329" spans="326:326">
      <c r="LN17329" t="str">
        <v/>
      </c>
    </row>
    <row r="17330" spans="326:326">
      <c r="LN17330" t="str">
        <v/>
      </c>
    </row>
    <row r="17331" spans="326:326">
      <c r="LN17331" t="str">
        <v/>
      </c>
    </row>
    <row r="17332" spans="326:326">
      <c r="LN17332" t="str">
        <v/>
      </c>
    </row>
    <row r="17333" spans="326:326">
      <c r="LN17333" t="str">
        <v/>
      </c>
    </row>
    <row r="17334" spans="326:326">
      <c r="LN17334" t="str">
        <v/>
      </c>
    </row>
    <row r="17335" spans="326:326">
      <c r="LN17335" t="str">
        <v/>
      </c>
    </row>
    <row r="17336" spans="326:326">
      <c r="LN17336" t="str">
        <v/>
      </c>
    </row>
    <row r="17337" spans="326:326">
      <c r="LN17337" t="str">
        <v/>
      </c>
    </row>
    <row r="17338" spans="326:326">
      <c r="LN17338" t="str">
        <v/>
      </c>
    </row>
    <row r="17339" spans="326:326">
      <c r="LN17339" t="str">
        <v/>
      </c>
    </row>
    <row r="17340" spans="326:326">
      <c r="LN17340" t="str">
        <v/>
      </c>
    </row>
    <row r="17341" spans="326:326">
      <c r="LN17341" t="str">
        <v/>
      </c>
    </row>
    <row r="17342" spans="326:326">
      <c r="LN17342" t="str">
        <v/>
      </c>
    </row>
    <row r="17343" spans="326:326">
      <c r="LN17343" t="str">
        <v/>
      </c>
    </row>
    <row r="17344" spans="326:326">
      <c r="LN17344" t="str">
        <v/>
      </c>
    </row>
    <row r="17345" spans="326:326">
      <c r="LN17345" t="str">
        <v/>
      </c>
    </row>
    <row r="17346" spans="326:326">
      <c r="LN17346" t="str">
        <v/>
      </c>
    </row>
    <row r="17347" spans="326:326">
      <c r="LN17347" t="str">
        <v/>
      </c>
    </row>
    <row r="17348" spans="326:326">
      <c r="LN17348" t="str">
        <v/>
      </c>
    </row>
    <row r="17349" spans="326:326">
      <c r="LN17349" t="str">
        <v/>
      </c>
    </row>
    <row r="17350" spans="326:326">
      <c r="LN17350" t="str">
        <v/>
      </c>
    </row>
    <row r="17351" spans="326:326">
      <c r="LN17351" t="str">
        <v/>
      </c>
    </row>
    <row r="17352" spans="326:326">
      <c r="LN17352" t="str">
        <v/>
      </c>
    </row>
    <row r="17353" spans="326:326">
      <c r="LN17353" t="str">
        <v/>
      </c>
    </row>
    <row r="17354" spans="326:326">
      <c r="LN17354" t="str">
        <v/>
      </c>
    </row>
    <row r="17355" spans="326:326">
      <c r="LN17355" t="str">
        <v/>
      </c>
    </row>
    <row r="17356" spans="326:326">
      <c r="LN17356" t="str">
        <v/>
      </c>
    </row>
    <row r="17357" spans="326:326">
      <c r="LN17357" t="str">
        <v/>
      </c>
    </row>
    <row r="17358" spans="326:326">
      <c r="LN17358" t="str">
        <v/>
      </c>
    </row>
    <row r="17359" spans="326:326">
      <c r="LN17359" t="str">
        <v/>
      </c>
    </row>
    <row r="17360" spans="326:326">
      <c r="LN17360" t="str">
        <v/>
      </c>
    </row>
    <row r="17361" spans="326:326">
      <c r="LN17361" t="str">
        <v/>
      </c>
    </row>
    <row r="17362" spans="326:326">
      <c r="LN17362" t="str">
        <v/>
      </c>
    </row>
    <row r="17363" spans="326:326">
      <c r="LN17363" t="str">
        <v/>
      </c>
    </row>
    <row r="17364" spans="326:326">
      <c r="LN17364" t="str">
        <v/>
      </c>
    </row>
    <row r="17365" spans="326:326">
      <c r="LN17365" t="str">
        <v/>
      </c>
    </row>
    <row r="17366" spans="326:326">
      <c r="LN17366" t="str">
        <v/>
      </c>
    </row>
    <row r="17367" spans="326:326">
      <c r="LN17367" t="str">
        <v/>
      </c>
    </row>
    <row r="17368" spans="326:326">
      <c r="LN17368" t="str">
        <v/>
      </c>
    </row>
    <row r="17369" spans="326:326">
      <c r="LN17369" t="str">
        <v/>
      </c>
    </row>
    <row r="17370" spans="326:326">
      <c r="LN17370" t="str">
        <v/>
      </c>
    </row>
    <row r="17371" spans="326:326">
      <c r="LN17371" t="str">
        <v/>
      </c>
    </row>
    <row r="17372" spans="326:326">
      <c r="LN17372" t="str">
        <v/>
      </c>
    </row>
    <row r="17373" spans="326:326">
      <c r="LN17373" t="str">
        <v/>
      </c>
    </row>
    <row r="17374" spans="326:326">
      <c r="LN17374" t="str">
        <v/>
      </c>
    </row>
    <row r="17375" spans="326:326">
      <c r="LN17375" t="str">
        <v/>
      </c>
    </row>
    <row r="17376" spans="326:326">
      <c r="LN17376" t="str">
        <v/>
      </c>
    </row>
    <row r="17377" spans="326:326">
      <c r="LN17377" t="str">
        <v/>
      </c>
    </row>
    <row r="17378" spans="326:326">
      <c r="LN17378" t="str">
        <v/>
      </c>
    </row>
    <row r="17379" spans="326:326">
      <c r="LN17379" t="str">
        <v/>
      </c>
    </row>
    <row r="17380" spans="326:326">
      <c r="LN17380" t="str">
        <v/>
      </c>
    </row>
    <row r="17381" spans="326:326">
      <c r="LN17381" t="str">
        <v/>
      </c>
    </row>
    <row r="17382" spans="326:326">
      <c r="LN17382" t="str">
        <v/>
      </c>
    </row>
    <row r="17383" spans="326:326">
      <c r="LN17383" t="str">
        <v/>
      </c>
    </row>
    <row r="17384" spans="326:326">
      <c r="LN17384" t="str">
        <v/>
      </c>
    </row>
    <row r="17385" spans="326:326">
      <c r="LN17385" t="str">
        <v/>
      </c>
    </row>
    <row r="17386" spans="326:326">
      <c r="LN17386" t="str">
        <v/>
      </c>
    </row>
    <row r="17387" spans="326:326">
      <c r="LN17387" t="str">
        <v/>
      </c>
    </row>
    <row r="17388" spans="326:326">
      <c r="LN17388" t="str">
        <v/>
      </c>
    </row>
    <row r="17389" spans="326:326">
      <c r="LN17389" t="str">
        <v/>
      </c>
    </row>
    <row r="17390" spans="326:326">
      <c r="LN17390" t="str">
        <v/>
      </c>
    </row>
    <row r="17391" spans="326:326">
      <c r="LN17391" t="str">
        <v/>
      </c>
    </row>
    <row r="17392" spans="326:326">
      <c r="LN17392" t="str">
        <v/>
      </c>
    </row>
    <row r="17393" spans="326:326">
      <c r="LN17393" t="str">
        <v/>
      </c>
    </row>
    <row r="17394" spans="326:326">
      <c r="LN17394" t="str">
        <v/>
      </c>
    </row>
    <row r="17395" spans="326:326">
      <c r="LN17395" t="str">
        <v/>
      </c>
    </row>
    <row r="17396" spans="326:326">
      <c r="LN17396" t="str">
        <v/>
      </c>
    </row>
    <row r="17397" spans="326:326">
      <c r="LN17397" t="str">
        <v/>
      </c>
    </row>
    <row r="17398" spans="326:326">
      <c r="LN17398" t="str">
        <v/>
      </c>
    </row>
    <row r="17399" spans="326:326">
      <c r="LN17399" t="str">
        <v/>
      </c>
    </row>
    <row r="17400" spans="326:326">
      <c r="LN17400" t="str">
        <v/>
      </c>
    </row>
    <row r="17401" spans="326:326">
      <c r="LN17401" t="str">
        <v/>
      </c>
    </row>
    <row r="17402" spans="326:326">
      <c r="LN17402" t="str">
        <v/>
      </c>
    </row>
    <row r="17403" spans="326:326">
      <c r="LN17403" t="str">
        <v/>
      </c>
    </row>
    <row r="17404" spans="326:326">
      <c r="LN17404" t="str">
        <v/>
      </c>
    </row>
    <row r="17405" spans="326:326">
      <c r="LN17405" t="str">
        <v/>
      </c>
    </row>
    <row r="17406" spans="326:326">
      <c r="LN17406" t="str">
        <v/>
      </c>
    </row>
    <row r="17407" spans="326:326">
      <c r="LN17407" t="str">
        <v/>
      </c>
    </row>
    <row r="17408" spans="326:326">
      <c r="LN17408" t="str">
        <v/>
      </c>
    </row>
    <row r="17409" spans="326:326">
      <c r="LN17409" t="str">
        <v/>
      </c>
    </row>
    <row r="17410" spans="326:326">
      <c r="LN17410" t="str">
        <v/>
      </c>
    </row>
    <row r="17411" spans="326:326">
      <c r="LN17411" t="str">
        <v/>
      </c>
    </row>
    <row r="17412" spans="326:326">
      <c r="LN17412" t="str">
        <v/>
      </c>
    </row>
    <row r="17413" spans="326:326">
      <c r="LN17413" t="str">
        <v/>
      </c>
    </row>
    <row r="17414" spans="326:326">
      <c r="LN17414" t="str">
        <v/>
      </c>
    </row>
    <row r="17415" spans="326:326">
      <c r="LN17415" t="str">
        <v/>
      </c>
    </row>
    <row r="17416" spans="326:326">
      <c r="LN17416" t="str">
        <v/>
      </c>
    </row>
    <row r="17417" spans="326:326">
      <c r="LN17417" t="str">
        <v/>
      </c>
    </row>
    <row r="17418" spans="326:326">
      <c r="LN17418" t="str">
        <v/>
      </c>
    </row>
    <row r="17419" spans="326:326">
      <c r="LN17419" t="str">
        <v/>
      </c>
    </row>
    <row r="17420" spans="326:326">
      <c r="LN17420" t="str">
        <v/>
      </c>
    </row>
    <row r="17421" spans="326:326">
      <c r="LN17421" t="str">
        <v/>
      </c>
    </row>
    <row r="17422" spans="326:326">
      <c r="LN17422" t="str">
        <v/>
      </c>
    </row>
    <row r="17423" spans="326:326">
      <c r="LN17423" t="str">
        <v/>
      </c>
    </row>
    <row r="17424" spans="326:326">
      <c r="LN17424" t="str">
        <v/>
      </c>
    </row>
    <row r="17425" spans="326:326">
      <c r="LN17425" t="str">
        <v/>
      </c>
    </row>
    <row r="17426" spans="326:326">
      <c r="LN17426" t="str">
        <v/>
      </c>
    </row>
    <row r="17427" spans="326:326">
      <c r="LN17427" t="str">
        <v/>
      </c>
    </row>
    <row r="17428" spans="326:326">
      <c r="LN17428" t="str">
        <v/>
      </c>
    </row>
    <row r="17429" spans="326:326">
      <c r="LN17429" t="str">
        <v/>
      </c>
    </row>
    <row r="17430" spans="326:326">
      <c r="LN17430" t="str">
        <v/>
      </c>
    </row>
    <row r="17431" spans="326:326">
      <c r="LN17431" t="str">
        <v/>
      </c>
    </row>
    <row r="17432" spans="326:326">
      <c r="LN17432" t="str">
        <v/>
      </c>
    </row>
    <row r="17433" spans="326:326">
      <c r="LN17433" t="str">
        <v/>
      </c>
    </row>
    <row r="17434" spans="326:326">
      <c r="LN17434" t="str">
        <v/>
      </c>
    </row>
    <row r="17435" spans="326:326">
      <c r="LN17435" t="str">
        <v/>
      </c>
    </row>
    <row r="17436" spans="326:326">
      <c r="LN17436" t="str">
        <v/>
      </c>
    </row>
    <row r="17437" spans="326:326">
      <c r="LN17437" t="str">
        <v/>
      </c>
    </row>
    <row r="17438" spans="326:326">
      <c r="LN17438" t="str">
        <v/>
      </c>
    </row>
    <row r="17439" spans="326:326">
      <c r="LN17439" t="str">
        <v/>
      </c>
    </row>
    <row r="17440" spans="326:326">
      <c r="LN17440" t="str">
        <v/>
      </c>
    </row>
    <row r="17441" spans="326:326">
      <c r="LN17441" t="str">
        <v/>
      </c>
    </row>
    <row r="17442" spans="326:326">
      <c r="LN17442" t="str">
        <v/>
      </c>
    </row>
    <row r="17443" spans="326:326">
      <c r="LN17443" t="str">
        <v/>
      </c>
    </row>
    <row r="17444" spans="326:326">
      <c r="LN17444" t="str">
        <v/>
      </c>
    </row>
    <row r="17445" spans="326:326">
      <c r="LN17445" t="str">
        <v/>
      </c>
    </row>
    <row r="17446" spans="326:326">
      <c r="LN17446" t="str">
        <v/>
      </c>
    </row>
    <row r="17447" spans="326:326">
      <c r="LN17447" t="str">
        <v/>
      </c>
    </row>
    <row r="17448" spans="326:326">
      <c r="LN17448" t="str">
        <v/>
      </c>
    </row>
    <row r="17449" spans="326:326">
      <c r="LN17449" t="str">
        <v/>
      </c>
    </row>
    <row r="17450" spans="326:326">
      <c r="LN17450" t="str">
        <v/>
      </c>
    </row>
    <row r="17451" spans="326:326">
      <c r="LN17451" t="str">
        <v/>
      </c>
    </row>
    <row r="17452" spans="326:326">
      <c r="LN17452" t="str">
        <v/>
      </c>
    </row>
    <row r="17453" spans="326:326">
      <c r="LN17453" t="str">
        <v/>
      </c>
    </row>
    <row r="17454" spans="326:326">
      <c r="LN17454" t="str">
        <v/>
      </c>
    </row>
    <row r="17455" spans="326:326">
      <c r="LN17455" t="str">
        <v/>
      </c>
    </row>
    <row r="17456" spans="326:326">
      <c r="LN17456" t="str">
        <v/>
      </c>
    </row>
    <row r="17457" spans="326:326">
      <c r="LN17457" t="str">
        <v/>
      </c>
    </row>
    <row r="17458" spans="326:326">
      <c r="LN17458" t="str">
        <v/>
      </c>
    </row>
    <row r="17459" spans="326:326">
      <c r="LN17459" t="str">
        <v/>
      </c>
    </row>
    <row r="17460" spans="326:326">
      <c r="LN17460" t="str">
        <v/>
      </c>
    </row>
    <row r="17461" spans="326:326">
      <c r="LN17461" t="str">
        <v/>
      </c>
    </row>
    <row r="17462" spans="326:326">
      <c r="LN17462" t="str">
        <v/>
      </c>
    </row>
    <row r="17463" spans="326:326">
      <c r="LN17463" t="str">
        <v/>
      </c>
    </row>
    <row r="17464" spans="326:326">
      <c r="LN17464" t="str">
        <v/>
      </c>
    </row>
    <row r="17465" spans="326:326">
      <c r="LN17465" t="str">
        <v/>
      </c>
    </row>
    <row r="17466" spans="326:326">
      <c r="LN17466" t="str">
        <v/>
      </c>
    </row>
    <row r="17467" spans="326:326">
      <c r="LN17467" t="str">
        <v/>
      </c>
    </row>
    <row r="17468" spans="326:326">
      <c r="LN17468" t="str">
        <v/>
      </c>
    </row>
    <row r="17469" spans="326:326">
      <c r="LN17469" t="str">
        <v/>
      </c>
    </row>
    <row r="17470" spans="326:326">
      <c r="LN17470" t="str">
        <v/>
      </c>
    </row>
    <row r="17471" spans="326:326">
      <c r="LN17471" t="str">
        <v/>
      </c>
    </row>
    <row r="17472" spans="326:326">
      <c r="LN17472" t="str">
        <v/>
      </c>
    </row>
    <row r="17473" spans="326:326">
      <c r="LN17473" t="str">
        <v/>
      </c>
    </row>
    <row r="17474" spans="326:326">
      <c r="LN17474" t="str">
        <v/>
      </c>
    </row>
    <row r="17475" spans="326:326">
      <c r="LN17475" t="str">
        <v/>
      </c>
    </row>
    <row r="17476" spans="326:326">
      <c r="LN17476" t="str">
        <v/>
      </c>
    </row>
    <row r="17477" spans="326:326">
      <c r="LN17477" t="str">
        <v/>
      </c>
    </row>
    <row r="17478" spans="326:326">
      <c r="LN17478" t="str">
        <v/>
      </c>
    </row>
    <row r="17479" spans="326:326">
      <c r="LN17479" t="str">
        <v/>
      </c>
    </row>
    <row r="17480" spans="326:326">
      <c r="LN17480" t="str">
        <v/>
      </c>
    </row>
    <row r="17481" spans="326:326">
      <c r="LN17481" t="str">
        <v/>
      </c>
    </row>
    <row r="17482" spans="326:326">
      <c r="LN17482" t="str">
        <v/>
      </c>
    </row>
    <row r="17483" spans="326:326">
      <c r="LN17483" t="str">
        <v/>
      </c>
    </row>
    <row r="17484" spans="326:326">
      <c r="LN17484" t="str">
        <v/>
      </c>
    </row>
    <row r="17485" spans="326:326">
      <c r="LN17485" t="str">
        <v/>
      </c>
    </row>
    <row r="17486" spans="326:326">
      <c r="LN17486" t="str">
        <v/>
      </c>
    </row>
    <row r="17487" spans="326:326">
      <c r="LN17487" t="str">
        <v/>
      </c>
    </row>
    <row r="17488" spans="326:326">
      <c r="LN17488" t="str">
        <v/>
      </c>
    </row>
    <row r="17489" spans="326:326">
      <c r="LN17489" t="str">
        <v/>
      </c>
    </row>
    <row r="17490" spans="326:326">
      <c r="LN17490" t="str">
        <v/>
      </c>
    </row>
    <row r="17491" spans="326:326">
      <c r="LN17491" t="str">
        <v/>
      </c>
    </row>
    <row r="17492" spans="326:326">
      <c r="LN17492" t="str">
        <v/>
      </c>
    </row>
    <row r="17493" spans="326:326">
      <c r="LN17493" t="str">
        <v/>
      </c>
    </row>
    <row r="17494" spans="326:326">
      <c r="LN17494" t="str">
        <v/>
      </c>
    </row>
    <row r="17495" spans="326:326">
      <c r="LN17495" t="str">
        <v/>
      </c>
    </row>
    <row r="17496" spans="326:326">
      <c r="LN17496" t="str">
        <v/>
      </c>
    </row>
    <row r="17497" spans="326:326">
      <c r="LN17497" t="str">
        <v/>
      </c>
    </row>
    <row r="17498" spans="326:326">
      <c r="LN17498" t="str">
        <v/>
      </c>
    </row>
    <row r="17499" spans="326:326">
      <c r="LN17499" t="str">
        <v/>
      </c>
    </row>
    <row r="17500" spans="326:326">
      <c r="LN17500" t="str">
        <v/>
      </c>
    </row>
    <row r="17501" spans="326:326">
      <c r="LN17501" t="str">
        <v/>
      </c>
    </row>
    <row r="17502" spans="326:326">
      <c r="LN17502" t="str">
        <v/>
      </c>
    </row>
    <row r="17503" spans="326:326">
      <c r="LN17503" t="str">
        <v/>
      </c>
    </row>
    <row r="17504" spans="326:326">
      <c r="LN17504" t="str">
        <v/>
      </c>
    </row>
    <row r="17505" spans="326:326">
      <c r="LN17505" t="str">
        <v/>
      </c>
    </row>
    <row r="17506" spans="326:326">
      <c r="LN17506" t="str">
        <v/>
      </c>
    </row>
    <row r="17507" spans="326:326">
      <c r="LN17507" t="str">
        <v/>
      </c>
    </row>
    <row r="17508" spans="326:326">
      <c r="LN17508" t="str">
        <v/>
      </c>
    </row>
    <row r="17509" spans="326:326">
      <c r="LN17509" t="str">
        <v/>
      </c>
    </row>
    <row r="17510" spans="326:326">
      <c r="LN17510" t="str">
        <v/>
      </c>
    </row>
    <row r="17511" spans="326:326">
      <c r="LN17511" t="str">
        <v/>
      </c>
    </row>
    <row r="17512" spans="326:326">
      <c r="LN17512" t="str">
        <v/>
      </c>
    </row>
    <row r="17513" spans="326:326">
      <c r="LN17513" t="str">
        <v/>
      </c>
    </row>
    <row r="17514" spans="326:326">
      <c r="LN17514" t="str">
        <v/>
      </c>
    </row>
    <row r="17515" spans="326:326">
      <c r="LN17515" t="str">
        <v/>
      </c>
    </row>
    <row r="17516" spans="326:326">
      <c r="LN17516" t="str">
        <v/>
      </c>
    </row>
    <row r="17517" spans="326:326">
      <c r="LN17517" t="str">
        <v/>
      </c>
    </row>
    <row r="17518" spans="326:326">
      <c r="LN17518" t="str">
        <v/>
      </c>
    </row>
    <row r="17519" spans="326:326">
      <c r="LN17519" t="str">
        <v/>
      </c>
    </row>
    <row r="17520" spans="326:326">
      <c r="LN17520" t="str">
        <v/>
      </c>
    </row>
    <row r="17521" spans="326:326">
      <c r="LN17521" t="str">
        <v/>
      </c>
    </row>
    <row r="17522" spans="326:326">
      <c r="LN17522" t="str">
        <v/>
      </c>
    </row>
    <row r="17523" spans="326:326">
      <c r="LN17523" t="str">
        <v/>
      </c>
    </row>
    <row r="17524" spans="326:326">
      <c r="LN17524" t="str">
        <v/>
      </c>
    </row>
    <row r="17525" spans="326:326">
      <c r="LN17525" t="str">
        <v/>
      </c>
    </row>
    <row r="17526" spans="326:326">
      <c r="LN17526" t="str">
        <v/>
      </c>
    </row>
    <row r="17527" spans="326:326">
      <c r="LN17527" t="str">
        <v/>
      </c>
    </row>
    <row r="17528" spans="326:326">
      <c r="LN17528" t="str">
        <v/>
      </c>
    </row>
    <row r="17529" spans="326:326">
      <c r="LN17529" t="str">
        <v/>
      </c>
    </row>
    <row r="17530" spans="326:326">
      <c r="LN17530" t="str">
        <v/>
      </c>
    </row>
    <row r="17531" spans="326:326">
      <c r="LN17531" t="str">
        <v/>
      </c>
    </row>
    <row r="17532" spans="326:326">
      <c r="LN17532" t="str">
        <v/>
      </c>
    </row>
    <row r="17533" spans="326:326">
      <c r="LN17533" t="str">
        <v/>
      </c>
    </row>
    <row r="17534" spans="326:326">
      <c r="LN17534" t="str">
        <v/>
      </c>
    </row>
    <row r="17535" spans="326:326">
      <c r="LN17535" t="str">
        <v/>
      </c>
    </row>
    <row r="17536" spans="326:326">
      <c r="LN17536" t="str">
        <v/>
      </c>
    </row>
    <row r="17537" spans="326:326">
      <c r="LN17537" t="str">
        <v/>
      </c>
    </row>
    <row r="17538" spans="326:326">
      <c r="LN17538" t="str">
        <v/>
      </c>
    </row>
    <row r="17539" spans="326:326">
      <c r="LN17539" t="str">
        <v/>
      </c>
    </row>
    <row r="17540" spans="326:326">
      <c r="LN17540" t="str">
        <v/>
      </c>
    </row>
    <row r="17541" spans="326:326">
      <c r="LN17541" t="str">
        <v/>
      </c>
    </row>
    <row r="17542" spans="326:326">
      <c r="LN17542" t="str">
        <v/>
      </c>
    </row>
    <row r="17543" spans="326:326">
      <c r="LN17543" t="str">
        <v/>
      </c>
    </row>
    <row r="17544" spans="326:326">
      <c r="LN17544" t="str">
        <v/>
      </c>
    </row>
    <row r="17545" spans="326:326">
      <c r="LN17545" t="str">
        <v/>
      </c>
    </row>
    <row r="17546" spans="326:326">
      <c r="LN17546" t="str">
        <v/>
      </c>
    </row>
    <row r="17547" spans="326:326">
      <c r="LN17547" t="str">
        <v/>
      </c>
    </row>
    <row r="17548" spans="326:326">
      <c r="LN17548" t="str">
        <v/>
      </c>
    </row>
    <row r="17549" spans="326:326">
      <c r="LN17549" t="str">
        <v/>
      </c>
    </row>
    <row r="17550" spans="326:326">
      <c r="LN17550" t="str">
        <v/>
      </c>
    </row>
    <row r="17551" spans="326:326">
      <c r="LN17551" t="str">
        <v/>
      </c>
    </row>
    <row r="17552" spans="326:326">
      <c r="LN17552" t="str">
        <v/>
      </c>
    </row>
    <row r="17553" spans="326:326">
      <c r="LN17553" t="str">
        <v/>
      </c>
    </row>
    <row r="17554" spans="326:326">
      <c r="LN17554" t="str">
        <v/>
      </c>
    </row>
    <row r="17555" spans="326:326">
      <c r="LN17555" t="str">
        <v/>
      </c>
    </row>
    <row r="17556" spans="326:326">
      <c r="LN17556" t="str">
        <v/>
      </c>
    </row>
    <row r="17557" spans="326:326">
      <c r="LN17557" t="str">
        <v/>
      </c>
    </row>
    <row r="17558" spans="326:326">
      <c r="LN17558" t="str">
        <v/>
      </c>
    </row>
    <row r="17559" spans="326:326">
      <c r="LN17559" t="str">
        <v/>
      </c>
    </row>
    <row r="17560" spans="326:326">
      <c r="LN17560" t="str">
        <v/>
      </c>
    </row>
    <row r="17561" spans="326:326">
      <c r="LN17561" t="str">
        <v/>
      </c>
    </row>
    <row r="17562" spans="326:326">
      <c r="LN17562" t="str">
        <v/>
      </c>
    </row>
    <row r="17563" spans="326:326">
      <c r="LN17563" t="str">
        <v/>
      </c>
    </row>
    <row r="17564" spans="326:326">
      <c r="LN17564" t="str">
        <v/>
      </c>
    </row>
    <row r="17565" spans="326:326">
      <c r="LN17565" t="str">
        <v/>
      </c>
    </row>
    <row r="17566" spans="326:326">
      <c r="LN17566" t="str">
        <v/>
      </c>
    </row>
    <row r="17567" spans="326:326">
      <c r="LN17567" t="str">
        <v/>
      </c>
    </row>
    <row r="17568" spans="326:326">
      <c r="LN17568" t="str">
        <v/>
      </c>
    </row>
    <row r="17569" spans="326:326">
      <c r="LN17569" t="str">
        <v/>
      </c>
    </row>
    <row r="17570" spans="326:326">
      <c r="LN17570" t="str">
        <v/>
      </c>
    </row>
    <row r="17571" spans="326:326">
      <c r="LN17571" t="str">
        <v/>
      </c>
    </row>
    <row r="17572" spans="326:326">
      <c r="LN17572" t="str">
        <v/>
      </c>
    </row>
    <row r="17573" spans="326:326">
      <c r="LN17573" t="str">
        <v/>
      </c>
    </row>
    <row r="17574" spans="326:326">
      <c r="LN17574" t="str">
        <v/>
      </c>
    </row>
    <row r="17575" spans="326:326">
      <c r="LN17575" t="str">
        <v/>
      </c>
    </row>
    <row r="17576" spans="326:326">
      <c r="LN17576" t="str">
        <v/>
      </c>
    </row>
    <row r="17577" spans="326:326">
      <c r="LN17577" t="str">
        <v/>
      </c>
    </row>
    <row r="17578" spans="326:326">
      <c r="LN17578" t="str">
        <v/>
      </c>
    </row>
    <row r="17579" spans="326:326">
      <c r="LN17579" t="str">
        <v/>
      </c>
    </row>
    <row r="17580" spans="326:326">
      <c r="LN17580" t="str">
        <v/>
      </c>
    </row>
    <row r="17581" spans="326:326">
      <c r="LN17581" t="str">
        <v/>
      </c>
    </row>
    <row r="17582" spans="326:326">
      <c r="LN17582" t="str">
        <v/>
      </c>
    </row>
    <row r="17583" spans="326:326">
      <c r="LN17583" t="str">
        <v/>
      </c>
    </row>
    <row r="17584" spans="326:326">
      <c r="LN17584" t="str">
        <v/>
      </c>
    </row>
    <row r="17585" spans="326:326">
      <c r="LN17585" t="str">
        <v/>
      </c>
    </row>
    <row r="17586" spans="326:326">
      <c r="LN17586" t="str">
        <v/>
      </c>
    </row>
    <row r="17587" spans="326:326">
      <c r="LN17587" t="str">
        <v/>
      </c>
    </row>
    <row r="17588" spans="326:326">
      <c r="LN17588" t="str">
        <v/>
      </c>
    </row>
    <row r="17589" spans="326:326">
      <c r="LN17589" t="str">
        <v/>
      </c>
    </row>
    <row r="17590" spans="326:326">
      <c r="LN17590" t="str">
        <v/>
      </c>
    </row>
    <row r="17591" spans="326:326">
      <c r="LN17591" t="str">
        <v/>
      </c>
    </row>
    <row r="17592" spans="326:326">
      <c r="LN17592" t="str">
        <v/>
      </c>
    </row>
    <row r="17593" spans="326:326">
      <c r="LN17593" t="str">
        <v/>
      </c>
    </row>
    <row r="17594" spans="326:326">
      <c r="LN17594" t="str">
        <v/>
      </c>
    </row>
    <row r="17595" spans="326:326">
      <c r="LN17595" t="str">
        <v/>
      </c>
    </row>
    <row r="17596" spans="326:326">
      <c r="LN17596" t="str">
        <v/>
      </c>
    </row>
    <row r="17597" spans="326:326">
      <c r="LN17597" t="str">
        <v/>
      </c>
    </row>
    <row r="17598" spans="326:326">
      <c r="LN17598" t="str">
        <v/>
      </c>
    </row>
    <row r="17599" spans="326:326">
      <c r="LN17599" t="str">
        <v/>
      </c>
    </row>
    <row r="17600" spans="326:326">
      <c r="LN17600" t="str">
        <v/>
      </c>
    </row>
    <row r="17601" spans="326:326">
      <c r="LN17601" t="str">
        <v/>
      </c>
    </row>
    <row r="17602" spans="326:326">
      <c r="LN17602" t="str">
        <v/>
      </c>
    </row>
    <row r="17603" spans="326:326">
      <c r="LN17603" t="str">
        <v/>
      </c>
    </row>
    <row r="17604" spans="326:326">
      <c r="LN17604" t="str">
        <v/>
      </c>
    </row>
    <row r="17605" spans="326:326">
      <c r="LN17605" t="str">
        <v/>
      </c>
    </row>
    <row r="17606" spans="326:326">
      <c r="LN17606" t="str">
        <v/>
      </c>
    </row>
    <row r="17607" spans="326:326">
      <c r="LN17607" t="str">
        <v/>
      </c>
    </row>
    <row r="17608" spans="326:326">
      <c r="LN17608" t="str">
        <v/>
      </c>
    </row>
    <row r="17609" spans="326:326">
      <c r="LN17609" t="str">
        <v/>
      </c>
    </row>
    <row r="17610" spans="326:326">
      <c r="LN17610" t="str">
        <v/>
      </c>
    </row>
    <row r="17611" spans="326:326">
      <c r="LN17611" t="str">
        <v/>
      </c>
    </row>
    <row r="17612" spans="326:326">
      <c r="LN17612" t="str">
        <v/>
      </c>
    </row>
    <row r="17613" spans="326:326">
      <c r="LN17613" t="str">
        <v/>
      </c>
    </row>
    <row r="17614" spans="326:326">
      <c r="LN17614" t="str">
        <v/>
      </c>
    </row>
    <row r="17615" spans="326:326">
      <c r="LN17615" t="str">
        <v/>
      </c>
    </row>
    <row r="17616" spans="326:326">
      <c r="LN17616" t="str">
        <v/>
      </c>
    </row>
    <row r="17617" spans="326:326">
      <c r="LN17617" t="str">
        <v/>
      </c>
    </row>
    <row r="17618" spans="326:326">
      <c r="LN17618" t="str">
        <v/>
      </c>
    </row>
    <row r="17619" spans="326:326">
      <c r="LN17619" t="str">
        <v/>
      </c>
    </row>
    <row r="17620" spans="326:326">
      <c r="LN17620" t="str">
        <v/>
      </c>
    </row>
    <row r="17621" spans="326:326">
      <c r="LN17621" t="str">
        <v/>
      </c>
    </row>
    <row r="17622" spans="326:326">
      <c r="LN17622" t="str">
        <v/>
      </c>
    </row>
    <row r="17623" spans="326:326">
      <c r="LN17623" t="str">
        <v/>
      </c>
    </row>
    <row r="17624" spans="326:326">
      <c r="LN17624" t="str">
        <v/>
      </c>
    </row>
    <row r="17625" spans="326:326">
      <c r="LN17625" t="str">
        <v/>
      </c>
    </row>
    <row r="17626" spans="326:326">
      <c r="LN17626" t="str">
        <v/>
      </c>
    </row>
    <row r="17627" spans="326:326">
      <c r="LN17627" t="str">
        <v/>
      </c>
    </row>
    <row r="17628" spans="326:326">
      <c r="LN17628" t="str">
        <v/>
      </c>
    </row>
    <row r="17629" spans="326:326">
      <c r="LN17629" t="str">
        <v/>
      </c>
    </row>
    <row r="17630" spans="326:326">
      <c r="LN17630" t="str">
        <v/>
      </c>
    </row>
    <row r="17631" spans="326:326">
      <c r="LN17631" t="str">
        <v/>
      </c>
    </row>
    <row r="17632" spans="326:326">
      <c r="LN17632" t="str">
        <v/>
      </c>
    </row>
    <row r="17633" spans="326:326">
      <c r="LN17633" t="str">
        <v/>
      </c>
    </row>
    <row r="17634" spans="326:326">
      <c r="LN17634" t="str">
        <v/>
      </c>
    </row>
    <row r="17635" spans="326:326">
      <c r="LN17635" t="str">
        <v/>
      </c>
    </row>
    <row r="17636" spans="326:326">
      <c r="LN17636" t="str">
        <v/>
      </c>
    </row>
    <row r="17637" spans="326:326">
      <c r="LN17637" t="str">
        <v/>
      </c>
    </row>
    <row r="17638" spans="326:326">
      <c r="LN17638" t="str">
        <v/>
      </c>
    </row>
    <row r="17639" spans="326:326">
      <c r="LN17639" t="str">
        <v/>
      </c>
    </row>
    <row r="17640" spans="326:326">
      <c r="LN17640" t="str">
        <v/>
      </c>
    </row>
    <row r="17641" spans="326:326">
      <c r="LN17641" t="str">
        <v/>
      </c>
    </row>
    <row r="17642" spans="326:326">
      <c r="LN17642" t="str">
        <v/>
      </c>
    </row>
    <row r="17643" spans="326:326">
      <c r="LN17643" t="str">
        <v/>
      </c>
    </row>
    <row r="17644" spans="326:326">
      <c r="LN17644" t="str">
        <v/>
      </c>
    </row>
    <row r="17645" spans="326:326">
      <c r="LN17645" t="str">
        <v/>
      </c>
    </row>
    <row r="17646" spans="326:326">
      <c r="LN17646" t="str">
        <v/>
      </c>
    </row>
    <row r="17647" spans="326:326">
      <c r="LN17647" t="str">
        <v/>
      </c>
    </row>
    <row r="17648" spans="326:326">
      <c r="LN17648" t="str">
        <v/>
      </c>
    </row>
    <row r="17649" spans="326:326">
      <c r="LN17649" t="str">
        <v/>
      </c>
    </row>
    <row r="17650" spans="326:326">
      <c r="LN17650" t="str">
        <v/>
      </c>
    </row>
    <row r="17651" spans="326:326">
      <c r="LN17651" t="str">
        <v/>
      </c>
    </row>
    <row r="17652" spans="326:326">
      <c r="LN17652" t="str">
        <v/>
      </c>
    </row>
    <row r="17653" spans="326:326">
      <c r="LN17653" t="str">
        <v/>
      </c>
    </row>
    <row r="17654" spans="326:326">
      <c r="LN17654" t="str">
        <v/>
      </c>
    </row>
    <row r="17655" spans="326:326">
      <c r="LN17655" t="str">
        <v/>
      </c>
    </row>
    <row r="17656" spans="326:326">
      <c r="LN17656" t="str">
        <v/>
      </c>
    </row>
    <row r="17657" spans="326:326">
      <c r="LN17657" t="str">
        <v/>
      </c>
    </row>
    <row r="17658" spans="326:326">
      <c r="LN17658" t="str">
        <v/>
      </c>
    </row>
    <row r="17659" spans="326:326">
      <c r="LN17659" t="str">
        <v/>
      </c>
    </row>
    <row r="17660" spans="326:326">
      <c r="LN17660" t="str">
        <v/>
      </c>
    </row>
    <row r="17661" spans="326:326">
      <c r="LN17661" t="str">
        <v/>
      </c>
    </row>
    <row r="17662" spans="326:326">
      <c r="LN17662" t="str">
        <v/>
      </c>
    </row>
    <row r="17663" spans="326:326">
      <c r="LN17663" t="str">
        <v/>
      </c>
    </row>
    <row r="17664" spans="326:326">
      <c r="LN17664" t="str">
        <v/>
      </c>
    </row>
    <row r="17665" spans="326:326">
      <c r="LN17665" t="str">
        <v/>
      </c>
    </row>
    <row r="17666" spans="326:326">
      <c r="LN17666" t="str">
        <v/>
      </c>
    </row>
    <row r="17667" spans="326:326">
      <c r="LN17667" t="str">
        <v/>
      </c>
    </row>
    <row r="17668" spans="326:326">
      <c r="LN17668" t="str">
        <v/>
      </c>
    </row>
    <row r="17669" spans="326:326">
      <c r="LN17669" t="str">
        <v/>
      </c>
    </row>
    <row r="17670" spans="326:326">
      <c r="LN17670" t="str">
        <v/>
      </c>
    </row>
    <row r="17671" spans="326:326">
      <c r="LN17671" t="str">
        <v/>
      </c>
    </row>
    <row r="17672" spans="326:326">
      <c r="LN17672" t="str">
        <v/>
      </c>
    </row>
    <row r="17673" spans="326:326">
      <c r="LN17673" t="str">
        <v/>
      </c>
    </row>
    <row r="17674" spans="326:326">
      <c r="LN17674" t="str">
        <v/>
      </c>
    </row>
    <row r="17675" spans="326:326">
      <c r="LN17675" t="str">
        <v/>
      </c>
    </row>
    <row r="17676" spans="326:326">
      <c r="LN17676" t="str">
        <v/>
      </c>
    </row>
    <row r="17677" spans="326:326">
      <c r="LN17677" t="str">
        <v/>
      </c>
    </row>
    <row r="17678" spans="326:326">
      <c r="LN17678" t="str">
        <v/>
      </c>
    </row>
    <row r="17679" spans="326:326">
      <c r="LN17679" t="str">
        <v/>
      </c>
    </row>
    <row r="17680" spans="326:326">
      <c r="LN17680" t="str">
        <v/>
      </c>
    </row>
    <row r="17681" spans="326:326">
      <c r="LN17681" t="str">
        <v/>
      </c>
    </row>
    <row r="17682" spans="326:326">
      <c r="LN17682" t="str">
        <v/>
      </c>
    </row>
    <row r="17683" spans="326:326">
      <c r="LN17683" t="str">
        <v/>
      </c>
    </row>
    <row r="17684" spans="326:326">
      <c r="LN17684" t="str">
        <v/>
      </c>
    </row>
    <row r="17685" spans="326:326">
      <c r="LN17685" t="str">
        <v/>
      </c>
    </row>
    <row r="17686" spans="326:326">
      <c r="LN17686" t="str">
        <v/>
      </c>
    </row>
    <row r="17687" spans="326:326">
      <c r="LN17687" t="str">
        <v/>
      </c>
    </row>
    <row r="17688" spans="326:326">
      <c r="LN17688" t="str">
        <v/>
      </c>
    </row>
    <row r="17689" spans="326:326">
      <c r="LN17689" t="str">
        <v/>
      </c>
    </row>
    <row r="17690" spans="326:326">
      <c r="LN17690" t="str">
        <v/>
      </c>
    </row>
    <row r="17691" spans="326:326">
      <c r="LN17691" t="str">
        <v/>
      </c>
    </row>
    <row r="17692" spans="326:326">
      <c r="LN17692" t="str">
        <v/>
      </c>
    </row>
    <row r="17693" spans="326:326">
      <c r="LN17693" t="str">
        <v/>
      </c>
    </row>
    <row r="17694" spans="326:326">
      <c r="LN17694" t="str">
        <v/>
      </c>
    </row>
    <row r="17695" spans="326:326">
      <c r="LN17695" t="str">
        <v/>
      </c>
    </row>
    <row r="17696" spans="326:326">
      <c r="LN17696" t="str">
        <v/>
      </c>
    </row>
    <row r="17697" spans="326:326">
      <c r="LN17697" t="str">
        <v/>
      </c>
    </row>
    <row r="17698" spans="326:326">
      <c r="LN17698" t="str">
        <v/>
      </c>
    </row>
    <row r="17699" spans="326:326">
      <c r="LN17699" t="str">
        <v/>
      </c>
    </row>
    <row r="17700" spans="326:326">
      <c r="LN17700" t="str">
        <v/>
      </c>
    </row>
    <row r="17701" spans="326:326">
      <c r="LN17701" t="str">
        <v/>
      </c>
    </row>
    <row r="17702" spans="326:326">
      <c r="LN17702" t="str">
        <v/>
      </c>
    </row>
    <row r="17703" spans="326:326">
      <c r="LN17703" t="str">
        <v/>
      </c>
    </row>
    <row r="17704" spans="326:326">
      <c r="LN17704" t="str">
        <v/>
      </c>
    </row>
    <row r="17705" spans="326:326">
      <c r="LN17705" t="str">
        <v/>
      </c>
    </row>
    <row r="17706" spans="326:326">
      <c r="LN17706" t="str">
        <v/>
      </c>
    </row>
    <row r="17707" spans="326:326">
      <c r="LN17707" t="str">
        <v/>
      </c>
    </row>
    <row r="17708" spans="326:326">
      <c r="LN17708" t="str">
        <v/>
      </c>
    </row>
    <row r="17709" spans="326:326">
      <c r="LN17709" t="str">
        <v/>
      </c>
    </row>
    <row r="17710" spans="326:326">
      <c r="LN17710" t="str">
        <v/>
      </c>
    </row>
    <row r="17711" spans="326:326">
      <c r="LN17711" t="str">
        <v/>
      </c>
    </row>
    <row r="17712" spans="326:326">
      <c r="LN17712" t="str">
        <v/>
      </c>
    </row>
    <row r="17713" spans="326:326">
      <c r="LN17713" t="str">
        <v/>
      </c>
    </row>
    <row r="17714" spans="326:326">
      <c r="LN17714" t="str">
        <v/>
      </c>
    </row>
    <row r="17715" spans="326:326">
      <c r="LN17715" t="str">
        <v/>
      </c>
    </row>
    <row r="17716" spans="326:326">
      <c r="LN17716" t="str">
        <v/>
      </c>
    </row>
    <row r="17717" spans="326:326">
      <c r="LN17717" t="str">
        <v/>
      </c>
    </row>
    <row r="17718" spans="326:326">
      <c r="LN17718" t="str">
        <v/>
      </c>
    </row>
    <row r="17719" spans="326:326">
      <c r="LN17719" t="str">
        <v/>
      </c>
    </row>
    <row r="17720" spans="326:326">
      <c r="LN17720" t="str">
        <v/>
      </c>
    </row>
    <row r="17721" spans="326:326">
      <c r="LN17721" t="str">
        <v/>
      </c>
    </row>
    <row r="17722" spans="326:326">
      <c r="LN17722" t="str">
        <v/>
      </c>
    </row>
    <row r="17723" spans="326:326">
      <c r="LN17723" t="str">
        <v/>
      </c>
    </row>
    <row r="17724" spans="326:326">
      <c r="LN17724" t="str">
        <v/>
      </c>
    </row>
    <row r="17725" spans="326:326">
      <c r="LN17725" t="str">
        <v/>
      </c>
    </row>
    <row r="17726" spans="326:326">
      <c r="LN17726" t="str">
        <v/>
      </c>
    </row>
    <row r="17727" spans="326:326">
      <c r="LN17727" t="str">
        <v/>
      </c>
    </row>
    <row r="17728" spans="326:326">
      <c r="LN17728" t="str">
        <v/>
      </c>
    </row>
    <row r="17729" spans="326:326">
      <c r="LN17729" t="str">
        <v/>
      </c>
    </row>
    <row r="17730" spans="326:326">
      <c r="LN17730" t="str">
        <v/>
      </c>
    </row>
    <row r="17731" spans="326:326">
      <c r="LN17731" t="str">
        <v/>
      </c>
    </row>
    <row r="17732" spans="326:326">
      <c r="LN17732" t="str">
        <v/>
      </c>
    </row>
    <row r="17733" spans="326:326">
      <c r="LN17733" t="str">
        <v/>
      </c>
    </row>
    <row r="17734" spans="326:326">
      <c r="LN17734" t="str">
        <v/>
      </c>
    </row>
    <row r="17735" spans="326:326">
      <c r="LN17735" t="str">
        <v/>
      </c>
    </row>
    <row r="17736" spans="326:326">
      <c r="LN17736" t="str">
        <v/>
      </c>
    </row>
    <row r="17737" spans="326:326">
      <c r="LN17737" t="str">
        <v/>
      </c>
    </row>
    <row r="17738" spans="326:326">
      <c r="LN17738" t="str">
        <v/>
      </c>
    </row>
    <row r="17739" spans="326:326">
      <c r="LN17739" t="str">
        <v/>
      </c>
    </row>
    <row r="17740" spans="326:326">
      <c r="LN17740" t="str">
        <v/>
      </c>
    </row>
    <row r="17741" spans="326:326">
      <c r="LN17741" t="str">
        <v/>
      </c>
    </row>
    <row r="17742" spans="326:326">
      <c r="LN17742" t="str">
        <v/>
      </c>
    </row>
    <row r="17743" spans="326:326">
      <c r="LN17743" t="str">
        <v/>
      </c>
    </row>
    <row r="17744" spans="326:326">
      <c r="LN17744" t="str">
        <v/>
      </c>
    </row>
    <row r="17745" spans="326:326">
      <c r="LN17745" t="str">
        <v/>
      </c>
    </row>
    <row r="17746" spans="326:326">
      <c r="LN17746" t="str">
        <v/>
      </c>
    </row>
    <row r="17747" spans="326:326">
      <c r="LN17747" t="str">
        <v/>
      </c>
    </row>
    <row r="17748" spans="326:326">
      <c r="LN17748" t="str">
        <v/>
      </c>
    </row>
    <row r="17749" spans="326:326">
      <c r="LN17749" t="str">
        <v/>
      </c>
    </row>
    <row r="17750" spans="326:326">
      <c r="LN17750" t="str">
        <v/>
      </c>
    </row>
    <row r="17751" spans="326:326">
      <c r="LN17751" t="str">
        <v/>
      </c>
    </row>
    <row r="17752" spans="326:326">
      <c r="LN17752" t="str">
        <v/>
      </c>
    </row>
    <row r="17753" spans="326:326">
      <c r="LN17753" t="str">
        <v/>
      </c>
    </row>
    <row r="17754" spans="326:326">
      <c r="LN17754" t="str">
        <v/>
      </c>
    </row>
    <row r="17755" spans="326:326">
      <c r="LN17755" t="str">
        <v/>
      </c>
    </row>
    <row r="17756" spans="326:326">
      <c r="LN17756" t="str">
        <v/>
      </c>
    </row>
    <row r="17757" spans="326:326">
      <c r="LN17757" t="str">
        <v/>
      </c>
    </row>
    <row r="17758" spans="326:326">
      <c r="LN17758" t="str">
        <v/>
      </c>
    </row>
    <row r="17759" spans="326:326">
      <c r="LN17759" t="str">
        <v/>
      </c>
    </row>
    <row r="17760" spans="326:326">
      <c r="LN17760" t="str">
        <v/>
      </c>
    </row>
    <row r="17761" spans="326:326">
      <c r="LN17761" t="str">
        <v/>
      </c>
    </row>
    <row r="17762" spans="326:326">
      <c r="LN17762" t="str">
        <v/>
      </c>
    </row>
    <row r="17763" spans="326:326">
      <c r="LN17763" t="str">
        <v/>
      </c>
    </row>
    <row r="17764" spans="326:326">
      <c r="LN17764" t="str">
        <v/>
      </c>
    </row>
    <row r="17765" spans="326:326">
      <c r="LN17765" t="str">
        <v/>
      </c>
    </row>
    <row r="17766" spans="326:326">
      <c r="LN17766" t="str">
        <v/>
      </c>
    </row>
    <row r="17767" spans="326:326">
      <c r="LN17767" t="str">
        <v/>
      </c>
    </row>
    <row r="17768" spans="326:326">
      <c r="LN17768" t="str">
        <v/>
      </c>
    </row>
    <row r="17769" spans="326:326">
      <c r="LN17769" t="str">
        <v/>
      </c>
    </row>
    <row r="17770" spans="326:326">
      <c r="LN17770" t="str">
        <v/>
      </c>
    </row>
    <row r="17771" spans="326:326">
      <c r="LN17771" t="str">
        <v/>
      </c>
    </row>
    <row r="17772" spans="326:326">
      <c r="LN17772" t="str">
        <v/>
      </c>
    </row>
    <row r="17773" spans="326:326">
      <c r="LN17773" t="str">
        <v/>
      </c>
    </row>
    <row r="17774" spans="326:326">
      <c r="LN17774" t="str">
        <v/>
      </c>
    </row>
    <row r="17775" spans="326:326">
      <c r="LN17775" t="str">
        <v/>
      </c>
    </row>
    <row r="17776" spans="326:326">
      <c r="LN17776" t="str">
        <v/>
      </c>
    </row>
    <row r="17777" spans="326:326">
      <c r="LN17777" t="str">
        <v/>
      </c>
    </row>
    <row r="17778" spans="326:326">
      <c r="LN17778" t="str">
        <v/>
      </c>
    </row>
    <row r="17779" spans="326:326">
      <c r="LN17779" t="str">
        <v/>
      </c>
    </row>
    <row r="17780" spans="326:326">
      <c r="LN17780" t="str">
        <v/>
      </c>
    </row>
    <row r="17781" spans="326:326">
      <c r="LN17781" t="str">
        <v/>
      </c>
    </row>
    <row r="17782" spans="326:326">
      <c r="LN17782" t="str">
        <v/>
      </c>
    </row>
    <row r="17783" spans="326:326">
      <c r="LN17783" t="str">
        <v/>
      </c>
    </row>
    <row r="17784" spans="326:326">
      <c r="LN17784" t="str">
        <v/>
      </c>
    </row>
    <row r="17785" spans="326:326">
      <c r="LN17785" t="str">
        <v/>
      </c>
    </row>
    <row r="17786" spans="326:326">
      <c r="LN17786" t="str">
        <v/>
      </c>
    </row>
    <row r="17787" spans="326:326">
      <c r="LN17787" t="str">
        <v/>
      </c>
    </row>
    <row r="17788" spans="326:326">
      <c r="LN17788" t="str">
        <v/>
      </c>
    </row>
    <row r="17789" spans="326:326">
      <c r="LN17789" t="str">
        <v/>
      </c>
    </row>
    <row r="17790" spans="326:326">
      <c r="LN17790" t="str">
        <v/>
      </c>
    </row>
    <row r="17791" spans="326:326">
      <c r="LN17791" t="str">
        <v/>
      </c>
    </row>
    <row r="17792" spans="326:326">
      <c r="LN17792" t="str">
        <v/>
      </c>
    </row>
    <row r="17793" spans="326:326">
      <c r="LN17793" t="str">
        <v/>
      </c>
    </row>
    <row r="17794" spans="326:326">
      <c r="LN17794" t="str">
        <v/>
      </c>
    </row>
    <row r="17795" spans="326:326">
      <c r="LN17795" t="str">
        <v/>
      </c>
    </row>
    <row r="17796" spans="326:326">
      <c r="LN17796" t="str">
        <v/>
      </c>
    </row>
    <row r="17797" spans="326:326">
      <c r="LN17797" t="str">
        <v/>
      </c>
    </row>
    <row r="17798" spans="326:326">
      <c r="LN17798" t="str">
        <v/>
      </c>
    </row>
    <row r="17799" spans="326:326">
      <c r="LN17799" t="str">
        <v/>
      </c>
    </row>
    <row r="17800" spans="326:326">
      <c r="LN17800" t="str">
        <v/>
      </c>
    </row>
    <row r="17801" spans="326:326">
      <c r="LN17801" t="str">
        <v/>
      </c>
    </row>
    <row r="17802" spans="326:326">
      <c r="LN17802" t="str">
        <v/>
      </c>
    </row>
    <row r="17803" spans="326:326">
      <c r="LN17803" t="str">
        <v/>
      </c>
    </row>
    <row r="17804" spans="326:326">
      <c r="LN17804" t="str">
        <v/>
      </c>
    </row>
    <row r="17805" spans="326:326">
      <c r="LN17805" t="str">
        <v/>
      </c>
    </row>
    <row r="17806" spans="326:326">
      <c r="LN17806" t="str">
        <v/>
      </c>
    </row>
    <row r="17807" spans="326:326">
      <c r="LN17807" t="str">
        <v/>
      </c>
    </row>
    <row r="17808" spans="326:326">
      <c r="LN17808" t="str">
        <v/>
      </c>
    </row>
    <row r="17809" spans="326:326">
      <c r="LN17809" t="str">
        <v/>
      </c>
    </row>
    <row r="17810" spans="326:326">
      <c r="LN17810" t="str">
        <v/>
      </c>
    </row>
    <row r="17811" spans="326:326">
      <c r="LN17811" t="str">
        <v/>
      </c>
    </row>
    <row r="17812" spans="326:326">
      <c r="LN17812" t="str">
        <v/>
      </c>
    </row>
    <row r="17813" spans="326:326">
      <c r="LN17813" t="str">
        <v/>
      </c>
    </row>
    <row r="17814" spans="326:326">
      <c r="LN17814" t="str">
        <v/>
      </c>
    </row>
    <row r="17815" spans="326:326">
      <c r="LN17815" t="str">
        <v/>
      </c>
    </row>
    <row r="17816" spans="326:326">
      <c r="LN17816" t="str">
        <v/>
      </c>
    </row>
    <row r="17817" spans="326:326">
      <c r="LN17817" t="str">
        <v/>
      </c>
    </row>
    <row r="17818" spans="326:326">
      <c r="LN17818" t="str">
        <v/>
      </c>
    </row>
    <row r="17819" spans="326:326">
      <c r="LN17819" t="str">
        <v/>
      </c>
    </row>
    <row r="17820" spans="326:326">
      <c r="LN17820" t="str">
        <v/>
      </c>
    </row>
    <row r="17821" spans="326:326">
      <c r="LN17821" t="str">
        <v/>
      </c>
    </row>
    <row r="17822" spans="326:326">
      <c r="LN17822" t="str">
        <v/>
      </c>
    </row>
    <row r="17823" spans="326:326">
      <c r="LN17823" t="str">
        <v/>
      </c>
    </row>
    <row r="17824" spans="326:326">
      <c r="LN17824" t="str">
        <v/>
      </c>
    </row>
    <row r="17825" spans="326:326">
      <c r="LN17825" t="str">
        <v/>
      </c>
    </row>
    <row r="17826" spans="326:326">
      <c r="LN17826" t="str">
        <v/>
      </c>
    </row>
    <row r="17827" spans="326:326">
      <c r="LN17827" t="str">
        <v/>
      </c>
    </row>
    <row r="17828" spans="326:326">
      <c r="LN17828" t="str">
        <v/>
      </c>
    </row>
    <row r="17829" spans="326:326">
      <c r="LN17829" t="str">
        <v/>
      </c>
    </row>
    <row r="17830" spans="326:326">
      <c r="LN17830" t="str">
        <v/>
      </c>
    </row>
    <row r="17831" spans="326:326">
      <c r="LN17831" t="str">
        <v/>
      </c>
    </row>
    <row r="17832" spans="326:326">
      <c r="LN17832" t="str">
        <v/>
      </c>
    </row>
    <row r="17833" spans="326:326">
      <c r="LN17833" t="str">
        <v/>
      </c>
    </row>
    <row r="17834" spans="326:326">
      <c r="LN17834" t="str">
        <v/>
      </c>
    </row>
    <row r="17835" spans="326:326">
      <c r="LN17835" t="str">
        <v/>
      </c>
    </row>
    <row r="17836" spans="326:326">
      <c r="LN17836" t="str">
        <v/>
      </c>
    </row>
    <row r="17837" spans="326:326">
      <c r="LN17837" t="str">
        <v/>
      </c>
    </row>
    <row r="17838" spans="326:326">
      <c r="LN17838" t="str">
        <v/>
      </c>
    </row>
    <row r="17839" spans="326:326">
      <c r="LN17839" t="str">
        <v/>
      </c>
    </row>
    <row r="17840" spans="326:326">
      <c r="LN17840" t="str">
        <v/>
      </c>
    </row>
    <row r="17841" spans="326:326">
      <c r="LN17841" t="str">
        <v/>
      </c>
    </row>
    <row r="17842" spans="326:326">
      <c r="LN17842" t="str">
        <v/>
      </c>
    </row>
    <row r="17843" spans="326:326">
      <c r="LN17843" t="str">
        <v/>
      </c>
    </row>
    <row r="17844" spans="326:326">
      <c r="LN17844" t="str">
        <v/>
      </c>
    </row>
    <row r="17845" spans="326:326">
      <c r="LN17845" t="str">
        <v/>
      </c>
    </row>
    <row r="17846" spans="326:326">
      <c r="LN17846" t="str">
        <v/>
      </c>
    </row>
    <row r="17847" spans="326:326">
      <c r="LN17847" t="str">
        <v/>
      </c>
    </row>
    <row r="17848" spans="326:326">
      <c r="LN17848" t="str">
        <v/>
      </c>
    </row>
    <row r="17849" spans="326:326">
      <c r="LN17849" t="str">
        <v/>
      </c>
    </row>
    <row r="17850" spans="326:326">
      <c r="LN17850" t="str">
        <v/>
      </c>
    </row>
    <row r="17851" spans="326:326">
      <c r="LN17851" t="str">
        <v/>
      </c>
    </row>
    <row r="17852" spans="326:326">
      <c r="LN17852" t="str">
        <v/>
      </c>
    </row>
    <row r="17853" spans="326:326">
      <c r="LN17853" t="str">
        <v/>
      </c>
    </row>
    <row r="17854" spans="326:326">
      <c r="LN17854" t="str">
        <v/>
      </c>
    </row>
    <row r="17855" spans="326:326">
      <c r="LN17855" t="str">
        <v/>
      </c>
    </row>
    <row r="17856" spans="326:326">
      <c r="LN17856" t="str">
        <v/>
      </c>
    </row>
    <row r="17857" spans="326:326">
      <c r="LN17857" t="str">
        <v/>
      </c>
    </row>
    <row r="17858" spans="326:326">
      <c r="LN17858" t="str">
        <v/>
      </c>
    </row>
    <row r="17859" spans="326:326">
      <c r="LN17859" t="str">
        <v/>
      </c>
    </row>
    <row r="17860" spans="326:326">
      <c r="LN17860" t="str">
        <v/>
      </c>
    </row>
    <row r="17861" spans="326:326">
      <c r="LN17861" t="str">
        <v/>
      </c>
    </row>
    <row r="17862" spans="326:326">
      <c r="LN17862" t="str">
        <v/>
      </c>
    </row>
    <row r="17863" spans="326:326">
      <c r="LN17863" t="str">
        <v/>
      </c>
    </row>
    <row r="17864" spans="326:326">
      <c r="LN17864" t="str">
        <v/>
      </c>
    </row>
    <row r="17865" spans="326:326">
      <c r="LN17865" t="str">
        <v/>
      </c>
    </row>
    <row r="17866" spans="326:326">
      <c r="LN17866" t="str">
        <v/>
      </c>
    </row>
    <row r="17867" spans="326:326">
      <c r="LN17867" t="str">
        <v/>
      </c>
    </row>
    <row r="17868" spans="326:326">
      <c r="LN17868" t="str">
        <v/>
      </c>
    </row>
    <row r="17869" spans="326:326">
      <c r="LN17869" t="str">
        <v/>
      </c>
    </row>
    <row r="17870" spans="326:326">
      <c r="LN17870" t="str">
        <v/>
      </c>
    </row>
    <row r="17871" spans="326:326">
      <c r="LN17871" t="str">
        <v/>
      </c>
    </row>
    <row r="17872" spans="326:326">
      <c r="LN17872" t="str">
        <v/>
      </c>
    </row>
    <row r="17873" spans="326:326">
      <c r="LN17873" t="str">
        <v/>
      </c>
    </row>
    <row r="17874" spans="326:326">
      <c r="LN17874" t="str">
        <v/>
      </c>
    </row>
    <row r="17875" spans="326:326">
      <c r="LN17875" t="str">
        <v/>
      </c>
    </row>
    <row r="17876" spans="326:326">
      <c r="LN17876" t="str">
        <v/>
      </c>
    </row>
    <row r="17877" spans="326:326">
      <c r="LN17877" t="str">
        <v/>
      </c>
    </row>
    <row r="17878" spans="326:326">
      <c r="LN17878" t="str">
        <v/>
      </c>
    </row>
    <row r="17879" spans="326:326">
      <c r="LN17879" t="str">
        <v/>
      </c>
    </row>
    <row r="17880" spans="326:326">
      <c r="LN17880" t="str">
        <v/>
      </c>
    </row>
    <row r="17881" spans="326:326">
      <c r="LN17881" t="str">
        <v/>
      </c>
    </row>
    <row r="17882" spans="326:326">
      <c r="LN17882" t="str">
        <v/>
      </c>
    </row>
    <row r="17883" spans="326:326">
      <c r="LN17883" t="str">
        <v/>
      </c>
    </row>
    <row r="17884" spans="326:326">
      <c r="LN17884" t="str">
        <v/>
      </c>
    </row>
    <row r="17885" spans="326:326">
      <c r="LN17885" t="str">
        <v/>
      </c>
    </row>
    <row r="17886" spans="326:326">
      <c r="LN17886" t="str">
        <v/>
      </c>
    </row>
    <row r="17887" spans="326:326">
      <c r="LN17887" t="str">
        <v/>
      </c>
    </row>
    <row r="17888" spans="326:326">
      <c r="LN17888" t="str">
        <v/>
      </c>
    </row>
    <row r="17889" spans="326:326">
      <c r="LN17889" t="str">
        <v/>
      </c>
    </row>
    <row r="17890" spans="326:326">
      <c r="LN17890" t="str">
        <v/>
      </c>
    </row>
    <row r="17891" spans="326:326">
      <c r="LN17891" t="str">
        <v/>
      </c>
    </row>
    <row r="17892" spans="326:326">
      <c r="LN17892" t="str">
        <v/>
      </c>
    </row>
    <row r="17893" spans="326:326">
      <c r="LN17893" t="str">
        <v/>
      </c>
    </row>
    <row r="17894" spans="326:326">
      <c r="LN17894" t="str">
        <v/>
      </c>
    </row>
    <row r="17895" spans="326:326">
      <c r="LN17895" t="str">
        <v/>
      </c>
    </row>
    <row r="17896" spans="326:326">
      <c r="LN17896" t="str">
        <v/>
      </c>
    </row>
    <row r="17897" spans="326:326">
      <c r="LN17897" t="str">
        <v/>
      </c>
    </row>
    <row r="17898" spans="326:326">
      <c r="LN17898" t="str">
        <v/>
      </c>
    </row>
    <row r="17899" spans="326:326">
      <c r="LN17899" t="str">
        <v/>
      </c>
    </row>
    <row r="17900" spans="326:326">
      <c r="LN17900" t="str">
        <v/>
      </c>
    </row>
    <row r="17901" spans="326:326">
      <c r="LN17901" t="str">
        <v/>
      </c>
    </row>
    <row r="17902" spans="326:326">
      <c r="LN17902" t="str">
        <v/>
      </c>
    </row>
    <row r="17903" spans="326:326">
      <c r="LN17903" t="str">
        <v/>
      </c>
    </row>
    <row r="17904" spans="326:326">
      <c r="LN17904" t="str">
        <v/>
      </c>
    </row>
    <row r="17905" spans="326:326">
      <c r="LN17905" t="str">
        <v/>
      </c>
    </row>
    <row r="17906" spans="326:326">
      <c r="LN17906" t="str">
        <v/>
      </c>
    </row>
    <row r="17907" spans="326:326">
      <c r="LN17907" t="str">
        <v/>
      </c>
    </row>
    <row r="17908" spans="326:326">
      <c r="LN17908" t="str">
        <v/>
      </c>
    </row>
    <row r="17909" spans="326:326">
      <c r="LN17909" t="str">
        <v/>
      </c>
    </row>
    <row r="17910" spans="326:326">
      <c r="LN17910" t="str">
        <v/>
      </c>
    </row>
    <row r="17911" spans="326:326">
      <c r="LN17911" t="str">
        <v/>
      </c>
    </row>
    <row r="17912" spans="326:326">
      <c r="LN17912" t="str">
        <v/>
      </c>
    </row>
    <row r="17913" spans="326:326">
      <c r="LN17913" t="str">
        <v/>
      </c>
    </row>
    <row r="17914" spans="326:326">
      <c r="LN17914" t="str">
        <v/>
      </c>
    </row>
    <row r="17915" spans="326:326">
      <c r="LN17915" t="str">
        <v/>
      </c>
    </row>
    <row r="17916" spans="326:326">
      <c r="LN17916" t="str">
        <v/>
      </c>
    </row>
    <row r="17917" spans="326:326">
      <c r="LN17917" t="str">
        <v/>
      </c>
    </row>
    <row r="17918" spans="326:326">
      <c r="LN17918" t="str">
        <v/>
      </c>
    </row>
    <row r="17919" spans="326:326">
      <c r="LN17919" t="str">
        <v/>
      </c>
    </row>
    <row r="17920" spans="326:326">
      <c r="LN17920" t="str">
        <v/>
      </c>
    </row>
    <row r="17921" spans="326:326">
      <c r="LN17921" t="str">
        <v/>
      </c>
    </row>
    <row r="17922" spans="326:326">
      <c r="LN17922" t="str">
        <v/>
      </c>
    </row>
    <row r="17923" spans="326:326">
      <c r="LN17923" t="str">
        <v/>
      </c>
    </row>
    <row r="17924" spans="326:326">
      <c r="LN17924" t="str">
        <v/>
      </c>
    </row>
    <row r="17925" spans="326:326">
      <c r="LN17925" t="str">
        <v/>
      </c>
    </row>
    <row r="17926" spans="326:326">
      <c r="LN17926" t="str">
        <v/>
      </c>
    </row>
    <row r="17927" spans="326:326">
      <c r="LN17927" t="str">
        <v/>
      </c>
    </row>
    <row r="17928" spans="326:326">
      <c r="LN17928" t="str">
        <v/>
      </c>
    </row>
    <row r="17929" spans="326:326">
      <c r="LN17929" t="str">
        <v/>
      </c>
    </row>
    <row r="17930" spans="326:326">
      <c r="LN17930" t="str">
        <v/>
      </c>
    </row>
    <row r="17931" spans="326:326">
      <c r="LN17931" t="str">
        <v/>
      </c>
    </row>
    <row r="17932" spans="326:326">
      <c r="LN17932" t="str">
        <v/>
      </c>
    </row>
    <row r="17933" spans="326:326">
      <c r="LN17933" t="str">
        <v/>
      </c>
    </row>
    <row r="17934" spans="326:326">
      <c r="LN17934" t="str">
        <v/>
      </c>
    </row>
    <row r="17935" spans="326:326">
      <c r="LN17935" t="str">
        <v/>
      </c>
    </row>
    <row r="17936" spans="326:326">
      <c r="LN17936" t="str">
        <v/>
      </c>
    </row>
    <row r="17937" spans="326:326">
      <c r="LN17937" t="str">
        <v/>
      </c>
    </row>
    <row r="17938" spans="326:326">
      <c r="LN17938" t="str">
        <v/>
      </c>
    </row>
    <row r="17939" spans="326:326">
      <c r="LN17939" t="str">
        <v/>
      </c>
    </row>
    <row r="17940" spans="326:326">
      <c r="LN17940" t="str">
        <v/>
      </c>
    </row>
    <row r="17941" spans="326:326">
      <c r="LN17941" t="str">
        <v/>
      </c>
    </row>
    <row r="17942" spans="326:326">
      <c r="LN17942" t="str">
        <v/>
      </c>
    </row>
    <row r="17943" spans="326:326">
      <c r="LN17943" t="str">
        <v/>
      </c>
    </row>
    <row r="17944" spans="326:326">
      <c r="LN17944" t="str">
        <v/>
      </c>
    </row>
    <row r="17945" spans="326:326">
      <c r="LN17945" t="str">
        <v/>
      </c>
    </row>
    <row r="17946" spans="326:326">
      <c r="LN17946" t="str">
        <v/>
      </c>
    </row>
    <row r="17947" spans="326:326">
      <c r="LN17947" t="str">
        <v/>
      </c>
    </row>
    <row r="17948" spans="326:326">
      <c r="LN17948" t="str">
        <v/>
      </c>
    </row>
    <row r="17949" spans="326:326">
      <c r="LN17949" t="str">
        <v/>
      </c>
    </row>
    <row r="17950" spans="326:326">
      <c r="LN17950" t="str">
        <v/>
      </c>
    </row>
    <row r="17951" spans="326:326">
      <c r="LN17951" t="str">
        <v/>
      </c>
    </row>
    <row r="17952" spans="326:326">
      <c r="LN17952" t="str">
        <v/>
      </c>
    </row>
    <row r="17953" spans="326:326">
      <c r="LN17953" t="str">
        <v/>
      </c>
    </row>
    <row r="17954" spans="326:326">
      <c r="LN17954" t="str">
        <v/>
      </c>
    </row>
    <row r="17955" spans="326:326">
      <c r="LN17955" t="str">
        <v/>
      </c>
    </row>
    <row r="17956" spans="326:326">
      <c r="LN17956" t="str">
        <v/>
      </c>
    </row>
    <row r="17957" spans="326:326">
      <c r="LN17957" t="str">
        <v/>
      </c>
    </row>
    <row r="17958" spans="326:326">
      <c r="LN17958" t="str">
        <v/>
      </c>
    </row>
    <row r="17959" spans="326:326">
      <c r="LN17959" t="str">
        <v/>
      </c>
    </row>
    <row r="17960" spans="326:326">
      <c r="LN17960" t="str">
        <v/>
      </c>
    </row>
    <row r="17961" spans="326:326">
      <c r="LN17961" t="str">
        <v/>
      </c>
    </row>
    <row r="17962" spans="326:326">
      <c r="LN17962" t="str">
        <v/>
      </c>
    </row>
    <row r="17963" spans="326:326">
      <c r="LN17963" t="str">
        <v/>
      </c>
    </row>
    <row r="17964" spans="326:326">
      <c r="LN17964" t="str">
        <v/>
      </c>
    </row>
    <row r="17965" spans="326:326">
      <c r="LN17965" t="str">
        <v/>
      </c>
    </row>
    <row r="17966" spans="326:326">
      <c r="LN17966" t="str">
        <v/>
      </c>
    </row>
    <row r="17967" spans="326:326">
      <c r="LN17967" t="str">
        <v/>
      </c>
    </row>
    <row r="17968" spans="326:326">
      <c r="LN17968" t="str">
        <v/>
      </c>
    </row>
    <row r="17969" spans="326:326">
      <c r="LN17969" t="str">
        <v/>
      </c>
    </row>
    <row r="17970" spans="326:326">
      <c r="LN17970" t="str">
        <v/>
      </c>
    </row>
    <row r="17971" spans="326:326">
      <c r="LN17971" t="str">
        <v/>
      </c>
    </row>
    <row r="17972" spans="326:326">
      <c r="LN17972" t="str">
        <v/>
      </c>
    </row>
    <row r="17973" spans="326:326">
      <c r="LN17973" t="str">
        <v/>
      </c>
    </row>
    <row r="17974" spans="326:326">
      <c r="LN17974" t="str">
        <v/>
      </c>
    </row>
    <row r="17975" spans="326:326">
      <c r="LN17975" t="str">
        <v/>
      </c>
    </row>
    <row r="17976" spans="326:326">
      <c r="LN17976" t="str">
        <v/>
      </c>
    </row>
    <row r="17977" spans="326:326">
      <c r="LN17977" t="str">
        <v/>
      </c>
    </row>
    <row r="17978" spans="326:326">
      <c r="LN17978" t="str">
        <v/>
      </c>
    </row>
    <row r="17979" spans="326:326">
      <c r="LN17979" t="str">
        <v/>
      </c>
    </row>
    <row r="17980" spans="326:326">
      <c r="LN17980" t="str">
        <v/>
      </c>
    </row>
    <row r="17981" spans="326:326">
      <c r="LN17981" t="str">
        <v/>
      </c>
    </row>
    <row r="17982" spans="326:326">
      <c r="LN17982" t="str">
        <v/>
      </c>
    </row>
    <row r="17983" spans="326:326">
      <c r="LN17983" t="str">
        <v/>
      </c>
    </row>
    <row r="17984" spans="326:326">
      <c r="LN17984" t="str">
        <v/>
      </c>
    </row>
    <row r="17985" spans="326:326">
      <c r="LN17985" t="str">
        <v/>
      </c>
    </row>
    <row r="17986" spans="326:326">
      <c r="LN17986" t="str">
        <v/>
      </c>
    </row>
    <row r="17987" spans="326:326">
      <c r="LN17987" t="str">
        <v/>
      </c>
    </row>
    <row r="17988" spans="326:326">
      <c r="LN17988" t="str">
        <v/>
      </c>
    </row>
    <row r="17989" spans="326:326">
      <c r="LN17989" t="str">
        <v/>
      </c>
    </row>
    <row r="17990" spans="326:326">
      <c r="LN17990" t="str">
        <v/>
      </c>
    </row>
    <row r="17991" spans="326:326">
      <c r="LN17991" t="str">
        <v/>
      </c>
    </row>
    <row r="17992" spans="326:326">
      <c r="LN17992" t="str">
        <v/>
      </c>
    </row>
    <row r="17993" spans="326:326">
      <c r="LN17993" t="str">
        <v/>
      </c>
    </row>
    <row r="17994" spans="326:326">
      <c r="LN17994" t="str">
        <v/>
      </c>
    </row>
    <row r="17995" spans="326:326">
      <c r="LN17995" t="str">
        <v/>
      </c>
    </row>
    <row r="17996" spans="326:326">
      <c r="LN17996" t="str">
        <v/>
      </c>
    </row>
    <row r="17997" spans="326:326">
      <c r="LN17997" t="str">
        <v/>
      </c>
    </row>
    <row r="17998" spans="326:326">
      <c r="LN17998" t="str">
        <v/>
      </c>
    </row>
    <row r="17999" spans="326:326">
      <c r="LN17999" t="str">
        <v/>
      </c>
    </row>
    <row r="18000" spans="326:326">
      <c r="LN18000" t="str">
        <v/>
      </c>
    </row>
    <row r="18001" spans="326:326">
      <c r="LN18001" t="str">
        <v/>
      </c>
    </row>
    <row r="18002" spans="326:326">
      <c r="LN18002" t="str">
        <v/>
      </c>
    </row>
    <row r="18003" spans="326:326">
      <c r="LN18003" t="str">
        <v/>
      </c>
    </row>
    <row r="18004" spans="326:326">
      <c r="LN18004" t="str">
        <v/>
      </c>
    </row>
    <row r="18005" spans="326:326">
      <c r="LN18005" t="str">
        <v/>
      </c>
    </row>
    <row r="18006" spans="326:326">
      <c r="LN18006" t="str">
        <v/>
      </c>
    </row>
    <row r="18007" spans="326:326">
      <c r="LN18007" t="str">
        <v/>
      </c>
    </row>
    <row r="18008" spans="326:326">
      <c r="LN18008" t="str">
        <v/>
      </c>
    </row>
    <row r="18009" spans="326:326">
      <c r="LN18009" t="str">
        <v/>
      </c>
    </row>
    <row r="18010" spans="326:326">
      <c r="LN18010" t="str">
        <v/>
      </c>
    </row>
    <row r="18011" spans="326:326">
      <c r="LN18011" t="str">
        <v/>
      </c>
    </row>
    <row r="18012" spans="326:326">
      <c r="LN18012" t="str">
        <v/>
      </c>
    </row>
    <row r="18013" spans="326:326">
      <c r="LN18013" t="str">
        <v/>
      </c>
    </row>
    <row r="18014" spans="326:326">
      <c r="LN18014" t="str">
        <v/>
      </c>
    </row>
    <row r="18015" spans="326:326">
      <c r="LN18015" t="str">
        <v/>
      </c>
    </row>
    <row r="18016" spans="326:326">
      <c r="LN18016" t="str">
        <v/>
      </c>
    </row>
    <row r="18017" spans="326:326">
      <c r="LN18017" t="str">
        <v/>
      </c>
    </row>
    <row r="18018" spans="326:326">
      <c r="LN18018" t="str">
        <v/>
      </c>
    </row>
    <row r="18019" spans="326:326">
      <c r="LN18019" t="str">
        <v/>
      </c>
    </row>
    <row r="18020" spans="326:326">
      <c r="LN18020" t="str">
        <v/>
      </c>
    </row>
    <row r="18021" spans="326:326">
      <c r="LN18021" t="str">
        <v/>
      </c>
    </row>
    <row r="18022" spans="326:326">
      <c r="LN18022" t="str">
        <v/>
      </c>
    </row>
    <row r="18023" spans="326:326">
      <c r="LN18023" t="str">
        <v/>
      </c>
    </row>
    <row r="18024" spans="326:326">
      <c r="LN18024" t="str">
        <v/>
      </c>
    </row>
    <row r="18025" spans="326:326">
      <c r="LN18025" t="str">
        <v/>
      </c>
    </row>
    <row r="18026" spans="326:326">
      <c r="LN18026" t="str">
        <v/>
      </c>
    </row>
    <row r="18027" spans="326:326">
      <c r="LN18027" t="str">
        <v/>
      </c>
    </row>
    <row r="18028" spans="326:326">
      <c r="LN18028" t="str">
        <v/>
      </c>
    </row>
    <row r="18029" spans="326:326">
      <c r="LN18029" t="str">
        <v/>
      </c>
    </row>
    <row r="18030" spans="326:326">
      <c r="LN18030" t="str">
        <v/>
      </c>
    </row>
    <row r="18031" spans="326:326">
      <c r="LN18031" t="str">
        <v/>
      </c>
    </row>
    <row r="18032" spans="326:326">
      <c r="LN18032" t="str">
        <v/>
      </c>
    </row>
    <row r="18033" spans="326:326">
      <c r="LN18033" t="str">
        <v/>
      </c>
    </row>
    <row r="18034" spans="326:326">
      <c r="LN18034" t="str">
        <v/>
      </c>
    </row>
    <row r="18035" spans="326:326">
      <c r="LN18035" t="str">
        <v/>
      </c>
    </row>
    <row r="18036" spans="326:326">
      <c r="LN18036" t="str">
        <v/>
      </c>
    </row>
    <row r="18037" spans="326:326">
      <c r="LN18037" t="str">
        <v/>
      </c>
    </row>
    <row r="18038" spans="326:326">
      <c r="LN18038" t="str">
        <v/>
      </c>
    </row>
    <row r="18039" spans="326:326">
      <c r="LN18039" t="str">
        <v/>
      </c>
    </row>
    <row r="18040" spans="326:326">
      <c r="LN18040" t="str">
        <v/>
      </c>
    </row>
    <row r="18041" spans="326:326">
      <c r="LN18041" t="str">
        <v/>
      </c>
    </row>
    <row r="18042" spans="326:326">
      <c r="LN18042" t="str">
        <v/>
      </c>
    </row>
    <row r="18043" spans="326:326">
      <c r="LN18043" t="str">
        <v/>
      </c>
    </row>
    <row r="18044" spans="326:326">
      <c r="LN18044" t="str">
        <v/>
      </c>
    </row>
    <row r="18045" spans="326:326">
      <c r="LN18045" t="str">
        <v/>
      </c>
    </row>
    <row r="18046" spans="326:326">
      <c r="LN18046" t="str">
        <v/>
      </c>
    </row>
    <row r="18047" spans="326:326">
      <c r="LN18047" t="str">
        <v/>
      </c>
    </row>
    <row r="18048" spans="326:326">
      <c r="LN18048" t="str">
        <v/>
      </c>
    </row>
    <row r="18049" spans="326:326">
      <c r="LN18049" t="str">
        <v/>
      </c>
    </row>
    <row r="18050" spans="326:326">
      <c r="LN18050" t="str">
        <v/>
      </c>
    </row>
    <row r="18051" spans="326:326">
      <c r="LN18051" t="str">
        <v/>
      </c>
    </row>
    <row r="18052" spans="326:326">
      <c r="LN18052" t="str">
        <v/>
      </c>
    </row>
    <row r="18053" spans="326:326">
      <c r="LN18053" t="str">
        <v/>
      </c>
    </row>
    <row r="18054" spans="326:326">
      <c r="LN18054" t="str">
        <v/>
      </c>
    </row>
    <row r="18055" spans="326:326">
      <c r="LN18055" t="str">
        <v/>
      </c>
    </row>
    <row r="18056" spans="326:326">
      <c r="LN18056" t="str">
        <v/>
      </c>
    </row>
    <row r="18057" spans="326:326">
      <c r="LN18057" t="str">
        <v/>
      </c>
    </row>
    <row r="18058" spans="326:326">
      <c r="LN18058" t="str">
        <v/>
      </c>
    </row>
    <row r="18059" spans="326:326">
      <c r="LN18059" t="str">
        <v/>
      </c>
    </row>
    <row r="18060" spans="326:326">
      <c r="LN18060" t="str">
        <v/>
      </c>
    </row>
    <row r="18061" spans="326:326">
      <c r="LN18061" t="str">
        <v/>
      </c>
    </row>
    <row r="18062" spans="326:326">
      <c r="LN18062" t="str">
        <v/>
      </c>
    </row>
    <row r="18063" spans="326:326">
      <c r="LN18063" t="str">
        <v/>
      </c>
    </row>
    <row r="18064" spans="326:326">
      <c r="LN18064" t="str">
        <v/>
      </c>
    </row>
    <row r="18065" spans="326:326">
      <c r="LN18065" t="str">
        <v/>
      </c>
    </row>
    <row r="18066" spans="326:326">
      <c r="LN18066" t="str">
        <v/>
      </c>
    </row>
    <row r="18067" spans="326:326">
      <c r="LN18067" t="str">
        <v/>
      </c>
    </row>
    <row r="18068" spans="326:326">
      <c r="LN18068" t="str">
        <v/>
      </c>
    </row>
    <row r="18069" spans="326:326">
      <c r="LN18069" t="str">
        <v/>
      </c>
    </row>
    <row r="18070" spans="326:326">
      <c r="LN18070" t="str">
        <v/>
      </c>
    </row>
    <row r="18071" spans="326:326">
      <c r="LN18071" t="str">
        <v/>
      </c>
    </row>
    <row r="18072" spans="326:326">
      <c r="LN18072" t="str">
        <v/>
      </c>
    </row>
    <row r="18073" spans="326:326">
      <c r="LN18073" t="str">
        <v/>
      </c>
    </row>
    <row r="18074" spans="326:326">
      <c r="LN18074" t="str">
        <v/>
      </c>
    </row>
    <row r="18075" spans="326:326">
      <c r="LN18075" t="str">
        <v/>
      </c>
    </row>
    <row r="18076" spans="326:326">
      <c r="LN18076" t="str">
        <v/>
      </c>
    </row>
    <row r="18077" spans="326:326">
      <c r="LN18077" t="str">
        <v/>
      </c>
    </row>
    <row r="18078" spans="326:326">
      <c r="LN18078" t="str">
        <v/>
      </c>
    </row>
    <row r="18079" spans="326:326">
      <c r="LN18079" t="str">
        <v/>
      </c>
    </row>
    <row r="18080" spans="326:326">
      <c r="LN18080" t="str">
        <v/>
      </c>
    </row>
    <row r="18081" spans="326:326">
      <c r="LN18081" t="str">
        <v/>
      </c>
    </row>
    <row r="18082" spans="326:326">
      <c r="LN18082" t="str">
        <v/>
      </c>
    </row>
    <row r="18083" spans="326:326">
      <c r="LN18083" t="str">
        <v/>
      </c>
    </row>
    <row r="18084" spans="326:326">
      <c r="LN18084" t="str">
        <v/>
      </c>
    </row>
    <row r="18085" spans="326:326">
      <c r="LN18085" t="str">
        <v/>
      </c>
    </row>
    <row r="18086" spans="326:326">
      <c r="LN18086" t="str">
        <v/>
      </c>
    </row>
    <row r="18087" spans="326:326">
      <c r="LN18087" t="str">
        <v/>
      </c>
    </row>
    <row r="18088" spans="326:326">
      <c r="LN18088" t="str">
        <v/>
      </c>
    </row>
    <row r="18089" spans="326:326">
      <c r="LN18089" t="str">
        <v/>
      </c>
    </row>
    <row r="18090" spans="326:326">
      <c r="LN18090" t="str">
        <v/>
      </c>
    </row>
    <row r="18091" spans="326:326">
      <c r="LN18091" t="str">
        <v/>
      </c>
    </row>
    <row r="18092" spans="326:326">
      <c r="LN18092" t="str">
        <v/>
      </c>
    </row>
    <row r="18093" spans="326:326">
      <c r="LN18093" t="str">
        <v/>
      </c>
    </row>
    <row r="18094" spans="326:326">
      <c r="LN18094" t="str">
        <v/>
      </c>
    </row>
    <row r="18095" spans="326:326">
      <c r="LN18095" t="str">
        <v/>
      </c>
    </row>
    <row r="18096" spans="326:326">
      <c r="LN18096" t="str">
        <v/>
      </c>
    </row>
    <row r="18097" spans="326:326">
      <c r="LN18097" t="str">
        <v/>
      </c>
    </row>
    <row r="18098" spans="326:326">
      <c r="LN18098" t="str">
        <v/>
      </c>
    </row>
    <row r="18099" spans="326:326">
      <c r="LN18099" t="str">
        <v/>
      </c>
    </row>
    <row r="18100" spans="326:326">
      <c r="LN18100" t="str">
        <v/>
      </c>
    </row>
    <row r="18101" spans="326:326">
      <c r="LN18101" t="str">
        <v/>
      </c>
    </row>
    <row r="18102" spans="326:326">
      <c r="LN18102" t="str">
        <v/>
      </c>
    </row>
    <row r="18103" spans="326:326">
      <c r="LN18103" t="str">
        <v/>
      </c>
    </row>
    <row r="18104" spans="326:326">
      <c r="LN18104" t="str">
        <v/>
      </c>
    </row>
    <row r="18105" spans="326:326">
      <c r="LN18105" t="str">
        <v/>
      </c>
    </row>
    <row r="18106" spans="326:326">
      <c r="LN18106" t="str">
        <v/>
      </c>
    </row>
    <row r="18107" spans="326:326">
      <c r="LN18107" t="str">
        <v/>
      </c>
    </row>
    <row r="18108" spans="326:326">
      <c r="LN18108" t="str">
        <v/>
      </c>
    </row>
    <row r="18109" spans="326:326">
      <c r="LN18109" t="str">
        <v/>
      </c>
    </row>
    <row r="18110" spans="326:326">
      <c r="LN18110" t="str">
        <v/>
      </c>
    </row>
    <row r="18111" spans="326:326">
      <c r="LN18111" t="str">
        <v/>
      </c>
    </row>
    <row r="18112" spans="326:326">
      <c r="LN18112" t="str">
        <v/>
      </c>
    </row>
    <row r="18113" spans="326:326">
      <c r="LN18113" t="str">
        <v/>
      </c>
    </row>
    <row r="18114" spans="326:326">
      <c r="LN18114" t="str">
        <v/>
      </c>
    </row>
    <row r="18115" spans="326:326">
      <c r="LN18115" t="str">
        <v/>
      </c>
    </row>
    <row r="18116" spans="326:326">
      <c r="LN18116" t="str">
        <v/>
      </c>
    </row>
    <row r="18117" spans="326:326">
      <c r="LN18117" t="str">
        <v/>
      </c>
    </row>
    <row r="18118" spans="326:326">
      <c r="LN18118" t="str">
        <v/>
      </c>
    </row>
    <row r="18119" spans="326:326">
      <c r="LN18119" t="str">
        <v/>
      </c>
    </row>
    <row r="18120" spans="326:326">
      <c r="LN18120" t="str">
        <v/>
      </c>
    </row>
    <row r="18121" spans="326:326">
      <c r="LN18121" t="str">
        <v/>
      </c>
    </row>
    <row r="18122" spans="326:326">
      <c r="LN18122" t="str">
        <v/>
      </c>
    </row>
    <row r="18123" spans="326:326">
      <c r="LN18123" t="str">
        <v/>
      </c>
    </row>
    <row r="18124" spans="326:326">
      <c r="LN18124" t="str">
        <v/>
      </c>
    </row>
    <row r="18125" spans="326:326">
      <c r="LN18125" t="str">
        <v/>
      </c>
    </row>
    <row r="18126" spans="326:326">
      <c r="LN18126" t="str">
        <v/>
      </c>
    </row>
    <row r="18127" spans="326:326">
      <c r="LN18127" t="str">
        <v/>
      </c>
    </row>
    <row r="18128" spans="326:326">
      <c r="LN18128" t="str">
        <v/>
      </c>
    </row>
    <row r="18129" spans="326:326">
      <c r="LN18129" t="str">
        <v/>
      </c>
    </row>
    <row r="18130" spans="326:326">
      <c r="LN18130" t="str">
        <v/>
      </c>
    </row>
    <row r="18131" spans="326:326">
      <c r="LN18131" t="str">
        <v/>
      </c>
    </row>
    <row r="18132" spans="326:326">
      <c r="LN18132" t="str">
        <v/>
      </c>
    </row>
    <row r="18133" spans="326:326">
      <c r="LN18133" t="str">
        <v/>
      </c>
    </row>
    <row r="18134" spans="326:326">
      <c r="LN18134" t="str">
        <v/>
      </c>
    </row>
    <row r="18135" spans="326:326">
      <c r="LN18135" t="str">
        <v/>
      </c>
    </row>
    <row r="18136" spans="326:326">
      <c r="LN18136" t="str">
        <v/>
      </c>
    </row>
    <row r="18137" spans="326:326">
      <c r="LN18137" t="str">
        <v/>
      </c>
    </row>
    <row r="18138" spans="326:326">
      <c r="LN18138" t="str">
        <v/>
      </c>
    </row>
    <row r="18139" spans="326:326">
      <c r="LN18139" t="str">
        <v/>
      </c>
    </row>
    <row r="18140" spans="326:326">
      <c r="LN18140" t="str">
        <v/>
      </c>
    </row>
    <row r="18141" spans="326:326">
      <c r="LN18141" t="str">
        <v/>
      </c>
    </row>
    <row r="18142" spans="326:326">
      <c r="LN18142" t="str">
        <v/>
      </c>
    </row>
    <row r="18143" spans="326:326">
      <c r="LN18143" t="str">
        <v/>
      </c>
    </row>
    <row r="18144" spans="326:326">
      <c r="LN18144" t="str">
        <v/>
      </c>
    </row>
    <row r="18145" spans="326:326">
      <c r="LN18145" t="str">
        <v/>
      </c>
    </row>
    <row r="18146" spans="326:326">
      <c r="LN18146" t="str">
        <v/>
      </c>
    </row>
    <row r="18147" spans="326:326">
      <c r="LN18147" t="str">
        <v/>
      </c>
    </row>
    <row r="18148" spans="326:326">
      <c r="LN18148" t="str">
        <v/>
      </c>
    </row>
    <row r="18149" spans="326:326">
      <c r="LN18149" t="str">
        <v/>
      </c>
    </row>
    <row r="18150" spans="326:326">
      <c r="LN18150" t="str">
        <v/>
      </c>
    </row>
    <row r="18151" spans="326:326">
      <c r="LN18151" t="str">
        <v/>
      </c>
    </row>
    <row r="18152" spans="326:326">
      <c r="LN18152" t="str">
        <v/>
      </c>
    </row>
    <row r="18153" spans="326:326">
      <c r="LN18153" t="str">
        <v/>
      </c>
    </row>
    <row r="18154" spans="326:326">
      <c r="LN18154" t="str">
        <v/>
      </c>
    </row>
    <row r="18155" spans="326:326">
      <c r="LN18155" t="str">
        <v/>
      </c>
    </row>
    <row r="18156" spans="326:326">
      <c r="LN18156" t="str">
        <v/>
      </c>
    </row>
    <row r="18157" spans="326:326">
      <c r="LN18157" t="str">
        <v/>
      </c>
    </row>
    <row r="18158" spans="326:326">
      <c r="LN18158" t="str">
        <v/>
      </c>
    </row>
    <row r="18159" spans="326:326">
      <c r="LN18159" t="str">
        <v/>
      </c>
    </row>
    <row r="18160" spans="326:326">
      <c r="LN18160" t="str">
        <v/>
      </c>
    </row>
    <row r="18161" spans="326:326">
      <c r="LN18161" t="str">
        <v/>
      </c>
    </row>
    <row r="18162" spans="326:326">
      <c r="LN18162" t="str">
        <v/>
      </c>
    </row>
    <row r="18163" spans="326:326">
      <c r="LN18163" t="str">
        <v/>
      </c>
    </row>
    <row r="18164" spans="326:326">
      <c r="LN18164" t="str">
        <v/>
      </c>
    </row>
    <row r="18165" spans="326:326">
      <c r="LN18165" t="str">
        <v/>
      </c>
    </row>
    <row r="18166" spans="326:326">
      <c r="LN18166" t="str">
        <v/>
      </c>
    </row>
    <row r="18167" spans="326:326">
      <c r="LN18167" t="str">
        <v/>
      </c>
    </row>
    <row r="18168" spans="326:326">
      <c r="LN18168" t="str">
        <v/>
      </c>
    </row>
    <row r="18169" spans="326:326">
      <c r="LN18169" t="str">
        <v/>
      </c>
    </row>
    <row r="18170" spans="326:326">
      <c r="LN18170" t="str">
        <v/>
      </c>
    </row>
    <row r="18171" spans="326:326">
      <c r="LN18171" t="str">
        <v/>
      </c>
    </row>
    <row r="18172" spans="326:326">
      <c r="LN18172" t="str">
        <v/>
      </c>
    </row>
    <row r="18173" spans="326:326">
      <c r="LN18173" t="str">
        <v/>
      </c>
    </row>
    <row r="18174" spans="326:326">
      <c r="LN18174" t="str">
        <v/>
      </c>
    </row>
    <row r="18175" spans="326:326">
      <c r="LN18175" t="str">
        <v/>
      </c>
    </row>
    <row r="18176" spans="326:326">
      <c r="LN18176" t="str">
        <v/>
      </c>
    </row>
    <row r="18177" spans="326:326">
      <c r="LN18177" t="str">
        <v/>
      </c>
    </row>
    <row r="18178" spans="326:326">
      <c r="LN18178" t="str">
        <v/>
      </c>
    </row>
    <row r="18179" spans="326:326">
      <c r="LN18179" t="str">
        <v/>
      </c>
    </row>
    <row r="18180" spans="326:326">
      <c r="LN18180" t="str">
        <v/>
      </c>
    </row>
    <row r="18181" spans="326:326">
      <c r="LN18181" t="str">
        <v/>
      </c>
    </row>
    <row r="18182" spans="326:326">
      <c r="LN18182" t="str">
        <v/>
      </c>
    </row>
    <row r="18183" spans="326:326">
      <c r="LN18183" t="str">
        <v/>
      </c>
    </row>
    <row r="18184" spans="326:326">
      <c r="LN18184" t="str">
        <v/>
      </c>
    </row>
    <row r="18185" spans="326:326">
      <c r="LN18185" t="str">
        <v/>
      </c>
    </row>
    <row r="18186" spans="326:326">
      <c r="LN18186" t="str">
        <v/>
      </c>
    </row>
    <row r="18187" spans="326:326">
      <c r="LN18187" t="str">
        <v/>
      </c>
    </row>
    <row r="18188" spans="326:326">
      <c r="LN18188" t="str">
        <v/>
      </c>
    </row>
    <row r="18189" spans="326:326">
      <c r="LN18189" t="str">
        <v/>
      </c>
    </row>
    <row r="18190" spans="326:326">
      <c r="LN18190" t="str">
        <v/>
      </c>
    </row>
    <row r="18191" spans="326:326">
      <c r="LN18191" t="str">
        <v/>
      </c>
    </row>
    <row r="18192" spans="326:326">
      <c r="LN18192" t="str">
        <v/>
      </c>
    </row>
    <row r="18193" spans="326:326">
      <c r="LN18193" t="str">
        <v/>
      </c>
    </row>
    <row r="18194" spans="326:326">
      <c r="LN18194" t="str">
        <v/>
      </c>
    </row>
    <row r="18195" spans="326:326">
      <c r="LN18195" t="str">
        <v/>
      </c>
    </row>
    <row r="18196" spans="326:326">
      <c r="LN18196" t="str">
        <v/>
      </c>
    </row>
    <row r="18197" spans="326:326">
      <c r="LN18197" t="str">
        <v/>
      </c>
    </row>
    <row r="18198" spans="326:326">
      <c r="LN18198" t="str">
        <v/>
      </c>
    </row>
    <row r="18199" spans="326:326">
      <c r="LN18199" t="str">
        <v/>
      </c>
    </row>
    <row r="18200" spans="326:326">
      <c r="LN18200" t="str">
        <v/>
      </c>
    </row>
    <row r="18201" spans="326:326">
      <c r="LN18201" t="str">
        <v/>
      </c>
    </row>
    <row r="18202" spans="326:326">
      <c r="LN18202" t="str">
        <v/>
      </c>
    </row>
    <row r="18203" spans="326:326">
      <c r="LN18203" t="str">
        <v/>
      </c>
    </row>
    <row r="18204" spans="326:326">
      <c r="LN18204" t="str">
        <v/>
      </c>
    </row>
    <row r="18205" spans="326:326">
      <c r="LN18205" t="str">
        <v/>
      </c>
    </row>
    <row r="18206" spans="326:326">
      <c r="LN18206" t="str">
        <v/>
      </c>
    </row>
    <row r="18207" spans="326:326">
      <c r="LN18207" t="str">
        <v/>
      </c>
    </row>
    <row r="18208" spans="326:326">
      <c r="LN18208" t="str">
        <v/>
      </c>
    </row>
    <row r="18209" spans="326:326">
      <c r="LN18209" t="str">
        <v/>
      </c>
    </row>
    <row r="18210" spans="326:326">
      <c r="LN18210" t="str">
        <v/>
      </c>
    </row>
    <row r="18211" spans="326:326">
      <c r="LN18211" t="str">
        <v/>
      </c>
    </row>
    <row r="18212" spans="326:326">
      <c r="LN18212" t="str">
        <v/>
      </c>
    </row>
    <row r="18213" spans="326:326">
      <c r="LN18213" t="str">
        <v/>
      </c>
    </row>
    <row r="18214" spans="326:326">
      <c r="LN18214" t="str">
        <v/>
      </c>
    </row>
    <row r="18215" spans="326:326">
      <c r="LN18215" t="str">
        <v/>
      </c>
    </row>
    <row r="18216" spans="326:326">
      <c r="LN18216" t="str">
        <v/>
      </c>
    </row>
    <row r="18217" spans="326:326">
      <c r="LN18217" t="str">
        <v/>
      </c>
    </row>
    <row r="18218" spans="326:326">
      <c r="LN18218" t="str">
        <v/>
      </c>
    </row>
    <row r="18219" spans="326:326">
      <c r="LN18219" t="str">
        <v/>
      </c>
    </row>
    <row r="18220" spans="326:326">
      <c r="LN18220" t="str">
        <v/>
      </c>
    </row>
    <row r="18221" spans="326:326">
      <c r="LN18221" t="str">
        <v/>
      </c>
    </row>
    <row r="18222" spans="326:326">
      <c r="LN18222" t="str">
        <v/>
      </c>
    </row>
    <row r="18223" spans="326:326">
      <c r="LN18223" t="str">
        <v/>
      </c>
    </row>
    <row r="18224" spans="326:326">
      <c r="LN18224" t="str">
        <v/>
      </c>
    </row>
    <row r="18225" spans="326:326">
      <c r="LN18225" t="str">
        <v/>
      </c>
    </row>
    <row r="18226" spans="326:326">
      <c r="LN18226" t="str">
        <v/>
      </c>
    </row>
    <row r="18227" spans="326:326">
      <c r="LN18227" t="str">
        <v/>
      </c>
    </row>
    <row r="18228" spans="326:326">
      <c r="LN18228" t="str">
        <v/>
      </c>
    </row>
    <row r="18229" spans="326:326">
      <c r="LN18229" t="str">
        <v/>
      </c>
    </row>
    <row r="18230" spans="326:326">
      <c r="LN18230" t="str">
        <v/>
      </c>
    </row>
    <row r="18231" spans="326:326">
      <c r="LN18231" t="str">
        <v/>
      </c>
    </row>
    <row r="18232" spans="326:326">
      <c r="LN18232" t="str">
        <v/>
      </c>
    </row>
    <row r="18233" spans="326:326">
      <c r="LN18233" t="str">
        <v/>
      </c>
    </row>
    <row r="18234" spans="326:326">
      <c r="LN18234" t="str">
        <v/>
      </c>
    </row>
    <row r="18235" spans="326:326">
      <c r="LN18235" t="str">
        <v/>
      </c>
    </row>
    <row r="18236" spans="326:326">
      <c r="LN18236" t="str">
        <v/>
      </c>
    </row>
    <row r="18237" spans="326:326">
      <c r="LN18237" t="str">
        <v/>
      </c>
    </row>
    <row r="18238" spans="326:326">
      <c r="LN18238" t="str">
        <v/>
      </c>
    </row>
    <row r="18239" spans="326:326">
      <c r="LN18239" t="str">
        <v/>
      </c>
    </row>
    <row r="18240" spans="326:326">
      <c r="LN18240" t="str">
        <v/>
      </c>
    </row>
    <row r="18241" spans="326:326">
      <c r="LN18241" t="str">
        <v/>
      </c>
    </row>
    <row r="18242" spans="326:326">
      <c r="LN18242" t="str">
        <v/>
      </c>
    </row>
    <row r="18243" spans="326:326">
      <c r="LN18243" t="str">
        <v/>
      </c>
    </row>
    <row r="18244" spans="326:326">
      <c r="LN18244" t="str">
        <v/>
      </c>
    </row>
    <row r="18245" spans="326:326">
      <c r="LN18245" t="str">
        <v/>
      </c>
    </row>
    <row r="18246" spans="326:326">
      <c r="LN18246" t="str">
        <v/>
      </c>
    </row>
    <row r="18247" spans="326:326">
      <c r="LN18247" t="str">
        <v/>
      </c>
    </row>
    <row r="18248" spans="326:326">
      <c r="LN18248" t="str">
        <v/>
      </c>
    </row>
    <row r="18249" spans="326:326">
      <c r="LN18249" t="str">
        <v/>
      </c>
    </row>
    <row r="18250" spans="326:326">
      <c r="LN18250" t="str">
        <v/>
      </c>
    </row>
    <row r="18251" spans="326:326">
      <c r="LN18251" t="str">
        <v/>
      </c>
    </row>
    <row r="18252" spans="326:326">
      <c r="LN18252" t="str">
        <v/>
      </c>
    </row>
    <row r="18253" spans="326:326">
      <c r="LN18253" t="str">
        <v/>
      </c>
    </row>
    <row r="18254" spans="326:326">
      <c r="LN18254" t="str">
        <v/>
      </c>
    </row>
    <row r="18255" spans="326:326">
      <c r="LN18255" t="str">
        <v/>
      </c>
    </row>
    <row r="18256" spans="326:326">
      <c r="LN18256" t="str">
        <v/>
      </c>
    </row>
    <row r="18257" spans="326:326">
      <c r="LN18257" t="str">
        <v/>
      </c>
    </row>
    <row r="18258" spans="326:326">
      <c r="LN18258" t="str">
        <v/>
      </c>
    </row>
    <row r="18259" spans="326:326">
      <c r="LN18259" t="str">
        <v/>
      </c>
    </row>
    <row r="18260" spans="326:326">
      <c r="LN18260" t="str">
        <v/>
      </c>
    </row>
    <row r="18261" spans="326:326">
      <c r="LN18261" t="str">
        <v/>
      </c>
    </row>
    <row r="18262" spans="326:326">
      <c r="LN18262" t="str">
        <v/>
      </c>
    </row>
    <row r="18263" spans="326:326">
      <c r="LN18263" t="str">
        <v/>
      </c>
    </row>
    <row r="18264" spans="326:326">
      <c r="LN18264" t="str">
        <v/>
      </c>
    </row>
    <row r="18265" spans="326:326">
      <c r="LN18265" t="str">
        <v/>
      </c>
    </row>
    <row r="18266" spans="326:326">
      <c r="LN18266" t="str">
        <v/>
      </c>
    </row>
    <row r="18267" spans="326:326">
      <c r="LN18267" t="str">
        <v/>
      </c>
    </row>
    <row r="18268" spans="326:326">
      <c r="LN18268" t="str">
        <v/>
      </c>
    </row>
    <row r="18269" spans="326:326">
      <c r="LN18269" t="str">
        <v/>
      </c>
    </row>
    <row r="18270" spans="326:326">
      <c r="LN18270" t="str">
        <v/>
      </c>
    </row>
    <row r="18271" spans="326:326">
      <c r="LN18271" t="str">
        <v/>
      </c>
    </row>
    <row r="18272" spans="326:326">
      <c r="LN18272" t="str">
        <v/>
      </c>
    </row>
    <row r="18273" spans="326:326">
      <c r="LN18273" t="str">
        <v/>
      </c>
    </row>
    <row r="18274" spans="326:326">
      <c r="LN18274" t="str">
        <v/>
      </c>
    </row>
    <row r="18275" spans="326:326">
      <c r="LN18275" t="str">
        <v/>
      </c>
    </row>
    <row r="18276" spans="326:326">
      <c r="LN18276" t="str">
        <v/>
      </c>
    </row>
    <row r="18277" spans="326:326">
      <c r="LN18277" t="str">
        <v/>
      </c>
    </row>
    <row r="18278" spans="326:326">
      <c r="LN18278" t="str">
        <v/>
      </c>
    </row>
    <row r="18279" spans="326:326">
      <c r="LN18279" t="str">
        <v/>
      </c>
    </row>
    <row r="18280" spans="326:326">
      <c r="LN18280" t="str">
        <v/>
      </c>
    </row>
    <row r="18281" spans="326:326">
      <c r="LN18281" t="str">
        <v/>
      </c>
    </row>
    <row r="18282" spans="326:326">
      <c r="LN18282" t="str">
        <v/>
      </c>
    </row>
    <row r="18283" spans="326:326">
      <c r="LN18283" t="str">
        <v/>
      </c>
    </row>
    <row r="18284" spans="326:326">
      <c r="LN18284" t="str">
        <v/>
      </c>
    </row>
    <row r="18285" spans="326:326">
      <c r="LN18285" t="str">
        <v/>
      </c>
    </row>
    <row r="18286" spans="326:326">
      <c r="LN18286" t="str">
        <v/>
      </c>
    </row>
    <row r="18287" spans="326:326">
      <c r="LN18287" t="str">
        <v/>
      </c>
    </row>
    <row r="18288" spans="326:326">
      <c r="LN18288" t="str">
        <v/>
      </c>
    </row>
    <row r="18289" spans="326:326">
      <c r="LN18289" t="str">
        <v/>
      </c>
    </row>
    <row r="18290" spans="326:326">
      <c r="LN18290" t="str">
        <v/>
      </c>
    </row>
    <row r="18291" spans="326:326">
      <c r="LN18291" t="str">
        <v/>
      </c>
    </row>
    <row r="18292" spans="326:326">
      <c r="LN18292" t="str">
        <v/>
      </c>
    </row>
    <row r="18293" spans="326:326">
      <c r="LN18293" t="str">
        <v/>
      </c>
    </row>
    <row r="18294" spans="326:326">
      <c r="LN18294" t="str">
        <v/>
      </c>
    </row>
    <row r="18295" spans="326:326">
      <c r="LN18295" t="str">
        <v/>
      </c>
    </row>
    <row r="18296" spans="326:326">
      <c r="LN18296" t="str">
        <v/>
      </c>
    </row>
    <row r="18297" spans="326:326">
      <c r="LN18297" t="str">
        <v/>
      </c>
    </row>
    <row r="18298" spans="326:326">
      <c r="LN18298" t="str">
        <v/>
      </c>
    </row>
    <row r="18299" spans="326:326">
      <c r="LN18299" t="str">
        <v/>
      </c>
    </row>
    <row r="18300" spans="326:326">
      <c r="LN18300" t="str">
        <v/>
      </c>
    </row>
    <row r="18301" spans="326:326">
      <c r="LN18301" t="str">
        <v/>
      </c>
    </row>
    <row r="18302" spans="326:326">
      <c r="LN18302" t="str">
        <v/>
      </c>
    </row>
    <row r="18303" spans="326:326">
      <c r="LN18303" t="str">
        <v/>
      </c>
    </row>
    <row r="18304" spans="326:326">
      <c r="LN18304" t="str">
        <v/>
      </c>
    </row>
    <row r="18305" spans="326:326">
      <c r="LN18305" t="str">
        <v/>
      </c>
    </row>
    <row r="18306" spans="326:326">
      <c r="LN18306" t="str">
        <v/>
      </c>
    </row>
    <row r="18307" spans="326:326">
      <c r="LN18307" t="str">
        <v/>
      </c>
    </row>
    <row r="18308" spans="326:326">
      <c r="LN18308" t="str">
        <v/>
      </c>
    </row>
    <row r="18309" spans="326:326">
      <c r="LN18309" t="str">
        <v/>
      </c>
    </row>
    <row r="18310" spans="326:326">
      <c r="LN18310" t="str">
        <v/>
      </c>
    </row>
    <row r="18311" spans="326:326">
      <c r="LN18311" t="str">
        <v/>
      </c>
    </row>
    <row r="18312" spans="326:326">
      <c r="LN18312" t="str">
        <v/>
      </c>
    </row>
    <row r="18313" spans="326:326">
      <c r="LN18313" t="str">
        <v/>
      </c>
    </row>
    <row r="18314" spans="326:326">
      <c r="LN18314" t="str">
        <v/>
      </c>
    </row>
    <row r="18315" spans="326:326">
      <c r="LN18315" t="str">
        <v/>
      </c>
    </row>
    <row r="18316" spans="326:326">
      <c r="LN18316" t="str">
        <v/>
      </c>
    </row>
    <row r="18317" spans="326:326">
      <c r="LN18317" t="str">
        <v/>
      </c>
    </row>
    <row r="18318" spans="326:326">
      <c r="LN18318" t="str">
        <v/>
      </c>
    </row>
    <row r="18319" spans="326:326">
      <c r="LN18319" t="str">
        <v/>
      </c>
    </row>
    <row r="18320" spans="326:326">
      <c r="LN18320" t="str">
        <v/>
      </c>
    </row>
    <row r="18321" spans="326:326">
      <c r="LN18321" t="str">
        <v/>
      </c>
    </row>
    <row r="18322" spans="326:326">
      <c r="LN18322" t="str">
        <v/>
      </c>
    </row>
    <row r="18323" spans="326:326">
      <c r="LN18323" t="str">
        <v/>
      </c>
    </row>
    <row r="18324" spans="326:326">
      <c r="LN18324" t="str">
        <v/>
      </c>
    </row>
    <row r="18325" spans="326:326">
      <c r="LN18325" t="str">
        <v/>
      </c>
    </row>
    <row r="18326" spans="326:326">
      <c r="LN18326" t="str">
        <v/>
      </c>
    </row>
    <row r="18327" spans="326:326">
      <c r="LN18327" t="str">
        <v/>
      </c>
    </row>
    <row r="18328" spans="326:326">
      <c r="LN18328" t="str">
        <v/>
      </c>
    </row>
    <row r="18329" spans="326:326">
      <c r="LN18329" t="str">
        <v/>
      </c>
    </row>
    <row r="18330" spans="326:326">
      <c r="LN18330" t="str">
        <v/>
      </c>
    </row>
    <row r="18331" spans="326:326">
      <c r="LN18331" t="str">
        <v/>
      </c>
    </row>
    <row r="18332" spans="326:326">
      <c r="LN18332" t="str">
        <v/>
      </c>
    </row>
    <row r="18333" spans="326:326">
      <c r="LN18333" t="str">
        <v/>
      </c>
    </row>
    <row r="18334" spans="326:326">
      <c r="LN18334" t="str">
        <v/>
      </c>
    </row>
    <row r="18335" spans="326:326">
      <c r="LN18335" t="str">
        <v/>
      </c>
    </row>
    <row r="18336" spans="326:326">
      <c r="LN18336" t="str">
        <v/>
      </c>
    </row>
    <row r="18337" spans="326:326">
      <c r="LN18337" t="str">
        <v/>
      </c>
    </row>
    <row r="18338" spans="326:326">
      <c r="LN18338" t="str">
        <v/>
      </c>
    </row>
    <row r="18339" spans="326:326">
      <c r="LN18339" t="str">
        <v/>
      </c>
    </row>
    <row r="18340" spans="326:326">
      <c r="LN18340" t="str">
        <v/>
      </c>
    </row>
    <row r="18341" spans="326:326">
      <c r="LN18341" t="str">
        <v/>
      </c>
    </row>
    <row r="18342" spans="326:326">
      <c r="LN18342" t="str">
        <v/>
      </c>
    </row>
    <row r="18343" spans="326:326">
      <c r="LN18343" t="str">
        <v/>
      </c>
    </row>
    <row r="18344" spans="326:326">
      <c r="LN18344" t="str">
        <v/>
      </c>
    </row>
    <row r="18345" spans="326:326">
      <c r="LN18345" t="str">
        <v/>
      </c>
    </row>
    <row r="18346" spans="326:326">
      <c r="LN18346" t="str">
        <v/>
      </c>
    </row>
    <row r="18347" spans="326:326">
      <c r="LN18347" t="str">
        <v/>
      </c>
    </row>
    <row r="18348" spans="326:326">
      <c r="LN18348" t="str">
        <v/>
      </c>
    </row>
    <row r="18349" spans="326:326">
      <c r="LN18349" t="str">
        <v/>
      </c>
    </row>
    <row r="18350" spans="326:326">
      <c r="LN18350" t="str">
        <v/>
      </c>
    </row>
    <row r="18351" spans="326:326">
      <c r="LN18351" t="str">
        <v/>
      </c>
    </row>
    <row r="18352" spans="326:326">
      <c r="LN18352" t="str">
        <v/>
      </c>
    </row>
    <row r="18353" spans="326:326">
      <c r="LN18353" t="str">
        <v/>
      </c>
    </row>
    <row r="18354" spans="326:326">
      <c r="LN18354" t="str">
        <v/>
      </c>
    </row>
    <row r="18355" spans="326:326">
      <c r="LN18355" t="str">
        <v/>
      </c>
    </row>
    <row r="18356" spans="326:326">
      <c r="LN18356" t="str">
        <v/>
      </c>
    </row>
    <row r="18357" spans="326:326">
      <c r="LN18357" t="str">
        <v/>
      </c>
    </row>
    <row r="18358" spans="326:326">
      <c r="LN18358" t="str">
        <v/>
      </c>
    </row>
    <row r="18359" spans="326:326">
      <c r="LN18359" t="str">
        <v/>
      </c>
    </row>
    <row r="18360" spans="326:326">
      <c r="LN18360" t="str">
        <v/>
      </c>
    </row>
    <row r="18361" spans="326:326">
      <c r="LN18361" t="str">
        <v/>
      </c>
    </row>
    <row r="18362" spans="326:326">
      <c r="LN18362" t="str">
        <v/>
      </c>
    </row>
    <row r="18363" spans="326:326">
      <c r="LN18363" t="str">
        <v/>
      </c>
    </row>
    <row r="18364" spans="326:326">
      <c r="LN18364" t="str">
        <v/>
      </c>
    </row>
    <row r="18365" spans="326:326">
      <c r="LN18365" t="str">
        <v/>
      </c>
    </row>
    <row r="18366" spans="326:326">
      <c r="LN18366" t="str">
        <v/>
      </c>
    </row>
    <row r="18367" spans="326:326">
      <c r="LN18367" t="str">
        <v/>
      </c>
    </row>
    <row r="18368" spans="326:326">
      <c r="LN18368" t="str">
        <v/>
      </c>
    </row>
    <row r="18369" spans="326:326">
      <c r="LN18369" t="str">
        <v/>
      </c>
    </row>
    <row r="18370" spans="326:326">
      <c r="LN18370" t="str">
        <v/>
      </c>
    </row>
    <row r="18371" spans="326:326">
      <c r="LN18371" t="str">
        <v/>
      </c>
    </row>
    <row r="18372" spans="326:326">
      <c r="LN18372" t="str">
        <v/>
      </c>
    </row>
    <row r="18373" spans="326:326">
      <c r="LN18373" t="str">
        <v/>
      </c>
    </row>
    <row r="18374" spans="326:326">
      <c r="LN18374" t="str">
        <v/>
      </c>
    </row>
    <row r="18375" spans="326:326">
      <c r="LN18375" t="str">
        <v/>
      </c>
    </row>
    <row r="18376" spans="326:326">
      <c r="LN18376" t="str">
        <v/>
      </c>
    </row>
    <row r="18377" spans="326:326">
      <c r="LN18377" t="str">
        <v/>
      </c>
    </row>
    <row r="18378" spans="326:326">
      <c r="LN18378" t="str">
        <v/>
      </c>
    </row>
    <row r="18379" spans="326:326">
      <c r="LN18379" t="str">
        <v/>
      </c>
    </row>
    <row r="18380" spans="326:326">
      <c r="LN18380" t="str">
        <v/>
      </c>
    </row>
    <row r="18381" spans="326:326">
      <c r="LN18381" t="str">
        <v/>
      </c>
    </row>
    <row r="18382" spans="326:326">
      <c r="LN18382" t="str">
        <v/>
      </c>
    </row>
    <row r="18383" spans="326:326">
      <c r="LN18383" t="str">
        <v/>
      </c>
    </row>
    <row r="18384" spans="326:326">
      <c r="LN18384" t="str">
        <v/>
      </c>
    </row>
    <row r="18385" spans="326:326">
      <c r="LN18385" t="str">
        <v/>
      </c>
    </row>
    <row r="18386" spans="326:326">
      <c r="LN18386" t="str">
        <v/>
      </c>
    </row>
    <row r="18387" spans="326:326">
      <c r="LN18387" t="str">
        <v/>
      </c>
    </row>
    <row r="18388" spans="326:326">
      <c r="LN18388" t="str">
        <v/>
      </c>
    </row>
    <row r="18389" spans="326:326">
      <c r="LN18389" t="str">
        <v/>
      </c>
    </row>
    <row r="18390" spans="326:326">
      <c r="LN18390" t="str">
        <v/>
      </c>
    </row>
    <row r="18391" spans="326:326">
      <c r="LN18391" t="str">
        <v/>
      </c>
    </row>
    <row r="18392" spans="326:326">
      <c r="LN18392" t="str">
        <v/>
      </c>
    </row>
    <row r="18393" spans="326:326">
      <c r="LN18393" t="str">
        <v/>
      </c>
    </row>
    <row r="18394" spans="326:326">
      <c r="LN18394" t="str">
        <v/>
      </c>
    </row>
    <row r="18395" spans="326:326">
      <c r="LN18395" t="str">
        <v/>
      </c>
    </row>
    <row r="18396" spans="326:326">
      <c r="LN18396" t="str">
        <v/>
      </c>
    </row>
    <row r="18397" spans="326:326">
      <c r="LN18397" t="str">
        <v/>
      </c>
    </row>
    <row r="18398" spans="326:326">
      <c r="LN18398" t="str">
        <v/>
      </c>
    </row>
    <row r="18399" spans="326:326">
      <c r="LN18399" t="str">
        <v/>
      </c>
    </row>
    <row r="18400" spans="326:326">
      <c r="LN18400" t="str">
        <v/>
      </c>
    </row>
    <row r="18401" spans="326:326">
      <c r="LN18401" t="str">
        <v/>
      </c>
    </row>
    <row r="18402" spans="326:326">
      <c r="LN18402" t="str">
        <v/>
      </c>
    </row>
    <row r="18403" spans="326:326">
      <c r="LN18403" t="str">
        <v/>
      </c>
    </row>
    <row r="18404" spans="326:326">
      <c r="LN18404" t="str">
        <v/>
      </c>
    </row>
    <row r="18405" spans="326:326">
      <c r="LN18405" t="str">
        <v/>
      </c>
    </row>
    <row r="18406" spans="326:326">
      <c r="LN18406" t="str">
        <v/>
      </c>
    </row>
    <row r="18407" spans="326:326">
      <c r="LN18407" t="str">
        <v/>
      </c>
    </row>
    <row r="18408" spans="326:326">
      <c r="LN18408" t="str">
        <v/>
      </c>
    </row>
    <row r="18409" spans="326:326">
      <c r="LN18409" t="str">
        <v/>
      </c>
    </row>
    <row r="18410" spans="326:326">
      <c r="LN18410" t="str">
        <v/>
      </c>
    </row>
    <row r="18411" spans="326:326">
      <c r="LN18411" t="str">
        <v/>
      </c>
    </row>
    <row r="18412" spans="326:326">
      <c r="LN18412" t="str">
        <v/>
      </c>
    </row>
    <row r="18413" spans="326:326">
      <c r="LN18413" t="str">
        <v/>
      </c>
    </row>
    <row r="18414" spans="326:326">
      <c r="LN18414" t="str">
        <v/>
      </c>
    </row>
    <row r="18415" spans="326:326">
      <c r="LN18415" t="str">
        <v/>
      </c>
    </row>
    <row r="18416" spans="326:326">
      <c r="LN18416" t="str">
        <v/>
      </c>
    </row>
    <row r="18417" spans="326:326">
      <c r="LN18417" t="str">
        <v/>
      </c>
    </row>
    <row r="18418" spans="326:326">
      <c r="LN18418" t="str">
        <v/>
      </c>
    </row>
    <row r="18419" spans="326:326">
      <c r="LN18419" t="str">
        <v/>
      </c>
    </row>
    <row r="18420" spans="326:326">
      <c r="LN18420" t="str">
        <v/>
      </c>
    </row>
    <row r="18421" spans="326:326">
      <c r="LN18421" t="str">
        <v/>
      </c>
    </row>
    <row r="18422" spans="326:326">
      <c r="LN18422" t="str">
        <v/>
      </c>
    </row>
    <row r="18423" spans="326:326">
      <c r="LN18423" t="str">
        <v/>
      </c>
    </row>
    <row r="18424" spans="326:326">
      <c r="LN18424" t="str">
        <v/>
      </c>
    </row>
    <row r="18425" spans="326:326">
      <c r="LN18425" t="str">
        <v/>
      </c>
    </row>
    <row r="18426" spans="326:326">
      <c r="LN18426" t="str">
        <v/>
      </c>
    </row>
    <row r="18427" spans="326:326">
      <c r="LN18427" t="str">
        <v/>
      </c>
    </row>
    <row r="18428" spans="326:326">
      <c r="LN18428" t="str">
        <v/>
      </c>
    </row>
    <row r="18429" spans="326:326">
      <c r="LN18429" t="str">
        <v/>
      </c>
    </row>
    <row r="18430" spans="326:326">
      <c r="LN18430" t="str">
        <v/>
      </c>
    </row>
    <row r="18431" spans="326:326">
      <c r="LN18431" t="str">
        <v/>
      </c>
    </row>
    <row r="18432" spans="326:326">
      <c r="LN18432" t="str">
        <v/>
      </c>
    </row>
    <row r="18433" spans="326:326">
      <c r="LN18433" t="str">
        <v/>
      </c>
    </row>
    <row r="18434" spans="326:326">
      <c r="LN18434" t="str">
        <v/>
      </c>
    </row>
    <row r="18435" spans="326:326">
      <c r="LN18435" t="str">
        <v/>
      </c>
    </row>
    <row r="18436" spans="326:326">
      <c r="LN18436" t="str">
        <v/>
      </c>
    </row>
    <row r="18437" spans="326:326">
      <c r="LN18437" t="str">
        <v/>
      </c>
    </row>
    <row r="18438" spans="326:326">
      <c r="LN18438" t="str">
        <v/>
      </c>
    </row>
    <row r="18439" spans="326:326">
      <c r="LN18439" t="str">
        <v/>
      </c>
    </row>
    <row r="18440" spans="326:326">
      <c r="LN18440" t="str">
        <v/>
      </c>
    </row>
    <row r="18441" spans="326:326">
      <c r="LN18441" t="str">
        <v/>
      </c>
    </row>
    <row r="18442" spans="326:326">
      <c r="LN18442" t="str">
        <v/>
      </c>
    </row>
    <row r="18443" spans="326:326">
      <c r="LN18443" t="str">
        <v/>
      </c>
    </row>
    <row r="18444" spans="326:326">
      <c r="LN18444" t="str">
        <v/>
      </c>
    </row>
    <row r="18445" spans="326:326">
      <c r="LN18445" t="str">
        <v/>
      </c>
    </row>
    <row r="18446" spans="326:326">
      <c r="LN18446" t="str">
        <v/>
      </c>
    </row>
    <row r="18447" spans="326:326">
      <c r="LN18447" t="str">
        <v/>
      </c>
    </row>
    <row r="18448" spans="326:326">
      <c r="LN18448" t="str">
        <v/>
      </c>
    </row>
    <row r="18449" spans="326:326">
      <c r="LN18449" t="str">
        <v/>
      </c>
    </row>
    <row r="18450" spans="326:326">
      <c r="LN18450" t="str">
        <v/>
      </c>
    </row>
    <row r="18451" spans="326:326">
      <c r="LN18451" t="str">
        <v/>
      </c>
    </row>
    <row r="18452" spans="326:326">
      <c r="LN18452" t="str">
        <v/>
      </c>
    </row>
    <row r="18453" spans="326:326">
      <c r="LN18453" t="str">
        <v/>
      </c>
    </row>
    <row r="18454" spans="326:326">
      <c r="LN18454" t="str">
        <v/>
      </c>
    </row>
    <row r="18455" spans="326:326">
      <c r="LN18455" t="str">
        <v/>
      </c>
    </row>
    <row r="18456" spans="326:326">
      <c r="LN18456" t="str">
        <v/>
      </c>
    </row>
    <row r="18457" spans="326:326">
      <c r="LN18457" t="str">
        <v/>
      </c>
    </row>
    <row r="18458" spans="326:326">
      <c r="LN18458" t="str">
        <v/>
      </c>
    </row>
    <row r="18459" spans="326:326">
      <c r="LN18459" t="str">
        <v/>
      </c>
    </row>
    <row r="18460" spans="326:326">
      <c r="LN18460" t="str">
        <v/>
      </c>
    </row>
    <row r="18461" spans="326:326">
      <c r="LN18461" t="str">
        <v/>
      </c>
    </row>
    <row r="18462" spans="326:326">
      <c r="LN18462" t="str">
        <v/>
      </c>
    </row>
    <row r="18463" spans="326:326">
      <c r="LN18463" t="str">
        <v/>
      </c>
    </row>
    <row r="18464" spans="326:326">
      <c r="LN18464" t="str">
        <v/>
      </c>
    </row>
    <row r="18465" spans="326:326">
      <c r="LN18465" t="str">
        <v/>
      </c>
    </row>
    <row r="18466" spans="326:326">
      <c r="LN18466" t="str">
        <v/>
      </c>
    </row>
    <row r="18467" spans="326:326">
      <c r="LN18467" t="str">
        <v/>
      </c>
    </row>
    <row r="18468" spans="326:326">
      <c r="LN18468" t="str">
        <v/>
      </c>
    </row>
    <row r="18469" spans="326:326">
      <c r="LN18469" t="str">
        <v/>
      </c>
    </row>
    <row r="18470" spans="326:326">
      <c r="LN18470" t="str">
        <v/>
      </c>
    </row>
    <row r="18471" spans="326:326">
      <c r="LN18471" t="str">
        <v/>
      </c>
    </row>
    <row r="18472" spans="326:326">
      <c r="LN18472" t="str">
        <v/>
      </c>
    </row>
    <row r="18473" spans="326:326">
      <c r="LN18473" t="str">
        <v/>
      </c>
    </row>
    <row r="18474" spans="326:326">
      <c r="LN18474" t="str">
        <v/>
      </c>
    </row>
    <row r="18475" spans="326:326">
      <c r="LN18475" t="str">
        <v/>
      </c>
    </row>
    <row r="18476" spans="326:326">
      <c r="LN18476" t="str">
        <v/>
      </c>
    </row>
    <row r="18477" spans="326:326">
      <c r="LN18477" t="str">
        <v/>
      </c>
    </row>
    <row r="18478" spans="326:326">
      <c r="LN18478" t="str">
        <v/>
      </c>
    </row>
    <row r="18479" spans="326:326">
      <c r="LN18479" t="str">
        <v/>
      </c>
    </row>
    <row r="18480" spans="326:326">
      <c r="LN18480" t="str">
        <v/>
      </c>
    </row>
    <row r="18481" spans="326:326">
      <c r="LN18481" t="str">
        <v/>
      </c>
    </row>
    <row r="18482" spans="326:326">
      <c r="LN18482" t="str">
        <v/>
      </c>
    </row>
    <row r="18483" spans="326:326">
      <c r="LN18483" t="str">
        <v/>
      </c>
    </row>
    <row r="18484" spans="326:326">
      <c r="LN18484" t="str">
        <v/>
      </c>
    </row>
    <row r="18485" spans="326:326">
      <c r="LN18485" t="str">
        <v/>
      </c>
    </row>
    <row r="18486" spans="326:326">
      <c r="LN18486" t="str">
        <v/>
      </c>
    </row>
    <row r="18487" spans="326:326">
      <c r="LN18487" t="str">
        <v/>
      </c>
    </row>
    <row r="18488" spans="326:326">
      <c r="LN18488" t="str">
        <v/>
      </c>
    </row>
    <row r="18489" spans="326:326">
      <c r="LN18489" t="str">
        <v/>
      </c>
    </row>
    <row r="18490" spans="326:326">
      <c r="LN18490" t="str">
        <v/>
      </c>
    </row>
    <row r="18491" spans="326:326">
      <c r="LN18491" t="str">
        <v/>
      </c>
    </row>
    <row r="18492" spans="326:326">
      <c r="LN18492" t="str">
        <v/>
      </c>
    </row>
    <row r="18493" spans="326:326">
      <c r="LN18493" t="str">
        <v/>
      </c>
    </row>
    <row r="18494" spans="326:326">
      <c r="LN18494" t="str">
        <v/>
      </c>
    </row>
    <row r="18495" spans="326:326">
      <c r="LN18495" t="str">
        <v/>
      </c>
    </row>
    <row r="18496" spans="326:326">
      <c r="LN18496" t="str">
        <v/>
      </c>
    </row>
    <row r="18497" spans="326:326">
      <c r="LN18497" t="str">
        <v/>
      </c>
    </row>
    <row r="18498" spans="326:326">
      <c r="LN18498" t="str">
        <v/>
      </c>
    </row>
    <row r="18499" spans="326:326">
      <c r="LN18499" t="str">
        <v/>
      </c>
    </row>
    <row r="18500" spans="326:326">
      <c r="LN18500" t="str">
        <v/>
      </c>
    </row>
    <row r="18501" spans="326:326">
      <c r="LN18501" t="str">
        <v/>
      </c>
    </row>
    <row r="18502" spans="326:326">
      <c r="LN18502" t="str">
        <v/>
      </c>
    </row>
    <row r="18503" spans="326:326">
      <c r="LN18503" t="str">
        <v/>
      </c>
    </row>
    <row r="18504" spans="326:326">
      <c r="LN18504" t="str">
        <v/>
      </c>
    </row>
    <row r="18505" spans="326:326">
      <c r="LN18505" t="str">
        <v/>
      </c>
    </row>
    <row r="18506" spans="326:326">
      <c r="LN18506" t="str">
        <v/>
      </c>
    </row>
    <row r="18507" spans="326:326">
      <c r="LN18507" t="str">
        <v/>
      </c>
    </row>
    <row r="18508" spans="326:326">
      <c r="LN18508" t="str">
        <v/>
      </c>
    </row>
    <row r="18509" spans="326:326">
      <c r="LN18509" t="str">
        <v/>
      </c>
    </row>
    <row r="18510" spans="326:326">
      <c r="LN18510" t="str">
        <v/>
      </c>
    </row>
    <row r="18511" spans="326:326">
      <c r="LN18511" t="str">
        <v/>
      </c>
    </row>
    <row r="18512" spans="326:326">
      <c r="LN18512" t="str">
        <v/>
      </c>
    </row>
    <row r="18513" spans="326:326">
      <c r="LN18513" t="str">
        <v/>
      </c>
    </row>
    <row r="18514" spans="326:326">
      <c r="LN18514" t="str">
        <v/>
      </c>
    </row>
    <row r="18515" spans="326:326">
      <c r="LN18515" t="str">
        <v/>
      </c>
    </row>
    <row r="18516" spans="326:326">
      <c r="LN18516" t="str">
        <v/>
      </c>
    </row>
    <row r="18517" spans="326:326">
      <c r="LN18517" t="str">
        <v/>
      </c>
    </row>
    <row r="18518" spans="326:326">
      <c r="LN18518" t="str">
        <v/>
      </c>
    </row>
    <row r="18519" spans="326:326">
      <c r="LN18519" t="str">
        <v/>
      </c>
    </row>
    <row r="18520" spans="326:326">
      <c r="LN18520" t="str">
        <v/>
      </c>
    </row>
    <row r="18521" spans="326:326">
      <c r="LN18521" t="str">
        <v/>
      </c>
    </row>
    <row r="18522" spans="326:326">
      <c r="LN18522" t="str">
        <v/>
      </c>
    </row>
    <row r="18523" spans="326:326">
      <c r="LN18523" t="str">
        <v/>
      </c>
    </row>
    <row r="18524" spans="326:326">
      <c r="LN18524" t="str">
        <v/>
      </c>
    </row>
    <row r="18525" spans="326:326">
      <c r="LN18525" t="str">
        <v/>
      </c>
    </row>
    <row r="18526" spans="326:326">
      <c r="LN18526" t="str">
        <v/>
      </c>
    </row>
    <row r="18527" spans="326:326">
      <c r="LN18527" t="str">
        <v/>
      </c>
    </row>
    <row r="18528" spans="326:326">
      <c r="LN18528" t="str">
        <v/>
      </c>
    </row>
    <row r="18529" spans="326:326">
      <c r="LN18529" t="str">
        <v/>
      </c>
    </row>
    <row r="18530" spans="326:326">
      <c r="LN18530" t="str">
        <v/>
      </c>
    </row>
    <row r="18531" spans="326:326">
      <c r="LN18531" t="str">
        <v/>
      </c>
    </row>
    <row r="18532" spans="326:326">
      <c r="LN18532" t="str">
        <v/>
      </c>
    </row>
    <row r="18533" spans="326:326">
      <c r="LN18533" t="str">
        <v/>
      </c>
    </row>
    <row r="18534" spans="326:326">
      <c r="LN18534" t="str">
        <v/>
      </c>
    </row>
    <row r="18535" spans="326:326">
      <c r="LN18535" t="str">
        <v/>
      </c>
    </row>
    <row r="18536" spans="326:326">
      <c r="LN18536" t="str">
        <v/>
      </c>
    </row>
    <row r="18537" spans="326:326">
      <c r="LN18537" t="str">
        <v/>
      </c>
    </row>
    <row r="18538" spans="326:326">
      <c r="LN18538" t="str">
        <v/>
      </c>
    </row>
    <row r="18539" spans="326:326">
      <c r="LN18539" t="str">
        <v/>
      </c>
    </row>
    <row r="18540" spans="326:326">
      <c r="LN18540" t="str">
        <v/>
      </c>
    </row>
    <row r="18541" spans="326:326">
      <c r="LN18541" t="str">
        <v/>
      </c>
    </row>
    <row r="18542" spans="326:326">
      <c r="LN18542" t="str">
        <v/>
      </c>
    </row>
    <row r="18543" spans="326:326">
      <c r="LN18543" t="str">
        <v/>
      </c>
    </row>
    <row r="18544" spans="326:326">
      <c r="LN18544" t="str">
        <v/>
      </c>
    </row>
    <row r="18545" spans="326:326">
      <c r="LN18545" t="str">
        <v/>
      </c>
    </row>
    <row r="18546" spans="326:326">
      <c r="LN18546" t="str">
        <v/>
      </c>
    </row>
    <row r="18547" spans="326:326">
      <c r="LN18547" t="str">
        <v/>
      </c>
    </row>
    <row r="18548" spans="326:326">
      <c r="LN18548" t="str">
        <v/>
      </c>
    </row>
    <row r="18549" spans="326:326">
      <c r="LN18549" t="str">
        <v/>
      </c>
    </row>
    <row r="18550" spans="326:326">
      <c r="LN18550" t="str">
        <v/>
      </c>
    </row>
    <row r="18551" spans="326:326">
      <c r="LN18551" t="str">
        <v/>
      </c>
    </row>
    <row r="18552" spans="326:326">
      <c r="LN18552" t="str">
        <v/>
      </c>
    </row>
    <row r="18553" spans="326:326">
      <c r="LN18553" t="str">
        <v/>
      </c>
    </row>
    <row r="18554" spans="326:326">
      <c r="LN18554" t="str">
        <v/>
      </c>
    </row>
    <row r="18555" spans="326:326">
      <c r="LN18555" t="str">
        <v/>
      </c>
    </row>
    <row r="18556" spans="326:326">
      <c r="LN18556" t="str">
        <v/>
      </c>
    </row>
    <row r="18557" spans="326:326">
      <c r="LN18557" t="str">
        <v/>
      </c>
    </row>
    <row r="18558" spans="326:326">
      <c r="LN18558" t="str">
        <v/>
      </c>
    </row>
    <row r="18559" spans="326:326">
      <c r="LN18559" t="str">
        <v/>
      </c>
    </row>
    <row r="18560" spans="326:326">
      <c r="LN18560" t="str">
        <v/>
      </c>
    </row>
    <row r="18561" spans="326:326">
      <c r="LN18561" t="str">
        <v/>
      </c>
    </row>
    <row r="18562" spans="326:326">
      <c r="LN18562" t="str">
        <v/>
      </c>
    </row>
    <row r="18563" spans="326:326">
      <c r="LN18563" t="str">
        <v/>
      </c>
    </row>
    <row r="18564" spans="326:326">
      <c r="LN18564" t="str">
        <v/>
      </c>
    </row>
    <row r="18565" spans="326:326">
      <c r="LN18565" t="str">
        <v/>
      </c>
    </row>
    <row r="18566" spans="326:326">
      <c r="LN18566" t="str">
        <v/>
      </c>
    </row>
    <row r="18567" spans="326:326">
      <c r="LN18567" t="str">
        <v/>
      </c>
    </row>
    <row r="18568" spans="326:326">
      <c r="LN18568" t="str">
        <v/>
      </c>
    </row>
    <row r="18569" spans="326:326">
      <c r="LN18569" t="str">
        <v/>
      </c>
    </row>
    <row r="18570" spans="326:326">
      <c r="LN18570" t="str">
        <v/>
      </c>
    </row>
    <row r="18571" spans="326:326">
      <c r="LN18571" t="str">
        <v/>
      </c>
    </row>
    <row r="18572" spans="326:326">
      <c r="LN18572" t="str">
        <v/>
      </c>
    </row>
    <row r="18573" spans="326:326">
      <c r="LN18573" t="str">
        <v/>
      </c>
    </row>
    <row r="18574" spans="326:326">
      <c r="LN18574" t="str">
        <v/>
      </c>
    </row>
    <row r="18575" spans="326:326">
      <c r="LN18575" t="str">
        <v/>
      </c>
    </row>
    <row r="18576" spans="326:326">
      <c r="LN18576" t="str">
        <v/>
      </c>
    </row>
    <row r="18577" spans="326:326">
      <c r="LN18577" t="str">
        <v/>
      </c>
    </row>
    <row r="18578" spans="326:326">
      <c r="LN18578" t="str">
        <v/>
      </c>
    </row>
    <row r="18579" spans="326:326">
      <c r="LN18579" t="str">
        <v/>
      </c>
    </row>
    <row r="18580" spans="326:326">
      <c r="LN18580" t="str">
        <v/>
      </c>
    </row>
    <row r="18581" spans="326:326">
      <c r="LN18581" t="str">
        <v/>
      </c>
    </row>
    <row r="18582" spans="326:326">
      <c r="LN18582" t="str">
        <v/>
      </c>
    </row>
    <row r="18583" spans="326:326">
      <c r="LN18583" t="str">
        <v/>
      </c>
    </row>
    <row r="18584" spans="326:326">
      <c r="LN18584" t="str">
        <v/>
      </c>
    </row>
    <row r="18585" spans="326:326">
      <c r="LN18585" t="str">
        <v/>
      </c>
    </row>
    <row r="18586" spans="326:326">
      <c r="LN18586" t="str">
        <v/>
      </c>
    </row>
    <row r="18587" spans="326:326">
      <c r="LN18587" t="str">
        <v/>
      </c>
    </row>
    <row r="18588" spans="326:326">
      <c r="LN18588" t="str">
        <v/>
      </c>
    </row>
    <row r="18589" spans="326:326">
      <c r="LN18589" t="str">
        <v/>
      </c>
    </row>
    <row r="18590" spans="326:326">
      <c r="LN18590" t="str">
        <v/>
      </c>
    </row>
    <row r="18591" spans="326:326">
      <c r="LN18591" t="str">
        <v/>
      </c>
    </row>
    <row r="18592" spans="326:326">
      <c r="LN18592" t="str">
        <v/>
      </c>
    </row>
    <row r="18593" spans="326:326">
      <c r="LN18593" t="str">
        <v/>
      </c>
    </row>
    <row r="18594" spans="326:326">
      <c r="LN18594" t="str">
        <v/>
      </c>
    </row>
    <row r="18595" spans="326:326">
      <c r="LN18595" t="str">
        <v/>
      </c>
    </row>
    <row r="18596" spans="326:326">
      <c r="LN18596" t="str">
        <v/>
      </c>
    </row>
    <row r="18597" spans="326:326">
      <c r="LN18597" t="str">
        <v/>
      </c>
    </row>
    <row r="18598" spans="326:326">
      <c r="LN18598" t="str">
        <v/>
      </c>
    </row>
    <row r="18599" spans="326:326">
      <c r="LN18599" t="str">
        <v/>
      </c>
    </row>
    <row r="18600" spans="326:326">
      <c r="LN18600" t="str">
        <v/>
      </c>
    </row>
    <row r="18601" spans="326:326">
      <c r="LN18601" t="str">
        <v/>
      </c>
    </row>
    <row r="18602" spans="326:326">
      <c r="LN18602" t="str">
        <v/>
      </c>
    </row>
    <row r="18603" spans="326:326">
      <c r="LN18603" t="str">
        <v/>
      </c>
    </row>
    <row r="18604" spans="326:326">
      <c r="LN18604" t="str">
        <v/>
      </c>
    </row>
    <row r="18605" spans="326:326">
      <c r="LN18605" t="str">
        <v/>
      </c>
    </row>
    <row r="18606" spans="326:326">
      <c r="LN18606" t="str">
        <v/>
      </c>
    </row>
    <row r="18607" spans="326:326">
      <c r="LN18607" t="str">
        <v/>
      </c>
    </row>
    <row r="18608" spans="326:326">
      <c r="LN18608" t="str">
        <v/>
      </c>
    </row>
    <row r="18609" spans="326:326">
      <c r="LN18609" t="str">
        <v/>
      </c>
    </row>
    <row r="18610" spans="326:326">
      <c r="LN18610" t="str">
        <v/>
      </c>
    </row>
    <row r="18611" spans="326:326">
      <c r="LN18611" t="str">
        <v/>
      </c>
    </row>
    <row r="18612" spans="326:326">
      <c r="LN18612" t="str">
        <v/>
      </c>
    </row>
    <row r="18613" spans="326:326">
      <c r="LN18613" t="str">
        <v/>
      </c>
    </row>
    <row r="18614" spans="326:326">
      <c r="LN18614" t="str">
        <v/>
      </c>
    </row>
    <row r="18615" spans="326:326">
      <c r="LN18615" t="str">
        <v/>
      </c>
    </row>
    <row r="18616" spans="326:326">
      <c r="LN18616" t="str">
        <v/>
      </c>
    </row>
    <row r="18617" spans="326:326">
      <c r="LN18617" t="str">
        <v/>
      </c>
    </row>
    <row r="18618" spans="326:326">
      <c r="LN18618" t="str">
        <v/>
      </c>
    </row>
    <row r="18619" spans="326:326">
      <c r="LN18619" t="str">
        <v/>
      </c>
    </row>
    <row r="18620" spans="326:326">
      <c r="LN18620" t="str">
        <v/>
      </c>
    </row>
    <row r="18621" spans="326:326">
      <c r="LN18621" t="str">
        <v/>
      </c>
    </row>
    <row r="18622" spans="326:326">
      <c r="LN18622" t="str">
        <v/>
      </c>
    </row>
    <row r="18623" spans="326:326">
      <c r="LN18623" t="str">
        <v/>
      </c>
    </row>
    <row r="18624" spans="326:326">
      <c r="LN18624" t="str">
        <v/>
      </c>
    </row>
    <row r="18625" spans="326:326">
      <c r="LN18625" t="str">
        <v/>
      </c>
    </row>
    <row r="18626" spans="326:326">
      <c r="LN18626" t="str">
        <v/>
      </c>
    </row>
    <row r="18627" spans="326:326">
      <c r="LN18627" t="str">
        <v/>
      </c>
    </row>
    <row r="18628" spans="326:326">
      <c r="LN18628" t="str">
        <v/>
      </c>
    </row>
    <row r="18629" spans="326:326">
      <c r="LN18629" t="str">
        <v/>
      </c>
    </row>
    <row r="18630" spans="326:326">
      <c r="LN18630" t="str">
        <v/>
      </c>
    </row>
    <row r="18631" spans="326:326">
      <c r="LN18631" t="str">
        <v/>
      </c>
    </row>
    <row r="18632" spans="326:326">
      <c r="LN18632" t="str">
        <v/>
      </c>
    </row>
    <row r="18633" spans="326:326">
      <c r="LN18633" t="str">
        <v/>
      </c>
    </row>
    <row r="18634" spans="326:326">
      <c r="LN18634" t="str">
        <v/>
      </c>
    </row>
    <row r="18635" spans="326:326">
      <c r="LN18635" t="str">
        <v/>
      </c>
    </row>
    <row r="18636" spans="326:326">
      <c r="LN18636" t="str">
        <v/>
      </c>
    </row>
    <row r="18637" spans="326:326">
      <c r="LN18637" t="str">
        <v/>
      </c>
    </row>
    <row r="18638" spans="326:326">
      <c r="LN18638" t="str">
        <v/>
      </c>
    </row>
    <row r="18639" spans="326:326">
      <c r="LN18639" t="str">
        <v/>
      </c>
    </row>
    <row r="18640" spans="326:326">
      <c r="LN18640" t="str">
        <v/>
      </c>
    </row>
    <row r="18641" spans="326:326">
      <c r="LN18641" t="str">
        <v/>
      </c>
    </row>
    <row r="18642" spans="326:326">
      <c r="LN18642" t="str">
        <v/>
      </c>
    </row>
    <row r="18643" spans="326:326">
      <c r="LN18643" t="str">
        <v/>
      </c>
    </row>
    <row r="18644" spans="326:326">
      <c r="LN18644" t="str">
        <v/>
      </c>
    </row>
    <row r="18645" spans="326:326">
      <c r="LN18645" t="str">
        <v/>
      </c>
    </row>
    <row r="18646" spans="326:326">
      <c r="LN18646" t="str">
        <v/>
      </c>
    </row>
    <row r="18647" spans="326:326">
      <c r="LN18647" t="str">
        <v/>
      </c>
    </row>
    <row r="18648" spans="326:326">
      <c r="LN18648" t="str">
        <v/>
      </c>
    </row>
    <row r="18649" spans="326:326">
      <c r="LN18649" t="str">
        <v/>
      </c>
    </row>
    <row r="18650" spans="326:326">
      <c r="LN18650" t="str">
        <v/>
      </c>
    </row>
    <row r="18651" spans="326:326">
      <c r="LN18651" t="str">
        <v/>
      </c>
    </row>
    <row r="18652" spans="326:326">
      <c r="LN18652" t="str">
        <v/>
      </c>
    </row>
    <row r="18653" spans="326:326">
      <c r="LN18653" t="str">
        <v/>
      </c>
    </row>
    <row r="18654" spans="326:326">
      <c r="LN18654" t="str">
        <v/>
      </c>
    </row>
    <row r="18655" spans="326:326">
      <c r="LN18655" t="str">
        <v/>
      </c>
    </row>
    <row r="18656" spans="326:326">
      <c r="LN18656" t="str">
        <v/>
      </c>
    </row>
    <row r="18657" spans="326:326">
      <c r="LN18657" t="str">
        <v/>
      </c>
    </row>
    <row r="18658" spans="326:326">
      <c r="LN18658" t="str">
        <v/>
      </c>
    </row>
    <row r="18659" spans="326:326">
      <c r="LN18659" t="str">
        <v/>
      </c>
    </row>
    <row r="18660" spans="326:326">
      <c r="LN18660" t="str">
        <v/>
      </c>
    </row>
    <row r="18661" spans="326:326">
      <c r="LN18661" t="str">
        <v/>
      </c>
    </row>
    <row r="18662" spans="326:326">
      <c r="LN18662" t="str">
        <v/>
      </c>
    </row>
    <row r="18663" spans="326:326">
      <c r="LN18663" t="str">
        <v/>
      </c>
    </row>
    <row r="18664" spans="326:326">
      <c r="LN18664" t="str">
        <v/>
      </c>
    </row>
    <row r="18665" spans="326:326">
      <c r="LN18665" t="str">
        <v/>
      </c>
    </row>
    <row r="18666" spans="326:326">
      <c r="LN18666" t="str">
        <v/>
      </c>
    </row>
    <row r="18667" spans="326:326">
      <c r="LN18667" t="str">
        <v/>
      </c>
    </row>
    <row r="18668" spans="326:326">
      <c r="LN18668" t="str">
        <v/>
      </c>
    </row>
    <row r="18669" spans="326:326">
      <c r="LN18669" t="str">
        <v/>
      </c>
    </row>
    <row r="18670" spans="326:326">
      <c r="LN18670" t="str">
        <v/>
      </c>
    </row>
    <row r="18671" spans="326:326">
      <c r="LN18671" t="str">
        <v/>
      </c>
    </row>
    <row r="18672" spans="326:326">
      <c r="LN18672" t="str">
        <v/>
      </c>
    </row>
    <row r="18673" spans="326:326">
      <c r="LN18673" t="str">
        <v/>
      </c>
    </row>
    <row r="18674" spans="326:326">
      <c r="LN18674" t="str">
        <v/>
      </c>
    </row>
    <row r="18675" spans="326:326">
      <c r="LN18675" t="str">
        <v/>
      </c>
    </row>
    <row r="18676" spans="326:326">
      <c r="LN18676" t="str">
        <v/>
      </c>
    </row>
    <row r="18677" spans="326:326">
      <c r="LN18677" t="str">
        <v/>
      </c>
    </row>
    <row r="18678" spans="326:326">
      <c r="LN18678" t="str">
        <v/>
      </c>
    </row>
    <row r="18679" spans="326:326">
      <c r="LN18679" t="str">
        <v/>
      </c>
    </row>
    <row r="18680" spans="326:326">
      <c r="LN18680" t="str">
        <v/>
      </c>
    </row>
    <row r="18681" spans="326:326">
      <c r="LN18681" t="str">
        <v/>
      </c>
    </row>
    <row r="18682" spans="326:326">
      <c r="LN18682" t="str">
        <v/>
      </c>
    </row>
    <row r="18683" spans="326:326">
      <c r="LN18683" t="str">
        <v/>
      </c>
    </row>
    <row r="18684" spans="326:326">
      <c r="LN18684" t="str">
        <v/>
      </c>
    </row>
    <row r="18685" spans="326:326">
      <c r="LN18685" t="str">
        <v/>
      </c>
    </row>
    <row r="18686" spans="326:326">
      <c r="LN18686" t="str">
        <v/>
      </c>
    </row>
    <row r="18687" spans="326:326">
      <c r="LN18687" t="str">
        <v/>
      </c>
    </row>
    <row r="18688" spans="326:326">
      <c r="LN18688" t="str">
        <v/>
      </c>
    </row>
    <row r="18689" spans="326:326">
      <c r="LN18689" t="str">
        <v/>
      </c>
    </row>
    <row r="18690" spans="326:326">
      <c r="LN18690" t="str">
        <v/>
      </c>
    </row>
    <row r="18691" spans="326:326">
      <c r="LN18691" t="str">
        <v/>
      </c>
    </row>
    <row r="18692" spans="326:326">
      <c r="LN18692" t="str">
        <v/>
      </c>
    </row>
    <row r="18693" spans="326:326">
      <c r="LN18693" t="str">
        <v/>
      </c>
    </row>
    <row r="18694" spans="326:326">
      <c r="LN18694" t="str">
        <v/>
      </c>
    </row>
    <row r="18695" spans="326:326">
      <c r="LN18695" t="str">
        <v/>
      </c>
    </row>
    <row r="18696" spans="326:326">
      <c r="LN18696" t="str">
        <v/>
      </c>
    </row>
    <row r="18697" spans="326:326">
      <c r="LN18697" t="str">
        <v/>
      </c>
    </row>
    <row r="18698" spans="326:326">
      <c r="LN18698" t="str">
        <v/>
      </c>
    </row>
    <row r="18699" spans="326:326">
      <c r="LN18699" t="str">
        <v/>
      </c>
    </row>
    <row r="18700" spans="326:326">
      <c r="LN18700" t="str">
        <v/>
      </c>
    </row>
    <row r="18701" spans="326:326">
      <c r="LN18701" t="str">
        <v/>
      </c>
    </row>
    <row r="18702" spans="326:326">
      <c r="LN18702" t="str">
        <v/>
      </c>
    </row>
    <row r="18703" spans="326:326">
      <c r="LN18703" t="str">
        <v/>
      </c>
    </row>
    <row r="18704" spans="326:326">
      <c r="LN18704" t="str">
        <v/>
      </c>
    </row>
    <row r="18705" spans="326:326">
      <c r="LN18705" t="str">
        <v/>
      </c>
    </row>
    <row r="18706" spans="326:326">
      <c r="LN18706" t="str">
        <v/>
      </c>
    </row>
    <row r="18707" spans="326:326">
      <c r="LN18707" t="str">
        <v/>
      </c>
    </row>
    <row r="18708" spans="326:326">
      <c r="LN18708" t="str">
        <v/>
      </c>
    </row>
    <row r="18709" spans="326:326">
      <c r="LN18709" t="str">
        <v/>
      </c>
    </row>
    <row r="18710" spans="326:326">
      <c r="LN18710" t="str">
        <v/>
      </c>
    </row>
    <row r="18711" spans="326:326">
      <c r="LN18711" t="str">
        <v/>
      </c>
    </row>
    <row r="18712" spans="326:326">
      <c r="LN18712" t="str">
        <v/>
      </c>
    </row>
    <row r="18713" spans="326:326">
      <c r="LN18713" t="str">
        <v/>
      </c>
    </row>
    <row r="18714" spans="326:326">
      <c r="LN18714" t="str">
        <v/>
      </c>
    </row>
    <row r="18715" spans="326:326">
      <c r="LN18715" t="str">
        <v/>
      </c>
    </row>
    <row r="18716" spans="326:326">
      <c r="LN18716" t="str">
        <v/>
      </c>
    </row>
    <row r="18717" spans="326:326">
      <c r="LN18717" t="str">
        <v/>
      </c>
    </row>
    <row r="18718" spans="326:326">
      <c r="LN18718" t="str">
        <v/>
      </c>
    </row>
    <row r="18719" spans="326:326">
      <c r="LN18719" t="str">
        <v/>
      </c>
    </row>
    <row r="18720" spans="326:326">
      <c r="LN18720" t="str">
        <v/>
      </c>
    </row>
    <row r="18721" spans="326:326">
      <c r="LN18721" t="str">
        <v/>
      </c>
    </row>
    <row r="18722" spans="326:326">
      <c r="LN18722" t="str">
        <v/>
      </c>
    </row>
    <row r="18723" spans="326:326">
      <c r="LN18723" t="str">
        <v/>
      </c>
    </row>
    <row r="18724" spans="326:326">
      <c r="LN18724" t="str">
        <v/>
      </c>
    </row>
    <row r="18725" spans="326:326">
      <c r="LN18725" t="str">
        <v/>
      </c>
    </row>
    <row r="18726" spans="326:326">
      <c r="LN18726" t="str">
        <v/>
      </c>
    </row>
    <row r="18727" spans="326:326">
      <c r="LN18727" t="str">
        <v/>
      </c>
    </row>
    <row r="18728" spans="326:326">
      <c r="LN18728" t="str">
        <v/>
      </c>
    </row>
    <row r="18729" spans="326:326">
      <c r="LN18729" t="str">
        <v/>
      </c>
    </row>
    <row r="18730" spans="326:326">
      <c r="LN18730" t="str">
        <v/>
      </c>
    </row>
    <row r="18731" spans="326:326">
      <c r="LN18731" t="str">
        <v/>
      </c>
    </row>
    <row r="18732" spans="326:326">
      <c r="LN18732" t="str">
        <v/>
      </c>
    </row>
    <row r="18733" spans="326:326">
      <c r="LN18733" t="str">
        <v/>
      </c>
    </row>
    <row r="18734" spans="326:326">
      <c r="LN18734" t="str">
        <v/>
      </c>
    </row>
    <row r="18735" spans="326:326">
      <c r="LN18735" t="str">
        <v/>
      </c>
    </row>
    <row r="18736" spans="326:326">
      <c r="LN18736" t="str">
        <v/>
      </c>
    </row>
    <row r="18737" spans="326:326">
      <c r="LN18737" t="str">
        <v/>
      </c>
    </row>
    <row r="18738" spans="326:326">
      <c r="LN18738" t="str">
        <v/>
      </c>
    </row>
    <row r="18739" spans="326:326">
      <c r="LN18739" t="str">
        <v/>
      </c>
    </row>
    <row r="18740" spans="326:326">
      <c r="LN18740" t="str">
        <v/>
      </c>
    </row>
    <row r="18741" spans="326:326">
      <c r="LN18741" t="str">
        <v/>
      </c>
    </row>
    <row r="18742" spans="326:326">
      <c r="LN18742" t="str">
        <v/>
      </c>
    </row>
    <row r="18743" spans="326:326">
      <c r="LN18743" t="str">
        <v/>
      </c>
    </row>
    <row r="18744" spans="326:326">
      <c r="LN18744" t="str">
        <v/>
      </c>
    </row>
    <row r="18745" spans="326:326">
      <c r="LN18745" t="str">
        <v/>
      </c>
    </row>
    <row r="18746" spans="326:326">
      <c r="LN18746" t="str">
        <v/>
      </c>
    </row>
    <row r="18747" spans="326:326">
      <c r="LN18747" t="str">
        <v/>
      </c>
    </row>
    <row r="18748" spans="326:326">
      <c r="LN18748" t="str">
        <v/>
      </c>
    </row>
    <row r="18749" spans="326:326">
      <c r="LN18749" t="str">
        <v/>
      </c>
    </row>
    <row r="18750" spans="326:326">
      <c r="LN18750" t="str">
        <v/>
      </c>
    </row>
    <row r="18751" spans="326:326">
      <c r="LN18751" t="str">
        <v/>
      </c>
    </row>
    <row r="18752" spans="326:326">
      <c r="LN18752" t="str">
        <v/>
      </c>
    </row>
    <row r="18753" spans="326:326">
      <c r="LN18753" t="str">
        <v/>
      </c>
    </row>
    <row r="18754" spans="326:326">
      <c r="LN18754" t="str">
        <v/>
      </c>
    </row>
    <row r="18755" spans="326:326">
      <c r="LN18755" t="str">
        <v/>
      </c>
    </row>
    <row r="18756" spans="326:326">
      <c r="LN18756" t="str">
        <v/>
      </c>
    </row>
    <row r="18757" spans="326:326">
      <c r="LN18757" t="str">
        <v/>
      </c>
    </row>
    <row r="18758" spans="326:326">
      <c r="LN18758" t="str">
        <v/>
      </c>
    </row>
    <row r="18759" spans="326:326">
      <c r="LN18759" t="str">
        <v/>
      </c>
    </row>
    <row r="18760" spans="326:326">
      <c r="LN18760" t="str">
        <v/>
      </c>
    </row>
    <row r="18761" spans="326:326">
      <c r="LN18761" t="str">
        <v/>
      </c>
    </row>
    <row r="18762" spans="326:326">
      <c r="LN18762" t="str">
        <v/>
      </c>
    </row>
    <row r="18763" spans="326:326">
      <c r="LN18763" t="str">
        <v/>
      </c>
    </row>
    <row r="18764" spans="326:326">
      <c r="LN18764" t="str">
        <v/>
      </c>
    </row>
    <row r="18765" spans="326:326">
      <c r="LN18765" t="str">
        <v/>
      </c>
    </row>
    <row r="18766" spans="326:326">
      <c r="LN18766" t="str">
        <v/>
      </c>
    </row>
    <row r="18767" spans="326:326">
      <c r="LN18767" t="str">
        <v/>
      </c>
    </row>
    <row r="18768" spans="326:326">
      <c r="LN18768" t="str">
        <v/>
      </c>
    </row>
    <row r="18769" spans="326:326">
      <c r="LN18769" t="str">
        <v/>
      </c>
    </row>
    <row r="18770" spans="326:326">
      <c r="LN18770" t="str">
        <v/>
      </c>
    </row>
    <row r="18771" spans="326:326">
      <c r="LN18771" t="str">
        <v/>
      </c>
    </row>
    <row r="18772" spans="326:326">
      <c r="LN18772" t="str">
        <v/>
      </c>
    </row>
    <row r="18773" spans="326:326">
      <c r="LN18773" t="str">
        <v/>
      </c>
    </row>
    <row r="18774" spans="326:326">
      <c r="LN18774" t="str">
        <v/>
      </c>
    </row>
    <row r="18775" spans="326:326">
      <c r="LN18775" t="str">
        <v/>
      </c>
    </row>
    <row r="18776" spans="326:326">
      <c r="LN18776" t="str">
        <v/>
      </c>
    </row>
    <row r="18777" spans="326:326">
      <c r="LN18777" t="str">
        <v/>
      </c>
    </row>
    <row r="18778" spans="326:326">
      <c r="LN18778" t="str">
        <v/>
      </c>
    </row>
    <row r="18779" spans="326:326">
      <c r="LN18779" t="str">
        <v/>
      </c>
    </row>
    <row r="18780" spans="326:326">
      <c r="LN18780" t="str">
        <v/>
      </c>
    </row>
    <row r="18781" spans="326:326">
      <c r="LN18781" t="str">
        <v/>
      </c>
    </row>
    <row r="18782" spans="326:326">
      <c r="LN18782" t="str">
        <v/>
      </c>
    </row>
    <row r="18783" spans="326:326">
      <c r="LN18783" t="str">
        <v/>
      </c>
    </row>
    <row r="18784" spans="326:326">
      <c r="LN18784" t="str">
        <v/>
      </c>
    </row>
    <row r="18785" spans="326:326">
      <c r="LN18785" t="str">
        <v/>
      </c>
    </row>
    <row r="18786" spans="326:326">
      <c r="LN18786" t="str">
        <v/>
      </c>
    </row>
    <row r="18787" spans="326:326">
      <c r="LN18787" t="str">
        <v/>
      </c>
    </row>
    <row r="18788" spans="326:326">
      <c r="LN18788" t="str">
        <v/>
      </c>
    </row>
    <row r="18789" spans="326:326">
      <c r="LN18789" t="str">
        <v/>
      </c>
    </row>
    <row r="18790" spans="326:326">
      <c r="LN18790" t="str">
        <v/>
      </c>
    </row>
    <row r="18791" spans="326:326">
      <c r="LN18791" t="str">
        <v/>
      </c>
    </row>
    <row r="18792" spans="326:326">
      <c r="LN18792" t="str">
        <v/>
      </c>
    </row>
    <row r="18793" spans="326:326">
      <c r="LN18793" t="str">
        <v/>
      </c>
    </row>
    <row r="18794" spans="326:326">
      <c r="LN18794" t="str">
        <v/>
      </c>
    </row>
    <row r="18795" spans="326:326">
      <c r="LN18795" t="str">
        <v/>
      </c>
    </row>
    <row r="18796" spans="326:326">
      <c r="LN18796" t="str">
        <v/>
      </c>
    </row>
    <row r="18797" spans="326:326">
      <c r="LN18797" t="str">
        <v/>
      </c>
    </row>
    <row r="18798" spans="326:326">
      <c r="LN18798" t="str">
        <v/>
      </c>
    </row>
    <row r="18799" spans="326:326">
      <c r="LN18799" t="str">
        <v/>
      </c>
    </row>
    <row r="18800" spans="326:326">
      <c r="LN18800" t="str">
        <v/>
      </c>
    </row>
    <row r="18801" spans="326:326">
      <c r="LN18801" t="str">
        <v/>
      </c>
    </row>
    <row r="18802" spans="326:326">
      <c r="LN18802" t="str">
        <v/>
      </c>
    </row>
    <row r="18803" spans="326:326">
      <c r="LN18803" t="str">
        <v/>
      </c>
    </row>
    <row r="18804" spans="326:326">
      <c r="LN18804" t="str">
        <v/>
      </c>
    </row>
    <row r="18805" spans="326:326">
      <c r="LN18805" t="str">
        <v/>
      </c>
    </row>
    <row r="18806" spans="326:326">
      <c r="LN18806" t="str">
        <v/>
      </c>
    </row>
    <row r="18807" spans="326:326">
      <c r="LN18807" t="str">
        <v/>
      </c>
    </row>
    <row r="18808" spans="326:326">
      <c r="LN18808" t="str">
        <v/>
      </c>
    </row>
    <row r="18809" spans="326:326">
      <c r="LN18809" t="str">
        <v/>
      </c>
    </row>
    <row r="18810" spans="326:326">
      <c r="LN18810" t="str">
        <v/>
      </c>
    </row>
    <row r="18811" spans="326:326">
      <c r="LN18811" t="str">
        <v/>
      </c>
    </row>
    <row r="18812" spans="326:326">
      <c r="LN18812" t="str">
        <v/>
      </c>
    </row>
    <row r="18813" spans="326:326">
      <c r="LN18813" t="str">
        <v/>
      </c>
    </row>
    <row r="18814" spans="326:326">
      <c r="LN18814" t="str">
        <v/>
      </c>
    </row>
    <row r="18815" spans="326:326">
      <c r="LN18815" t="str">
        <v/>
      </c>
    </row>
    <row r="18816" spans="326:326">
      <c r="LN18816" t="str">
        <v/>
      </c>
    </row>
    <row r="18817" spans="326:326">
      <c r="LN18817" t="str">
        <v/>
      </c>
    </row>
    <row r="18818" spans="326:326">
      <c r="LN18818" t="str">
        <v/>
      </c>
    </row>
    <row r="18819" spans="326:326">
      <c r="LN18819" t="str">
        <v/>
      </c>
    </row>
    <row r="18820" spans="326:326">
      <c r="LN18820" t="str">
        <v/>
      </c>
    </row>
    <row r="18821" spans="326:326">
      <c r="LN18821" t="str">
        <v/>
      </c>
    </row>
    <row r="18822" spans="326:326">
      <c r="LN18822" t="str">
        <v/>
      </c>
    </row>
    <row r="18823" spans="326:326">
      <c r="LN18823" t="str">
        <v/>
      </c>
    </row>
    <row r="18824" spans="326:326">
      <c r="LN18824" t="str">
        <v/>
      </c>
    </row>
    <row r="18825" spans="326:326">
      <c r="LN18825" t="str">
        <v/>
      </c>
    </row>
    <row r="18826" spans="326:326">
      <c r="LN18826" t="str">
        <v/>
      </c>
    </row>
    <row r="18827" spans="326:326">
      <c r="LN18827" t="str">
        <v/>
      </c>
    </row>
    <row r="18828" spans="326:326">
      <c r="LN18828" t="str">
        <v/>
      </c>
    </row>
    <row r="18829" spans="326:326">
      <c r="LN18829" t="str">
        <v/>
      </c>
    </row>
    <row r="18830" spans="326:326">
      <c r="LN18830" t="str">
        <v/>
      </c>
    </row>
    <row r="18831" spans="326:326">
      <c r="LN18831" t="str">
        <v/>
      </c>
    </row>
    <row r="18832" spans="326:326">
      <c r="LN18832" t="str">
        <v/>
      </c>
    </row>
    <row r="18833" spans="326:326">
      <c r="LN18833" t="str">
        <v/>
      </c>
    </row>
    <row r="18834" spans="326:326">
      <c r="LN18834" t="str">
        <v/>
      </c>
    </row>
    <row r="18835" spans="326:326">
      <c r="LN18835" t="str">
        <v/>
      </c>
    </row>
    <row r="18836" spans="326:326">
      <c r="LN18836" t="str">
        <v/>
      </c>
    </row>
    <row r="18837" spans="326:326">
      <c r="LN18837" t="str">
        <v/>
      </c>
    </row>
    <row r="18838" spans="326:326">
      <c r="LN18838" t="str">
        <v/>
      </c>
    </row>
    <row r="18839" spans="326:326">
      <c r="LN18839" t="str">
        <v/>
      </c>
    </row>
    <row r="18840" spans="326:326">
      <c r="LN18840" t="str">
        <v/>
      </c>
    </row>
    <row r="18841" spans="326:326">
      <c r="LN18841" t="str">
        <v/>
      </c>
    </row>
    <row r="18842" spans="326:326">
      <c r="LN18842" t="str">
        <v/>
      </c>
    </row>
    <row r="18843" spans="326:326">
      <c r="LN18843" t="str">
        <v/>
      </c>
    </row>
    <row r="18844" spans="326:326">
      <c r="LN18844" t="str">
        <v/>
      </c>
    </row>
    <row r="18845" spans="326:326">
      <c r="LN18845" t="str">
        <v/>
      </c>
    </row>
    <row r="18846" spans="326:326">
      <c r="LN18846" t="str">
        <v/>
      </c>
    </row>
    <row r="18847" spans="326:326">
      <c r="LN18847" t="str">
        <v/>
      </c>
    </row>
    <row r="18848" spans="326:326">
      <c r="LN18848" t="str">
        <v/>
      </c>
    </row>
    <row r="18849" spans="326:326">
      <c r="LN18849" t="str">
        <v/>
      </c>
    </row>
    <row r="18850" spans="326:326">
      <c r="LN18850" t="str">
        <v/>
      </c>
    </row>
    <row r="18851" spans="326:326">
      <c r="LN18851" t="str">
        <v/>
      </c>
    </row>
    <row r="18852" spans="326:326">
      <c r="LN18852" t="str">
        <v/>
      </c>
    </row>
    <row r="18853" spans="326:326">
      <c r="LN18853" t="str">
        <v/>
      </c>
    </row>
    <row r="18854" spans="326:326">
      <c r="LN18854" t="str">
        <v/>
      </c>
    </row>
    <row r="18855" spans="326:326">
      <c r="LN18855" t="str">
        <v/>
      </c>
    </row>
    <row r="18856" spans="326:326">
      <c r="LN18856" t="str">
        <v/>
      </c>
    </row>
    <row r="18857" spans="326:326">
      <c r="LN18857" t="str">
        <v/>
      </c>
    </row>
    <row r="18858" spans="326:326">
      <c r="LN18858" t="str">
        <v/>
      </c>
    </row>
    <row r="18859" spans="326:326">
      <c r="LN18859" t="str">
        <v/>
      </c>
    </row>
    <row r="18860" spans="326:326">
      <c r="LN18860" t="str">
        <v/>
      </c>
    </row>
    <row r="18861" spans="326:326">
      <c r="LN18861" t="str">
        <v/>
      </c>
    </row>
    <row r="18862" spans="326:326">
      <c r="LN18862" t="str">
        <v/>
      </c>
    </row>
    <row r="18863" spans="326:326">
      <c r="LN18863" t="str">
        <v/>
      </c>
    </row>
    <row r="18864" spans="326:326">
      <c r="LN18864" t="str">
        <v/>
      </c>
    </row>
    <row r="18865" spans="326:326">
      <c r="LN18865" t="str">
        <v/>
      </c>
    </row>
    <row r="18866" spans="326:326">
      <c r="LN18866" t="str">
        <v/>
      </c>
    </row>
    <row r="18867" spans="326:326">
      <c r="LN18867" t="str">
        <v/>
      </c>
    </row>
    <row r="18868" spans="326:326">
      <c r="LN18868" t="str">
        <v/>
      </c>
    </row>
    <row r="18869" spans="326:326">
      <c r="LN18869" t="str">
        <v/>
      </c>
    </row>
    <row r="18870" spans="326:326">
      <c r="LN18870" t="str">
        <v/>
      </c>
    </row>
    <row r="18871" spans="326:326">
      <c r="LN18871" t="str">
        <v/>
      </c>
    </row>
    <row r="18872" spans="326:326">
      <c r="LN18872" t="str">
        <v/>
      </c>
    </row>
    <row r="18873" spans="326:326">
      <c r="LN18873" t="str">
        <v/>
      </c>
    </row>
    <row r="18874" spans="326:326">
      <c r="LN18874" t="str">
        <v/>
      </c>
    </row>
    <row r="18875" spans="326:326">
      <c r="LN18875" t="str">
        <v/>
      </c>
    </row>
    <row r="18876" spans="326:326">
      <c r="LN18876" t="str">
        <v/>
      </c>
    </row>
    <row r="18877" spans="326:326">
      <c r="LN18877" t="str">
        <v/>
      </c>
    </row>
    <row r="18878" spans="326:326">
      <c r="LN18878" t="str">
        <v/>
      </c>
    </row>
    <row r="18879" spans="326:326">
      <c r="LN18879" t="str">
        <v/>
      </c>
    </row>
    <row r="18880" spans="326:326">
      <c r="LN18880" t="str">
        <v/>
      </c>
    </row>
    <row r="18881" spans="326:326">
      <c r="LN18881" t="str">
        <v/>
      </c>
    </row>
    <row r="18882" spans="326:326">
      <c r="LN18882" t="str">
        <v/>
      </c>
    </row>
    <row r="18883" spans="326:326">
      <c r="LN18883" t="str">
        <v/>
      </c>
    </row>
    <row r="18884" spans="326:326">
      <c r="LN18884" t="str">
        <v/>
      </c>
    </row>
    <row r="18885" spans="326:326">
      <c r="LN18885" t="str">
        <v/>
      </c>
    </row>
    <row r="18886" spans="326:326">
      <c r="LN18886" t="str">
        <v/>
      </c>
    </row>
    <row r="18887" spans="326:326">
      <c r="LN18887" t="str">
        <v/>
      </c>
    </row>
    <row r="18888" spans="326:326">
      <c r="LN18888" t="str">
        <v/>
      </c>
    </row>
    <row r="18889" spans="326:326">
      <c r="LN18889" t="str">
        <v/>
      </c>
    </row>
    <row r="18890" spans="326:326">
      <c r="LN18890" t="str">
        <v/>
      </c>
    </row>
    <row r="18891" spans="326:326">
      <c r="LN18891" t="str">
        <v/>
      </c>
    </row>
    <row r="18892" spans="326:326">
      <c r="LN18892" t="str">
        <v/>
      </c>
    </row>
    <row r="18893" spans="326:326">
      <c r="LN18893" t="str">
        <v/>
      </c>
    </row>
    <row r="18894" spans="326:326">
      <c r="LN18894" t="str">
        <v/>
      </c>
    </row>
    <row r="18895" spans="326:326">
      <c r="LN18895" t="str">
        <v/>
      </c>
    </row>
    <row r="18896" spans="326:326">
      <c r="LN18896" t="str">
        <v/>
      </c>
    </row>
    <row r="18897" spans="326:326">
      <c r="LN18897" t="str">
        <v/>
      </c>
    </row>
    <row r="18898" spans="326:326">
      <c r="LN18898" t="str">
        <v/>
      </c>
    </row>
    <row r="18899" spans="326:326">
      <c r="LN18899" t="str">
        <v/>
      </c>
    </row>
    <row r="18900" spans="326:326">
      <c r="LN18900" t="str">
        <v/>
      </c>
    </row>
    <row r="18901" spans="326:326">
      <c r="LN18901" t="str">
        <v/>
      </c>
    </row>
    <row r="18902" spans="326:326">
      <c r="LN18902" t="str">
        <v/>
      </c>
    </row>
    <row r="18903" spans="326:326">
      <c r="LN18903" t="str">
        <v/>
      </c>
    </row>
    <row r="18904" spans="326:326">
      <c r="LN18904" t="str">
        <v/>
      </c>
    </row>
    <row r="18905" spans="326:326">
      <c r="LN18905" t="str">
        <v/>
      </c>
    </row>
    <row r="18906" spans="326:326">
      <c r="LN18906" t="str">
        <v/>
      </c>
    </row>
    <row r="18907" spans="326:326">
      <c r="LN18907" t="str">
        <v/>
      </c>
    </row>
    <row r="18908" spans="326:326">
      <c r="LN18908" t="str">
        <v/>
      </c>
    </row>
    <row r="18909" spans="326:326">
      <c r="LN18909" t="str">
        <v/>
      </c>
    </row>
    <row r="18910" spans="326:326">
      <c r="LN18910" t="str">
        <v/>
      </c>
    </row>
    <row r="18911" spans="326:326">
      <c r="LN18911" t="str">
        <v/>
      </c>
    </row>
    <row r="18912" spans="326:326">
      <c r="LN18912" t="str">
        <v/>
      </c>
    </row>
    <row r="18913" spans="326:326">
      <c r="LN18913" t="str">
        <v/>
      </c>
    </row>
    <row r="18914" spans="326:326">
      <c r="LN18914" t="str">
        <v/>
      </c>
    </row>
    <row r="18915" spans="326:326">
      <c r="LN18915" t="str">
        <v/>
      </c>
    </row>
    <row r="18916" spans="326:326">
      <c r="LN18916" t="str">
        <v/>
      </c>
    </row>
    <row r="18917" spans="326:326">
      <c r="LN18917" t="str">
        <v/>
      </c>
    </row>
    <row r="18918" spans="326:326">
      <c r="LN18918" t="str">
        <v/>
      </c>
    </row>
    <row r="18919" spans="326:326">
      <c r="LN18919" t="str">
        <v/>
      </c>
    </row>
    <row r="18920" spans="326:326">
      <c r="LN18920" t="str">
        <v/>
      </c>
    </row>
    <row r="18921" spans="326:326">
      <c r="LN18921" t="str">
        <v/>
      </c>
    </row>
    <row r="18922" spans="326:326">
      <c r="LN18922" t="str">
        <v/>
      </c>
    </row>
    <row r="18923" spans="326:326">
      <c r="LN18923" t="str">
        <v/>
      </c>
    </row>
    <row r="18924" spans="326:326">
      <c r="LN18924" t="str">
        <v/>
      </c>
    </row>
    <row r="18925" spans="326:326">
      <c r="LN18925" t="str">
        <v/>
      </c>
    </row>
    <row r="18926" spans="326:326">
      <c r="LN18926" t="str">
        <v/>
      </c>
    </row>
    <row r="18927" spans="326:326">
      <c r="LN18927" t="str">
        <v/>
      </c>
    </row>
    <row r="18928" spans="326:326">
      <c r="LN18928" t="str">
        <v/>
      </c>
    </row>
    <row r="18929" spans="326:326">
      <c r="LN18929" t="str">
        <v/>
      </c>
    </row>
    <row r="18930" spans="326:326">
      <c r="LN18930" t="str">
        <v/>
      </c>
    </row>
    <row r="18931" spans="326:326">
      <c r="LN18931" t="str">
        <v/>
      </c>
    </row>
    <row r="18932" spans="326:326">
      <c r="LN18932" t="str">
        <v/>
      </c>
    </row>
    <row r="18933" spans="326:326">
      <c r="LN18933" t="str">
        <v/>
      </c>
    </row>
    <row r="18934" spans="326:326">
      <c r="LN18934" t="str">
        <v/>
      </c>
    </row>
    <row r="18935" spans="326:326">
      <c r="LN18935" t="str">
        <v/>
      </c>
    </row>
    <row r="18936" spans="326:326">
      <c r="LN18936" t="str">
        <v/>
      </c>
    </row>
    <row r="18937" spans="326:326">
      <c r="LN18937" t="str">
        <v/>
      </c>
    </row>
    <row r="18938" spans="326:326">
      <c r="LN18938" t="str">
        <v/>
      </c>
    </row>
    <row r="18939" spans="326:326">
      <c r="LN18939" t="str">
        <v/>
      </c>
    </row>
    <row r="18940" spans="326:326">
      <c r="LN18940" t="str">
        <v/>
      </c>
    </row>
    <row r="18941" spans="326:326">
      <c r="LN18941" t="str">
        <v/>
      </c>
    </row>
    <row r="18942" spans="326:326">
      <c r="LN18942" t="str">
        <v/>
      </c>
    </row>
    <row r="18943" spans="326:326">
      <c r="LN18943" t="str">
        <v/>
      </c>
    </row>
    <row r="18944" spans="326:326">
      <c r="LN18944" t="str">
        <v/>
      </c>
    </row>
    <row r="18945" spans="326:326">
      <c r="LN18945" t="str">
        <v/>
      </c>
    </row>
    <row r="18946" spans="326:326">
      <c r="LN18946" t="str">
        <v/>
      </c>
    </row>
    <row r="18947" spans="326:326">
      <c r="LN18947" t="str">
        <v/>
      </c>
    </row>
    <row r="18948" spans="326:326">
      <c r="LN18948" t="str">
        <v/>
      </c>
    </row>
    <row r="18949" spans="326:326">
      <c r="LN18949" t="str">
        <v/>
      </c>
    </row>
    <row r="18950" spans="326:326">
      <c r="LN18950" t="str">
        <v/>
      </c>
    </row>
    <row r="18951" spans="326:326">
      <c r="LN18951" t="str">
        <v/>
      </c>
    </row>
    <row r="18952" spans="326:326">
      <c r="LN18952" t="str">
        <v/>
      </c>
    </row>
    <row r="18953" spans="326:326">
      <c r="LN18953" t="str">
        <v/>
      </c>
    </row>
    <row r="18954" spans="326:326">
      <c r="LN18954" t="str">
        <v/>
      </c>
    </row>
    <row r="18955" spans="326:326">
      <c r="LN18955" t="str">
        <v/>
      </c>
    </row>
    <row r="18956" spans="326:326">
      <c r="LN18956" t="str">
        <v/>
      </c>
    </row>
    <row r="18957" spans="326:326">
      <c r="LN18957" t="str">
        <v/>
      </c>
    </row>
    <row r="18958" spans="326:326">
      <c r="LN18958" t="str">
        <v/>
      </c>
    </row>
    <row r="18959" spans="326:326">
      <c r="LN18959" t="str">
        <v/>
      </c>
    </row>
    <row r="18960" spans="326:326">
      <c r="LN18960" t="str">
        <v/>
      </c>
    </row>
    <row r="18961" spans="326:326">
      <c r="LN18961" t="str">
        <v/>
      </c>
    </row>
    <row r="18962" spans="326:326">
      <c r="LN18962" t="str">
        <v/>
      </c>
    </row>
    <row r="18963" spans="326:326">
      <c r="LN18963" t="str">
        <v/>
      </c>
    </row>
    <row r="18964" spans="326:326">
      <c r="LN18964" t="str">
        <v/>
      </c>
    </row>
    <row r="18965" spans="326:326">
      <c r="LN18965" t="str">
        <v/>
      </c>
    </row>
    <row r="18966" spans="326:326">
      <c r="LN18966" t="str">
        <v/>
      </c>
    </row>
    <row r="18967" spans="326:326">
      <c r="LN18967" t="str">
        <v/>
      </c>
    </row>
    <row r="18968" spans="326:326">
      <c r="LN18968" t="str">
        <v/>
      </c>
    </row>
    <row r="18969" spans="326:326">
      <c r="LN18969" t="str">
        <v/>
      </c>
    </row>
    <row r="18970" spans="326:326">
      <c r="LN18970" t="str">
        <v/>
      </c>
    </row>
    <row r="18971" spans="326:326">
      <c r="LN18971" t="str">
        <v/>
      </c>
    </row>
    <row r="18972" spans="326:326">
      <c r="LN18972" t="str">
        <v/>
      </c>
    </row>
    <row r="18973" spans="326:326">
      <c r="LN18973" t="str">
        <v/>
      </c>
    </row>
    <row r="18974" spans="326:326">
      <c r="LN18974" t="str">
        <v/>
      </c>
    </row>
    <row r="18975" spans="326:326">
      <c r="LN18975" t="str">
        <v/>
      </c>
    </row>
    <row r="18976" spans="326:326">
      <c r="LN18976" t="str">
        <v/>
      </c>
    </row>
    <row r="18977" spans="326:326">
      <c r="LN18977" t="str">
        <v/>
      </c>
    </row>
    <row r="18978" spans="326:326">
      <c r="LN18978" t="str">
        <v/>
      </c>
    </row>
    <row r="18979" spans="326:326">
      <c r="LN18979" t="str">
        <v/>
      </c>
    </row>
    <row r="18980" spans="326:326">
      <c r="LN18980" t="str">
        <v/>
      </c>
    </row>
    <row r="18981" spans="326:326">
      <c r="LN18981" t="str">
        <v/>
      </c>
    </row>
    <row r="18982" spans="326:326">
      <c r="LN18982" t="str">
        <v/>
      </c>
    </row>
    <row r="18983" spans="326:326">
      <c r="LN18983" t="str">
        <v/>
      </c>
    </row>
    <row r="18984" spans="326:326">
      <c r="LN18984" t="str">
        <v/>
      </c>
    </row>
    <row r="18985" spans="326:326">
      <c r="LN18985" t="str">
        <v/>
      </c>
    </row>
    <row r="18986" spans="326:326">
      <c r="LN18986" t="str">
        <v/>
      </c>
    </row>
    <row r="18987" spans="326:326">
      <c r="LN18987" t="str">
        <v/>
      </c>
    </row>
    <row r="18988" spans="326:326">
      <c r="LN18988" t="str">
        <v/>
      </c>
    </row>
    <row r="18989" spans="326:326">
      <c r="LN18989" t="str">
        <v/>
      </c>
    </row>
    <row r="18990" spans="326:326">
      <c r="LN18990" t="str">
        <v/>
      </c>
    </row>
    <row r="18991" spans="326:326">
      <c r="LN18991" t="str">
        <v/>
      </c>
    </row>
    <row r="18992" spans="326:326">
      <c r="LN18992" t="str">
        <v/>
      </c>
    </row>
    <row r="18993" spans="326:326">
      <c r="LN18993" t="str">
        <v/>
      </c>
    </row>
    <row r="18994" spans="326:326">
      <c r="LN18994" t="str">
        <v/>
      </c>
    </row>
    <row r="18995" spans="326:326">
      <c r="LN18995" t="str">
        <v/>
      </c>
    </row>
    <row r="18996" spans="326:326">
      <c r="LN18996" t="str">
        <v/>
      </c>
    </row>
    <row r="18997" spans="326:326">
      <c r="LN18997" t="str">
        <v/>
      </c>
    </row>
    <row r="18998" spans="326:326">
      <c r="LN18998" t="str">
        <v/>
      </c>
    </row>
    <row r="18999" spans="326:326">
      <c r="LN18999" t="str">
        <v/>
      </c>
    </row>
    <row r="19000" spans="326:326">
      <c r="LN19000" t="str">
        <v/>
      </c>
    </row>
    <row r="19001" spans="326:326">
      <c r="LN19001" t="str">
        <v/>
      </c>
    </row>
    <row r="19002" spans="326:326">
      <c r="LN19002" t="str">
        <v/>
      </c>
    </row>
    <row r="19003" spans="326:326">
      <c r="LN19003" t="str">
        <v/>
      </c>
    </row>
    <row r="19004" spans="326:326">
      <c r="LN19004" t="str">
        <v/>
      </c>
    </row>
    <row r="19005" spans="326:326">
      <c r="LN19005" t="str">
        <v/>
      </c>
    </row>
    <row r="19006" spans="326:326">
      <c r="LN19006" t="str">
        <v/>
      </c>
    </row>
    <row r="19007" spans="326:326">
      <c r="LN19007" t="str">
        <v/>
      </c>
    </row>
    <row r="19008" spans="326:326">
      <c r="LN19008" t="str">
        <v/>
      </c>
    </row>
    <row r="19009" spans="326:326">
      <c r="LN19009" t="str">
        <v/>
      </c>
    </row>
    <row r="19010" spans="326:326">
      <c r="LN19010" t="str">
        <v/>
      </c>
    </row>
    <row r="19011" spans="326:326">
      <c r="LN19011" t="str">
        <v/>
      </c>
    </row>
    <row r="19012" spans="326:326">
      <c r="LN19012" t="str">
        <v/>
      </c>
    </row>
    <row r="19013" spans="326:326">
      <c r="LN19013" t="str">
        <v/>
      </c>
    </row>
    <row r="19014" spans="326:326">
      <c r="LN19014" t="str">
        <v/>
      </c>
    </row>
    <row r="19015" spans="326:326">
      <c r="LN19015" t="str">
        <v/>
      </c>
    </row>
    <row r="19016" spans="326:326">
      <c r="LN19016" t="str">
        <v/>
      </c>
    </row>
    <row r="19017" spans="326:326">
      <c r="LN19017" t="str">
        <v/>
      </c>
    </row>
    <row r="19018" spans="326:326">
      <c r="LN19018" t="str">
        <v/>
      </c>
    </row>
    <row r="19019" spans="326:326">
      <c r="LN19019" t="str">
        <v/>
      </c>
    </row>
    <row r="19020" spans="326:326">
      <c r="LN19020" t="str">
        <v/>
      </c>
    </row>
    <row r="19021" spans="326:326">
      <c r="LN19021" t="str">
        <v/>
      </c>
    </row>
    <row r="19022" spans="326:326">
      <c r="LN19022" t="str">
        <v/>
      </c>
    </row>
    <row r="19023" spans="326:326">
      <c r="LN19023" t="str">
        <v/>
      </c>
    </row>
    <row r="19024" spans="326:326">
      <c r="LN19024" t="str">
        <v/>
      </c>
    </row>
    <row r="19025" spans="326:326">
      <c r="LN19025" t="str">
        <v/>
      </c>
    </row>
    <row r="19026" spans="326:326">
      <c r="LN19026" t="str">
        <v/>
      </c>
    </row>
    <row r="19027" spans="326:326">
      <c r="LN19027" t="str">
        <v/>
      </c>
    </row>
    <row r="19028" spans="326:326">
      <c r="LN19028" t="str">
        <v/>
      </c>
    </row>
    <row r="19029" spans="326:326">
      <c r="LN19029" t="str">
        <v/>
      </c>
    </row>
    <row r="19030" spans="326:326">
      <c r="LN19030" t="str">
        <v/>
      </c>
    </row>
    <row r="19031" spans="326:326">
      <c r="LN19031" t="str">
        <v/>
      </c>
    </row>
    <row r="19032" spans="326:326">
      <c r="LN19032" t="str">
        <v/>
      </c>
    </row>
    <row r="19033" spans="326:326">
      <c r="LN19033" t="str">
        <v/>
      </c>
    </row>
    <row r="19034" spans="326:326">
      <c r="LN19034" t="str">
        <v/>
      </c>
    </row>
    <row r="19035" spans="326:326">
      <c r="LN19035" t="str">
        <v/>
      </c>
    </row>
    <row r="19036" spans="326:326">
      <c r="LN19036" t="str">
        <v/>
      </c>
    </row>
    <row r="19037" spans="326:326">
      <c r="LN19037" t="str">
        <v/>
      </c>
    </row>
    <row r="19038" spans="326:326">
      <c r="LN19038" t="str">
        <v/>
      </c>
    </row>
    <row r="19039" spans="326:326">
      <c r="LN19039" t="str">
        <v/>
      </c>
    </row>
    <row r="19040" spans="326:326">
      <c r="LN19040" t="str">
        <v/>
      </c>
    </row>
    <row r="19041" spans="326:326">
      <c r="LN19041" t="str">
        <v/>
      </c>
    </row>
    <row r="19042" spans="326:326">
      <c r="LN19042" t="str">
        <v/>
      </c>
    </row>
    <row r="19043" spans="326:326">
      <c r="LN19043" t="str">
        <v/>
      </c>
    </row>
    <row r="19044" spans="326:326">
      <c r="LN19044" t="str">
        <v/>
      </c>
    </row>
    <row r="19045" spans="326:326">
      <c r="LN19045" t="str">
        <v/>
      </c>
    </row>
    <row r="19046" spans="326:326">
      <c r="LN19046" t="str">
        <v/>
      </c>
    </row>
    <row r="19047" spans="326:326">
      <c r="LN19047" t="str">
        <v/>
      </c>
    </row>
    <row r="19048" spans="326:326">
      <c r="LN19048" t="str">
        <v/>
      </c>
    </row>
    <row r="19049" spans="326:326">
      <c r="LN19049" t="str">
        <v/>
      </c>
    </row>
    <row r="19050" spans="326:326">
      <c r="LN19050" t="str">
        <v/>
      </c>
    </row>
    <row r="19051" spans="326:326">
      <c r="LN19051" t="str">
        <v/>
      </c>
    </row>
    <row r="19052" spans="326:326">
      <c r="LN19052" t="str">
        <v/>
      </c>
    </row>
    <row r="19053" spans="326:326">
      <c r="LN19053" t="str">
        <v/>
      </c>
    </row>
    <row r="19054" spans="326:326">
      <c r="LN19054" t="str">
        <v/>
      </c>
    </row>
    <row r="19055" spans="326:326">
      <c r="LN19055" t="str">
        <v/>
      </c>
    </row>
    <row r="19056" spans="326:326">
      <c r="LN19056" t="str">
        <v/>
      </c>
    </row>
    <row r="19057" spans="326:326">
      <c r="LN19057" t="str">
        <v/>
      </c>
    </row>
    <row r="19058" spans="326:326">
      <c r="LN19058" t="str">
        <v/>
      </c>
    </row>
    <row r="19059" spans="326:326">
      <c r="LN19059" t="str">
        <v/>
      </c>
    </row>
    <row r="19060" spans="326:326">
      <c r="LN19060" t="str">
        <v/>
      </c>
    </row>
    <row r="19061" spans="326:326">
      <c r="LN19061" t="str">
        <v/>
      </c>
    </row>
    <row r="19062" spans="326:326">
      <c r="LN19062" t="str">
        <v/>
      </c>
    </row>
    <row r="19063" spans="326:326">
      <c r="LN19063" t="str">
        <v/>
      </c>
    </row>
    <row r="19064" spans="326:326">
      <c r="LN19064" t="str">
        <v/>
      </c>
    </row>
    <row r="19065" spans="326:326">
      <c r="LN19065" t="str">
        <v/>
      </c>
    </row>
    <row r="19066" spans="326:326">
      <c r="LN19066" t="str">
        <v/>
      </c>
    </row>
    <row r="19067" spans="326:326">
      <c r="LN19067" t="str">
        <v/>
      </c>
    </row>
    <row r="19068" spans="326:326">
      <c r="LN19068" t="str">
        <v/>
      </c>
    </row>
    <row r="19069" spans="326:326">
      <c r="LN19069" t="str">
        <v/>
      </c>
    </row>
    <row r="19070" spans="326:326">
      <c r="LN19070" t="str">
        <v/>
      </c>
    </row>
    <row r="19071" spans="326:326">
      <c r="LN19071" t="str">
        <v/>
      </c>
    </row>
    <row r="19072" spans="326:326">
      <c r="LN19072" t="str">
        <v/>
      </c>
    </row>
    <row r="19073" spans="326:326">
      <c r="LN19073" t="str">
        <v/>
      </c>
    </row>
    <row r="19074" spans="326:326">
      <c r="LN19074" t="str">
        <v/>
      </c>
    </row>
    <row r="19075" spans="326:326">
      <c r="LN19075" t="str">
        <v/>
      </c>
    </row>
    <row r="19076" spans="326:326">
      <c r="LN19076" t="str">
        <v/>
      </c>
    </row>
    <row r="19077" spans="326:326">
      <c r="LN19077" t="str">
        <v/>
      </c>
    </row>
    <row r="19078" spans="326:326">
      <c r="LN19078" t="str">
        <v/>
      </c>
    </row>
    <row r="19079" spans="326:326">
      <c r="LN19079" t="str">
        <v/>
      </c>
    </row>
    <row r="19080" spans="326:326">
      <c r="LN19080" t="str">
        <v/>
      </c>
    </row>
    <row r="19081" spans="326:326">
      <c r="LN19081" t="str">
        <v/>
      </c>
    </row>
    <row r="19082" spans="326:326">
      <c r="LN19082" t="str">
        <v/>
      </c>
    </row>
    <row r="19083" spans="326:326">
      <c r="LN19083" t="str">
        <v/>
      </c>
    </row>
    <row r="19084" spans="326:326">
      <c r="LN19084" t="str">
        <v/>
      </c>
    </row>
    <row r="19085" spans="326:326">
      <c r="LN19085" t="str">
        <v/>
      </c>
    </row>
    <row r="19086" spans="326:326">
      <c r="LN19086" t="str">
        <v/>
      </c>
    </row>
    <row r="19087" spans="326:326">
      <c r="LN19087" t="str">
        <v/>
      </c>
    </row>
    <row r="19088" spans="326:326">
      <c r="LN19088" t="str">
        <v/>
      </c>
    </row>
    <row r="19089" spans="326:326">
      <c r="LN19089" t="str">
        <v/>
      </c>
    </row>
    <row r="19090" spans="326:326">
      <c r="LN19090" t="str">
        <v/>
      </c>
    </row>
    <row r="19091" spans="326:326">
      <c r="LN19091" t="str">
        <v/>
      </c>
    </row>
    <row r="19092" spans="326:326">
      <c r="LN19092" t="str">
        <v/>
      </c>
    </row>
    <row r="19093" spans="326:326">
      <c r="LN19093" t="str">
        <v/>
      </c>
    </row>
    <row r="19094" spans="326:326">
      <c r="LN19094" t="str">
        <v/>
      </c>
    </row>
    <row r="19095" spans="326:326">
      <c r="LN19095" t="str">
        <v/>
      </c>
    </row>
    <row r="19096" spans="326:326">
      <c r="LN19096" t="str">
        <v/>
      </c>
    </row>
    <row r="19097" spans="326:326">
      <c r="LN19097" t="str">
        <v/>
      </c>
    </row>
    <row r="19098" spans="326:326">
      <c r="LN19098" t="str">
        <v/>
      </c>
    </row>
    <row r="19099" spans="326:326">
      <c r="LN19099" t="str">
        <v/>
      </c>
    </row>
    <row r="19100" spans="326:326">
      <c r="LN19100" t="str">
        <v/>
      </c>
    </row>
    <row r="19101" spans="326:326">
      <c r="LN19101" t="str">
        <v/>
      </c>
    </row>
    <row r="19102" spans="326:326">
      <c r="LN19102" t="str">
        <v/>
      </c>
    </row>
    <row r="19103" spans="326:326">
      <c r="LN19103" t="str">
        <v/>
      </c>
    </row>
    <row r="19104" spans="326:326">
      <c r="LN19104" t="str">
        <v/>
      </c>
    </row>
    <row r="19105" spans="326:326">
      <c r="LN19105" t="str">
        <v/>
      </c>
    </row>
    <row r="19106" spans="326:326">
      <c r="LN19106" t="str">
        <v/>
      </c>
    </row>
    <row r="19107" spans="326:326">
      <c r="LN19107" t="str">
        <v/>
      </c>
    </row>
    <row r="19108" spans="326:326">
      <c r="LN19108" t="str">
        <v/>
      </c>
    </row>
    <row r="19109" spans="326:326">
      <c r="LN19109" t="str">
        <v/>
      </c>
    </row>
    <row r="19110" spans="326:326">
      <c r="LN19110" t="str">
        <v/>
      </c>
    </row>
    <row r="19111" spans="326:326">
      <c r="LN19111" t="str">
        <v/>
      </c>
    </row>
    <row r="19112" spans="326:326">
      <c r="LN19112" t="str">
        <v/>
      </c>
    </row>
    <row r="19113" spans="326:326">
      <c r="LN19113" t="str">
        <v/>
      </c>
    </row>
    <row r="19114" spans="326:326">
      <c r="LN19114" t="str">
        <v/>
      </c>
    </row>
    <row r="19115" spans="326:326">
      <c r="LN19115" t="str">
        <v/>
      </c>
    </row>
    <row r="19116" spans="326:326">
      <c r="LN19116" t="str">
        <v/>
      </c>
    </row>
    <row r="19117" spans="326:326">
      <c r="LN19117" t="str">
        <v/>
      </c>
    </row>
    <row r="19118" spans="326:326">
      <c r="LN19118" t="str">
        <v/>
      </c>
    </row>
    <row r="19119" spans="326:326">
      <c r="LN19119" t="str">
        <v/>
      </c>
    </row>
    <row r="19120" spans="326:326">
      <c r="LN19120" t="str">
        <v/>
      </c>
    </row>
    <row r="19121" spans="326:326">
      <c r="LN19121" t="str">
        <v/>
      </c>
    </row>
    <row r="19122" spans="326:326">
      <c r="LN19122" t="str">
        <v/>
      </c>
    </row>
    <row r="19123" spans="326:326">
      <c r="LN19123" t="str">
        <v/>
      </c>
    </row>
    <row r="19124" spans="326:326">
      <c r="LN19124" t="str">
        <v/>
      </c>
    </row>
    <row r="19125" spans="326:326">
      <c r="LN19125" t="str">
        <v/>
      </c>
    </row>
    <row r="19126" spans="326:326">
      <c r="LN19126" t="str">
        <v/>
      </c>
    </row>
    <row r="19127" spans="326:326">
      <c r="LN19127" t="str">
        <v/>
      </c>
    </row>
    <row r="19128" spans="326:326">
      <c r="LN19128" t="str">
        <v/>
      </c>
    </row>
    <row r="19129" spans="326:326">
      <c r="LN19129" t="str">
        <v/>
      </c>
    </row>
    <row r="19130" spans="326:326">
      <c r="LN19130" t="str">
        <v/>
      </c>
    </row>
    <row r="19131" spans="326:326">
      <c r="LN19131" t="str">
        <v/>
      </c>
    </row>
    <row r="19132" spans="326:326">
      <c r="LN19132" t="str">
        <v/>
      </c>
    </row>
    <row r="19133" spans="326:326">
      <c r="LN19133" t="str">
        <v/>
      </c>
    </row>
    <row r="19134" spans="326:326">
      <c r="LN19134" t="str">
        <v/>
      </c>
    </row>
    <row r="19135" spans="326:326">
      <c r="LN19135" t="str">
        <v/>
      </c>
    </row>
    <row r="19136" spans="326:326">
      <c r="LN19136" t="str">
        <v/>
      </c>
    </row>
    <row r="19137" spans="326:326">
      <c r="LN19137" t="str">
        <v/>
      </c>
    </row>
    <row r="19138" spans="326:326">
      <c r="LN19138" t="str">
        <v/>
      </c>
    </row>
    <row r="19139" spans="326:326">
      <c r="LN19139" t="str">
        <v/>
      </c>
    </row>
    <row r="19140" spans="326:326">
      <c r="LN19140" t="str">
        <v/>
      </c>
    </row>
    <row r="19141" spans="326:326">
      <c r="LN19141" t="str">
        <v/>
      </c>
    </row>
    <row r="19142" spans="326:326">
      <c r="LN19142" t="str">
        <v/>
      </c>
    </row>
    <row r="19143" spans="326:326">
      <c r="LN19143" t="str">
        <v/>
      </c>
    </row>
    <row r="19144" spans="326:326">
      <c r="LN19144" t="str">
        <v/>
      </c>
    </row>
    <row r="19145" spans="326:326">
      <c r="LN19145" t="str">
        <v/>
      </c>
    </row>
    <row r="19146" spans="326:326">
      <c r="LN19146" t="str">
        <v/>
      </c>
    </row>
    <row r="19147" spans="326:326">
      <c r="LN19147" t="str">
        <v/>
      </c>
    </row>
    <row r="19148" spans="326:326">
      <c r="LN19148" t="str">
        <v/>
      </c>
    </row>
    <row r="19149" spans="326:326">
      <c r="LN19149" t="str">
        <v/>
      </c>
    </row>
    <row r="19150" spans="326:326">
      <c r="LN19150" t="str">
        <v/>
      </c>
    </row>
    <row r="19151" spans="326:326">
      <c r="LN19151" t="str">
        <v/>
      </c>
    </row>
    <row r="19152" spans="326:326">
      <c r="LN19152" t="str">
        <v/>
      </c>
    </row>
    <row r="19153" spans="326:326">
      <c r="LN19153" t="str">
        <v/>
      </c>
    </row>
    <row r="19154" spans="326:326">
      <c r="LN19154" t="str">
        <v/>
      </c>
    </row>
    <row r="19155" spans="326:326">
      <c r="LN19155" t="str">
        <v/>
      </c>
    </row>
    <row r="19156" spans="326:326">
      <c r="LN19156" t="str">
        <v/>
      </c>
    </row>
    <row r="19157" spans="326:326">
      <c r="LN19157" t="str">
        <v/>
      </c>
    </row>
    <row r="19158" spans="326:326">
      <c r="LN19158" t="str">
        <v/>
      </c>
    </row>
    <row r="19159" spans="326:326">
      <c r="LN19159" t="str">
        <v/>
      </c>
    </row>
    <row r="19160" spans="326:326">
      <c r="LN19160" t="str">
        <v/>
      </c>
    </row>
    <row r="19161" spans="326:326">
      <c r="LN19161" t="str">
        <v/>
      </c>
    </row>
    <row r="19162" spans="326:326">
      <c r="LN19162" t="str">
        <v/>
      </c>
    </row>
    <row r="19163" spans="326:326">
      <c r="LN19163" t="str">
        <v/>
      </c>
    </row>
    <row r="19164" spans="326:326">
      <c r="LN19164" t="str">
        <v/>
      </c>
    </row>
    <row r="19165" spans="326:326">
      <c r="LN19165" t="str">
        <v/>
      </c>
    </row>
    <row r="19166" spans="326:326">
      <c r="LN19166" t="str">
        <v/>
      </c>
    </row>
    <row r="19167" spans="326:326">
      <c r="LN19167" t="str">
        <v/>
      </c>
    </row>
    <row r="19168" spans="326:326">
      <c r="LN19168" t="str">
        <v/>
      </c>
    </row>
    <row r="19169" spans="326:326">
      <c r="LN19169" t="str">
        <v/>
      </c>
    </row>
    <row r="19170" spans="326:326">
      <c r="LN19170" t="str">
        <v/>
      </c>
    </row>
    <row r="19171" spans="326:326">
      <c r="LN19171" t="str">
        <v/>
      </c>
    </row>
    <row r="19172" spans="326:326">
      <c r="LN19172" t="str">
        <v/>
      </c>
    </row>
    <row r="19173" spans="326:326">
      <c r="LN19173" t="str">
        <v/>
      </c>
    </row>
    <row r="19174" spans="326:326">
      <c r="LN19174" t="str">
        <v/>
      </c>
    </row>
    <row r="19175" spans="326:326">
      <c r="LN19175" t="str">
        <v/>
      </c>
    </row>
    <row r="19176" spans="326:326">
      <c r="LN19176" t="str">
        <v/>
      </c>
    </row>
    <row r="19177" spans="326:326">
      <c r="LN19177" t="str">
        <v/>
      </c>
    </row>
    <row r="19178" spans="326:326">
      <c r="LN19178" t="str">
        <v/>
      </c>
    </row>
    <row r="19179" spans="326:326">
      <c r="LN19179" t="str">
        <v/>
      </c>
    </row>
    <row r="19180" spans="326:326">
      <c r="LN19180" t="str">
        <v/>
      </c>
    </row>
    <row r="19181" spans="326:326">
      <c r="LN19181" t="str">
        <v/>
      </c>
    </row>
    <row r="19182" spans="326:326">
      <c r="LN19182" t="str">
        <v/>
      </c>
    </row>
    <row r="19183" spans="326:326">
      <c r="LN19183" t="str">
        <v/>
      </c>
    </row>
    <row r="19184" spans="326:326">
      <c r="LN19184" t="str">
        <v/>
      </c>
    </row>
    <row r="19185" spans="326:326">
      <c r="LN19185" t="str">
        <v/>
      </c>
    </row>
    <row r="19186" spans="326:326">
      <c r="LN19186" t="str">
        <v/>
      </c>
    </row>
    <row r="19187" spans="326:326">
      <c r="LN19187" t="str">
        <v/>
      </c>
    </row>
    <row r="19188" spans="326:326">
      <c r="LN19188" t="str">
        <v/>
      </c>
    </row>
    <row r="19189" spans="326:326">
      <c r="LN19189" t="str">
        <v/>
      </c>
    </row>
    <row r="19190" spans="326:326">
      <c r="LN19190" t="str">
        <v/>
      </c>
    </row>
    <row r="19191" spans="326:326">
      <c r="LN19191" t="str">
        <v/>
      </c>
    </row>
    <row r="19192" spans="326:326">
      <c r="LN19192" t="str">
        <v/>
      </c>
    </row>
    <row r="19193" spans="326:326">
      <c r="LN19193" t="str">
        <v/>
      </c>
    </row>
    <row r="19194" spans="326:326">
      <c r="LN19194" t="str">
        <v/>
      </c>
    </row>
    <row r="19195" spans="326:326">
      <c r="LN19195" t="str">
        <v/>
      </c>
    </row>
    <row r="19196" spans="326:326">
      <c r="LN19196" t="str">
        <v/>
      </c>
    </row>
    <row r="19197" spans="326:326">
      <c r="LN19197" t="str">
        <v/>
      </c>
    </row>
    <row r="19198" spans="326:326">
      <c r="LN19198" t="str">
        <v/>
      </c>
    </row>
    <row r="19199" spans="326:326">
      <c r="LN19199" t="str">
        <v/>
      </c>
    </row>
    <row r="19200" spans="326:326">
      <c r="LN19200" t="str">
        <v/>
      </c>
    </row>
    <row r="19201" spans="326:326">
      <c r="LN19201" t="str">
        <v/>
      </c>
    </row>
    <row r="19202" spans="326:326">
      <c r="LN19202" t="str">
        <v/>
      </c>
    </row>
    <row r="19203" spans="326:326">
      <c r="LN19203" t="str">
        <v/>
      </c>
    </row>
    <row r="19204" spans="326:326">
      <c r="LN19204" t="str">
        <v/>
      </c>
    </row>
    <row r="19205" spans="326:326">
      <c r="LN19205" t="str">
        <v/>
      </c>
    </row>
    <row r="19206" spans="326:326">
      <c r="LN19206" t="str">
        <v/>
      </c>
    </row>
    <row r="19207" spans="326:326">
      <c r="LN19207" t="str">
        <v/>
      </c>
    </row>
    <row r="19208" spans="326:326">
      <c r="LN19208" t="str">
        <v/>
      </c>
    </row>
    <row r="19209" spans="326:326">
      <c r="LN19209" t="str">
        <v/>
      </c>
    </row>
    <row r="19210" spans="326:326">
      <c r="LN19210" t="str">
        <v/>
      </c>
    </row>
    <row r="19211" spans="326:326">
      <c r="LN19211" t="str">
        <v/>
      </c>
    </row>
    <row r="19212" spans="326:326">
      <c r="LN19212" t="str">
        <v/>
      </c>
    </row>
    <row r="19213" spans="326:326">
      <c r="LN19213" t="str">
        <v/>
      </c>
    </row>
    <row r="19214" spans="326:326">
      <c r="LN19214" t="str">
        <v/>
      </c>
    </row>
    <row r="19215" spans="326:326">
      <c r="LN19215" t="str">
        <v/>
      </c>
    </row>
    <row r="19216" spans="326:326">
      <c r="LN19216" t="str">
        <v/>
      </c>
    </row>
    <row r="19217" spans="326:326">
      <c r="LN19217" t="str">
        <v/>
      </c>
    </row>
    <row r="19218" spans="326:326">
      <c r="LN19218" t="str">
        <v/>
      </c>
    </row>
    <row r="19219" spans="326:326">
      <c r="LN19219" t="str">
        <v/>
      </c>
    </row>
    <row r="19220" spans="326:326">
      <c r="LN19220" t="str">
        <v/>
      </c>
    </row>
    <row r="19221" spans="326:326">
      <c r="LN19221" t="str">
        <v/>
      </c>
    </row>
    <row r="19222" spans="326:326">
      <c r="LN19222" t="str">
        <v/>
      </c>
    </row>
    <row r="19223" spans="326:326">
      <c r="LN19223" t="str">
        <v/>
      </c>
    </row>
    <row r="19224" spans="326:326">
      <c r="LN19224" t="str">
        <v/>
      </c>
    </row>
    <row r="19225" spans="326:326">
      <c r="LN19225" t="str">
        <v/>
      </c>
    </row>
    <row r="19226" spans="326:326">
      <c r="LN19226" t="str">
        <v/>
      </c>
    </row>
    <row r="19227" spans="326:326">
      <c r="LN19227" t="str">
        <v/>
      </c>
    </row>
    <row r="19228" spans="326:326">
      <c r="LN19228" t="str">
        <v/>
      </c>
    </row>
    <row r="19229" spans="326:326">
      <c r="LN19229" t="str">
        <v/>
      </c>
    </row>
    <row r="19230" spans="326:326">
      <c r="LN19230" t="str">
        <v/>
      </c>
    </row>
    <row r="19231" spans="326:326">
      <c r="LN19231" t="str">
        <v/>
      </c>
    </row>
    <row r="19232" spans="326:326">
      <c r="LN19232" t="str">
        <v/>
      </c>
    </row>
    <row r="19233" spans="326:326">
      <c r="LN19233" t="str">
        <v/>
      </c>
    </row>
    <row r="19234" spans="326:326">
      <c r="LN19234" t="str">
        <v/>
      </c>
    </row>
    <row r="19235" spans="326:326">
      <c r="LN19235" t="str">
        <v/>
      </c>
    </row>
    <row r="19236" spans="326:326">
      <c r="LN19236" t="str">
        <v/>
      </c>
    </row>
    <row r="19237" spans="326:326">
      <c r="LN19237" t="str">
        <v/>
      </c>
    </row>
    <row r="19238" spans="326:326">
      <c r="LN19238" t="str">
        <v/>
      </c>
    </row>
    <row r="19239" spans="326:326">
      <c r="LN19239" t="str">
        <v/>
      </c>
    </row>
    <row r="19240" spans="326:326">
      <c r="LN19240" t="str">
        <v/>
      </c>
    </row>
    <row r="19241" spans="326:326">
      <c r="LN19241" t="str">
        <v/>
      </c>
    </row>
    <row r="19242" spans="326:326">
      <c r="LN19242" t="str">
        <v/>
      </c>
    </row>
    <row r="19243" spans="326:326">
      <c r="LN19243" t="str">
        <v/>
      </c>
    </row>
    <row r="19244" spans="326:326">
      <c r="LN19244" t="str">
        <v/>
      </c>
    </row>
    <row r="19245" spans="326:326">
      <c r="LN19245" t="str">
        <v/>
      </c>
    </row>
    <row r="19246" spans="326:326">
      <c r="LN19246" t="str">
        <v/>
      </c>
    </row>
    <row r="19247" spans="326:326">
      <c r="LN19247" t="str">
        <v/>
      </c>
    </row>
    <row r="19248" spans="326:326">
      <c r="LN19248" t="str">
        <v/>
      </c>
    </row>
    <row r="19249" spans="326:326">
      <c r="LN19249" t="str">
        <v/>
      </c>
    </row>
    <row r="19250" spans="326:326">
      <c r="LN19250" t="str">
        <v/>
      </c>
    </row>
    <row r="19251" spans="326:326">
      <c r="LN19251" t="str">
        <v/>
      </c>
    </row>
    <row r="19252" spans="326:326">
      <c r="LN19252" t="str">
        <v/>
      </c>
    </row>
    <row r="19253" spans="326:326">
      <c r="LN19253" t="str">
        <v/>
      </c>
    </row>
    <row r="19254" spans="326:326">
      <c r="LN19254" t="str">
        <v/>
      </c>
    </row>
    <row r="19255" spans="326:326">
      <c r="LN19255" t="str">
        <v/>
      </c>
    </row>
    <row r="19256" spans="326:326">
      <c r="LN19256" t="str">
        <v/>
      </c>
    </row>
    <row r="19257" spans="326:326">
      <c r="LN19257" t="str">
        <v/>
      </c>
    </row>
    <row r="19258" spans="326:326">
      <c r="LN19258" t="str">
        <v/>
      </c>
    </row>
    <row r="19259" spans="326:326">
      <c r="LN19259" t="str">
        <v/>
      </c>
    </row>
    <row r="19260" spans="326:326">
      <c r="LN19260" t="str">
        <v/>
      </c>
    </row>
    <row r="19261" spans="326:326">
      <c r="LN19261" t="str">
        <v/>
      </c>
    </row>
    <row r="19262" spans="326:326">
      <c r="LN19262" t="str">
        <v/>
      </c>
    </row>
    <row r="19263" spans="326:326">
      <c r="LN19263" t="str">
        <v/>
      </c>
    </row>
    <row r="19264" spans="326:326">
      <c r="LN19264" t="str">
        <v/>
      </c>
    </row>
    <row r="19265" spans="326:326">
      <c r="LN19265" t="str">
        <v/>
      </c>
    </row>
    <row r="19266" spans="326:326">
      <c r="LN19266" t="str">
        <v/>
      </c>
    </row>
    <row r="19267" spans="326:326">
      <c r="LN19267" t="str">
        <v/>
      </c>
    </row>
    <row r="19268" spans="326:326">
      <c r="LN19268" t="str">
        <v/>
      </c>
    </row>
    <row r="19269" spans="326:326">
      <c r="LN19269" t="str">
        <v/>
      </c>
    </row>
    <row r="19270" spans="326:326">
      <c r="LN19270" t="str">
        <v/>
      </c>
    </row>
    <row r="19271" spans="326:326">
      <c r="LN19271" t="str">
        <v/>
      </c>
    </row>
    <row r="19272" spans="326:326">
      <c r="LN19272" t="str">
        <v/>
      </c>
    </row>
    <row r="19273" spans="326:326">
      <c r="LN19273" t="str">
        <v/>
      </c>
    </row>
    <row r="19274" spans="326:326">
      <c r="LN19274" t="str">
        <v/>
      </c>
    </row>
    <row r="19275" spans="326:326">
      <c r="LN19275" t="str">
        <v/>
      </c>
    </row>
    <row r="19276" spans="326:326">
      <c r="LN19276" t="str">
        <v/>
      </c>
    </row>
    <row r="19277" spans="326:326">
      <c r="LN19277" t="str">
        <v/>
      </c>
    </row>
    <row r="19278" spans="326:326">
      <c r="LN19278" t="str">
        <v/>
      </c>
    </row>
    <row r="19279" spans="326:326">
      <c r="LN19279" t="str">
        <v/>
      </c>
    </row>
    <row r="19280" spans="326:326">
      <c r="LN19280" t="str">
        <v/>
      </c>
    </row>
    <row r="19281" spans="326:326">
      <c r="LN19281" t="str">
        <v/>
      </c>
    </row>
    <row r="19282" spans="326:326">
      <c r="LN19282" t="str">
        <v/>
      </c>
    </row>
    <row r="19283" spans="326:326">
      <c r="LN19283" t="str">
        <v/>
      </c>
    </row>
    <row r="19284" spans="326:326">
      <c r="LN19284" t="str">
        <v/>
      </c>
    </row>
    <row r="19285" spans="326:326">
      <c r="LN19285" t="str">
        <v/>
      </c>
    </row>
    <row r="19286" spans="326:326">
      <c r="LN19286" t="str">
        <v/>
      </c>
    </row>
    <row r="19287" spans="326:326">
      <c r="LN19287" t="str">
        <v/>
      </c>
    </row>
    <row r="19288" spans="326:326">
      <c r="LN19288" t="str">
        <v/>
      </c>
    </row>
    <row r="19289" spans="326:326">
      <c r="LN19289" t="str">
        <v/>
      </c>
    </row>
    <row r="19290" spans="326:326">
      <c r="LN19290" t="str">
        <v/>
      </c>
    </row>
    <row r="19291" spans="326:326">
      <c r="LN19291" t="str">
        <v/>
      </c>
    </row>
    <row r="19292" spans="326:326">
      <c r="LN19292" t="str">
        <v/>
      </c>
    </row>
    <row r="19293" spans="326:326">
      <c r="LN19293" t="str">
        <v/>
      </c>
    </row>
    <row r="19294" spans="326:326">
      <c r="LN19294" t="str">
        <v/>
      </c>
    </row>
    <row r="19295" spans="326:326">
      <c r="LN19295" t="str">
        <v/>
      </c>
    </row>
    <row r="19296" spans="326:326">
      <c r="LN19296" t="str">
        <v/>
      </c>
    </row>
    <row r="19297" spans="326:326">
      <c r="LN19297" t="str">
        <v/>
      </c>
    </row>
    <row r="19298" spans="326:326">
      <c r="LN19298" t="str">
        <v/>
      </c>
    </row>
    <row r="19299" spans="326:326">
      <c r="LN19299" t="str">
        <v/>
      </c>
    </row>
    <row r="19300" spans="326:326">
      <c r="LN19300" t="str">
        <v/>
      </c>
    </row>
    <row r="19301" spans="326:326">
      <c r="LN19301" t="str">
        <v/>
      </c>
    </row>
    <row r="19302" spans="326:326">
      <c r="LN19302" t="str">
        <v/>
      </c>
    </row>
    <row r="19303" spans="326:326">
      <c r="LN19303" t="str">
        <v/>
      </c>
    </row>
    <row r="19304" spans="326:326">
      <c r="LN19304" t="str">
        <v/>
      </c>
    </row>
    <row r="19305" spans="326:326">
      <c r="LN19305" t="str">
        <v/>
      </c>
    </row>
    <row r="19306" spans="326:326">
      <c r="LN19306" t="str">
        <v/>
      </c>
    </row>
    <row r="19307" spans="326:326">
      <c r="LN19307" t="str">
        <v/>
      </c>
    </row>
    <row r="19308" spans="326:326">
      <c r="LN19308" t="str">
        <v/>
      </c>
    </row>
    <row r="19309" spans="326:326">
      <c r="LN19309" t="str">
        <v/>
      </c>
    </row>
    <row r="19310" spans="326:326">
      <c r="LN19310" t="str">
        <v/>
      </c>
    </row>
    <row r="19311" spans="326:326">
      <c r="LN19311" t="str">
        <v/>
      </c>
    </row>
    <row r="19312" spans="326:326">
      <c r="LN19312" t="str">
        <v/>
      </c>
    </row>
    <row r="19313" spans="326:326">
      <c r="LN19313" t="str">
        <v/>
      </c>
    </row>
    <row r="19314" spans="326:326">
      <c r="LN19314" t="str">
        <v/>
      </c>
    </row>
    <row r="19315" spans="326:326">
      <c r="LN19315" t="str">
        <v/>
      </c>
    </row>
    <row r="19316" spans="326:326">
      <c r="LN19316" t="str">
        <v/>
      </c>
    </row>
    <row r="19317" spans="326:326">
      <c r="LN19317" t="str">
        <v/>
      </c>
    </row>
    <row r="19318" spans="326:326">
      <c r="LN19318" t="str">
        <v/>
      </c>
    </row>
    <row r="19319" spans="326:326">
      <c r="LN19319" t="str">
        <v/>
      </c>
    </row>
    <row r="19320" spans="326:326">
      <c r="LN19320" t="str">
        <v/>
      </c>
    </row>
    <row r="19321" spans="326:326">
      <c r="LN19321" t="str">
        <v/>
      </c>
    </row>
    <row r="19322" spans="326:326">
      <c r="LN19322" t="str">
        <v/>
      </c>
    </row>
    <row r="19323" spans="326:326">
      <c r="LN19323" t="str">
        <v/>
      </c>
    </row>
    <row r="19324" spans="326:326">
      <c r="LN19324" t="str">
        <v/>
      </c>
    </row>
    <row r="19325" spans="326:326">
      <c r="LN19325" t="str">
        <v/>
      </c>
    </row>
    <row r="19326" spans="326:326">
      <c r="LN19326" t="str">
        <v/>
      </c>
    </row>
    <row r="19327" spans="326:326">
      <c r="LN19327" t="str">
        <v/>
      </c>
    </row>
    <row r="19328" spans="326:326">
      <c r="LN19328" t="str">
        <v/>
      </c>
    </row>
    <row r="19329" spans="326:326">
      <c r="LN19329" t="str">
        <v/>
      </c>
    </row>
    <row r="19330" spans="326:326">
      <c r="LN19330" t="str">
        <v/>
      </c>
    </row>
    <row r="19331" spans="326:326">
      <c r="LN19331" t="str">
        <v/>
      </c>
    </row>
    <row r="19332" spans="326:326">
      <c r="LN19332" t="str">
        <v/>
      </c>
    </row>
    <row r="19333" spans="326:326">
      <c r="LN19333" t="str">
        <v/>
      </c>
    </row>
    <row r="19334" spans="326:326">
      <c r="LN19334" t="str">
        <v/>
      </c>
    </row>
    <row r="19335" spans="326:326">
      <c r="LN19335" t="str">
        <v/>
      </c>
    </row>
    <row r="19336" spans="326:326">
      <c r="LN19336" t="str">
        <v/>
      </c>
    </row>
    <row r="19337" spans="326:326">
      <c r="LN19337" t="str">
        <v/>
      </c>
    </row>
    <row r="19338" spans="326:326">
      <c r="LN19338" t="str">
        <v/>
      </c>
    </row>
    <row r="19339" spans="326:326">
      <c r="LN19339" t="str">
        <v/>
      </c>
    </row>
    <row r="19340" spans="326:326">
      <c r="LN19340" t="str">
        <v/>
      </c>
    </row>
    <row r="19341" spans="326:326">
      <c r="LN19341" t="str">
        <v/>
      </c>
    </row>
    <row r="19342" spans="326:326">
      <c r="LN19342" t="str">
        <v/>
      </c>
    </row>
    <row r="19343" spans="326:326">
      <c r="LN19343" t="str">
        <v/>
      </c>
    </row>
    <row r="19344" spans="326:326">
      <c r="LN19344" t="str">
        <v/>
      </c>
    </row>
    <row r="19345" spans="326:326">
      <c r="LN19345" t="str">
        <v/>
      </c>
    </row>
    <row r="19346" spans="326:326">
      <c r="LN19346" t="str">
        <v/>
      </c>
    </row>
    <row r="19347" spans="326:326">
      <c r="LN19347" t="str">
        <v/>
      </c>
    </row>
    <row r="19348" spans="326:326">
      <c r="LN19348" t="str">
        <v/>
      </c>
    </row>
    <row r="19349" spans="326:326">
      <c r="LN19349" t="str">
        <v/>
      </c>
    </row>
    <row r="19350" spans="326:326">
      <c r="LN19350" t="str">
        <v/>
      </c>
    </row>
    <row r="19351" spans="326:326">
      <c r="LN19351" t="str">
        <v/>
      </c>
    </row>
    <row r="19352" spans="326:326">
      <c r="LN19352" t="str">
        <v/>
      </c>
    </row>
    <row r="19353" spans="326:326">
      <c r="LN19353" t="str">
        <v/>
      </c>
    </row>
    <row r="19354" spans="326:326">
      <c r="LN19354" t="str">
        <v/>
      </c>
    </row>
    <row r="19355" spans="326:326">
      <c r="LN19355" t="str">
        <v/>
      </c>
    </row>
    <row r="19356" spans="326:326">
      <c r="LN19356" t="str">
        <v/>
      </c>
    </row>
    <row r="19357" spans="326:326">
      <c r="LN19357" t="str">
        <v/>
      </c>
    </row>
    <row r="19358" spans="326:326">
      <c r="LN19358" t="str">
        <v/>
      </c>
    </row>
    <row r="19359" spans="326:326">
      <c r="LN19359" t="str">
        <v/>
      </c>
    </row>
    <row r="19360" spans="326:326">
      <c r="LN19360" t="str">
        <v/>
      </c>
    </row>
    <row r="19361" spans="326:326">
      <c r="LN19361" t="str">
        <v/>
      </c>
    </row>
    <row r="19362" spans="326:326">
      <c r="LN19362" t="str">
        <v/>
      </c>
    </row>
    <row r="19363" spans="326:326">
      <c r="LN19363" t="str">
        <v/>
      </c>
    </row>
    <row r="19364" spans="326:326">
      <c r="LN19364" t="str">
        <v/>
      </c>
    </row>
    <row r="19365" spans="326:326">
      <c r="LN19365" t="str">
        <v/>
      </c>
    </row>
    <row r="19366" spans="326:326">
      <c r="LN19366" t="str">
        <v/>
      </c>
    </row>
    <row r="19367" spans="326:326">
      <c r="LN19367" t="str">
        <v/>
      </c>
    </row>
    <row r="19368" spans="326:326">
      <c r="LN19368" t="str">
        <v/>
      </c>
    </row>
    <row r="19369" spans="326:326">
      <c r="LN19369" t="str">
        <v/>
      </c>
    </row>
    <row r="19370" spans="326:326">
      <c r="LN19370" t="str">
        <v/>
      </c>
    </row>
    <row r="19371" spans="326:326">
      <c r="LN19371" t="str">
        <v/>
      </c>
    </row>
    <row r="19372" spans="326:326">
      <c r="LN19372" t="str">
        <v/>
      </c>
    </row>
    <row r="19373" spans="326:326">
      <c r="LN19373" t="str">
        <v/>
      </c>
    </row>
    <row r="19374" spans="326:326">
      <c r="LN19374" t="str">
        <v/>
      </c>
    </row>
    <row r="19375" spans="326:326">
      <c r="LN19375" t="str">
        <v/>
      </c>
    </row>
    <row r="19376" spans="326:326">
      <c r="LN19376" t="str">
        <v/>
      </c>
    </row>
    <row r="19377" spans="326:326">
      <c r="LN19377" t="str">
        <v/>
      </c>
    </row>
    <row r="19378" spans="326:326">
      <c r="LN19378" t="str">
        <v/>
      </c>
    </row>
    <row r="19379" spans="326:326">
      <c r="LN19379" t="str">
        <v/>
      </c>
    </row>
    <row r="19380" spans="326:326">
      <c r="LN19380" t="str">
        <v/>
      </c>
    </row>
    <row r="19381" spans="326:326">
      <c r="LN19381" t="str">
        <v/>
      </c>
    </row>
    <row r="19382" spans="326:326">
      <c r="LN19382" t="str">
        <v/>
      </c>
    </row>
    <row r="19383" spans="326:326">
      <c r="LN19383" t="str">
        <v/>
      </c>
    </row>
    <row r="19384" spans="326:326">
      <c r="LN19384" t="str">
        <v/>
      </c>
    </row>
    <row r="19385" spans="326:326">
      <c r="LN19385" t="str">
        <v/>
      </c>
    </row>
    <row r="19386" spans="326:326">
      <c r="LN19386" t="str">
        <v/>
      </c>
    </row>
    <row r="19387" spans="326:326">
      <c r="LN19387" t="str">
        <v/>
      </c>
    </row>
    <row r="19388" spans="326:326">
      <c r="LN19388" t="str">
        <v/>
      </c>
    </row>
    <row r="19389" spans="326:326">
      <c r="LN19389" t="str">
        <v/>
      </c>
    </row>
    <row r="19390" spans="326:326">
      <c r="LN19390" t="str">
        <v/>
      </c>
    </row>
    <row r="19391" spans="326:326">
      <c r="LN19391" t="str">
        <v/>
      </c>
    </row>
    <row r="19392" spans="326:326">
      <c r="LN19392" t="str">
        <v/>
      </c>
    </row>
    <row r="19393" spans="326:326">
      <c r="LN19393" t="str">
        <v/>
      </c>
    </row>
    <row r="19394" spans="326:326">
      <c r="LN19394" t="str">
        <v/>
      </c>
    </row>
    <row r="19395" spans="326:326">
      <c r="LN19395" t="str">
        <v/>
      </c>
    </row>
    <row r="19396" spans="326:326">
      <c r="LN19396" t="str">
        <v/>
      </c>
    </row>
    <row r="19397" spans="326:326">
      <c r="LN19397" t="str">
        <v/>
      </c>
    </row>
    <row r="19398" spans="326:326">
      <c r="LN19398" t="str">
        <v/>
      </c>
    </row>
    <row r="19399" spans="326:326">
      <c r="LN19399" t="str">
        <v/>
      </c>
    </row>
    <row r="19400" spans="326:326">
      <c r="LN19400" t="str">
        <v/>
      </c>
    </row>
    <row r="19401" spans="326:326">
      <c r="LN19401" t="str">
        <v/>
      </c>
    </row>
    <row r="19402" spans="326:326">
      <c r="LN19402" t="str">
        <v/>
      </c>
    </row>
    <row r="19403" spans="326:326">
      <c r="LN19403" t="str">
        <v/>
      </c>
    </row>
    <row r="19404" spans="326:326">
      <c r="LN19404" t="str">
        <v/>
      </c>
    </row>
    <row r="19405" spans="326:326">
      <c r="LN19405" t="str">
        <v/>
      </c>
    </row>
    <row r="19406" spans="326:326">
      <c r="LN19406" t="str">
        <v/>
      </c>
    </row>
    <row r="19407" spans="326:326">
      <c r="LN19407" t="str">
        <v/>
      </c>
    </row>
    <row r="19408" spans="326:326">
      <c r="LN19408" t="str">
        <v/>
      </c>
    </row>
    <row r="19409" spans="326:326">
      <c r="LN19409" t="str">
        <v/>
      </c>
    </row>
    <row r="19410" spans="326:326">
      <c r="LN19410" t="str">
        <v/>
      </c>
    </row>
    <row r="19411" spans="326:326">
      <c r="LN19411" t="str">
        <v/>
      </c>
    </row>
    <row r="19412" spans="326:326">
      <c r="LN19412" t="str">
        <v/>
      </c>
    </row>
    <row r="19413" spans="326:326">
      <c r="LN19413" t="str">
        <v/>
      </c>
    </row>
    <row r="19414" spans="326:326">
      <c r="LN19414" t="str">
        <v/>
      </c>
    </row>
    <row r="19415" spans="326:326">
      <c r="LN19415" t="str">
        <v/>
      </c>
    </row>
    <row r="19416" spans="326:326">
      <c r="LN19416" t="str">
        <v/>
      </c>
    </row>
    <row r="19417" spans="326:326">
      <c r="LN19417" t="str">
        <v/>
      </c>
    </row>
    <row r="19418" spans="326:326">
      <c r="LN19418" t="str">
        <v/>
      </c>
    </row>
    <row r="19419" spans="326:326">
      <c r="LN19419" t="str">
        <v/>
      </c>
    </row>
    <row r="19420" spans="326:326">
      <c r="LN19420" t="str">
        <v/>
      </c>
    </row>
    <row r="19421" spans="326:326">
      <c r="LN19421" t="str">
        <v/>
      </c>
    </row>
    <row r="19422" spans="326:326">
      <c r="LN19422" t="str">
        <v/>
      </c>
    </row>
    <row r="19423" spans="326:326">
      <c r="LN19423" t="str">
        <v/>
      </c>
    </row>
    <row r="19424" spans="326:326">
      <c r="LN19424" t="str">
        <v/>
      </c>
    </row>
    <row r="19425" spans="326:326">
      <c r="LN19425" t="str">
        <v/>
      </c>
    </row>
    <row r="19426" spans="326:326">
      <c r="LN19426" t="str">
        <v/>
      </c>
    </row>
    <row r="19427" spans="326:326">
      <c r="LN19427" t="str">
        <v/>
      </c>
    </row>
    <row r="19428" spans="326:326">
      <c r="LN19428" t="str">
        <v/>
      </c>
    </row>
    <row r="19429" spans="326:326">
      <c r="LN19429" t="str">
        <v/>
      </c>
    </row>
    <row r="19430" spans="326:326">
      <c r="LN19430" t="str">
        <v/>
      </c>
    </row>
    <row r="19431" spans="326:326">
      <c r="LN19431" t="str">
        <v/>
      </c>
    </row>
    <row r="19432" spans="326:326">
      <c r="LN19432" t="str">
        <v/>
      </c>
    </row>
    <row r="19433" spans="326:326">
      <c r="LN19433" t="str">
        <v/>
      </c>
    </row>
    <row r="19434" spans="326:326">
      <c r="LN19434" t="str">
        <v/>
      </c>
    </row>
    <row r="19435" spans="326:326">
      <c r="LN19435" t="str">
        <v/>
      </c>
    </row>
    <row r="19436" spans="326:326">
      <c r="LN19436" t="str">
        <v/>
      </c>
    </row>
    <row r="19437" spans="326:326">
      <c r="LN19437" t="str">
        <v/>
      </c>
    </row>
    <row r="19438" spans="326:326">
      <c r="LN19438" t="str">
        <v/>
      </c>
    </row>
    <row r="19439" spans="326:326">
      <c r="LN19439" t="str">
        <v/>
      </c>
    </row>
    <row r="19440" spans="326:326">
      <c r="LN19440" t="str">
        <v/>
      </c>
    </row>
    <row r="19441" spans="326:326">
      <c r="LN19441" t="str">
        <v/>
      </c>
    </row>
    <row r="19442" spans="326:326">
      <c r="LN19442" t="str">
        <v/>
      </c>
    </row>
    <row r="19443" spans="326:326">
      <c r="LN19443" t="str">
        <v/>
      </c>
    </row>
    <row r="19444" spans="326:326">
      <c r="LN19444" t="str">
        <v/>
      </c>
    </row>
    <row r="19445" spans="326:326">
      <c r="LN19445" t="str">
        <v/>
      </c>
    </row>
    <row r="19446" spans="326:326">
      <c r="LN19446" t="str">
        <v/>
      </c>
    </row>
    <row r="19447" spans="326:326">
      <c r="LN19447" t="str">
        <v/>
      </c>
    </row>
    <row r="19448" spans="326:326">
      <c r="LN19448" t="str">
        <v/>
      </c>
    </row>
    <row r="19449" spans="326:326">
      <c r="LN19449" t="str">
        <v/>
      </c>
    </row>
    <row r="19450" spans="326:326">
      <c r="LN19450" t="str">
        <v/>
      </c>
    </row>
    <row r="19451" spans="326:326">
      <c r="LN19451" t="str">
        <v/>
      </c>
    </row>
    <row r="19452" spans="326:326">
      <c r="LN19452" t="str">
        <v/>
      </c>
    </row>
    <row r="19453" spans="326:326">
      <c r="LN19453" t="str">
        <v/>
      </c>
    </row>
    <row r="19454" spans="326:326">
      <c r="LN19454" t="str">
        <v/>
      </c>
    </row>
    <row r="19455" spans="326:326">
      <c r="LN19455" t="str">
        <v/>
      </c>
    </row>
    <row r="19456" spans="326:326">
      <c r="LN19456" t="str">
        <v/>
      </c>
    </row>
    <row r="19457" spans="326:326">
      <c r="LN19457" t="str">
        <v/>
      </c>
    </row>
    <row r="19458" spans="326:326">
      <c r="LN19458" t="str">
        <v/>
      </c>
    </row>
    <row r="19459" spans="326:326">
      <c r="LN19459" t="str">
        <v/>
      </c>
    </row>
    <row r="19460" spans="326:326">
      <c r="LN19460" t="str">
        <v/>
      </c>
    </row>
    <row r="19461" spans="326:326">
      <c r="LN19461" t="str">
        <v/>
      </c>
    </row>
    <row r="19462" spans="326:326">
      <c r="LN19462" t="str">
        <v/>
      </c>
    </row>
    <row r="19463" spans="326:326">
      <c r="LN19463" t="str">
        <v/>
      </c>
    </row>
    <row r="19464" spans="326:326">
      <c r="LN19464" t="str">
        <v/>
      </c>
    </row>
    <row r="19465" spans="326:326">
      <c r="LN19465" t="str">
        <v/>
      </c>
    </row>
    <row r="19466" spans="326:326">
      <c r="LN19466" t="str">
        <v/>
      </c>
    </row>
    <row r="19467" spans="326:326">
      <c r="LN19467" t="str">
        <v/>
      </c>
    </row>
    <row r="19468" spans="326:326">
      <c r="LN19468" t="str">
        <v/>
      </c>
    </row>
    <row r="19469" spans="326:326">
      <c r="LN19469" t="str">
        <v/>
      </c>
    </row>
    <row r="19470" spans="326:326">
      <c r="LN19470" t="str">
        <v/>
      </c>
    </row>
    <row r="19471" spans="326:326">
      <c r="LN19471" t="str">
        <v/>
      </c>
    </row>
    <row r="19472" spans="326:326">
      <c r="LN19472" t="str">
        <v/>
      </c>
    </row>
    <row r="19473" spans="326:326">
      <c r="LN19473" t="str">
        <v/>
      </c>
    </row>
    <row r="19474" spans="326:326">
      <c r="LN19474" t="str">
        <v/>
      </c>
    </row>
    <row r="19475" spans="326:326">
      <c r="LN19475" t="str">
        <v/>
      </c>
    </row>
    <row r="19476" spans="326:326">
      <c r="LN19476" t="str">
        <v/>
      </c>
    </row>
    <row r="19477" spans="326:326">
      <c r="LN19477" t="str">
        <v/>
      </c>
    </row>
    <row r="19478" spans="326:326">
      <c r="LN19478" t="str">
        <v/>
      </c>
    </row>
    <row r="19479" spans="326:326">
      <c r="LN19479" t="str">
        <v/>
      </c>
    </row>
    <row r="19480" spans="326:326">
      <c r="LN19480" t="str">
        <v/>
      </c>
    </row>
    <row r="19481" spans="326:326">
      <c r="LN19481" t="str">
        <v/>
      </c>
    </row>
    <row r="19482" spans="326:326">
      <c r="LN19482" t="str">
        <v/>
      </c>
    </row>
    <row r="19483" spans="326:326">
      <c r="LN19483" t="str">
        <v/>
      </c>
    </row>
    <row r="19484" spans="326:326">
      <c r="LN19484" t="str">
        <v/>
      </c>
    </row>
    <row r="19485" spans="326:326">
      <c r="LN19485" t="str">
        <v/>
      </c>
    </row>
    <row r="19486" spans="326:326">
      <c r="LN19486" t="str">
        <v/>
      </c>
    </row>
    <row r="19487" spans="326:326">
      <c r="LN19487" t="str">
        <v/>
      </c>
    </row>
    <row r="19488" spans="326:326">
      <c r="LN19488" t="str">
        <v/>
      </c>
    </row>
    <row r="19489" spans="326:326">
      <c r="LN19489" t="str">
        <v/>
      </c>
    </row>
    <row r="19490" spans="326:326">
      <c r="LN19490" t="str">
        <v/>
      </c>
    </row>
    <row r="19491" spans="326:326">
      <c r="LN19491" t="str">
        <v/>
      </c>
    </row>
    <row r="19492" spans="326:326">
      <c r="LN19492" t="str">
        <v/>
      </c>
    </row>
    <row r="19493" spans="326:326">
      <c r="LN19493" t="str">
        <v/>
      </c>
    </row>
    <row r="19494" spans="326:326">
      <c r="LN19494" t="str">
        <v/>
      </c>
    </row>
    <row r="19495" spans="326:326">
      <c r="LN19495" t="str">
        <v/>
      </c>
    </row>
    <row r="19496" spans="326:326">
      <c r="LN19496" t="str">
        <v/>
      </c>
    </row>
    <row r="19497" spans="326:326">
      <c r="LN19497" t="str">
        <v/>
      </c>
    </row>
    <row r="19498" spans="326:326">
      <c r="LN19498" t="str">
        <v/>
      </c>
    </row>
    <row r="19499" spans="326:326">
      <c r="LN19499" t="str">
        <v/>
      </c>
    </row>
    <row r="19500" spans="326:326">
      <c r="LN19500" t="str">
        <v/>
      </c>
    </row>
    <row r="19501" spans="326:326">
      <c r="LN19501" t="str">
        <v/>
      </c>
    </row>
    <row r="19502" spans="326:326">
      <c r="LN19502" t="str">
        <v/>
      </c>
    </row>
    <row r="19503" spans="326:326">
      <c r="LN19503" t="str">
        <v/>
      </c>
    </row>
    <row r="19504" spans="326:326">
      <c r="LN19504" t="str">
        <v/>
      </c>
    </row>
    <row r="19505" spans="326:326">
      <c r="LN19505" t="str">
        <v/>
      </c>
    </row>
    <row r="19506" spans="326:326">
      <c r="LN19506" t="str">
        <v/>
      </c>
    </row>
    <row r="19507" spans="326:326">
      <c r="LN19507" t="str">
        <v/>
      </c>
    </row>
    <row r="19508" spans="326:326">
      <c r="LN19508" t="str">
        <v/>
      </c>
    </row>
    <row r="19509" spans="326:326">
      <c r="LN19509" t="str">
        <v/>
      </c>
    </row>
    <row r="19510" spans="326:326">
      <c r="LN19510" t="str">
        <v/>
      </c>
    </row>
    <row r="19511" spans="326:326">
      <c r="LN19511" t="str">
        <v/>
      </c>
    </row>
    <row r="19512" spans="326:326">
      <c r="LN19512" t="str">
        <v/>
      </c>
    </row>
    <row r="19513" spans="326:326">
      <c r="LN19513" t="str">
        <v/>
      </c>
    </row>
    <row r="19514" spans="326:326">
      <c r="LN19514" t="str">
        <v/>
      </c>
    </row>
    <row r="19515" spans="326:326">
      <c r="LN19515" t="str">
        <v/>
      </c>
    </row>
    <row r="19516" spans="326:326">
      <c r="LN19516" t="str">
        <v/>
      </c>
    </row>
    <row r="19517" spans="326:326">
      <c r="LN19517" t="str">
        <v/>
      </c>
    </row>
    <row r="19518" spans="326:326">
      <c r="LN19518" t="str">
        <v/>
      </c>
    </row>
    <row r="19519" spans="326:326">
      <c r="LN19519" t="str">
        <v/>
      </c>
    </row>
    <row r="19520" spans="326:326">
      <c r="LN19520" t="str">
        <v/>
      </c>
    </row>
    <row r="19521" spans="326:326">
      <c r="LN19521" t="str">
        <v/>
      </c>
    </row>
    <row r="19522" spans="326:326">
      <c r="LN19522" t="str">
        <v/>
      </c>
    </row>
    <row r="19523" spans="326:326">
      <c r="LN19523" t="str">
        <v/>
      </c>
    </row>
    <row r="19524" spans="326:326">
      <c r="LN19524" t="str">
        <v/>
      </c>
    </row>
    <row r="19525" spans="326:326">
      <c r="LN19525" t="str">
        <v/>
      </c>
    </row>
    <row r="19526" spans="326:326">
      <c r="LN19526" t="str">
        <v/>
      </c>
    </row>
    <row r="19527" spans="326:326">
      <c r="LN19527" t="str">
        <v/>
      </c>
    </row>
    <row r="19528" spans="326:326">
      <c r="LN19528" t="str">
        <v/>
      </c>
    </row>
    <row r="19529" spans="326:326">
      <c r="LN19529" t="str">
        <v/>
      </c>
    </row>
    <row r="19530" spans="326:326">
      <c r="LN19530" t="str">
        <v/>
      </c>
    </row>
    <row r="19531" spans="326:326">
      <c r="LN19531" t="str">
        <v/>
      </c>
    </row>
    <row r="19532" spans="326:326">
      <c r="LN19532" t="str">
        <v/>
      </c>
    </row>
    <row r="19533" spans="326:326">
      <c r="LN19533" t="str">
        <v/>
      </c>
    </row>
    <row r="19534" spans="326:326">
      <c r="LN19534" t="str">
        <v/>
      </c>
    </row>
    <row r="19535" spans="326:326">
      <c r="LN19535" t="str">
        <v/>
      </c>
    </row>
    <row r="19536" spans="326:326">
      <c r="LN19536" t="str">
        <v/>
      </c>
    </row>
    <row r="19537" spans="326:326">
      <c r="LN19537" t="str">
        <v/>
      </c>
    </row>
    <row r="19538" spans="326:326">
      <c r="LN19538" t="str">
        <v/>
      </c>
    </row>
    <row r="19539" spans="326:326">
      <c r="LN19539" t="str">
        <v/>
      </c>
    </row>
    <row r="19540" spans="326:326">
      <c r="LN19540" t="str">
        <v/>
      </c>
    </row>
    <row r="19541" spans="326:326">
      <c r="LN19541" t="str">
        <v/>
      </c>
    </row>
    <row r="19542" spans="326:326">
      <c r="LN19542" t="str">
        <v/>
      </c>
    </row>
    <row r="19543" spans="326:326">
      <c r="LN19543" t="str">
        <v/>
      </c>
    </row>
    <row r="19544" spans="326:326">
      <c r="LN19544" t="str">
        <v/>
      </c>
    </row>
    <row r="19545" spans="326:326">
      <c r="LN19545" t="str">
        <v/>
      </c>
    </row>
    <row r="19546" spans="326:326">
      <c r="LN19546" t="str">
        <v/>
      </c>
    </row>
    <row r="19547" spans="326:326">
      <c r="LN19547" t="str">
        <v/>
      </c>
    </row>
    <row r="19548" spans="326:326">
      <c r="LN19548" t="str">
        <v/>
      </c>
    </row>
    <row r="19549" spans="326:326">
      <c r="LN19549" t="str">
        <v/>
      </c>
    </row>
    <row r="19550" spans="326:326">
      <c r="LN19550" t="str">
        <v/>
      </c>
    </row>
    <row r="19551" spans="326:326">
      <c r="LN19551" t="str">
        <v/>
      </c>
    </row>
    <row r="19552" spans="326:326">
      <c r="LN19552" t="str">
        <v/>
      </c>
    </row>
    <row r="19553" spans="326:326">
      <c r="LN19553" t="str">
        <v/>
      </c>
    </row>
    <row r="19554" spans="326:326">
      <c r="LN19554" t="str">
        <v/>
      </c>
    </row>
    <row r="19555" spans="326:326">
      <c r="LN19555" t="str">
        <v/>
      </c>
    </row>
    <row r="19556" spans="326:326">
      <c r="LN19556" t="str">
        <v/>
      </c>
    </row>
    <row r="19557" spans="326:326">
      <c r="LN19557" t="str">
        <v/>
      </c>
    </row>
    <row r="19558" spans="326:326">
      <c r="LN19558" t="str">
        <v/>
      </c>
    </row>
    <row r="19559" spans="326:326">
      <c r="LN19559" t="str">
        <v/>
      </c>
    </row>
    <row r="19560" spans="326:326">
      <c r="LN19560" t="str">
        <v/>
      </c>
    </row>
    <row r="19561" spans="326:326">
      <c r="LN19561" t="str">
        <v/>
      </c>
    </row>
    <row r="19562" spans="326:326">
      <c r="LN19562" t="str">
        <v/>
      </c>
    </row>
    <row r="19563" spans="326:326">
      <c r="LN19563" t="str">
        <v/>
      </c>
    </row>
    <row r="19564" spans="326:326">
      <c r="LN19564" t="str">
        <v/>
      </c>
    </row>
    <row r="19565" spans="326:326">
      <c r="LN19565" t="str">
        <v/>
      </c>
    </row>
    <row r="19566" spans="326:326">
      <c r="LN19566" t="str">
        <v/>
      </c>
    </row>
    <row r="19567" spans="326:326">
      <c r="LN19567" t="str">
        <v/>
      </c>
    </row>
    <row r="19568" spans="326:326">
      <c r="LN19568" t="str">
        <v/>
      </c>
    </row>
    <row r="19569" spans="326:326">
      <c r="LN19569" t="str">
        <v/>
      </c>
    </row>
    <row r="19570" spans="326:326">
      <c r="LN19570" t="str">
        <v/>
      </c>
    </row>
    <row r="19571" spans="326:326">
      <c r="LN19571" t="str">
        <v/>
      </c>
    </row>
    <row r="19572" spans="326:326">
      <c r="LN19572" t="str">
        <v/>
      </c>
    </row>
    <row r="19573" spans="326:326">
      <c r="LN19573" t="str">
        <v/>
      </c>
    </row>
    <row r="19574" spans="326:326">
      <c r="LN19574" t="str">
        <v/>
      </c>
    </row>
    <row r="19575" spans="326:326">
      <c r="LN19575" t="str">
        <v/>
      </c>
    </row>
    <row r="19576" spans="326:326">
      <c r="LN19576" t="str">
        <v/>
      </c>
    </row>
    <row r="19577" spans="326:326">
      <c r="LN19577" t="str">
        <v/>
      </c>
    </row>
    <row r="19578" spans="326:326">
      <c r="LN19578" t="str">
        <v/>
      </c>
    </row>
    <row r="19579" spans="326:326">
      <c r="LN19579" t="str">
        <v/>
      </c>
    </row>
    <row r="19580" spans="326:326">
      <c r="LN19580" t="str">
        <v/>
      </c>
    </row>
    <row r="19581" spans="326:326">
      <c r="LN19581" t="str">
        <v/>
      </c>
    </row>
    <row r="19582" spans="326:326">
      <c r="LN19582" t="str">
        <v/>
      </c>
    </row>
    <row r="19583" spans="326:326">
      <c r="LN19583" t="str">
        <v/>
      </c>
    </row>
    <row r="19584" spans="326:326">
      <c r="LN19584" t="str">
        <v/>
      </c>
    </row>
    <row r="19585" spans="326:326">
      <c r="LN19585" t="str">
        <v/>
      </c>
    </row>
    <row r="19586" spans="326:326">
      <c r="LN19586" t="str">
        <v/>
      </c>
    </row>
    <row r="19587" spans="326:326">
      <c r="LN19587" t="str">
        <v/>
      </c>
    </row>
    <row r="19588" spans="326:326">
      <c r="LN19588" t="str">
        <v/>
      </c>
    </row>
    <row r="19589" spans="326:326">
      <c r="LN19589" t="str">
        <v/>
      </c>
    </row>
    <row r="19590" spans="326:326">
      <c r="LN19590" t="str">
        <v/>
      </c>
    </row>
    <row r="19591" spans="326:326">
      <c r="LN19591" t="str">
        <v/>
      </c>
    </row>
    <row r="19592" spans="326:326">
      <c r="LN19592" t="str">
        <v/>
      </c>
    </row>
    <row r="19593" spans="326:326">
      <c r="LN19593" t="str">
        <v/>
      </c>
    </row>
    <row r="19594" spans="326:326">
      <c r="LN19594" t="str">
        <v/>
      </c>
    </row>
    <row r="19595" spans="326:326">
      <c r="LN19595" t="str">
        <v/>
      </c>
    </row>
    <row r="19596" spans="326:326">
      <c r="LN19596" t="str">
        <v/>
      </c>
    </row>
    <row r="19597" spans="326:326">
      <c r="LN19597" t="str">
        <v/>
      </c>
    </row>
    <row r="19598" spans="326:326">
      <c r="LN19598" t="str">
        <v/>
      </c>
    </row>
    <row r="19599" spans="326:326">
      <c r="LN19599" t="str">
        <v/>
      </c>
    </row>
    <row r="19600" spans="326:326">
      <c r="LN19600" t="str">
        <v/>
      </c>
    </row>
    <row r="19601" spans="326:326">
      <c r="LN19601" t="str">
        <v/>
      </c>
    </row>
    <row r="19602" spans="326:326">
      <c r="LN19602" t="str">
        <v/>
      </c>
    </row>
    <row r="19603" spans="326:326">
      <c r="LN19603" t="str">
        <v/>
      </c>
    </row>
    <row r="19604" spans="326:326">
      <c r="LN19604" t="str">
        <v/>
      </c>
    </row>
    <row r="19605" spans="326:326">
      <c r="LN19605" t="str">
        <v/>
      </c>
    </row>
    <row r="19606" spans="326:326">
      <c r="LN19606" t="str">
        <v/>
      </c>
    </row>
    <row r="19607" spans="326:326">
      <c r="LN19607" t="str">
        <v/>
      </c>
    </row>
    <row r="19608" spans="326:326">
      <c r="LN19608" t="str">
        <v/>
      </c>
    </row>
    <row r="19609" spans="326:326">
      <c r="LN19609" t="str">
        <v/>
      </c>
    </row>
    <row r="19610" spans="326:326">
      <c r="LN19610" t="str">
        <v/>
      </c>
    </row>
    <row r="19611" spans="326:326">
      <c r="LN19611" t="str">
        <v/>
      </c>
    </row>
    <row r="19612" spans="326:326">
      <c r="LN19612" t="str">
        <v/>
      </c>
    </row>
    <row r="19613" spans="326:326">
      <c r="LN19613" t="str">
        <v/>
      </c>
    </row>
    <row r="19614" spans="326:326">
      <c r="LN19614" t="str">
        <v/>
      </c>
    </row>
    <row r="19615" spans="326:326">
      <c r="LN19615" t="str">
        <v/>
      </c>
    </row>
    <row r="19616" spans="326:326">
      <c r="LN19616" t="str">
        <v/>
      </c>
    </row>
    <row r="19617" spans="326:326">
      <c r="LN19617" t="str">
        <v/>
      </c>
    </row>
    <row r="19618" spans="326:326">
      <c r="LN19618" t="str">
        <v/>
      </c>
    </row>
    <row r="19619" spans="326:326">
      <c r="LN19619" t="str">
        <v/>
      </c>
    </row>
    <row r="19620" spans="326:326">
      <c r="LN19620" t="str">
        <v/>
      </c>
    </row>
    <row r="19621" spans="326:326">
      <c r="LN19621" t="str">
        <v/>
      </c>
    </row>
    <row r="19622" spans="326:326">
      <c r="LN19622" t="str">
        <v/>
      </c>
    </row>
    <row r="19623" spans="326:326">
      <c r="LN19623" t="str">
        <v/>
      </c>
    </row>
    <row r="19624" spans="326:326">
      <c r="LN19624" t="str">
        <v/>
      </c>
    </row>
    <row r="19625" spans="326:326">
      <c r="LN19625" t="str">
        <v/>
      </c>
    </row>
    <row r="19626" spans="326:326">
      <c r="LN19626" t="str">
        <v/>
      </c>
    </row>
    <row r="19627" spans="326:326">
      <c r="LN19627" t="str">
        <v/>
      </c>
    </row>
    <row r="19628" spans="326:326">
      <c r="LN19628" t="str">
        <v/>
      </c>
    </row>
    <row r="19629" spans="326:326">
      <c r="LN19629" t="str">
        <v/>
      </c>
    </row>
    <row r="19630" spans="326:326">
      <c r="LN19630" t="str">
        <v/>
      </c>
    </row>
    <row r="19631" spans="326:326">
      <c r="LN19631" t="str">
        <v/>
      </c>
    </row>
    <row r="19632" spans="326:326">
      <c r="LN19632" t="str">
        <v/>
      </c>
    </row>
    <row r="19633" spans="326:326">
      <c r="LN19633" t="str">
        <v/>
      </c>
    </row>
    <row r="19634" spans="326:326">
      <c r="LN19634" t="str">
        <v/>
      </c>
    </row>
    <row r="19635" spans="326:326">
      <c r="LN19635" t="str">
        <v/>
      </c>
    </row>
    <row r="19636" spans="326:326">
      <c r="LN19636" t="str">
        <v/>
      </c>
    </row>
    <row r="19637" spans="326:326">
      <c r="LN19637" t="str">
        <v/>
      </c>
    </row>
    <row r="19638" spans="326:326">
      <c r="LN19638" t="str">
        <v/>
      </c>
    </row>
    <row r="19639" spans="326:326">
      <c r="LN19639" t="str">
        <v/>
      </c>
    </row>
    <row r="19640" spans="326:326">
      <c r="LN19640" t="str">
        <v/>
      </c>
    </row>
    <row r="19641" spans="326:326">
      <c r="LN19641" t="str">
        <v/>
      </c>
    </row>
    <row r="19642" spans="326:326">
      <c r="LN19642" t="str">
        <v/>
      </c>
    </row>
    <row r="19643" spans="326:326">
      <c r="LN19643" t="str">
        <v/>
      </c>
    </row>
    <row r="19644" spans="326:326">
      <c r="LN19644" t="str">
        <v/>
      </c>
    </row>
    <row r="19645" spans="326:326">
      <c r="LN19645" t="str">
        <v/>
      </c>
    </row>
    <row r="19646" spans="326:326">
      <c r="LN19646" t="str">
        <v/>
      </c>
    </row>
    <row r="19647" spans="326:326">
      <c r="LN19647" t="str">
        <v/>
      </c>
    </row>
    <row r="19648" spans="326:326">
      <c r="LN19648" t="str">
        <v/>
      </c>
    </row>
    <row r="19649" spans="326:326">
      <c r="LN19649" t="str">
        <v/>
      </c>
    </row>
    <row r="19650" spans="326:326">
      <c r="LN19650" t="str">
        <v/>
      </c>
    </row>
    <row r="19651" spans="326:326">
      <c r="LN19651" t="str">
        <v/>
      </c>
    </row>
    <row r="19652" spans="326:326">
      <c r="LN19652" t="str">
        <v/>
      </c>
    </row>
    <row r="19653" spans="326:326">
      <c r="LN19653" t="str">
        <v/>
      </c>
    </row>
    <row r="19654" spans="326:326">
      <c r="LN19654" t="str">
        <v/>
      </c>
    </row>
    <row r="19655" spans="326:326">
      <c r="LN19655" t="str">
        <v/>
      </c>
    </row>
    <row r="19656" spans="326:326">
      <c r="LN19656" t="str">
        <v/>
      </c>
    </row>
    <row r="19657" spans="326:326">
      <c r="LN19657" t="str">
        <v/>
      </c>
    </row>
    <row r="19658" spans="326:326">
      <c r="LN19658" t="str">
        <v/>
      </c>
    </row>
    <row r="19659" spans="326:326">
      <c r="LN19659" t="str">
        <v/>
      </c>
    </row>
    <row r="19660" spans="326:326">
      <c r="LN19660" t="str">
        <v/>
      </c>
    </row>
    <row r="19661" spans="326:326">
      <c r="LN19661" t="str">
        <v/>
      </c>
    </row>
    <row r="19662" spans="326:326">
      <c r="LN19662" t="str">
        <v/>
      </c>
    </row>
    <row r="19663" spans="326:326">
      <c r="LN19663" t="str">
        <v/>
      </c>
    </row>
    <row r="19664" spans="326:326">
      <c r="LN19664" t="str">
        <v/>
      </c>
    </row>
    <row r="19665" spans="326:326">
      <c r="LN19665" t="str">
        <v/>
      </c>
    </row>
    <row r="19666" spans="326:326">
      <c r="LN19666" t="str">
        <v/>
      </c>
    </row>
    <row r="19667" spans="326:326">
      <c r="LN19667" t="str">
        <v/>
      </c>
    </row>
    <row r="19668" spans="326:326">
      <c r="LN19668" t="str">
        <v/>
      </c>
    </row>
    <row r="19669" spans="326:326">
      <c r="LN19669" t="str">
        <v/>
      </c>
    </row>
    <row r="19670" spans="326:326">
      <c r="LN19670" t="str">
        <v/>
      </c>
    </row>
    <row r="19671" spans="326:326">
      <c r="LN19671" t="str">
        <v/>
      </c>
    </row>
    <row r="19672" spans="326:326">
      <c r="LN19672" t="str">
        <v/>
      </c>
    </row>
    <row r="19673" spans="326:326">
      <c r="LN19673" t="str">
        <v/>
      </c>
    </row>
    <row r="19674" spans="326:326">
      <c r="LN19674" t="str">
        <v/>
      </c>
    </row>
    <row r="19675" spans="326:326">
      <c r="LN19675" t="str">
        <v/>
      </c>
    </row>
    <row r="19676" spans="326:326">
      <c r="LN19676" t="str">
        <v/>
      </c>
    </row>
    <row r="19677" spans="326:326">
      <c r="LN19677" t="str">
        <v/>
      </c>
    </row>
    <row r="19678" spans="326:326">
      <c r="LN19678" t="str">
        <v/>
      </c>
    </row>
    <row r="19679" spans="326:326">
      <c r="LN19679" t="str">
        <v/>
      </c>
    </row>
    <row r="19680" spans="326:326">
      <c r="LN19680" t="str">
        <v/>
      </c>
    </row>
    <row r="19681" spans="326:326">
      <c r="LN19681" t="str">
        <v/>
      </c>
    </row>
    <row r="19682" spans="326:326">
      <c r="LN19682" t="str">
        <v/>
      </c>
    </row>
    <row r="19683" spans="326:326">
      <c r="LN19683" t="str">
        <v/>
      </c>
    </row>
    <row r="19684" spans="326:326">
      <c r="LN19684" t="str">
        <v/>
      </c>
    </row>
    <row r="19685" spans="326:326">
      <c r="LN19685" t="str">
        <v/>
      </c>
    </row>
    <row r="19686" spans="326:326">
      <c r="LN19686" t="str">
        <v/>
      </c>
    </row>
    <row r="19687" spans="326:326">
      <c r="LN19687" t="str">
        <v/>
      </c>
    </row>
    <row r="19688" spans="326:326">
      <c r="LN19688" t="str">
        <v/>
      </c>
    </row>
    <row r="19689" spans="326:326">
      <c r="LN19689" t="str">
        <v/>
      </c>
    </row>
    <row r="19690" spans="326:326">
      <c r="LN19690" t="str">
        <v/>
      </c>
    </row>
    <row r="19691" spans="326:326">
      <c r="LN19691" t="str">
        <v/>
      </c>
    </row>
    <row r="19692" spans="326:326">
      <c r="LN19692" t="str">
        <v/>
      </c>
    </row>
    <row r="19693" spans="326:326">
      <c r="LN19693" t="str">
        <v/>
      </c>
    </row>
    <row r="19694" spans="326:326">
      <c r="LN19694" t="str">
        <v/>
      </c>
    </row>
    <row r="19695" spans="326:326">
      <c r="LN19695" t="str">
        <v/>
      </c>
    </row>
    <row r="19696" spans="326:326">
      <c r="LN19696" t="str">
        <v/>
      </c>
    </row>
    <row r="19697" spans="326:326">
      <c r="LN19697" t="str">
        <v/>
      </c>
    </row>
    <row r="19698" spans="326:326">
      <c r="LN19698" t="str">
        <v/>
      </c>
    </row>
    <row r="19699" spans="326:326">
      <c r="LN19699" t="str">
        <v/>
      </c>
    </row>
    <row r="19700" spans="326:326">
      <c r="LN19700" t="str">
        <v/>
      </c>
    </row>
    <row r="19701" spans="326:326">
      <c r="LN19701" t="str">
        <v/>
      </c>
    </row>
    <row r="19702" spans="326:326">
      <c r="LN19702" t="str">
        <v/>
      </c>
    </row>
    <row r="19703" spans="326:326">
      <c r="LN19703" t="str">
        <v/>
      </c>
    </row>
    <row r="19704" spans="326:326">
      <c r="LN19704" t="str">
        <v/>
      </c>
    </row>
    <row r="19705" spans="326:326">
      <c r="LN19705" t="str">
        <v/>
      </c>
    </row>
    <row r="19706" spans="326:326">
      <c r="LN19706" t="str">
        <v/>
      </c>
    </row>
    <row r="19707" spans="326:326">
      <c r="LN19707" t="str">
        <v/>
      </c>
    </row>
    <row r="19708" spans="326:326">
      <c r="LN19708" t="str">
        <v/>
      </c>
    </row>
    <row r="19709" spans="326:326">
      <c r="LN19709" t="str">
        <v/>
      </c>
    </row>
    <row r="19710" spans="326:326">
      <c r="LN19710" t="str">
        <v/>
      </c>
    </row>
    <row r="19711" spans="326:326">
      <c r="LN19711" t="str">
        <v/>
      </c>
    </row>
    <row r="19712" spans="326:326">
      <c r="LN19712" t="str">
        <v/>
      </c>
    </row>
    <row r="19713" spans="326:326">
      <c r="LN19713" t="str">
        <v/>
      </c>
    </row>
    <row r="19714" spans="326:326">
      <c r="LN19714" t="str">
        <v/>
      </c>
    </row>
    <row r="19715" spans="326:326">
      <c r="LN19715" t="str">
        <v/>
      </c>
    </row>
    <row r="19716" spans="326:326">
      <c r="LN19716" t="str">
        <v/>
      </c>
    </row>
    <row r="19717" spans="326:326">
      <c r="LN19717" t="str">
        <v/>
      </c>
    </row>
    <row r="19718" spans="326:326">
      <c r="LN19718" t="str">
        <v/>
      </c>
    </row>
    <row r="19719" spans="326:326">
      <c r="LN19719" t="str">
        <v/>
      </c>
    </row>
    <row r="19720" spans="326:326">
      <c r="LN19720" t="str">
        <v/>
      </c>
    </row>
    <row r="19721" spans="326:326">
      <c r="LN19721" t="str">
        <v/>
      </c>
    </row>
    <row r="19722" spans="326:326">
      <c r="LN19722" t="str">
        <v/>
      </c>
    </row>
    <row r="19723" spans="326:326">
      <c r="LN19723" t="str">
        <v/>
      </c>
    </row>
    <row r="19724" spans="326:326">
      <c r="LN19724" t="str">
        <v/>
      </c>
    </row>
    <row r="19725" spans="326:326">
      <c r="LN19725" t="str">
        <v/>
      </c>
    </row>
    <row r="19726" spans="326:326">
      <c r="LN19726" t="str">
        <v/>
      </c>
    </row>
    <row r="19727" spans="326:326">
      <c r="LN19727" t="str">
        <v/>
      </c>
    </row>
    <row r="19728" spans="326:326">
      <c r="LN19728" t="str">
        <v/>
      </c>
    </row>
    <row r="19729" spans="326:326">
      <c r="LN19729" t="str">
        <v/>
      </c>
    </row>
    <row r="19730" spans="326:326">
      <c r="LN19730" t="str">
        <v/>
      </c>
    </row>
    <row r="19731" spans="326:326">
      <c r="LN19731" t="str">
        <v/>
      </c>
    </row>
    <row r="19732" spans="326:326">
      <c r="LN19732" t="str">
        <v/>
      </c>
    </row>
    <row r="19733" spans="326:326">
      <c r="LN19733" t="str">
        <v/>
      </c>
    </row>
    <row r="19734" spans="326:326">
      <c r="LN19734" t="str">
        <v/>
      </c>
    </row>
    <row r="19735" spans="326:326">
      <c r="LN19735" t="str">
        <v/>
      </c>
    </row>
    <row r="19736" spans="326:326">
      <c r="LN19736" t="str">
        <v/>
      </c>
    </row>
    <row r="19737" spans="326:326">
      <c r="LN19737" t="str">
        <v/>
      </c>
    </row>
    <row r="19738" spans="326:326">
      <c r="LN19738" t="str">
        <v/>
      </c>
    </row>
    <row r="19739" spans="326:326">
      <c r="LN19739" t="str">
        <v/>
      </c>
    </row>
    <row r="19740" spans="326:326">
      <c r="LN19740" t="str">
        <v/>
      </c>
    </row>
    <row r="19741" spans="326:326">
      <c r="LN19741" t="str">
        <v/>
      </c>
    </row>
    <row r="19742" spans="326:326">
      <c r="LN19742" t="str">
        <v/>
      </c>
    </row>
    <row r="19743" spans="326:326">
      <c r="LN19743" t="str">
        <v/>
      </c>
    </row>
    <row r="19744" spans="326:326">
      <c r="LN19744" t="str">
        <v/>
      </c>
    </row>
    <row r="19745" spans="326:326">
      <c r="LN19745" t="str">
        <v/>
      </c>
    </row>
    <row r="19746" spans="326:326">
      <c r="LN19746" t="str">
        <v/>
      </c>
    </row>
    <row r="19747" spans="326:326">
      <c r="LN19747" t="str">
        <v/>
      </c>
    </row>
    <row r="19748" spans="326:326">
      <c r="LN19748" t="str">
        <v/>
      </c>
    </row>
    <row r="19749" spans="326:326">
      <c r="LN19749" t="str">
        <v/>
      </c>
    </row>
    <row r="19750" spans="326:326">
      <c r="LN19750" t="str">
        <v/>
      </c>
    </row>
    <row r="19751" spans="326:326">
      <c r="LN19751" t="str">
        <v/>
      </c>
    </row>
    <row r="19752" spans="326:326">
      <c r="LN19752" t="str">
        <v/>
      </c>
    </row>
    <row r="19753" spans="326:326">
      <c r="LN19753" t="str">
        <v/>
      </c>
    </row>
    <row r="19754" spans="326:326">
      <c r="LN19754" t="str">
        <v/>
      </c>
    </row>
    <row r="19755" spans="326:326">
      <c r="LN19755" t="str">
        <v/>
      </c>
    </row>
    <row r="19756" spans="326:326">
      <c r="LN19756" t="str">
        <v/>
      </c>
    </row>
    <row r="19757" spans="326:326">
      <c r="LN19757" t="str">
        <v/>
      </c>
    </row>
    <row r="19758" spans="326:326">
      <c r="LN19758" t="str">
        <v/>
      </c>
    </row>
    <row r="19759" spans="326:326">
      <c r="LN19759" t="str">
        <v/>
      </c>
    </row>
    <row r="19760" spans="326:326">
      <c r="LN19760" t="str">
        <v/>
      </c>
    </row>
    <row r="19761" spans="326:326">
      <c r="LN19761" t="str">
        <v/>
      </c>
    </row>
    <row r="19762" spans="326:326">
      <c r="LN19762" t="str">
        <v/>
      </c>
    </row>
    <row r="19763" spans="326:326">
      <c r="LN19763" t="str">
        <v/>
      </c>
    </row>
    <row r="19764" spans="326:326">
      <c r="LN19764" t="str">
        <v/>
      </c>
    </row>
    <row r="19765" spans="326:326">
      <c r="LN19765" t="str">
        <v/>
      </c>
    </row>
    <row r="19766" spans="326:326">
      <c r="LN19766" t="str">
        <v/>
      </c>
    </row>
    <row r="19767" spans="326:326">
      <c r="LN19767" t="str">
        <v/>
      </c>
    </row>
    <row r="19768" spans="326:326">
      <c r="LN19768" t="str">
        <v/>
      </c>
    </row>
    <row r="19769" spans="326:326">
      <c r="LN19769" t="str">
        <v/>
      </c>
    </row>
    <row r="19770" spans="326:326">
      <c r="LN19770" t="str">
        <v/>
      </c>
    </row>
    <row r="19771" spans="326:326">
      <c r="LN19771" t="str">
        <v/>
      </c>
    </row>
    <row r="19772" spans="326:326">
      <c r="LN19772" t="str">
        <v/>
      </c>
    </row>
    <row r="19773" spans="326:326">
      <c r="LN19773" t="str">
        <v/>
      </c>
    </row>
    <row r="19774" spans="326:326">
      <c r="LN19774" t="str">
        <v/>
      </c>
    </row>
    <row r="19775" spans="326:326">
      <c r="LN19775" t="str">
        <v/>
      </c>
    </row>
    <row r="19776" spans="326:326">
      <c r="LN19776" t="str">
        <v/>
      </c>
    </row>
    <row r="19777" spans="326:326">
      <c r="LN19777" t="str">
        <v/>
      </c>
    </row>
    <row r="19778" spans="326:326">
      <c r="LN19778" t="str">
        <v/>
      </c>
    </row>
    <row r="19779" spans="326:326">
      <c r="LN19779" t="str">
        <v/>
      </c>
    </row>
    <row r="19780" spans="326:326">
      <c r="LN19780" t="str">
        <v/>
      </c>
    </row>
    <row r="19781" spans="326:326">
      <c r="LN19781" t="str">
        <v/>
      </c>
    </row>
    <row r="19782" spans="326:326">
      <c r="LN19782" t="str">
        <v/>
      </c>
    </row>
    <row r="19783" spans="326:326">
      <c r="LN19783" t="str">
        <v/>
      </c>
    </row>
    <row r="19784" spans="326:326">
      <c r="LN19784" t="str">
        <v/>
      </c>
    </row>
    <row r="19785" spans="326:326">
      <c r="LN19785" t="str">
        <v/>
      </c>
    </row>
    <row r="19786" spans="326:326">
      <c r="LN19786" t="str">
        <v/>
      </c>
    </row>
    <row r="19787" spans="326:326">
      <c r="LN19787" t="str">
        <v/>
      </c>
    </row>
    <row r="19788" spans="326:326">
      <c r="LN19788" t="str">
        <v/>
      </c>
    </row>
    <row r="19789" spans="326:326">
      <c r="LN19789" t="str">
        <v/>
      </c>
    </row>
    <row r="19790" spans="326:326">
      <c r="LN19790" t="str">
        <v/>
      </c>
    </row>
    <row r="19791" spans="326:326">
      <c r="LN19791" t="str">
        <v/>
      </c>
    </row>
    <row r="19792" spans="326:326">
      <c r="LN19792" t="str">
        <v/>
      </c>
    </row>
    <row r="19793" spans="326:326">
      <c r="LN19793" t="str">
        <v/>
      </c>
    </row>
    <row r="19794" spans="326:326">
      <c r="LN19794" t="str">
        <v/>
      </c>
    </row>
    <row r="19795" spans="326:326">
      <c r="LN19795" t="str">
        <v/>
      </c>
    </row>
    <row r="19796" spans="326:326">
      <c r="LN19796" t="str">
        <v/>
      </c>
    </row>
    <row r="19797" spans="326:326">
      <c r="LN19797" t="str">
        <v/>
      </c>
    </row>
    <row r="19798" spans="326:326">
      <c r="LN19798" t="str">
        <v/>
      </c>
    </row>
    <row r="19799" spans="326:326">
      <c r="LN19799" t="str">
        <v/>
      </c>
    </row>
    <row r="19800" spans="326:326">
      <c r="LN19800" t="str">
        <v/>
      </c>
    </row>
    <row r="19801" spans="326:326">
      <c r="LN19801" t="str">
        <v/>
      </c>
    </row>
    <row r="19802" spans="326:326">
      <c r="LN19802" t="str">
        <v/>
      </c>
    </row>
    <row r="19803" spans="326:326">
      <c r="LN19803" t="str">
        <v/>
      </c>
    </row>
    <row r="19804" spans="326:326">
      <c r="LN19804" t="str">
        <v/>
      </c>
    </row>
    <row r="19805" spans="326:326">
      <c r="LN19805" t="str">
        <v/>
      </c>
    </row>
    <row r="19806" spans="326:326">
      <c r="LN19806" t="str">
        <v/>
      </c>
    </row>
    <row r="19807" spans="326:326">
      <c r="LN19807" t="str">
        <v/>
      </c>
    </row>
    <row r="19808" spans="326:326">
      <c r="LN19808" t="str">
        <v/>
      </c>
    </row>
    <row r="19809" spans="326:326">
      <c r="LN19809" t="str">
        <v/>
      </c>
    </row>
    <row r="19810" spans="326:326">
      <c r="LN19810" t="str">
        <v/>
      </c>
    </row>
    <row r="19811" spans="326:326">
      <c r="LN19811" t="str">
        <v/>
      </c>
    </row>
    <row r="19812" spans="326:326">
      <c r="LN19812" t="str">
        <v/>
      </c>
    </row>
    <row r="19813" spans="326:326">
      <c r="LN19813" t="str">
        <v/>
      </c>
    </row>
    <row r="19814" spans="326:326">
      <c r="LN19814" t="str">
        <v/>
      </c>
    </row>
    <row r="19815" spans="326:326">
      <c r="LN19815" t="str">
        <v/>
      </c>
    </row>
    <row r="19816" spans="326:326">
      <c r="LN19816" t="str">
        <v/>
      </c>
    </row>
    <row r="19817" spans="326:326">
      <c r="LN19817" t="str">
        <v/>
      </c>
    </row>
    <row r="19818" spans="326:326">
      <c r="LN19818" t="str">
        <v/>
      </c>
    </row>
    <row r="19819" spans="326:326">
      <c r="LN19819" t="str">
        <v/>
      </c>
    </row>
    <row r="19820" spans="326:326">
      <c r="LN19820" t="str">
        <v/>
      </c>
    </row>
    <row r="19821" spans="326:326">
      <c r="LN19821" t="str">
        <v/>
      </c>
    </row>
    <row r="19822" spans="326:326">
      <c r="LN19822" t="str">
        <v/>
      </c>
    </row>
    <row r="19823" spans="326:326">
      <c r="LN19823" t="str">
        <v/>
      </c>
    </row>
    <row r="19824" spans="326:326">
      <c r="LN19824" t="str">
        <v/>
      </c>
    </row>
    <row r="19825" spans="326:326">
      <c r="LN19825" t="str">
        <v/>
      </c>
    </row>
    <row r="19826" spans="326:326">
      <c r="LN19826" t="str">
        <v/>
      </c>
    </row>
    <row r="19827" spans="326:326">
      <c r="LN19827" t="str">
        <v/>
      </c>
    </row>
    <row r="19828" spans="326:326">
      <c r="LN19828" t="str">
        <v/>
      </c>
    </row>
    <row r="19829" spans="326:326">
      <c r="LN19829" t="str">
        <v/>
      </c>
    </row>
    <row r="19830" spans="326:326">
      <c r="LN19830" t="str">
        <v/>
      </c>
    </row>
    <row r="19831" spans="326:326">
      <c r="LN19831" t="str">
        <v/>
      </c>
    </row>
    <row r="19832" spans="326:326">
      <c r="LN19832" t="str">
        <v/>
      </c>
    </row>
    <row r="19833" spans="326:326">
      <c r="LN19833" t="str">
        <v/>
      </c>
    </row>
    <row r="19834" spans="326:326">
      <c r="LN19834" t="str">
        <v/>
      </c>
    </row>
    <row r="19835" spans="326:326">
      <c r="LN19835" t="str">
        <v/>
      </c>
    </row>
    <row r="19836" spans="326:326">
      <c r="LN19836" t="str">
        <v/>
      </c>
    </row>
    <row r="19837" spans="326:326">
      <c r="LN19837" t="str">
        <v/>
      </c>
    </row>
    <row r="19838" spans="326:326">
      <c r="LN19838" t="str">
        <v/>
      </c>
    </row>
    <row r="19839" spans="326:326">
      <c r="LN19839" t="str">
        <v/>
      </c>
    </row>
    <row r="19840" spans="326:326">
      <c r="LN19840" t="str">
        <v/>
      </c>
    </row>
    <row r="19841" spans="326:326">
      <c r="LN19841" t="str">
        <v/>
      </c>
    </row>
    <row r="19842" spans="326:326">
      <c r="LN19842" t="str">
        <v/>
      </c>
    </row>
    <row r="19843" spans="326:326">
      <c r="LN19843" t="str">
        <v/>
      </c>
    </row>
    <row r="19844" spans="326:326">
      <c r="LN19844" t="str">
        <v/>
      </c>
    </row>
    <row r="19845" spans="326:326">
      <c r="LN19845" t="str">
        <v/>
      </c>
    </row>
    <row r="19846" spans="326:326">
      <c r="LN19846" t="str">
        <v/>
      </c>
    </row>
    <row r="19847" spans="326:326">
      <c r="LN19847" t="str">
        <v/>
      </c>
    </row>
    <row r="19848" spans="326:326">
      <c r="LN19848" t="str">
        <v/>
      </c>
    </row>
    <row r="19849" spans="326:326">
      <c r="LN19849" t="str">
        <v/>
      </c>
    </row>
    <row r="19850" spans="326:326">
      <c r="LN19850" t="str">
        <v/>
      </c>
    </row>
    <row r="19851" spans="326:326">
      <c r="LN19851" t="str">
        <v/>
      </c>
    </row>
    <row r="19852" spans="326:326">
      <c r="LN19852" t="str">
        <v/>
      </c>
    </row>
    <row r="19853" spans="326:326">
      <c r="LN19853" t="str">
        <v/>
      </c>
    </row>
    <row r="19854" spans="326:326">
      <c r="LN19854" t="str">
        <v/>
      </c>
    </row>
    <row r="19855" spans="326:326">
      <c r="LN19855" t="str">
        <v/>
      </c>
    </row>
    <row r="19856" spans="326:326">
      <c r="LN19856" t="str">
        <v/>
      </c>
    </row>
    <row r="19857" spans="326:326">
      <c r="LN19857" t="str">
        <v/>
      </c>
    </row>
    <row r="19858" spans="326:326">
      <c r="LN19858" t="str">
        <v/>
      </c>
    </row>
    <row r="19859" spans="326:326">
      <c r="LN19859" t="str">
        <v/>
      </c>
    </row>
    <row r="19860" spans="326:326">
      <c r="LN19860" t="str">
        <v/>
      </c>
    </row>
    <row r="19861" spans="326:326">
      <c r="LN19861" t="str">
        <v/>
      </c>
    </row>
    <row r="19862" spans="326:326">
      <c r="LN19862" t="str">
        <v/>
      </c>
    </row>
    <row r="19863" spans="326:326">
      <c r="LN19863" t="str">
        <v/>
      </c>
    </row>
    <row r="19864" spans="326:326">
      <c r="LN19864" t="str">
        <v/>
      </c>
    </row>
    <row r="19865" spans="326:326">
      <c r="LN19865" t="str">
        <v/>
      </c>
    </row>
    <row r="19866" spans="326:326">
      <c r="LN19866" t="str">
        <v/>
      </c>
    </row>
    <row r="19867" spans="326:326">
      <c r="LN19867" t="str">
        <v/>
      </c>
    </row>
    <row r="19868" spans="326:326">
      <c r="LN19868" t="str">
        <v/>
      </c>
    </row>
    <row r="19869" spans="326:326">
      <c r="LN19869" t="str">
        <v/>
      </c>
    </row>
    <row r="19870" spans="326:326">
      <c r="LN19870" t="str">
        <v/>
      </c>
    </row>
    <row r="19871" spans="326:326">
      <c r="LN19871" t="str">
        <v/>
      </c>
    </row>
    <row r="19872" spans="326:326">
      <c r="LN19872" t="str">
        <v/>
      </c>
    </row>
    <row r="19873" spans="326:326">
      <c r="LN19873" t="str">
        <v/>
      </c>
    </row>
    <row r="19874" spans="326:326">
      <c r="LN19874" t="str">
        <v/>
      </c>
    </row>
    <row r="19875" spans="326:326">
      <c r="LN19875" t="str">
        <v/>
      </c>
    </row>
    <row r="19876" spans="326:326">
      <c r="LN19876" t="str">
        <v/>
      </c>
    </row>
    <row r="19877" spans="326:326">
      <c r="LN19877" t="str">
        <v/>
      </c>
    </row>
    <row r="19878" spans="326:326">
      <c r="LN19878" t="str">
        <v/>
      </c>
    </row>
    <row r="19879" spans="326:326">
      <c r="LN19879" t="str">
        <v/>
      </c>
    </row>
    <row r="19880" spans="326:326">
      <c r="LN19880" t="str">
        <v/>
      </c>
    </row>
    <row r="19881" spans="326:326">
      <c r="LN19881" t="str">
        <v/>
      </c>
    </row>
    <row r="19882" spans="326:326">
      <c r="LN19882" t="str">
        <v/>
      </c>
    </row>
    <row r="19883" spans="326:326">
      <c r="LN19883" t="str">
        <v/>
      </c>
    </row>
    <row r="19884" spans="326:326">
      <c r="LN19884" t="str">
        <v/>
      </c>
    </row>
    <row r="19885" spans="326:326">
      <c r="LN19885" t="str">
        <v/>
      </c>
    </row>
    <row r="19886" spans="326:326">
      <c r="LN19886" t="str">
        <v/>
      </c>
    </row>
    <row r="19887" spans="326:326">
      <c r="LN19887" t="str">
        <v/>
      </c>
    </row>
    <row r="19888" spans="326:326">
      <c r="LN19888" t="str">
        <v/>
      </c>
    </row>
    <row r="19889" spans="326:326">
      <c r="LN19889" t="str">
        <v/>
      </c>
    </row>
    <row r="19890" spans="326:326">
      <c r="LN19890" t="str">
        <v/>
      </c>
    </row>
    <row r="19891" spans="326:326">
      <c r="LN19891" t="str">
        <v/>
      </c>
    </row>
    <row r="19892" spans="326:326">
      <c r="LN19892" t="str">
        <v/>
      </c>
    </row>
    <row r="19893" spans="326:326">
      <c r="LN19893" t="str">
        <v/>
      </c>
    </row>
    <row r="19894" spans="326:326">
      <c r="LN19894" t="str">
        <v/>
      </c>
    </row>
    <row r="19895" spans="326:326">
      <c r="LN19895" t="str">
        <v/>
      </c>
    </row>
    <row r="19896" spans="326:326">
      <c r="LN19896" t="str">
        <v/>
      </c>
    </row>
    <row r="19897" spans="326:326">
      <c r="LN19897" t="str">
        <v/>
      </c>
    </row>
    <row r="19898" spans="326:326">
      <c r="LN19898" t="str">
        <v/>
      </c>
    </row>
    <row r="19899" spans="326:326">
      <c r="LN19899" t="str">
        <v/>
      </c>
    </row>
    <row r="19900" spans="326:326">
      <c r="LN19900" t="str">
        <v/>
      </c>
    </row>
    <row r="19901" spans="326:326">
      <c r="LN19901" t="str">
        <v/>
      </c>
    </row>
    <row r="19902" spans="326:326">
      <c r="LN19902" t="str">
        <v/>
      </c>
    </row>
    <row r="19903" spans="326:326">
      <c r="LN19903" t="str">
        <v/>
      </c>
    </row>
    <row r="19904" spans="326:326">
      <c r="LN19904" t="str">
        <v/>
      </c>
    </row>
    <row r="19905" spans="326:326">
      <c r="LN19905" t="str">
        <v/>
      </c>
    </row>
    <row r="19906" spans="326:326">
      <c r="LN19906" t="str">
        <v/>
      </c>
    </row>
    <row r="19907" spans="326:326">
      <c r="LN19907" t="str">
        <v/>
      </c>
    </row>
    <row r="19908" spans="326:326">
      <c r="LN19908" t="str">
        <v/>
      </c>
    </row>
    <row r="19909" spans="326:326">
      <c r="LN19909" t="str">
        <v/>
      </c>
    </row>
    <row r="19910" spans="326:326">
      <c r="LN19910" t="str">
        <v/>
      </c>
    </row>
    <row r="19911" spans="326:326">
      <c r="LN19911" t="str">
        <v/>
      </c>
    </row>
    <row r="19912" spans="326:326">
      <c r="LN19912" t="str">
        <v/>
      </c>
    </row>
    <row r="19913" spans="326:326">
      <c r="LN19913" t="str">
        <v/>
      </c>
    </row>
    <row r="19914" spans="326:326">
      <c r="LN19914" t="str">
        <v/>
      </c>
    </row>
    <row r="19915" spans="326:326">
      <c r="LN19915" t="str">
        <v/>
      </c>
    </row>
    <row r="19916" spans="326:326">
      <c r="LN19916" t="str">
        <v/>
      </c>
    </row>
    <row r="19917" spans="326:326">
      <c r="LN19917" t="str">
        <v/>
      </c>
    </row>
    <row r="19918" spans="326:326">
      <c r="LN19918" t="str">
        <v/>
      </c>
    </row>
    <row r="19919" spans="326:326">
      <c r="LN19919" t="str">
        <v/>
      </c>
    </row>
    <row r="19920" spans="326:326">
      <c r="LN19920" t="str">
        <v/>
      </c>
    </row>
    <row r="19921" spans="326:326">
      <c r="LN19921" t="str">
        <v/>
      </c>
    </row>
    <row r="19922" spans="326:326">
      <c r="LN19922" t="str">
        <v/>
      </c>
    </row>
    <row r="19923" spans="326:326">
      <c r="LN19923" t="str">
        <v/>
      </c>
    </row>
    <row r="19924" spans="326:326">
      <c r="LN19924" t="str">
        <v/>
      </c>
    </row>
    <row r="19925" spans="326:326">
      <c r="LN19925" t="str">
        <v/>
      </c>
    </row>
    <row r="19926" spans="326:326">
      <c r="LN19926" t="str">
        <v/>
      </c>
    </row>
    <row r="19927" spans="326:326">
      <c r="LN19927" t="str">
        <v/>
      </c>
    </row>
    <row r="19928" spans="326:326">
      <c r="LN19928" t="str">
        <v/>
      </c>
    </row>
    <row r="19929" spans="326:326">
      <c r="LN19929" t="str">
        <v/>
      </c>
    </row>
    <row r="19930" spans="326:326">
      <c r="LN19930" t="str">
        <v/>
      </c>
    </row>
    <row r="19931" spans="326:326">
      <c r="LN19931" t="str">
        <v/>
      </c>
    </row>
    <row r="19932" spans="326:326">
      <c r="LN19932" t="str">
        <v/>
      </c>
    </row>
    <row r="19933" spans="326:326">
      <c r="LN19933" t="str">
        <v/>
      </c>
    </row>
    <row r="19934" spans="326:326">
      <c r="LN19934" t="str">
        <v/>
      </c>
    </row>
    <row r="19935" spans="326:326">
      <c r="LN19935" t="str">
        <v/>
      </c>
    </row>
    <row r="19936" spans="326:326">
      <c r="LN19936" t="str">
        <v/>
      </c>
    </row>
    <row r="19937" spans="326:326">
      <c r="LN19937" t="str">
        <v/>
      </c>
    </row>
    <row r="19938" spans="326:326">
      <c r="LN19938" t="str">
        <v/>
      </c>
    </row>
    <row r="19939" spans="326:326">
      <c r="LN19939" t="str">
        <v/>
      </c>
    </row>
    <row r="19940" spans="326:326">
      <c r="LN19940" t="str">
        <v/>
      </c>
    </row>
    <row r="19941" spans="326:326">
      <c r="LN19941" t="str">
        <v/>
      </c>
    </row>
    <row r="19942" spans="326:326">
      <c r="LN19942" t="str">
        <v/>
      </c>
    </row>
    <row r="19943" spans="326:326">
      <c r="LN19943" t="str">
        <v/>
      </c>
    </row>
    <row r="19944" spans="326:326">
      <c r="LN19944" t="str">
        <v/>
      </c>
    </row>
    <row r="19945" spans="326:326">
      <c r="LN19945" t="str">
        <v/>
      </c>
    </row>
    <row r="19946" spans="326:326">
      <c r="LN19946" t="str">
        <v/>
      </c>
    </row>
    <row r="19947" spans="326:326">
      <c r="LN19947" t="str">
        <v/>
      </c>
    </row>
    <row r="19948" spans="326:326">
      <c r="LN19948" t="str">
        <v/>
      </c>
    </row>
    <row r="19949" spans="326:326">
      <c r="LN19949" t="str">
        <v/>
      </c>
    </row>
    <row r="19950" spans="326:326">
      <c r="LN19950" t="str">
        <v/>
      </c>
    </row>
    <row r="19951" spans="326:326">
      <c r="LN19951" t="str">
        <v/>
      </c>
    </row>
    <row r="19952" spans="326:326">
      <c r="LN19952" t="str">
        <v/>
      </c>
    </row>
    <row r="19953" spans="326:326">
      <c r="LN19953" t="str">
        <v/>
      </c>
    </row>
    <row r="19954" spans="326:326">
      <c r="LN19954" t="str">
        <v/>
      </c>
    </row>
    <row r="19955" spans="326:326">
      <c r="LN19955" t="str">
        <v/>
      </c>
    </row>
    <row r="19956" spans="326:326">
      <c r="LN19956" t="str">
        <v/>
      </c>
    </row>
    <row r="19957" spans="326:326">
      <c r="LN19957" t="str">
        <v/>
      </c>
    </row>
    <row r="19958" spans="326:326">
      <c r="LN19958" t="str">
        <v/>
      </c>
    </row>
    <row r="19959" spans="326:326">
      <c r="LN19959" t="str">
        <v/>
      </c>
    </row>
    <row r="19960" spans="326:326">
      <c r="LN19960" t="str">
        <v/>
      </c>
    </row>
    <row r="19961" spans="326:326">
      <c r="LN19961" t="str">
        <v/>
      </c>
    </row>
    <row r="19962" spans="326:326">
      <c r="LN19962" t="str">
        <v/>
      </c>
    </row>
    <row r="19963" spans="326:326">
      <c r="LN19963" t="str">
        <v/>
      </c>
    </row>
    <row r="19964" spans="326:326">
      <c r="LN19964" t="str">
        <v/>
      </c>
    </row>
    <row r="19965" spans="326:326">
      <c r="LN19965" t="str">
        <v/>
      </c>
    </row>
    <row r="19966" spans="326:326">
      <c r="LN19966" t="str">
        <v/>
      </c>
    </row>
    <row r="19967" spans="326:326">
      <c r="LN19967" t="str">
        <v/>
      </c>
    </row>
    <row r="19968" spans="326:326">
      <c r="LN19968" t="str">
        <v/>
      </c>
    </row>
    <row r="19969" spans="326:326">
      <c r="LN19969" t="str">
        <v/>
      </c>
    </row>
    <row r="19970" spans="326:326">
      <c r="LN19970" t="str">
        <v/>
      </c>
    </row>
    <row r="19971" spans="326:326">
      <c r="LN19971" t="str">
        <v/>
      </c>
    </row>
    <row r="19972" spans="326:326">
      <c r="LN19972" t="str">
        <v/>
      </c>
    </row>
    <row r="19973" spans="326:326">
      <c r="LN19973" t="str">
        <v/>
      </c>
    </row>
    <row r="19974" spans="326:326">
      <c r="LN19974" t="str">
        <v/>
      </c>
    </row>
    <row r="19975" spans="326:326">
      <c r="LN19975" t="str">
        <v/>
      </c>
    </row>
    <row r="19976" spans="326:326">
      <c r="LN19976" t="str">
        <v/>
      </c>
    </row>
    <row r="19977" spans="326:326">
      <c r="LN19977" t="str">
        <v/>
      </c>
    </row>
    <row r="19978" spans="326:326">
      <c r="LN19978" t="str">
        <v/>
      </c>
    </row>
    <row r="19979" spans="326:326">
      <c r="LN19979" t="str">
        <v/>
      </c>
    </row>
    <row r="19980" spans="326:326">
      <c r="LN19980" t="str">
        <v/>
      </c>
    </row>
    <row r="19981" spans="326:326">
      <c r="LN19981" t="str">
        <v/>
      </c>
    </row>
    <row r="19982" spans="326:326">
      <c r="LN19982" t="str">
        <v/>
      </c>
    </row>
    <row r="19983" spans="326:326">
      <c r="LN19983" t="str">
        <v/>
      </c>
    </row>
    <row r="19984" spans="326:326">
      <c r="LN19984" t="str">
        <v/>
      </c>
    </row>
    <row r="19985" spans="326:326">
      <c r="LN19985" t="str">
        <v/>
      </c>
    </row>
    <row r="19986" spans="326:326">
      <c r="LN19986" t="str">
        <v/>
      </c>
    </row>
    <row r="19987" spans="326:326">
      <c r="LN19987" t="str">
        <v/>
      </c>
    </row>
    <row r="19988" spans="326:326">
      <c r="LN19988" t="str">
        <v/>
      </c>
    </row>
    <row r="19989" spans="326:326">
      <c r="LN19989" t="str">
        <v/>
      </c>
    </row>
    <row r="19990" spans="326:326">
      <c r="LN19990" t="str">
        <v/>
      </c>
    </row>
    <row r="19991" spans="326:326">
      <c r="LN19991" t="str">
        <v/>
      </c>
    </row>
    <row r="19992" spans="326:326">
      <c r="LN19992" t="str">
        <v/>
      </c>
    </row>
    <row r="19993" spans="326:326">
      <c r="LN19993" t="str">
        <v/>
      </c>
    </row>
    <row r="19994" spans="326:326">
      <c r="LN19994" t="str">
        <v/>
      </c>
    </row>
    <row r="19995" spans="326:326">
      <c r="LN19995" t="str">
        <v/>
      </c>
    </row>
    <row r="19996" spans="326:326">
      <c r="LN19996" t="str">
        <v/>
      </c>
    </row>
    <row r="19997" spans="326:326">
      <c r="LN19997" t="str">
        <v/>
      </c>
    </row>
    <row r="19998" spans="326:326">
      <c r="LN19998" t="str">
        <v/>
      </c>
    </row>
    <row r="19999" spans="326:326">
      <c r="LN19999" t="str">
        <v/>
      </c>
    </row>
    <row r="20000" spans="326:326">
      <c r="LN20000" t="str">
        <v/>
      </c>
    </row>
    <row r="20001" spans="326:326">
      <c r="LN20001" t="str">
        <v/>
      </c>
    </row>
    <row r="20002" spans="326:326">
      <c r="LN20002" t="str">
        <v/>
      </c>
    </row>
    <row r="20003" spans="326:326">
      <c r="LN20003" t="str">
        <v/>
      </c>
    </row>
    <row r="20004" spans="326:326">
      <c r="LN20004" t="str">
        <v/>
      </c>
    </row>
    <row r="20005" spans="326:326">
      <c r="LN20005" t="str">
        <v/>
      </c>
    </row>
  </sheetData>
  <sheetProtection algorithmName="SHA-512" hashValue="97p/4lgFnBWKH5GXWOFIPV3n9wGl3W0oYizYgGMN4HewWiR1GhybpNr2rVKT4PGy+MQB20QG17EjjKPX57ny6Q==" saltValue="hR9Wo30ZZ7cG/ltCnZyFHg==" spinCount="100000" sheet="1" scenarios="1" formatColumns="0" sort="0" autoFilter="0" pivotTables="0"/>
  <pageMargins left="0.7" right="0.7" top="0.75" bottom="0.75" header="0.3" footer="0.3"/>
  <tableParts count="1">
    <tablePart r:id="rId15"/>
  </tablePart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98F6B-6501-4723-B5E9-345F96D2D4C4}">
  <sheetPr codeName="Sheet85"/>
  <dimension ref="A1:P2"/>
  <sheetViews>
    <sheetView workbookViewId="0"/>
  </sheetViews>
  <sheetFormatPr defaultRowHeight="12.75"/>
  <sheetData>
    <row r="1" spans="1:16">
      <c r="A1">
        <v>0</v>
      </c>
      <c r="B1">
        <v>16</v>
      </c>
      <c r="C1" t="s">
        <v>20715</v>
      </c>
    </row>
    <row r="2" spans="1:16">
      <c r="A2" t="s">
        <v>20555</v>
      </c>
      <c r="B2" t="s">
        <v>193</v>
      </c>
      <c r="C2" t="s">
        <v>181</v>
      </c>
      <c r="D2" t="s">
        <v>127</v>
      </c>
      <c r="E2" t="s">
        <v>2609</v>
      </c>
      <c r="F2" t="s">
        <v>2610</v>
      </c>
      <c r="G2" t="s">
        <v>2611</v>
      </c>
      <c r="H2" t="s">
        <v>117</v>
      </c>
      <c r="I2" t="s">
        <v>118</v>
      </c>
      <c r="J2" t="s">
        <v>2454</v>
      </c>
      <c r="K2" t="s">
        <v>2456</v>
      </c>
      <c r="L2" t="s">
        <v>2612</v>
      </c>
      <c r="M2" t="s">
        <v>2613</v>
      </c>
      <c r="N2" t="s">
        <v>2614</v>
      </c>
      <c r="O2" t="s">
        <v>2615</v>
      </c>
      <c r="P2" t="s">
        <v>20579</v>
      </c>
    </row>
  </sheetData>
  <sheetProtection algorithmName="SHA-512" hashValue="Ai9nrNqiNOqZGJiMWFakSsjZR6KPC44HDqFw8rMkmYzyaDSi+lgBPvivh1JY8q4XZuT3JWLlzRZi+z8GsByVGA==" saltValue="CS4Nu1yIk/x0TKaVFs+ZSg==" spinCount="100000" sheet="1" scenarios="1" formatColumns="0" sort="0" autoFilter="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762439D-8A62-49DD-A6D0-EB62770D714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344</vt:i4>
      </vt:variant>
    </vt:vector>
  </HeadingPairs>
  <TitlesOfParts>
    <vt:vector size="345" baseType="lpstr">
      <vt:lpstr>Start</vt:lpstr>
      <vt:lpstr>anACC_Cases</vt:lpstr>
      <vt:lpstr>anACC_Loss</vt:lpstr>
      <vt:lpstr>anACC_Mean</vt:lpstr>
      <vt:lpstr>anACC_Med</vt:lpstr>
      <vt:lpstr>anACC_P90</vt:lpstr>
      <vt:lpstr>anACC_Seg</vt:lpstr>
      <vt:lpstr>anBAND_Band</vt:lpstr>
      <vt:lpstr>anBAND_C2P</vt:lpstr>
      <vt:lpstr>anBAND_D2C</vt:lpstr>
      <vt:lpstr>anBAND_L2N</vt:lpstr>
      <vt:lpstr>anBAND_L2P</vt:lpstr>
      <vt:lpstr>anBAND_N2D</vt:lpstr>
      <vt:lpstr>anBAND_N2P</vt:lpstr>
      <vt:lpstr>anBAND_Seg</vt:lpstr>
      <vt:lpstr>anBANDC_Band</vt:lpstr>
      <vt:lpstr>anBANDC_C2P</vt:lpstr>
      <vt:lpstr>anBANDC_D2C</vt:lpstr>
      <vt:lpstr>anBANDC_L2N</vt:lpstr>
      <vt:lpstr>anBANDC_L2P</vt:lpstr>
      <vt:lpstr>anBANDC_N2D</vt:lpstr>
      <vt:lpstr>anBANDC_N2P</vt:lpstr>
      <vt:lpstr>anBANDC_Seg</vt:lpstr>
      <vt:lpstr>anCASE_Case</vt:lpstr>
      <vt:lpstr>anCASE_Cover</vt:lpstr>
      <vt:lpstr>anCASE_Ded</vt:lpstr>
      <vt:lpstr>anCASE_IR</vt:lpstr>
      <vt:lpstr>anCASE_Net</vt:lpstr>
      <vt:lpstr>anCASE_Paid</vt:lpstr>
      <vt:lpstr>anCASE_PaidO</vt:lpstr>
      <vt:lpstr>anCASE_Seg</vt:lpstr>
      <vt:lpstr>anCASE_SI</vt:lpstr>
      <vt:lpstr>anCM_Cases</vt:lpstr>
      <vt:lpstr>anCM_Comp</vt:lpstr>
      <vt:lpstr>anCM_Lines</vt:lpstr>
      <vt:lpstr>anCM_Mean</vt:lpstr>
      <vt:lpstr>anCM_Mend</vt:lpstr>
      <vt:lpstr>anCM_Paid</vt:lpstr>
      <vt:lpstr>anCM_Round</vt:lpstr>
      <vt:lpstr>anCM_Seg</vt:lpstr>
      <vt:lpstr>anCM_Wkd</vt:lpstr>
      <vt:lpstr>anCM_YM</vt:lpstr>
      <vt:lpstr>anCMN_Comp</vt:lpstr>
      <vt:lpstr>anCMN_Lines</vt:lpstr>
      <vt:lpstr>anCMN_Nature</vt:lpstr>
      <vt:lpstr>anCMN_Seg</vt:lpstr>
      <vt:lpstr>anCMN_YM</vt:lpstr>
      <vt:lpstr>anDIG_Comp</vt:lpstr>
      <vt:lpstr>anDIG_Digit</vt:lpstr>
      <vt:lpstr>anDIG_Lines</vt:lpstr>
      <vt:lpstr>anDIG_Seg</vt:lpstr>
      <vt:lpstr>anDIG_YM</vt:lpstr>
      <vt:lpstr>anLAG_C2P_Mean</vt:lpstr>
      <vt:lpstr>anLAG_C2P_N</vt:lpstr>
      <vt:lpstr>anLAG_C2P_P50</vt:lpstr>
      <vt:lpstr>anLAG_C2P_P75</vt:lpstr>
      <vt:lpstr>anLAG_C2P_P90</vt:lpstr>
      <vt:lpstr>anLAG_C2P_P95</vt:lpstr>
      <vt:lpstr>anLAG_D2C_Mean</vt:lpstr>
      <vt:lpstr>anLAG_D2C_N</vt:lpstr>
      <vt:lpstr>anLAG_D2C_P50</vt:lpstr>
      <vt:lpstr>anLAG_D2C_P75</vt:lpstr>
      <vt:lpstr>anLAG_D2C_P90</vt:lpstr>
      <vt:lpstr>anLAG_D2C_P95</vt:lpstr>
      <vt:lpstr>anLAG_L2N_Mean</vt:lpstr>
      <vt:lpstr>anLAG_L2N_N</vt:lpstr>
      <vt:lpstr>anLAG_L2N_P50</vt:lpstr>
      <vt:lpstr>anLAG_L2N_P75</vt:lpstr>
      <vt:lpstr>anLAG_L2N_P90</vt:lpstr>
      <vt:lpstr>anLAG_L2N_P95</vt:lpstr>
      <vt:lpstr>anLAG_L2P_Mean</vt:lpstr>
      <vt:lpstr>anLAG_L2P_N</vt:lpstr>
      <vt:lpstr>anLAG_L2P_P50</vt:lpstr>
      <vt:lpstr>anLAG_L2P_P75</vt:lpstr>
      <vt:lpstr>anLAG_L2P_P90</vt:lpstr>
      <vt:lpstr>anLAG_L2P_P95</vt:lpstr>
      <vt:lpstr>anLAG_N2D_Mean</vt:lpstr>
      <vt:lpstr>anLAG_N2D_N</vt:lpstr>
      <vt:lpstr>anLAG_N2D_P50</vt:lpstr>
      <vt:lpstr>anLAG_N2D_P75</vt:lpstr>
      <vt:lpstr>anLAG_N2D_P90</vt:lpstr>
      <vt:lpstr>anLAG_N2D_P95</vt:lpstr>
      <vt:lpstr>anLAG_N2P_Mean</vt:lpstr>
      <vt:lpstr>anLAG_N2P_N</vt:lpstr>
      <vt:lpstr>anLAG_N2P_P50</vt:lpstr>
      <vt:lpstr>anLAG_N2P_P75</vt:lpstr>
      <vt:lpstr>anLAG_N2P_P90</vt:lpstr>
      <vt:lpstr>anLAG_N2P_P95</vt:lpstr>
      <vt:lpstr>anLAG_Seg</vt:lpstr>
      <vt:lpstr>anLAG_SLA_C2P</vt:lpstr>
      <vt:lpstr>anLAG_SLA_L2P</vt:lpstr>
      <vt:lpstr>anLAG_YM</vt:lpstr>
      <vt:lpstr>anLAGALL_C2P_Mean</vt:lpstr>
      <vt:lpstr>anLAGALL_C2P_N</vt:lpstr>
      <vt:lpstr>anLAGALL_C2P_P50</vt:lpstr>
      <vt:lpstr>anLAGALL_C2P_P75</vt:lpstr>
      <vt:lpstr>anLAGALL_C2P_P90</vt:lpstr>
      <vt:lpstr>anLAGALL_C2P_P95</vt:lpstr>
      <vt:lpstr>anLAGALL_D2C_Mean</vt:lpstr>
      <vt:lpstr>anLAGALL_D2C_N</vt:lpstr>
      <vt:lpstr>anLAGALL_D2C_P50</vt:lpstr>
      <vt:lpstr>anLAGALL_D2C_P75</vt:lpstr>
      <vt:lpstr>anLAGALL_D2C_P90</vt:lpstr>
      <vt:lpstr>anLAGALL_D2C_P95</vt:lpstr>
      <vt:lpstr>anLAGALL_L2N_Mean</vt:lpstr>
      <vt:lpstr>anLAGALL_L2N_N</vt:lpstr>
      <vt:lpstr>anLAGALL_L2N_P50</vt:lpstr>
      <vt:lpstr>anLAGALL_L2N_P75</vt:lpstr>
      <vt:lpstr>anLAGALL_L2N_P90</vt:lpstr>
      <vt:lpstr>anLAGALL_L2N_P95</vt:lpstr>
      <vt:lpstr>anLAGALL_L2P_Mean</vt:lpstr>
      <vt:lpstr>anLAGALL_L2P_N</vt:lpstr>
      <vt:lpstr>anLAGALL_L2P_P50</vt:lpstr>
      <vt:lpstr>anLAGALL_L2P_P75</vt:lpstr>
      <vt:lpstr>anLAGALL_L2P_P90</vt:lpstr>
      <vt:lpstr>anLAGALL_L2P_P95</vt:lpstr>
      <vt:lpstr>anLAGALL_N2D_Mean</vt:lpstr>
      <vt:lpstr>anLAGALL_N2D_N</vt:lpstr>
      <vt:lpstr>anLAGALL_N2D_P50</vt:lpstr>
      <vt:lpstr>anLAGALL_N2D_P75</vt:lpstr>
      <vt:lpstr>anLAGALL_N2D_P90</vt:lpstr>
      <vt:lpstr>anLAGALL_N2D_P95</vt:lpstr>
      <vt:lpstr>anLAGALL_N2P_Mean</vt:lpstr>
      <vt:lpstr>anLAGALL_N2P_N</vt:lpstr>
      <vt:lpstr>anLAGALL_N2P_P50</vt:lpstr>
      <vt:lpstr>anLAGALL_N2P_P75</vt:lpstr>
      <vt:lpstr>anLAGALL_N2P_P90</vt:lpstr>
      <vt:lpstr>anLAGALL_N2P_P95</vt:lpstr>
      <vt:lpstr>anLAGALL_Seg</vt:lpstr>
      <vt:lpstr>anLAGALL_SLA_C2P</vt:lpstr>
      <vt:lpstr>anLAGALL_SLA_L2P</vt:lpstr>
      <vt:lpstr>anLAGALLC_C2P_Mean</vt:lpstr>
      <vt:lpstr>anLAGALLC_C2P_N</vt:lpstr>
      <vt:lpstr>anLAGALLC_C2P_P50</vt:lpstr>
      <vt:lpstr>anLAGALLC_C2P_P75</vt:lpstr>
      <vt:lpstr>anLAGALLC_C2P_P90</vt:lpstr>
      <vt:lpstr>anLAGALLC_C2P_P95</vt:lpstr>
      <vt:lpstr>anLAGALLC_D2C_Mean</vt:lpstr>
      <vt:lpstr>anLAGALLC_D2C_N</vt:lpstr>
      <vt:lpstr>anLAGALLC_D2C_P50</vt:lpstr>
      <vt:lpstr>anLAGALLC_D2C_P75</vt:lpstr>
      <vt:lpstr>anLAGALLC_D2C_P90</vt:lpstr>
      <vt:lpstr>anLAGALLC_D2C_P95</vt:lpstr>
      <vt:lpstr>anLAGALLC_L2N_Mean</vt:lpstr>
      <vt:lpstr>anLAGALLC_L2N_N</vt:lpstr>
      <vt:lpstr>anLAGALLC_L2N_P50</vt:lpstr>
      <vt:lpstr>anLAGALLC_L2N_P75</vt:lpstr>
      <vt:lpstr>anLAGALLC_L2N_P90</vt:lpstr>
      <vt:lpstr>anLAGALLC_L2N_P95</vt:lpstr>
      <vt:lpstr>anLAGALLC_L2P_Mean</vt:lpstr>
      <vt:lpstr>anLAGALLC_L2P_N</vt:lpstr>
      <vt:lpstr>anLAGALLC_L2P_P50</vt:lpstr>
      <vt:lpstr>anLAGALLC_L2P_P75</vt:lpstr>
      <vt:lpstr>anLAGALLC_L2P_P90</vt:lpstr>
      <vt:lpstr>anLAGALLC_L2P_P95</vt:lpstr>
      <vt:lpstr>anLAGALLC_N2D_Mean</vt:lpstr>
      <vt:lpstr>anLAGALLC_N2D_N</vt:lpstr>
      <vt:lpstr>anLAGALLC_N2D_P50</vt:lpstr>
      <vt:lpstr>anLAGALLC_N2D_P75</vt:lpstr>
      <vt:lpstr>anLAGALLC_N2D_P90</vt:lpstr>
      <vt:lpstr>anLAGALLC_N2D_P95</vt:lpstr>
      <vt:lpstr>anLAGALLC_N2P_Mean</vt:lpstr>
      <vt:lpstr>anLAGALLC_N2P_N</vt:lpstr>
      <vt:lpstr>anLAGALLC_N2P_P50</vt:lpstr>
      <vt:lpstr>anLAGALLC_N2P_P75</vt:lpstr>
      <vt:lpstr>anLAGALLC_N2P_P90</vt:lpstr>
      <vt:lpstr>anLAGALLC_N2P_P95</vt:lpstr>
      <vt:lpstr>anLAGALLC_Seg</vt:lpstr>
      <vt:lpstr>anLAGALLC_SLA_C2P</vt:lpstr>
      <vt:lpstr>anLAGALLC_SLA_L2P</vt:lpstr>
      <vt:lpstr>anLAGC_C2P_Mean</vt:lpstr>
      <vt:lpstr>anLAGC_C2P_N</vt:lpstr>
      <vt:lpstr>anLAGC_C2P_P50</vt:lpstr>
      <vt:lpstr>anLAGC_C2P_P75</vt:lpstr>
      <vt:lpstr>anLAGC_C2P_P90</vt:lpstr>
      <vt:lpstr>anLAGC_C2P_P95</vt:lpstr>
      <vt:lpstr>anLAGC_D2C_Mean</vt:lpstr>
      <vt:lpstr>anLAGC_D2C_N</vt:lpstr>
      <vt:lpstr>anLAGC_D2C_P50</vt:lpstr>
      <vt:lpstr>anLAGC_D2C_P75</vt:lpstr>
      <vt:lpstr>anLAGC_D2C_P90</vt:lpstr>
      <vt:lpstr>anLAGC_D2C_P95</vt:lpstr>
      <vt:lpstr>anLAGC_L2N_Mean</vt:lpstr>
      <vt:lpstr>anLAGC_L2N_N</vt:lpstr>
      <vt:lpstr>anLAGC_L2N_P50</vt:lpstr>
      <vt:lpstr>anLAGC_L2N_P75</vt:lpstr>
      <vt:lpstr>anLAGC_L2N_P90</vt:lpstr>
      <vt:lpstr>anLAGC_L2N_P95</vt:lpstr>
      <vt:lpstr>anLAGC_L2P_Mean</vt:lpstr>
      <vt:lpstr>anLAGC_L2P_N</vt:lpstr>
      <vt:lpstr>anLAGC_L2P_P50</vt:lpstr>
      <vt:lpstr>anLAGC_L2P_P75</vt:lpstr>
      <vt:lpstr>anLAGC_L2P_P90</vt:lpstr>
      <vt:lpstr>anLAGC_L2P_P95</vt:lpstr>
      <vt:lpstr>anLAGC_N2D_Mean</vt:lpstr>
      <vt:lpstr>anLAGC_N2D_N</vt:lpstr>
      <vt:lpstr>anLAGC_N2D_P50</vt:lpstr>
      <vt:lpstr>anLAGC_N2D_P75</vt:lpstr>
      <vt:lpstr>anLAGC_N2D_P90</vt:lpstr>
      <vt:lpstr>anLAGC_N2D_P95</vt:lpstr>
      <vt:lpstr>anLAGC_N2P_Mean</vt:lpstr>
      <vt:lpstr>anLAGC_N2P_N</vt:lpstr>
      <vt:lpstr>anLAGC_N2P_P50</vt:lpstr>
      <vt:lpstr>anLAGC_N2P_P75</vt:lpstr>
      <vt:lpstr>anLAGC_N2P_P90</vt:lpstr>
      <vt:lpstr>anLAGC_N2P_P95</vt:lpstr>
      <vt:lpstr>anLAGC_Seg</vt:lpstr>
      <vt:lpstr>anLAGC_SLA_C2P</vt:lpstr>
      <vt:lpstr>anLAGC_SLA_L2P</vt:lpstr>
      <vt:lpstr>anLAGC_YM</vt:lpstr>
      <vt:lpstr>anNAT_Cases</vt:lpstr>
      <vt:lpstr>anNAT_Nature</vt:lpstr>
      <vt:lpstr>anNAT_Paid</vt:lpstr>
      <vt:lpstr>anNAT_Reason</vt:lpstr>
      <vt:lpstr>anNAT_Seg</vt:lpstr>
      <vt:lpstr>anNAT_YM</vt:lpstr>
      <vt:lpstr>anoB_D</vt:lpstr>
      <vt:lpstr>anoB_E</vt:lpstr>
      <vt:lpstr>anoB_O</vt:lpstr>
      <vt:lpstr>anSM_Cases</vt:lpstr>
      <vt:lpstr>anSM_LagP50</vt:lpstr>
      <vt:lpstr>anSM_Lines</vt:lpstr>
      <vt:lpstr>anSM_Mean</vt:lpstr>
      <vt:lpstr>anSM_MoM</vt:lpstr>
      <vt:lpstr>anSM_Net</vt:lpstr>
      <vt:lpstr>anSM_P90</vt:lpstr>
      <vt:lpstr>anSM_Paid</vt:lpstr>
      <vt:lpstr>anSM_PartShare</vt:lpstr>
      <vt:lpstr>anSM_PM</vt:lpstr>
      <vt:lpstr>anSM_PY</vt:lpstr>
      <vt:lpstr>anSM_R12</vt:lpstr>
      <vt:lpstr>anSM_R3</vt:lpstr>
      <vt:lpstr>anSM_R6</vt:lpstr>
      <vt:lpstr>anSM_Seg</vt:lpstr>
      <vt:lpstr>anSM_SLA</vt:lpstr>
      <vt:lpstr>anSM_YM</vt:lpstr>
      <vt:lpstr>anSM_YoY</vt:lpstr>
      <vt:lpstr>anSM_YTD</vt:lpstr>
      <vt:lpstr>anTRI_Comp</vt:lpstr>
      <vt:lpstr>anTRI_Dev</vt:lpstr>
      <vt:lpstr>anTRI_Lines</vt:lpstr>
      <vt:lpstr>anTRI_Loss</vt:lpstr>
      <vt:lpstr>anTRI_Paid</vt:lpstr>
      <vt:lpstr>anTRI_Seg</vt:lpstr>
      <vt:lpstr>archChainCheckedAt</vt:lpstr>
      <vt:lpstr>archChainStatus</vt:lpstr>
      <vt:lpstr>archStoreStatus</vt:lpstr>
      <vt:lpstr>cmDictHealth</vt:lpstr>
      <vt:lpstr>cpAbsTol</vt:lpstr>
      <vt:lpstr>cpActivePeriod</vt:lpstr>
      <vt:lpstr>cpAdvisoryCount</vt:lpstr>
      <vt:lpstr>cpArchiveStart</vt:lpstr>
      <vt:lpstr>cpCloseGate</vt:lpstr>
      <vt:lpstr>cpDimEndYear</vt:lpstr>
      <vt:lpstr>cpDimStartYear</vt:lpstr>
      <vt:lpstr>cpFXCoveredTo</vt:lpstr>
      <vt:lpstr>cpLastLoggedRefresh</vt:lpstr>
      <vt:lpstr>cpOverallStatus</vt:lpstr>
      <vt:lpstr>cpPlatformHome</vt:lpstr>
      <vt:lpstr>cpPrevPeriod</vt:lpstr>
      <vt:lpstr>cpReconBasis</vt:lpstr>
      <vt:lpstr>cpRelTol</vt:lpstr>
      <vt:lpstr>cpReviewCount</vt:lpstr>
      <vt:lpstr>cpSourceLocation</vt:lpstr>
      <vt:lpstr>cpStagingAt</vt:lpstr>
      <vt:lpstr>cpSubmission</vt:lpstr>
      <vt:lpstr>cpUnexplained</vt:lpstr>
      <vt:lpstr>dashModelCheck</vt:lpstr>
      <vt:lpstr>dvCompany</vt:lpstr>
      <vt:lpstr>dvPeriod</vt:lpstr>
      <vt:lpstr>homeBanner</vt:lpstr>
      <vt:lpstr>homeNext</vt:lpstr>
      <vt:lpstr>homeNextSeverity</vt:lpstr>
      <vt:lpstr>homeSeverity</vt:lpstr>
      <vt:lpstr>kpiCases</vt:lpstr>
      <vt:lpstr>kpiLines</vt:lpstr>
      <vt:lpstr>kpiNetTRY</vt:lpstr>
      <vt:lpstr>kpiTotalTRY</vt:lpstr>
      <vt:lpstr>limCov_X</vt:lpstr>
      <vt:lpstr>limCov_Y</vt:lpstr>
      <vt:lpstr>limIr_X</vt:lpstr>
      <vt:lpstr>limIr_Y</vt:lpstr>
      <vt:lpstr>logChainCheckedAt</vt:lpstr>
      <vt:lpstr>logChainStatus</vt:lpstr>
      <vt:lpstr>lstCompanyType</vt:lpstr>
      <vt:lpstr>lstCoreContract</vt:lpstr>
      <vt:lpstr>lstDataType</vt:lpstr>
      <vt:lpstr>lstDecisionCategory</vt:lpstr>
      <vt:lpstr>lstDecisionStatus</vt:lpstr>
      <vt:lpstr>lstFXRateType</vt:lpstr>
      <vt:lpstr>lstFXSource</vt:lpstr>
      <vt:lpstr>lstGroup</vt:lpstr>
      <vt:lpstr>lstReconBasis</vt:lpstr>
      <vt:lpstr>lstRefreshRole</vt:lpstr>
      <vt:lpstr>lstRole</vt:lpstr>
      <vt:lpstr>lstSeverity</vt:lpstr>
      <vt:lpstr>lstVisibility</vt:lpstr>
      <vt:lpstr>lstYN</vt:lpstr>
      <vt:lpstr>navHome</vt:lpstr>
      <vt:lpstr>navStart</vt:lpstr>
      <vt:lpstr>AN_Anomaly!Print_Area</vt:lpstr>
      <vt:lpstr>AN_Backtest!Print_Area</vt:lpstr>
      <vt:lpstr>AN_Dispersion!Print_Area</vt:lpstr>
      <vt:lpstr>AN_Exec_Life!Print_Area</vt:lpstr>
      <vt:lpstr>AN_Exec_NonLife!Print_Area</vt:lpstr>
      <vt:lpstr>AN_Exec_Pension!Print_Area</vt:lpstr>
      <vt:lpstr>AN_Index!Print_Area</vt:lpstr>
      <vt:lpstr>AN_Lags!Print_Area</vt:lpstr>
      <vt:lpstr>AN_Limits!Print_Area</vt:lpstr>
      <vt:lpstr>AN_Severity!Print_Area</vt:lpstr>
      <vt:lpstr>AN_TailFit!Print_Area</vt:lpstr>
      <vt:lpstr>AN_Trend!Print_Area</vt:lpstr>
      <vt:lpstr>AN_Triangle!Print_Area</vt:lpstr>
      <vt:lpstr>AN_Watchlist!Print_Area</vt:lpstr>
      <vt:lpstr>ControlPanel!Print_Area</vt:lpstr>
      <vt:lpstr>Dashboard!Print_Area</vt:lpstr>
      <vt:lpstr>Method_Cards!Print_Area</vt:lpstr>
      <vt:lpstr>Sheet_Map!Print_Area</vt:lpstr>
      <vt:lpstr>Sheet_Map!Print_Titles</vt:lpstr>
      <vt:lpstr>rdChecksum</vt:lpstr>
      <vt:lpstr>rdChecksumAtRefresh</vt:lpstr>
      <vt:lpstr>rdRefreshedBy</vt:lpstr>
      <vt:lpstr>rdRefreshedOn</vt:lpstr>
      <vt:lpstr>rvCase</vt:lpstr>
      <vt:lpstr>rvCompanies</vt:lpstr>
      <vt:lpstr>rvFrom</vt:lpstr>
      <vt:lpstr>rvNature</vt:lpstr>
      <vt:lpstr>rvTo</vt:lpstr>
      <vt:lpstr>secIntegrity</vt:lpstr>
      <vt:lpstr>secSheetKey</vt:lpstr>
      <vt:lpstr>sesCanDo</vt:lpstr>
      <vt:lpstr>sesCanSetup</vt:lpstr>
      <vt:lpstr>sesCode</vt:lpstr>
      <vt:lpstr>sesIsAdmin</vt:lpstr>
      <vt:lpstr>sesIsViewer</vt:lpstr>
      <vt:lpstr>sesLogon</vt:lpstr>
      <vt:lpstr>sesMessage</vt:lpstr>
      <vt:lpstr>sesMode</vt:lpstr>
      <vt:lpstr>sesOpenedAt</vt:lpstr>
      <vt:lpstr>sesRoles</vt:lpstr>
      <vt:lpstr>sesRolesLabel</vt:lpstr>
      <vt:lpstr>sesSeverity</vt:lpstr>
      <vt:lpstr>sesSignedIn</vt:lpstr>
      <vt:lpstr>sesUser</vt:lpstr>
      <vt:lpstr>triMx</vt:lpstr>
    </vt:vector>
  </TitlesOfParts>
  <Company>Actuarial Closing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Actuarial Closing Platform 3.0</dc:title>
  <dc:subject>Monthly payments closing: ingestion, controls, four-eyes close, frozen archive, reporting</dc:subject>
  <dc:creator>fozel</dc:creator>
  <cp:keywords>actuarial closing; payments; controls; four-eyes</cp:keywords>
  <dc:description>Actuarial Closing Platform 3.0.0 - maintained by the Actuarial Closing department (fozel). Changelog, Technical_Guide, Admin_Guide, Interface_Contract.</dc:description>
  <cp:lastModifiedBy>FURKAN ÖZEL</cp:lastModifiedBy>
  <cp:lastPrinted>2026-10-05T13:30:58Z</cp:lastPrinted>
  <dcterms:created xsi:type="dcterms:W3CDTF">2026-09-26T13:42:35Z</dcterms:created>
  <dcterms:modified xsi:type="dcterms:W3CDTF">2026-10-05T15:54:19Z</dcterms:modified>
</cp:coreProperties>
</file>